
<file path=[Content_Types].xml><?xml version="1.0" encoding="utf-8"?>
<Types xmlns="http://schemas.openxmlformats.org/package/2006/content-type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iagrams/data3.xml" ContentType="application/vnd.openxmlformats-officedocument.drawingml.diagramData+xml"/>
  <Override PartName="/xl/diagrams/layout3.xml" ContentType="application/vnd.openxmlformats-officedocument.drawingml.diagramLayout+xml"/>
  <Override PartName="/xl/diagrams/quickStyle3.xml" ContentType="application/vnd.openxmlformats-officedocument.drawingml.diagramStyle+xml"/>
  <Override PartName="/xl/diagrams/colors3.xml" ContentType="application/vnd.openxmlformats-officedocument.drawingml.diagramColors+xml"/>
  <Override PartName="/xl/diagrams/drawing3.xml" ContentType="application/vnd.ms-office.drawingml.diagramDrawing+xml"/>
  <Override PartName="/xl/diagrams/data4.xml" ContentType="application/vnd.openxmlformats-officedocument.drawingml.diagramData+xml"/>
  <Override PartName="/xl/diagrams/layout4.xml" ContentType="application/vnd.openxmlformats-officedocument.drawingml.diagramLayout+xml"/>
  <Override PartName="/xl/diagrams/quickStyle4.xml" ContentType="application/vnd.openxmlformats-officedocument.drawingml.diagramStyle+xml"/>
  <Override PartName="/xl/diagrams/colors4.xml" ContentType="application/vnd.openxmlformats-officedocument.drawingml.diagramColors+xml"/>
  <Override PartName="/xl/diagrams/drawing4.xml" ContentType="application/vnd.ms-office.drawingml.diagramDrawing+xml"/>
  <Override PartName="/xl/diagrams/data5.xml" ContentType="application/vnd.openxmlformats-officedocument.drawingml.diagramData+xml"/>
  <Override PartName="/xl/diagrams/layout5.xml" ContentType="application/vnd.openxmlformats-officedocument.drawingml.diagramLayout+xml"/>
  <Override PartName="/xl/diagrams/quickStyle5.xml" ContentType="application/vnd.openxmlformats-officedocument.drawingml.diagramStyle+xml"/>
  <Override PartName="/xl/diagrams/colors5.xml" ContentType="application/vnd.openxmlformats-officedocument.drawingml.diagramColors+xml"/>
  <Override PartName="/xl/diagrams/drawing5.xml" ContentType="application/vnd.ms-office.drawingml.diagramDrawing+xml"/>
  <Override PartName="/xl/diagrams/data6.xml" ContentType="application/vnd.openxmlformats-officedocument.drawingml.diagramData+xml"/>
  <Override PartName="/xl/diagrams/layout6.xml" ContentType="application/vnd.openxmlformats-officedocument.drawingml.diagramLayout+xml"/>
  <Override PartName="/xl/diagrams/quickStyle6.xml" ContentType="application/vnd.openxmlformats-officedocument.drawingml.diagramStyle+xml"/>
  <Override PartName="/xl/diagrams/colors6.xml" ContentType="application/vnd.openxmlformats-officedocument.drawingml.diagramColors+xml"/>
  <Override PartName="/xl/diagrams/drawing6.xml" ContentType="application/vnd.ms-office.drawingml.diagram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4.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drawings/drawing5.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Relationships xmlns="http://schemas.openxmlformats.org/package/2006/relationships"><Relationship Type="http://schemas.openxmlformats.org/officeDocument/2006/relationships/extended-properties" Target="docProps/app.xml" Id="rId3" /><Relationship Type="http://schemas.openxmlformats.org/package/2006/relationships/metadata/core-properties" Target="docProps/core.xml" Id="rId2" /><Relationship Type="http://schemas.openxmlformats.org/officeDocument/2006/relationships/officeDocument" Target="xl/workbook.xml" Id="rId1" /></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autoCompressPictures="0"/>
  <bookViews>
    <workbookView xWindow="0" yWindow="15" windowWidth="25440" windowHeight="13800" tabRatio="858" firstSheet="10" activeTab="12"/>
  </bookViews>
  <sheets>
    <sheet name="Guide - wip" sheetId="10" state="hidden" r:id="rId1"/>
    <sheet name="M&amp;E Plan" sheetId="30" state="hidden" r:id="rId2"/>
    <sheet name="Reference" sheetId="5" state="hidden" r:id="rId3"/>
    <sheet name="LF for CA4 BC" sheetId="29" state="hidden" r:id="rId4"/>
    <sheet name="LF for 2012 AR" sheetId="31" state="hidden" r:id="rId5"/>
    <sheet name="LF for 2013 AR" sheetId="33" state="hidden" r:id="rId6"/>
    <sheet name="Graphics - wip" sheetId="6" state="hidden" r:id="rId7"/>
    <sheet name="LF for 2014 AR" sheetId="47" state="hidden" r:id="rId8"/>
    <sheet name="State Agg LFx3 (2014)" sheetId="50" state="hidden" r:id="rId9"/>
    <sheet name="State DisAgg LFx10 (2014)" sheetId="51" state="hidden" r:id="rId10"/>
    <sheet name="LF for 2014 AR (original)" sheetId="55" r:id="rId11"/>
    <sheet name="LF for 2014 AR (2014 adapted)" sheetId="49" state="hidden" r:id="rId12"/>
    <sheet name="LF for 2015 AR (2015 adjusted)" sheetId="65" r:id="rId13"/>
    <sheet name="State Agg LFx3 (2015)" sheetId="20" state="hidden" r:id="rId14"/>
    <sheet name="State DisAgg LFx10 (2015)" sheetId="1" state="hidden" r:id="rId15"/>
    <sheet name="LF-Enugu" sheetId="18" state="hidden" r:id="rId16"/>
    <sheet name="LF-Jigawa" sheetId="19" state="hidden" r:id="rId17"/>
    <sheet name="LF-Kaduna" sheetId="21" state="hidden" r:id="rId18"/>
    <sheet name="LF-Kano" sheetId="22" state="hidden" r:id="rId19"/>
    <sheet name="LF-Lagos" sheetId="23" state="hidden" r:id="rId20"/>
    <sheet name="LF-Zamfara" sheetId="24" state="hidden" r:id="rId21"/>
    <sheet name="LF-Katsina" sheetId="25" state="hidden" r:id="rId22"/>
    <sheet name="LF-Yobe" sheetId="26" state="hidden" r:id="rId23"/>
    <sheet name="LF-Anambra" sheetId="27" state="hidden" r:id="rId24"/>
    <sheet name="LF-Niger" sheetId="28" state="hidden" r:id="rId25"/>
    <sheet name="Enugu Workings" sheetId="36" state="hidden" r:id="rId26"/>
    <sheet name="Jigawa Workings" sheetId="37" state="hidden" r:id="rId27"/>
    <sheet name="Kaduna Workings" sheetId="38" state="hidden" r:id="rId28"/>
    <sheet name="Kano Workings" sheetId="39" state="hidden" r:id="rId29"/>
    <sheet name="Lagos Workings" sheetId="40" state="hidden" r:id="rId30"/>
    <sheet name="SLP States AggWorkings" sheetId="41" state="hidden" r:id="rId31"/>
    <sheet name="Zamfara Workings" sheetId="42" state="hidden" r:id="rId32"/>
    <sheet name="Katsina Workings" sheetId="43" state="hidden" r:id="rId33"/>
    <sheet name="Yobe Workings" sheetId="44" state="hidden" r:id="rId34"/>
    <sheet name="ZKY States AggWorkings" sheetId="45" state="hidden" r:id="rId35"/>
    <sheet name="Anambra Workings" sheetId="56" state="hidden" r:id="rId36"/>
    <sheet name="Niger Workings" sheetId="57" state="hidden" r:id="rId37"/>
    <sheet name="A&amp;N States AggWorkings" sheetId="58" state="hidden" r:id="rId38"/>
    <sheet name="10 States AggWorkings" sheetId="7" state="hidden" r:id="rId39"/>
    <sheet name="Nat-Intl Replication Diary" sheetId="48" state="hidden" r:id="rId40"/>
    <sheet name="Abuja Workings" sheetId="62" state="hidden" r:id="rId41"/>
    <sheet name="UK-Intl Workings" sheetId="61" state="hidden" r:id="rId42"/>
    <sheet name="State Efficiency Ratios" sheetId="35" state="hidden" r:id="rId43"/>
    <sheet name="Composites" sheetId="46" state="hidden" r:id="rId44"/>
    <sheet name="10 States + AbujaUK AggWorkings" sheetId="64" state="hidden" r:id="rId45"/>
    <sheet name="Spend" sheetId="34" state="hidden" r:id="rId46"/>
    <sheet name="State Efficiency Ratios (2014)" sheetId="52" state="hidden" r:id="rId47"/>
    <sheet name="Composites (2014)" sheetId="53" state="hidden" r:id="rId48"/>
  </sheets>
  <externalReferences>
    <externalReference r:id="rId49"/>
    <externalReference r:id="rId50"/>
    <externalReference r:id="rId51"/>
  </externalReferences>
  <definedNames>
    <definedName name="_edn1" localSheetId="43">Composites!#REF!</definedName>
    <definedName name="_edn1" localSheetId="47">'Composites (2014)'!#REF!</definedName>
    <definedName name="_edn1" localSheetId="4">#REF!</definedName>
    <definedName name="_edn1" localSheetId="5">#REF!</definedName>
    <definedName name="_edn1" localSheetId="7">#REF!</definedName>
    <definedName name="_edn1" localSheetId="11">#REF!</definedName>
    <definedName name="_edn1" localSheetId="10">#REF!</definedName>
    <definedName name="_edn1" localSheetId="12">'LF for 2015 AR (2015 adjusted)'!$B$238</definedName>
    <definedName name="_edn1" localSheetId="3">'LF for CA4 BC'!$B$205</definedName>
    <definedName name="_edn1" localSheetId="23">'LF-Anambra'!$B$173</definedName>
    <definedName name="_edn1" localSheetId="15">'LF-Enugu'!$B$173</definedName>
    <definedName name="_edn1" localSheetId="16">'LF-Jigawa'!$B$173</definedName>
    <definedName name="_edn1" localSheetId="17">'LF-Kaduna'!$B$173</definedName>
    <definedName name="_edn1" localSheetId="18">'LF-Kano'!$B$173</definedName>
    <definedName name="_edn1" localSheetId="21">'LF-Katsina'!$B$173</definedName>
    <definedName name="_edn1" localSheetId="19">'LF-Lagos'!$B$173</definedName>
    <definedName name="_edn1" localSheetId="24">'LF-Niger'!$B$173</definedName>
    <definedName name="_edn1" localSheetId="22">'LF-Yobe'!$B$173</definedName>
    <definedName name="_edn1" localSheetId="20">'LF-Zamfara'!$B$173</definedName>
    <definedName name="_edn1" localSheetId="45">Spend!#REF!</definedName>
    <definedName name="_edn1" localSheetId="8">'State Agg LFx3 (2014)'!$B$238</definedName>
    <definedName name="_edn1" localSheetId="13">'State Agg LFx3 (2015)'!$B$238</definedName>
    <definedName name="_edn1" localSheetId="9">'State DisAgg LFx10 (2014)'!$B$591</definedName>
    <definedName name="_edn1" localSheetId="14">'State DisAgg LFx10 (2015)'!$B$591</definedName>
    <definedName name="_edn1" localSheetId="42">'State Efficiency Ratios'!#REF!</definedName>
    <definedName name="_edn1" localSheetId="46">'State Efficiency Ratios (2014)'!#REF!</definedName>
    <definedName name="_xlnm.Print_Area" localSheetId="43">Composites!$A$1:$AC$89</definedName>
    <definedName name="_xlnm.Print_Area" localSheetId="47">'Composites (2014)'!$A$1:$AC$88</definedName>
    <definedName name="_xlnm.Print_Area" localSheetId="4">'LF for 2012 AR'!$A$1:$X$253</definedName>
    <definedName name="_xlnm.Print_Area" localSheetId="5">'LF for 2013 AR'!$A$1:$X$254</definedName>
    <definedName name="_xlnm.Print_Area" localSheetId="7">'LF for 2014 AR'!$A$1:$X$254</definedName>
    <definedName name="_xlnm.Print_Area" localSheetId="11">'LF for 2014 AR (2014 adapted)'!$A$1:$X$254</definedName>
    <definedName name="_xlnm.Print_Area" localSheetId="10">'LF for 2014 AR (original)'!$A$1:$X$254</definedName>
    <definedName name="_xlnm.Print_Area" localSheetId="12">'LF for 2015 AR (2015 adjusted)'!$A$1:$X$248</definedName>
    <definedName name="_xlnm.Print_Area" localSheetId="3">'LF for CA4 BC'!$A$1:$X$214</definedName>
    <definedName name="_xlnm.Print_Area" localSheetId="23">'LF-Anambra'!$A$1:$X$182</definedName>
    <definedName name="_xlnm.Print_Area" localSheetId="15">'LF-Enugu'!$A$1:$X$182</definedName>
    <definedName name="_xlnm.Print_Area" localSheetId="16">'LF-Jigawa'!$A$1:$X$182</definedName>
    <definedName name="_xlnm.Print_Area" localSheetId="17">'LF-Kaduna'!$A$1:$X$182</definedName>
    <definedName name="_xlnm.Print_Area" localSheetId="18">'LF-Kano'!$A$1:$X$182</definedName>
    <definedName name="_xlnm.Print_Area" localSheetId="21">'LF-Katsina'!$A$1:$X$182</definedName>
    <definedName name="_xlnm.Print_Area" localSheetId="19">'LF-Lagos'!$A$1:$X$182</definedName>
    <definedName name="_xlnm.Print_Area" localSheetId="24">'LF-Niger'!$A$1:$X$182</definedName>
    <definedName name="_xlnm.Print_Area" localSheetId="22">'LF-Yobe'!$A$1:$X$182</definedName>
    <definedName name="_xlnm.Print_Area" localSheetId="20">'LF-Zamfara'!$A$1:$X$182</definedName>
    <definedName name="_xlnm.Print_Area" localSheetId="39">'Nat-Intl Replication Diary'!$A$1:$E$7</definedName>
    <definedName name="_xlnm.Print_Area" localSheetId="45">Spend!$A$1:$AC$620</definedName>
    <definedName name="_xlnm.Print_Area" localSheetId="8">'State Agg LFx3 (2014)'!$A$1:$X$248</definedName>
    <definedName name="_xlnm.Print_Area" localSheetId="13">'State Agg LFx3 (2015)'!$A$1:$X$248</definedName>
    <definedName name="_xlnm.Print_Area" localSheetId="9">'State DisAgg LFx10 (2014)'!$A$1:$X$649</definedName>
    <definedName name="_xlnm.Print_Area" localSheetId="14">'State DisAgg LFx10 (2015)'!$A$1:$X$649</definedName>
    <definedName name="_xlnm.Print_Area" localSheetId="42">'State Efficiency Ratios'!$A$1:$AC$620</definedName>
    <definedName name="_xlnm.Print_Area" localSheetId="46">'State Efficiency Ratios (2014)'!$A$1:$AC$620</definedName>
    <definedName name="_xlnm.Print_Titles" localSheetId="39">'Nat-Intl Replication Diary'!$A:$B</definedName>
    <definedName name="Progress">[1]Sheet1!$A$1:$A$2</definedName>
  </definedNames>
  <calcPr calcId="145621" concurrentCalc="0"/>
  <extLst>
    <ext xmlns:mx="http://schemas.microsoft.com/office/mac/excel/2008/main" uri="{7523E5D3-25F3-A5E0-1632-64F254C22452}">
      <mx:ArchID Flags="2"/>
    </ext>
  </extLst>
</workbook>
</file>

<file path=xl/calcChain.xml><?xml version="1.0" encoding="utf-8"?>
<calcChain xmlns="http://schemas.openxmlformats.org/spreadsheetml/2006/main">
  <c r="Z146" i="58" l="1"/>
  <c r="Y146" i="58"/>
  <c r="X146" i="58"/>
  <c r="W146" i="58"/>
  <c r="V146" i="58"/>
  <c r="U146" i="58"/>
  <c r="T146" i="58"/>
  <c r="S146" i="58"/>
  <c r="R146" i="58"/>
  <c r="Z145" i="58"/>
  <c r="Y145" i="58"/>
  <c r="X145" i="58"/>
  <c r="W145" i="58"/>
  <c r="V145" i="58"/>
  <c r="U145" i="58"/>
  <c r="T145" i="58"/>
  <c r="S145" i="58"/>
  <c r="R145" i="58"/>
  <c r="Z143" i="58"/>
  <c r="Y143" i="58"/>
  <c r="X143" i="58"/>
  <c r="W143" i="58"/>
  <c r="V143" i="58"/>
  <c r="U143" i="58"/>
  <c r="T143" i="58"/>
  <c r="S143" i="58"/>
  <c r="R143" i="58"/>
  <c r="Z142" i="58"/>
  <c r="Y142" i="58"/>
  <c r="X142" i="58"/>
  <c r="W142" i="58"/>
  <c r="V142" i="58"/>
  <c r="U142" i="58"/>
  <c r="T142" i="58"/>
  <c r="S142" i="58"/>
  <c r="R142" i="58"/>
  <c r="Z140" i="58"/>
  <c r="Y140" i="58"/>
  <c r="X140" i="58"/>
  <c r="W140" i="58"/>
  <c r="V140" i="58"/>
  <c r="U140" i="58"/>
  <c r="T140" i="58"/>
  <c r="S140" i="58"/>
  <c r="R140" i="58"/>
  <c r="Z139" i="58"/>
  <c r="Y139" i="58"/>
  <c r="X139" i="58"/>
  <c r="W139" i="58"/>
  <c r="V139" i="58"/>
  <c r="U139" i="58"/>
  <c r="T139" i="58"/>
  <c r="S139" i="58"/>
  <c r="R139" i="58"/>
  <c r="Z137" i="58"/>
  <c r="Y137" i="58"/>
  <c r="X137" i="58"/>
  <c r="W137" i="58"/>
  <c r="V137" i="58"/>
  <c r="U137" i="58"/>
  <c r="T137" i="58"/>
  <c r="S137" i="58"/>
  <c r="R137" i="58"/>
  <c r="Z136" i="58"/>
  <c r="Y136" i="58"/>
  <c r="X136" i="58"/>
  <c r="W136" i="58"/>
  <c r="V136" i="58"/>
  <c r="U136" i="58"/>
  <c r="T136" i="58"/>
  <c r="S136" i="58"/>
  <c r="R136" i="58"/>
  <c r="Z134" i="58"/>
  <c r="Y134" i="58"/>
  <c r="X134" i="58"/>
  <c r="W134" i="58"/>
  <c r="V134" i="58"/>
  <c r="U134" i="58"/>
  <c r="T134" i="58"/>
  <c r="S134" i="58"/>
  <c r="R134" i="58"/>
  <c r="Z133" i="58"/>
  <c r="Y133" i="58"/>
  <c r="X133" i="58"/>
  <c r="W133" i="58"/>
  <c r="V133" i="58"/>
  <c r="U133" i="58"/>
  <c r="T133" i="58"/>
  <c r="S133" i="58"/>
  <c r="R133" i="58"/>
  <c r="Z131" i="58"/>
  <c r="Y131" i="58"/>
  <c r="X131" i="58"/>
  <c r="W131" i="58"/>
  <c r="V131" i="58"/>
  <c r="U131" i="58"/>
  <c r="T131" i="58"/>
  <c r="S131" i="58"/>
  <c r="R131" i="58"/>
  <c r="Z130" i="58"/>
  <c r="Y130" i="58"/>
  <c r="X130" i="58"/>
  <c r="W130" i="58"/>
  <c r="V130" i="58"/>
  <c r="U130" i="58"/>
  <c r="T130" i="58"/>
  <c r="S130" i="58"/>
  <c r="R130" i="58"/>
  <c r="Z128" i="58"/>
  <c r="Y128" i="58"/>
  <c r="X128" i="58"/>
  <c r="W128" i="58"/>
  <c r="V128" i="58"/>
  <c r="U128" i="58"/>
  <c r="T128" i="58"/>
  <c r="S128" i="58"/>
  <c r="R128" i="58"/>
  <c r="Z127" i="58"/>
  <c r="Y127" i="58"/>
  <c r="X127" i="58"/>
  <c r="W127" i="58"/>
  <c r="V127" i="58"/>
  <c r="U127" i="58"/>
  <c r="T127" i="58"/>
  <c r="S127" i="58"/>
  <c r="R127" i="58"/>
  <c r="Z125" i="58"/>
  <c r="Y125" i="58"/>
  <c r="X125" i="58"/>
  <c r="W125" i="58"/>
  <c r="V125" i="58"/>
  <c r="U125" i="58"/>
  <c r="T125" i="58"/>
  <c r="S125" i="58"/>
  <c r="R125" i="58"/>
  <c r="Z124" i="58"/>
  <c r="Y124" i="58"/>
  <c r="X124" i="58"/>
  <c r="W124" i="58"/>
  <c r="V124" i="58"/>
  <c r="U124" i="58"/>
  <c r="T124" i="58"/>
  <c r="S124" i="58"/>
  <c r="R124" i="58"/>
  <c r="Z122" i="58"/>
  <c r="Y122" i="58"/>
  <c r="X122" i="58"/>
  <c r="W122" i="58"/>
  <c r="V122" i="58"/>
  <c r="U122" i="58"/>
  <c r="T122" i="58"/>
  <c r="S122" i="58"/>
  <c r="R122" i="58"/>
  <c r="Z121" i="58"/>
  <c r="Y121" i="58"/>
  <c r="X121" i="58"/>
  <c r="W121" i="58"/>
  <c r="V121" i="58"/>
  <c r="U121" i="58"/>
  <c r="T121" i="58"/>
  <c r="S121" i="58"/>
  <c r="R121" i="58"/>
  <c r="Z119" i="58"/>
  <c r="Y119" i="58"/>
  <c r="X119" i="58"/>
  <c r="W119" i="58"/>
  <c r="V119" i="58"/>
  <c r="U119" i="58"/>
  <c r="T119" i="58"/>
  <c r="S119" i="58"/>
  <c r="R119" i="58"/>
  <c r="Z118" i="58"/>
  <c r="Y118" i="58"/>
  <c r="X118" i="58"/>
  <c r="W118" i="58"/>
  <c r="V118" i="58"/>
  <c r="U118" i="58"/>
  <c r="T118" i="58"/>
  <c r="S118" i="58"/>
  <c r="R118" i="58"/>
  <c r="Z116" i="58"/>
  <c r="Y116" i="58"/>
  <c r="X116" i="58"/>
  <c r="W116" i="58"/>
  <c r="V116" i="58"/>
  <c r="U116" i="58"/>
  <c r="T116" i="58"/>
  <c r="S116" i="58"/>
  <c r="R116" i="58"/>
  <c r="Z115" i="58"/>
  <c r="Y115" i="58"/>
  <c r="X115" i="58"/>
  <c r="W115" i="58"/>
  <c r="V115" i="58"/>
  <c r="U115" i="58"/>
  <c r="T115" i="58"/>
  <c r="S115" i="58"/>
  <c r="R115" i="58"/>
  <c r="Z113" i="58"/>
  <c r="Y113" i="58"/>
  <c r="X113" i="58"/>
  <c r="W113" i="58"/>
  <c r="V113" i="58"/>
  <c r="U113" i="58"/>
  <c r="T113" i="58"/>
  <c r="S113" i="58"/>
  <c r="R113" i="58"/>
  <c r="Z112" i="58"/>
  <c r="Y112" i="58"/>
  <c r="X112" i="58"/>
  <c r="W112" i="58"/>
  <c r="V112" i="58"/>
  <c r="U112" i="58"/>
  <c r="T112" i="58"/>
  <c r="S112" i="58"/>
  <c r="R112" i="58"/>
  <c r="Z110" i="58"/>
  <c r="Y110" i="58"/>
  <c r="X110" i="58"/>
  <c r="W110" i="58"/>
  <c r="V110" i="58"/>
  <c r="U110" i="58"/>
  <c r="T110" i="58"/>
  <c r="S110" i="58"/>
  <c r="R110" i="58"/>
  <c r="Z109" i="58"/>
  <c r="Y109" i="58"/>
  <c r="X109" i="58"/>
  <c r="W109" i="58"/>
  <c r="V109" i="58"/>
  <c r="U109" i="58"/>
  <c r="T109" i="58"/>
  <c r="S109" i="58"/>
  <c r="R109" i="58"/>
  <c r="Z107" i="58"/>
  <c r="Y107" i="58"/>
  <c r="X107" i="58"/>
  <c r="W107" i="58"/>
  <c r="V107" i="58"/>
  <c r="U107" i="58"/>
  <c r="T107" i="58"/>
  <c r="S107" i="58"/>
  <c r="R107" i="58"/>
  <c r="Z106" i="58"/>
  <c r="Y106" i="58"/>
  <c r="X106" i="58"/>
  <c r="W106" i="58"/>
  <c r="V106" i="58"/>
  <c r="U106" i="58"/>
  <c r="T106" i="58"/>
  <c r="S106" i="58"/>
  <c r="R106" i="58"/>
  <c r="Z83" i="58"/>
  <c r="Y83" i="58"/>
  <c r="X83" i="58"/>
  <c r="W83" i="58"/>
  <c r="V83" i="58"/>
  <c r="U83" i="58"/>
  <c r="T83" i="58"/>
  <c r="S83" i="58"/>
  <c r="R83" i="58"/>
  <c r="Z82" i="58"/>
  <c r="Y82" i="58"/>
  <c r="X82" i="58"/>
  <c r="W82" i="58"/>
  <c r="V82" i="58"/>
  <c r="U82" i="58"/>
  <c r="T82" i="58"/>
  <c r="S82" i="58"/>
  <c r="R82" i="58"/>
  <c r="Z80" i="58"/>
  <c r="Y80" i="58"/>
  <c r="X80" i="58"/>
  <c r="W80" i="58"/>
  <c r="V80" i="58"/>
  <c r="U80" i="58"/>
  <c r="T80" i="58"/>
  <c r="S80" i="58"/>
  <c r="R80" i="58"/>
  <c r="Z79" i="58"/>
  <c r="Y79" i="58"/>
  <c r="X79" i="58"/>
  <c r="W79" i="58"/>
  <c r="V79" i="58"/>
  <c r="U79" i="58"/>
  <c r="T79" i="58"/>
  <c r="S79" i="58"/>
  <c r="R79" i="58"/>
  <c r="Z77" i="58"/>
  <c r="Y77" i="58"/>
  <c r="X77" i="58"/>
  <c r="W77" i="58"/>
  <c r="V77" i="58"/>
  <c r="U77" i="58"/>
  <c r="T77" i="58"/>
  <c r="S77" i="58"/>
  <c r="R77" i="58"/>
  <c r="Z76" i="58"/>
  <c r="Y76" i="58"/>
  <c r="X76" i="58"/>
  <c r="W76" i="58"/>
  <c r="V76" i="58"/>
  <c r="U76" i="58"/>
  <c r="T76" i="58"/>
  <c r="S76" i="58"/>
  <c r="R76" i="58"/>
  <c r="Z74" i="58"/>
  <c r="Y74" i="58"/>
  <c r="X74" i="58"/>
  <c r="W74" i="58"/>
  <c r="V74" i="58"/>
  <c r="U74" i="58"/>
  <c r="T74" i="58"/>
  <c r="S74" i="58"/>
  <c r="R74" i="58"/>
  <c r="Z73" i="58"/>
  <c r="Y73" i="58"/>
  <c r="X73" i="58"/>
  <c r="W73" i="58"/>
  <c r="V73" i="58"/>
  <c r="U73" i="58"/>
  <c r="T73" i="58"/>
  <c r="S73" i="58"/>
  <c r="R73" i="58"/>
  <c r="Z71" i="58"/>
  <c r="Y71" i="58"/>
  <c r="X71" i="58"/>
  <c r="W71" i="58"/>
  <c r="V71" i="58"/>
  <c r="U71" i="58"/>
  <c r="T71" i="58"/>
  <c r="S71" i="58"/>
  <c r="R71" i="58"/>
  <c r="Z70" i="58"/>
  <c r="Y70" i="58"/>
  <c r="X70" i="58"/>
  <c r="W70" i="58"/>
  <c r="V70" i="58"/>
  <c r="U70" i="58"/>
  <c r="T70" i="58"/>
  <c r="S70" i="58"/>
  <c r="R70" i="58"/>
  <c r="Z68" i="58"/>
  <c r="Y68" i="58"/>
  <c r="X68" i="58"/>
  <c r="W68" i="58"/>
  <c r="V68" i="58"/>
  <c r="U68" i="58"/>
  <c r="T68" i="58"/>
  <c r="S68" i="58"/>
  <c r="R68" i="58"/>
  <c r="Z67" i="58"/>
  <c r="Y67" i="58"/>
  <c r="X67" i="58"/>
  <c r="W67" i="58"/>
  <c r="V67" i="58"/>
  <c r="U67" i="58"/>
  <c r="T67" i="58"/>
  <c r="S67" i="58"/>
  <c r="R67" i="58"/>
  <c r="Z65" i="58"/>
  <c r="Y65" i="58"/>
  <c r="X65" i="58"/>
  <c r="W65" i="58"/>
  <c r="V65" i="58"/>
  <c r="U65" i="58"/>
  <c r="T65" i="58"/>
  <c r="S65" i="58"/>
  <c r="R65" i="58"/>
  <c r="Z64" i="58"/>
  <c r="Y64" i="58"/>
  <c r="X64" i="58"/>
  <c r="W64" i="58"/>
  <c r="V64" i="58"/>
  <c r="U64" i="58"/>
  <c r="T64" i="58"/>
  <c r="S64" i="58"/>
  <c r="R64" i="58"/>
  <c r="Z62" i="58"/>
  <c r="Y62" i="58"/>
  <c r="X62" i="58"/>
  <c r="W62" i="58"/>
  <c r="V62" i="58"/>
  <c r="U62" i="58"/>
  <c r="T62" i="58"/>
  <c r="S62" i="58"/>
  <c r="R62" i="58"/>
  <c r="Z61" i="58"/>
  <c r="Y61" i="58"/>
  <c r="X61" i="58"/>
  <c r="W61" i="58"/>
  <c r="V61" i="58"/>
  <c r="U61" i="58"/>
  <c r="T61" i="58"/>
  <c r="S61" i="58"/>
  <c r="R61" i="58"/>
  <c r="Z59" i="58"/>
  <c r="Y59" i="58"/>
  <c r="X59" i="58"/>
  <c r="W59" i="58"/>
  <c r="V59" i="58"/>
  <c r="U59" i="58"/>
  <c r="T59" i="58"/>
  <c r="S59" i="58"/>
  <c r="R59" i="58"/>
  <c r="Z58" i="58"/>
  <c r="Y58" i="58"/>
  <c r="X58" i="58"/>
  <c r="W58" i="58"/>
  <c r="V58" i="58"/>
  <c r="U58" i="58"/>
  <c r="T58" i="58"/>
  <c r="S58" i="58"/>
  <c r="R58" i="58"/>
  <c r="Z50" i="58"/>
  <c r="Y50" i="58"/>
  <c r="X50" i="58"/>
  <c r="W50" i="58"/>
  <c r="V50" i="58"/>
  <c r="U50" i="58"/>
  <c r="T50" i="58"/>
  <c r="S50" i="58"/>
  <c r="R50" i="58"/>
  <c r="Z49" i="58"/>
  <c r="Y49" i="58"/>
  <c r="X49" i="58"/>
  <c r="W49" i="58"/>
  <c r="V49" i="58"/>
  <c r="U49" i="58"/>
  <c r="T49" i="58"/>
  <c r="S49" i="58"/>
  <c r="R49" i="58"/>
  <c r="Z41" i="58"/>
  <c r="Y41" i="58"/>
  <c r="X41" i="58"/>
  <c r="W41" i="58"/>
  <c r="V41" i="58"/>
  <c r="U41" i="58"/>
  <c r="T41" i="58"/>
  <c r="S41" i="58"/>
  <c r="R41" i="58"/>
  <c r="Z40" i="58"/>
  <c r="Y40" i="58"/>
  <c r="X40" i="58"/>
  <c r="W40" i="58"/>
  <c r="V40" i="58"/>
  <c r="U40" i="58"/>
  <c r="T40" i="58"/>
  <c r="S40" i="58"/>
  <c r="R40" i="58"/>
  <c r="Z38" i="58"/>
  <c r="Y38" i="58"/>
  <c r="X38" i="58"/>
  <c r="W38" i="58"/>
  <c r="V38" i="58"/>
  <c r="U38" i="58"/>
  <c r="T38" i="58"/>
  <c r="S38" i="58"/>
  <c r="R38" i="58"/>
  <c r="Z37" i="58"/>
  <c r="Y37" i="58"/>
  <c r="X37" i="58"/>
  <c r="W37" i="58"/>
  <c r="V37" i="58"/>
  <c r="U37" i="58"/>
  <c r="T37" i="58"/>
  <c r="S37" i="58"/>
  <c r="R37" i="58"/>
  <c r="Z35" i="58"/>
  <c r="Y35" i="58"/>
  <c r="X35" i="58"/>
  <c r="W35" i="58"/>
  <c r="V35" i="58"/>
  <c r="U35" i="58"/>
  <c r="T35" i="58"/>
  <c r="S35" i="58"/>
  <c r="R35" i="58"/>
  <c r="Z34" i="58"/>
  <c r="Y34" i="58"/>
  <c r="X34" i="58"/>
  <c r="W34" i="58"/>
  <c r="V34" i="58"/>
  <c r="U34" i="58"/>
  <c r="T34" i="58"/>
  <c r="S34" i="58"/>
  <c r="R34" i="58"/>
  <c r="Z32" i="58"/>
  <c r="Y32" i="58"/>
  <c r="X32" i="58"/>
  <c r="W32" i="58"/>
  <c r="V32" i="58"/>
  <c r="U32" i="58"/>
  <c r="T32" i="58"/>
  <c r="S32" i="58"/>
  <c r="R32" i="58"/>
  <c r="Z31" i="58"/>
  <c r="Y31" i="58"/>
  <c r="X31" i="58"/>
  <c r="W31" i="58"/>
  <c r="V31" i="58"/>
  <c r="U31" i="58"/>
  <c r="T31" i="58"/>
  <c r="S31" i="58"/>
  <c r="R31" i="58"/>
  <c r="W47" i="56"/>
  <c r="W44" i="56"/>
  <c r="P201" i="1"/>
  <c r="P202" i="1"/>
  <c r="P93" i="65"/>
  <c r="D22" i="1"/>
  <c r="D23" i="1"/>
  <c r="D24" i="1"/>
  <c r="D25" i="1"/>
  <c r="D26" i="1"/>
  <c r="D22" i="65"/>
  <c r="P252" i="65"/>
  <c r="T252" i="65"/>
  <c r="W625" i="1"/>
  <c r="V625" i="1"/>
  <c r="U625" i="1"/>
  <c r="T625" i="1"/>
  <c r="S620" i="1"/>
  <c r="S621" i="1"/>
  <c r="S622" i="1"/>
  <c r="S623" i="1"/>
  <c r="S624" i="1"/>
  <c r="S625" i="1"/>
  <c r="S626" i="1"/>
  <c r="S627" i="1"/>
  <c r="S628" i="1"/>
  <c r="S629" i="1"/>
  <c r="S247" i="65"/>
  <c r="R620" i="1"/>
  <c r="R621" i="1"/>
  <c r="R622" i="1"/>
  <c r="R623" i="1"/>
  <c r="R624" i="1"/>
  <c r="R625" i="1"/>
  <c r="R626" i="1"/>
  <c r="R627" i="1"/>
  <c r="R628" i="1"/>
  <c r="R629" i="1"/>
  <c r="R247" i="65"/>
  <c r="Q620" i="1"/>
  <c r="Q621" i="1"/>
  <c r="Q622" i="1"/>
  <c r="Q623" i="1"/>
  <c r="Q624" i="1"/>
  <c r="Q625" i="1"/>
  <c r="Q626" i="1"/>
  <c r="Q627" i="1"/>
  <c r="Q628" i="1"/>
  <c r="Q629" i="1"/>
  <c r="Q247" i="65"/>
  <c r="P620" i="1"/>
  <c r="P621" i="1"/>
  <c r="P622" i="1"/>
  <c r="P623" i="1"/>
  <c r="P624" i="1"/>
  <c r="P625" i="1"/>
  <c r="P626" i="1"/>
  <c r="P627" i="1"/>
  <c r="P628" i="1"/>
  <c r="P629" i="1"/>
  <c r="P247" i="65"/>
  <c r="S605" i="1"/>
  <c r="S606" i="1"/>
  <c r="S607" i="1"/>
  <c r="S608" i="1"/>
  <c r="S609" i="1"/>
  <c r="S610" i="1"/>
  <c r="S611" i="1"/>
  <c r="S612" i="1"/>
  <c r="S242" i="65"/>
  <c r="R605" i="1"/>
  <c r="R606" i="1"/>
  <c r="R607" i="1"/>
  <c r="R608" i="1"/>
  <c r="R609" i="1"/>
  <c r="R610" i="1"/>
  <c r="R611" i="1"/>
  <c r="R612" i="1"/>
  <c r="R242" i="65"/>
  <c r="Q610" i="1"/>
  <c r="Q605" i="1"/>
  <c r="Q606" i="1"/>
  <c r="Q607" i="1"/>
  <c r="Q608" i="1"/>
  <c r="Q609" i="1"/>
  <c r="Q611" i="1"/>
  <c r="Q612" i="1"/>
  <c r="Q242" i="65"/>
  <c r="P605" i="1"/>
  <c r="P606" i="1"/>
  <c r="P607" i="1"/>
  <c r="P608" i="1"/>
  <c r="P609" i="1"/>
  <c r="P610" i="1"/>
  <c r="P611" i="1"/>
  <c r="P612" i="1"/>
  <c r="P242" i="65"/>
  <c r="L605" i="1"/>
  <c r="L606" i="1"/>
  <c r="L607" i="1"/>
  <c r="L608" i="1"/>
  <c r="L609" i="1"/>
  <c r="L610" i="1"/>
  <c r="L611" i="1"/>
  <c r="L612" i="1"/>
  <c r="L242" i="65"/>
  <c r="W598" i="1"/>
  <c r="V598" i="1"/>
  <c r="U598" i="1"/>
  <c r="T598" i="1"/>
  <c r="P593" i="1"/>
  <c r="P594" i="1"/>
  <c r="P595" i="1"/>
  <c r="P596" i="1"/>
  <c r="P597" i="1"/>
  <c r="P598" i="1"/>
  <c r="P599" i="1"/>
  <c r="P600" i="1"/>
  <c r="P601" i="1"/>
  <c r="Q601" i="1"/>
  <c r="R601" i="1"/>
  <c r="S601" i="1"/>
  <c r="P602" i="1"/>
  <c r="Q602" i="1"/>
  <c r="R602" i="1"/>
  <c r="S602" i="1"/>
  <c r="P241" i="65"/>
  <c r="L593" i="1"/>
  <c r="L594" i="1"/>
  <c r="L595" i="1"/>
  <c r="L596" i="1"/>
  <c r="L597" i="1"/>
  <c r="L598" i="1"/>
  <c r="L599" i="1"/>
  <c r="L600" i="1"/>
  <c r="L241" i="65"/>
  <c r="H593" i="1"/>
  <c r="H594" i="1"/>
  <c r="H595" i="1"/>
  <c r="H596" i="1"/>
  <c r="H597" i="1"/>
  <c r="H598" i="1"/>
  <c r="H599" i="1"/>
  <c r="H600" i="1"/>
  <c r="H241" i="65"/>
  <c r="D593" i="1"/>
  <c r="D594" i="1"/>
  <c r="D595" i="1"/>
  <c r="D596" i="1"/>
  <c r="D597" i="1"/>
  <c r="D241" i="65"/>
  <c r="S578" i="1"/>
  <c r="S579" i="1"/>
  <c r="S580" i="1"/>
  <c r="S581" i="1"/>
  <c r="S582" i="1"/>
  <c r="S583" i="1"/>
  <c r="S584" i="1"/>
  <c r="S585" i="1"/>
  <c r="S236" i="65"/>
  <c r="R583" i="1"/>
  <c r="R578" i="1"/>
  <c r="R579" i="1"/>
  <c r="R580" i="1"/>
  <c r="R581" i="1"/>
  <c r="R582" i="1"/>
  <c r="R584" i="1"/>
  <c r="R585" i="1"/>
  <c r="R236" i="65"/>
  <c r="Q583" i="1"/>
  <c r="Q578" i="1"/>
  <c r="Q579" i="1"/>
  <c r="Q580" i="1"/>
  <c r="Q581" i="1"/>
  <c r="Q582" i="1"/>
  <c r="Q584" i="1"/>
  <c r="Q585" i="1"/>
  <c r="Q236" i="65"/>
  <c r="P578" i="1"/>
  <c r="P579" i="1"/>
  <c r="P580" i="1"/>
  <c r="P581" i="1"/>
  <c r="P582" i="1"/>
  <c r="P583" i="1"/>
  <c r="P584" i="1"/>
  <c r="P585" i="1"/>
  <c r="P236" i="65"/>
  <c r="L578" i="1"/>
  <c r="L579" i="1"/>
  <c r="L580" i="1"/>
  <c r="L581" i="1"/>
  <c r="L582" i="1"/>
  <c r="L583" i="1"/>
  <c r="L584" i="1"/>
  <c r="L585" i="1"/>
  <c r="L236" i="65"/>
  <c r="H578" i="1"/>
  <c r="H579" i="1"/>
  <c r="H580" i="1"/>
  <c r="H581" i="1"/>
  <c r="H582" i="1"/>
  <c r="H236" i="65"/>
  <c r="W571" i="1"/>
  <c r="V571" i="1"/>
  <c r="U571" i="1"/>
  <c r="T571" i="1"/>
  <c r="P566" i="1"/>
  <c r="P567" i="1"/>
  <c r="P568" i="1"/>
  <c r="P569" i="1"/>
  <c r="P570" i="1"/>
  <c r="P571" i="1"/>
  <c r="P572" i="1"/>
  <c r="P573" i="1"/>
  <c r="P574" i="1"/>
  <c r="Q574" i="1"/>
  <c r="R574" i="1"/>
  <c r="S574" i="1"/>
  <c r="P575" i="1"/>
  <c r="Q575" i="1"/>
  <c r="R575" i="1"/>
  <c r="S575" i="1"/>
  <c r="P235" i="65"/>
  <c r="L566" i="1"/>
  <c r="L567" i="1"/>
  <c r="L568" i="1"/>
  <c r="L569" i="1"/>
  <c r="L570" i="1"/>
  <c r="L571" i="1"/>
  <c r="L572" i="1"/>
  <c r="L573" i="1"/>
  <c r="L235" i="65"/>
  <c r="H566" i="1"/>
  <c r="H567" i="1"/>
  <c r="H568" i="1"/>
  <c r="H569" i="1"/>
  <c r="H570" i="1"/>
  <c r="H571" i="1"/>
  <c r="H572" i="1"/>
  <c r="H573" i="1"/>
  <c r="H235" i="65"/>
  <c r="D566" i="1"/>
  <c r="D567" i="1"/>
  <c r="D568" i="1"/>
  <c r="D569" i="1"/>
  <c r="D570" i="1"/>
  <c r="D235" i="65"/>
  <c r="P228" i="65"/>
  <c r="T228" i="65"/>
  <c r="R547" i="1"/>
  <c r="R548" i="1"/>
  <c r="R549" i="1"/>
  <c r="R550" i="1"/>
  <c r="R551" i="1"/>
  <c r="R552" i="1"/>
  <c r="R553" i="1"/>
  <c r="R554" i="1"/>
  <c r="R224" i="65"/>
  <c r="P547" i="1"/>
  <c r="P548" i="1"/>
  <c r="P549" i="1"/>
  <c r="P550" i="1"/>
  <c r="P551" i="1"/>
  <c r="P552" i="1"/>
  <c r="P553" i="1"/>
  <c r="P554" i="1"/>
  <c r="P224" i="65"/>
  <c r="N547" i="1"/>
  <c r="N548" i="1"/>
  <c r="N549" i="1"/>
  <c r="N550" i="1"/>
  <c r="N551" i="1"/>
  <c r="N552" i="1"/>
  <c r="N553" i="1"/>
  <c r="N554" i="1"/>
  <c r="N224" i="65"/>
  <c r="L547" i="1"/>
  <c r="L548" i="1"/>
  <c r="L549" i="1"/>
  <c r="L550" i="1"/>
  <c r="L551" i="1"/>
  <c r="L552" i="1"/>
  <c r="L553" i="1"/>
  <c r="L554" i="1"/>
  <c r="L224" i="65"/>
  <c r="R537" i="1"/>
  <c r="R538" i="1"/>
  <c r="R539" i="1"/>
  <c r="R540" i="1"/>
  <c r="R541" i="1"/>
  <c r="R542" i="1"/>
  <c r="R543" i="1"/>
  <c r="R544" i="1"/>
  <c r="R545" i="1"/>
  <c r="R546" i="1"/>
  <c r="R223" i="65"/>
  <c r="P537" i="1"/>
  <c r="P538" i="1"/>
  <c r="P539" i="1"/>
  <c r="P540" i="1"/>
  <c r="P541" i="1"/>
  <c r="P542" i="1"/>
  <c r="P543" i="1"/>
  <c r="P544" i="1"/>
  <c r="P545" i="1"/>
  <c r="P546" i="1"/>
  <c r="P223" i="65"/>
  <c r="N537" i="1"/>
  <c r="N538" i="1"/>
  <c r="N539" i="1"/>
  <c r="N540" i="1"/>
  <c r="N541" i="1"/>
  <c r="N542" i="1"/>
  <c r="N543" i="1"/>
  <c r="N544" i="1"/>
  <c r="N223" i="65"/>
  <c r="L537" i="1"/>
  <c r="L538" i="1"/>
  <c r="L539" i="1"/>
  <c r="L540" i="1"/>
  <c r="L541" i="1"/>
  <c r="L542" i="1"/>
  <c r="L543" i="1"/>
  <c r="L544" i="1"/>
  <c r="L223" i="65"/>
  <c r="J537" i="1"/>
  <c r="J538" i="1"/>
  <c r="J539" i="1"/>
  <c r="J540" i="1"/>
  <c r="J541" i="1"/>
  <c r="J542" i="1"/>
  <c r="J543" i="1"/>
  <c r="J544" i="1"/>
  <c r="J223" i="65"/>
  <c r="H537" i="1"/>
  <c r="H538" i="1"/>
  <c r="H539" i="1"/>
  <c r="H540" i="1"/>
  <c r="H541" i="1"/>
  <c r="H542" i="1"/>
  <c r="H543" i="1"/>
  <c r="H544" i="1"/>
  <c r="H223" i="65"/>
  <c r="F537" i="1"/>
  <c r="F538" i="1"/>
  <c r="F539" i="1"/>
  <c r="F540" i="1"/>
  <c r="F541" i="1"/>
  <c r="F223" i="65"/>
  <c r="D537" i="1"/>
  <c r="D538" i="1"/>
  <c r="D539" i="1"/>
  <c r="D540" i="1"/>
  <c r="D541" i="1"/>
  <c r="D223" i="65"/>
  <c r="P528" i="1"/>
  <c r="P529" i="1"/>
  <c r="P530" i="1"/>
  <c r="P217" i="65"/>
  <c r="L528" i="1"/>
  <c r="L529" i="1"/>
  <c r="L530" i="1"/>
  <c r="L217" i="65"/>
  <c r="P523" i="1"/>
  <c r="P524" i="1"/>
  <c r="P525" i="1"/>
  <c r="P526" i="1"/>
  <c r="P527" i="1"/>
  <c r="P216" i="65"/>
  <c r="L523" i="1"/>
  <c r="L524" i="1"/>
  <c r="L525" i="1"/>
  <c r="L526" i="1"/>
  <c r="L527" i="1"/>
  <c r="L216" i="65"/>
  <c r="H523" i="1"/>
  <c r="H524" i="1"/>
  <c r="H525" i="1"/>
  <c r="H526" i="1"/>
  <c r="H527" i="1"/>
  <c r="H216" i="65"/>
  <c r="P521" i="1"/>
  <c r="P522" i="1"/>
  <c r="P215" i="65"/>
  <c r="T520" i="1"/>
  <c r="P518" i="1"/>
  <c r="P519" i="1"/>
  <c r="P520" i="1"/>
  <c r="P214" i="65"/>
  <c r="L518" i="1"/>
  <c r="L519" i="1"/>
  <c r="L520" i="1"/>
  <c r="L214" i="65"/>
  <c r="H518" i="1"/>
  <c r="H519" i="1"/>
  <c r="H520" i="1"/>
  <c r="H214" i="65"/>
  <c r="P513" i="1"/>
  <c r="P514" i="1"/>
  <c r="P515" i="1"/>
  <c r="P516" i="1"/>
  <c r="P517" i="1"/>
  <c r="P213" i="65"/>
  <c r="L513" i="1"/>
  <c r="L514" i="1"/>
  <c r="L515" i="1"/>
  <c r="L516" i="1"/>
  <c r="L517" i="1"/>
  <c r="L213" i="65"/>
  <c r="H513" i="1"/>
  <c r="H514" i="1"/>
  <c r="H515" i="1"/>
  <c r="H516" i="1"/>
  <c r="H517" i="1"/>
  <c r="H213" i="65"/>
  <c r="D513" i="1"/>
  <c r="D514" i="1"/>
  <c r="D515" i="1"/>
  <c r="D516" i="1"/>
  <c r="D517" i="1"/>
  <c r="D213" i="65"/>
  <c r="P505" i="1"/>
  <c r="P506" i="1"/>
  <c r="P507" i="1"/>
  <c r="P208" i="65"/>
  <c r="L505" i="1"/>
  <c r="L506" i="1"/>
  <c r="L507" i="1"/>
  <c r="L208" i="65"/>
  <c r="P500" i="1"/>
  <c r="P501" i="1"/>
  <c r="P502" i="1"/>
  <c r="P503" i="1"/>
  <c r="P504" i="1"/>
  <c r="P207" i="65"/>
  <c r="L500" i="1"/>
  <c r="L501" i="1"/>
  <c r="L502" i="1"/>
  <c r="L503" i="1"/>
  <c r="L504" i="1"/>
  <c r="L207" i="65"/>
  <c r="H500" i="1"/>
  <c r="H501" i="1"/>
  <c r="H502" i="1"/>
  <c r="H503" i="1"/>
  <c r="H504" i="1"/>
  <c r="H207" i="65"/>
  <c r="P498" i="1"/>
  <c r="P499" i="1"/>
  <c r="P206" i="65"/>
  <c r="T497" i="1"/>
  <c r="P495" i="1"/>
  <c r="P496" i="1"/>
  <c r="P497" i="1"/>
  <c r="P205" i="65"/>
  <c r="L495" i="1"/>
  <c r="L496" i="1"/>
  <c r="L497" i="1"/>
  <c r="L205" i="65"/>
  <c r="H495" i="1"/>
  <c r="H496" i="1"/>
  <c r="H497" i="1"/>
  <c r="H205" i="65"/>
  <c r="P490" i="1"/>
  <c r="P491" i="1"/>
  <c r="P492" i="1"/>
  <c r="P493" i="1"/>
  <c r="P494" i="1"/>
  <c r="P204" i="65"/>
  <c r="L490" i="1"/>
  <c r="L491" i="1"/>
  <c r="L492" i="1"/>
  <c r="L493" i="1"/>
  <c r="L494" i="1"/>
  <c r="L204" i="65"/>
  <c r="H490" i="1"/>
  <c r="H491" i="1"/>
  <c r="H492" i="1"/>
  <c r="H493" i="1"/>
  <c r="H494" i="1"/>
  <c r="H204" i="65"/>
  <c r="D490" i="1"/>
  <c r="D491" i="1"/>
  <c r="D492" i="1"/>
  <c r="D493" i="1"/>
  <c r="D494" i="1"/>
  <c r="D204" i="65"/>
  <c r="P482" i="1"/>
  <c r="P483" i="1"/>
  <c r="P484" i="1"/>
  <c r="P199" i="65"/>
  <c r="L482" i="1"/>
  <c r="L483" i="1"/>
  <c r="L484" i="1"/>
  <c r="L199" i="65"/>
  <c r="P477" i="1"/>
  <c r="P478" i="1"/>
  <c r="P479" i="1"/>
  <c r="P480" i="1"/>
  <c r="P481" i="1"/>
  <c r="P198" i="65"/>
  <c r="L477" i="1"/>
  <c r="L478" i="1"/>
  <c r="L479" i="1"/>
  <c r="L480" i="1"/>
  <c r="L481" i="1"/>
  <c r="L198" i="65"/>
  <c r="H477" i="1"/>
  <c r="H478" i="1"/>
  <c r="H479" i="1"/>
  <c r="H480" i="1"/>
  <c r="H481" i="1"/>
  <c r="H198" i="65"/>
  <c r="P475" i="1"/>
  <c r="P476" i="1"/>
  <c r="P197" i="65"/>
  <c r="T474" i="1"/>
  <c r="P472" i="1"/>
  <c r="P473" i="1"/>
  <c r="P474" i="1"/>
  <c r="P196" i="65"/>
  <c r="L472" i="1"/>
  <c r="L473" i="1"/>
  <c r="L474" i="1"/>
  <c r="L196" i="65"/>
  <c r="H472" i="1"/>
  <c r="H473" i="1"/>
  <c r="H474" i="1"/>
  <c r="H196" i="65"/>
  <c r="P467" i="1"/>
  <c r="P468" i="1"/>
  <c r="P469" i="1"/>
  <c r="P470" i="1"/>
  <c r="P471" i="1"/>
  <c r="P195" i="65"/>
  <c r="L467" i="1"/>
  <c r="L468" i="1"/>
  <c r="L469" i="1"/>
  <c r="L470" i="1"/>
  <c r="L471" i="1"/>
  <c r="L195" i="65"/>
  <c r="H467" i="1"/>
  <c r="H468" i="1"/>
  <c r="H469" i="1"/>
  <c r="H470" i="1"/>
  <c r="H471" i="1"/>
  <c r="H195" i="65"/>
  <c r="D467" i="1"/>
  <c r="D468" i="1"/>
  <c r="D469" i="1"/>
  <c r="D470" i="1"/>
  <c r="D471" i="1"/>
  <c r="D195" i="65"/>
  <c r="P459" i="1"/>
  <c r="P460" i="1"/>
  <c r="P461" i="1"/>
  <c r="P190" i="65"/>
  <c r="L459" i="1"/>
  <c r="L460" i="1"/>
  <c r="L461" i="1"/>
  <c r="L190" i="65"/>
  <c r="P454" i="1"/>
  <c r="P455" i="1"/>
  <c r="P456" i="1"/>
  <c r="P457" i="1"/>
  <c r="P458" i="1"/>
  <c r="P189" i="65"/>
  <c r="L454" i="1"/>
  <c r="L455" i="1"/>
  <c r="L456" i="1"/>
  <c r="L457" i="1"/>
  <c r="L458" i="1"/>
  <c r="L189" i="65"/>
  <c r="H454" i="1"/>
  <c r="H455" i="1"/>
  <c r="H456" i="1"/>
  <c r="H457" i="1"/>
  <c r="H458" i="1"/>
  <c r="H189" i="65"/>
  <c r="P452" i="1"/>
  <c r="P453" i="1"/>
  <c r="P188" i="65"/>
  <c r="T451" i="1"/>
  <c r="P449" i="1"/>
  <c r="P450" i="1"/>
  <c r="P451" i="1"/>
  <c r="P187" i="65"/>
  <c r="L449" i="1"/>
  <c r="L450" i="1"/>
  <c r="L451" i="1"/>
  <c r="L187" i="65"/>
  <c r="H449" i="1"/>
  <c r="H450" i="1"/>
  <c r="H451" i="1"/>
  <c r="H187" i="65"/>
  <c r="P444" i="1"/>
  <c r="P445" i="1"/>
  <c r="P446" i="1"/>
  <c r="P447" i="1"/>
  <c r="P448" i="1"/>
  <c r="P186" i="65"/>
  <c r="L444" i="1"/>
  <c r="L445" i="1"/>
  <c r="L446" i="1"/>
  <c r="L447" i="1"/>
  <c r="L448" i="1"/>
  <c r="L186" i="65"/>
  <c r="H444" i="1"/>
  <c r="H445" i="1"/>
  <c r="H446" i="1"/>
  <c r="H447" i="1"/>
  <c r="H448" i="1"/>
  <c r="H186" i="65"/>
  <c r="D444" i="1"/>
  <c r="D445" i="1"/>
  <c r="D446" i="1"/>
  <c r="D447" i="1"/>
  <c r="D448" i="1"/>
  <c r="D186" i="65"/>
  <c r="P180" i="65"/>
  <c r="T180" i="65"/>
  <c r="P430" i="1"/>
  <c r="P431" i="1"/>
  <c r="P432" i="1"/>
  <c r="P175" i="65"/>
  <c r="P425" i="1"/>
  <c r="P426" i="1"/>
  <c r="P427" i="1"/>
  <c r="P428" i="1"/>
  <c r="P429" i="1"/>
  <c r="P174" i="65"/>
  <c r="P423" i="1"/>
  <c r="P424" i="1"/>
  <c r="P173" i="65"/>
  <c r="P420" i="1"/>
  <c r="P421" i="1"/>
  <c r="P422" i="1"/>
  <c r="P172" i="65"/>
  <c r="L420" i="1"/>
  <c r="L421" i="1"/>
  <c r="L422" i="1"/>
  <c r="L172" i="65"/>
  <c r="P415" i="1"/>
  <c r="P416" i="1"/>
  <c r="P417" i="1"/>
  <c r="P418" i="1"/>
  <c r="P419" i="1"/>
  <c r="P171" i="65"/>
  <c r="L415" i="1"/>
  <c r="L416" i="1"/>
  <c r="L417" i="1"/>
  <c r="L418" i="1"/>
  <c r="L419" i="1"/>
  <c r="L171" i="65"/>
  <c r="R407" i="1"/>
  <c r="R408" i="1"/>
  <c r="R409" i="1"/>
  <c r="R166" i="65"/>
  <c r="P407" i="1"/>
  <c r="P408" i="1"/>
  <c r="P409" i="1"/>
  <c r="P166" i="65"/>
  <c r="R402" i="1"/>
  <c r="R403" i="1"/>
  <c r="R404" i="1"/>
  <c r="R405" i="1"/>
  <c r="R406" i="1"/>
  <c r="R165" i="65"/>
  <c r="P402" i="1"/>
  <c r="P403" i="1"/>
  <c r="P404" i="1"/>
  <c r="P405" i="1"/>
  <c r="P406" i="1"/>
  <c r="P165" i="65"/>
  <c r="R400" i="1"/>
  <c r="R401" i="1"/>
  <c r="R164" i="65"/>
  <c r="P400" i="1"/>
  <c r="P401" i="1"/>
  <c r="P164" i="65"/>
  <c r="R397" i="1"/>
  <c r="R398" i="1"/>
  <c r="R399" i="1"/>
  <c r="R163" i="65"/>
  <c r="P397" i="1"/>
  <c r="P398" i="1"/>
  <c r="P399" i="1"/>
  <c r="P163" i="65"/>
  <c r="N397" i="1"/>
  <c r="N398" i="1"/>
  <c r="N399" i="1"/>
  <c r="N163" i="65"/>
  <c r="L397" i="1"/>
  <c r="L398" i="1"/>
  <c r="L399" i="1"/>
  <c r="L163" i="65"/>
  <c r="R392" i="1"/>
  <c r="R393" i="1"/>
  <c r="R394" i="1"/>
  <c r="R395" i="1"/>
  <c r="R396" i="1"/>
  <c r="R162" i="65"/>
  <c r="P392" i="1"/>
  <c r="P393" i="1"/>
  <c r="P394" i="1"/>
  <c r="P395" i="1"/>
  <c r="P396" i="1"/>
  <c r="P162" i="65"/>
  <c r="N392" i="1"/>
  <c r="N393" i="1"/>
  <c r="N394" i="1"/>
  <c r="N395" i="1"/>
  <c r="N396" i="1"/>
  <c r="N162" i="65"/>
  <c r="L392" i="1"/>
  <c r="L393" i="1"/>
  <c r="L394" i="1"/>
  <c r="L395" i="1"/>
  <c r="L396" i="1"/>
  <c r="L162" i="65"/>
  <c r="S378" i="1"/>
  <c r="S379" i="1"/>
  <c r="S380" i="1"/>
  <c r="S381" i="1"/>
  <c r="S382" i="1"/>
  <c r="S383" i="1"/>
  <c r="S384" i="1"/>
  <c r="S385" i="1"/>
  <c r="S157" i="65"/>
  <c r="R378" i="1"/>
  <c r="R379" i="1"/>
  <c r="R380" i="1"/>
  <c r="R381" i="1"/>
  <c r="R382" i="1"/>
  <c r="R383" i="1"/>
  <c r="R384" i="1"/>
  <c r="R385" i="1"/>
  <c r="R157" i="65"/>
  <c r="Q378" i="1"/>
  <c r="Q379" i="1"/>
  <c r="Q380" i="1"/>
  <c r="Q381" i="1"/>
  <c r="Q382" i="1"/>
  <c r="Q383" i="1"/>
  <c r="Q384" i="1"/>
  <c r="Q385" i="1"/>
  <c r="Q157" i="65"/>
  <c r="P378" i="1"/>
  <c r="P379" i="1"/>
  <c r="P380" i="1"/>
  <c r="P381" i="1"/>
  <c r="P382" i="1"/>
  <c r="P383" i="1"/>
  <c r="P384" i="1"/>
  <c r="P385" i="1"/>
  <c r="P157" i="65"/>
  <c r="O378" i="1"/>
  <c r="O379" i="1"/>
  <c r="O380" i="1"/>
  <c r="O381" i="1"/>
  <c r="O382" i="1"/>
  <c r="O383" i="1"/>
  <c r="O384" i="1"/>
  <c r="O385" i="1"/>
  <c r="O157" i="65"/>
  <c r="N378" i="1"/>
  <c r="N379" i="1"/>
  <c r="N380" i="1"/>
  <c r="N381" i="1"/>
  <c r="N382" i="1"/>
  <c r="N383" i="1"/>
  <c r="N384" i="1"/>
  <c r="N385" i="1"/>
  <c r="N157" i="65"/>
  <c r="M378" i="1"/>
  <c r="M379" i="1"/>
  <c r="M380" i="1"/>
  <c r="M381" i="1"/>
  <c r="M382" i="1"/>
  <c r="M383" i="1"/>
  <c r="M384" i="1"/>
  <c r="M385" i="1"/>
  <c r="M157" i="65"/>
  <c r="L378" i="1"/>
  <c r="L379" i="1"/>
  <c r="L380" i="1"/>
  <c r="L381" i="1"/>
  <c r="L382" i="1"/>
  <c r="L383" i="1"/>
  <c r="L384" i="1"/>
  <c r="L385" i="1"/>
  <c r="L157" i="65"/>
  <c r="U375" i="1"/>
  <c r="T375" i="1"/>
  <c r="S368" i="1"/>
  <c r="S369" i="1"/>
  <c r="S370" i="1"/>
  <c r="S371" i="1"/>
  <c r="S372" i="1"/>
  <c r="S373" i="1"/>
  <c r="S374" i="1"/>
  <c r="S375" i="1"/>
  <c r="S376" i="1"/>
  <c r="S377" i="1"/>
  <c r="S156" i="65"/>
  <c r="R368" i="1"/>
  <c r="R369" i="1"/>
  <c r="R370" i="1"/>
  <c r="R371" i="1"/>
  <c r="R372" i="1"/>
  <c r="R373" i="1"/>
  <c r="R374" i="1"/>
  <c r="R375" i="1"/>
  <c r="R376" i="1"/>
  <c r="R377" i="1"/>
  <c r="R156" i="65"/>
  <c r="Q368" i="1"/>
  <c r="Q369" i="1"/>
  <c r="Q370" i="1"/>
  <c r="Q371" i="1"/>
  <c r="Q372" i="1"/>
  <c r="Q373" i="1"/>
  <c r="Q374" i="1"/>
  <c r="Q375" i="1"/>
  <c r="Q376" i="1"/>
  <c r="Q377" i="1"/>
  <c r="Q156" i="65"/>
  <c r="P368" i="1"/>
  <c r="P369" i="1"/>
  <c r="P370" i="1"/>
  <c r="P371" i="1"/>
  <c r="P372" i="1"/>
  <c r="P373" i="1"/>
  <c r="P374" i="1"/>
  <c r="P375" i="1"/>
  <c r="P376" i="1"/>
  <c r="P377" i="1"/>
  <c r="P156" i="65"/>
  <c r="O368" i="1"/>
  <c r="O369" i="1"/>
  <c r="O370" i="1"/>
  <c r="O371" i="1"/>
  <c r="O372" i="1"/>
  <c r="O373" i="1"/>
  <c r="O374" i="1"/>
  <c r="O375" i="1"/>
  <c r="O156" i="65"/>
  <c r="N368" i="1"/>
  <c r="N369" i="1"/>
  <c r="N370" i="1"/>
  <c r="N371" i="1"/>
  <c r="N372" i="1"/>
  <c r="N373" i="1"/>
  <c r="N374" i="1"/>
  <c r="N375" i="1"/>
  <c r="N156" i="65"/>
  <c r="M368" i="1"/>
  <c r="M369" i="1"/>
  <c r="M370" i="1"/>
  <c r="M371" i="1"/>
  <c r="M372" i="1"/>
  <c r="M373" i="1"/>
  <c r="M374" i="1"/>
  <c r="M375" i="1"/>
  <c r="M156" i="65"/>
  <c r="L368" i="1"/>
  <c r="L369" i="1"/>
  <c r="L370" i="1"/>
  <c r="L371" i="1"/>
  <c r="L372" i="1"/>
  <c r="L373" i="1"/>
  <c r="L374" i="1"/>
  <c r="L375" i="1"/>
  <c r="L156" i="65"/>
  <c r="K368" i="1"/>
  <c r="K369" i="1"/>
  <c r="K370" i="1"/>
  <c r="K371" i="1"/>
  <c r="K372" i="1"/>
  <c r="K373" i="1"/>
  <c r="K374" i="1"/>
  <c r="K375" i="1"/>
  <c r="K156" i="65"/>
  <c r="J368" i="1"/>
  <c r="J369" i="1"/>
  <c r="J370" i="1"/>
  <c r="J371" i="1"/>
  <c r="J372" i="1"/>
  <c r="J373" i="1"/>
  <c r="J374" i="1"/>
  <c r="J375" i="1"/>
  <c r="J156" i="65"/>
  <c r="I368" i="1"/>
  <c r="I369" i="1"/>
  <c r="I370" i="1"/>
  <c r="I371" i="1"/>
  <c r="I372" i="1"/>
  <c r="I373" i="1"/>
  <c r="I374" i="1"/>
  <c r="I375" i="1"/>
  <c r="I156" i="65"/>
  <c r="H368" i="1"/>
  <c r="H369" i="1"/>
  <c r="H370" i="1"/>
  <c r="H371" i="1"/>
  <c r="H372" i="1"/>
  <c r="H373" i="1"/>
  <c r="H374" i="1"/>
  <c r="H375" i="1"/>
  <c r="H156" i="65"/>
  <c r="G368" i="1"/>
  <c r="G369" i="1"/>
  <c r="G370" i="1"/>
  <c r="G371" i="1"/>
  <c r="G372" i="1"/>
  <c r="G156" i="65"/>
  <c r="F368" i="1"/>
  <c r="F369" i="1"/>
  <c r="F370" i="1"/>
  <c r="F371" i="1"/>
  <c r="F372" i="1"/>
  <c r="F156" i="65"/>
  <c r="E368" i="1"/>
  <c r="E369" i="1"/>
  <c r="E370" i="1"/>
  <c r="E371" i="1"/>
  <c r="E372" i="1"/>
  <c r="E156" i="65"/>
  <c r="D368" i="1"/>
  <c r="D369" i="1"/>
  <c r="D370" i="1"/>
  <c r="D371" i="1"/>
  <c r="D372" i="1"/>
  <c r="D156" i="65"/>
  <c r="S354" i="1"/>
  <c r="S355" i="1"/>
  <c r="S356" i="1"/>
  <c r="S357" i="1"/>
  <c r="S358" i="1"/>
  <c r="S359" i="1"/>
  <c r="S360" i="1"/>
  <c r="S361" i="1"/>
  <c r="S151" i="65"/>
  <c r="R354" i="1"/>
  <c r="R355" i="1"/>
  <c r="R356" i="1"/>
  <c r="R357" i="1"/>
  <c r="R358" i="1"/>
  <c r="R359" i="1"/>
  <c r="R360" i="1"/>
  <c r="R361" i="1"/>
  <c r="R151" i="65"/>
  <c r="Q354" i="1"/>
  <c r="Q355" i="1"/>
  <c r="Q356" i="1"/>
  <c r="Q357" i="1"/>
  <c r="Q358" i="1"/>
  <c r="Q359" i="1"/>
  <c r="Q360" i="1"/>
  <c r="Q361" i="1"/>
  <c r="Q151" i="65"/>
  <c r="P354" i="1"/>
  <c r="P355" i="1"/>
  <c r="P356" i="1"/>
  <c r="P357" i="1"/>
  <c r="P358" i="1"/>
  <c r="P359" i="1"/>
  <c r="P360" i="1"/>
  <c r="P361" i="1"/>
  <c r="P151" i="65"/>
  <c r="O354" i="1"/>
  <c r="O355" i="1"/>
  <c r="O356" i="1"/>
  <c r="O357" i="1"/>
  <c r="O358" i="1"/>
  <c r="O359" i="1"/>
  <c r="O360" i="1"/>
  <c r="O361" i="1"/>
  <c r="O151" i="65"/>
  <c r="N354" i="1"/>
  <c r="N355" i="1"/>
  <c r="N356" i="1"/>
  <c r="N357" i="1"/>
  <c r="N358" i="1"/>
  <c r="N359" i="1"/>
  <c r="N360" i="1"/>
  <c r="N361" i="1"/>
  <c r="N151" i="65"/>
  <c r="M354" i="1"/>
  <c r="M355" i="1"/>
  <c r="M356" i="1"/>
  <c r="M357" i="1"/>
  <c r="M358" i="1"/>
  <c r="M359" i="1"/>
  <c r="M360" i="1"/>
  <c r="M361" i="1"/>
  <c r="M151" i="65"/>
  <c r="L354" i="1"/>
  <c r="L355" i="1"/>
  <c r="L356" i="1"/>
  <c r="L357" i="1"/>
  <c r="L358" i="1"/>
  <c r="L359" i="1"/>
  <c r="L360" i="1"/>
  <c r="L361" i="1"/>
  <c r="L151" i="65"/>
  <c r="K354" i="1"/>
  <c r="K355" i="1"/>
  <c r="K356" i="1"/>
  <c r="K357" i="1"/>
  <c r="K358" i="1"/>
  <c r="K151" i="65"/>
  <c r="J354" i="1"/>
  <c r="J355" i="1"/>
  <c r="J356" i="1"/>
  <c r="J357" i="1"/>
  <c r="J358" i="1"/>
  <c r="J151" i="65"/>
  <c r="I354" i="1"/>
  <c r="I355" i="1"/>
  <c r="I356" i="1"/>
  <c r="I357" i="1"/>
  <c r="I358" i="1"/>
  <c r="I151" i="65"/>
  <c r="H354" i="1"/>
  <c r="H355" i="1"/>
  <c r="H356" i="1"/>
  <c r="H357" i="1"/>
  <c r="H358" i="1"/>
  <c r="H151" i="65"/>
  <c r="U351" i="1"/>
  <c r="T351" i="1"/>
  <c r="S344" i="1"/>
  <c r="S345" i="1"/>
  <c r="S346" i="1"/>
  <c r="S347" i="1"/>
  <c r="S348" i="1"/>
  <c r="S349" i="1"/>
  <c r="S350" i="1"/>
  <c r="S351" i="1"/>
  <c r="S352" i="1"/>
  <c r="S353" i="1"/>
  <c r="S150" i="65"/>
  <c r="R344" i="1"/>
  <c r="R345" i="1"/>
  <c r="R346" i="1"/>
  <c r="R347" i="1"/>
  <c r="R348" i="1"/>
  <c r="R349" i="1"/>
  <c r="R350" i="1"/>
  <c r="R351" i="1"/>
  <c r="R352" i="1"/>
  <c r="R353" i="1"/>
  <c r="R150" i="65"/>
  <c r="Q344" i="1"/>
  <c r="Q345" i="1"/>
  <c r="Q346" i="1"/>
  <c r="Q347" i="1"/>
  <c r="Q348" i="1"/>
  <c r="Q349" i="1"/>
  <c r="Q350" i="1"/>
  <c r="Q351" i="1"/>
  <c r="Q352" i="1"/>
  <c r="Q353" i="1"/>
  <c r="Q150" i="65"/>
  <c r="P344" i="1"/>
  <c r="P345" i="1"/>
  <c r="P346" i="1"/>
  <c r="P347" i="1"/>
  <c r="P348" i="1"/>
  <c r="P349" i="1"/>
  <c r="P350" i="1"/>
  <c r="P351" i="1"/>
  <c r="P352" i="1"/>
  <c r="P353" i="1"/>
  <c r="P150" i="65"/>
  <c r="O344" i="1"/>
  <c r="O345" i="1"/>
  <c r="O346" i="1"/>
  <c r="O347" i="1"/>
  <c r="O348" i="1"/>
  <c r="O349" i="1"/>
  <c r="O350" i="1"/>
  <c r="O351" i="1"/>
  <c r="O150" i="65"/>
  <c r="N344" i="1"/>
  <c r="N345" i="1"/>
  <c r="N346" i="1"/>
  <c r="N347" i="1"/>
  <c r="N348" i="1"/>
  <c r="N349" i="1"/>
  <c r="N350" i="1"/>
  <c r="N351" i="1"/>
  <c r="N150" i="65"/>
  <c r="M344" i="1"/>
  <c r="M345" i="1"/>
  <c r="M346" i="1"/>
  <c r="M347" i="1"/>
  <c r="M348" i="1"/>
  <c r="M349" i="1"/>
  <c r="M350" i="1"/>
  <c r="M351" i="1"/>
  <c r="M150" i="65"/>
  <c r="L344" i="1"/>
  <c r="L345" i="1"/>
  <c r="L346" i="1"/>
  <c r="L347" i="1"/>
  <c r="L348" i="1"/>
  <c r="L349" i="1"/>
  <c r="L350" i="1"/>
  <c r="L351" i="1"/>
  <c r="L150" i="65"/>
  <c r="K344" i="1"/>
  <c r="K345" i="1"/>
  <c r="K346" i="1"/>
  <c r="K347" i="1"/>
  <c r="K348" i="1"/>
  <c r="K349" i="1"/>
  <c r="K350" i="1"/>
  <c r="K351" i="1"/>
  <c r="K150" i="65"/>
  <c r="J344" i="1"/>
  <c r="J345" i="1"/>
  <c r="J346" i="1"/>
  <c r="J347" i="1"/>
  <c r="J348" i="1"/>
  <c r="J349" i="1"/>
  <c r="J350" i="1"/>
  <c r="J351" i="1"/>
  <c r="J150" i="65"/>
  <c r="I344" i="1"/>
  <c r="I345" i="1"/>
  <c r="I346" i="1"/>
  <c r="I347" i="1"/>
  <c r="I348" i="1"/>
  <c r="I349" i="1"/>
  <c r="I350" i="1"/>
  <c r="I351" i="1"/>
  <c r="I150" i="65"/>
  <c r="H344" i="1"/>
  <c r="H345" i="1"/>
  <c r="H346" i="1"/>
  <c r="H347" i="1"/>
  <c r="H348" i="1"/>
  <c r="H349" i="1"/>
  <c r="H350" i="1"/>
  <c r="H351" i="1"/>
  <c r="H150" i="65"/>
  <c r="G344" i="1"/>
  <c r="G345" i="1"/>
  <c r="G346" i="1"/>
  <c r="G347" i="1"/>
  <c r="G348" i="1"/>
  <c r="G150" i="65"/>
  <c r="F344" i="1"/>
  <c r="F345" i="1"/>
  <c r="F346" i="1"/>
  <c r="F347" i="1"/>
  <c r="F348" i="1"/>
  <c r="F150" i="65"/>
  <c r="E344" i="1"/>
  <c r="E345" i="1"/>
  <c r="E346" i="1"/>
  <c r="E347" i="1"/>
  <c r="E348" i="1"/>
  <c r="E150" i="65"/>
  <c r="D344" i="1"/>
  <c r="D345" i="1"/>
  <c r="D346" i="1"/>
  <c r="D347" i="1"/>
  <c r="D348" i="1"/>
  <c r="D150" i="65"/>
  <c r="P143" i="65"/>
  <c r="T143" i="65"/>
  <c r="P324" i="1"/>
  <c r="P325" i="1"/>
  <c r="P326" i="1"/>
  <c r="P327" i="1"/>
  <c r="P328" i="1"/>
  <c r="P329" i="1"/>
  <c r="P330" i="1"/>
  <c r="P331" i="1"/>
  <c r="P139" i="65"/>
  <c r="L324" i="1"/>
  <c r="L325" i="1"/>
  <c r="L326" i="1"/>
  <c r="L327" i="1"/>
  <c r="L328" i="1"/>
  <c r="L329" i="1"/>
  <c r="L330" i="1"/>
  <c r="L331" i="1"/>
  <c r="L139" i="65"/>
  <c r="P314" i="1"/>
  <c r="P315" i="1"/>
  <c r="P316" i="1"/>
  <c r="P317" i="1"/>
  <c r="P318" i="1"/>
  <c r="P319" i="1"/>
  <c r="P320" i="1"/>
  <c r="P321" i="1"/>
  <c r="P322" i="1"/>
  <c r="P323" i="1"/>
  <c r="P138" i="65"/>
  <c r="L314" i="1"/>
  <c r="L315" i="1"/>
  <c r="L316" i="1"/>
  <c r="L317" i="1"/>
  <c r="L318" i="1"/>
  <c r="L319" i="1"/>
  <c r="L320" i="1"/>
  <c r="L321" i="1"/>
  <c r="L138" i="65"/>
  <c r="H314" i="1"/>
  <c r="H315" i="1"/>
  <c r="H316" i="1"/>
  <c r="H317" i="1"/>
  <c r="H318" i="1"/>
  <c r="H319" i="1"/>
  <c r="H320" i="1"/>
  <c r="H321" i="1"/>
  <c r="H138" i="65"/>
  <c r="D314" i="1"/>
  <c r="D315" i="1"/>
  <c r="D316" i="1"/>
  <c r="D317" i="1"/>
  <c r="D318" i="1"/>
  <c r="D138" i="65"/>
  <c r="P306" i="1"/>
  <c r="P307" i="1"/>
  <c r="P308" i="1"/>
  <c r="P133" i="65"/>
  <c r="L306" i="1"/>
  <c r="L307" i="1"/>
  <c r="L308" i="1"/>
  <c r="L133" i="65"/>
  <c r="P301" i="1"/>
  <c r="P302" i="1"/>
  <c r="P303" i="1"/>
  <c r="P304" i="1"/>
  <c r="P305" i="1"/>
  <c r="P132" i="65"/>
  <c r="L301" i="1"/>
  <c r="L302" i="1"/>
  <c r="L303" i="1"/>
  <c r="L304" i="1"/>
  <c r="L305" i="1"/>
  <c r="L132" i="65"/>
  <c r="H301" i="1"/>
  <c r="H302" i="1"/>
  <c r="H303" i="1"/>
  <c r="H304" i="1"/>
  <c r="H305" i="1"/>
  <c r="H132" i="65"/>
  <c r="P299" i="1"/>
  <c r="P300" i="1"/>
  <c r="P131" i="65"/>
  <c r="P296" i="1"/>
  <c r="P297" i="1"/>
  <c r="P298" i="1"/>
  <c r="P130" i="65"/>
  <c r="L296" i="1"/>
  <c r="L297" i="1"/>
  <c r="L298" i="1"/>
  <c r="L130" i="65"/>
  <c r="H296" i="1"/>
  <c r="H297" i="1"/>
  <c r="H298" i="1"/>
  <c r="H130" i="65"/>
  <c r="P291" i="1"/>
  <c r="P292" i="1"/>
  <c r="P293" i="1"/>
  <c r="P294" i="1"/>
  <c r="P295" i="1"/>
  <c r="P129" i="65"/>
  <c r="L291" i="1"/>
  <c r="L292" i="1"/>
  <c r="L293" i="1"/>
  <c r="L294" i="1"/>
  <c r="L295" i="1"/>
  <c r="L129" i="65"/>
  <c r="H291" i="1"/>
  <c r="H292" i="1"/>
  <c r="H293" i="1"/>
  <c r="H294" i="1"/>
  <c r="H295" i="1"/>
  <c r="H129" i="65"/>
  <c r="D291" i="1"/>
  <c r="D292" i="1"/>
  <c r="D293" i="1"/>
  <c r="D294" i="1"/>
  <c r="D295" i="1"/>
  <c r="D129" i="65"/>
  <c r="P283" i="1"/>
  <c r="P284" i="1"/>
  <c r="P285" i="1"/>
  <c r="P124" i="65"/>
  <c r="L283" i="1"/>
  <c r="L284" i="1"/>
  <c r="L285" i="1"/>
  <c r="L124" i="65"/>
  <c r="P278" i="1"/>
  <c r="P279" i="1"/>
  <c r="P280" i="1"/>
  <c r="P281" i="1"/>
  <c r="P282" i="1"/>
  <c r="P123" i="65"/>
  <c r="L278" i="1"/>
  <c r="L279" i="1"/>
  <c r="L280" i="1"/>
  <c r="L281" i="1"/>
  <c r="L282" i="1"/>
  <c r="L123" i="65"/>
  <c r="H278" i="1"/>
  <c r="H279" i="1"/>
  <c r="H280" i="1"/>
  <c r="H281" i="1"/>
  <c r="H282" i="1"/>
  <c r="H123" i="65"/>
  <c r="P276" i="1"/>
  <c r="P277" i="1"/>
  <c r="P122" i="65"/>
  <c r="P273" i="1"/>
  <c r="P274" i="1"/>
  <c r="P275" i="1"/>
  <c r="P121" i="65"/>
  <c r="L273" i="1"/>
  <c r="L274" i="1"/>
  <c r="L275" i="1"/>
  <c r="L121" i="65"/>
  <c r="H273" i="1"/>
  <c r="H274" i="1"/>
  <c r="H275" i="1"/>
  <c r="H121" i="65"/>
  <c r="P268" i="1"/>
  <c r="P269" i="1"/>
  <c r="P270" i="1"/>
  <c r="P271" i="1"/>
  <c r="P272" i="1"/>
  <c r="P120" i="65"/>
  <c r="L268" i="1"/>
  <c r="L269" i="1"/>
  <c r="L270" i="1"/>
  <c r="L271" i="1"/>
  <c r="L272" i="1"/>
  <c r="L120" i="65"/>
  <c r="H268" i="1"/>
  <c r="H269" i="1"/>
  <c r="H270" i="1"/>
  <c r="H271" i="1"/>
  <c r="H272" i="1"/>
  <c r="H120" i="65"/>
  <c r="D268" i="1"/>
  <c r="D269" i="1"/>
  <c r="D270" i="1"/>
  <c r="D271" i="1"/>
  <c r="D272" i="1"/>
  <c r="D120" i="65"/>
  <c r="P114" i="65"/>
  <c r="T114" i="65"/>
  <c r="P249" i="1"/>
  <c r="P250" i="1"/>
  <c r="P251" i="1"/>
  <c r="P252" i="1"/>
  <c r="P253" i="1"/>
  <c r="P254" i="1"/>
  <c r="P255" i="1"/>
  <c r="P256" i="1"/>
  <c r="P110" i="65"/>
  <c r="L249" i="1"/>
  <c r="L250" i="1"/>
  <c r="L251" i="1"/>
  <c r="L252" i="1"/>
  <c r="L253" i="1"/>
  <c r="L254" i="1"/>
  <c r="L255" i="1"/>
  <c r="L256" i="1"/>
  <c r="L110" i="65"/>
  <c r="P239" i="1"/>
  <c r="P240" i="1"/>
  <c r="P241" i="1"/>
  <c r="P242" i="1"/>
  <c r="P243" i="1"/>
  <c r="P244" i="1"/>
  <c r="P245" i="1"/>
  <c r="P246" i="1"/>
  <c r="P247" i="1"/>
  <c r="P248" i="1"/>
  <c r="P109" i="65"/>
  <c r="L239" i="1"/>
  <c r="L240" i="1"/>
  <c r="L241" i="1"/>
  <c r="L242" i="1"/>
  <c r="L243" i="1"/>
  <c r="L244" i="1"/>
  <c r="L245" i="1"/>
  <c r="L246" i="1"/>
  <c r="L109" i="65"/>
  <c r="H239" i="1"/>
  <c r="H240" i="1"/>
  <c r="H241" i="1"/>
  <c r="H242" i="1"/>
  <c r="H243" i="1"/>
  <c r="H244" i="1"/>
  <c r="H245" i="1"/>
  <c r="H246" i="1"/>
  <c r="H109" i="65"/>
  <c r="D239" i="1"/>
  <c r="D240" i="1"/>
  <c r="D241" i="1"/>
  <c r="D242" i="1"/>
  <c r="D243" i="1"/>
  <c r="D109" i="65"/>
  <c r="P231" i="1"/>
  <c r="P232" i="1"/>
  <c r="P233" i="1"/>
  <c r="P104" i="65"/>
  <c r="L231" i="1"/>
  <c r="L232" i="1"/>
  <c r="L233" i="1"/>
  <c r="L104" i="65"/>
  <c r="P226" i="1"/>
  <c r="P227" i="1"/>
  <c r="P228" i="1"/>
  <c r="P229" i="1"/>
  <c r="P230" i="1"/>
  <c r="P103" i="65"/>
  <c r="L226" i="1"/>
  <c r="L227" i="1"/>
  <c r="L228" i="1"/>
  <c r="L229" i="1"/>
  <c r="L230" i="1"/>
  <c r="L103" i="65"/>
  <c r="H226" i="1"/>
  <c r="H227" i="1"/>
  <c r="H228" i="1"/>
  <c r="H229" i="1"/>
  <c r="H230" i="1"/>
  <c r="H103" i="65"/>
  <c r="P224" i="1"/>
  <c r="P225" i="1"/>
  <c r="P102" i="65"/>
  <c r="P221" i="1"/>
  <c r="P222" i="1"/>
  <c r="P223" i="1"/>
  <c r="P101" i="65"/>
  <c r="L221" i="1"/>
  <c r="L222" i="1"/>
  <c r="L223" i="1"/>
  <c r="L101" i="65"/>
  <c r="H221" i="1"/>
  <c r="H222" i="1"/>
  <c r="H223" i="1"/>
  <c r="H101" i="65"/>
  <c r="P216" i="1"/>
  <c r="P217" i="1"/>
  <c r="P218" i="1"/>
  <c r="P219" i="1"/>
  <c r="P220" i="1"/>
  <c r="P100" i="65"/>
  <c r="L216" i="1"/>
  <c r="L217" i="1"/>
  <c r="L218" i="1"/>
  <c r="L219" i="1"/>
  <c r="L220" i="1"/>
  <c r="L100" i="65"/>
  <c r="H216" i="1"/>
  <c r="H217" i="1"/>
  <c r="H218" i="1"/>
  <c r="H219" i="1"/>
  <c r="H220" i="1"/>
  <c r="H100" i="65"/>
  <c r="D216" i="1"/>
  <c r="D217" i="1"/>
  <c r="D218" i="1"/>
  <c r="D219" i="1"/>
  <c r="D220" i="1"/>
  <c r="D100" i="65"/>
  <c r="P208" i="1"/>
  <c r="P209" i="1"/>
  <c r="P210" i="1"/>
  <c r="P95" i="65"/>
  <c r="L208" i="1"/>
  <c r="L209" i="1"/>
  <c r="L210" i="1"/>
  <c r="L95" i="65"/>
  <c r="P203" i="1"/>
  <c r="P204" i="1"/>
  <c r="P205" i="1"/>
  <c r="P206" i="1"/>
  <c r="P207" i="1"/>
  <c r="P94" i="65"/>
  <c r="L203" i="1"/>
  <c r="L204" i="1"/>
  <c r="L205" i="1"/>
  <c r="L206" i="1"/>
  <c r="L207" i="1"/>
  <c r="L94" i="65"/>
  <c r="H203" i="1"/>
  <c r="H204" i="1"/>
  <c r="H205" i="1"/>
  <c r="H206" i="1"/>
  <c r="H207" i="1"/>
  <c r="H94" i="65"/>
  <c r="P198" i="1"/>
  <c r="P199" i="1"/>
  <c r="P200" i="1"/>
  <c r="P92" i="65"/>
  <c r="L198" i="1"/>
  <c r="L199" i="1"/>
  <c r="L200" i="1"/>
  <c r="L92" i="65"/>
  <c r="H198" i="1"/>
  <c r="H199" i="1"/>
  <c r="H200" i="1"/>
  <c r="H92" i="65"/>
  <c r="P193" i="1"/>
  <c r="P194" i="1"/>
  <c r="P195" i="1"/>
  <c r="P196" i="1"/>
  <c r="P197" i="1"/>
  <c r="P91" i="65"/>
  <c r="L193" i="1"/>
  <c r="L194" i="1"/>
  <c r="L195" i="1"/>
  <c r="L196" i="1"/>
  <c r="L197" i="1"/>
  <c r="L91" i="65"/>
  <c r="H193" i="1"/>
  <c r="H194" i="1"/>
  <c r="H195" i="1"/>
  <c r="H196" i="1"/>
  <c r="H197" i="1"/>
  <c r="H91" i="65"/>
  <c r="D193" i="1"/>
  <c r="D194" i="1"/>
  <c r="D195" i="1"/>
  <c r="D196" i="1"/>
  <c r="D197" i="1"/>
  <c r="D91" i="65"/>
  <c r="B87" i="65"/>
  <c r="B85" i="65"/>
  <c r="P85" i="65"/>
  <c r="T85" i="65"/>
  <c r="N85" i="65"/>
  <c r="L85" i="65"/>
  <c r="J85" i="65"/>
  <c r="H85" i="65"/>
  <c r="F85" i="65"/>
  <c r="D85" i="65"/>
  <c r="S174" i="1"/>
  <c r="S175" i="1"/>
  <c r="S176" i="1"/>
  <c r="S177" i="1"/>
  <c r="S178" i="1"/>
  <c r="S179" i="1"/>
  <c r="S180" i="1"/>
  <c r="S181" i="1"/>
  <c r="S81" i="65"/>
  <c r="R174" i="1"/>
  <c r="R175" i="1"/>
  <c r="R176" i="1"/>
  <c r="R177" i="1"/>
  <c r="R178" i="1"/>
  <c r="R179" i="1"/>
  <c r="R180" i="1"/>
  <c r="R181" i="1"/>
  <c r="R81" i="65"/>
  <c r="Q174" i="1"/>
  <c r="Q175" i="1"/>
  <c r="Q176" i="1"/>
  <c r="Q177" i="1"/>
  <c r="Q178" i="1"/>
  <c r="Q179" i="1"/>
  <c r="Q180" i="1"/>
  <c r="Q181" i="1"/>
  <c r="Q81" i="65"/>
  <c r="P174" i="1"/>
  <c r="P175" i="1"/>
  <c r="P176" i="1"/>
  <c r="P177" i="1"/>
  <c r="P178" i="1"/>
  <c r="P179" i="1"/>
  <c r="P180" i="1"/>
  <c r="P181" i="1"/>
  <c r="P81" i="65"/>
  <c r="O174" i="1"/>
  <c r="O175" i="1"/>
  <c r="O176" i="1"/>
  <c r="O177" i="1"/>
  <c r="O178" i="1"/>
  <c r="O179" i="1"/>
  <c r="O180" i="1"/>
  <c r="O181" i="1"/>
  <c r="O81" i="65"/>
  <c r="N174" i="1"/>
  <c r="N175" i="1"/>
  <c r="N176" i="1"/>
  <c r="N177" i="1"/>
  <c r="N178" i="1"/>
  <c r="N179" i="1"/>
  <c r="N180" i="1"/>
  <c r="N181" i="1"/>
  <c r="N81" i="65"/>
  <c r="M174" i="1"/>
  <c r="M175" i="1"/>
  <c r="M176" i="1"/>
  <c r="M177" i="1"/>
  <c r="M178" i="1"/>
  <c r="M179" i="1"/>
  <c r="M180" i="1"/>
  <c r="M181" i="1"/>
  <c r="M81" i="65"/>
  <c r="L174" i="1"/>
  <c r="L175" i="1"/>
  <c r="L176" i="1"/>
  <c r="L177" i="1"/>
  <c r="L178" i="1"/>
  <c r="L179" i="1"/>
  <c r="L180" i="1"/>
  <c r="L181" i="1"/>
  <c r="L81" i="65"/>
  <c r="K174" i="1"/>
  <c r="K175" i="1"/>
  <c r="K176" i="1"/>
  <c r="K177" i="1"/>
  <c r="K178" i="1"/>
  <c r="K81" i="65"/>
  <c r="J174" i="1"/>
  <c r="J175" i="1"/>
  <c r="J176" i="1"/>
  <c r="J177" i="1"/>
  <c r="J178" i="1"/>
  <c r="J81" i="65"/>
  <c r="I174" i="1"/>
  <c r="I175" i="1"/>
  <c r="I176" i="1"/>
  <c r="I177" i="1"/>
  <c r="I178" i="1"/>
  <c r="I81" i="65"/>
  <c r="H174" i="1"/>
  <c r="H175" i="1"/>
  <c r="H176" i="1"/>
  <c r="H177" i="1"/>
  <c r="H178" i="1"/>
  <c r="H81" i="65"/>
  <c r="S164" i="1"/>
  <c r="S165" i="1"/>
  <c r="S166" i="1"/>
  <c r="S167" i="1"/>
  <c r="S168" i="1"/>
  <c r="S169" i="1"/>
  <c r="S170" i="1"/>
  <c r="S171" i="1"/>
  <c r="S172" i="1"/>
  <c r="S173" i="1"/>
  <c r="S80" i="65"/>
  <c r="R164" i="1"/>
  <c r="R165" i="1"/>
  <c r="R166" i="1"/>
  <c r="R167" i="1"/>
  <c r="R168" i="1"/>
  <c r="R169" i="1"/>
  <c r="R170" i="1"/>
  <c r="R171" i="1"/>
  <c r="R172" i="1"/>
  <c r="R173" i="1"/>
  <c r="R80" i="65"/>
  <c r="Q164" i="1"/>
  <c r="Q165" i="1"/>
  <c r="Q166" i="1"/>
  <c r="Q167" i="1"/>
  <c r="Q168" i="1"/>
  <c r="Q169" i="1"/>
  <c r="Q170" i="1"/>
  <c r="Q171" i="1"/>
  <c r="Q172" i="1"/>
  <c r="Q173" i="1"/>
  <c r="Q80" i="65"/>
  <c r="P164" i="1"/>
  <c r="P165" i="1"/>
  <c r="P166" i="1"/>
  <c r="P167" i="1"/>
  <c r="P168" i="1"/>
  <c r="P169" i="1"/>
  <c r="P170" i="1"/>
  <c r="P171" i="1"/>
  <c r="P172" i="1"/>
  <c r="P173" i="1"/>
  <c r="P80" i="65"/>
  <c r="O164" i="1"/>
  <c r="O165" i="1"/>
  <c r="O166" i="1"/>
  <c r="O167" i="1"/>
  <c r="O168" i="1"/>
  <c r="O169" i="1"/>
  <c r="O170" i="1"/>
  <c r="O171" i="1"/>
  <c r="O80" i="65"/>
  <c r="N164" i="1"/>
  <c r="N165" i="1"/>
  <c r="N166" i="1"/>
  <c r="N167" i="1"/>
  <c r="N168" i="1"/>
  <c r="N169" i="1"/>
  <c r="N170" i="1"/>
  <c r="N171" i="1"/>
  <c r="N80" i="65"/>
  <c r="M164" i="1"/>
  <c r="M165" i="1"/>
  <c r="M166" i="1"/>
  <c r="M167" i="1"/>
  <c r="M168" i="1"/>
  <c r="M169" i="1"/>
  <c r="M170" i="1"/>
  <c r="M171" i="1"/>
  <c r="M80" i="65"/>
  <c r="L164" i="1"/>
  <c r="L165" i="1"/>
  <c r="L166" i="1"/>
  <c r="L167" i="1"/>
  <c r="L168" i="1"/>
  <c r="L169" i="1"/>
  <c r="L170" i="1"/>
  <c r="L171" i="1"/>
  <c r="L80" i="65"/>
  <c r="K164" i="1"/>
  <c r="K165" i="1"/>
  <c r="K166" i="1"/>
  <c r="K167" i="1"/>
  <c r="K168" i="1"/>
  <c r="K169" i="1"/>
  <c r="K170" i="1"/>
  <c r="K171" i="1"/>
  <c r="K80" i="65"/>
  <c r="J164" i="1"/>
  <c r="J165" i="1"/>
  <c r="J166" i="1"/>
  <c r="J167" i="1"/>
  <c r="J168" i="1"/>
  <c r="J169" i="1"/>
  <c r="J170" i="1"/>
  <c r="J171" i="1"/>
  <c r="J80" i="65"/>
  <c r="I164" i="1"/>
  <c r="I165" i="1"/>
  <c r="I166" i="1"/>
  <c r="I167" i="1"/>
  <c r="I168" i="1"/>
  <c r="I169" i="1"/>
  <c r="I170" i="1"/>
  <c r="I171" i="1"/>
  <c r="I80" i="65"/>
  <c r="H164" i="1"/>
  <c r="H165" i="1"/>
  <c r="H166" i="1"/>
  <c r="H167" i="1"/>
  <c r="H168" i="1"/>
  <c r="H169" i="1"/>
  <c r="H170" i="1"/>
  <c r="H171" i="1"/>
  <c r="H80" i="65"/>
  <c r="G164" i="1"/>
  <c r="G165" i="1"/>
  <c r="G166" i="1"/>
  <c r="G167" i="1"/>
  <c r="G168" i="1"/>
  <c r="G80" i="65"/>
  <c r="F164" i="1"/>
  <c r="F165" i="1"/>
  <c r="F166" i="1"/>
  <c r="F167" i="1"/>
  <c r="F168" i="1"/>
  <c r="F80" i="65"/>
  <c r="E164" i="1"/>
  <c r="E165" i="1"/>
  <c r="E166" i="1"/>
  <c r="E167" i="1"/>
  <c r="E168" i="1"/>
  <c r="E80" i="65"/>
  <c r="D164" i="1"/>
  <c r="D165" i="1"/>
  <c r="D166" i="1"/>
  <c r="D167" i="1"/>
  <c r="D168" i="1"/>
  <c r="D80" i="65"/>
  <c r="P155" i="1"/>
  <c r="P156" i="1"/>
  <c r="P157" i="1"/>
  <c r="P74" i="65"/>
  <c r="P150" i="1"/>
  <c r="P151" i="1"/>
  <c r="P152" i="1"/>
  <c r="P153" i="1"/>
  <c r="P154" i="1"/>
  <c r="P73" i="65"/>
  <c r="P148" i="1"/>
  <c r="P149" i="1"/>
  <c r="P72" i="65"/>
  <c r="P145" i="1"/>
  <c r="P146" i="1"/>
  <c r="P147" i="1"/>
  <c r="P71" i="65"/>
  <c r="L145" i="1"/>
  <c r="L146" i="1"/>
  <c r="L147" i="1"/>
  <c r="L71" i="65"/>
  <c r="P140" i="1"/>
  <c r="P141" i="1"/>
  <c r="P142" i="1"/>
  <c r="P143" i="1"/>
  <c r="P144" i="1"/>
  <c r="P70" i="65"/>
  <c r="L140" i="1"/>
  <c r="L141" i="1"/>
  <c r="L142" i="1"/>
  <c r="L143" i="1"/>
  <c r="L144" i="1"/>
  <c r="L70" i="65"/>
  <c r="P132" i="1"/>
  <c r="P133" i="1"/>
  <c r="P134" i="1"/>
  <c r="P65" i="65"/>
  <c r="L132" i="1"/>
  <c r="L133" i="1"/>
  <c r="L134" i="1"/>
  <c r="L65" i="65"/>
  <c r="P127" i="1"/>
  <c r="P128" i="1"/>
  <c r="P129" i="1"/>
  <c r="P130" i="1"/>
  <c r="P131" i="1"/>
  <c r="P64" i="65"/>
  <c r="L127" i="1"/>
  <c r="L128" i="1"/>
  <c r="L129" i="1"/>
  <c r="L130" i="1"/>
  <c r="L131" i="1"/>
  <c r="L64" i="65"/>
  <c r="H127" i="1"/>
  <c r="H128" i="1"/>
  <c r="H129" i="1"/>
  <c r="H130" i="1"/>
  <c r="H131" i="1"/>
  <c r="H64" i="65"/>
  <c r="P125" i="1"/>
  <c r="P126" i="1"/>
  <c r="P63" i="65"/>
  <c r="P122" i="1"/>
  <c r="P123" i="1"/>
  <c r="P124" i="1"/>
  <c r="P62" i="65"/>
  <c r="L122" i="1"/>
  <c r="L123" i="1"/>
  <c r="L124" i="1"/>
  <c r="L62" i="65"/>
  <c r="H122" i="1"/>
  <c r="H123" i="1"/>
  <c r="H124" i="1"/>
  <c r="H62" i="65"/>
  <c r="P117" i="1"/>
  <c r="P118" i="1"/>
  <c r="P119" i="1"/>
  <c r="P120" i="1"/>
  <c r="P121" i="1"/>
  <c r="P61" i="65"/>
  <c r="L117" i="1"/>
  <c r="L118" i="1"/>
  <c r="L119" i="1"/>
  <c r="L120" i="1"/>
  <c r="L121" i="1"/>
  <c r="L61" i="65"/>
  <c r="H117" i="1"/>
  <c r="H118" i="1"/>
  <c r="H119" i="1"/>
  <c r="H120" i="1"/>
  <c r="H121" i="1"/>
  <c r="H61" i="65"/>
  <c r="D117" i="1"/>
  <c r="D118" i="1"/>
  <c r="D119" i="1"/>
  <c r="D120" i="1"/>
  <c r="D121" i="1"/>
  <c r="D61" i="65"/>
  <c r="P109" i="1"/>
  <c r="P110" i="1"/>
  <c r="P111" i="1"/>
  <c r="P56" i="65"/>
  <c r="L109" i="1"/>
  <c r="L110" i="1"/>
  <c r="L111" i="1"/>
  <c r="L56" i="65"/>
  <c r="P104" i="1"/>
  <c r="P105" i="1"/>
  <c r="P106" i="1"/>
  <c r="P107" i="1"/>
  <c r="P108" i="1"/>
  <c r="P55" i="65"/>
  <c r="L104" i="1"/>
  <c r="L105" i="1"/>
  <c r="L106" i="1"/>
  <c r="L107" i="1"/>
  <c r="L108" i="1"/>
  <c r="L55" i="65"/>
  <c r="H104" i="1"/>
  <c r="H105" i="1"/>
  <c r="H106" i="1"/>
  <c r="H107" i="1"/>
  <c r="H108" i="1"/>
  <c r="H55" i="65"/>
  <c r="P102" i="1"/>
  <c r="P103" i="1"/>
  <c r="P54" i="65"/>
  <c r="P99" i="1"/>
  <c r="P100" i="1"/>
  <c r="P101" i="1"/>
  <c r="P53" i="65"/>
  <c r="L99" i="1"/>
  <c r="L100" i="1"/>
  <c r="L101" i="1"/>
  <c r="L53" i="65"/>
  <c r="H99" i="1"/>
  <c r="H100" i="1"/>
  <c r="H101" i="1"/>
  <c r="H53" i="65"/>
  <c r="P94" i="1"/>
  <c r="P95" i="1"/>
  <c r="P96" i="1"/>
  <c r="P97" i="1"/>
  <c r="P98" i="1"/>
  <c r="P52" i="65"/>
  <c r="L94" i="1"/>
  <c r="L95" i="1"/>
  <c r="L96" i="1"/>
  <c r="L97" i="1"/>
  <c r="L98" i="1"/>
  <c r="L52" i="65"/>
  <c r="H94" i="1"/>
  <c r="H95" i="1"/>
  <c r="H96" i="1"/>
  <c r="H97" i="1"/>
  <c r="H98" i="1"/>
  <c r="H52" i="65"/>
  <c r="D94" i="1"/>
  <c r="D95" i="1"/>
  <c r="D96" i="1"/>
  <c r="D97" i="1"/>
  <c r="D98" i="1"/>
  <c r="D52" i="65"/>
  <c r="S84" i="1"/>
  <c r="S85" i="1"/>
  <c r="S86" i="1"/>
  <c r="S45" i="65"/>
  <c r="R84" i="1"/>
  <c r="R85" i="1"/>
  <c r="R86" i="1"/>
  <c r="R45" i="65"/>
  <c r="Q84" i="1"/>
  <c r="Q85" i="1"/>
  <c r="Q86" i="1"/>
  <c r="Q45" i="65"/>
  <c r="P84" i="1"/>
  <c r="P85" i="1"/>
  <c r="P86" i="1"/>
  <c r="P45" i="65"/>
  <c r="O84" i="1"/>
  <c r="O85" i="1"/>
  <c r="O86" i="1"/>
  <c r="O45" i="65"/>
  <c r="N84" i="1"/>
  <c r="N85" i="1"/>
  <c r="N86" i="1"/>
  <c r="N45" i="65"/>
  <c r="M84" i="1"/>
  <c r="M85" i="1"/>
  <c r="M86" i="1"/>
  <c r="M45" i="65"/>
  <c r="L84" i="1"/>
  <c r="L85" i="1"/>
  <c r="L86" i="1"/>
  <c r="L45" i="65"/>
  <c r="S79" i="1"/>
  <c r="S80" i="1"/>
  <c r="S81" i="1"/>
  <c r="S82" i="1"/>
  <c r="S83" i="1"/>
  <c r="S44" i="65"/>
  <c r="R79" i="1"/>
  <c r="R80" i="1"/>
  <c r="R81" i="1"/>
  <c r="R82" i="1"/>
  <c r="R83" i="1"/>
  <c r="R44" i="65"/>
  <c r="Q79" i="1"/>
  <c r="Q80" i="1"/>
  <c r="Q81" i="1"/>
  <c r="Q82" i="1"/>
  <c r="Q83" i="1"/>
  <c r="Q44" i="65"/>
  <c r="P79" i="1"/>
  <c r="P80" i="1"/>
  <c r="P81" i="1"/>
  <c r="P82" i="1"/>
  <c r="P83" i="1"/>
  <c r="P44" i="65"/>
  <c r="O79" i="1"/>
  <c r="O80" i="1"/>
  <c r="O81" i="1"/>
  <c r="O82" i="1"/>
  <c r="O83" i="1"/>
  <c r="O44" i="65"/>
  <c r="N79" i="1"/>
  <c r="N80" i="1"/>
  <c r="N81" i="1"/>
  <c r="N82" i="1"/>
  <c r="N83" i="1"/>
  <c r="N44" i="65"/>
  <c r="M79" i="1"/>
  <c r="M80" i="1"/>
  <c r="M81" i="1"/>
  <c r="M82" i="1"/>
  <c r="M83" i="1"/>
  <c r="M44" i="65"/>
  <c r="L79" i="1"/>
  <c r="L80" i="1"/>
  <c r="L81" i="1"/>
  <c r="L82" i="1"/>
  <c r="L83" i="1"/>
  <c r="L44" i="65"/>
  <c r="K79" i="1"/>
  <c r="K80" i="1"/>
  <c r="K81" i="1"/>
  <c r="K82" i="1"/>
  <c r="K83" i="1"/>
  <c r="K44" i="65"/>
  <c r="J79" i="1"/>
  <c r="J80" i="1"/>
  <c r="J81" i="1"/>
  <c r="J82" i="1"/>
  <c r="J83" i="1"/>
  <c r="J44" i="65"/>
  <c r="I79" i="1"/>
  <c r="I80" i="1"/>
  <c r="I81" i="1"/>
  <c r="I82" i="1"/>
  <c r="I83" i="1"/>
  <c r="I44" i="65"/>
  <c r="H79" i="1"/>
  <c r="H80" i="1"/>
  <c r="H81" i="1"/>
  <c r="H82" i="1"/>
  <c r="H83" i="1"/>
  <c r="H44" i="65"/>
  <c r="S77" i="1"/>
  <c r="S78" i="1"/>
  <c r="S43" i="65"/>
  <c r="R77" i="1"/>
  <c r="R78" i="1"/>
  <c r="R43" i="65"/>
  <c r="Q77" i="1"/>
  <c r="Q78" i="1"/>
  <c r="Q43" i="65"/>
  <c r="P77" i="1"/>
  <c r="P78" i="1"/>
  <c r="P43" i="65"/>
  <c r="S74" i="1"/>
  <c r="S75" i="1"/>
  <c r="S76" i="1"/>
  <c r="S42" i="65"/>
  <c r="R74" i="1"/>
  <c r="R75" i="1"/>
  <c r="R76" i="1"/>
  <c r="R42" i="65"/>
  <c r="Q74" i="1"/>
  <c r="Q75" i="1"/>
  <c r="Q76" i="1"/>
  <c r="Q42" i="65"/>
  <c r="P74" i="1"/>
  <c r="P75" i="1"/>
  <c r="P76" i="1"/>
  <c r="P42" i="65"/>
  <c r="O74" i="1"/>
  <c r="O75" i="1"/>
  <c r="O76" i="1"/>
  <c r="O42" i="65"/>
  <c r="N74" i="1"/>
  <c r="N75" i="1"/>
  <c r="N76" i="1"/>
  <c r="N42" i="65"/>
  <c r="M74" i="1"/>
  <c r="M75" i="1"/>
  <c r="M76" i="1"/>
  <c r="M42" i="65"/>
  <c r="L74" i="1"/>
  <c r="L75" i="1"/>
  <c r="L76" i="1"/>
  <c r="L42" i="65"/>
  <c r="K74" i="1"/>
  <c r="K75" i="1"/>
  <c r="K76" i="1"/>
  <c r="K42" i="65"/>
  <c r="J74" i="1"/>
  <c r="J75" i="1"/>
  <c r="J76" i="1"/>
  <c r="J42" i="65"/>
  <c r="I74" i="1"/>
  <c r="I75" i="1"/>
  <c r="I76" i="1"/>
  <c r="I42" i="65"/>
  <c r="H74" i="1"/>
  <c r="H75" i="1"/>
  <c r="H76" i="1"/>
  <c r="H42" i="65"/>
  <c r="S69" i="1"/>
  <c r="S70" i="1"/>
  <c r="S71" i="1"/>
  <c r="S72" i="1"/>
  <c r="S73" i="1"/>
  <c r="S41" i="65"/>
  <c r="R69" i="1"/>
  <c r="R70" i="1"/>
  <c r="R71" i="1"/>
  <c r="R72" i="1"/>
  <c r="R73" i="1"/>
  <c r="R41" i="65"/>
  <c r="Q69" i="1"/>
  <c r="Q70" i="1"/>
  <c r="Q71" i="1"/>
  <c r="Q72" i="1"/>
  <c r="Q73" i="1"/>
  <c r="Q41" i="65"/>
  <c r="P69" i="1"/>
  <c r="P70" i="1"/>
  <c r="P71" i="1"/>
  <c r="P72" i="1"/>
  <c r="P73" i="1"/>
  <c r="P41" i="65"/>
  <c r="O69" i="1"/>
  <c r="O70" i="1"/>
  <c r="O71" i="1"/>
  <c r="O72" i="1"/>
  <c r="O73" i="1"/>
  <c r="O41" i="65"/>
  <c r="N69" i="1"/>
  <c r="N70" i="1"/>
  <c r="N71" i="1"/>
  <c r="N72" i="1"/>
  <c r="N73" i="1"/>
  <c r="N41" i="65"/>
  <c r="M69" i="1"/>
  <c r="M70" i="1"/>
  <c r="M71" i="1"/>
  <c r="M72" i="1"/>
  <c r="M73" i="1"/>
  <c r="M41" i="65"/>
  <c r="L69" i="1"/>
  <c r="L70" i="1"/>
  <c r="L71" i="1"/>
  <c r="L72" i="1"/>
  <c r="L73" i="1"/>
  <c r="L41" i="65"/>
  <c r="K69" i="1"/>
  <c r="K70" i="1"/>
  <c r="K71" i="1"/>
  <c r="K72" i="1"/>
  <c r="K73" i="1"/>
  <c r="K41" i="65"/>
  <c r="J69" i="1"/>
  <c r="J70" i="1"/>
  <c r="J71" i="1"/>
  <c r="J72" i="1"/>
  <c r="J73" i="1"/>
  <c r="J41" i="65"/>
  <c r="I69" i="1"/>
  <c r="I70" i="1"/>
  <c r="I71" i="1"/>
  <c r="I72" i="1"/>
  <c r="I73" i="1"/>
  <c r="I41" i="65"/>
  <c r="H69" i="1"/>
  <c r="H70" i="1"/>
  <c r="H71" i="1"/>
  <c r="H72" i="1"/>
  <c r="H73" i="1"/>
  <c r="H41" i="65"/>
  <c r="G69" i="1"/>
  <c r="G70" i="1"/>
  <c r="G71" i="1"/>
  <c r="G72" i="1"/>
  <c r="G73" i="1"/>
  <c r="G41" i="65"/>
  <c r="F69" i="1"/>
  <c r="F70" i="1"/>
  <c r="F71" i="1"/>
  <c r="F72" i="1"/>
  <c r="F73" i="1"/>
  <c r="F41" i="65"/>
  <c r="E69" i="1"/>
  <c r="E70" i="1"/>
  <c r="E71" i="1"/>
  <c r="E72" i="1"/>
  <c r="E73" i="1"/>
  <c r="E41" i="65"/>
  <c r="D69" i="1"/>
  <c r="D70" i="1"/>
  <c r="D71" i="1"/>
  <c r="D72" i="1"/>
  <c r="D73" i="1"/>
  <c r="D41" i="65"/>
  <c r="P60" i="1"/>
  <c r="P61" i="1"/>
  <c r="P62" i="1"/>
  <c r="P35" i="65"/>
  <c r="L60" i="1"/>
  <c r="L61" i="1"/>
  <c r="L62" i="1"/>
  <c r="L35" i="65"/>
  <c r="P55" i="1"/>
  <c r="P56" i="1"/>
  <c r="P57" i="1"/>
  <c r="P58" i="1"/>
  <c r="P59" i="1"/>
  <c r="P34" i="65"/>
  <c r="L55" i="1"/>
  <c r="L56" i="1"/>
  <c r="L57" i="1"/>
  <c r="L58" i="1"/>
  <c r="L59" i="1"/>
  <c r="L34" i="65"/>
  <c r="H55" i="1"/>
  <c r="H56" i="1"/>
  <c r="H57" i="1"/>
  <c r="H58" i="1"/>
  <c r="H59" i="1"/>
  <c r="H34" i="65"/>
  <c r="P53" i="1"/>
  <c r="P54" i="1"/>
  <c r="P33" i="65"/>
  <c r="T52" i="1"/>
  <c r="P50" i="1"/>
  <c r="P51" i="1"/>
  <c r="P52" i="1"/>
  <c r="P32" i="65"/>
  <c r="L50" i="1"/>
  <c r="L51" i="1"/>
  <c r="L52" i="1"/>
  <c r="L32" i="65"/>
  <c r="H50" i="1"/>
  <c r="H51" i="1"/>
  <c r="H52" i="1"/>
  <c r="H32" i="65"/>
  <c r="P45" i="1"/>
  <c r="P46" i="1"/>
  <c r="P47" i="1"/>
  <c r="P48" i="1"/>
  <c r="P49" i="1"/>
  <c r="P31" i="65"/>
  <c r="L45" i="1"/>
  <c r="L46" i="1"/>
  <c r="L47" i="1"/>
  <c r="L48" i="1"/>
  <c r="L49" i="1"/>
  <c r="L31" i="65"/>
  <c r="H45" i="1"/>
  <c r="H46" i="1"/>
  <c r="H47" i="1"/>
  <c r="H48" i="1"/>
  <c r="H49" i="1"/>
  <c r="H31" i="65"/>
  <c r="D45" i="1"/>
  <c r="D46" i="1"/>
  <c r="D47" i="1"/>
  <c r="D48" i="1"/>
  <c r="D49" i="1"/>
  <c r="D31" i="65"/>
  <c r="P37" i="1"/>
  <c r="P38" i="1"/>
  <c r="P39" i="1"/>
  <c r="P26" i="65"/>
  <c r="L37" i="1"/>
  <c r="L38" i="1"/>
  <c r="L39" i="1"/>
  <c r="L26" i="65"/>
  <c r="P32" i="1"/>
  <c r="P33" i="1"/>
  <c r="P34" i="1"/>
  <c r="P35" i="1"/>
  <c r="P36" i="1"/>
  <c r="P25" i="65"/>
  <c r="L32" i="1"/>
  <c r="L33" i="1"/>
  <c r="L34" i="1"/>
  <c r="L35" i="1"/>
  <c r="L36" i="1"/>
  <c r="L25" i="65"/>
  <c r="H32" i="1"/>
  <c r="H33" i="1"/>
  <c r="H34" i="1"/>
  <c r="H35" i="1"/>
  <c r="H36" i="1"/>
  <c r="H25" i="65"/>
  <c r="P30" i="1"/>
  <c r="P31" i="1"/>
  <c r="P24" i="65"/>
  <c r="P27" i="1"/>
  <c r="P28" i="1"/>
  <c r="P29" i="1"/>
  <c r="P23" i="65"/>
  <c r="L27" i="1"/>
  <c r="L28" i="1"/>
  <c r="L29" i="1"/>
  <c r="L23" i="65"/>
  <c r="H27" i="1"/>
  <c r="H28" i="1"/>
  <c r="H29" i="1"/>
  <c r="H23" i="65"/>
  <c r="P22" i="1"/>
  <c r="P23" i="1"/>
  <c r="P24" i="1"/>
  <c r="P25" i="1"/>
  <c r="P26" i="1"/>
  <c r="P22" i="65"/>
  <c r="L22" i="1"/>
  <c r="L23" i="1"/>
  <c r="L24" i="1"/>
  <c r="L25" i="1"/>
  <c r="L26" i="1"/>
  <c r="L22" i="65"/>
  <c r="H22" i="1"/>
  <c r="H23" i="1"/>
  <c r="H24" i="1"/>
  <c r="H25" i="1"/>
  <c r="H26" i="1"/>
  <c r="H22" i="65"/>
  <c r="Q12" i="48"/>
  <c r="W588" i="1"/>
  <c r="X122" i="62"/>
  <c r="AG122" i="62"/>
  <c r="AH122" i="62"/>
  <c r="W89" i="45"/>
  <c r="V89" i="45"/>
  <c r="AG2" i="45"/>
  <c r="R121" i="48"/>
  <c r="W643" i="1"/>
  <c r="Z146" i="61"/>
  <c r="Q121" i="48"/>
  <c r="W642" i="1"/>
  <c r="Z146" i="62"/>
  <c r="Z146" i="41"/>
  <c r="Z146" i="45"/>
  <c r="Z146" i="64"/>
  <c r="Y146" i="61"/>
  <c r="Y146" i="62"/>
  <c r="Y146" i="41"/>
  <c r="Y146" i="45"/>
  <c r="Y146" i="64"/>
  <c r="X146" i="61"/>
  <c r="X146" i="62"/>
  <c r="X146" i="41"/>
  <c r="X146" i="45"/>
  <c r="X146" i="64"/>
  <c r="W146" i="41"/>
  <c r="W146" i="45"/>
  <c r="W146" i="64"/>
  <c r="V146" i="41"/>
  <c r="V146" i="45"/>
  <c r="V146" i="64"/>
  <c r="Z145" i="41"/>
  <c r="Z145" i="45"/>
  <c r="Y145" i="62"/>
  <c r="Z145" i="62"/>
  <c r="Y145" i="61"/>
  <c r="Z145" i="61"/>
  <c r="Z145" i="64"/>
  <c r="Y145" i="41"/>
  <c r="Y145" i="45"/>
  <c r="Y145" i="64"/>
  <c r="X145" i="41"/>
  <c r="X145" i="45"/>
  <c r="R145" i="62"/>
  <c r="S145" i="62"/>
  <c r="T145" i="62"/>
  <c r="U145" i="62"/>
  <c r="V145" i="62"/>
  <c r="W145" i="62"/>
  <c r="X145" i="62"/>
  <c r="R145" i="61"/>
  <c r="S145" i="61"/>
  <c r="T145" i="61"/>
  <c r="U145" i="61"/>
  <c r="V145" i="61"/>
  <c r="W145" i="61"/>
  <c r="X145" i="61"/>
  <c r="X145" i="64"/>
  <c r="W145" i="41"/>
  <c r="W145" i="45"/>
  <c r="W145" i="64"/>
  <c r="V145" i="41"/>
  <c r="V145" i="45"/>
  <c r="V145" i="64"/>
  <c r="R120" i="48"/>
  <c r="V643" i="1"/>
  <c r="Z143" i="61"/>
  <c r="Q120" i="48"/>
  <c r="V642" i="1"/>
  <c r="Z143" i="62"/>
  <c r="Z143" i="41"/>
  <c r="Z143" i="45"/>
  <c r="Z143" i="64"/>
  <c r="Y143" i="61"/>
  <c r="Y143" i="62"/>
  <c r="Y143" i="41"/>
  <c r="Y143" i="45"/>
  <c r="Y143" i="64"/>
  <c r="X143" i="61"/>
  <c r="X143" i="62"/>
  <c r="X143" i="41"/>
  <c r="X143" i="45"/>
  <c r="X143" i="64"/>
  <c r="W143" i="45"/>
  <c r="W143" i="41"/>
  <c r="W143" i="64"/>
  <c r="V143" i="41"/>
  <c r="V143" i="45"/>
  <c r="V143" i="64"/>
  <c r="Z142" i="41"/>
  <c r="Z142" i="45"/>
  <c r="Y142" i="62"/>
  <c r="Z142" i="62"/>
  <c r="Y142" i="61"/>
  <c r="Z142" i="61"/>
  <c r="Z142" i="64"/>
  <c r="Y142" i="41"/>
  <c r="Y142" i="45"/>
  <c r="Y142" i="64"/>
  <c r="X142" i="41"/>
  <c r="X142" i="45"/>
  <c r="R142" i="62"/>
  <c r="S142" i="62"/>
  <c r="T142" i="62"/>
  <c r="U142" i="62"/>
  <c r="V142" i="62"/>
  <c r="W142" i="62"/>
  <c r="X142" i="62"/>
  <c r="R142" i="61"/>
  <c r="S142" i="61"/>
  <c r="T142" i="61"/>
  <c r="U142" i="61"/>
  <c r="V142" i="61"/>
  <c r="W142" i="61"/>
  <c r="X142" i="61"/>
  <c r="X142" i="64"/>
  <c r="W142" i="41"/>
  <c r="W142" i="45"/>
  <c r="W142" i="64"/>
  <c r="V142" i="41"/>
  <c r="V142" i="45"/>
  <c r="V142" i="64"/>
  <c r="R119" i="48"/>
  <c r="U643" i="1"/>
  <c r="Z140" i="61"/>
  <c r="Q119" i="48"/>
  <c r="U642" i="1"/>
  <c r="Z140" i="62"/>
  <c r="Z140" i="41"/>
  <c r="Z140" i="45"/>
  <c r="Z140" i="64"/>
  <c r="Y140" i="61"/>
  <c r="Y140" i="62"/>
  <c r="Y140" i="41"/>
  <c r="Y140" i="45"/>
  <c r="Y140" i="64"/>
  <c r="X140" i="61"/>
  <c r="X140" i="62"/>
  <c r="X140" i="41"/>
  <c r="X140" i="45"/>
  <c r="X140" i="64"/>
  <c r="W140" i="45"/>
  <c r="W140" i="41"/>
  <c r="W140" i="64"/>
  <c r="V140" i="41"/>
  <c r="V140" i="45"/>
  <c r="V140" i="64"/>
  <c r="Z139" i="41"/>
  <c r="Z139" i="45"/>
  <c r="Y139" i="62"/>
  <c r="Z139" i="62"/>
  <c r="Y139" i="61"/>
  <c r="Z139" i="61"/>
  <c r="Z139" i="64"/>
  <c r="Y139" i="41"/>
  <c r="Y139" i="45"/>
  <c r="Y139" i="64"/>
  <c r="X139" i="41"/>
  <c r="X139" i="45"/>
  <c r="R139" i="62"/>
  <c r="S139" i="62"/>
  <c r="T139" i="62"/>
  <c r="U139" i="62"/>
  <c r="V139" i="62"/>
  <c r="W139" i="62"/>
  <c r="X139" i="62"/>
  <c r="R139" i="61"/>
  <c r="S139" i="61"/>
  <c r="T139" i="61"/>
  <c r="U139" i="61"/>
  <c r="V139" i="61"/>
  <c r="W139" i="61"/>
  <c r="X139" i="61"/>
  <c r="X139" i="64"/>
  <c r="W139" i="41"/>
  <c r="W139" i="45"/>
  <c r="W139" i="64"/>
  <c r="V139" i="41"/>
  <c r="V139" i="45"/>
  <c r="V139" i="64"/>
  <c r="R118" i="48"/>
  <c r="T643" i="1"/>
  <c r="Z137" i="61"/>
  <c r="Q118" i="48"/>
  <c r="T642" i="1"/>
  <c r="Z137" i="62"/>
  <c r="Z137" i="41"/>
  <c r="Z137" i="45"/>
  <c r="Z137" i="64"/>
  <c r="Y137" i="61"/>
  <c r="Y137" i="62"/>
  <c r="Y137" i="41"/>
  <c r="Y137" i="45"/>
  <c r="Y137" i="64"/>
  <c r="X137" i="61"/>
  <c r="X137" i="62"/>
  <c r="X137" i="41"/>
  <c r="X137" i="45"/>
  <c r="X137" i="64"/>
  <c r="W137" i="45"/>
  <c r="W137" i="41"/>
  <c r="W137" i="64"/>
  <c r="V137" i="41"/>
  <c r="V137" i="45"/>
  <c r="V137" i="64"/>
  <c r="Z136" i="41"/>
  <c r="Z136" i="45"/>
  <c r="Y136" i="62"/>
  <c r="Z136" i="62"/>
  <c r="Y136" i="61"/>
  <c r="Z136" i="61"/>
  <c r="Z136" i="64"/>
  <c r="Y136" i="41"/>
  <c r="Y136" i="45"/>
  <c r="Y136" i="64"/>
  <c r="X136" i="41"/>
  <c r="X136" i="45"/>
  <c r="R136" i="62"/>
  <c r="S136" i="62"/>
  <c r="T136" i="62"/>
  <c r="U136" i="62"/>
  <c r="V136" i="62"/>
  <c r="W136" i="62"/>
  <c r="X136" i="62"/>
  <c r="R136" i="61"/>
  <c r="S136" i="61"/>
  <c r="T136" i="61"/>
  <c r="U136" i="61"/>
  <c r="V136" i="61"/>
  <c r="W136" i="61"/>
  <c r="X136" i="61"/>
  <c r="X136" i="64"/>
  <c r="W136" i="41"/>
  <c r="W136" i="45"/>
  <c r="W136" i="64"/>
  <c r="V136" i="41"/>
  <c r="V136" i="45"/>
  <c r="V136" i="64"/>
  <c r="R113" i="48"/>
  <c r="W616" i="1"/>
  <c r="Z134" i="61"/>
  <c r="Q113" i="48"/>
  <c r="W615" i="1"/>
  <c r="Z134" i="62"/>
  <c r="Z134" i="41"/>
  <c r="Z134" i="45"/>
  <c r="Z134" i="64"/>
  <c r="Y134" i="61"/>
  <c r="Y134" i="62"/>
  <c r="Y134" i="41"/>
  <c r="Y134" i="45"/>
  <c r="Y134" i="64"/>
  <c r="X134" i="61"/>
  <c r="X134" i="62"/>
  <c r="X134" i="41"/>
  <c r="X134" i="45"/>
  <c r="X134" i="64"/>
  <c r="W134" i="45"/>
  <c r="W134" i="41"/>
  <c r="W134" i="64"/>
  <c r="V134" i="41"/>
  <c r="V134" i="45"/>
  <c r="V134" i="64"/>
  <c r="Z133" i="41"/>
  <c r="Z133" i="45"/>
  <c r="Y133" i="62"/>
  <c r="Z133" i="62"/>
  <c r="Y133" i="61"/>
  <c r="Z133" i="61"/>
  <c r="Z133" i="64"/>
  <c r="Y133" i="41"/>
  <c r="Y133" i="45"/>
  <c r="Y133" i="64"/>
  <c r="R133" i="62"/>
  <c r="S133" i="62"/>
  <c r="T133" i="62"/>
  <c r="U133" i="62"/>
  <c r="V133" i="62"/>
  <c r="W133" i="62"/>
  <c r="X133" i="62"/>
  <c r="R133" i="61"/>
  <c r="S133" i="61"/>
  <c r="T133" i="61"/>
  <c r="U133" i="61"/>
  <c r="V133" i="61"/>
  <c r="W133" i="61"/>
  <c r="X133" i="61"/>
  <c r="X133" i="41"/>
  <c r="X133" i="45"/>
  <c r="X133" i="64"/>
  <c r="W133" i="41"/>
  <c r="W133" i="45"/>
  <c r="W133" i="64"/>
  <c r="V133" i="41"/>
  <c r="V133" i="45"/>
  <c r="V133" i="64"/>
  <c r="R112" i="48"/>
  <c r="V616" i="1"/>
  <c r="Z131" i="61"/>
  <c r="Q112" i="48"/>
  <c r="V615" i="1"/>
  <c r="Z131" i="62"/>
  <c r="Z131" i="41"/>
  <c r="Z131" i="45"/>
  <c r="Z131" i="64"/>
  <c r="Y131" i="61"/>
  <c r="Y131" i="62"/>
  <c r="Y131" i="41"/>
  <c r="Y131" i="45"/>
  <c r="Y131" i="64"/>
  <c r="X131" i="61"/>
  <c r="X131" i="62"/>
  <c r="X131" i="41"/>
  <c r="X131" i="45"/>
  <c r="X131" i="64"/>
  <c r="W131" i="45"/>
  <c r="W131" i="41"/>
  <c r="W131" i="64"/>
  <c r="V131" i="41"/>
  <c r="V131" i="45"/>
  <c r="V131" i="64"/>
  <c r="Z130" i="41"/>
  <c r="Z130" i="45"/>
  <c r="Y130" i="62"/>
  <c r="Z130" i="62"/>
  <c r="Y130" i="61"/>
  <c r="Z130" i="61"/>
  <c r="Z130" i="64"/>
  <c r="Y130" i="41"/>
  <c r="Y130" i="45"/>
  <c r="Y130" i="64"/>
  <c r="X130" i="41"/>
  <c r="X130" i="45"/>
  <c r="S130" i="62"/>
  <c r="T130" i="62"/>
  <c r="U130" i="62"/>
  <c r="V130" i="62"/>
  <c r="W130" i="62"/>
  <c r="X130" i="62"/>
  <c r="S130" i="61"/>
  <c r="T130" i="61"/>
  <c r="U130" i="61"/>
  <c r="V130" i="61"/>
  <c r="W130" i="61"/>
  <c r="X130" i="61"/>
  <c r="X130" i="64"/>
  <c r="W130" i="41"/>
  <c r="W130" i="45"/>
  <c r="W130" i="64"/>
  <c r="V130" i="41"/>
  <c r="V130" i="45"/>
  <c r="V130" i="64"/>
  <c r="R111" i="48"/>
  <c r="U616" i="1"/>
  <c r="Z128" i="61"/>
  <c r="Q111" i="48"/>
  <c r="U615" i="1"/>
  <c r="Z128" i="62"/>
  <c r="Z128" i="41"/>
  <c r="Z128" i="45"/>
  <c r="Z128" i="64"/>
  <c r="Y128" i="61"/>
  <c r="Y128" i="62"/>
  <c r="Y128" i="41"/>
  <c r="Y128" i="45"/>
  <c r="Y128" i="64"/>
  <c r="X128" i="61"/>
  <c r="X128" i="62"/>
  <c r="X128" i="41"/>
  <c r="X128" i="45"/>
  <c r="X128" i="64"/>
  <c r="W128" i="45"/>
  <c r="W128" i="41"/>
  <c r="W128" i="64"/>
  <c r="V128" i="41"/>
  <c r="V128" i="45"/>
  <c r="V128" i="64"/>
  <c r="Z127" i="41"/>
  <c r="Z127" i="45"/>
  <c r="Y127" i="62"/>
  <c r="Z127" i="62"/>
  <c r="Y127" i="61"/>
  <c r="Z127" i="61"/>
  <c r="Z127" i="64"/>
  <c r="Y127" i="41"/>
  <c r="Y127" i="45"/>
  <c r="Y127" i="64"/>
  <c r="X127" i="41"/>
  <c r="X127" i="45"/>
  <c r="S127" i="62"/>
  <c r="T127" i="62"/>
  <c r="U127" i="62"/>
  <c r="V127" i="62"/>
  <c r="W127" i="62"/>
  <c r="X127" i="62"/>
  <c r="S127" i="61"/>
  <c r="T127" i="61"/>
  <c r="U127" i="61"/>
  <c r="V127" i="61"/>
  <c r="W127" i="61"/>
  <c r="X127" i="61"/>
  <c r="X127" i="64"/>
  <c r="W127" i="41"/>
  <c r="W127" i="45"/>
  <c r="W127" i="64"/>
  <c r="V127" i="41"/>
  <c r="V127" i="45"/>
  <c r="V127" i="64"/>
  <c r="R110" i="48"/>
  <c r="T616" i="1"/>
  <c r="Z125" i="61"/>
  <c r="Q110" i="48"/>
  <c r="T615" i="1"/>
  <c r="Z125" i="62"/>
  <c r="Z125" i="41"/>
  <c r="Z125" i="45"/>
  <c r="Z125" i="64"/>
  <c r="Y125" i="61"/>
  <c r="Y125" i="62"/>
  <c r="Y125" i="41"/>
  <c r="Y125" i="45"/>
  <c r="Y125" i="64"/>
  <c r="X125" i="61"/>
  <c r="X125" i="62"/>
  <c r="X125" i="41"/>
  <c r="X125" i="45"/>
  <c r="X125" i="64"/>
  <c r="W125" i="45"/>
  <c r="W125" i="41"/>
  <c r="W125" i="64"/>
  <c r="V125" i="41"/>
  <c r="V125" i="45"/>
  <c r="V125" i="64"/>
  <c r="Z124" i="41"/>
  <c r="Z124" i="45"/>
  <c r="Y124" i="62"/>
  <c r="Z124" i="62"/>
  <c r="Y124" i="61"/>
  <c r="Z124" i="61"/>
  <c r="Z124" i="64"/>
  <c r="Y124" i="41"/>
  <c r="Y124" i="45"/>
  <c r="Y124" i="64"/>
  <c r="X124" i="41"/>
  <c r="X124" i="45"/>
  <c r="R124" i="62"/>
  <c r="S124" i="62"/>
  <c r="T124" i="62"/>
  <c r="U124" i="62"/>
  <c r="V124" i="62"/>
  <c r="W124" i="62"/>
  <c r="X124" i="62"/>
  <c r="R124" i="61"/>
  <c r="S124" i="61"/>
  <c r="T124" i="61"/>
  <c r="U124" i="61"/>
  <c r="V124" i="61"/>
  <c r="W124" i="61"/>
  <c r="X124" i="61"/>
  <c r="X124" i="64"/>
  <c r="W124" i="41"/>
  <c r="W124" i="45"/>
  <c r="W124" i="64"/>
  <c r="V124" i="41"/>
  <c r="V124" i="45"/>
  <c r="V124" i="64"/>
  <c r="Z122" i="62"/>
  <c r="R12" i="48"/>
  <c r="W589" i="1"/>
  <c r="Z122" i="61"/>
  <c r="Z122" i="41"/>
  <c r="Z122" i="45"/>
  <c r="Z122" i="64"/>
  <c r="Y122" i="62"/>
  <c r="Y122" i="61"/>
  <c r="Y122" i="41"/>
  <c r="Y122" i="45"/>
  <c r="Y122" i="64"/>
  <c r="X122" i="61"/>
  <c r="X122" i="41"/>
  <c r="X122" i="45"/>
  <c r="X122" i="64"/>
  <c r="W122" i="41"/>
  <c r="W122" i="45"/>
  <c r="W122" i="64"/>
  <c r="V122" i="41"/>
  <c r="V122" i="45"/>
  <c r="V122" i="64"/>
  <c r="Z121" i="41"/>
  <c r="Z121" i="45"/>
  <c r="Y121" i="62"/>
  <c r="Z121" i="62"/>
  <c r="Y121" i="61"/>
  <c r="Z121" i="61"/>
  <c r="Z121" i="64"/>
  <c r="Y121" i="41"/>
  <c r="Y121" i="45"/>
  <c r="Y121" i="64"/>
  <c r="X121" i="41"/>
  <c r="X121" i="45"/>
  <c r="S121" i="62"/>
  <c r="T121" i="62"/>
  <c r="U121" i="62"/>
  <c r="V121" i="62"/>
  <c r="W121" i="62"/>
  <c r="X121" i="62"/>
  <c r="S121" i="61"/>
  <c r="T121" i="61"/>
  <c r="U121" i="61"/>
  <c r="V121" i="61"/>
  <c r="W121" i="61"/>
  <c r="X121" i="61"/>
  <c r="X121" i="64"/>
  <c r="W121" i="41"/>
  <c r="W121" i="45"/>
  <c r="W121" i="64"/>
  <c r="V121" i="41"/>
  <c r="V121" i="45"/>
  <c r="V121" i="64"/>
  <c r="Q11" i="48"/>
  <c r="V588" i="1"/>
  <c r="Z119" i="62"/>
  <c r="R11" i="48"/>
  <c r="V589" i="1"/>
  <c r="Z119" i="61"/>
  <c r="Z119" i="41"/>
  <c r="Z119" i="45"/>
  <c r="Z119" i="64"/>
  <c r="Y119" i="62"/>
  <c r="Y119" i="61"/>
  <c r="Y119" i="41"/>
  <c r="Y119" i="45"/>
  <c r="Y119" i="64"/>
  <c r="X119" i="62"/>
  <c r="X119" i="61"/>
  <c r="X119" i="41"/>
  <c r="X119" i="45"/>
  <c r="X119" i="64"/>
  <c r="W119" i="41"/>
  <c r="W119" i="45"/>
  <c r="W119" i="64"/>
  <c r="V119" i="41"/>
  <c r="V119" i="45"/>
  <c r="V119" i="64"/>
  <c r="Z118" i="41"/>
  <c r="Z118" i="45"/>
  <c r="Y118" i="62"/>
  <c r="Z118" i="62"/>
  <c r="Y118" i="61"/>
  <c r="Z118" i="61"/>
  <c r="Z118" i="64"/>
  <c r="Y118" i="41"/>
  <c r="Y118" i="45"/>
  <c r="Y118" i="64"/>
  <c r="X118" i="41"/>
  <c r="X118" i="45"/>
  <c r="S118" i="62"/>
  <c r="T118" i="62"/>
  <c r="U118" i="62"/>
  <c r="V118" i="62"/>
  <c r="W118" i="62"/>
  <c r="X118" i="62"/>
  <c r="S118" i="61"/>
  <c r="T118" i="61"/>
  <c r="U118" i="61"/>
  <c r="V118" i="61"/>
  <c r="W118" i="61"/>
  <c r="X118" i="61"/>
  <c r="X118" i="64"/>
  <c r="W118" i="41"/>
  <c r="W118" i="45"/>
  <c r="W118" i="64"/>
  <c r="V118" i="41"/>
  <c r="V118" i="45"/>
  <c r="V118" i="64"/>
  <c r="Q10" i="48"/>
  <c r="U588" i="1"/>
  <c r="Z116" i="62"/>
  <c r="R10" i="48"/>
  <c r="U589" i="1"/>
  <c r="Z116" i="61"/>
  <c r="Z116" i="41"/>
  <c r="Z116" i="45"/>
  <c r="Z116" i="64"/>
  <c r="Y116" i="62"/>
  <c r="Y116" i="61"/>
  <c r="Y116" i="41"/>
  <c r="Y116" i="45"/>
  <c r="Y116" i="64"/>
  <c r="X116" i="62"/>
  <c r="X116" i="61"/>
  <c r="X116" i="41"/>
  <c r="X116" i="45"/>
  <c r="X116" i="64"/>
  <c r="W116" i="41"/>
  <c r="W116" i="45"/>
  <c r="W116" i="64"/>
  <c r="V116" i="41"/>
  <c r="V116" i="45"/>
  <c r="V116" i="64"/>
  <c r="Z115" i="41"/>
  <c r="Z115" i="45"/>
  <c r="Y115" i="62"/>
  <c r="Z115" i="62"/>
  <c r="Y115" i="61"/>
  <c r="Z115" i="61"/>
  <c r="Z115" i="64"/>
  <c r="Y115" i="41"/>
  <c r="Y115" i="45"/>
  <c r="Y115" i="64"/>
  <c r="X115" i="41"/>
  <c r="X115" i="45"/>
  <c r="S115" i="62"/>
  <c r="T115" i="62"/>
  <c r="U115" i="62"/>
  <c r="V115" i="62"/>
  <c r="W115" i="62"/>
  <c r="X115" i="62"/>
  <c r="S115" i="61"/>
  <c r="T115" i="61"/>
  <c r="U115" i="61"/>
  <c r="V115" i="61"/>
  <c r="W115" i="61"/>
  <c r="X115" i="61"/>
  <c r="X115" i="64"/>
  <c r="W115" i="41"/>
  <c r="W115" i="45"/>
  <c r="W115" i="64"/>
  <c r="V115" i="41"/>
  <c r="V115" i="45"/>
  <c r="V115" i="64"/>
  <c r="Q9" i="48"/>
  <c r="T588" i="1"/>
  <c r="Z113" i="62"/>
  <c r="R9" i="48"/>
  <c r="T589" i="1"/>
  <c r="Z113" i="61"/>
  <c r="Z113" i="41"/>
  <c r="Z113" i="45"/>
  <c r="Z113" i="64"/>
  <c r="Y113" i="62"/>
  <c r="Y113" i="61"/>
  <c r="Y113" i="41"/>
  <c r="Y113" i="45"/>
  <c r="Y113" i="64"/>
  <c r="X113" i="62"/>
  <c r="X113" i="61"/>
  <c r="X113" i="41"/>
  <c r="X113" i="45"/>
  <c r="X113" i="64"/>
  <c r="W113" i="41"/>
  <c r="W113" i="45"/>
  <c r="W113" i="64"/>
  <c r="Z112" i="41"/>
  <c r="Z112" i="45"/>
  <c r="Y112" i="62"/>
  <c r="Z112" i="62"/>
  <c r="Y112" i="61"/>
  <c r="Z112" i="61"/>
  <c r="Z112" i="64"/>
  <c r="Y112" i="41"/>
  <c r="Y112" i="45"/>
  <c r="Y112" i="64"/>
  <c r="X112" i="41"/>
  <c r="X112" i="45"/>
  <c r="R112" i="62"/>
  <c r="S112" i="62"/>
  <c r="T112" i="62"/>
  <c r="U112" i="62"/>
  <c r="V112" i="62"/>
  <c r="W112" i="62"/>
  <c r="X112" i="62"/>
  <c r="R112" i="61"/>
  <c r="S112" i="61"/>
  <c r="T112" i="61"/>
  <c r="U112" i="61"/>
  <c r="V112" i="61"/>
  <c r="W112" i="61"/>
  <c r="X112" i="61"/>
  <c r="X112" i="64"/>
  <c r="W112" i="41"/>
  <c r="W112" i="45"/>
  <c r="W112" i="64"/>
  <c r="V113" i="41"/>
  <c r="V113" i="45"/>
  <c r="V113" i="64"/>
  <c r="V112" i="41"/>
  <c r="V112" i="45"/>
  <c r="V112" i="64"/>
  <c r="AG146" i="64"/>
  <c r="AI146" i="64"/>
  <c r="AH146" i="64"/>
  <c r="AF146" i="64"/>
  <c r="AD146" i="64"/>
  <c r="U146" i="41"/>
  <c r="U146" i="45"/>
  <c r="U146" i="64"/>
  <c r="T146" i="41"/>
  <c r="T146" i="45"/>
  <c r="T146" i="64"/>
  <c r="S146" i="41"/>
  <c r="S146" i="45"/>
  <c r="S146" i="64"/>
  <c r="R146" i="41"/>
  <c r="R146" i="45"/>
  <c r="R146" i="64"/>
  <c r="Q146" i="64"/>
  <c r="P146" i="64"/>
  <c r="O146" i="64"/>
  <c r="N146" i="64"/>
  <c r="M146" i="64"/>
  <c r="L146" i="64"/>
  <c r="K146" i="64"/>
  <c r="J146" i="64"/>
  <c r="I146" i="64"/>
  <c r="H146" i="64"/>
  <c r="G146" i="64"/>
  <c r="F146" i="64"/>
  <c r="E146" i="64"/>
  <c r="D146" i="64"/>
  <c r="C146" i="64"/>
  <c r="AG145" i="64"/>
  <c r="AF145" i="64"/>
  <c r="AD145" i="64"/>
  <c r="AA145" i="41"/>
  <c r="AA145" i="45"/>
  <c r="AA145" i="64"/>
  <c r="AB145" i="64"/>
  <c r="U145" i="41"/>
  <c r="U145" i="45"/>
  <c r="U145" i="64"/>
  <c r="T145" i="41"/>
  <c r="T145" i="45"/>
  <c r="T145" i="64"/>
  <c r="S145" i="41"/>
  <c r="S145" i="45"/>
  <c r="S145" i="64"/>
  <c r="R145" i="41"/>
  <c r="R145" i="45"/>
  <c r="R145" i="64"/>
  <c r="Q145" i="64"/>
  <c r="P145" i="64"/>
  <c r="O145" i="64"/>
  <c r="N145" i="64"/>
  <c r="M145" i="64"/>
  <c r="L145" i="64"/>
  <c r="K145" i="64"/>
  <c r="J145" i="64"/>
  <c r="I145" i="64"/>
  <c r="H145" i="64"/>
  <c r="G145" i="64"/>
  <c r="F145" i="64"/>
  <c r="E145" i="64"/>
  <c r="D145" i="64"/>
  <c r="C145" i="64"/>
  <c r="AG143" i="64"/>
  <c r="AI143" i="64"/>
  <c r="AH143" i="64"/>
  <c r="AF143" i="64"/>
  <c r="AD143" i="64"/>
  <c r="U143" i="41"/>
  <c r="U143" i="45"/>
  <c r="U143" i="64"/>
  <c r="T143" i="41"/>
  <c r="T143" i="45"/>
  <c r="T143" i="64"/>
  <c r="S143" i="41"/>
  <c r="S143" i="45"/>
  <c r="S143" i="64"/>
  <c r="R143" i="41"/>
  <c r="R143" i="45"/>
  <c r="R143" i="64"/>
  <c r="Q143" i="64"/>
  <c r="P143" i="64"/>
  <c r="O143" i="64"/>
  <c r="N143" i="64"/>
  <c r="M143" i="64"/>
  <c r="L143" i="64"/>
  <c r="K143" i="64"/>
  <c r="J143" i="64"/>
  <c r="I143" i="64"/>
  <c r="H143" i="64"/>
  <c r="G143" i="64"/>
  <c r="F143" i="64"/>
  <c r="E143" i="64"/>
  <c r="D143" i="64"/>
  <c r="C143" i="64"/>
  <c r="AG142" i="64"/>
  <c r="AF142" i="64"/>
  <c r="AD142" i="64"/>
  <c r="AA142" i="41"/>
  <c r="AA142" i="45"/>
  <c r="AA142" i="64"/>
  <c r="AB142" i="64"/>
  <c r="U142" i="41"/>
  <c r="U142" i="45"/>
  <c r="U142" i="64"/>
  <c r="T142" i="41"/>
  <c r="T142" i="45"/>
  <c r="T142" i="64"/>
  <c r="S142" i="41"/>
  <c r="S142" i="45"/>
  <c r="S142" i="64"/>
  <c r="R142" i="41"/>
  <c r="R142" i="45"/>
  <c r="R142" i="64"/>
  <c r="Q142" i="64"/>
  <c r="P142" i="64"/>
  <c r="O142" i="64"/>
  <c r="N142" i="64"/>
  <c r="M142" i="64"/>
  <c r="L142" i="64"/>
  <c r="K142" i="64"/>
  <c r="J142" i="64"/>
  <c r="I142" i="64"/>
  <c r="H142" i="64"/>
  <c r="G142" i="64"/>
  <c r="F142" i="64"/>
  <c r="E142" i="64"/>
  <c r="D142" i="64"/>
  <c r="C142" i="64"/>
  <c r="AG140" i="64"/>
  <c r="AI140" i="64"/>
  <c r="AH140" i="64"/>
  <c r="AF140" i="64"/>
  <c r="AD140" i="64"/>
  <c r="U140" i="41"/>
  <c r="U140" i="45"/>
  <c r="U140" i="64"/>
  <c r="T140" i="41"/>
  <c r="T140" i="45"/>
  <c r="T140" i="64"/>
  <c r="S140" i="41"/>
  <c r="S140" i="45"/>
  <c r="S140" i="64"/>
  <c r="R140" i="41"/>
  <c r="R140" i="45"/>
  <c r="R140" i="64"/>
  <c r="Q140" i="64"/>
  <c r="P140" i="64"/>
  <c r="O140" i="64"/>
  <c r="N140" i="64"/>
  <c r="M140" i="64"/>
  <c r="L140" i="64"/>
  <c r="K140" i="64"/>
  <c r="J140" i="64"/>
  <c r="I140" i="64"/>
  <c r="H140" i="64"/>
  <c r="G140" i="64"/>
  <c r="F140" i="64"/>
  <c r="E140" i="64"/>
  <c r="D140" i="64"/>
  <c r="C140" i="64"/>
  <c r="AG139" i="64"/>
  <c r="AF139" i="64"/>
  <c r="AD139" i="64"/>
  <c r="AA139" i="41"/>
  <c r="AA139" i="45"/>
  <c r="AA139" i="64"/>
  <c r="AB139" i="64"/>
  <c r="U139" i="41"/>
  <c r="U139" i="45"/>
  <c r="U139" i="64"/>
  <c r="T139" i="41"/>
  <c r="T139" i="45"/>
  <c r="T139" i="64"/>
  <c r="S139" i="41"/>
  <c r="S139" i="45"/>
  <c r="S139" i="64"/>
  <c r="R139" i="41"/>
  <c r="R139" i="45"/>
  <c r="R139" i="64"/>
  <c r="Q139" i="64"/>
  <c r="P139" i="64"/>
  <c r="O139" i="64"/>
  <c r="N139" i="64"/>
  <c r="M139" i="64"/>
  <c r="L139" i="64"/>
  <c r="K139" i="64"/>
  <c r="J139" i="64"/>
  <c r="I139" i="64"/>
  <c r="H139" i="64"/>
  <c r="G139" i="64"/>
  <c r="F139" i="64"/>
  <c r="E139" i="64"/>
  <c r="D139" i="64"/>
  <c r="C139" i="64"/>
  <c r="AG137" i="64"/>
  <c r="AI137" i="64"/>
  <c r="AH137" i="64"/>
  <c r="AF137" i="64"/>
  <c r="AD137" i="64"/>
  <c r="U137" i="41"/>
  <c r="U137" i="45"/>
  <c r="U137" i="64"/>
  <c r="T137" i="41"/>
  <c r="T137" i="45"/>
  <c r="T137" i="64"/>
  <c r="S137" i="41"/>
  <c r="S137" i="45"/>
  <c r="S137" i="64"/>
  <c r="R137" i="41"/>
  <c r="R137" i="45"/>
  <c r="R137" i="64"/>
  <c r="Q137" i="64"/>
  <c r="P137" i="64"/>
  <c r="O137" i="64"/>
  <c r="N137" i="64"/>
  <c r="M137" i="64"/>
  <c r="L137" i="64"/>
  <c r="K137" i="64"/>
  <c r="J137" i="64"/>
  <c r="I137" i="64"/>
  <c r="H137" i="64"/>
  <c r="G137" i="64"/>
  <c r="F137" i="64"/>
  <c r="E137" i="64"/>
  <c r="D137" i="64"/>
  <c r="C137" i="64"/>
  <c r="AG136" i="64"/>
  <c r="AF136" i="64"/>
  <c r="AD136" i="64"/>
  <c r="AA136" i="41"/>
  <c r="AA136" i="45"/>
  <c r="AA136" i="64"/>
  <c r="AB136" i="64"/>
  <c r="U136" i="41"/>
  <c r="U136" i="45"/>
  <c r="U136" i="64"/>
  <c r="T136" i="41"/>
  <c r="T136" i="45"/>
  <c r="T136" i="64"/>
  <c r="S136" i="41"/>
  <c r="S136" i="45"/>
  <c r="S136" i="64"/>
  <c r="R136" i="41"/>
  <c r="R136" i="45"/>
  <c r="R136" i="64"/>
  <c r="Q136" i="64"/>
  <c r="P136" i="64"/>
  <c r="O136" i="64"/>
  <c r="N136" i="64"/>
  <c r="M136" i="64"/>
  <c r="L136" i="64"/>
  <c r="K136" i="64"/>
  <c r="J136" i="64"/>
  <c r="I136" i="64"/>
  <c r="H136" i="64"/>
  <c r="G136" i="64"/>
  <c r="F136" i="64"/>
  <c r="E136" i="64"/>
  <c r="D136" i="64"/>
  <c r="C136" i="64"/>
  <c r="AG134" i="64"/>
  <c r="AI134" i="64"/>
  <c r="AH134" i="64"/>
  <c r="AF134" i="64"/>
  <c r="AD134" i="64"/>
  <c r="U134" i="41"/>
  <c r="U134" i="45"/>
  <c r="U134" i="64"/>
  <c r="T134" i="41"/>
  <c r="T134" i="45"/>
  <c r="T134" i="64"/>
  <c r="S134" i="41"/>
  <c r="S134" i="45"/>
  <c r="S134" i="64"/>
  <c r="R134" i="41"/>
  <c r="R134" i="45"/>
  <c r="R134" i="64"/>
  <c r="Q134" i="64"/>
  <c r="P134" i="64"/>
  <c r="O134" i="64"/>
  <c r="N134" i="64"/>
  <c r="M134" i="64"/>
  <c r="L134" i="64"/>
  <c r="K134" i="64"/>
  <c r="J134" i="64"/>
  <c r="I134" i="64"/>
  <c r="H134" i="64"/>
  <c r="G134" i="64"/>
  <c r="F134" i="64"/>
  <c r="E134" i="64"/>
  <c r="D134" i="64"/>
  <c r="C134" i="64"/>
  <c r="AG133" i="64"/>
  <c r="AF133" i="64"/>
  <c r="AD133" i="64"/>
  <c r="AA133" i="41"/>
  <c r="AA133" i="45"/>
  <c r="AA133" i="64"/>
  <c r="AB133" i="64"/>
  <c r="U133" i="41"/>
  <c r="U133" i="45"/>
  <c r="U133" i="64"/>
  <c r="T133" i="41"/>
  <c r="T133" i="45"/>
  <c r="T133" i="64"/>
  <c r="S133" i="41"/>
  <c r="S133" i="45"/>
  <c r="S133" i="64"/>
  <c r="R133" i="41"/>
  <c r="R133" i="45"/>
  <c r="R133" i="64"/>
  <c r="Q133" i="64"/>
  <c r="P133" i="64"/>
  <c r="O133" i="64"/>
  <c r="N133" i="64"/>
  <c r="M133" i="64"/>
  <c r="L133" i="64"/>
  <c r="K133" i="64"/>
  <c r="J133" i="64"/>
  <c r="I133" i="64"/>
  <c r="H133" i="64"/>
  <c r="G133" i="64"/>
  <c r="F133" i="64"/>
  <c r="E133" i="64"/>
  <c r="D133" i="64"/>
  <c r="C133" i="64"/>
  <c r="AG131" i="64"/>
  <c r="AI131" i="64"/>
  <c r="AH131" i="64"/>
  <c r="AF131" i="64"/>
  <c r="AD131" i="64"/>
  <c r="U131" i="41"/>
  <c r="U131" i="45"/>
  <c r="U131" i="64"/>
  <c r="T131" i="41"/>
  <c r="T131" i="45"/>
  <c r="T131" i="64"/>
  <c r="S131" i="41"/>
  <c r="S131" i="45"/>
  <c r="S131" i="64"/>
  <c r="R131" i="41"/>
  <c r="R131" i="45"/>
  <c r="R131" i="64"/>
  <c r="Q131" i="64"/>
  <c r="P131" i="64"/>
  <c r="O131" i="64"/>
  <c r="N131" i="64"/>
  <c r="M131" i="64"/>
  <c r="L131" i="64"/>
  <c r="K131" i="64"/>
  <c r="J131" i="64"/>
  <c r="I131" i="64"/>
  <c r="H131" i="64"/>
  <c r="G131" i="64"/>
  <c r="F131" i="64"/>
  <c r="E131" i="64"/>
  <c r="D131" i="64"/>
  <c r="C131" i="64"/>
  <c r="AG130" i="64"/>
  <c r="AF130" i="64"/>
  <c r="AD130" i="64"/>
  <c r="AA130" i="41"/>
  <c r="AA130" i="45"/>
  <c r="AA130" i="64"/>
  <c r="AB130" i="64"/>
  <c r="U130" i="41"/>
  <c r="U130" i="45"/>
  <c r="U130" i="64"/>
  <c r="T130" i="41"/>
  <c r="T130" i="45"/>
  <c r="T130" i="64"/>
  <c r="S130" i="41"/>
  <c r="S130" i="45"/>
  <c r="S130" i="64"/>
  <c r="R130" i="41"/>
  <c r="R130" i="45"/>
  <c r="R130" i="64"/>
  <c r="Q130" i="64"/>
  <c r="P130" i="64"/>
  <c r="O130" i="64"/>
  <c r="N130" i="64"/>
  <c r="M130" i="64"/>
  <c r="L130" i="64"/>
  <c r="K130" i="64"/>
  <c r="J130" i="64"/>
  <c r="I130" i="64"/>
  <c r="H130" i="64"/>
  <c r="G130" i="64"/>
  <c r="F130" i="64"/>
  <c r="E130" i="64"/>
  <c r="D130" i="64"/>
  <c r="C130" i="64"/>
  <c r="AG128" i="64"/>
  <c r="AI128" i="64"/>
  <c r="AH128" i="64"/>
  <c r="AF128" i="64"/>
  <c r="AD128" i="64"/>
  <c r="U128" i="41"/>
  <c r="U128" i="45"/>
  <c r="U128" i="64"/>
  <c r="T128" i="41"/>
  <c r="T128" i="45"/>
  <c r="T128" i="64"/>
  <c r="S128" i="41"/>
  <c r="S128" i="45"/>
  <c r="S128" i="64"/>
  <c r="R128" i="41"/>
  <c r="R128" i="45"/>
  <c r="R128" i="64"/>
  <c r="Q128" i="64"/>
  <c r="P128" i="64"/>
  <c r="O128" i="64"/>
  <c r="N128" i="64"/>
  <c r="M128" i="64"/>
  <c r="L128" i="64"/>
  <c r="K128" i="64"/>
  <c r="J128" i="64"/>
  <c r="I128" i="64"/>
  <c r="H128" i="64"/>
  <c r="G128" i="64"/>
  <c r="F128" i="64"/>
  <c r="E128" i="64"/>
  <c r="D128" i="64"/>
  <c r="C128" i="64"/>
  <c r="AG127" i="64"/>
  <c r="AF127" i="64"/>
  <c r="AD127" i="64"/>
  <c r="AA127" i="41"/>
  <c r="AA127" i="45"/>
  <c r="AA127" i="64"/>
  <c r="AB127" i="64"/>
  <c r="U127" i="41"/>
  <c r="U127" i="45"/>
  <c r="U127" i="64"/>
  <c r="T127" i="41"/>
  <c r="T127" i="45"/>
  <c r="T127" i="64"/>
  <c r="S127" i="41"/>
  <c r="S127" i="45"/>
  <c r="S127" i="64"/>
  <c r="R127" i="41"/>
  <c r="R127" i="45"/>
  <c r="R127" i="64"/>
  <c r="Q127" i="64"/>
  <c r="P127" i="64"/>
  <c r="O127" i="64"/>
  <c r="N127" i="64"/>
  <c r="M127" i="64"/>
  <c r="L127" i="64"/>
  <c r="K127" i="64"/>
  <c r="J127" i="64"/>
  <c r="I127" i="64"/>
  <c r="H127" i="64"/>
  <c r="G127" i="64"/>
  <c r="F127" i="64"/>
  <c r="E127" i="64"/>
  <c r="D127" i="64"/>
  <c r="C127" i="64"/>
  <c r="AG125" i="64"/>
  <c r="AI125" i="64"/>
  <c r="AH125" i="64"/>
  <c r="AF125" i="64"/>
  <c r="AD125" i="64"/>
  <c r="U125" i="41"/>
  <c r="U125" i="45"/>
  <c r="U125" i="64"/>
  <c r="T125" i="41"/>
  <c r="T125" i="45"/>
  <c r="T125" i="64"/>
  <c r="S125" i="41"/>
  <c r="S125" i="45"/>
  <c r="S125" i="64"/>
  <c r="R125" i="41"/>
  <c r="R125" i="45"/>
  <c r="R125" i="64"/>
  <c r="Q125" i="41"/>
  <c r="Q125" i="45"/>
  <c r="Q125" i="64"/>
  <c r="P125" i="41"/>
  <c r="P125" i="45"/>
  <c r="P125" i="64"/>
  <c r="O125" i="41"/>
  <c r="O125" i="45"/>
  <c r="O125" i="64"/>
  <c r="N125" i="41"/>
  <c r="N125" i="45"/>
  <c r="N125" i="64"/>
  <c r="M125" i="41"/>
  <c r="M125" i="45"/>
  <c r="M125" i="64"/>
  <c r="L125" i="41"/>
  <c r="L125" i="45"/>
  <c r="L125" i="64"/>
  <c r="K125" i="41"/>
  <c r="K125" i="45"/>
  <c r="K125" i="64"/>
  <c r="J125" i="41"/>
  <c r="J125" i="45"/>
  <c r="J125" i="64"/>
  <c r="I125" i="41"/>
  <c r="I125" i="45"/>
  <c r="I125" i="64"/>
  <c r="H125" i="41"/>
  <c r="H125" i="45"/>
  <c r="H125" i="64"/>
  <c r="G125" i="41"/>
  <c r="G125" i="45"/>
  <c r="G125" i="64"/>
  <c r="F125" i="41"/>
  <c r="F125" i="45"/>
  <c r="F125" i="64"/>
  <c r="E125" i="41"/>
  <c r="E125" i="45"/>
  <c r="E125" i="64"/>
  <c r="D125" i="41"/>
  <c r="D125" i="45"/>
  <c r="D125" i="64"/>
  <c r="C125" i="41"/>
  <c r="C125" i="45"/>
  <c r="C125" i="64"/>
  <c r="AG124" i="64"/>
  <c r="AF124" i="64"/>
  <c r="AD124" i="64"/>
  <c r="AA124" i="41"/>
  <c r="AA124" i="45"/>
  <c r="AA124" i="64"/>
  <c r="AB124" i="64"/>
  <c r="U124" i="41"/>
  <c r="U124" i="45"/>
  <c r="U124" i="64"/>
  <c r="T124" i="41"/>
  <c r="T124" i="45"/>
  <c r="T124" i="64"/>
  <c r="S124" i="41"/>
  <c r="S124" i="45"/>
  <c r="S124" i="64"/>
  <c r="R124" i="41"/>
  <c r="R124" i="45"/>
  <c r="R124" i="64"/>
  <c r="Q124" i="41"/>
  <c r="Q124" i="45"/>
  <c r="Q124" i="64"/>
  <c r="P124" i="41"/>
  <c r="P124" i="45"/>
  <c r="P124" i="64"/>
  <c r="O124" i="41"/>
  <c r="O124" i="45"/>
  <c r="O124" i="64"/>
  <c r="N124" i="41"/>
  <c r="N124" i="45"/>
  <c r="N124" i="64"/>
  <c r="M124" i="41"/>
  <c r="M124" i="45"/>
  <c r="M124" i="64"/>
  <c r="L124" i="41"/>
  <c r="L124" i="45"/>
  <c r="L124" i="64"/>
  <c r="K124" i="41"/>
  <c r="K124" i="45"/>
  <c r="K124" i="64"/>
  <c r="J124" i="41"/>
  <c r="J124" i="45"/>
  <c r="J124" i="64"/>
  <c r="I124" i="41"/>
  <c r="I124" i="45"/>
  <c r="I124" i="64"/>
  <c r="H124" i="41"/>
  <c r="H124" i="45"/>
  <c r="H124" i="64"/>
  <c r="G124" i="41"/>
  <c r="G124" i="45"/>
  <c r="G124" i="64"/>
  <c r="F124" i="41"/>
  <c r="F124" i="45"/>
  <c r="F124" i="64"/>
  <c r="E124" i="41"/>
  <c r="E124" i="45"/>
  <c r="E124" i="64"/>
  <c r="D124" i="41"/>
  <c r="D124" i="45"/>
  <c r="D124" i="64"/>
  <c r="C124" i="41"/>
  <c r="C124" i="45"/>
  <c r="C124" i="64"/>
  <c r="AG122" i="64"/>
  <c r="AI122" i="64"/>
  <c r="AH122" i="64"/>
  <c r="AF122" i="64"/>
  <c r="AD122" i="64"/>
  <c r="U122" i="41"/>
  <c r="U122" i="45"/>
  <c r="U122" i="64"/>
  <c r="T122" i="41"/>
  <c r="T122" i="45"/>
  <c r="T122" i="64"/>
  <c r="S122" i="41"/>
  <c r="S122" i="45"/>
  <c r="S122" i="64"/>
  <c r="R122" i="41"/>
  <c r="R122" i="45"/>
  <c r="R122" i="64"/>
  <c r="Q122" i="64"/>
  <c r="P122" i="64"/>
  <c r="O122" i="64"/>
  <c r="N122" i="64"/>
  <c r="M122" i="64"/>
  <c r="L122" i="64"/>
  <c r="K122" i="64"/>
  <c r="J122" i="64"/>
  <c r="I122" i="64"/>
  <c r="H122" i="64"/>
  <c r="G122" i="64"/>
  <c r="F122" i="64"/>
  <c r="E122" i="64"/>
  <c r="D122" i="64"/>
  <c r="C122" i="64"/>
  <c r="AG121" i="64"/>
  <c r="AF121" i="64"/>
  <c r="AD121" i="64"/>
  <c r="AA121" i="41"/>
  <c r="AA121" i="45"/>
  <c r="AA121" i="64"/>
  <c r="AB121" i="64"/>
  <c r="U121" i="41"/>
  <c r="U121" i="45"/>
  <c r="U121" i="64"/>
  <c r="T121" i="41"/>
  <c r="T121" i="45"/>
  <c r="T121" i="64"/>
  <c r="S121" i="41"/>
  <c r="S121" i="45"/>
  <c r="S121" i="64"/>
  <c r="R121" i="41"/>
  <c r="R121" i="45"/>
  <c r="R121" i="64"/>
  <c r="Q121" i="64"/>
  <c r="P121" i="64"/>
  <c r="O121" i="64"/>
  <c r="N121" i="64"/>
  <c r="M121" i="64"/>
  <c r="L121" i="64"/>
  <c r="K121" i="64"/>
  <c r="J121" i="64"/>
  <c r="I121" i="64"/>
  <c r="H121" i="64"/>
  <c r="G121" i="64"/>
  <c r="F121" i="64"/>
  <c r="E121" i="64"/>
  <c r="D121" i="64"/>
  <c r="C121" i="64"/>
  <c r="AG119" i="64"/>
  <c r="AI119" i="64"/>
  <c r="AH119" i="64"/>
  <c r="AF119" i="64"/>
  <c r="AD119" i="64"/>
  <c r="U119" i="41"/>
  <c r="U119" i="45"/>
  <c r="U119" i="64"/>
  <c r="T119" i="41"/>
  <c r="T119" i="45"/>
  <c r="T119" i="64"/>
  <c r="S119" i="41"/>
  <c r="S119" i="45"/>
  <c r="S119" i="64"/>
  <c r="R119" i="41"/>
  <c r="R119" i="45"/>
  <c r="R119" i="64"/>
  <c r="Q119" i="64"/>
  <c r="P119" i="64"/>
  <c r="O119" i="64"/>
  <c r="N119" i="64"/>
  <c r="M119" i="64"/>
  <c r="L119" i="64"/>
  <c r="K119" i="64"/>
  <c r="J119" i="64"/>
  <c r="I119" i="64"/>
  <c r="H119" i="64"/>
  <c r="G119" i="64"/>
  <c r="F119" i="64"/>
  <c r="E119" i="64"/>
  <c r="D119" i="64"/>
  <c r="C119" i="64"/>
  <c r="AG118" i="64"/>
  <c r="AF118" i="64"/>
  <c r="AD118" i="64"/>
  <c r="AA118" i="41"/>
  <c r="AA118" i="45"/>
  <c r="AA118" i="64"/>
  <c r="AB118" i="64"/>
  <c r="U118" i="41"/>
  <c r="U118" i="45"/>
  <c r="U118" i="64"/>
  <c r="T118" i="41"/>
  <c r="T118" i="45"/>
  <c r="T118" i="64"/>
  <c r="S118" i="41"/>
  <c r="S118" i="45"/>
  <c r="S118" i="64"/>
  <c r="R118" i="41"/>
  <c r="R118" i="45"/>
  <c r="R118" i="64"/>
  <c r="Q118" i="64"/>
  <c r="P118" i="64"/>
  <c r="O118" i="64"/>
  <c r="N118" i="64"/>
  <c r="M118" i="64"/>
  <c r="L118" i="64"/>
  <c r="K118" i="64"/>
  <c r="J118" i="64"/>
  <c r="I118" i="64"/>
  <c r="H118" i="64"/>
  <c r="G118" i="64"/>
  <c r="F118" i="64"/>
  <c r="E118" i="64"/>
  <c r="D118" i="64"/>
  <c r="C118" i="64"/>
  <c r="AG116" i="64"/>
  <c r="AI116" i="64"/>
  <c r="AH116" i="64"/>
  <c r="AF116" i="64"/>
  <c r="AD116" i="64"/>
  <c r="U116" i="41"/>
  <c r="U116" i="45"/>
  <c r="U116" i="64"/>
  <c r="T116" i="41"/>
  <c r="T116" i="45"/>
  <c r="T116" i="64"/>
  <c r="S116" i="41"/>
  <c r="S116" i="45"/>
  <c r="S116" i="64"/>
  <c r="R116" i="41"/>
  <c r="R116" i="45"/>
  <c r="R116" i="64"/>
  <c r="Q116" i="64"/>
  <c r="P116" i="64"/>
  <c r="O116" i="64"/>
  <c r="N116" i="64"/>
  <c r="M116" i="64"/>
  <c r="L116" i="64"/>
  <c r="K116" i="64"/>
  <c r="J116" i="64"/>
  <c r="I116" i="64"/>
  <c r="H116" i="64"/>
  <c r="G116" i="64"/>
  <c r="F116" i="64"/>
  <c r="E116" i="64"/>
  <c r="D116" i="64"/>
  <c r="C116" i="64"/>
  <c r="AG115" i="64"/>
  <c r="AF115" i="64"/>
  <c r="AD115" i="64"/>
  <c r="AA115" i="41"/>
  <c r="AA115" i="45"/>
  <c r="AA115" i="64"/>
  <c r="AB115" i="64"/>
  <c r="U115" i="41"/>
  <c r="U115" i="45"/>
  <c r="U115" i="64"/>
  <c r="T115" i="41"/>
  <c r="T115" i="45"/>
  <c r="T115" i="64"/>
  <c r="S115" i="41"/>
  <c r="S115" i="45"/>
  <c r="S115" i="64"/>
  <c r="R115" i="41"/>
  <c r="R115" i="45"/>
  <c r="R115" i="64"/>
  <c r="Q115" i="64"/>
  <c r="P115" i="64"/>
  <c r="O115" i="64"/>
  <c r="N115" i="64"/>
  <c r="M115" i="64"/>
  <c r="L115" i="64"/>
  <c r="K115" i="64"/>
  <c r="J115" i="64"/>
  <c r="I115" i="64"/>
  <c r="H115" i="64"/>
  <c r="G115" i="64"/>
  <c r="F115" i="64"/>
  <c r="E115" i="64"/>
  <c r="D115" i="64"/>
  <c r="C115" i="64"/>
  <c r="AG113" i="64"/>
  <c r="AN113" i="64"/>
  <c r="AP113" i="64"/>
  <c r="AO113" i="64"/>
  <c r="AF113" i="64"/>
  <c r="AM113" i="64"/>
  <c r="AD113" i="64"/>
  <c r="AK113" i="64"/>
  <c r="AI113" i="64"/>
  <c r="AH113" i="64"/>
  <c r="U113" i="41"/>
  <c r="U113" i="45"/>
  <c r="U113" i="64"/>
  <c r="T113" i="41"/>
  <c r="T113" i="45"/>
  <c r="T113" i="64"/>
  <c r="S113" i="41"/>
  <c r="S113" i="45"/>
  <c r="S113" i="64"/>
  <c r="R113" i="41"/>
  <c r="R113" i="45"/>
  <c r="R113" i="64"/>
  <c r="Q113" i="41"/>
  <c r="Q113" i="45"/>
  <c r="Q113" i="64"/>
  <c r="P113" i="41"/>
  <c r="P113" i="45"/>
  <c r="P113" i="64"/>
  <c r="O113" i="41"/>
  <c r="O113" i="45"/>
  <c r="O113" i="64"/>
  <c r="N113" i="41"/>
  <c r="N113" i="45"/>
  <c r="N113" i="64"/>
  <c r="M113" i="41"/>
  <c r="M113" i="45"/>
  <c r="M113" i="64"/>
  <c r="L113" i="41"/>
  <c r="L113" i="45"/>
  <c r="L113" i="64"/>
  <c r="K113" i="41"/>
  <c r="K113" i="45"/>
  <c r="K113" i="64"/>
  <c r="J113" i="41"/>
  <c r="J113" i="45"/>
  <c r="J113" i="64"/>
  <c r="I113" i="41"/>
  <c r="I113" i="45"/>
  <c r="I113" i="64"/>
  <c r="H113" i="41"/>
  <c r="H113" i="45"/>
  <c r="H113" i="64"/>
  <c r="G113" i="41"/>
  <c r="G113" i="45"/>
  <c r="G113" i="64"/>
  <c r="F113" i="41"/>
  <c r="F113" i="45"/>
  <c r="F113" i="64"/>
  <c r="E113" i="41"/>
  <c r="E113" i="45"/>
  <c r="E113" i="64"/>
  <c r="D113" i="41"/>
  <c r="D113" i="45"/>
  <c r="D113" i="64"/>
  <c r="C113" i="41"/>
  <c r="C113" i="45"/>
  <c r="C113" i="64"/>
  <c r="AG112" i="64"/>
  <c r="AN112" i="64"/>
  <c r="AF112" i="64"/>
  <c r="AM112" i="64"/>
  <c r="AD112" i="64"/>
  <c r="AK112" i="64"/>
  <c r="AA112" i="41"/>
  <c r="AA112" i="45"/>
  <c r="AA112" i="64"/>
  <c r="AB112" i="64"/>
  <c r="U112" i="41"/>
  <c r="U112" i="45"/>
  <c r="U112" i="64"/>
  <c r="T112" i="41"/>
  <c r="T112" i="45"/>
  <c r="T112" i="64"/>
  <c r="S112" i="41"/>
  <c r="S112" i="45"/>
  <c r="S112" i="64"/>
  <c r="R112" i="41"/>
  <c r="R112" i="45"/>
  <c r="R112" i="64"/>
  <c r="Q112" i="41"/>
  <c r="Q112" i="45"/>
  <c r="Q112" i="64"/>
  <c r="P112" i="41"/>
  <c r="P112" i="45"/>
  <c r="P112" i="64"/>
  <c r="O112" i="41"/>
  <c r="O112" i="45"/>
  <c r="O112" i="64"/>
  <c r="N112" i="41"/>
  <c r="N112" i="45"/>
  <c r="N112" i="64"/>
  <c r="M112" i="41"/>
  <c r="M112" i="45"/>
  <c r="M112" i="64"/>
  <c r="L112" i="41"/>
  <c r="L112" i="45"/>
  <c r="L112" i="64"/>
  <c r="K112" i="41"/>
  <c r="K112" i="45"/>
  <c r="K112" i="64"/>
  <c r="J112" i="41"/>
  <c r="J112" i="45"/>
  <c r="J112" i="64"/>
  <c r="I112" i="41"/>
  <c r="I112" i="45"/>
  <c r="I112" i="64"/>
  <c r="H112" i="41"/>
  <c r="H112" i="45"/>
  <c r="H112" i="64"/>
  <c r="G112" i="41"/>
  <c r="G112" i="45"/>
  <c r="G112" i="64"/>
  <c r="F112" i="41"/>
  <c r="F112" i="45"/>
  <c r="F112" i="64"/>
  <c r="E112" i="41"/>
  <c r="E112" i="45"/>
  <c r="E112" i="64"/>
  <c r="D112" i="41"/>
  <c r="D112" i="45"/>
  <c r="D112" i="64"/>
  <c r="C112" i="41"/>
  <c r="C112" i="45"/>
  <c r="C112" i="64"/>
  <c r="AG3" i="64"/>
  <c r="AF3" i="64"/>
  <c r="AD3" i="64"/>
  <c r="AG2" i="64"/>
  <c r="AN2" i="64"/>
  <c r="AF2" i="64"/>
  <c r="AM2" i="64"/>
  <c r="AK2" i="64"/>
  <c r="Z146" i="7"/>
  <c r="Y146" i="7"/>
  <c r="X146" i="7"/>
  <c r="W146" i="7"/>
  <c r="Z145" i="7"/>
  <c r="Y145" i="7"/>
  <c r="X145" i="7"/>
  <c r="W145" i="7"/>
  <c r="Z143" i="7"/>
  <c r="Y143" i="7"/>
  <c r="X143" i="7"/>
  <c r="W143" i="7"/>
  <c r="Z142" i="7"/>
  <c r="Y142" i="7"/>
  <c r="X142" i="7"/>
  <c r="W142" i="7"/>
  <c r="Z140" i="7"/>
  <c r="Y140" i="7"/>
  <c r="X140" i="7"/>
  <c r="W140" i="7"/>
  <c r="Z139" i="7"/>
  <c r="Y139" i="7"/>
  <c r="X139" i="7"/>
  <c r="W139" i="7"/>
  <c r="Z137" i="7"/>
  <c r="Y137" i="7"/>
  <c r="X137" i="7"/>
  <c r="W137" i="7"/>
  <c r="Z136" i="7"/>
  <c r="Y136" i="7"/>
  <c r="X136" i="7"/>
  <c r="W136" i="7"/>
  <c r="Z134" i="7"/>
  <c r="Y134" i="7"/>
  <c r="X134" i="7"/>
  <c r="W134" i="7"/>
  <c r="Z133" i="7"/>
  <c r="Y133" i="7"/>
  <c r="X133" i="7"/>
  <c r="W133" i="7"/>
  <c r="Z131" i="7"/>
  <c r="Y131" i="7"/>
  <c r="X131" i="7"/>
  <c r="W131" i="7"/>
  <c r="Z130" i="7"/>
  <c r="Y130" i="7"/>
  <c r="X130" i="7"/>
  <c r="W130" i="7"/>
  <c r="Z128" i="7"/>
  <c r="Y128" i="7"/>
  <c r="X128" i="7"/>
  <c r="W128" i="7"/>
  <c r="Z127" i="7"/>
  <c r="Y127" i="7"/>
  <c r="X127" i="7"/>
  <c r="W127" i="7"/>
  <c r="Z125" i="7"/>
  <c r="Y125" i="7"/>
  <c r="X125" i="7"/>
  <c r="W125" i="7"/>
  <c r="Z124" i="7"/>
  <c r="Y124" i="7"/>
  <c r="X124" i="7"/>
  <c r="W124" i="7"/>
  <c r="Z122" i="7"/>
  <c r="Y122" i="7"/>
  <c r="X122" i="7"/>
  <c r="W122" i="7"/>
  <c r="Z121" i="7"/>
  <c r="Y121" i="7"/>
  <c r="X121" i="7"/>
  <c r="W121" i="7"/>
  <c r="Z119" i="7"/>
  <c r="Y119" i="7"/>
  <c r="X119" i="7"/>
  <c r="W119" i="7"/>
  <c r="Z118" i="7"/>
  <c r="Y118" i="7"/>
  <c r="X118" i="7"/>
  <c r="W118" i="7"/>
  <c r="Z116" i="7"/>
  <c r="Y116" i="7"/>
  <c r="X116" i="7"/>
  <c r="W116" i="7"/>
  <c r="Z115" i="7"/>
  <c r="Y115" i="7"/>
  <c r="X115" i="7"/>
  <c r="W115" i="7"/>
  <c r="Z113" i="7"/>
  <c r="Y113" i="7"/>
  <c r="X113" i="7"/>
  <c r="W113" i="7"/>
  <c r="Z112" i="7"/>
  <c r="Y112" i="7"/>
  <c r="X112" i="7"/>
  <c r="W112" i="7"/>
  <c r="Z110" i="41"/>
  <c r="Z110" i="45"/>
  <c r="Z110" i="7"/>
  <c r="Y110" i="41"/>
  <c r="Y110" i="45"/>
  <c r="Y110" i="7"/>
  <c r="X110" i="41"/>
  <c r="X110" i="45"/>
  <c r="X110" i="7"/>
  <c r="W110" i="41"/>
  <c r="W110" i="45"/>
  <c r="W110" i="7"/>
  <c r="Z109" i="41"/>
  <c r="Z109" i="45"/>
  <c r="Z109" i="7"/>
  <c r="Y109" i="41"/>
  <c r="Y109" i="45"/>
  <c r="Y109" i="7"/>
  <c r="X109" i="41"/>
  <c r="X109" i="45"/>
  <c r="X109" i="7"/>
  <c r="W109" i="41"/>
  <c r="W109" i="45"/>
  <c r="W109" i="7"/>
  <c r="Z107" i="41"/>
  <c r="Z107" i="45"/>
  <c r="Z107" i="7"/>
  <c r="Y107" i="41"/>
  <c r="Y107" i="45"/>
  <c r="Y107" i="7"/>
  <c r="X107" i="41"/>
  <c r="X107" i="45"/>
  <c r="X107" i="7"/>
  <c r="W107" i="41"/>
  <c r="W107" i="45"/>
  <c r="W107" i="7"/>
  <c r="Z106" i="41"/>
  <c r="Z106" i="45"/>
  <c r="Z106" i="7"/>
  <c r="Y106" i="41"/>
  <c r="Y106" i="45"/>
  <c r="Y106" i="7"/>
  <c r="X106" i="41"/>
  <c r="X106" i="45"/>
  <c r="X106" i="7"/>
  <c r="W106" i="41"/>
  <c r="W106" i="45"/>
  <c r="W106" i="7"/>
  <c r="Z83" i="41"/>
  <c r="Z83" i="45"/>
  <c r="Z83" i="7"/>
  <c r="Y83" i="41"/>
  <c r="Y83" i="45"/>
  <c r="Y83" i="7"/>
  <c r="X83" i="41"/>
  <c r="X83" i="45"/>
  <c r="X83" i="7"/>
  <c r="W83" i="45"/>
  <c r="W83" i="41"/>
  <c r="W83" i="7"/>
  <c r="Z82" i="41"/>
  <c r="Z82" i="45"/>
  <c r="Z82" i="7"/>
  <c r="Y82" i="41"/>
  <c r="Y82" i="45"/>
  <c r="Y82" i="7"/>
  <c r="X82" i="41"/>
  <c r="X82" i="45"/>
  <c r="X82" i="7"/>
  <c r="W82" i="41"/>
  <c r="W82" i="45"/>
  <c r="W82" i="7"/>
  <c r="Z80" i="41"/>
  <c r="Z80" i="45"/>
  <c r="Z80" i="7"/>
  <c r="Y80" i="41"/>
  <c r="Y80" i="45"/>
  <c r="Y80" i="7"/>
  <c r="X80" i="41"/>
  <c r="X80" i="45"/>
  <c r="X80" i="7"/>
  <c r="W80" i="45"/>
  <c r="W80" i="41"/>
  <c r="W80" i="7"/>
  <c r="Z79" i="41"/>
  <c r="Z79" i="45"/>
  <c r="Z79" i="7"/>
  <c r="Y79" i="41"/>
  <c r="Y79" i="45"/>
  <c r="Y79" i="7"/>
  <c r="X79" i="41"/>
  <c r="X79" i="45"/>
  <c r="X79" i="7"/>
  <c r="W79" i="41"/>
  <c r="W79" i="45"/>
  <c r="W79" i="7"/>
  <c r="Z77" i="41"/>
  <c r="Z77" i="45"/>
  <c r="Z77" i="7"/>
  <c r="Y77" i="41"/>
  <c r="Y77" i="45"/>
  <c r="Y77" i="7"/>
  <c r="X77" i="41"/>
  <c r="X77" i="45"/>
  <c r="X77" i="7"/>
  <c r="W77" i="45"/>
  <c r="W77" i="41"/>
  <c r="W77" i="7"/>
  <c r="Z76" i="41"/>
  <c r="Z76" i="45"/>
  <c r="Z76" i="7"/>
  <c r="Y76" i="41"/>
  <c r="Y76" i="45"/>
  <c r="Y76" i="7"/>
  <c r="X76" i="41"/>
  <c r="X76" i="45"/>
  <c r="X76" i="7"/>
  <c r="W76" i="41"/>
  <c r="W76" i="45"/>
  <c r="W76" i="7"/>
  <c r="Z74" i="41"/>
  <c r="Z74" i="45"/>
  <c r="Z74" i="7"/>
  <c r="Y74" i="41"/>
  <c r="Y74" i="45"/>
  <c r="Y74" i="7"/>
  <c r="X74" i="41"/>
  <c r="X74" i="45"/>
  <c r="X74" i="7"/>
  <c r="W74" i="45"/>
  <c r="W74" i="41"/>
  <c r="W74" i="7"/>
  <c r="Z73" i="41"/>
  <c r="Z73" i="45"/>
  <c r="Z73" i="7"/>
  <c r="Y73" i="41"/>
  <c r="Y73" i="45"/>
  <c r="Y73" i="7"/>
  <c r="X73" i="41"/>
  <c r="X73" i="45"/>
  <c r="X73" i="7"/>
  <c r="W73" i="41"/>
  <c r="W73" i="45"/>
  <c r="W73" i="7"/>
  <c r="Z71" i="41"/>
  <c r="Z71" i="45"/>
  <c r="Z71" i="7"/>
  <c r="Y71" i="41"/>
  <c r="Y71" i="45"/>
  <c r="Y71" i="7"/>
  <c r="X71" i="41"/>
  <c r="X71" i="45"/>
  <c r="X71" i="7"/>
  <c r="W71" i="41"/>
  <c r="W71" i="45"/>
  <c r="W71" i="7"/>
  <c r="Z70" i="41"/>
  <c r="Z70" i="45"/>
  <c r="Z70" i="7"/>
  <c r="Y70" i="41"/>
  <c r="Y70" i="45"/>
  <c r="Y70" i="7"/>
  <c r="X70" i="41"/>
  <c r="X70" i="45"/>
  <c r="X70" i="7"/>
  <c r="W70" i="41"/>
  <c r="W70" i="45"/>
  <c r="W70" i="7"/>
  <c r="Z68" i="41"/>
  <c r="Z68" i="45"/>
  <c r="Z68" i="7"/>
  <c r="Y68" i="41"/>
  <c r="Y68" i="45"/>
  <c r="Y68" i="7"/>
  <c r="X68" i="41"/>
  <c r="X68" i="45"/>
  <c r="X68" i="7"/>
  <c r="W68" i="41"/>
  <c r="W68" i="45"/>
  <c r="W68" i="7"/>
  <c r="Z67" i="41"/>
  <c r="Z67" i="45"/>
  <c r="Z67" i="7"/>
  <c r="Y67" i="41"/>
  <c r="Y67" i="45"/>
  <c r="Y67" i="7"/>
  <c r="X67" i="41"/>
  <c r="X67" i="45"/>
  <c r="X67" i="7"/>
  <c r="W67" i="41"/>
  <c r="W67" i="45"/>
  <c r="W67" i="7"/>
  <c r="Z65" i="41"/>
  <c r="Z65" i="45"/>
  <c r="Z65" i="7"/>
  <c r="Y65" i="41"/>
  <c r="Y65" i="45"/>
  <c r="Y65" i="7"/>
  <c r="X65" i="41"/>
  <c r="X65" i="45"/>
  <c r="X65" i="7"/>
  <c r="W65" i="41"/>
  <c r="W65" i="45"/>
  <c r="W65" i="7"/>
  <c r="Z64" i="41"/>
  <c r="Z64" i="45"/>
  <c r="Z64" i="7"/>
  <c r="Y64" i="41"/>
  <c r="Y64" i="45"/>
  <c r="Y64" i="7"/>
  <c r="X64" i="41"/>
  <c r="X64" i="45"/>
  <c r="X64" i="7"/>
  <c r="W64" i="41"/>
  <c r="W64" i="45"/>
  <c r="W64" i="7"/>
  <c r="Z62" i="41"/>
  <c r="Z62" i="45"/>
  <c r="Z62" i="7"/>
  <c r="Y62" i="41"/>
  <c r="Y62" i="45"/>
  <c r="Y62" i="7"/>
  <c r="X62" i="41"/>
  <c r="X62" i="45"/>
  <c r="X62" i="7"/>
  <c r="W62" i="41"/>
  <c r="W62" i="45"/>
  <c r="W62" i="7"/>
  <c r="Z61" i="41"/>
  <c r="Z61" i="45"/>
  <c r="Z61" i="7"/>
  <c r="Y61" i="41"/>
  <c r="Y61" i="45"/>
  <c r="Y61" i="7"/>
  <c r="X61" i="41"/>
  <c r="X61" i="45"/>
  <c r="X61" i="7"/>
  <c r="W61" i="41"/>
  <c r="W61" i="45"/>
  <c r="W61" i="7"/>
  <c r="Z59" i="41"/>
  <c r="Z59" i="45"/>
  <c r="Z59" i="7"/>
  <c r="Y59" i="41"/>
  <c r="Y59" i="45"/>
  <c r="Y59" i="7"/>
  <c r="X59" i="41"/>
  <c r="X59" i="45"/>
  <c r="X59" i="7"/>
  <c r="W59" i="41"/>
  <c r="W59" i="45"/>
  <c r="W59" i="7"/>
  <c r="Z58" i="41"/>
  <c r="Z58" i="45"/>
  <c r="Z58" i="7"/>
  <c r="Y58" i="41"/>
  <c r="Y58" i="45"/>
  <c r="Y58" i="7"/>
  <c r="X58" i="41"/>
  <c r="X58" i="45"/>
  <c r="X58" i="7"/>
  <c r="W58" i="41"/>
  <c r="W58" i="45"/>
  <c r="W58" i="7"/>
  <c r="Z50" i="41"/>
  <c r="Z50" i="45"/>
  <c r="Z50" i="7"/>
  <c r="Y50" i="41"/>
  <c r="Y50" i="45"/>
  <c r="Y50" i="7"/>
  <c r="X50" i="41"/>
  <c r="X50" i="45"/>
  <c r="X50" i="7"/>
  <c r="W50" i="41"/>
  <c r="W50" i="45"/>
  <c r="W50" i="7"/>
  <c r="Z49" i="41"/>
  <c r="Z49" i="45"/>
  <c r="Z49" i="7"/>
  <c r="Y49" i="41"/>
  <c r="Y49" i="45"/>
  <c r="Y49" i="7"/>
  <c r="X49" i="41"/>
  <c r="X49" i="45"/>
  <c r="X49" i="7"/>
  <c r="W49" i="41"/>
  <c r="W49" i="45"/>
  <c r="W49" i="7"/>
  <c r="Z41" i="41"/>
  <c r="Z41" i="45"/>
  <c r="Z41" i="7"/>
  <c r="Y41" i="41"/>
  <c r="Y41" i="45"/>
  <c r="Y41" i="7"/>
  <c r="X41" i="41"/>
  <c r="X41" i="45"/>
  <c r="X41" i="7"/>
  <c r="W41" i="41"/>
  <c r="W41" i="45"/>
  <c r="W41" i="7"/>
  <c r="Z40" i="41"/>
  <c r="Z40" i="45"/>
  <c r="Z40" i="7"/>
  <c r="Y40" i="41"/>
  <c r="Y40" i="45"/>
  <c r="Y40" i="7"/>
  <c r="X40" i="41"/>
  <c r="X40" i="45"/>
  <c r="X40" i="7"/>
  <c r="W40" i="41"/>
  <c r="W40" i="45"/>
  <c r="W40" i="7"/>
  <c r="Z38" i="41"/>
  <c r="Z38" i="45"/>
  <c r="Z38" i="7"/>
  <c r="Y38" i="41"/>
  <c r="Y38" i="45"/>
  <c r="Y38" i="7"/>
  <c r="X38" i="41"/>
  <c r="X38" i="45"/>
  <c r="X38" i="7"/>
  <c r="W38" i="41"/>
  <c r="W38" i="45"/>
  <c r="W38" i="7"/>
  <c r="Z37" i="41"/>
  <c r="Z37" i="45"/>
  <c r="Z37" i="7"/>
  <c r="Y37" i="41"/>
  <c r="Y37" i="45"/>
  <c r="Y37" i="7"/>
  <c r="X37" i="41"/>
  <c r="X37" i="45"/>
  <c r="X37" i="7"/>
  <c r="W37" i="41"/>
  <c r="W37" i="45"/>
  <c r="W37" i="7"/>
  <c r="Z35" i="41"/>
  <c r="Z35" i="45"/>
  <c r="Z35" i="7"/>
  <c r="Y35" i="41"/>
  <c r="Y35" i="45"/>
  <c r="Y35" i="7"/>
  <c r="X35" i="41"/>
  <c r="X35" i="45"/>
  <c r="X35" i="7"/>
  <c r="W35" i="41"/>
  <c r="W35" i="45"/>
  <c r="W35" i="7"/>
  <c r="Z34" i="41"/>
  <c r="Z34" i="45"/>
  <c r="Z34" i="7"/>
  <c r="Y34" i="41"/>
  <c r="Y34" i="45"/>
  <c r="Y34" i="7"/>
  <c r="X34" i="41"/>
  <c r="X34" i="45"/>
  <c r="X34" i="7"/>
  <c r="W34" i="41"/>
  <c r="W34" i="45"/>
  <c r="W34" i="7"/>
  <c r="Z32" i="41"/>
  <c r="Z32" i="45"/>
  <c r="Z32" i="7"/>
  <c r="Y32" i="41"/>
  <c r="Y32" i="45"/>
  <c r="Y32" i="7"/>
  <c r="X32" i="41"/>
  <c r="X32" i="45"/>
  <c r="X32" i="7"/>
  <c r="Z31" i="41"/>
  <c r="Z31" i="45"/>
  <c r="Z31" i="7"/>
  <c r="Y31" i="41"/>
  <c r="Y31" i="45"/>
  <c r="Y31" i="7"/>
  <c r="X31" i="41"/>
  <c r="X31" i="45"/>
  <c r="X31" i="7"/>
  <c r="W32" i="41"/>
  <c r="W32" i="45"/>
  <c r="W32" i="7"/>
  <c r="W31" i="41"/>
  <c r="W31" i="45"/>
  <c r="W31" i="7"/>
  <c r="R146" i="61"/>
  <c r="R143" i="61"/>
  <c r="R140" i="61"/>
  <c r="R137" i="61"/>
  <c r="R134" i="61"/>
  <c r="R131" i="61"/>
  <c r="R128" i="61"/>
  <c r="R125" i="61"/>
  <c r="N125" i="61"/>
  <c r="C124" i="61"/>
  <c r="C125" i="61"/>
  <c r="N124" i="61"/>
  <c r="O124" i="61"/>
  <c r="P124" i="61"/>
  <c r="Q124" i="61"/>
  <c r="I124" i="61"/>
  <c r="J124" i="61"/>
  <c r="K124" i="61"/>
  <c r="L124" i="61"/>
  <c r="M124" i="61"/>
  <c r="D124" i="61"/>
  <c r="E124" i="61"/>
  <c r="F124" i="61"/>
  <c r="G124" i="61"/>
  <c r="H124" i="61"/>
  <c r="R122" i="61"/>
  <c r="R119" i="61"/>
  <c r="R116" i="61"/>
  <c r="R113" i="61"/>
  <c r="N113" i="61"/>
  <c r="I113" i="61"/>
  <c r="C112" i="61"/>
  <c r="C113" i="61"/>
  <c r="N112" i="61"/>
  <c r="O112" i="61"/>
  <c r="P112" i="61"/>
  <c r="Q112" i="61"/>
  <c r="I112" i="61"/>
  <c r="J112" i="61"/>
  <c r="K112" i="61"/>
  <c r="L112" i="61"/>
  <c r="M112" i="61"/>
  <c r="D112" i="61"/>
  <c r="E112" i="61"/>
  <c r="F112" i="61"/>
  <c r="G112" i="61"/>
  <c r="H112" i="61"/>
  <c r="AG146" i="62"/>
  <c r="AI146" i="62"/>
  <c r="AH146" i="62"/>
  <c r="AF146" i="62"/>
  <c r="AD146" i="62"/>
  <c r="R146" i="62"/>
  <c r="AG145" i="62"/>
  <c r="AF145" i="62"/>
  <c r="AD145" i="62"/>
  <c r="AA145" i="62"/>
  <c r="AB145" i="62"/>
  <c r="AG143" i="62"/>
  <c r="AI143" i="62"/>
  <c r="AH143" i="62"/>
  <c r="AF143" i="62"/>
  <c r="AD143" i="62"/>
  <c r="R143" i="62"/>
  <c r="AG142" i="62"/>
  <c r="AF142" i="62"/>
  <c r="AD142" i="62"/>
  <c r="AA142" i="62"/>
  <c r="AB142" i="62"/>
  <c r="AG140" i="62"/>
  <c r="AI140" i="62"/>
  <c r="AH140" i="62"/>
  <c r="AF140" i="62"/>
  <c r="AD140" i="62"/>
  <c r="R140" i="62"/>
  <c r="AG139" i="62"/>
  <c r="AF139" i="62"/>
  <c r="AD139" i="62"/>
  <c r="AA139" i="62"/>
  <c r="AB139" i="62"/>
  <c r="AG137" i="62"/>
  <c r="AI137" i="62"/>
  <c r="AH137" i="62"/>
  <c r="AF137" i="62"/>
  <c r="AD137" i="62"/>
  <c r="R137" i="62"/>
  <c r="AG136" i="62"/>
  <c r="AF136" i="62"/>
  <c r="AD136" i="62"/>
  <c r="AA136" i="62"/>
  <c r="AB136" i="62"/>
  <c r="AG134" i="62"/>
  <c r="AI134" i="62"/>
  <c r="AH134" i="62"/>
  <c r="AF134" i="62"/>
  <c r="AD134" i="62"/>
  <c r="R134" i="62"/>
  <c r="AG133" i="62"/>
  <c r="AF133" i="62"/>
  <c r="AD133" i="62"/>
  <c r="AA133" i="62"/>
  <c r="AB133" i="62"/>
  <c r="AG131" i="62"/>
  <c r="AI131" i="62"/>
  <c r="AH131" i="62"/>
  <c r="AF131" i="62"/>
  <c r="AD131" i="62"/>
  <c r="R131" i="62"/>
  <c r="AG130" i="62"/>
  <c r="AF130" i="62"/>
  <c r="AD130" i="62"/>
  <c r="AA130" i="62"/>
  <c r="AB130" i="62"/>
  <c r="AG128" i="62"/>
  <c r="AI128" i="62"/>
  <c r="AH128" i="62"/>
  <c r="AF128" i="62"/>
  <c r="AD128" i="62"/>
  <c r="R128" i="62"/>
  <c r="AG127" i="62"/>
  <c r="AF127" i="62"/>
  <c r="AD127" i="62"/>
  <c r="AA127" i="62"/>
  <c r="AB127" i="62"/>
  <c r="AG125" i="62"/>
  <c r="AI125" i="62"/>
  <c r="AH125" i="62"/>
  <c r="AF125" i="62"/>
  <c r="AD125" i="62"/>
  <c r="R125" i="62"/>
  <c r="N125" i="62"/>
  <c r="C124" i="62"/>
  <c r="C125" i="62"/>
  <c r="AG124" i="62"/>
  <c r="AF124" i="62"/>
  <c r="AD124" i="62"/>
  <c r="AA124" i="62"/>
  <c r="AB124" i="62"/>
  <c r="N124" i="62"/>
  <c r="O124" i="62"/>
  <c r="P124" i="62"/>
  <c r="Q124" i="62"/>
  <c r="I124" i="62"/>
  <c r="J124" i="62"/>
  <c r="K124" i="62"/>
  <c r="L124" i="62"/>
  <c r="M124" i="62"/>
  <c r="D124" i="62"/>
  <c r="E124" i="62"/>
  <c r="F124" i="62"/>
  <c r="G124" i="62"/>
  <c r="H124" i="62"/>
  <c r="AI122" i="62"/>
  <c r="AF122" i="62"/>
  <c r="AD122" i="62"/>
  <c r="R122" i="62"/>
  <c r="AG121" i="62"/>
  <c r="AF121" i="62"/>
  <c r="AD121" i="62"/>
  <c r="AA121" i="62"/>
  <c r="AB121" i="62"/>
  <c r="AG119" i="62"/>
  <c r="AI119" i="62"/>
  <c r="AH119" i="62"/>
  <c r="AF119" i="62"/>
  <c r="AD119" i="62"/>
  <c r="R119" i="62"/>
  <c r="AG118" i="62"/>
  <c r="AF118" i="62"/>
  <c r="AD118" i="62"/>
  <c r="AA118" i="62"/>
  <c r="AB118" i="62"/>
  <c r="AG116" i="62"/>
  <c r="AI116" i="62"/>
  <c r="AH116" i="62"/>
  <c r="AF116" i="62"/>
  <c r="AD116" i="62"/>
  <c r="R116" i="62"/>
  <c r="AG115" i="62"/>
  <c r="AF115" i="62"/>
  <c r="AD115" i="62"/>
  <c r="AA115" i="62"/>
  <c r="AB115" i="62"/>
  <c r="AG113" i="62"/>
  <c r="AI113" i="62"/>
  <c r="AH113" i="62"/>
  <c r="AF113" i="62"/>
  <c r="AD113" i="62"/>
  <c r="R113" i="62"/>
  <c r="N113" i="62"/>
  <c r="I113" i="62"/>
  <c r="C112" i="62"/>
  <c r="C113" i="62"/>
  <c r="AG112" i="62"/>
  <c r="AF112" i="62"/>
  <c r="AD112" i="62"/>
  <c r="AA112" i="62"/>
  <c r="AB112" i="62"/>
  <c r="N112" i="62"/>
  <c r="O112" i="62"/>
  <c r="P112" i="62"/>
  <c r="Q112" i="62"/>
  <c r="I112" i="62"/>
  <c r="J112" i="62"/>
  <c r="K112" i="62"/>
  <c r="L112" i="62"/>
  <c r="M112" i="62"/>
  <c r="D112" i="62"/>
  <c r="E112" i="62"/>
  <c r="F112" i="62"/>
  <c r="G112" i="62"/>
  <c r="H112" i="62"/>
  <c r="AG3" i="62"/>
  <c r="AF3" i="62"/>
  <c r="AD3" i="62"/>
  <c r="AG2" i="62"/>
  <c r="AF2" i="62"/>
  <c r="AG146" i="61"/>
  <c r="AI146" i="61"/>
  <c r="AH146" i="61"/>
  <c r="AF146" i="61"/>
  <c r="AD146" i="61"/>
  <c r="AG145" i="61"/>
  <c r="AF145" i="61"/>
  <c r="AD145" i="61"/>
  <c r="AA145" i="61"/>
  <c r="AB145" i="61"/>
  <c r="AG143" i="61"/>
  <c r="AI143" i="61"/>
  <c r="AH143" i="61"/>
  <c r="AF143" i="61"/>
  <c r="AD143" i="61"/>
  <c r="AG142" i="61"/>
  <c r="AF142" i="61"/>
  <c r="AD142" i="61"/>
  <c r="AA142" i="61"/>
  <c r="AB142" i="61"/>
  <c r="AG140" i="61"/>
  <c r="AI140" i="61"/>
  <c r="AH140" i="61"/>
  <c r="AF140" i="61"/>
  <c r="AD140" i="61"/>
  <c r="AG139" i="61"/>
  <c r="AF139" i="61"/>
  <c r="AD139" i="61"/>
  <c r="AA139" i="61"/>
  <c r="AB139" i="61"/>
  <c r="AG137" i="61"/>
  <c r="AI137" i="61"/>
  <c r="AH137" i="61"/>
  <c r="AF137" i="61"/>
  <c r="AD137" i="61"/>
  <c r="AG136" i="61"/>
  <c r="AF136" i="61"/>
  <c r="AD136" i="61"/>
  <c r="AA136" i="61"/>
  <c r="AB136" i="61"/>
  <c r="AG134" i="61"/>
  <c r="AI134" i="61"/>
  <c r="AH134" i="61"/>
  <c r="AF134" i="61"/>
  <c r="AD134" i="61"/>
  <c r="AG133" i="61"/>
  <c r="AF133" i="61"/>
  <c r="AD133" i="61"/>
  <c r="AA133" i="61"/>
  <c r="AB133" i="61"/>
  <c r="AG131" i="61"/>
  <c r="AI131" i="61"/>
  <c r="AH131" i="61"/>
  <c r="AF131" i="61"/>
  <c r="AD131" i="61"/>
  <c r="AG130" i="61"/>
  <c r="AF130" i="61"/>
  <c r="AD130" i="61"/>
  <c r="AA130" i="61"/>
  <c r="AB130" i="61"/>
  <c r="AG128" i="61"/>
  <c r="AI128" i="61"/>
  <c r="AH128" i="61"/>
  <c r="AF128" i="61"/>
  <c r="AD128" i="61"/>
  <c r="AG127" i="61"/>
  <c r="AF127" i="61"/>
  <c r="AD127" i="61"/>
  <c r="AA127" i="61"/>
  <c r="AB127" i="61"/>
  <c r="AG125" i="61"/>
  <c r="AI125" i="61"/>
  <c r="AH125" i="61"/>
  <c r="AF125" i="61"/>
  <c r="AD125" i="61"/>
  <c r="AG124" i="61"/>
  <c r="AF124" i="61"/>
  <c r="AD124" i="61"/>
  <c r="AA124" i="61"/>
  <c r="AB124" i="61"/>
  <c r="AG122" i="61"/>
  <c r="AI122" i="61"/>
  <c r="AH122" i="61"/>
  <c r="AF122" i="61"/>
  <c r="AD122" i="61"/>
  <c r="AG121" i="61"/>
  <c r="AF121" i="61"/>
  <c r="AD121" i="61"/>
  <c r="AA121" i="61"/>
  <c r="AB121" i="61"/>
  <c r="AG119" i="61"/>
  <c r="AI119" i="61"/>
  <c r="AH119" i="61"/>
  <c r="AF119" i="61"/>
  <c r="AD119" i="61"/>
  <c r="AG118" i="61"/>
  <c r="AF118" i="61"/>
  <c r="AD118" i="61"/>
  <c r="AA118" i="61"/>
  <c r="AB118" i="61"/>
  <c r="AG116" i="61"/>
  <c r="AI116" i="61"/>
  <c r="AH116" i="61"/>
  <c r="AF116" i="61"/>
  <c r="AD116" i="61"/>
  <c r="AG115" i="61"/>
  <c r="AF115" i="61"/>
  <c r="AD115" i="61"/>
  <c r="AA115" i="61"/>
  <c r="AB115" i="61"/>
  <c r="AG113" i="61"/>
  <c r="AI113" i="61"/>
  <c r="AH113" i="61"/>
  <c r="AF113" i="61"/>
  <c r="AD113" i="61"/>
  <c r="AG112" i="61"/>
  <c r="AF112" i="61"/>
  <c r="AD112" i="61"/>
  <c r="AA112" i="61"/>
  <c r="AB112" i="61"/>
  <c r="AG3" i="61"/>
  <c r="AF3" i="61"/>
  <c r="AD3" i="61"/>
  <c r="AG2" i="61"/>
  <c r="AF2" i="61"/>
  <c r="Z104" i="41"/>
  <c r="Z104" i="45"/>
  <c r="Z104" i="58"/>
  <c r="Z104" i="7"/>
  <c r="Y104" i="41"/>
  <c r="Y104" i="45"/>
  <c r="Y104" i="58"/>
  <c r="Y104" i="7"/>
  <c r="X104" i="41"/>
  <c r="X104" i="45"/>
  <c r="X104" i="58"/>
  <c r="X104" i="7"/>
  <c r="W104" i="41"/>
  <c r="W104" i="45"/>
  <c r="W104" i="58"/>
  <c r="W104" i="7"/>
  <c r="Z103" i="41"/>
  <c r="Z103" i="45"/>
  <c r="Z103" i="58"/>
  <c r="Z103" i="7"/>
  <c r="Y103" i="41"/>
  <c r="Y103" i="45"/>
  <c r="Y103" i="58"/>
  <c r="Y103" i="7"/>
  <c r="X103" i="41"/>
  <c r="X103" i="45"/>
  <c r="X103" i="58"/>
  <c r="X103" i="7"/>
  <c r="W103" i="41"/>
  <c r="W103" i="45"/>
  <c r="W103" i="58"/>
  <c r="W103" i="7"/>
  <c r="Z101" i="41"/>
  <c r="Z101" i="45"/>
  <c r="Z101" i="58"/>
  <c r="Z101" i="7"/>
  <c r="Y101" i="41"/>
  <c r="Y101" i="45"/>
  <c r="Y101" i="58"/>
  <c r="Y101" i="7"/>
  <c r="X101" i="41"/>
  <c r="X101" i="45"/>
  <c r="X101" i="58"/>
  <c r="X101" i="7"/>
  <c r="W101" i="41"/>
  <c r="W101" i="45"/>
  <c r="W101" i="58"/>
  <c r="W101" i="7"/>
  <c r="Z100" i="41"/>
  <c r="Z100" i="45"/>
  <c r="Z100" i="58"/>
  <c r="Z100" i="7"/>
  <c r="Y100" i="41"/>
  <c r="Y100" i="45"/>
  <c r="Y100" i="58"/>
  <c r="Y100" i="7"/>
  <c r="X100" i="41"/>
  <c r="X100" i="45"/>
  <c r="X100" i="58"/>
  <c r="X100" i="7"/>
  <c r="W100" i="41"/>
  <c r="W100" i="45"/>
  <c r="W100" i="58"/>
  <c r="W100" i="7"/>
  <c r="Z98" i="41"/>
  <c r="Z98" i="45"/>
  <c r="Z98" i="58"/>
  <c r="Z98" i="7"/>
  <c r="Y98" i="41"/>
  <c r="Y98" i="45"/>
  <c r="Y98" i="58"/>
  <c r="Y98" i="7"/>
  <c r="X98" i="41"/>
  <c r="X98" i="45"/>
  <c r="X98" i="58"/>
  <c r="X98" i="7"/>
  <c r="W98" i="41"/>
  <c r="W98" i="45"/>
  <c r="W98" i="58"/>
  <c r="W98" i="7"/>
  <c r="Z97" i="41"/>
  <c r="Z97" i="45"/>
  <c r="Z97" i="58"/>
  <c r="Z97" i="7"/>
  <c r="Y97" i="41"/>
  <c r="Y97" i="45"/>
  <c r="Y97" i="58"/>
  <c r="Y97" i="7"/>
  <c r="X97" i="41"/>
  <c r="X97" i="45"/>
  <c r="X97" i="58"/>
  <c r="X97" i="7"/>
  <c r="W97" i="41"/>
  <c r="W97" i="45"/>
  <c r="W97" i="58"/>
  <c r="W97" i="7"/>
  <c r="Z95" i="41"/>
  <c r="Z95" i="45"/>
  <c r="Z95" i="58"/>
  <c r="Z95" i="7"/>
  <c r="Y95" i="41"/>
  <c r="Y95" i="45"/>
  <c r="Y95" i="58"/>
  <c r="Y95" i="7"/>
  <c r="X95" i="41"/>
  <c r="X95" i="45"/>
  <c r="X95" i="58"/>
  <c r="X95" i="7"/>
  <c r="W95" i="41"/>
  <c r="W95" i="45"/>
  <c r="W95" i="58"/>
  <c r="W95" i="7"/>
  <c r="Z94" i="41"/>
  <c r="Z94" i="45"/>
  <c r="Z94" i="58"/>
  <c r="Z94" i="7"/>
  <c r="Y94" i="41"/>
  <c r="Y94" i="45"/>
  <c r="Y94" i="58"/>
  <c r="Y94" i="7"/>
  <c r="X94" i="41"/>
  <c r="X94" i="45"/>
  <c r="X94" i="58"/>
  <c r="X94" i="7"/>
  <c r="W94" i="41"/>
  <c r="W94" i="45"/>
  <c r="W94" i="58"/>
  <c r="W94" i="7"/>
  <c r="Z92" i="41"/>
  <c r="Z92" i="45"/>
  <c r="Z92" i="58"/>
  <c r="Z92" i="7"/>
  <c r="Y92" i="41"/>
  <c r="Y92" i="45"/>
  <c r="Y92" i="58"/>
  <c r="Y92" i="7"/>
  <c r="X92" i="41"/>
  <c r="X92" i="45"/>
  <c r="X92" i="58"/>
  <c r="X92" i="7"/>
  <c r="W92" i="41"/>
  <c r="W92" i="45"/>
  <c r="W92" i="58"/>
  <c r="W92" i="7"/>
  <c r="Z91" i="41"/>
  <c r="Z91" i="45"/>
  <c r="Z91" i="58"/>
  <c r="Z91" i="7"/>
  <c r="Y91" i="41"/>
  <c r="Y91" i="45"/>
  <c r="Y91" i="58"/>
  <c r="Y91" i="7"/>
  <c r="X91" i="41"/>
  <c r="X91" i="45"/>
  <c r="X91" i="58"/>
  <c r="X91" i="7"/>
  <c r="W91" i="41"/>
  <c r="W91" i="45"/>
  <c r="W91" i="58"/>
  <c r="W91" i="7"/>
  <c r="Z89" i="41"/>
  <c r="Z89" i="45"/>
  <c r="Z89" i="58"/>
  <c r="Z89" i="7"/>
  <c r="Y89" i="41"/>
  <c r="Y89" i="45"/>
  <c r="Y89" i="58"/>
  <c r="Y89" i="7"/>
  <c r="X89" i="41"/>
  <c r="X89" i="45"/>
  <c r="X89" i="58"/>
  <c r="X89" i="7"/>
  <c r="W89" i="41"/>
  <c r="W89" i="58"/>
  <c r="W89" i="7"/>
  <c r="Z88" i="41"/>
  <c r="Z88" i="45"/>
  <c r="Z88" i="58"/>
  <c r="Z88" i="7"/>
  <c r="Y88" i="41"/>
  <c r="Y88" i="45"/>
  <c r="Y88" i="58"/>
  <c r="Y88" i="7"/>
  <c r="X88" i="41"/>
  <c r="X88" i="45"/>
  <c r="X88" i="58"/>
  <c r="X88" i="7"/>
  <c r="W88" i="41"/>
  <c r="W88" i="45"/>
  <c r="W88" i="58"/>
  <c r="W88" i="7"/>
  <c r="Z86" i="41"/>
  <c r="Z86" i="45"/>
  <c r="Z86" i="58"/>
  <c r="Z86" i="7"/>
  <c r="Y86" i="41"/>
  <c r="Y86" i="45"/>
  <c r="Y86" i="58"/>
  <c r="Y86" i="7"/>
  <c r="X86" i="41"/>
  <c r="X86" i="45"/>
  <c r="X86" i="58"/>
  <c r="X86" i="7"/>
  <c r="W86" i="41"/>
  <c r="W86" i="45"/>
  <c r="W86" i="58"/>
  <c r="W86" i="7"/>
  <c r="Z85" i="41"/>
  <c r="Z85" i="45"/>
  <c r="Z85" i="58"/>
  <c r="Z85" i="7"/>
  <c r="Y85" i="41"/>
  <c r="Y85" i="45"/>
  <c r="Y85" i="58"/>
  <c r="Y85" i="7"/>
  <c r="X85" i="41"/>
  <c r="X85" i="45"/>
  <c r="X85" i="58"/>
  <c r="X85" i="7"/>
  <c r="W85" i="41"/>
  <c r="W85" i="45"/>
  <c r="W85" i="58"/>
  <c r="W85" i="7"/>
  <c r="Z56" i="41"/>
  <c r="Z56" i="45"/>
  <c r="Z56" i="58"/>
  <c r="Z56" i="7"/>
  <c r="Y56" i="41"/>
  <c r="Y56" i="45"/>
  <c r="Y56" i="58"/>
  <c r="Y56" i="7"/>
  <c r="X56" i="41"/>
  <c r="X56" i="45"/>
  <c r="X56" i="58"/>
  <c r="X56" i="7"/>
  <c r="W56" i="41"/>
  <c r="W56" i="45"/>
  <c r="W56" i="58"/>
  <c r="W56" i="7"/>
  <c r="Z55" i="41"/>
  <c r="Z55" i="45"/>
  <c r="Z55" i="58"/>
  <c r="Z55" i="7"/>
  <c r="Y55" i="41"/>
  <c r="Y55" i="45"/>
  <c r="Y55" i="58"/>
  <c r="Y55" i="7"/>
  <c r="X55" i="41"/>
  <c r="X55" i="45"/>
  <c r="X55" i="58"/>
  <c r="X55" i="7"/>
  <c r="W55" i="41"/>
  <c r="W55" i="45"/>
  <c r="W55" i="58"/>
  <c r="W55" i="7"/>
  <c r="Z53" i="41"/>
  <c r="Z53" i="45"/>
  <c r="Z53" i="58"/>
  <c r="Z53" i="7"/>
  <c r="Y53" i="41"/>
  <c r="Y53" i="45"/>
  <c r="Y53" i="58"/>
  <c r="Y53" i="7"/>
  <c r="X53" i="41"/>
  <c r="X53" i="45"/>
  <c r="X53" i="58"/>
  <c r="X53" i="7"/>
  <c r="W53" i="41"/>
  <c r="W53" i="45"/>
  <c r="W53" i="58"/>
  <c r="W53" i="7"/>
  <c r="Z52" i="41"/>
  <c r="Z52" i="45"/>
  <c r="Z52" i="58"/>
  <c r="Z52" i="7"/>
  <c r="Y52" i="41"/>
  <c r="Y52" i="45"/>
  <c r="Y52" i="58"/>
  <c r="Y52" i="7"/>
  <c r="X52" i="41"/>
  <c r="X52" i="45"/>
  <c r="X52" i="58"/>
  <c r="X52" i="7"/>
  <c r="W52" i="41"/>
  <c r="W52" i="45"/>
  <c r="W52" i="58"/>
  <c r="W52" i="7"/>
  <c r="Z47" i="41"/>
  <c r="Z47" i="45"/>
  <c r="Z47" i="58"/>
  <c r="Z47" i="7"/>
  <c r="Y47" i="41"/>
  <c r="Y47" i="45"/>
  <c r="Y47" i="58"/>
  <c r="Y47" i="7"/>
  <c r="X47" i="41"/>
  <c r="X47" i="45"/>
  <c r="X47" i="58"/>
  <c r="X47" i="7"/>
  <c r="W47" i="41"/>
  <c r="W47" i="45"/>
  <c r="W47" i="58"/>
  <c r="W47" i="7"/>
  <c r="Z46" i="41"/>
  <c r="Z46" i="45"/>
  <c r="Z46" i="58"/>
  <c r="Z46" i="7"/>
  <c r="Y46" i="41"/>
  <c r="Y46" i="45"/>
  <c r="Y46" i="58"/>
  <c r="Y46" i="7"/>
  <c r="X46" i="41"/>
  <c r="X46" i="45"/>
  <c r="X46" i="58"/>
  <c r="X46" i="7"/>
  <c r="W46" i="41"/>
  <c r="W46" i="45"/>
  <c r="W46" i="58"/>
  <c r="W46" i="7"/>
  <c r="Z44" i="41"/>
  <c r="Z44" i="45"/>
  <c r="Z44" i="58"/>
  <c r="Z44" i="7"/>
  <c r="Y44" i="41"/>
  <c r="Y44" i="45"/>
  <c r="Y44" i="58"/>
  <c r="Y44" i="7"/>
  <c r="X44" i="41"/>
  <c r="X44" i="45"/>
  <c r="X44" i="58"/>
  <c r="X44" i="7"/>
  <c r="W44" i="41"/>
  <c r="W44" i="45"/>
  <c r="W44" i="58"/>
  <c r="W44" i="7"/>
  <c r="Z43" i="41"/>
  <c r="Z43" i="45"/>
  <c r="Z43" i="58"/>
  <c r="Z43" i="7"/>
  <c r="Y43" i="41"/>
  <c r="Y43" i="45"/>
  <c r="Y43" i="58"/>
  <c r="Y43" i="7"/>
  <c r="X43" i="41"/>
  <c r="X43" i="45"/>
  <c r="X43" i="58"/>
  <c r="X43" i="7"/>
  <c r="W43" i="41"/>
  <c r="W43" i="45"/>
  <c r="W43" i="58"/>
  <c r="W43" i="7"/>
  <c r="Z29" i="41"/>
  <c r="Z29" i="45"/>
  <c r="Z29" i="58"/>
  <c r="Z29" i="7"/>
  <c r="Y29" i="41"/>
  <c r="Y29" i="45"/>
  <c r="Y29" i="58"/>
  <c r="Y29" i="7"/>
  <c r="X29" i="41"/>
  <c r="X29" i="45"/>
  <c r="X29" i="58"/>
  <c r="X29" i="7"/>
  <c r="W29" i="41"/>
  <c r="W29" i="45"/>
  <c r="W29" i="58"/>
  <c r="W29" i="7"/>
  <c r="Z28" i="41"/>
  <c r="Z28" i="45"/>
  <c r="Z28" i="58"/>
  <c r="Z28" i="7"/>
  <c r="Y28" i="41"/>
  <c r="Y28" i="45"/>
  <c r="Y28" i="58"/>
  <c r="Y28" i="7"/>
  <c r="X28" i="41"/>
  <c r="X28" i="45"/>
  <c r="X28" i="58"/>
  <c r="X28" i="7"/>
  <c r="W28" i="41"/>
  <c r="W28" i="45"/>
  <c r="W28" i="58"/>
  <c r="W28" i="7"/>
  <c r="Z26" i="41"/>
  <c r="Z26" i="45"/>
  <c r="Z26" i="58"/>
  <c r="Z26" i="7"/>
  <c r="Y26" i="41"/>
  <c r="Y26" i="45"/>
  <c r="Y26" i="58"/>
  <c r="Y26" i="7"/>
  <c r="X26" i="41"/>
  <c r="X26" i="45"/>
  <c r="X26" i="58"/>
  <c r="X26" i="7"/>
  <c r="W26" i="41"/>
  <c r="W26" i="45"/>
  <c r="W26" i="58"/>
  <c r="W26" i="7"/>
  <c r="Z25" i="41"/>
  <c r="Z25" i="45"/>
  <c r="Z25" i="58"/>
  <c r="Z25" i="7"/>
  <c r="Y25" i="41"/>
  <c r="Y25" i="45"/>
  <c r="Y25" i="58"/>
  <c r="Y25" i="7"/>
  <c r="X25" i="41"/>
  <c r="X25" i="45"/>
  <c r="X25" i="58"/>
  <c r="X25" i="7"/>
  <c r="W25" i="41"/>
  <c r="W25" i="45"/>
  <c r="W25" i="58"/>
  <c r="W25" i="7"/>
  <c r="Z23" i="41"/>
  <c r="Z23" i="45"/>
  <c r="Z23" i="58"/>
  <c r="Z23" i="7"/>
  <c r="Y23" i="41"/>
  <c r="Y23" i="45"/>
  <c r="Y23" i="58"/>
  <c r="Y23" i="7"/>
  <c r="X23" i="41"/>
  <c r="X23" i="45"/>
  <c r="X23" i="58"/>
  <c r="X23" i="7"/>
  <c r="W23" i="41"/>
  <c r="W23" i="45"/>
  <c r="W23" i="58"/>
  <c r="W23" i="7"/>
  <c r="Z22" i="41"/>
  <c r="Z22" i="45"/>
  <c r="Z22" i="58"/>
  <c r="Z22" i="7"/>
  <c r="Y22" i="41"/>
  <c r="Y22" i="45"/>
  <c r="Y22" i="58"/>
  <c r="Y22" i="7"/>
  <c r="X22" i="41"/>
  <c r="X22" i="45"/>
  <c r="X22" i="58"/>
  <c r="X22" i="7"/>
  <c r="W22" i="41"/>
  <c r="W22" i="45"/>
  <c r="W22" i="58"/>
  <c r="W22" i="7"/>
  <c r="Z20" i="41"/>
  <c r="Z20" i="45"/>
  <c r="Z20" i="58"/>
  <c r="Z20" i="7"/>
  <c r="Y20" i="41"/>
  <c r="Y20" i="45"/>
  <c r="Y20" i="58"/>
  <c r="Y20" i="7"/>
  <c r="X20" i="41"/>
  <c r="X20" i="45"/>
  <c r="X20" i="58"/>
  <c r="X20" i="7"/>
  <c r="W20" i="41"/>
  <c r="W20" i="45"/>
  <c r="W20" i="58"/>
  <c r="W20" i="7"/>
  <c r="Z19" i="41"/>
  <c r="Z19" i="45"/>
  <c r="Z19" i="58"/>
  <c r="Z19" i="7"/>
  <c r="Y19" i="41"/>
  <c r="Y19" i="45"/>
  <c r="Y19" i="58"/>
  <c r="Y19" i="7"/>
  <c r="X19" i="41"/>
  <c r="X19" i="45"/>
  <c r="X19" i="58"/>
  <c r="X19" i="7"/>
  <c r="W19" i="41"/>
  <c r="W19" i="45"/>
  <c r="W19" i="58"/>
  <c r="W19" i="7"/>
  <c r="Z17" i="41"/>
  <c r="Z17" i="45"/>
  <c r="Z17" i="58"/>
  <c r="Z17" i="7"/>
  <c r="Y17" i="41"/>
  <c r="Y17" i="45"/>
  <c r="Y17" i="58"/>
  <c r="Y17" i="7"/>
  <c r="X17" i="41"/>
  <c r="X17" i="45"/>
  <c r="X17" i="58"/>
  <c r="X17" i="7"/>
  <c r="W17" i="41"/>
  <c r="W17" i="45"/>
  <c r="W17" i="58"/>
  <c r="W17" i="7"/>
  <c r="Z16" i="41"/>
  <c r="Z16" i="45"/>
  <c r="Z16" i="58"/>
  <c r="Z16" i="7"/>
  <c r="Y16" i="41"/>
  <c r="Y16" i="45"/>
  <c r="Y16" i="58"/>
  <c r="Y16" i="7"/>
  <c r="X16" i="41"/>
  <c r="X16" i="45"/>
  <c r="X16" i="58"/>
  <c r="X16" i="7"/>
  <c r="W16" i="41"/>
  <c r="W16" i="45"/>
  <c r="W16" i="58"/>
  <c r="W16" i="7"/>
  <c r="Z14" i="41"/>
  <c r="Z14" i="45"/>
  <c r="Z14" i="58"/>
  <c r="Z14" i="7"/>
  <c r="Y14" i="41"/>
  <c r="Y14" i="45"/>
  <c r="Y14" i="58"/>
  <c r="Y14" i="7"/>
  <c r="X14" i="41"/>
  <c r="X14" i="45"/>
  <c r="X14" i="58"/>
  <c r="X14" i="7"/>
  <c r="W14" i="41"/>
  <c r="W14" i="45"/>
  <c r="W14" i="58"/>
  <c r="W14" i="7"/>
  <c r="Z13" i="41"/>
  <c r="Z13" i="45"/>
  <c r="Z13" i="58"/>
  <c r="Z13" i="7"/>
  <c r="Y13" i="41"/>
  <c r="Y13" i="45"/>
  <c r="Y13" i="58"/>
  <c r="Y13" i="7"/>
  <c r="X13" i="41"/>
  <c r="X13" i="45"/>
  <c r="X13" i="58"/>
  <c r="X13" i="7"/>
  <c r="W13" i="41"/>
  <c r="W13" i="45"/>
  <c r="W13" i="58"/>
  <c r="W13" i="7"/>
  <c r="Z11" i="41"/>
  <c r="Z11" i="45"/>
  <c r="Z11" i="58"/>
  <c r="Z11" i="7"/>
  <c r="Y11" i="41"/>
  <c r="Y11" i="45"/>
  <c r="Y11" i="58"/>
  <c r="Y11" i="7"/>
  <c r="X11" i="41"/>
  <c r="X11" i="45"/>
  <c r="X11" i="58"/>
  <c r="X11" i="7"/>
  <c r="W11" i="41"/>
  <c r="W11" i="45"/>
  <c r="W11" i="58"/>
  <c r="W11" i="7"/>
  <c r="Z10" i="41"/>
  <c r="Z10" i="45"/>
  <c r="Z10" i="58"/>
  <c r="Z10" i="7"/>
  <c r="Y10" i="41"/>
  <c r="Y10" i="45"/>
  <c r="Y10" i="58"/>
  <c r="Y10" i="7"/>
  <c r="X10" i="41"/>
  <c r="X10" i="45"/>
  <c r="X10" i="58"/>
  <c r="X10" i="7"/>
  <c r="W10" i="41"/>
  <c r="W10" i="45"/>
  <c r="W10" i="58"/>
  <c r="W10" i="7"/>
  <c r="Z8" i="41"/>
  <c r="Z8" i="45"/>
  <c r="Z8" i="58"/>
  <c r="Z8" i="7"/>
  <c r="Y8" i="41"/>
  <c r="Y8" i="45"/>
  <c r="Y8" i="58"/>
  <c r="Y8" i="7"/>
  <c r="X8" i="41"/>
  <c r="X8" i="45"/>
  <c r="X8" i="58"/>
  <c r="X8" i="7"/>
  <c r="W8" i="41"/>
  <c r="W8" i="45"/>
  <c r="W8" i="58"/>
  <c r="W8" i="7"/>
  <c r="Z7" i="41"/>
  <c r="Z7" i="45"/>
  <c r="Z7" i="58"/>
  <c r="Z7" i="7"/>
  <c r="Y7" i="41"/>
  <c r="Y7" i="45"/>
  <c r="Y7" i="58"/>
  <c r="Y7" i="7"/>
  <c r="X7" i="41"/>
  <c r="X7" i="45"/>
  <c r="X7" i="58"/>
  <c r="X7" i="7"/>
  <c r="W7" i="41"/>
  <c r="W7" i="45"/>
  <c r="W7" i="58"/>
  <c r="W7" i="7"/>
  <c r="Z5" i="41"/>
  <c r="Z5" i="45"/>
  <c r="Z5" i="58"/>
  <c r="Z5" i="7"/>
  <c r="Z4" i="41"/>
  <c r="Z4" i="45"/>
  <c r="Z4" i="58"/>
  <c r="Z4" i="7"/>
  <c r="F75" i="5"/>
  <c r="B75" i="5"/>
  <c r="Y5" i="41"/>
  <c r="Y5" i="45"/>
  <c r="Y5" i="58"/>
  <c r="Y5" i="7"/>
  <c r="X5" i="41"/>
  <c r="X5" i="45"/>
  <c r="X5" i="58"/>
  <c r="X5" i="7"/>
  <c r="W5" i="41"/>
  <c r="W5" i="45"/>
  <c r="W5" i="58"/>
  <c r="W5" i="7"/>
  <c r="Y4" i="41"/>
  <c r="Y4" i="45"/>
  <c r="Y4" i="58"/>
  <c r="Y4" i="7"/>
  <c r="X4" i="41"/>
  <c r="X4" i="45"/>
  <c r="X4" i="58"/>
  <c r="X4" i="7"/>
  <c r="W4" i="41"/>
  <c r="W4" i="45"/>
  <c r="W4" i="58"/>
  <c r="W4" i="7"/>
  <c r="V146" i="7"/>
  <c r="AD146" i="7"/>
  <c r="V145" i="7"/>
  <c r="AD145" i="7"/>
  <c r="V143" i="7"/>
  <c r="AD143" i="7"/>
  <c r="V142" i="7"/>
  <c r="AD142" i="7"/>
  <c r="V140" i="7"/>
  <c r="AD140" i="7"/>
  <c r="V139" i="7"/>
  <c r="AD139" i="7"/>
  <c r="V137" i="7"/>
  <c r="AD137" i="7"/>
  <c r="V136" i="7"/>
  <c r="AD136" i="7"/>
  <c r="V134" i="7"/>
  <c r="AD134" i="7"/>
  <c r="V133" i="7"/>
  <c r="AD133" i="7"/>
  <c r="V131" i="7"/>
  <c r="AD131" i="7"/>
  <c r="V130" i="7"/>
  <c r="AD130" i="7"/>
  <c r="V128" i="7"/>
  <c r="AD128" i="7"/>
  <c r="V127" i="7"/>
  <c r="AD127" i="7"/>
  <c r="V125" i="7"/>
  <c r="AD125" i="7"/>
  <c r="V124" i="7"/>
  <c r="AD124" i="7"/>
  <c r="V122" i="7"/>
  <c r="AD122" i="7"/>
  <c r="V121" i="7"/>
  <c r="AD121" i="7"/>
  <c r="V119" i="7"/>
  <c r="AD119" i="7"/>
  <c r="V118" i="7"/>
  <c r="AD118" i="7"/>
  <c r="V116" i="7"/>
  <c r="AD116" i="7"/>
  <c r="V115" i="7"/>
  <c r="AD115" i="7"/>
  <c r="V113" i="7"/>
  <c r="AD113" i="7"/>
  <c r="V112" i="7"/>
  <c r="AD112" i="7"/>
  <c r="V110" i="41"/>
  <c r="V110" i="45"/>
  <c r="V110" i="7"/>
  <c r="AD110" i="7"/>
  <c r="V109" i="41"/>
  <c r="V109" i="45"/>
  <c r="V109" i="7"/>
  <c r="AD109" i="7"/>
  <c r="V107" i="41"/>
  <c r="V107" i="45"/>
  <c r="V107" i="7"/>
  <c r="AD107" i="7"/>
  <c r="V106" i="41"/>
  <c r="V106" i="45"/>
  <c r="V106" i="7"/>
  <c r="AD106" i="7"/>
  <c r="V104" i="41"/>
  <c r="V104" i="45"/>
  <c r="V104" i="7"/>
  <c r="AD104" i="7"/>
  <c r="V103" i="41"/>
  <c r="V103" i="45"/>
  <c r="V103" i="7"/>
  <c r="AD103" i="7"/>
  <c r="V101" i="41"/>
  <c r="V101" i="45"/>
  <c r="V101" i="7"/>
  <c r="AD101" i="7"/>
  <c r="V100" i="41"/>
  <c r="V100" i="45"/>
  <c r="V100" i="7"/>
  <c r="AD100" i="7"/>
  <c r="V98" i="41"/>
  <c r="V98" i="45"/>
  <c r="V98" i="7"/>
  <c r="AD98" i="7"/>
  <c r="AD97" i="7"/>
  <c r="V95" i="41"/>
  <c r="V95" i="45"/>
  <c r="V95" i="7"/>
  <c r="AD95" i="7"/>
  <c r="V94" i="41"/>
  <c r="V94" i="45"/>
  <c r="V94" i="7"/>
  <c r="AD94" i="7"/>
  <c r="V92" i="41"/>
  <c r="V92" i="45"/>
  <c r="V92" i="7"/>
  <c r="AD92" i="7"/>
  <c r="V91" i="41"/>
  <c r="V91" i="45"/>
  <c r="V91" i="7"/>
  <c r="AD91" i="7"/>
  <c r="V89" i="41"/>
  <c r="V89" i="7"/>
  <c r="AD89" i="7"/>
  <c r="V88" i="41"/>
  <c r="V88" i="45"/>
  <c r="V88" i="7"/>
  <c r="AD88" i="7"/>
  <c r="V86" i="41"/>
  <c r="V86" i="45"/>
  <c r="V86" i="7"/>
  <c r="AD86" i="7"/>
  <c r="V85" i="41"/>
  <c r="V85" i="45"/>
  <c r="V85" i="7"/>
  <c r="AD85" i="7"/>
  <c r="V83" i="41"/>
  <c r="V83" i="45"/>
  <c r="V83" i="7"/>
  <c r="AD83" i="7"/>
  <c r="V82" i="41"/>
  <c r="V82" i="45"/>
  <c r="V82" i="7"/>
  <c r="AD82" i="7"/>
  <c r="V80" i="41"/>
  <c r="V80" i="45"/>
  <c r="V80" i="7"/>
  <c r="AD80" i="7"/>
  <c r="V79" i="41"/>
  <c r="V79" i="45"/>
  <c r="V79" i="7"/>
  <c r="AD79" i="7"/>
  <c r="V77" i="41"/>
  <c r="V77" i="45"/>
  <c r="V77" i="7"/>
  <c r="AD77" i="7"/>
  <c r="V76" i="41"/>
  <c r="V76" i="45"/>
  <c r="V76" i="7"/>
  <c r="AD76" i="7"/>
  <c r="V74" i="41"/>
  <c r="V74" i="45"/>
  <c r="V74" i="7"/>
  <c r="AD74" i="7"/>
  <c r="V73" i="41"/>
  <c r="V73" i="45"/>
  <c r="V73" i="7"/>
  <c r="AD73" i="7"/>
  <c r="V71" i="41"/>
  <c r="V71" i="45"/>
  <c r="V71" i="7"/>
  <c r="AD71" i="7"/>
  <c r="V70" i="41"/>
  <c r="V70" i="45"/>
  <c r="V70" i="7"/>
  <c r="AD70" i="7"/>
  <c r="V68" i="41"/>
  <c r="V68" i="45"/>
  <c r="V68" i="7"/>
  <c r="AD68" i="7"/>
  <c r="V67" i="41"/>
  <c r="V67" i="45"/>
  <c r="V67" i="7"/>
  <c r="AD67" i="7"/>
  <c r="V65" i="41"/>
  <c r="V65" i="45"/>
  <c r="V65" i="7"/>
  <c r="AD65" i="7"/>
  <c r="V64" i="41"/>
  <c r="V64" i="45"/>
  <c r="V64" i="7"/>
  <c r="AD64" i="7"/>
  <c r="V62" i="41"/>
  <c r="V62" i="45"/>
  <c r="V62" i="7"/>
  <c r="AD62" i="7"/>
  <c r="V61" i="41"/>
  <c r="V61" i="45"/>
  <c r="V61" i="7"/>
  <c r="AD61" i="7"/>
  <c r="V59" i="41"/>
  <c r="V59" i="45"/>
  <c r="V59" i="7"/>
  <c r="AD59" i="7"/>
  <c r="V58" i="41"/>
  <c r="V58" i="45"/>
  <c r="V58" i="7"/>
  <c r="AD58" i="7"/>
  <c r="V56" i="41"/>
  <c r="V56" i="45"/>
  <c r="V56" i="7"/>
  <c r="AD56" i="7"/>
  <c r="V55" i="41"/>
  <c r="V55" i="45"/>
  <c r="V55" i="7"/>
  <c r="AD55" i="7"/>
  <c r="V53" i="41"/>
  <c r="V53" i="45"/>
  <c r="V53" i="7"/>
  <c r="AD53" i="7"/>
  <c r="V52" i="41"/>
  <c r="V52" i="45"/>
  <c r="V52" i="7"/>
  <c r="AD52" i="7"/>
  <c r="V50" i="41"/>
  <c r="V50" i="45"/>
  <c r="V50" i="7"/>
  <c r="AD50" i="7"/>
  <c r="V49" i="41"/>
  <c r="V49" i="45"/>
  <c r="V49" i="7"/>
  <c r="AD49" i="7"/>
  <c r="V47" i="41"/>
  <c r="V47" i="45"/>
  <c r="V47" i="7"/>
  <c r="AD47" i="7"/>
  <c r="V46" i="41"/>
  <c r="V46" i="45"/>
  <c r="V46" i="7"/>
  <c r="AD46" i="7"/>
  <c r="V44" i="41"/>
  <c r="V44" i="45"/>
  <c r="V44" i="7"/>
  <c r="AD44" i="7"/>
  <c r="V43" i="41"/>
  <c r="V43" i="45"/>
  <c r="V43" i="7"/>
  <c r="AD43" i="7"/>
  <c r="V41" i="41"/>
  <c r="V41" i="45"/>
  <c r="V41" i="7"/>
  <c r="AD41" i="7"/>
  <c r="V40" i="41"/>
  <c r="V40" i="45"/>
  <c r="V40" i="7"/>
  <c r="AD40" i="7"/>
  <c r="V38" i="41"/>
  <c r="V38" i="45"/>
  <c r="V38" i="7"/>
  <c r="AD38" i="7"/>
  <c r="V37" i="41"/>
  <c r="V37" i="45"/>
  <c r="V37" i="7"/>
  <c r="AD37" i="7"/>
  <c r="V35" i="41"/>
  <c r="V35" i="45"/>
  <c r="V35" i="7"/>
  <c r="AD35" i="7"/>
  <c r="V34" i="41"/>
  <c r="V34" i="45"/>
  <c r="V34" i="7"/>
  <c r="AD34" i="7"/>
  <c r="V32" i="41"/>
  <c r="V32" i="45"/>
  <c r="V32" i="7"/>
  <c r="AD32" i="7"/>
  <c r="V31" i="41"/>
  <c r="V31" i="45"/>
  <c r="V31" i="7"/>
  <c r="AD31" i="7"/>
  <c r="V29" i="41"/>
  <c r="V29" i="45"/>
  <c r="V29" i="7"/>
  <c r="AD29" i="7"/>
  <c r="V28" i="41"/>
  <c r="V28" i="45"/>
  <c r="V28" i="7"/>
  <c r="AD28" i="7"/>
  <c r="V26" i="41"/>
  <c r="V26" i="45"/>
  <c r="V26" i="7"/>
  <c r="AD26" i="7"/>
  <c r="V25" i="41"/>
  <c r="V25" i="45"/>
  <c r="V25" i="7"/>
  <c r="AD25" i="7"/>
  <c r="V23" i="41"/>
  <c r="V23" i="45"/>
  <c r="V23" i="7"/>
  <c r="AD23" i="7"/>
  <c r="V22" i="41"/>
  <c r="V22" i="45"/>
  <c r="V22" i="7"/>
  <c r="AD22" i="7"/>
  <c r="V20" i="41"/>
  <c r="V20" i="45"/>
  <c r="V20" i="7"/>
  <c r="AD20" i="7"/>
  <c r="V19" i="41"/>
  <c r="V19" i="45"/>
  <c r="V19" i="7"/>
  <c r="AD19" i="7"/>
  <c r="V17" i="41"/>
  <c r="V17" i="45"/>
  <c r="V17" i="7"/>
  <c r="AD17" i="7"/>
  <c r="V16" i="41"/>
  <c r="V16" i="45"/>
  <c r="V16" i="7"/>
  <c r="AD16" i="7"/>
  <c r="V14" i="41"/>
  <c r="V14" i="45"/>
  <c r="V14" i="7"/>
  <c r="AD14" i="7"/>
  <c r="V13" i="41"/>
  <c r="V13" i="45"/>
  <c r="V13" i="7"/>
  <c r="AD13" i="7"/>
  <c r="V11" i="41"/>
  <c r="V11" i="45"/>
  <c r="V11" i="7"/>
  <c r="AD11" i="7"/>
  <c r="V10" i="41"/>
  <c r="V10" i="45"/>
  <c r="V10" i="7"/>
  <c r="AD10" i="7"/>
  <c r="V8" i="41"/>
  <c r="V8" i="45"/>
  <c r="V8" i="7"/>
  <c r="AD8" i="7"/>
  <c r="V7" i="41"/>
  <c r="V7" i="45"/>
  <c r="V7" i="7"/>
  <c r="AD7" i="7"/>
  <c r="V5" i="41"/>
  <c r="V5" i="45"/>
  <c r="V5" i="7"/>
  <c r="AD5" i="7"/>
  <c r="V4" i="41"/>
  <c r="V4" i="45"/>
  <c r="V4" i="7"/>
  <c r="AD4" i="7"/>
  <c r="AD3" i="7"/>
  <c r="AD146" i="58"/>
  <c r="AD145" i="58"/>
  <c r="AD143" i="58"/>
  <c r="AD142" i="58"/>
  <c r="AD140" i="58"/>
  <c r="AD139" i="58"/>
  <c r="AD137" i="58"/>
  <c r="AD136" i="58"/>
  <c r="AD134" i="58"/>
  <c r="AD133" i="58"/>
  <c r="AD131" i="58"/>
  <c r="AD130" i="58"/>
  <c r="AD128" i="58"/>
  <c r="AD127" i="58"/>
  <c r="AD125" i="58"/>
  <c r="AD124" i="58"/>
  <c r="AD122" i="58"/>
  <c r="AD121" i="58"/>
  <c r="AD119" i="58"/>
  <c r="AD118" i="58"/>
  <c r="AD116" i="58"/>
  <c r="AD115" i="58"/>
  <c r="AD113" i="58"/>
  <c r="AD112" i="58"/>
  <c r="AD110" i="58"/>
  <c r="AD109" i="58"/>
  <c r="AD107" i="58"/>
  <c r="AD106" i="58"/>
  <c r="V104" i="58"/>
  <c r="AD104" i="58"/>
  <c r="V103" i="58"/>
  <c r="AD103" i="58"/>
  <c r="V101" i="58"/>
  <c r="AD101" i="58"/>
  <c r="V100" i="58"/>
  <c r="AD100" i="58"/>
  <c r="V98" i="58"/>
  <c r="AD98" i="58"/>
  <c r="V97" i="58"/>
  <c r="AD97" i="58"/>
  <c r="V95" i="58"/>
  <c r="AD95" i="58"/>
  <c r="V94" i="58"/>
  <c r="AD94" i="58"/>
  <c r="V92" i="58"/>
  <c r="AD92" i="58"/>
  <c r="V91" i="58"/>
  <c r="AD91" i="58"/>
  <c r="V89" i="58"/>
  <c r="AD89" i="58"/>
  <c r="V88" i="58"/>
  <c r="AD88" i="58"/>
  <c r="V86" i="58"/>
  <c r="AD86" i="58"/>
  <c r="V85" i="58"/>
  <c r="AD85" i="58"/>
  <c r="AD83" i="58"/>
  <c r="AD82" i="58"/>
  <c r="AD80" i="58"/>
  <c r="AD79" i="58"/>
  <c r="AD77" i="58"/>
  <c r="AD76" i="58"/>
  <c r="AD74" i="58"/>
  <c r="AD73" i="58"/>
  <c r="AD71" i="58"/>
  <c r="AD70" i="58"/>
  <c r="AD68" i="58"/>
  <c r="AD67" i="58"/>
  <c r="AD65" i="58"/>
  <c r="AD64" i="58"/>
  <c r="AD62" i="58"/>
  <c r="AD61" i="58"/>
  <c r="AD59" i="58"/>
  <c r="AD58" i="58"/>
  <c r="V56" i="58"/>
  <c r="AD56" i="58"/>
  <c r="V55" i="58"/>
  <c r="AD55" i="58"/>
  <c r="V53" i="58"/>
  <c r="AD53" i="58"/>
  <c r="V52" i="58"/>
  <c r="AD52" i="58"/>
  <c r="AD50" i="58"/>
  <c r="AD49" i="58"/>
  <c r="V47" i="58"/>
  <c r="AD47" i="58"/>
  <c r="V46" i="58"/>
  <c r="AD46" i="58"/>
  <c r="V44" i="58"/>
  <c r="AD44" i="58"/>
  <c r="V43" i="58"/>
  <c r="AD43" i="58"/>
  <c r="AD41" i="58"/>
  <c r="AD40" i="58"/>
  <c r="AD38" i="58"/>
  <c r="AD37" i="58"/>
  <c r="AD35" i="58"/>
  <c r="AD34" i="58"/>
  <c r="AD32" i="58"/>
  <c r="AD31" i="58"/>
  <c r="V29" i="58"/>
  <c r="AD29" i="58"/>
  <c r="V28" i="58"/>
  <c r="AD28" i="58"/>
  <c r="V26" i="58"/>
  <c r="AD26" i="58"/>
  <c r="V25" i="58"/>
  <c r="AD25" i="58"/>
  <c r="V23" i="58"/>
  <c r="AD23" i="58"/>
  <c r="V22" i="58"/>
  <c r="AD22" i="58"/>
  <c r="V20" i="58"/>
  <c r="AD20" i="58"/>
  <c r="V19" i="58"/>
  <c r="AD19" i="58"/>
  <c r="V17" i="58"/>
  <c r="AD17" i="58"/>
  <c r="V16" i="58"/>
  <c r="AD16" i="58"/>
  <c r="V14" i="58"/>
  <c r="AD14" i="58"/>
  <c r="V13" i="58"/>
  <c r="AD13" i="58"/>
  <c r="V11" i="58"/>
  <c r="AD11" i="58"/>
  <c r="V10" i="58"/>
  <c r="AD10" i="58"/>
  <c r="V8" i="58"/>
  <c r="AD8" i="58"/>
  <c r="V7" i="58"/>
  <c r="AD7" i="58"/>
  <c r="V5" i="58"/>
  <c r="AD5" i="58"/>
  <c r="V4" i="58"/>
  <c r="AD4" i="58"/>
  <c r="AD3" i="58"/>
  <c r="AD146" i="45"/>
  <c r="AD145" i="45"/>
  <c r="AD143" i="45"/>
  <c r="AD142" i="45"/>
  <c r="AD140" i="45"/>
  <c r="AD139" i="45"/>
  <c r="AD137" i="45"/>
  <c r="AD136" i="45"/>
  <c r="AD134" i="45"/>
  <c r="AD133" i="45"/>
  <c r="AD131" i="45"/>
  <c r="AD130" i="45"/>
  <c r="AD128" i="45"/>
  <c r="AD127" i="45"/>
  <c r="AD125" i="45"/>
  <c r="AD124" i="45"/>
  <c r="AD122" i="45"/>
  <c r="AD121" i="45"/>
  <c r="AD119" i="45"/>
  <c r="AD118" i="45"/>
  <c r="AD116" i="45"/>
  <c r="AD115" i="45"/>
  <c r="AD113" i="45"/>
  <c r="AD112" i="45"/>
  <c r="AD110" i="45"/>
  <c r="AD109" i="45"/>
  <c r="AD107" i="45"/>
  <c r="AD106" i="45"/>
  <c r="AD104" i="45"/>
  <c r="AD103" i="45"/>
  <c r="AD101" i="45"/>
  <c r="AD100" i="45"/>
  <c r="AD98" i="45"/>
  <c r="V97" i="45"/>
  <c r="AD97" i="45"/>
  <c r="AD95" i="45"/>
  <c r="AD94" i="45"/>
  <c r="AD92" i="45"/>
  <c r="AD91" i="45"/>
  <c r="AD89" i="45"/>
  <c r="AD88" i="45"/>
  <c r="AD86" i="45"/>
  <c r="AD85" i="45"/>
  <c r="AD83" i="45"/>
  <c r="AD82" i="45"/>
  <c r="AD80" i="45"/>
  <c r="AD79" i="45"/>
  <c r="AD77" i="45"/>
  <c r="AD76" i="45"/>
  <c r="AD74" i="45"/>
  <c r="AD73" i="45"/>
  <c r="AD71" i="45"/>
  <c r="AD70" i="45"/>
  <c r="AD68" i="45"/>
  <c r="AD67" i="45"/>
  <c r="AD65" i="45"/>
  <c r="AD64" i="45"/>
  <c r="AD62" i="45"/>
  <c r="AD61" i="45"/>
  <c r="AD59" i="45"/>
  <c r="AD58" i="45"/>
  <c r="AD56" i="45"/>
  <c r="AD55" i="45"/>
  <c r="AD53" i="45"/>
  <c r="AD52" i="45"/>
  <c r="AD50" i="45"/>
  <c r="AD49" i="45"/>
  <c r="AD47" i="45"/>
  <c r="AD46" i="45"/>
  <c r="AD44" i="45"/>
  <c r="AD43" i="45"/>
  <c r="AD41" i="45"/>
  <c r="AD40" i="45"/>
  <c r="AD38" i="45"/>
  <c r="AD37" i="45"/>
  <c r="AD35" i="45"/>
  <c r="AD34" i="45"/>
  <c r="AD32" i="45"/>
  <c r="AD31" i="45"/>
  <c r="AD29" i="45"/>
  <c r="AD28" i="45"/>
  <c r="AD26" i="45"/>
  <c r="AD25" i="45"/>
  <c r="AD23" i="45"/>
  <c r="AD22" i="45"/>
  <c r="AD20" i="45"/>
  <c r="AD19" i="45"/>
  <c r="AD17" i="45"/>
  <c r="AD16" i="45"/>
  <c r="AD14" i="45"/>
  <c r="AD13" i="45"/>
  <c r="AD11" i="45"/>
  <c r="AD10" i="45"/>
  <c r="AD8" i="45"/>
  <c r="AD7" i="45"/>
  <c r="AD5" i="45"/>
  <c r="AD4" i="45"/>
  <c r="AD3" i="45"/>
  <c r="AD146" i="41"/>
  <c r="AD145" i="41"/>
  <c r="AD143" i="41"/>
  <c r="AD142" i="41"/>
  <c r="AD140" i="41"/>
  <c r="AD139" i="41"/>
  <c r="AD137" i="41"/>
  <c r="AD136" i="41"/>
  <c r="AD134" i="41"/>
  <c r="AD133" i="41"/>
  <c r="AD131" i="41"/>
  <c r="AD130" i="41"/>
  <c r="AD128" i="41"/>
  <c r="AD127" i="41"/>
  <c r="AD125" i="41"/>
  <c r="AD124" i="41"/>
  <c r="AD122" i="41"/>
  <c r="AD121" i="41"/>
  <c r="AD119" i="41"/>
  <c r="AD118" i="41"/>
  <c r="AD116" i="41"/>
  <c r="AD115" i="41"/>
  <c r="AD113" i="41"/>
  <c r="AD112" i="41"/>
  <c r="AD110" i="41"/>
  <c r="AD109" i="41"/>
  <c r="AD107" i="41"/>
  <c r="AD106" i="41"/>
  <c r="AD104" i="41"/>
  <c r="AD103" i="41"/>
  <c r="AD101" i="41"/>
  <c r="AD100" i="41"/>
  <c r="AD98" i="41"/>
  <c r="V97" i="41"/>
  <c r="AD97" i="41"/>
  <c r="AD95" i="41"/>
  <c r="AD94" i="41"/>
  <c r="AD92" i="41"/>
  <c r="AD91" i="41"/>
  <c r="AD89" i="41"/>
  <c r="AD88" i="41"/>
  <c r="AD86" i="41"/>
  <c r="AD85" i="41"/>
  <c r="AD83" i="41"/>
  <c r="AD82" i="41"/>
  <c r="AD80" i="41"/>
  <c r="AD79" i="41"/>
  <c r="AD77" i="41"/>
  <c r="AD76" i="41"/>
  <c r="AD74" i="41"/>
  <c r="AD73" i="41"/>
  <c r="AD71" i="41"/>
  <c r="AD70" i="41"/>
  <c r="AD68" i="41"/>
  <c r="AD67" i="41"/>
  <c r="AD65" i="41"/>
  <c r="AD64" i="41"/>
  <c r="AD62" i="41"/>
  <c r="AD61" i="41"/>
  <c r="AD59" i="41"/>
  <c r="AD58" i="41"/>
  <c r="AD56" i="41"/>
  <c r="AD55" i="41"/>
  <c r="AD53" i="41"/>
  <c r="AD52" i="41"/>
  <c r="AD50" i="41"/>
  <c r="AD49" i="41"/>
  <c r="AD47" i="41"/>
  <c r="AD46" i="41"/>
  <c r="AD44" i="41"/>
  <c r="AD43" i="41"/>
  <c r="AD41" i="41"/>
  <c r="AD40" i="41"/>
  <c r="AD38" i="41"/>
  <c r="AD37" i="41"/>
  <c r="AD35" i="41"/>
  <c r="AD34" i="41"/>
  <c r="AD32" i="41"/>
  <c r="AD31" i="41"/>
  <c r="AD29" i="41"/>
  <c r="AD28" i="41"/>
  <c r="AD26" i="41"/>
  <c r="AD25" i="41"/>
  <c r="AD23" i="41"/>
  <c r="AD22" i="41"/>
  <c r="AD20" i="41"/>
  <c r="AD19" i="41"/>
  <c r="AD17" i="41"/>
  <c r="AD16" i="41"/>
  <c r="AD14" i="41"/>
  <c r="AD13" i="41"/>
  <c r="AD11" i="41"/>
  <c r="AD10" i="41"/>
  <c r="AD8" i="41"/>
  <c r="AD7" i="41"/>
  <c r="AD5" i="41"/>
  <c r="AD4" i="41"/>
  <c r="AD3" i="41"/>
  <c r="C4" i="41"/>
  <c r="C4" i="45"/>
  <c r="C4" i="7"/>
  <c r="D4" i="41"/>
  <c r="D4" i="45"/>
  <c r="D4" i="7"/>
  <c r="E4" i="41"/>
  <c r="E4" i="45"/>
  <c r="E4" i="7"/>
  <c r="F4" i="41"/>
  <c r="F4" i="45"/>
  <c r="F4" i="7"/>
  <c r="G4" i="41"/>
  <c r="G4" i="45"/>
  <c r="G4" i="7"/>
  <c r="H4" i="41"/>
  <c r="H4" i="45"/>
  <c r="H4" i="7"/>
  <c r="I4" i="41"/>
  <c r="I4" i="45"/>
  <c r="I4" i="7"/>
  <c r="J4" i="41"/>
  <c r="J4" i="45"/>
  <c r="J4" i="7"/>
  <c r="K4" i="41"/>
  <c r="K4" i="45"/>
  <c r="K4" i="7"/>
  <c r="L4" i="41"/>
  <c r="L4" i="45"/>
  <c r="L4" i="7"/>
  <c r="M4" i="41"/>
  <c r="M4" i="45"/>
  <c r="M4" i="7"/>
  <c r="N4" i="41"/>
  <c r="N4" i="45"/>
  <c r="N4" i="7"/>
  <c r="O4" i="41"/>
  <c r="O4" i="45"/>
  <c r="O4" i="7"/>
  <c r="P4" i="41"/>
  <c r="P4" i="45"/>
  <c r="P4" i="7"/>
  <c r="Q4" i="41"/>
  <c r="Q4" i="45"/>
  <c r="Q4" i="7"/>
  <c r="R4" i="41"/>
  <c r="R4" i="45"/>
  <c r="R4" i="7"/>
  <c r="S4" i="41"/>
  <c r="S4" i="45"/>
  <c r="S4" i="7"/>
  <c r="T4" i="41"/>
  <c r="T4" i="45"/>
  <c r="T4" i="7"/>
  <c r="U4" i="41"/>
  <c r="U4" i="45"/>
  <c r="U4" i="7"/>
  <c r="C5" i="41"/>
  <c r="C5" i="45"/>
  <c r="C5" i="7"/>
  <c r="D5" i="41"/>
  <c r="D5" i="45"/>
  <c r="D5" i="7"/>
  <c r="E5" i="41"/>
  <c r="E5" i="45"/>
  <c r="E5" i="7"/>
  <c r="F5" i="41"/>
  <c r="F5" i="45"/>
  <c r="F5" i="7"/>
  <c r="G5" i="41"/>
  <c r="G5" i="45"/>
  <c r="G5" i="7"/>
  <c r="H5" i="41"/>
  <c r="H5" i="45"/>
  <c r="H5" i="7"/>
  <c r="I5" i="41"/>
  <c r="I5" i="45"/>
  <c r="I5" i="7"/>
  <c r="J5" i="41"/>
  <c r="J5" i="45"/>
  <c r="J5" i="7"/>
  <c r="K5" i="41"/>
  <c r="K5" i="45"/>
  <c r="K5" i="7"/>
  <c r="L5" i="41"/>
  <c r="L5" i="45"/>
  <c r="L5" i="7"/>
  <c r="M5" i="41"/>
  <c r="M5" i="45"/>
  <c r="M5" i="7"/>
  <c r="N5" i="41"/>
  <c r="N5" i="45"/>
  <c r="N5" i="7"/>
  <c r="O5" i="41"/>
  <c r="O5" i="45"/>
  <c r="O5" i="7"/>
  <c r="P5" i="41"/>
  <c r="P5" i="45"/>
  <c r="P5" i="7"/>
  <c r="Q5" i="41"/>
  <c r="Q5" i="45"/>
  <c r="Q5" i="7"/>
  <c r="R5" i="41"/>
  <c r="R5" i="45"/>
  <c r="R5" i="7"/>
  <c r="S5" i="41"/>
  <c r="S5" i="45"/>
  <c r="S5" i="7"/>
  <c r="T5" i="41"/>
  <c r="T5" i="45"/>
  <c r="T5" i="7"/>
  <c r="U5" i="41"/>
  <c r="U5" i="45"/>
  <c r="U5" i="7"/>
  <c r="C7" i="41"/>
  <c r="C7" i="45"/>
  <c r="C7" i="7"/>
  <c r="D7" i="41"/>
  <c r="D7" i="45"/>
  <c r="D7" i="7"/>
  <c r="E7" i="41"/>
  <c r="E7" i="45"/>
  <c r="E7" i="7"/>
  <c r="F7" i="41"/>
  <c r="F7" i="45"/>
  <c r="F7" i="7"/>
  <c r="G7" i="41"/>
  <c r="G7" i="45"/>
  <c r="G7" i="7"/>
  <c r="H7" i="41"/>
  <c r="H7" i="45"/>
  <c r="H7" i="7"/>
  <c r="I7" i="41"/>
  <c r="I7" i="45"/>
  <c r="I7" i="7"/>
  <c r="J7" i="41"/>
  <c r="J7" i="45"/>
  <c r="J7" i="7"/>
  <c r="K7" i="41"/>
  <c r="K7" i="45"/>
  <c r="K7" i="7"/>
  <c r="L7" i="41"/>
  <c r="L7" i="45"/>
  <c r="L7" i="7"/>
  <c r="M7" i="41"/>
  <c r="M7" i="45"/>
  <c r="M7" i="7"/>
  <c r="N7" i="41"/>
  <c r="N7" i="45"/>
  <c r="N7" i="7"/>
  <c r="O7" i="41"/>
  <c r="O7" i="45"/>
  <c r="O7" i="7"/>
  <c r="P7" i="41"/>
  <c r="P7" i="45"/>
  <c r="P7" i="7"/>
  <c r="Q7" i="41"/>
  <c r="Q7" i="45"/>
  <c r="Q7" i="7"/>
  <c r="R7" i="41"/>
  <c r="R7" i="45"/>
  <c r="R7" i="7"/>
  <c r="S7" i="41"/>
  <c r="S7" i="45"/>
  <c r="S7" i="7"/>
  <c r="T7" i="41"/>
  <c r="T7" i="45"/>
  <c r="T7" i="7"/>
  <c r="U7" i="41"/>
  <c r="U7" i="45"/>
  <c r="U7" i="7"/>
  <c r="C8" i="41"/>
  <c r="C8" i="45"/>
  <c r="C8" i="7"/>
  <c r="D8" i="41"/>
  <c r="D8" i="45"/>
  <c r="D8" i="7"/>
  <c r="E8" i="41"/>
  <c r="E8" i="45"/>
  <c r="E8" i="7"/>
  <c r="F8" i="41"/>
  <c r="F8" i="45"/>
  <c r="F8" i="7"/>
  <c r="G8" i="41"/>
  <c r="G8" i="45"/>
  <c r="G8" i="7"/>
  <c r="H8" i="41"/>
  <c r="H8" i="45"/>
  <c r="H8" i="7"/>
  <c r="I8" i="41"/>
  <c r="I8" i="45"/>
  <c r="I8" i="7"/>
  <c r="J8" i="41"/>
  <c r="J8" i="45"/>
  <c r="J8" i="7"/>
  <c r="K8" i="41"/>
  <c r="K8" i="45"/>
  <c r="K8" i="7"/>
  <c r="L8" i="41"/>
  <c r="L8" i="45"/>
  <c r="L8" i="7"/>
  <c r="M8" i="41"/>
  <c r="M8" i="45"/>
  <c r="M8" i="7"/>
  <c r="N8" i="41"/>
  <c r="N8" i="45"/>
  <c r="N8" i="7"/>
  <c r="O8" i="41"/>
  <c r="O8" i="45"/>
  <c r="O8" i="7"/>
  <c r="P8" i="41"/>
  <c r="P8" i="45"/>
  <c r="P8" i="7"/>
  <c r="Q8" i="41"/>
  <c r="Q8" i="45"/>
  <c r="Q8" i="7"/>
  <c r="R8" i="41"/>
  <c r="R8" i="45"/>
  <c r="R8" i="7"/>
  <c r="S8" i="41"/>
  <c r="S8" i="45"/>
  <c r="S8" i="7"/>
  <c r="T8" i="41"/>
  <c r="T8" i="45"/>
  <c r="T8" i="7"/>
  <c r="U8" i="41"/>
  <c r="U8" i="45"/>
  <c r="U8" i="7"/>
  <c r="C10" i="41"/>
  <c r="C10" i="45"/>
  <c r="C10" i="7"/>
  <c r="D10" i="41"/>
  <c r="D10" i="45"/>
  <c r="D10" i="7"/>
  <c r="E10" i="41"/>
  <c r="E10" i="45"/>
  <c r="E10" i="7"/>
  <c r="F10" i="41"/>
  <c r="F10" i="45"/>
  <c r="F10" i="7"/>
  <c r="G10" i="41"/>
  <c r="G10" i="45"/>
  <c r="G10" i="7"/>
  <c r="H10" i="41"/>
  <c r="H10" i="45"/>
  <c r="H10" i="7"/>
  <c r="I10" i="41"/>
  <c r="I10" i="45"/>
  <c r="I10" i="7"/>
  <c r="J10" i="41"/>
  <c r="J10" i="45"/>
  <c r="J10" i="7"/>
  <c r="K10" i="41"/>
  <c r="K10" i="45"/>
  <c r="K10" i="7"/>
  <c r="L10" i="41"/>
  <c r="L10" i="45"/>
  <c r="L10" i="7"/>
  <c r="M10" i="41"/>
  <c r="M10" i="45"/>
  <c r="M10" i="7"/>
  <c r="N10" i="41"/>
  <c r="N10" i="45"/>
  <c r="N10" i="7"/>
  <c r="O10" i="41"/>
  <c r="O10" i="45"/>
  <c r="O10" i="7"/>
  <c r="P10" i="41"/>
  <c r="P10" i="45"/>
  <c r="P10" i="7"/>
  <c r="Q10" i="41"/>
  <c r="Q10" i="45"/>
  <c r="Q10" i="7"/>
  <c r="R10" i="41"/>
  <c r="R10" i="45"/>
  <c r="R10" i="7"/>
  <c r="S10" i="41"/>
  <c r="S10" i="45"/>
  <c r="S10" i="7"/>
  <c r="T10" i="41"/>
  <c r="T10" i="45"/>
  <c r="T10" i="7"/>
  <c r="U10" i="41"/>
  <c r="U10" i="45"/>
  <c r="U10" i="7"/>
  <c r="C11" i="41"/>
  <c r="C11" i="45"/>
  <c r="C11" i="7"/>
  <c r="D11" i="41"/>
  <c r="D11" i="45"/>
  <c r="D11" i="7"/>
  <c r="E11" i="41"/>
  <c r="E11" i="45"/>
  <c r="E11" i="7"/>
  <c r="F11" i="41"/>
  <c r="F11" i="45"/>
  <c r="F11" i="7"/>
  <c r="G11" i="41"/>
  <c r="G11" i="45"/>
  <c r="G11" i="7"/>
  <c r="H11" i="41"/>
  <c r="H11" i="45"/>
  <c r="H11" i="7"/>
  <c r="I11" i="41"/>
  <c r="I11" i="45"/>
  <c r="I11" i="7"/>
  <c r="J11" i="41"/>
  <c r="J11" i="45"/>
  <c r="J11" i="7"/>
  <c r="K11" i="41"/>
  <c r="K11" i="45"/>
  <c r="K11" i="7"/>
  <c r="L11" i="41"/>
  <c r="L11" i="45"/>
  <c r="L11" i="7"/>
  <c r="M11" i="41"/>
  <c r="M11" i="45"/>
  <c r="M11" i="7"/>
  <c r="N11" i="41"/>
  <c r="N11" i="45"/>
  <c r="N11" i="7"/>
  <c r="O11" i="41"/>
  <c r="O11" i="45"/>
  <c r="O11" i="7"/>
  <c r="P11" i="41"/>
  <c r="P11" i="45"/>
  <c r="P11" i="7"/>
  <c r="Q11" i="41"/>
  <c r="Q11" i="45"/>
  <c r="Q11" i="7"/>
  <c r="R11" i="41"/>
  <c r="R11" i="45"/>
  <c r="R11" i="7"/>
  <c r="S11" i="41"/>
  <c r="S11" i="45"/>
  <c r="S11" i="7"/>
  <c r="T11" i="41"/>
  <c r="T11" i="45"/>
  <c r="T11" i="7"/>
  <c r="U11" i="41"/>
  <c r="U11" i="45"/>
  <c r="U11" i="7"/>
  <c r="C13" i="41"/>
  <c r="C13" i="45"/>
  <c r="C13" i="7"/>
  <c r="D13" i="41"/>
  <c r="D13" i="45"/>
  <c r="D13" i="7"/>
  <c r="E13" i="41"/>
  <c r="E13" i="45"/>
  <c r="E13" i="7"/>
  <c r="F13" i="41"/>
  <c r="F13" i="45"/>
  <c r="F13" i="7"/>
  <c r="G13" i="41"/>
  <c r="G13" i="45"/>
  <c r="G13" i="7"/>
  <c r="H13" i="41"/>
  <c r="H13" i="45"/>
  <c r="H13" i="7"/>
  <c r="I13" i="41"/>
  <c r="I13" i="45"/>
  <c r="I13" i="7"/>
  <c r="J13" i="41"/>
  <c r="J13" i="45"/>
  <c r="J13" i="7"/>
  <c r="K13" i="41"/>
  <c r="K13" i="45"/>
  <c r="K13" i="7"/>
  <c r="L13" i="41"/>
  <c r="L13" i="45"/>
  <c r="L13" i="7"/>
  <c r="M13" i="41"/>
  <c r="M13" i="45"/>
  <c r="M13" i="7"/>
  <c r="N13" i="41"/>
  <c r="N13" i="45"/>
  <c r="N13" i="7"/>
  <c r="O13" i="41"/>
  <c r="O13" i="45"/>
  <c r="O13" i="7"/>
  <c r="P13" i="41"/>
  <c r="P13" i="45"/>
  <c r="P13" i="7"/>
  <c r="Q13" i="41"/>
  <c r="Q13" i="45"/>
  <c r="Q13" i="7"/>
  <c r="R13" i="41"/>
  <c r="R13" i="45"/>
  <c r="R13" i="7"/>
  <c r="S13" i="41"/>
  <c r="S13" i="45"/>
  <c r="S13" i="7"/>
  <c r="T13" i="41"/>
  <c r="T13" i="45"/>
  <c r="T13" i="7"/>
  <c r="U13" i="41"/>
  <c r="U13" i="45"/>
  <c r="U13" i="7"/>
  <c r="C14" i="41"/>
  <c r="C14" i="45"/>
  <c r="C14" i="7"/>
  <c r="D14" i="41"/>
  <c r="D14" i="45"/>
  <c r="D14" i="7"/>
  <c r="E14" i="41"/>
  <c r="E14" i="45"/>
  <c r="E14" i="7"/>
  <c r="F14" i="41"/>
  <c r="F14" i="45"/>
  <c r="F14" i="7"/>
  <c r="G14" i="41"/>
  <c r="G14" i="45"/>
  <c r="G14" i="7"/>
  <c r="H14" i="41"/>
  <c r="H14" i="45"/>
  <c r="H14" i="7"/>
  <c r="I14" i="41"/>
  <c r="I14" i="45"/>
  <c r="I14" i="7"/>
  <c r="J14" i="41"/>
  <c r="J14" i="45"/>
  <c r="J14" i="7"/>
  <c r="K14" i="41"/>
  <c r="K14" i="45"/>
  <c r="K14" i="7"/>
  <c r="L14" i="41"/>
  <c r="L14" i="45"/>
  <c r="L14" i="7"/>
  <c r="M14" i="41"/>
  <c r="M14" i="45"/>
  <c r="M14" i="7"/>
  <c r="N14" i="41"/>
  <c r="N14" i="45"/>
  <c r="N14" i="7"/>
  <c r="O14" i="41"/>
  <c r="O14" i="45"/>
  <c r="O14" i="7"/>
  <c r="P14" i="41"/>
  <c r="P14" i="45"/>
  <c r="P14" i="7"/>
  <c r="Q14" i="41"/>
  <c r="Q14" i="45"/>
  <c r="Q14" i="7"/>
  <c r="R14" i="41"/>
  <c r="R14" i="45"/>
  <c r="R14" i="7"/>
  <c r="S14" i="41"/>
  <c r="S14" i="45"/>
  <c r="S14" i="7"/>
  <c r="T14" i="41"/>
  <c r="T14" i="45"/>
  <c r="T14" i="7"/>
  <c r="U14" i="41"/>
  <c r="U14" i="45"/>
  <c r="U14" i="7"/>
  <c r="C16" i="41"/>
  <c r="C16" i="45"/>
  <c r="C16" i="7"/>
  <c r="D16" i="41"/>
  <c r="D16" i="45"/>
  <c r="D16" i="7"/>
  <c r="E16" i="41"/>
  <c r="E16" i="45"/>
  <c r="E16" i="7"/>
  <c r="F16" i="41"/>
  <c r="F16" i="45"/>
  <c r="F16" i="7"/>
  <c r="G16" i="41"/>
  <c r="G16" i="45"/>
  <c r="G16" i="7"/>
  <c r="H16" i="41"/>
  <c r="H16" i="45"/>
  <c r="H16" i="7"/>
  <c r="I16" i="41"/>
  <c r="I16" i="45"/>
  <c r="I16" i="7"/>
  <c r="J16" i="41"/>
  <c r="J16" i="45"/>
  <c r="J16" i="7"/>
  <c r="K16" i="41"/>
  <c r="K16" i="45"/>
  <c r="K16" i="7"/>
  <c r="L16" i="41"/>
  <c r="L16" i="45"/>
  <c r="L16" i="7"/>
  <c r="M16" i="41"/>
  <c r="M16" i="45"/>
  <c r="M16" i="7"/>
  <c r="N16" i="41"/>
  <c r="N16" i="45"/>
  <c r="N16" i="7"/>
  <c r="O16" i="41"/>
  <c r="O16" i="45"/>
  <c r="O16" i="7"/>
  <c r="P16" i="41"/>
  <c r="P16" i="45"/>
  <c r="P16" i="7"/>
  <c r="Q16" i="41"/>
  <c r="Q16" i="45"/>
  <c r="Q16" i="7"/>
  <c r="R16" i="41"/>
  <c r="R16" i="45"/>
  <c r="R16" i="7"/>
  <c r="S16" i="41"/>
  <c r="S16" i="45"/>
  <c r="S16" i="7"/>
  <c r="T16" i="41"/>
  <c r="T16" i="45"/>
  <c r="T16" i="7"/>
  <c r="U16" i="41"/>
  <c r="U16" i="45"/>
  <c r="U16" i="7"/>
  <c r="C17" i="41"/>
  <c r="C17" i="45"/>
  <c r="C17" i="7"/>
  <c r="D17" i="41"/>
  <c r="D17" i="45"/>
  <c r="D17" i="7"/>
  <c r="E17" i="41"/>
  <c r="E17" i="45"/>
  <c r="E17" i="7"/>
  <c r="F17" i="41"/>
  <c r="F17" i="45"/>
  <c r="F17" i="7"/>
  <c r="G17" i="41"/>
  <c r="G17" i="45"/>
  <c r="G17" i="7"/>
  <c r="H17" i="41"/>
  <c r="H17" i="45"/>
  <c r="H17" i="7"/>
  <c r="I17" i="41"/>
  <c r="I17" i="45"/>
  <c r="I17" i="7"/>
  <c r="J17" i="41"/>
  <c r="J17" i="45"/>
  <c r="J17" i="7"/>
  <c r="K17" i="41"/>
  <c r="K17" i="45"/>
  <c r="K17" i="7"/>
  <c r="L17" i="41"/>
  <c r="L17" i="45"/>
  <c r="L17" i="7"/>
  <c r="M17" i="41"/>
  <c r="M17" i="45"/>
  <c r="M17" i="7"/>
  <c r="N17" i="41"/>
  <c r="N17" i="45"/>
  <c r="N17" i="7"/>
  <c r="O17" i="41"/>
  <c r="O17" i="45"/>
  <c r="O17" i="7"/>
  <c r="P17" i="41"/>
  <c r="P17" i="45"/>
  <c r="P17" i="7"/>
  <c r="Q17" i="41"/>
  <c r="Q17" i="45"/>
  <c r="Q17" i="7"/>
  <c r="R17" i="41"/>
  <c r="R17" i="45"/>
  <c r="R17" i="7"/>
  <c r="S17" i="41"/>
  <c r="S17" i="45"/>
  <c r="S17" i="7"/>
  <c r="T17" i="41"/>
  <c r="T17" i="45"/>
  <c r="T17" i="7"/>
  <c r="U17" i="41"/>
  <c r="U17" i="45"/>
  <c r="U17" i="7"/>
  <c r="C19" i="41"/>
  <c r="C19" i="45"/>
  <c r="C19" i="7"/>
  <c r="D19" i="41"/>
  <c r="D19" i="45"/>
  <c r="D19" i="7"/>
  <c r="E19" i="41"/>
  <c r="E19" i="45"/>
  <c r="E19" i="7"/>
  <c r="F19" i="41"/>
  <c r="F19" i="45"/>
  <c r="F19" i="7"/>
  <c r="G19" i="41"/>
  <c r="G19" i="45"/>
  <c r="G19" i="7"/>
  <c r="H19" i="41"/>
  <c r="H19" i="45"/>
  <c r="H19" i="7"/>
  <c r="I19" i="41"/>
  <c r="I19" i="45"/>
  <c r="I19" i="7"/>
  <c r="J19" i="41"/>
  <c r="J19" i="45"/>
  <c r="J19" i="7"/>
  <c r="K19" i="41"/>
  <c r="K19" i="45"/>
  <c r="K19" i="7"/>
  <c r="L19" i="41"/>
  <c r="L19" i="45"/>
  <c r="L19" i="7"/>
  <c r="M19" i="41"/>
  <c r="M19" i="45"/>
  <c r="M19" i="7"/>
  <c r="N19" i="41"/>
  <c r="N19" i="45"/>
  <c r="N19" i="7"/>
  <c r="O19" i="41"/>
  <c r="O19" i="45"/>
  <c r="O19" i="7"/>
  <c r="P19" i="41"/>
  <c r="P19" i="45"/>
  <c r="P19" i="7"/>
  <c r="Q19" i="41"/>
  <c r="Q19" i="45"/>
  <c r="Q19" i="7"/>
  <c r="R19" i="41"/>
  <c r="R19" i="45"/>
  <c r="R19" i="7"/>
  <c r="S19" i="41"/>
  <c r="S19" i="45"/>
  <c r="S19" i="7"/>
  <c r="T19" i="41"/>
  <c r="T19" i="45"/>
  <c r="T19" i="7"/>
  <c r="U19" i="41"/>
  <c r="U19" i="45"/>
  <c r="U19" i="7"/>
  <c r="C20" i="41"/>
  <c r="C20" i="45"/>
  <c r="C20" i="7"/>
  <c r="D20" i="41"/>
  <c r="D20" i="45"/>
  <c r="D20" i="7"/>
  <c r="E20" i="41"/>
  <c r="E20" i="45"/>
  <c r="E20" i="7"/>
  <c r="F20" i="41"/>
  <c r="F20" i="45"/>
  <c r="F20" i="7"/>
  <c r="G20" i="41"/>
  <c r="G20" i="45"/>
  <c r="G20" i="7"/>
  <c r="H20" i="41"/>
  <c r="H20" i="45"/>
  <c r="H20" i="7"/>
  <c r="I20" i="41"/>
  <c r="I20" i="45"/>
  <c r="I20" i="7"/>
  <c r="J20" i="41"/>
  <c r="J20" i="45"/>
  <c r="J20" i="7"/>
  <c r="K20" i="41"/>
  <c r="K20" i="45"/>
  <c r="K20" i="7"/>
  <c r="L20" i="41"/>
  <c r="L20" i="45"/>
  <c r="L20" i="7"/>
  <c r="M20" i="41"/>
  <c r="M20" i="45"/>
  <c r="M20" i="7"/>
  <c r="N20" i="41"/>
  <c r="N20" i="45"/>
  <c r="N20" i="7"/>
  <c r="O20" i="41"/>
  <c r="O20" i="45"/>
  <c r="O20" i="7"/>
  <c r="P20" i="41"/>
  <c r="P20" i="45"/>
  <c r="P20" i="7"/>
  <c r="Q20" i="41"/>
  <c r="Q20" i="45"/>
  <c r="Q20" i="7"/>
  <c r="R20" i="41"/>
  <c r="R20" i="45"/>
  <c r="R20" i="7"/>
  <c r="S20" i="41"/>
  <c r="S20" i="45"/>
  <c r="S20" i="7"/>
  <c r="T20" i="41"/>
  <c r="T20" i="45"/>
  <c r="T20" i="7"/>
  <c r="U20" i="41"/>
  <c r="U20" i="45"/>
  <c r="U20" i="7"/>
  <c r="C22" i="41"/>
  <c r="C22" i="45"/>
  <c r="C22" i="7"/>
  <c r="D22" i="41"/>
  <c r="D22" i="45"/>
  <c r="D22" i="7"/>
  <c r="E22" i="41"/>
  <c r="E22" i="45"/>
  <c r="E22" i="7"/>
  <c r="F22" i="41"/>
  <c r="F22" i="45"/>
  <c r="F22" i="7"/>
  <c r="G22" i="41"/>
  <c r="G22" i="45"/>
  <c r="G22" i="7"/>
  <c r="H22" i="41"/>
  <c r="H22" i="45"/>
  <c r="H22" i="7"/>
  <c r="I22" i="41"/>
  <c r="I22" i="45"/>
  <c r="I22" i="7"/>
  <c r="J22" i="41"/>
  <c r="J22" i="45"/>
  <c r="J22" i="7"/>
  <c r="K22" i="41"/>
  <c r="K22" i="45"/>
  <c r="K22" i="7"/>
  <c r="L22" i="41"/>
  <c r="L22" i="45"/>
  <c r="L22" i="7"/>
  <c r="M22" i="41"/>
  <c r="M22" i="45"/>
  <c r="M22" i="7"/>
  <c r="N22" i="41"/>
  <c r="N22" i="45"/>
  <c r="N22" i="7"/>
  <c r="O22" i="41"/>
  <c r="O22" i="45"/>
  <c r="O22" i="7"/>
  <c r="P22" i="41"/>
  <c r="P22" i="45"/>
  <c r="P22" i="7"/>
  <c r="Q22" i="41"/>
  <c r="Q22" i="45"/>
  <c r="Q22" i="7"/>
  <c r="R22" i="41"/>
  <c r="R22" i="45"/>
  <c r="R22" i="7"/>
  <c r="S22" i="41"/>
  <c r="S22" i="45"/>
  <c r="S22" i="7"/>
  <c r="T22" i="41"/>
  <c r="T22" i="45"/>
  <c r="T22" i="7"/>
  <c r="U22" i="41"/>
  <c r="U22" i="45"/>
  <c r="U22" i="7"/>
  <c r="C23" i="41"/>
  <c r="C23" i="45"/>
  <c r="C23" i="7"/>
  <c r="D23" i="41"/>
  <c r="D23" i="45"/>
  <c r="D23" i="7"/>
  <c r="E23" i="41"/>
  <c r="E23" i="45"/>
  <c r="E23" i="7"/>
  <c r="F23" i="41"/>
  <c r="F23" i="45"/>
  <c r="F23" i="7"/>
  <c r="G23" i="41"/>
  <c r="G23" i="45"/>
  <c r="G23" i="7"/>
  <c r="H23" i="41"/>
  <c r="H23" i="45"/>
  <c r="H23" i="7"/>
  <c r="I23" i="41"/>
  <c r="I23" i="45"/>
  <c r="I23" i="7"/>
  <c r="J23" i="41"/>
  <c r="J23" i="45"/>
  <c r="J23" i="7"/>
  <c r="K23" i="41"/>
  <c r="K23" i="45"/>
  <c r="K23" i="7"/>
  <c r="L23" i="41"/>
  <c r="L23" i="45"/>
  <c r="L23" i="7"/>
  <c r="M23" i="41"/>
  <c r="M23" i="45"/>
  <c r="M23" i="7"/>
  <c r="N23" i="41"/>
  <c r="N23" i="45"/>
  <c r="N23" i="7"/>
  <c r="O23" i="41"/>
  <c r="O23" i="45"/>
  <c r="O23" i="7"/>
  <c r="P23" i="41"/>
  <c r="P23" i="45"/>
  <c r="P23" i="7"/>
  <c r="Q23" i="41"/>
  <c r="Q23" i="45"/>
  <c r="Q23" i="7"/>
  <c r="R23" i="41"/>
  <c r="R23" i="45"/>
  <c r="R23" i="7"/>
  <c r="S23" i="41"/>
  <c r="S23" i="45"/>
  <c r="S23" i="7"/>
  <c r="T23" i="41"/>
  <c r="T23" i="45"/>
  <c r="T23" i="7"/>
  <c r="U23" i="41"/>
  <c r="U23" i="45"/>
  <c r="U23" i="7"/>
  <c r="C25" i="41"/>
  <c r="C25" i="45"/>
  <c r="C25" i="7"/>
  <c r="D25" i="41"/>
  <c r="D25" i="45"/>
  <c r="D25" i="7"/>
  <c r="E25" i="41"/>
  <c r="E25" i="45"/>
  <c r="E25" i="7"/>
  <c r="F25" i="41"/>
  <c r="F25" i="45"/>
  <c r="F25" i="7"/>
  <c r="G25" i="41"/>
  <c r="G25" i="45"/>
  <c r="G25" i="7"/>
  <c r="H25" i="41"/>
  <c r="H25" i="45"/>
  <c r="H25" i="7"/>
  <c r="I25" i="41"/>
  <c r="I25" i="45"/>
  <c r="I25" i="7"/>
  <c r="J25" i="41"/>
  <c r="J25" i="45"/>
  <c r="J25" i="7"/>
  <c r="K25" i="41"/>
  <c r="K25" i="45"/>
  <c r="K25" i="7"/>
  <c r="L25" i="41"/>
  <c r="L25" i="45"/>
  <c r="L25" i="7"/>
  <c r="M25" i="41"/>
  <c r="M25" i="45"/>
  <c r="M25" i="7"/>
  <c r="N25" i="41"/>
  <c r="N25" i="45"/>
  <c r="N25" i="7"/>
  <c r="O25" i="41"/>
  <c r="O25" i="45"/>
  <c r="O25" i="7"/>
  <c r="P25" i="41"/>
  <c r="P25" i="45"/>
  <c r="P25" i="7"/>
  <c r="Q25" i="41"/>
  <c r="Q25" i="45"/>
  <c r="Q25" i="7"/>
  <c r="R25" i="41"/>
  <c r="R25" i="45"/>
  <c r="R25" i="7"/>
  <c r="S25" i="41"/>
  <c r="S25" i="45"/>
  <c r="S25" i="7"/>
  <c r="T25" i="41"/>
  <c r="T25" i="45"/>
  <c r="T25" i="7"/>
  <c r="U25" i="41"/>
  <c r="U25" i="45"/>
  <c r="U25" i="7"/>
  <c r="C26" i="41"/>
  <c r="C26" i="45"/>
  <c r="C26" i="7"/>
  <c r="D26" i="41"/>
  <c r="D26" i="45"/>
  <c r="D26" i="7"/>
  <c r="E26" i="41"/>
  <c r="E26" i="45"/>
  <c r="E26" i="7"/>
  <c r="F26" i="41"/>
  <c r="F26" i="45"/>
  <c r="F26" i="7"/>
  <c r="G26" i="41"/>
  <c r="G26" i="45"/>
  <c r="G26" i="7"/>
  <c r="H26" i="41"/>
  <c r="H26" i="45"/>
  <c r="H26" i="7"/>
  <c r="I26" i="41"/>
  <c r="I26" i="45"/>
  <c r="I26" i="7"/>
  <c r="J26" i="41"/>
  <c r="J26" i="45"/>
  <c r="J26" i="7"/>
  <c r="K26" i="41"/>
  <c r="K26" i="45"/>
  <c r="K26" i="7"/>
  <c r="L26" i="41"/>
  <c r="L26" i="45"/>
  <c r="L26" i="7"/>
  <c r="M26" i="41"/>
  <c r="M26" i="45"/>
  <c r="M26" i="7"/>
  <c r="N26" i="41"/>
  <c r="N26" i="45"/>
  <c r="N26" i="7"/>
  <c r="O26" i="41"/>
  <c r="O26" i="45"/>
  <c r="O26" i="7"/>
  <c r="P26" i="41"/>
  <c r="P26" i="45"/>
  <c r="P26" i="7"/>
  <c r="Q26" i="41"/>
  <c r="Q26" i="45"/>
  <c r="Q26" i="7"/>
  <c r="R26" i="41"/>
  <c r="R26" i="45"/>
  <c r="R26" i="7"/>
  <c r="S26" i="41"/>
  <c r="S26" i="45"/>
  <c r="S26" i="7"/>
  <c r="T26" i="41"/>
  <c r="T26" i="45"/>
  <c r="T26" i="7"/>
  <c r="U26" i="41"/>
  <c r="U26" i="45"/>
  <c r="U26" i="7"/>
  <c r="C28" i="7"/>
  <c r="D28" i="7"/>
  <c r="E28" i="7"/>
  <c r="F28" i="7"/>
  <c r="G28" i="7"/>
  <c r="H28" i="7"/>
  <c r="I28" i="7"/>
  <c r="J28" i="7"/>
  <c r="K28" i="7"/>
  <c r="L28" i="7"/>
  <c r="M28" i="7"/>
  <c r="N28" i="41"/>
  <c r="N28" i="45"/>
  <c r="N28" i="7"/>
  <c r="O28" i="41"/>
  <c r="O28" i="45"/>
  <c r="O28" i="7"/>
  <c r="P28" i="41"/>
  <c r="P28" i="45"/>
  <c r="P28" i="7"/>
  <c r="Q28" i="41"/>
  <c r="Q28" i="45"/>
  <c r="Q28" i="7"/>
  <c r="R28" i="41"/>
  <c r="R28" i="45"/>
  <c r="R28" i="7"/>
  <c r="S28" i="41"/>
  <c r="S28" i="45"/>
  <c r="S28" i="7"/>
  <c r="T28" i="41"/>
  <c r="T28" i="45"/>
  <c r="T28" i="7"/>
  <c r="U28" i="41"/>
  <c r="U28" i="45"/>
  <c r="U28" i="7"/>
  <c r="C29" i="7"/>
  <c r="D29" i="7"/>
  <c r="E29" i="7"/>
  <c r="F29" i="7"/>
  <c r="G29" i="7"/>
  <c r="H29" i="7"/>
  <c r="I29" i="7"/>
  <c r="J29" i="7"/>
  <c r="K29" i="7"/>
  <c r="L29" i="7"/>
  <c r="M29" i="7"/>
  <c r="N29" i="41"/>
  <c r="N29" i="45"/>
  <c r="N29" i="7"/>
  <c r="O29" i="41"/>
  <c r="O29" i="45"/>
  <c r="O29" i="7"/>
  <c r="P29" i="41"/>
  <c r="P29" i="45"/>
  <c r="P29" i="7"/>
  <c r="Q29" i="41"/>
  <c r="Q29" i="45"/>
  <c r="Q29" i="7"/>
  <c r="R29" i="41"/>
  <c r="R29" i="45"/>
  <c r="R29" i="7"/>
  <c r="S29" i="41"/>
  <c r="S29" i="45"/>
  <c r="S29" i="7"/>
  <c r="T29" i="41"/>
  <c r="T29" i="45"/>
  <c r="T29" i="7"/>
  <c r="U29" i="41"/>
  <c r="U29" i="45"/>
  <c r="U29" i="7"/>
  <c r="C31" i="41"/>
  <c r="C31" i="45"/>
  <c r="C31" i="7"/>
  <c r="D31" i="41"/>
  <c r="D31" i="45"/>
  <c r="D31" i="7"/>
  <c r="E31" i="41"/>
  <c r="E31" i="45"/>
  <c r="E31" i="7"/>
  <c r="F31" i="41"/>
  <c r="F31" i="45"/>
  <c r="F31" i="7"/>
  <c r="G31" i="41"/>
  <c r="G31" i="45"/>
  <c r="G31" i="7"/>
  <c r="H31" i="41"/>
  <c r="H31" i="45"/>
  <c r="H31" i="7"/>
  <c r="I31" i="41"/>
  <c r="I31" i="45"/>
  <c r="I31" i="7"/>
  <c r="J31" i="41"/>
  <c r="J31" i="45"/>
  <c r="J31" i="7"/>
  <c r="K31" i="41"/>
  <c r="K31" i="45"/>
  <c r="K31" i="7"/>
  <c r="L31" i="41"/>
  <c r="L31" i="45"/>
  <c r="L31" i="7"/>
  <c r="M31" i="41"/>
  <c r="M31" i="45"/>
  <c r="M31" i="7"/>
  <c r="N31" i="41"/>
  <c r="N31" i="45"/>
  <c r="N31" i="7"/>
  <c r="O31" i="41"/>
  <c r="O31" i="45"/>
  <c r="O31" i="7"/>
  <c r="P31" i="41"/>
  <c r="P31" i="45"/>
  <c r="P31" i="7"/>
  <c r="Q31" i="41"/>
  <c r="Q31" i="45"/>
  <c r="Q31" i="7"/>
  <c r="R31" i="41"/>
  <c r="R31" i="45"/>
  <c r="R31" i="7"/>
  <c r="S31" i="41"/>
  <c r="S31" i="45"/>
  <c r="S31" i="7"/>
  <c r="T31" i="41"/>
  <c r="T31" i="45"/>
  <c r="T31" i="7"/>
  <c r="U31" i="41"/>
  <c r="U31" i="45"/>
  <c r="U31" i="7"/>
  <c r="C32" i="41"/>
  <c r="C32" i="45"/>
  <c r="C32" i="7"/>
  <c r="D32" i="41"/>
  <c r="D32" i="45"/>
  <c r="D32" i="7"/>
  <c r="E32" i="41"/>
  <c r="E32" i="45"/>
  <c r="E32" i="7"/>
  <c r="F32" i="41"/>
  <c r="F32" i="45"/>
  <c r="F32" i="7"/>
  <c r="G32" i="41"/>
  <c r="G32" i="45"/>
  <c r="G32" i="7"/>
  <c r="H32" i="41"/>
  <c r="H32" i="45"/>
  <c r="H32" i="7"/>
  <c r="I32" i="41"/>
  <c r="I32" i="45"/>
  <c r="I32" i="7"/>
  <c r="J32" i="41"/>
  <c r="J32" i="45"/>
  <c r="J32" i="7"/>
  <c r="K32" i="41"/>
  <c r="K32" i="45"/>
  <c r="K32" i="7"/>
  <c r="L32" i="41"/>
  <c r="L32" i="45"/>
  <c r="L32" i="7"/>
  <c r="M32" i="41"/>
  <c r="M32" i="45"/>
  <c r="M32" i="7"/>
  <c r="N32" i="41"/>
  <c r="N32" i="45"/>
  <c r="N32" i="7"/>
  <c r="O32" i="41"/>
  <c r="O32" i="45"/>
  <c r="O32" i="7"/>
  <c r="P32" i="41"/>
  <c r="P32" i="45"/>
  <c r="P32" i="7"/>
  <c r="Q32" i="41"/>
  <c r="Q32" i="45"/>
  <c r="Q32" i="7"/>
  <c r="R32" i="41"/>
  <c r="R32" i="45"/>
  <c r="R32" i="7"/>
  <c r="S32" i="41"/>
  <c r="S32" i="45"/>
  <c r="S32" i="7"/>
  <c r="T32" i="41"/>
  <c r="T32" i="45"/>
  <c r="T32" i="7"/>
  <c r="U32" i="41"/>
  <c r="U32" i="45"/>
  <c r="U32" i="7"/>
  <c r="C34" i="41"/>
  <c r="C34" i="45"/>
  <c r="C34" i="7"/>
  <c r="D34" i="41"/>
  <c r="D34" i="45"/>
  <c r="D34" i="7"/>
  <c r="E34" i="41"/>
  <c r="E34" i="45"/>
  <c r="E34" i="7"/>
  <c r="F34" i="41"/>
  <c r="F34" i="45"/>
  <c r="F34" i="7"/>
  <c r="G34" i="41"/>
  <c r="G34" i="45"/>
  <c r="G34" i="7"/>
  <c r="H34" i="41"/>
  <c r="H34" i="45"/>
  <c r="H34" i="7"/>
  <c r="I34" i="41"/>
  <c r="I34" i="45"/>
  <c r="I34" i="7"/>
  <c r="J34" i="41"/>
  <c r="J34" i="45"/>
  <c r="J34" i="7"/>
  <c r="K34" i="41"/>
  <c r="K34" i="45"/>
  <c r="K34" i="7"/>
  <c r="L34" i="41"/>
  <c r="L34" i="45"/>
  <c r="L34" i="7"/>
  <c r="M34" i="41"/>
  <c r="M34" i="45"/>
  <c r="M34" i="7"/>
  <c r="N34" i="41"/>
  <c r="N34" i="45"/>
  <c r="N34" i="7"/>
  <c r="O34" i="41"/>
  <c r="O34" i="45"/>
  <c r="O34" i="7"/>
  <c r="P34" i="41"/>
  <c r="P34" i="45"/>
  <c r="P34" i="7"/>
  <c r="Q34" i="41"/>
  <c r="Q34" i="45"/>
  <c r="Q34" i="7"/>
  <c r="R34" i="41"/>
  <c r="R34" i="45"/>
  <c r="R34" i="7"/>
  <c r="S34" i="41"/>
  <c r="S34" i="45"/>
  <c r="S34" i="7"/>
  <c r="T34" i="41"/>
  <c r="T34" i="45"/>
  <c r="T34" i="7"/>
  <c r="U34" i="41"/>
  <c r="U34" i="45"/>
  <c r="U34" i="7"/>
  <c r="C35" i="41"/>
  <c r="C35" i="45"/>
  <c r="C35" i="7"/>
  <c r="D35" i="41"/>
  <c r="D35" i="45"/>
  <c r="D35" i="7"/>
  <c r="E35" i="41"/>
  <c r="E35" i="45"/>
  <c r="E35" i="7"/>
  <c r="F35" i="41"/>
  <c r="F35" i="45"/>
  <c r="F35" i="7"/>
  <c r="G35" i="41"/>
  <c r="G35" i="45"/>
  <c r="G35" i="7"/>
  <c r="H35" i="41"/>
  <c r="H35" i="45"/>
  <c r="H35" i="7"/>
  <c r="I35" i="41"/>
  <c r="I35" i="45"/>
  <c r="I35" i="7"/>
  <c r="J35" i="41"/>
  <c r="J35" i="45"/>
  <c r="J35" i="7"/>
  <c r="K35" i="41"/>
  <c r="K35" i="45"/>
  <c r="K35" i="7"/>
  <c r="L35" i="41"/>
  <c r="L35" i="45"/>
  <c r="L35" i="7"/>
  <c r="M35" i="41"/>
  <c r="M35" i="45"/>
  <c r="M35" i="7"/>
  <c r="N35" i="41"/>
  <c r="N35" i="45"/>
  <c r="N35" i="7"/>
  <c r="O35" i="41"/>
  <c r="O35" i="45"/>
  <c r="O35" i="7"/>
  <c r="P35" i="41"/>
  <c r="P35" i="45"/>
  <c r="P35" i="7"/>
  <c r="Q35" i="41"/>
  <c r="Q35" i="45"/>
  <c r="Q35" i="7"/>
  <c r="R35" i="41"/>
  <c r="R35" i="45"/>
  <c r="R35" i="7"/>
  <c r="S35" i="41"/>
  <c r="S35" i="45"/>
  <c r="S35" i="7"/>
  <c r="T35" i="41"/>
  <c r="T35" i="45"/>
  <c r="T35" i="7"/>
  <c r="U35" i="41"/>
  <c r="U35" i="45"/>
  <c r="U35" i="7"/>
  <c r="C37" i="41"/>
  <c r="C37" i="45"/>
  <c r="C37" i="7"/>
  <c r="D37" i="41"/>
  <c r="D37" i="45"/>
  <c r="D37" i="7"/>
  <c r="E37" i="41"/>
  <c r="E37" i="45"/>
  <c r="E37" i="7"/>
  <c r="F37" i="41"/>
  <c r="F37" i="45"/>
  <c r="F37" i="7"/>
  <c r="G37" i="41"/>
  <c r="G37" i="45"/>
  <c r="G37" i="7"/>
  <c r="H37" i="41"/>
  <c r="H37" i="45"/>
  <c r="H37" i="7"/>
  <c r="I37" i="41"/>
  <c r="I37" i="45"/>
  <c r="I37" i="7"/>
  <c r="J37" i="41"/>
  <c r="J37" i="45"/>
  <c r="J37" i="7"/>
  <c r="K37" i="41"/>
  <c r="K37" i="45"/>
  <c r="K37" i="7"/>
  <c r="L37" i="41"/>
  <c r="L37" i="45"/>
  <c r="L37" i="7"/>
  <c r="M37" i="41"/>
  <c r="M37" i="45"/>
  <c r="M37" i="7"/>
  <c r="N37" i="41"/>
  <c r="N37" i="45"/>
  <c r="N37" i="7"/>
  <c r="O37" i="41"/>
  <c r="O37" i="45"/>
  <c r="O37" i="7"/>
  <c r="P37" i="41"/>
  <c r="P37" i="45"/>
  <c r="P37" i="7"/>
  <c r="Q37" i="41"/>
  <c r="Q37" i="45"/>
  <c r="Q37" i="7"/>
  <c r="R37" i="41"/>
  <c r="R37" i="45"/>
  <c r="R37" i="7"/>
  <c r="S37" i="41"/>
  <c r="S37" i="45"/>
  <c r="S37" i="7"/>
  <c r="T37" i="41"/>
  <c r="T37" i="45"/>
  <c r="T37" i="7"/>
  <c r="U37" i="41"/>
  <c r="U37" i="45"/>
  <c r="U37" i="7"/>
  <c r="C38" i="41"/>
  <c r="C38" i="45"/>
  <c r="C38" i="7"/>
  <c r="D38" i="41"/>
  <c r="D38" i="45"/>
  <c r="D38" i="7"/>
  <c r="E38" i="41"/>
  <c r="E38" i="45"/>
  <c r="E38" i="7"/>
  <c r="F38" i="41"/>
  <c r="F38" i="45"/>
  <c r="F38" i="7"/>
  <c r="G38" i="41"/>
  <c r="G38" i="45"/>
  <c r="G38" i="7"/>
  <c r="H38" i="41"/>
  <c r="H38" i="45"/>
  <c r="H38" i="7"/>
  <c r="I38" i="41"/>
  <c r="I38" i="45"/>
  <c r="I38" i="7"/>
  <c r="J38" i="41"/>
  <c r="J38" i="45"/>
  <c r="J38" i="7"/>
  <c r="K38" i="41"/>
  <c r="K38" i="45"/>
  <c r="K38" i="7"/>
  <c r="L38" i="41"/>
  <c r="L38" i="45"/>
  <c r="L38" i="7"/>
  <c r="M38" i="41"/>
  <c r="M38" i="45"/>
  <c r="M38" i="7"/>
  <c r="N38" i="41"/>
  <c r="N38" i="45"/>
  <c r="N38" i="7"/>
  <c r="O38" i="41"/>
  <c r="O38" i="45"/>
  <c r="O38" i="7"/>
  <c r="P38" i="41"/>
  <c r="P38" i="45"/>
  <c r="P38" i="7"/>
  <c r="Q38" i="41"/>
  <c r="Q38" i="45"/>
  <c r="Q38" i="7"/>
  <c r="R38" i="41"/>
  <c r="R38" i="45"/>
  <c r="R38" i="7"/>
  <c r="S38" i="41"/>
  <c r="S38" i="45"/>
  <c r="S38" i="7"/>
  <c r="T38" i="41"/>
  <c r="T38" i="45"/>
  <c r="T38" i="7"/>
  <c r="U38" i="41"/>
  <c r="U38" i="45"/>
  <c r="U38" i="7"/>
  <c r="C40" i="41"/>
  <c r="C40" i="45"/>
  <c r="C40" i="7"/>
  <c r="D40" i="41"/>
  <c r="D40" i="45"/>
  <c r="D40" i="7"/>
  <c r="E40" i="41"/>
  <c r="E40" i="45"/>
  <c r="E40" i="7"/>
  <c r="F40" i="41"/>
  <c r="F40" i="45"/>
  <c r="F40" i="7"/>
  <c r="G40" i="41"/>
  <c r="G40" i="45"/>
  <c r="G40" i="7"/>
  <c r="H40" i="41"/>
  <c r="H40" i="45"/>
  <c r="H40" i="7"/>
  <c r="I40" i="41"/>
  <c r="I40" i="45"/>
  <c r="I40" i="7"/>
  <c r="J40" i="41"/>
  <c r="J40" i="45"/>
  <c r="J40" i="7"/>
  <c r="K40" i="41"/>
  <c r="K40" i="45"/>
  <c r="K40" i="7"/>
  <c r="L40" i="41"/>
  <c r="L40" i="45"/>
  <c r="L40" i="7"/>
  <c r="M40" i="41"/>
  <c r="M40" i="45"/>
  <c r="M40" i="7"/>
  <c r="N40" i="41"/>
  <c r="N40" i="45"/>
  <c r="N40" i="7"/>
  <c r="O40" i="41"/>
  <c r="O40" i="45"/>
  <c r="O40" i="7"/>
  <c r="P40" i="41"/>
  <c r="P40" i="45"/>
  <c r="P40" i="7"/>
  <c r="Q40" i="41"/>
  <c r="Q40" i="45"/>
  <c r="Q40" i="7"/>
  <c r="R40" i="41"/>
  <c r="R40" i="45"/>
  <c r="R40" i="7"/>
  <c r="S40" i="41"/>
  <c r="S40" i="45"/>
  <c r="S40" i="7"/>
  <c r="T40" i="41"/>
  <c r="T40" i="45"/>
  <c r="T40" i="7"/>
  <c r="U40" i="41"/>
  <c r="U40" i="45"/>
  <c r="U40" i="7"/>
  <c r="C41" i="41"/>
  <c r="C41" i="45"/>
  <c r="C41" i="7"/>
  <c r="D41" i="41"/>
  <c r="D41" i="45"/>
  <c r="D41" i="7"/>
  <c r="E41" i="41"/>
  <c r="E41" i="45"/>
  <c r="E41" i="7"/>
  <c r="F41" i="41"/>
  <c r="F41" i="45"/>
  <c r="F41" i="7"/>
  <c r="G41" i="41"/>
  <c r="G41" i="45"/>
  <c r="G41" i="7"/>
  <c r="H41" i="41"/>
  <c r="H41" i="45"/>
  <c r="H41" i="7"/>
  <c r="I41" i="41"/>
  <c r="I41" i="45"/>
  <c r="I41" i="7"/>
  <c r="J41" i="41"/>
  <c r="J41" i="45"/>
  <c r="J41" i="7"/>
  <c r="K41" i="41"/>
  <c r="K41" i="45"/>
  <c r="K41" i="7"/>
  <c r="L41" i="41"/>
  <c r="L41" i="45"/>
  <c r="L41" i="7"/>
  <c r="M41" i="41"/>
  <c r="M41" i="45"/>
  <c r="M41" i="7"/>
  <c r="N41" i="41"/>
  <c r="N41" i="45"/>
  <c r="N41" i="7"/>
  <c r="O41" i="41"/>
  <c r="O41" i="45"/>
  <c r="O41" i="7"/>
  <c r="P41" i="41"/>
  <c r="P41" i="45"/>
  <c r="P41" i="7"/>
  <c r="Q41" i="41"/>
  <c r="Q41" i="45"/>
  <c r="Q41" i="7"/>
  <c r="R41" i="41"/>
  <c r="R41" i="45"/>
  <c r="R41" i="7"/>
  <c r="S41" i="41"/>
  <c r="S41" i="45"/>
  <c r="S41" i="7"/>
  <c r="T41" i="41"/>
  <c r="T41" i="45"/>
  <c r="T41" i="7"/>
  <c r="U41" i="41"/>
  <c r="U41" i="45"/>
  <c r="U41" i="7"/>
  <c r="C43" i="41"/>
  <c r="C43" i="45"/>
  <c r="C43" i="7"/>
  <c r="D43" i="41"/>
  <c r="D43" i="45"/>
  <c r="D43" i="7"/>
  <c r="E43" i="41"/>
  <c r="E43" i="45"/>
  <c r="E43" i="7"/>
  <c r="F43" i="41"/>
  <c r="F43" i="45"/>
  <c r="F43" i="7"/>
  <c r="G43" i="41"/>
  <c r="G43" i="45"/>
  <c r="G43" i="7"/>
  <c r="H43" i="41"/>
  <c r="H43" i="45"/>
  <c r="H43" i="7"/>
  <c r="I43" i="41"/>
  <c r="I43" i="45"/>
  <c r="I43" i="7"/>
  <c r="J43" i="41"/>
  <c r="J43" i="45"/>
  <c r="J43" i="7"/>
  <c r="K43" i="41"/>
  <c r="K43" i="45"/>
  <c r="K43" i="7"/>
  <c r="L43" i="41"/>
  <c r="L43" i="45"/>
  <c r="L43" i="7"/>
  <c r="M43" i="41"/>
  <c r="M43" i="45"/>
  <c r="M43" i="7"/>
  <c r="N43" i="41"/>
  <c r="N43" i="45"/>
  <c r="N43" i="7"/>
  <c r="O43" i="41"/>
  <c r="O43" i="45"/>
  <c r="O43" i="7"/>
  <c r="P43" i="41"/>
  <c r="P43" i="45"/>
  <c r="P43" i="7"/>
  <c r="Q43" i="41"/>
  <c r="Q43" i="45"/>
  <c r="Q43" i="7"/>
  <c r="R43" i="41"/>
  <c r="R43" i="45"/>
  <c r="R43" i="7"/>
  <c r="S43" i="41"/>
  <c r="S43" i="45"/>
  <c r="S43" i="7"/>
  <c r="T43" i="41"/>
  <c r="T43" i="45"/>
  <c r="T43" i="7"/>
  <c r="U43" i="41"/>
  <c r="U43" i="45"/>
  <c r="U43" i="7"/>
  <c r="C44" i="41"/>
  <c r="C44" i="45"/>
  <c r="C44" i="7"/>
  <c r="D44" i="41"/>
  <c r="D44" i="45"/>
  <c r="D44" i="7"/>
  <c r="E44" i="41"/>
  <c r="E44" i="45"/>
  <c r="E44" i="7"/>
  <c r="F44" i="41"/>
  <c r="F44" i="45"/>
  <c r="F44" i="7"/>
  <c r="G44" i="41"/>
  <c r="G44" i="45"/>
  <c r="G44" i="7"/>
  <c r="H44" i="41"/>
  <c r="H44" i="45"/>
  <c r="H44" i="7"/>
  <c r="I44" i="41"/>
  <c r="I44" i="45"/>
  <c r="I44" i="7"/>
  <c r="J44" i="41"/>
  <c r="J44" i="45"/>
  <c r="J44" i="7"/>
  <c r="K44" i="41"/>
  <c r="K44" i="45"/>
  <c r="K44" i="7"/>
  <c r="L44" i="41"/>
  <c r="L44" i="45"/>
  <c r="L44" i="7"/>
  <c r="M44" i="41"/>
  <c r="M44" i="45"/>
  <c r="M44" i="7"/>
  <c r="N44" i="41"/>
  <c r="N44" i="45"/>
  <c r="N44" i="7"/>
  <c r="O44" i="41"/>
  <c r="O44" i="45"/>
  <c r="O44" i="7"/>
  <c r="P44" i="41"/>
  <c r="P44" i="45"/>
  <c r="P44" i="7"/>
  <c r="Q44" i="41"/>
  <c r="Q44" i="45"/>
  <c r="Q44" i="7"/>
  <c r="R44" i="41"/>
  <c r="R44" i="45"/>
  <c r="R44" i="7"/>
  <c r="S44" i="41"/>
  <c r="S44" i="45"/>
  <c r="S44" i="7"/>
  <c r="T44" i="41"/>
  <c r="T44" i="45"/>
  <c r="T44" i="7"/>
  <c r="U44" i="41"/>
  <c r="U44" i="45"/>
  <c r="U44" i="7"/>
  <c r="C46" i="41"/>
  <c r="C46" i="45"/>
  <c r="C46" i="7"/>
  <c r="D46" i="41"/>
  <c r="D46" i="45"/>
  <c r="D46" i="7"/>
  <c r="E46" i="41"/>
  <c r="E46" i="45"/>
  <c r="E46" i="7"/>
  <c r="F46" i="41"/>
  <c r="F46" i="45"/>
  <c r="F46" i="7"/>
  <c r="G46" i="41"/>
  <c r="G46" i="45"/>
  <c r="G46" i="7"/>
  <c r="H46" i="41"/>
  <c r="H46" i="45"/>
  <c r="H46" i="7"/>
  <c r="I46" i="41"/>
  <c r="I46" i="45"/>
  <c r="I46" i="7"/>
  <c r="J46" i="41"/>
  <c r="J46" i="45"/>
  <c r="J46" i="7"/>
  <c r="K46" i="41"/>
  <c r="K46" i="45"/>
  <c r="K46" i="7"/>
  <c r="L46" i="41"/>
  <c r="L46" i="45"/>
  <c r="L46" i="7"/>
  <c r="M46" i="41"/>
  <c r="M46" i="45"/>
  <c r="M46" i="7"/>
  <c r="N46" i="41"/>
  <c r="N46" i="45"/>
  <c r="N46" i="7"/>
  <c r="O46" i="41"/>
  <c r="O46" i="45"/>
  <c r="O46" i="7"/>
  <c r="P46" i="41"/>
  <c r="P46" i="45"/>
  <c r="P46" i="7"/>
  <c r="Q46" i="41"/>
  <c r="Q46" i="45"/>
  <c r="Q46" i="7"/>
  <c r="R46" i="41"/>
  <c r="R46" i="45"/>
  <c r="R46" i="7"/>
  <c r="S46" i="41"/>
  <c r="S46" i="45"/>
  <c r="S46" i="7"/>
  <c r="T46" i="41"/>
  <c r="T46" i="45"/>
  <c r="T46" i="7"/>
  <c r="U46" i="41"/>
  <c r="U46" i="45"/>
  <c r="U46" i="7"/>
  <c r="C47" i="41"/>
  <c r="C47" i="45"/>
  <c r="C47" i="7"/>
  <c r="D47" i="41"/>
  <c r="D47" i="45"/>
  <c r="D47" i="7"/>
  <c r="E47" i="41"/>
  <c r="E47" i="45"/>
  <c r="E47" i="7"/>
  <c r="F47" i="41"/>
  <c r="F47" i="45"/>
  <c r="F47" i="7"/>
  <c r="G47" i="41"/>
  <c r="G47" i="45"/>
  <c r="G47" i="7"/>
  <c r="H47" i="41"/>
  <c r="H47" i="45"/>
  <c r="H47" i="7"/>
  <c r="I47" i="41"/>
  <c r="I47" i="45"/>
  <c r="I47" i="7"/>
  <c r="J47" i="41"/>
  <c r="J47" i="45"/>
  <c r="J47" i="7"/>
  <c r="K47" i="41"/>
  <c r="K47" i="45"/>
  <c r="K47" i="7"/>
  <c r="L47" i="41"/>
  <c r="L47" i="45"/>
  <c r="L47" i="7"/>
  <c r="M47" i="41"/>
  <c r="M47" i="45"/>
  <c r="M47" i="7"/>
  <c r="N47" i="41"/>
  <c r="N47" i="45"/>
  <c r="N47" i="7"/>
  <c r="O47" i="41"/>
  <c r="O47" i="45"/>
  <c r="O47" i="7"/>
  <c r="P47" i="41"/>
  <c r="P47" i="45"/>
  <c r="P47" i="7"/>
  <c r="Q47" i="41"/>
  <c r="Q47" i="45"/>
  <c r="Q47" i="7"/>
  <c r="R47" i="41"/>
  <c r="R47" i="45"/>
  <c r="R47" i="7"/>
  <c r="S47" i="41"/>
  <c r="S47" i="45"/>
  <c r="S47" i="7"/>
  <c r="T47" i="41"/>
  <c r="T47" i="45"/>
  <c r="T47" i="7"/>
  <c r="U47" i="41"/>
  <c r="U47" i="45"/>
  <c r="U47" i="7"/>
  <c r="C49" i="41"/>
  <c r="C49" i="45"/>
  <c r="C49" i="7"/>
  <c r="D49" i="41"/>
  <c r="D49" i="45"/>
  <c r="D49" i="7"/>
  <c r="E49" i="41"/>
  <c r="E49" i="45"/>
  <c r="E49" i="7"/>
  <c r="F49" i="41"/>
  <c r="F49" i="45"/>
  <c r="F49" i="7"/>
  <c r="G49" i="41"/>
  <c r="G49" i="45"/>
  <c r="G49" i="7"/>
  <c r="H49" i="41"/>
  <c r="H49" i="45"/>
  <c r="H49" i="7"/>
  <c r="I49" i="41"/>
  <c r="I49" i="45"/>
  <c r="I49" i="7"/>
  <c r="J49" i="41"/>
  <c r="J49" i="45"/>
  <c r="J49" i="7"/>
  <c r="K49" i="41"/>
  <c r="K49" i="45"/>
  <c r="K49" i="7"/>
  <c r="L49" i="41"/>
  <c r="L49" i="45"/>
  <c r="L49" i="7"/>
  <c r="M49" i="41"/>
  <c r="M49" i="45"/>
  <c r="M49" i="7"/>
  <c r="N49" i="41"/>
  <c r="N49" i="45"/>
  <c r="N49" i="7"/>
  <c r="O49" i="41"/>
  <c r="O49" i="45"/>
  <c r="O49" i="7"/>
  <c r="P49" i="41"/>
  <c r="P49" i="45"/>
  <c r="P49" i="7"/>
  <c r="Q49" i="41"/>
  <c r="Q49" i="45"/>
  <c r="Q49" i="7"/>
  <c r="R49" i="41"/>
  <c r="R49" i="45"/>
  <c r="R49" i="7"/>
  <c r="S49" i="41"/>
  <c r="S49" i="45"/>
  <c r="S49" i="7"/>
  <c r="T49" i="41"/>
  <c r="T49" i="45"/>
  <c r="T49" i="7"/>
  <c r="U49" i="41"/>
  <c r="U49" i="45"/>
  <c r="U49" i="7"/>
  <c r="C50" i="41"/>
  <c r="C50" i="45"/>
  <c r="C50" i="7"/>
  <c r="D50" i="41"/>
  <c r="D50" i="45"/>
  <c r="D50" i="7"/>
  <c r="E50" i="41"/>
  <c r="E50" i="45"/>
  <c r="E50" i="7"/>
  <c r="F50" i="41"/>
  <c r="F50" i="45"/>
  <c r="F50" i="7"/>
  <c r="G50" i="41"/>
  <c r="G50" i="45"/>
  <c r="G50" i="7"/>
  <c r="H50" i="41"/>
  <c r="H50" i="45"/>
  <c r="H50" i="7"/>
  <c r="I50" i="41"/>
  <c r="I50" i="45"/>
  <c r="I50" i="7"/>
  <c r="J50" i="41"/>
  <c r="J50" i="45"/>
  <c r="J50" i="7"/>
  <c r="K50" i="41"/>
  <c r="K50" i="45"/>
  <c r="K50" i="7"/>
  <c r="L50" i="41"/>
  <c r="L50" i="45"/>
  <c r="L50" i="7"/>
  <c r="M50" i="41"/>
  <c r="M50" i="45"/>
  <c r="M50" i="7"/>
  <c r="N50" i="41"/>
  <c r="N50" i="45"/>
  <c r="N50" i="7"/>
  <c r="O50" i="41"/>
  <c r="O50" i="45"/>
  <c r="O50" i="7"/>
  <c r="P50" i="41"/>
  <c r="P50" i="45"/>
  <c r="P50" i="7"/>
  <c r="Q50" i="41"/>
  <c r="Q50" i="45"/>
  <c r="Q50" i="7"/>
  <c r="R50" i="41"/>
  <c r="R50" i="45"/>
  <c r="R50" i="7"/>
  <c r="S50" i="41"/>
  <c r="S50" i="45"/>
  <c r="S50" i="7"/>
  <c r="T50" i="41"/>
  <c r="T50" i="45"/>
  <c r="T50" i="7"/>
  <c r="U50" i="41"/>
  <c r="U50" i="45"/>
  <c r="U50" i="7"/>
  <c r="C52" i="41"/>
  <c r="C52" i="45"/>
  <c r="C52" i="7"/>
  <c r="D52" i="41"/>
  <c r="D52" i="45"/>
  <c r="D52" i="7"/>
  <c r="E52" i="41"/>
  <c r="E52" i="45"/>
  <c r="E52" i="7"/>
  <c r="F52" i="41"/>
  <c r="F52" i="45"/>
  <c r="F52" i="7"/>
  <c r="G52" i="41"/>
  <c r="G52" i="45"/>
  <c r="G52" i="7"/>
  <c r="H52" i="41"/>
  <c r="H52" i="45"/>
  <c r="H52" i="7"/>
  <c r="I52" i="41"/>
  <c r="I52" i="45"/>
  <c r="I52" i="7"/>
  <c r="J52" i="41"/>
  <c r="J52" i="45"/>
  <c r="J52" i="7"/>
  <c r="K52" i="41"/>
  <c r="K52" i="45"/>
  <c r="K52" i="7"/>
  <c r="L52" i="41"/>
  <c r="L52" i="45"/>
  <c r="L52" i="7"/>
  <c r="M52" i="41"/>
  <c r="M52" i="45"/>
  <c r="M52" i="7"/>
  <c r="N52" i="41"/>
  <c r="N52" i="45"/>
  <c r="N52" i="7"/>
  <c r="O52" i="41"/>
  <c r="O52" i="45"/>
  <c r="O52" i="7"/>
  <c r="P52" i="41"/>
  <c r="P52" i="45"/>
  <c r="P52" i="7"/>
  <c r="Q52" i="41"/>
  <c r="Q52" i="45"/>
  <c r="Q52" i="7"/>
  <c r="R52" i="41"/>
  <c r="R52" i="45"/>
  <c r="R52" i="7"/>
  <c r="S52" i="41"/>
  <c r="S52" i="45"/>
  <c r="S52" i="7"/>
  <c r="T52" i="41"/>
  <c r="T52" i="45"/>
  <c r="T52" i="7"/>
  <c r="U52" i="41"/>
  <c r="U52" i="45"/>
  <c r="U52" i="7"/>
  <c r="C53" i="41"/>
  <c r="C53" i="45"/>
  <c r="C53" i="7"/>
  <c r="D53" i="41"/>
  <c r="D53" i="45"/>
  <c r="D53" i="7"/>
  <c r="E53" i="41"/>
  <c r="E53" i="45"/>
  <c r="E53" i="7"/>
  <c r="F53" i="41"/>
  <c r="F53" i="45"/>
  <c r="F53" i="7"/>
  <c r="G53" i="41"/>
  <c r="G53" i="45"/>
  <c r="G53" i="7"/>
  <c r="H53" i="41"/>
  <c r="H53" i="45"/>
  <c r="H53" i="7"/>
  <c r="I53" i="41"/>
  <c r="I53" i="45"/>
  <c r="I53" i="7"/>
  <c r="J53" i="41"/>
  <c r="J53" i="45"/>
  <c r="J53" i="7"/>
  <c r="K53" i="41"/>
  <c r="K53" i="45"/>
  <c r="K53" i="7"/>
  <c r="L53" i="41"/>
  <c r="L53" i="45"/>
  <c r="L53" i="7"/>
  <c r="M53" i="41"/>
  <c r="M53" i="45"/>
  <c r="M53" i="7"/>
  <c r="N53" i="41"/>
  <c r="N53" i="45"/>
  <c r="N53" i="7"/>
  <c r="O53" i="41"/>
  <c r="O53" i="45"/>
  <c r="O53" i="7"/>
  <c r="P53" i="41"/>
  <c r="P53" i="45"/>
  <c r="P53" i="7"/>
  <c r="Q53" i="41"/>
  <c r="Q53" i="45"/>
  <c r="Q53" i="7"/>
  <c r="R53" i="41"/>
  <c r="R53" i="45"/>
  <c r="R53" i="7"/>
  <c r="S53" i="41"/>
  <c r="S53" i="45"/>
  <c r="S53" i="7"/>
  <c r="T53" i="41"/>
  <c r="T53" i="45"/>
  <c r="T53" i="7"/>
  <c r="U53" i="41"/>
  <c r="U53" i="45"/>
  <c r="U53" i="7"/>
  <c r="C55" i="41"/>
  <c r="C55" i="45"/>
  <c r="C55" i="7"/>
  <c r="D55" i="41"/>
  <c r="D55" i="45"/>
  <c r="D55" i="7"/>
  <c r="E55" i="41"/>
  <c r="E55" i="45"/>
  <c r="E55" i="7"/>
  <c r="F55" i="41"/>
  <c r="F55" i="45"/>
  <c r="F55" i="7"/>
  <c r="G55" i="41"/>
  <c r="G55" i="45"/>
  <c r="G55" i="7"/>
  <c r="H55" i="41"/>
  <c r="H55" i="45"/>
  <c r="H55" i="7"/>
  <c r="I55" i="41"/>
  <c r="I55" i="45"/>
  <c r="I55" i="7"/>
  <c r="J55" i="41"/>
  <c r="J55" i="45"/>
  <c r="J55" i="7"/>
  <c r="K55" i="41"/>
  <c r="K55" i="45"/>
  <c r="K55" i="7"/>
  <c r="L55" i="41"/>
  <c r="L55" i="45"/>
  <c r="L55" i="7"/>
  <c r="M55" i="41"/>
  <c r="M55" i="45"/>
  <c r="M55" i="7"/>
  <c r="N55" i="41"/>
  <c r="N55" i="45"/>
  <c r="N55" i="7"/>
  <c r="O55" i="41"/>
  <c r="O55" i="45"/>
  <c r="O55" i="7"/>
  <c r="P55" i="41"/>
  <c r="P55" i="45"/>
  <c r="P55" i="7"/>
  <c r="Q55" i="41"/>
  <c r="Q55" i="45"/>
  <c r="Q55" i="7"/>
  <c r="R55" i="41"/>
  <c r="R55" i="45"/>
  <c r="R55" i="7"/>
  <c r="S55" i="41"/>
  <c r="S55" i="45"/>
  <c r="S55" i="7"/>
  <c r="T55" i="41"/>
  <c r="T55" i="45"/>
  <c r="T55" i="7"/>
  <c r="U55" i="41"/>
  <c r="U55" i="45"/>
  <c r="U55" i="7"/>
  <c r="C56" i="41"/>
  <c r="C56" i="45"/>
  <c r="C56" i="7"/>
  <c r="D56" i="41"/>
  <c r="D56" i="45"/>
  <c r="D56" i="7"/>
  <c r="E56" i="41"/>
  <c r="E56" i="45"/>
  <c r="E56" i="7"/>
  <c r="F56" i="41"/>
  <c r="F56" i="45"/>
  <c r="F56" i="7"/>
  <c r="G56" i="41"/>
  <c r="G56" i="45"/>
  <c r="G56" i="7"/>
  <c r="H56" i="41"/>
  <c r="H56" i="45"/>
  <c r="H56" i="7"/>
  <c r="I56" i="41"/>
  <c r="I56" i="45"/>
  <c r="I56" i="7"/>
  <c r="J56" i="41"/>
  <c r="J56" i="45"/>
  <c r="J56" i="7"/>
  <c r="K56" i="41"/>
  <c r="K56" i="45"/>
  <c r="K56" i="7"/>
  <c r="L56" i="41"/>
  <c r="L56" i="45"/>
  <c r="L56" i="7"/>
  <c r="M56" i="41"/>
  <c r="M56" i="45"/>
  <c r="M56" i="7"/>
  <c r="N56" i="41"/>
  <c r="N56" i="45"/>
  <c r="N56" i="7"/>
  <c r="O56" i="41"/>
  <c r="O56" i="45"/>
  <c r="O56" i="7"/>
  <c r="P56" i="41"/>
  <c r="P56" i="45"/>
  <c r="P56" i="7"/>
  <c r="Q56" i="41"/>
  <c r="Q56" i="45"/>
  <c r="Q56" i="7"/>
  <c r="R56" i="41"/>
  <c r="R56" i="45"/>
  <c r="R56" i="7"/>
  <c r="S56" i="41"/>
  <c r="S56" i="45"/>
  <c r="S56" i="7"/>
  <c r="T56" i="41"/>
  <c r="T56" i="45"/>
  <c r="T56" i="7"/>
  <c r="U56" i="41"/>
  <c r="U56" i="45"/>
  <c r="U56" i="7"/>
  <c r="C58" i="41"/>
  <c r="C58" i="45"/>
  <c r="C58" i="7"/>
  <c r="D58" i="41"/>
  <c r="D58" i="45"/>
  <c r="D58" i="7"/>
  <c r="E58" i="41"/>
  <c r="E58" i="45"/>
  <c r="E58" i="7"/>
  <c r="F58" i="41"/>
  <c r="F58" i="45"/>
  <c r="F58" i="7"/>
  <c r="G58" i="41"/>
  <c r="G58" i="45"/>
  <c r="G58" i="7"/>
  <c r="H58" i="41"/>
  <c r="H58" i="45"/>
  <c r="H58" i="7"/>
  <c r="I58" i="41"/>
  <c r="I58" i="45"/>
  <c r="I58" i="7"/>
  <c r="J58" i="41"/>
  <c r="J58" i="45"/>
  <c r="J58" i="7"/>
  <c r="K58" i="41"/>
  <c r="K58" i="45"/>
  <c r="K58" i="7"/>
  <c r="L58" i="41"/>
  <c r="L58" i="45"/>
  <c r="L58" i="7"/>
  <c r="M58" i="41"/>
  <c r="M58" i="45"/>
  <c r="M58" i="7"/>
  <c r="N58" i="41"/>
  <c r="N58" i="45"/>
  <c r="N58" i="7"/>
  <c r="O58" i="41"/>
  <c r="O58" i="45"/>
  <c r="O58" i="7"/>
  <c r="P58" i="41"/>
  <c r="P58" i="45"/>
  <c r="P58" i="7"/>
  <c r="Q58" i="41"/>
  <c r="Q58" i="45"/>
  <c r="Q58" i="7"/>
  <c r="R58" i="41"/>
  <c r="R58" i="45"/>
  <c r="R58" i="7"/>
  <c r="S58" i="41"/>
  <c r="S58" i="45"/>
  <c r="S58" i="7"/>
  <c r="T58" i="41"/>
  <c r="T58" i="45"/>
  <c r="T58" i="7"/>
  <c r="U58" i="41"/>
  <c r="U58" i="45"/>
  <c r="U58" i="7"/>
  <c r="C59" i="41"/>
  <c r="C59" i="45"/>
  <c r="C59" i="7"/>
  <c r="D59" i="41"/>
  <c r="D59" i="45"/>
  <c r="D59" i="7"/>
  <c r="E59" i="41"/>
  <c r="E59" i="45"/>
  <c r="E59" i="7"/>
  <c r="F59" i="41"/>
  <c r="F59" i="45"/>
  <c r="F59" i="7"/>
  <c r="G59" i="41"/>
  <c r="G59" i="45"/>
  <c r="G59" i="7"/>
  <c r="H59" i="41"/>
  <c r="H59" i="45"/>
  <c r="H59" i="7"/>
  <c r="I59" i="41"/>
  <c r="I59" i="45"/>
  <c r="I59" i="7"/>
  <c r="J59" i="41"/>
  <c r="J59" i="45"/>
  <c r="J59" i="7"/>
  <c r="K59" i="41"/>
  <c r="K59" i="45"/>
  <c r="K59" i="7"/>
  <c r="L59" i="41"/>
  <c r="L59" i="45"/>
  <c r="L59" i="7"/>
  <c r="M59" i="41"/>
  <c r="M59" i="45"/>
  <c r="M59" i="7"/>
  <c r="N59" i="41"/>
  <c r="N59" i="45"/>
  <c r="N59" i="7"/>
  <c r="O59" i="41"/>
  <c r="O59" i="45"/>
  <c r="O59" i="7"/>
  <c r="P59" i="41"/>
  <c r="P59" i="45"/>
  <c r="P59" i="7"/>
  <c r="Q59" i="41"/>
  <c r="Q59" i="45"/>
  <c r="Q59" i="7"/>
  <c r="R59" i="41"/>
  <c r="R59" i="45"/>
  <c r="R59" i="7"/>
  <c r="S59" i="41"/>
  <c r="S59" i="45"/>
  <c r="S59" i="7"/>
  <c r="T59" i="41"/>
  <c r="T59" i="45"/>
  <c r="T59" i="7"/>
  <c r="U59" i="41"/>
  <c r="U59" i="45"/>
  <c r="U59" i="7"/>
  <c r="R4" i="58"/>
  <c r="S4" i="58"/>
  <c r="T4" i="58"/>
  <c r="U4" i="58"/>
  <c r="R5" i="58"/>
  <c r="S5" i="58"/>
  <c r="T5" i="58"/>
  <c r="U5" i="58"/>
  <c r="R7" i="58"/>
  <c r="S7" i="58"/>
  <c r="T7" i="58"/>
  <c r="U7" i="58"/>
  <c r="R8" i="58"/>
  <c r="S8" i="58"/>
  <c r="T8" i="58"/>
  <c r="U8" i="58"/>
  <c r="R10" i="58"/>
  <c r="S10" i="58"/>
  <c r="T10" i="58"/>
  <c r="U10" i="58"/>
  <c r="R11" i="58"/>
  <c r="S11" i="58"/>
  <c r="T11" i="58"/>
  <c r="U11" i="58"/>
  <c r="R13" i="58"/>
  <c r="S13" i="58"/>
  <c r="T13" i="58"/>
  <c r="U13" i="58"/>
  <c r="R14" i="58"/>
  <c r="S14" i="58"/>
  <c r="T14" i="58"/>
  <c r="U14" i="58"/>
  <c r="R16" i="58"/>
  <c r="S16" i="58"/>
  <c r="T16" i="58"/>
  <c r="U16" i="58"/>
  <c r="R17" i="58"/>
  <c r="S17" i="58"/>
  <c r="T17" i="58"/>
  <c r="U17" i="58"/>
  <c r="R19" i="58"/>
  <c r="S19" i="58"/>
  <c r="T19" i="58"/>
  <c r="U19" i="58"/>
  <c r="R20" i="58"/>
  <c r="S20" i="58"/>
  <c r="T20" i="58"/>
  <c r="U20" i="58"/>
  <c r="R22" i="58"/>
  <c r="S22" i="58"/>
  <c r="T22" i="58"/>
  <c r="U22" i="58"/>
  <c r="R23" i="58"/>
  <c r="S23" i="58"/>
  <c r="T23" i="58"/>
  <c r="U23" i="58"/>
  <c r="R25" i="58"/>
  <c r="S25" i="58"/>
  <c r="T25" i="58"/>
  <c r="U25" i="58"/>
  <c r="R26" i="58"/>
  <c r="S26" i="58"/>
  <c r="T26" i="58"/>
  <c r="U26" i="58"/>
  <c r="R28" i="58"/>
  <c r="S28" i="58"/>
  <c r="T28" i="58"/>
  <c r="U28" i="58"/>
  <c r="R29" i="58"/>
  <c r="S29" i="58"/>
  <c r="T29" i="58"/>
  <c r="U29" i="58"/>
  <c r="R43" i="58"/>
  <c r="S43" i="58"/>
  <c r="T43" i="58"/>
  <c r="U43" i="58"/>
  <c r="R44" i="58"/>
  <c r="S44" i="58"/>
  <c r="T44" i="58"/>
  <c r="U44" i="58"/>
  <c r="R46" i="58"/>
  <c r="S46" i="58"/>
  <c r="T46" i="58"/>
  <c r="U46" i="58"/>
  <c r="R47" i="58"/>
  <c r="S47" i="58"/>
  <c r="T47" i="58"/>
  <c r="U47" i="58"/>
  <c r="R52" i="58"/>
  <c r="S52" i="58"/>
  <c r="T52" i="58"/>
  <c r="U52" i="58"/>
  <c r="R53" i="58"/>
  <c r="S53" i="58"/>
  <c r="T53" i="58"/>
  <c r="U53" i="58"/>
  <c r="R55" i="58"/>
  <c r="S55" i="58"/>
  <c r="T55" i="58"/>
  <c r="U55" i="58"/>
  <c r="R56" i="58"/>
  <c r="S56" i="58"/>
  <c r="T56" i="58"/>
  <c r="U56" i="58"/>
  <c r="R85" i="58"/>
  <c r="S85" i="58"/>
  <c r="T85" i="58"/>
  <c r="U85" i="58"/>
  <c r="R86" i="58"/>
  <c r="S86" i="58"/>
  <c r="T86" i="58"/>
  <c r="U86" i="58"/>
  <c r="R88" i="58"/>
  <c r="S88" i="58"/>
  <c r="T88" i="58"/>
  <c r="U88" i="58"/>
  <c r="R89" i="58"/>
  <c r="S89" i="58"/>
  <c r="T89" i="58"/>
  <c r="U89" i="58"/>
  <c r="R91" i="58"/>
  <c r="S91" i="58"/>
  <c r="T91" i="58"/>
  <c r="U91" i="58"/>
  <c r="R92" i="58"/>
  <c r="S92" i="58"/>
  <c r="T92" i="58"/>
  <c r="U92" i="58"/>
  <c r="R94" i="58"/>
  <c r="S94" i="58"/>
  <c r="T94" i="58"/>
  <c r="U94" i="58"/>
  <c r="R95" i="58"/>
  <c r="S95" i="58"/>
  <c r="T95" i="58"/>
  <c r="U95" i="58"/>
  <c r="R97" i="58"/>
  <c r="S97" i="58"/>
  <c r="T97" i="58"/>
  <c r="U97" i="58"/>
  <c r="R98" i="58"/>
  <c r="S98" i="58"/>
  <c r="T98" i="58"/>
  <c r="U98" i="58"/>
  <c r="R100" i="58"/>
  <c r="S100" i="58"/>
  <c r="T100" i="58"/>
  <c r="U100" i="58"/>
  <c r="R101" i="58"/>
  <c r="S101" i="58"/>
  <c r="T101" i="58"/>
  <c r="U101" i="58"/>
  <c r="R103" i="58"/>
  <c r="S103" i="58"/>
  <c r="T103" i="58"/>
  <c r="U103" i="58"/>
  <c r="R104" i="58"/>
  <c r="S104" i="58"/>
  <c r="T104" i="58"/>
  <c r="U104" i="58"/>
  <c r="AG146" i="58"/>
  <c r="AI146" i="58"/>
  <c r="AH146" i="58"/>
  <c r="AF146" i="58"/>
  <c r="AG145" i="58"/>
  <c r="AF145" i="58"/>
  <c r="AA145" i="58"/>
  <c r="AB145" i="58"/>
  <c r="AG143" i="58"/>
  <c r="AI143" i="58"/>
  <c r="AH143" i="58"/>
  <c r="AF143" i="58"/>
  <c r="AG142" i="58"/>
  <c r="AF142" i="58"/>
  <c r="AA142" i="58"/>
  <c r="AB142" i="58"/>
  <c r="AG140" i="58"/>
  <c r="AI140" i="58"/>
  <c r="AH140" i="58"/>
  <c r="AF140" i="58"/>
  <c r="AG139" i="58"/>
  <c r="AF139" i="58"/>
  <c r="AA139" i="58"/>
  <c r="AB139" i="58"/>
  <c r="AG137" i="58"/>
  <c r="AI137" i="58"/>
  <c r="AH137" i="58"/>
  <c r="AF137" i="58"/>
  <c r="AG136" i="58"/>
  <c r="AF136" i="58"/>
  <c r="AA136" i="58"/>
  <c r="AB136" i="58"/>
  <c r="AG134" i="58"/>
  <c r="AI134" i="58"/>
  <c r="AH134" i="58"/>
  <c r="AF134" i="58"/>
  <c r="AG133" i="58"/>
  <c r="AF133" i="58"/>
  <c r="AA133" i="58"/>
  <c r="AB133" i="58"/>
  <c r="AG131" i="58"/>
  <c r="AI131" i="58"/>
  <c r="AH131" i="58"/>
  <c r="AF131" i="58"/>
  <c r="AG130" i="58"/>
  <c r="AF130" i="58"/>
  <c r="AA130" i="58"/>
  <c r="AB130" i="58"/>
  <c r="AG128" i="58"/>
  <c r="AI128" i="58"/>
  <c r="AH128" i="58"/>
  <c r="AF128" i="58"/>
  <c r="AG127" i="58"/>
  <c r="AF127" i="58"/>
  <c r="AA127" i="58"/>
  <c r="AB127" i="58"/>
  <c r="AG125" i="58"/>
  <c r="AI125" i="58"/>
  <c r="AH125" i="58"/>
  <c r="AF125" i="58"/>
  <c r="AG124" i="58"/>
  <c r="AF124" i="58"/>
  <c r="AA124" i="58"/>
  <c r="AB124" i="58"/>
  <c r="AG122" i="58"/>
  <c r="AI122" i="58"/>
  <c r="AH122" i="58"/>
  <c r="AF122" i="58"/>
  <c r="AG121" i="58"/>
  <c r="AF121" i="58"/>
  <c r="AA121" i="58"/>
  <c r="AB121" i="58"/>
  <c r="AG119" i="58"/>
  <c r="AI119" i="58"/>
  <c r="AH119" i="58"/>
  <c r="AF119" i="58"/>
  <c r="AG118" i="58"/>
  <c r="AF118" i="58"/>
  <c r="AA118" i="58"/>
  <c r="AB118" i="58"/>
  <c r="AG116" i="58"/>
  <c r="AI116" i="58"/>
  <c r="AH116" i="58"/>
  <c r="AF116" i="58"/>
  <c r="AG115" i="58"/>
  <c r="AF115" i="58"/>
  <c r="AA115" i="58"/>
  <c r="AB115" i="58"/>
  <c r="AG113" i="58"/>
  <c r="AI113" i="58"/>
  <c r="AH113" i="58"/>
  <c r="AF113" i="58"/>
  <c r="AG112" i="58"/>
  <c r="AF112" i="58"/>
  <c r="AA112" i="58"/>
  <c r="AB112" i="58"/>
  <c r="AG110" i="58"/>
  <c r="AI110" i="58"/>
  <c r="AH110" i="58"/>
  <c r="AF110" i="58"/>
  <c r="AG109" i="58"/>
  <c r="AF109" i="58"/>
  <c r="AA109" i="58"/>
  <c r="AB109" i="58"/>
  <c r="AG107" i="58"/>
  <c r="AI107" i="58"/>
  <c r="AH107" i="58"/>
  <c r="AF107" i="58"/>
  <c r="AG106" i="58"/>
  <c r="AF106" i="58"/>
  <c r="AA106" i="58"/>
  <c r="AB106" i="58"/>
  <c r="AG104" i="58"/>
  <c r="AI104" i="58"/>
  <c r="AH104" i="58"/>
  <c r="AF104" i="58"/>
  <c r="AG103" i="58"/>
  <c r="AF103" i="58"/>
  <c r="AB103" i="58"/>
  <c r="AG101" i="58"/>
  <c r="AI101" i="58"/>
  <c r="AH101" i="58"/>
  <c r="AF101" i="58"/>
  <c r="AG100" i="58"/>
  <c r="AF100" i="58"/>
  <c r="AB100" i="58"/>
  <c r="AG98" i="58"/>
  <c r="AI98" i="58"/>
  <c r="AH98" i="58"/>
  <c r="AF98" i="58"/>
  <c r="AG97" i="58"/>
  <c r="AF97" i="58"/>
  <c r="AB97" i="58"/>
  <c r="AG95" i="58"/>
  <c r="AI95" i="58"/>
  <c r="AH95" i="58"/>
  <c r="AF95" i="58"/>
  <c r="AG94" i="58"/>
  <c r="AF94" i="58"/>
  <c r="AB94" i="58"/>
  <c r="AG92" i="58"/>
  <c r="AI92" i="58"/>
  <c r="AH92" i="58"/>
  <c r="AF92" i="58"/>
  <c r="AG91" i="58"/>
  <c r="AF91" i="58"/>
  <c r="AB91" i="58"/>
  <c r="AG89" i="58"/>
  <c r="AI89" i="58"/>
  <c r="AH89" i="58"/>
  <c r="AF89" i="58"/>
  <c r="AG88" i="58"/>
  <c r="AF88" i="58"/>
  <c r="AB88" i="58"/>
  <c r="AG86" i="58"/>
  <c r="AI86" i="58"/>
  <c r="AH86" i="58"/>
  <c r="AF86" i="58"/>
  <c r="AG85" i="58"/>
  <c r="AF85" i="58"/>
  <c r="AB85" i="58"/>
  <c r="AG83" i="58"/>
  <c r="AI83" i="58"/>
  <c r="AH83" i="58"/>
  <c r="AF83" i="58"/>
  <c r="AG82" i="58"/>
  <c r="AF82" i="58"/>
  <c r="AA82" i="58"/>
  <c r="AB82" i="58"/>
  <c r="AG80" i="58"/>
  <c r="AI80" i="58"/>
  <c r="AH80" i="58"/>
  <c r="AF80" i="58"/>
  <c r="AG79" i="58"/>
  <c r="AF79" i="58"/>
  <c r="AA79" i="58"/>
  <c r="AB79" i="58"/>
  <c r="AG77" i="58"/>
  <c r="AI77" i="58"/>
  <c r="AH77" i="58"/>
  <c r="AF77" i="58"/>
  <c r="AG76" i="58"/>
  <c r="AF76" i="58"/>
  <c r="AA76" i="58"/>
  <c r="AB76" i="58"/>
  <c r="AG74" i="58"/>
  <c r="AI74" i="58"/>
  <c r="AH74" i="58"/>
  <c r="AF74" i="58"/>
  <c r="AG73" i="58"/>
  <c r="AF73" i="58"/>
  <c r="AA73" i="58"/>
  <c r="AB73" i="58"/>
  <c r="AG71" i="58"/>
  <c r="AI71" i="58"/>
  <c r="AH71" i="58"/>
  <c r="AF71" i="58"/>
  <c r="AG70" i="58"/>
  <c r="AF70" i="58"/>
  <c r="AA70" i="58"/>
  <c r="AB70" i="58"/>
  <c r="AG68" i="58"/>
  <c r="AI68" i="58"/>
  <c r="AH68" i="58"/>
  <c r="AF68" i="58"/>
  <c r="AG67" i="58"/>
  <c r="AF67" i="58"/>
  <c r="AA67" i="58"/>
  <c r="AB67" i="58"/>
  <c r="AG65" i="58"/>
  <c r="AI65" i="58"/>
  <c r="AH65" i="58"/>
  <c r="AF65" i="58"/>
  <c r="AG64" i="58"/>
  <c r="AF64" i="58"/>
  <c r="AA64" i="58"/>
  <c r="AB64" i="58"/>
  <c r="AG62" i="58"/>
  <c r="AI62" i="58"/>
  <c r="AH62" i="58"/>
  <c r="AF62" i="58"/>
  <c r="AG61" i="58"/>
  <c r="AF61" i="58"/>
  <c r="AA61" i="58"/>
  <c r="AB61" i="58"/>
  <c r="AG59" i="58"/>
  <c r="AI59" i="58"/>
  <c r="AH59" i="58"/>
  <c r="AF59" i="58"/>
  <c r="AG58" i="58"/>
  <c r="AF58" i="58"/>
  <c r="AA58" i="58"/>
  <c r="AB58" i="58"/>
  <c r="AG56" i="58"/>
  <c r="AI56" i="58"/>
  <c r="AH56" i="58"/>
  <c r="AF56" i="58"/>
  <c r="AG55" i="58"/>
  <c r="AF55" i="58"/>
  <c r="AB55" i="58"/>
  <c r="AG53" i="58"/>
  <c r="AI53" i="58"/>
  <c r="AH53" i="58"/>
  <c r="AF53" i="58"/>
  <c r="AG52" i="58"/>
  <c r="AF52" i="58"/>
  <c r="AB52" i="58"/>
  <c r="AG50" i="58"/>
  <c r="AI50" i="58"/>
  <c r="AH50" i="58"/>
  <c r="AF50" i="58"/>
  <c r="AG49" i="58"/>
  <c r="AF49" i="58"/>
  <c r="AA49" i="58"/>
  <c r="AB49" i="58"/>
  <c r="AG47" i="58"/>
  <c r="AI47" i="58"/>
  <c r="AH47" i="58"/>
  <c r="AF47" i="58"/>
  <c r="AG46" i="58"/>
  <c r="AF46" i="58"/>
  <c r="AB46" i="58"/>
  <c r="AG44" i="58"/>
  <c r="AI44" i="58"/>
  <c r="AH44" i="58"/>
  <c r="AF44" i="58"/>
  <c r="AG43" i="58"/>
  <c r="AF43" i="58"/>
  <c r="AB43" i="58"/>
  <c r="AG41" i="58"/>
  <c r="AI41" i="58"/>
  <c r="AH41" i="58"/>
  <c r="AF41" i="58"/>
  <c r="AG40" i="58"/>
  <c r="AF40" i="58"/>
  <c r="AA40" i="58"/>
  <c r="AB40" i="58"/>
  <c r="AG38" i="58"/>
  <c r="AI38" i="58"/>
  <c r="AH38" i="58"/>
  <c r="AF38" i="58"/>
  <c r="AG37" i="58"/>
  <c r="AF37" i="58"/>
  <c r="AA37" i="58"/>
  <c r="AB37" i="58"/>
  <c r="AG35" i="58"/>
  <c r="AI35" i="58"/>
  <c r="AH35" i="58"/>
  <c r="AF35" i="58"/>
  <c r="AG34" i="58"/>
  <c r="AF34" i="58"/>
  <c r="AA34" i="58"/>
  <c r="AB34" i="58"/>
  <c r="AG32" i="58"/>
  <c r="AI32" i="58"/>
  <c r="AH32" i="58"/>
  <c r="AF32" i="58"/>
  <c r="AG31" i="58"/>
  <c r="AF31" i="58"/>
  <c r="AA31" i="58"/>
  <c r="AB31" i="58"/>
  <c r="AG29" i="58"/>
  <c r="AI29" i="58"/>
  <c r="AH29" i="58"/>
  <c r="AF29" i="58"/>
  <c r="AG28" i="58"/>
  <c r="AF28" i="58"/>
  <c r="AB28" i="58"/>
  <c r="AG26" i="58"/>
  <c r="AI26" i="58"/>
  <c r="AH26" i="58"/>
  <c r="AF26" i="58"/>
  <c r="AG25" i="58"/>
  <c r="AF25" i="58"/>
  <c r="AB25" i="58"/>
  <c r="AG23" i="58"/>
  <c r="AI23" i="58"/>
  <c r="AH23" i="58"/>
  <c r="AF23" i="58"/>
  <c r="AG22" i="58"/>
  <c r="AF22" i="58"/>
  <c r="AB22" i="58"/>
  <c r="AG20" i="58"/>
  <c r="AI20" i="58"/>
  <c r="AH20" i="58"/>
  <c r="AF20" i="58"/>
  <c r="AG19" i="58"/>
  <c r="AF19" i="58"/>
  <c r="AB19" i="58"/>
  <c r="AG17" i="58"/>
  <c r="AI17" i="58"/>
  <c r="AH17" i="58"/>
  <c r="AF17" i="58"/>
  <c r="AG16" i="58"/>
  <c r="AF16" i="58"/>
  <c r="AB16" i="58"/>
  <c r="AG14" i="58"/>
  <c r="AI14" i="58"/>
  <c r="AH14" i="58"/>
  <c r="AF14" i="58"/>
  <c r="AG13" i="58"/>
  <c r="AF13" i="58"/>
  <c r="AB13" i="58"/>
  <c r="AG11" i="58"/>
  <c r="AI11" i="58"/>
  <c r="AH11" i="58"/>
  <c r="AF11" i="58"/>
  <c r="AG10" i="58"/>
  <c r="AF10" i="58"/>
  <c r="AB10" i="58"/>
  <c r="AG8" i="58"/>
  <c r="AI8" i="58"/>
  <c r="AH8" i="58"/>
  <c r="AF8" i="58"/>
  <c r="AG7" i="58"/>
  <c r="AF7" i="58"/>
  <c r="AB7" i="58"/>
  <c r="AG5" i="58"/>
  <c r="AI5" i="58"/>
  <c r="AH5" i="58"/>
  <c r="AF5" i="58"/>
  <c r="AG4" i="58"/>
  <c r="AF4" i="58"/>
  <c r="AB4" i="58"/>
  <c r="AG3" i="58"/>
  <c r="AF3" i="58"/>
  <c r="AG2" i="58"/>
  <c r="AF2" i="58"/>
  <c r="AH596" i="34"/>
  <c r="AH595" i="34"/>
  <c r="AH468" i="34"/>
  <c r="AH467" i="34"/>
  <c r="AH367" i="34"/>
  <c r="AH366" i="34"/>
  <c r="AH292" i="34"/>
  <c r="AH291" i="34"/>
  <c r="AI566" i="34"/>
  <c r="AI567" i="34"/>
  <c r="AI568" i="34"/>
  <c r="AI569" i="34"/>
  <c r="AI570" i="34"/>
  <c r="AI595" i="34"/>
  <c r="AJ566" i="34"/>
  <c r="AJ567" i="34"/>
  <c r="AJ568" i="34"/>
  <c r="AJ569" i="34"/>
  <c r="AJ570" i="34"/>
  <c r="AJ595" i="34"/>
  <c r="AK566" i="34"/>
  <c r="AK567" i="34"/>
  <c r="AK568" i="34"/>
  <c r="AK569" i="34"/>
  <c r="AK570" i="34"/>
  <c r="AK595" i="34"/>
  <c r="AL566" i="34"/>
  <c r="AL567" i="34"/>
  <c r="AL568" i="34"/>
  <c r="AL569" i="34"/>
  <c r="AL570" i="34"/>
  <c r="AL595" i="34"/>
  <c r="D566" i="51"/>
  <c r="D593" i="51"/>
  <c r="AN566" i="34"/>
  <c r="D567" i="51"/>
  <c r="D594" i="51"/>
  <c r="AN567" i="34"/>
  <c r="D568" i="51"/>
  <c r="D595" i="51"/>
  <c r="AN568" i="34"/>
  <c r="D569" i="51"/>
  <c r="D596" i="51"/>
  <c r="AN569" i="34"/>
  <c r="D570" i="51"/>
  <c r="D597" i="51"/>
  <c r="AN570" i="34"/>
  <c r="AN595" i="34"/>
  <c r="H578" i="51"/>
  <c r="H593" i="51"/>
  <c r="AO566" i="34"/>
  <c r="H579" i="51"/>
  <c r="H594" i="51"/>
  <c r="AO567" i="34"/>
  <c r="H580" i="51"/>
  <c r="H595" i="51"/>
  <c r="AO568" i="34"/>
  <c r="H581" i="51"/>
  <c r="H596" i="51"/>
  <c r="AO569" i="34"/>
  <c r="H582" i="51"/>
  <c r="H597" i="51"/>
  <c r="AO570" i="34"/>
  <c r="AO595" i="34"/>
  <c r="L578" i="51"/>
  <c r="L605" i="51"/>
  <c r="AP566" i="34"/>
  <c r="L579" i="51"/>
  <c r="L606" i="51"/>
  <c r="AP567" i="34"/>
  <c r="L580" i="51"/>
  <c r="L607" i="51"/>
  <c r="AP568" i="34"/>
  <c r="L581" i="51"/>
  <c r="L608" i="51"/>
  <c r="AP569" i="34"/>
  <c r="L582" i="51"/>
  <c r="L609" i="51"/>
  <c r="AP570" i="34"/>
  <c r="AP595" i="34"/>
  <c r="P578" i="51"/>
  <c r="Q578" i="51"/>
  <c r="R578" i="51"/>
  <c r="S578" i="51"/>
  <c r="P605" i="51"/>
  <c r="Q605" i="51"/>
  <c r="R605" i="51"/>
  <c r="S605" i="51"/>
  <c r="P620" i="51"/>
  <c r="Q620" i="51"/>
  <c r="R620" i="51"/>
  <c r="S620" i="51"/>
  <c r="AQ566" i="34"/>
  <c r="P579" i="51"/>
  <c r="Q579" i="51"/>
  <c r="R579" i="51"/>
  <c r="S579" i="51"/>
  <c r="P606" i="51"/>
  <c r="Q606" i="51"/>
  <c r="R606" i="51"/>
  <c r="S606" i="51"/>
  <c r="P621" i="51"/>
  <c r="Q621" i="51"/>
  <c r="R621" i="51"/>
  <c r="S621" i="51"/>
  <c r="AQ567" i="34"/>
  <c r="P580" i="51"/>
  <c r="Q580" i="51"/>
  <c r="R580" i="51"/>
  <c r="S580" i="51"/>
  <c r="P607" i="51"/>
  <c r="Q607" i="51"/>
  <c r="R607" i="51"/>
  <c r="S607" i="51"/>
  <c r="P622" i="51"/>
  <c r="Q622" i="51"/>
  <c r="R622" i="51"/>
  <c r="S622" i="51"/>
  <c r="AQ568" i="34"/>
  <c r="P581" i="51"/>
  <c r="Q581" i="51"/>
  <c r="R581" i="51"/>
  <c r="S581" i="51"/>
  <c r="P608" i="51"/>
  <c r="Q608" i="51"/>
  <c r="R608" i="51"/>
  <c r="S608" i="51"/>
  <c r="P623" i="51"/>
  <c r="Q623" i="51"/>
  <c r="R623" i="51"/>
  <c r="S623" i="51"/>
  <c r="AQ569" i="34"/>
  <c r="P582" i="51"/>
  <c r="Q582" i="51"/>
  <c r="R582" i="51"/>
  <c r="S582" i="51"/>
  <c r="P609" i="51"/>
  <c r="Q609" i="51"/>
  <c r="R609" i="51"/>
  <c r="S609" i="51"/>
  <c r="P624" i="51"/>
  <c r="Q624" i="51"/>
  <c r="R624" i="51"/>
  <c r="S624" i="51"/>
  <c r="AQ570" i="34"/>
  <c r="AQ595" i="34"/>
  <c r="T578" i="51"/>
  <c r="U578" i="51"/>
  <c r="V578" i="51"/>
  <c r="W578" i="51"/>
  <c r="T605" i="51"/>
  <c r="U605" i="51"/>
  <c r="V605" i="51"/>
  <c r="W605" i="51"/>
  <c r="T632" i="51"/>
  <c r="U632" i="51"/>
  <c r="V632" i="51"/>
  <c r="W632" i="51"/>
  <c r="AR566" i="34"/>
  <c r="T579" i="51"/>
  <c r="U579" i="51"/>
  <c r="V579" i="51"/>
  <c r="W579" i="51"/>
  <c r="T606" i="51"/>
  <c r="U606" i="51"/>
  <c r="V606" i="51"/>
  <c r="W606" i="51"/>
  <c r="T633" i="51"/>
  <c r="U633" i="51"/>
  <c r="V633" i="51"/>
  <c r="W633" i="51"/>
  <c r="AR567" i="34"/>
  <c r="T580" i="51"/>
  <c r="U580" i="51"/>
  <c r="V580" i="51"/>
  <c r="W580" i="51"/>
  <c r="T607" i="51"/>
  <c r="U607" i="51"/>
  <c r="V607" i="51"/>
  <c r="W607" i="51"/>
  <c r="T634" i="51"/>
  <c r="U634" i="51"/>
  <c r="V634" i="51"/>
  <c r="W634" i="51"/>
  <c r="AR568" i="34"/>
  <c r="T581" i="51"/>
  <c r="U581" i="51"/>
  <c r="V581" i="51"/>
  <c r="W581" i="51"/>
  <c r="T608" i="51"/>
  <c r="U608" i="51"/>
  <c r="V608" i="51"/>
  <c r="W608" i="51"/>
  <c r="T635" i="51"/>
  <c r="U635" i="51"/>
  <c r="V635" i="51"/>
  <c r="W635" i="51"/>
  <c r="AR569" i="34"/>
  <c r="T582" i="51"/>
  <c r="U582" i="51"/>
  <c r="V582" i="51"/>
  <c r="W582" i="51"/>
  <c r="T609" i="51"/>
  <c r="U609" i="51"/>
  <c r="V609" i="51"/>
  <c r="W609" i="51"/>
  <c r="T636" i="51"/>
  <c r="U636" i="51"/>
  <c r="V636" i="51"/>
  <c r="W636" i="51"/>
  <c r="AR570" i="34"/>
  <c r="AR595" i="34"/>
  <c r="AI571" i="34"/>
  <c r="AI572" i="34"/>
  <c r="AI573" i="34"/>
  <c r="AI596" i="34"/>
  <c r="AJ571" i="34"/>
  <c r="AJ572" i="34"/>
  <c r="AJ573" i="34"/>
  <c r="AJ596" i="34"/>
  <c r="AK571" i="34"/>
  <c r="AK572" i="34"/>
  <c r="AK573" i="34"/>
  <c r="AK596" i="34"/>
  <c r="AL571" i="34"/>
  <c r="AL572" i="34"/>
  <c r="AL573" i="34"/>
  <c r="AL596" i="34"/>
  <c r="H571" i="51"/>
  <c r="H598" i="51"/>
  <c r="AO571" i="34"/>
  <c r="AN571" i="34"/>
  <c r="H572" i="51"/>
  <c r="H599" i="51"/>
  <c r="AO572" i="34"/>
  <c r="AN572" i="34"/>
  <c r="H573" i="51"/>
  <c r="H600" i="51"/>
  <c r="AO573" i="34"/>
  <c r="AN573" i="34"/>
  <c r="AN596" i="34"/>
  <c r="AO596" i="34"/>
  <c r="L583" i="51"/>
  <c r="L610" i="51"/>
  <c r="AP571" i="34"/>
  <c r="L584" i="51"/>
  <c r="L611" i="51"/>
  <c r="AP572" i="34"/>
  <c r="L585" i="51"/>
  <c r="L612" i="51"/>
  <c r="AP573" i="34"/>
  <c r="AP596" i="34"/>
  <c r="P583" i="51"/>
  <c r="Q583" i="51"/>
  <c r="R583" i="51"/>
  <c r="S583" i="51"/>
  <c r="P610" i="51"/>
  <c r="Q610" i="51"/>
  <c r="R610" i="51"/>
  <c r="S610" i="51"/>
  <c r="P625" i="51"/>
  <c r="Q625" i="51"/>
  <c r="R625" i="51"/>
  <c r="S625" i="51"/>
  <c r="AQ571" i="34"/>
  <c r="P584" i="51"/>
  <c r="Q584" i="51"/>
  <c r="R584" i="51"/>
  <c r="S584" i="51"/>
  <c r="P611" i="51"/>
  <c r="Q611" i="51"/>
  <c r="R611" i="51"/>
  <c r="S611" i="51"/>
  <c r="P626" i="51"/>
  <c r="Q626" i="51"/>
  <c r="R626" i="51"/>
  <c r="S626" i="51"/>
  <c r="AQ572" i="34"/>
  <c r="P585" i="51"/>
  <c r="Q585" i="51"/>
  <c r="R585" i="51"/>
  <c r="S585" i="51"/>
  <c r="P612" i="51"/>
  <c r="Q612" i="51"/>
  <c r="R612" i="51"/>
  <c r="S612" i="51"/>
  <c r="P627" i="51"/>
  <c r="Q627" i="51"/>
  <c r="R627" i="51"/>
  <c r="S627" i="51"/>
  <c r="AQ573" i="34"/>
  <c r="AQ596" i="34"/>
  <c r="T583" i="51"/>
  <c r="U583" i="51"/>
  <c r="V583" i="51"/>
  <c r="W583" i="51"/>
  <c r="T610" i="51"/>
  <c r="U610" i="51"/>
  <c r="V610" i="51"/>
  <c r="W610" i="51"/>
  <c r="T637" i="51"/>
  <c r="U637" i="51"/>
  <c r="V637" i="51"/>
  <c r="W637" i="51"/>
  <c r="AR571" i="34"/>
  <c r="T584" i="51"/>
  <c r="U584" i="51"/>
  <c r="V584" i="51"/>
  <c r="W584" i="51"/>
  <c r="T611" i="51"/>
  <c r="U611" i="51"/>
  <c r="V611" i="51"/>
  <c r="W611" i="51"/>
  <c r="T638" i="51"/>
  <c r="U638" i="51"/>
  <c r="V638" i="51"/>
  <c r="W638" i="51"/>
  <c r="AR572" i="34"/>
  <c r="T585" i="51"/>
  <c r="U585" i="51"/>
  <c r="V585" i="51"/>
  <c r="W585" i="51"/>
  <c r="T612" i="51"/>
  <c r="U612" i="51"/>
  <c r="V612" i="51"/>
  <c r="W612" i="51"/>
  <c r="T639" i="51"/>
  <c r="U639" i="51"/>
  <c r="V639" i="51"/>
  <c r="W639" i="51"/>
  <c r="AR573" i="34"/>
  <c r="AR596" i="34"/>
  <c r="T459" i="51"/>
  <c r="T482" i="51"/>
  <c r="T505" i="51"/>
  <c r="T528" i="51"/>
  <c r="T552" i="51"/>
  <c r="V552" i="51"/>
  <c r="AR449" i="34"/>
  <c r="T460" i="51"/>
  <c r="T483" i="51"/>
  <c r="T506" i="51"/>
  <c r="T529" i="51"/>
  <c r="T553" i="51"/>
  <c r="V553" i="51"/>
  <c r="AR450" i="34"/>
  <c r="T461" i="51"/>
  <c r="T484" i="51"/>
  <c r="T507" i="51"/>
  <c r="T530" i="51"/>
  <c r="T554" i="51"/>
  <c r="V554" i="51"/>
  <c r="AR451" i="34"/>
  <c r="AR468" i="34"/>
  <c r="P459" i="51"/>
  <c r="P482" i="51"/>
  <c r="P505" i="51"/>
  <c r="P528" i="51"/>
  <c r="P552" i="51"/>
  <c r="R552" i="51"/>
  <c r="AQ449" i="34"/>
  <c r="P460" i="51"/>
  <c r="P483" i="51"/>
  <c r="P506" i="51"/>
  <c r="P529" i="51"/>
  <c r="P553" i="51"/>
  <c r="R553" i="51"/>
  <c r="AQ450" i="34"/>
  <c r="P461" i="51"/>
  <c r="P484" i="51"/>
  <c r="P507" i="51"/>
  <c r="P530" i="51"/>
  <c r="P554" i="51"/>
  <c r="R554" i="51"/>
  <c r="AQ451" i="34"/>
  <c r="AQ468" i="34"/>
  <c r="L459" i="51"/>
  <c r="L482" i="51"/>
  <c r="L505" i="51"/>
  <c r="L528" i="51"/>
  <c r="L552" i="51"/>
  <c r="N552" i="51"/>
  <c r="AP449" i="34"/>
  <c r="L460" i="51"/>
  <c r="L483" i="51"/>
  <c r="L506" i="51"/>
  <c r="L529" i="51"/>
  <c r="L553" i="51"/>
  <c r="N553" i="51"/>
  <c r="AP450" i="34"/>
  <c r="L461" i="51"/>
  <c r="L484" i="51"/>
  <c r="L507" i="51"/>
  <c r="L530" i="51"/>
  <c r="L554" i="51"/>
  <c r="N554" i="51"/>
  <c r="AP451" i="34"/>
  <c r="AP468" i="34"/>
  <c r="H449" i="51"/>
  <c r="H472" i="51"/>
  <c r="H495" i="51"/>
  <c r="H518" i="51"/>
  <c r="AO449" i="34"/>
  <c r="H450" i="51"/>
  <c r="H473" i="51"/>
  <c r="H496" i="51"/>
  <c r="H519" i="51"/>
  <c r="AO450" i="34"/>
  <c r="H451" i="51"/>
  <c r="H474" i="51"/>
  <c r="H497" i="51"/>
  <c r="H520" i="51"/>
  <c r="AO451" i="34"/>
  <c r="AO468" i="34"/>
  <c r="AN449" i="34"/>
  <c r="AN450" i="34"/>
  <c r="AN451" i="34"/>
  <c r="AN468" i="34"/>
  <c r="AI449" i="34"/>
  <c r="AJ449" i="34"/>
  <c r="AK449" i="34"/>
  <c r="AL449" i="34"/>
  <c r="AI450" i="34"/>
  <c r="AJ450" i="34"/>
  <c r="AK450" i="34"/>
  <c r="AL450" i="34"/>
  <c r="AI451" i="34"/>
  <c r="AJ451" i="34"/>
  <c r="AK451" i="34"/>
  <c r="AL451" i="34"/>
  <c r="AL468" i="34"/>
  <c r="AK468" i="34"/>
  <c r="AJ468" i="34"/>
  <c r="AI468" i="34"/>
  <c r="T454" i="51"/>
  <c r="T477" i="51"/>
  <c r="T500" i="51"/>
  <c r="T523" i="51"/>
  <c r="T547" i="51"/>
  <c r="V547" i="51"/>
  <c r="AR444" i="34"/>
  <c r="T455" i="51"/>
  <c r="T478" i="51"/>
  <c r="T501" i="51"/>
  <c r="T524" i="51"/>
  <c r="T548" i="51"/>
  <c r="V548" i="51"/>
  <c r="AR445" i="34"/>
  <c r="T456" i="51"/>
  <c r="T479" i="51"/>
  <c r="T502" i="51"/>
  <c r="T525" i="51"/>
  <c r="T549" i="51"/>
  <c r="V549" i="51"/>
  <c r="AR446" i="34"/>
  <c r="T457" i="51"/>
  <c r="T480" i="51"/>
  <c r="T503" i="51"/>
  <c r="T526" i="51"/>
  <c r="T550" i="51"/>
  <c r="V550" i="51"/>
  <c r="AR447" i="34"/>
  <c r="T458" i="51"/>
  <c r="T481" i="51"/>
  <c r="T504" i="51"/>
  <c r="T527" i="51"/>
  <c r="T551" i="51"/>
  <c r="V551" i="51"/>
  <c r="AR448" i="34"/>
  <c r="AR467" i="34"/>
  <c r="P454" i="51"/>
  <c r="P477" i="51"/>
  <c r="P500" i="51"/>
  <c r="P523" i="51"/>
  <c r="P547" i="51"/>
  <c r="R547" i="51"/>
  <c r="AQ444" i="34"/>
  <c r="P455" i="51"/>
  <c r="P478" i="51"/>
  <c r="P501" i="51"/>
  <c r="P524" i="51"/>
  <c r="P548" i="51"/>
  <c r="R548" i="51"/>
  <c r="AQ445" i="34"/>
  <c r="P456" i="51"/>
  <c r="P479" i="51"/>
  <c r="P502" i="51"/>
  <c r="P525" i="51"/>
  <c r="P549" i="51"/>
  <c r="R549" i="51"/>
  <c r="AQ446" i="34"/>
  <c r="P457" i="51"/>
  <c r="P480" i="51"/>
  <c r="P503" i="51"/>
  <c r="P526" i="51"/>
  <c r="P550" i="51"/>
  <c r="R550" i="51"/>
  <c r="AQ447" i="34"/>
  <c r="P458" i="51"/>
  <c r="P481" i="51"/>
  <c r="P504" i="51"/>
  <c r="P527" i="51"/>
  <c r="P551" i="51"/>
  <c r="R551" i="51"/>
  <c r="AQ448" i="34"/>
  <c r="AQ467" i="34"/>
  <c r="L454" i="51"/>
  <c r="L477" i="51"/>
  <c r="L500" i="51"/>
  <c r="L523" i="51"/>
  <c r="L547" i="51"/>
  <c r="N547" i="51"/>
  <c r="AP444" i="34"/>
  <c r="L455" i="51"/>
  <c r="L478" i="51"/>
  <c r="L501" i="51"/>
  <c r="L524" i="51"/>
  <c r="L548" i="51"/>
  <c r="N548" i="51"/>
  <c r="AP445" i="34"/>
  <c r="L456" i="51"/>
  <c r="L479" i="51"/>
  <c r="L502" i="51"/>
  <c r="L525" i="51"/>
  <c r="L549" i="51"/>
  <c r="N549" i="51"/>
  <c r="AP446" i="34"/>
  <c r="L457" i="51"/>
  <c r="L480" i="51"/>
  <c r="L503" i="51"/>
  <c r="L526" i="51"/>
  <c r="L550" i="51"/>
  <c r="N550" i="51"/>
  <c r="AP447" i="34"/>
  <c r="L458" i="51"/>
  <c r="L481" i="51"/>
  <c r="L504" i="51"/>
  <c r="L527" i="51"/>
  <c r="L551" i="51"/>
  <c r="N551" i="51"/>
  <c r="AP448" i="34"/>
  <c r="AP467" i="34"/>
  <c r="H454" i="51"/>
  <c r="H477" i="51"/>
  <c r="H500" i="51"/>
  <c r="H523" i="51"/>
  <c r="H537" i="51"/>
  <c r="J537" i="51"/>
  <c r="AO444" i="34"/>
  <c r="H455" i="51"/>
  <c r="H478" i="51"/>
  <c r="H501" i="51"/>
  <c r="H524" i="51"/>
  <c r="H538" i="51"/>
  <c r="J538" i="51"/>
  <c r="AO445" i="34"/>
  <c r="H456" i="51"/>
  <c r="H479" i="51"/>
  <c r="H502" i="51"/>
  <c r="H525" i="51"/>
  <c r="H539" i="51"/>
  <c r="J539" i="51"/>
  <c r="AO446" i="34"/>
  <c r="H457" i="51"/>
  <c r="H480" i="51"/>
  <c r="H503" i="51"/>
  <c r="H526" i="51"/>
  <c r="H540" i="51"/>
  <c r="J540" i="51"/>
  <c r="AO447" i="34"/>
  <c r="H458" i="51"/>
  <c r="H481" i="51"/>
  <c r="H504" i="51"/>
  <c r="H527" i="51"/>
  <c r="H541" i="51"/>
  <c r="J541" i="51"/>
  <c r="AO448" i="34"/>
  <c r="AO467" i="34"/>
  <c r="D444" i="51"/>
  <c r="D467" i="51"/>
  <c r="D490" i="51"/>
  <c r="D513" i="51"/>
  <c r="D537" i="51"/>
  <c r="AN444" i="34"/>
  <c r="D445" i="51"/>
  <c r="D468" i="51"/>
  <c r="D491" i="51"/>
  <c r="D514" i="51"/>
  <c r="D538" i="51"/>
  <c r="AN445" i="34"/>
  <c r="D446" i="51"/>
  <c r="D469" i="51"/>
  <c r="D492" i="51"/>
  <c r="D515" i="51"/>
  <c r="D539" i="51"/>
  <c r="AN446" i="34"/>
  <c r="D447" i="51"/>
  <c r="D470" i="51"/>
  <c r="D493" i="51"/>
  <c r="D516" i="51"/>
  <c r="D540" i="51"/>
  <c r="AN447" i="34"/>
  <c r="D448" i="51"/>
  <c r="D471" i="51"/>
  <c r="D494" i="51"/>
  <c r="D517" i="51"/>
  <c r="D541" i="51"/>
  <c r="AN448" i="34"/>
  <c r="AN467" i="34"/>
  <c r="AI444" i="34"/>
  <c r="AJ444" i="34"/>
  <c r="AK444" i="34"/>
  <c r="AL444" i="34"/>
  <c r="AI445" i="34"/>
  <c r="AJ445" i="34"/>
  <c r="AK445" i="34"/>
  <c r="AL445" i="34"/>
  <c r="AI446" i="34"/>
  <c r="AJ446" i="34"/>
  <c r="AK446" i="34"/>
  <c r="AL446" i="34"/>
  <c r="AI447" i="34"/>
  <c r="AJ447" i="34"/>
  <c r="AK447" i="34"/>
  <c r="AL447" i="34"/>
  <c r="AI448" i="34"/>
  <c r="AJ448" i="34"/>
  <c r="AK448" i="34"/>
  <c r="AL448" i="34"/>
  <c r="AL467" i="34"/>
  <c r="AK467" i="34"/>
  <c r="AJ467" i="34"/>
  <c r="AI467" i="34"/>
  <c r="T359" i="51"/>
  <c r="U359" i="51"/>
  <c r="V359" i="51"/>
  <c r="W359" i="51"/>
  <c r="T383" i="51"/>
  <c r="U383" i="51"/>
  <c r="V383" i="51"/>
  <c r="W383" i="51"/>
  <c r="T407" i="51"/>
  <c r="U407" i="51"/>
  <c r="V407" i="51"/>
  <c r="W407" i="51"/>
  <c r="T430" i="51"/>
  <c r="AR348" i="34"/>
  <c r="T360" i="51"/>
  <c r="U360" i="51"/>
  <c r="V360" i="51"/>
  <c r="W360" i="51"/>
  <c r="T384" i="51"/>
  <c r="U384" i="51"/>
  <c r="V384" i="51"/>
  <c r="W384" i="51"/>
  <c r="T408" i="51"/>
  <c r="U408" i="51"/>
  <c r="V408" i="51"/>
  <c r="W408" i="51"/>
  <c r="T431" i="51"/>
  <c r="AR349" i="34"/>
  <c r="T361" i="51"/>
  <c r="U361" i="51"/>
  <c r="V361" i="51"/>
  <c r="W361" i="51"/>
  <c r="T385" i="51"/>
  <c r="U385" i="51"/>
  <c r="V385" i="51"/>
  <c r="W385" i="51"/>
  <c r="T409" i="51"/>
  <c r="U409" i="51"/>
  <c r="V409" i="51"/>
  <c r="W409" i="51"/>
  <c r="T432" i="51"/>
  <c r="AR350" i="34"/>
  <c r="AR367" i="34"/>
  <c r="P359" i="51"/>
  <c r="Q359" i="51"/>
  <c r="R359" i="51"/>
  <c r="S359" i="51"/>
  <c r="P383" i="51"/>
  <c r="Q383" i="51"/>
  <c r="R383" i="51"/>
  <c r="S383" i="51"/>
  <c r="P407" i="51"/>
  <c r="R407" i="51"/>
  <c r="P430" i="51"/>
  <c r="AQ348" i="34"/>
  <c r="P360" i="51"/>
  <c r="Q360" i="51"/>
  <c r="R360" i="51"/>
  <c r="S360" i="51"/>
  <c r="P384" i="51"/>
  <c r="Q384" i="51"/>
  <c r="R384" i="51"/>
  <c r="S384" i="51"/>
  <c r="P408" i="51"/>
  <c r="R408" i="51"/>
  <c r="P431" i="51"/>
  <c r="AQ349" i="34"/>
  <c r="P361" i="51"/>
  <c r="Q361" i="51"/>
  <c r="R361" i="51"/>
  <c r="S361" i="51"/>
  <c r="P385" i="51"/>
  <c r="Q385" i="51"/>
  <c r="R385" i="51"/>
  <c r="S385" i="51"/>
  <c r="P409" i="51"/>
  <c r="R409" i="51"/>
  <c r="P432" i="51"/>
  <c r="AQ350" i="34"/>
  <c r="AQ367" i="34"/>
  <c r="L359" i="51"/>
  <c r="M359" i="51"/>
  <c r="N359" i="51"/>
  <c r="O359" i="51"/>
  <c r="L383" i="51"/>
  <c r="M383" i="51"/>
  <c r="N383" i="51"/>
  <c r="O383" i="51"/>
  <c r="L397" i="51"/>
  <c r="N397" i="51"/>
  <c r="L420" i="51"/>
  <c r="AP348" i="34"/>
  <c r="L360" i="51"/>
  <c r="M360" i="51"/>
  <c r="N360" i="51"/>
  <c r="O360" i="51"/>
  <c r="L384" i="51"/>
  <c r="M384" i="51"/>
  <c r="N384" i="51"/>
  <c r="O384" i="51"/>
  <c r="L398" i="51"/>
  <c r="N398" i="51"/>
  <c r="L421" i="51"/>
  <c r="AP349" i="34"/>
  <c r="L361" i="51"/>
  <c r="M361" i="51"/>
  <c r="N361" i="51"/>
  <c r="O361" i="51"/>
  <c r="L385" i="51"/>
  <c r="M385" i="51"/>
  <c r="N385" i="51"/>
  <c r="O385" i="51"/>
  <c r="L399" i="51"/>
  <c r="N399" i="51"/>
  <c r="L422" i="51"/>
  <c r="AP350" i="34"/>
  <c r="AP367" i="34"/>
  <c r="H373" i="51"/>
  <c r="I373" i="51"/>
  <c r="J373" i="51"/>
  <c r="K373" i="51"/>
  <c r="AO348" i="34"/>
  <c r="H374" i="51"/>
  <c r="I374" i="51"/>
  <c r="J374" i="51"/>
  <c r="K374" i="51"/>
  <c r="AO349" i="34"/>
  <c r="H375" i="51"/>
  <c r="I375" i="51"/>
  <c r="J375" i="51"/>
  <c r="K375" i="51"/>
  <c r="AO350" i="34"/>
  <c r="AO367" i="34"/>
  <c r="AN348" i="34"/>
  <c r="AN349" i="34"/>
  <c r="AN350" i="34"/>
  <c r="AN367" i="34"/>
  <c r="AI348" i="34"/>
  <c r="AJ348" i="34"/>
  <c r="AK348" i="34"/>
  <c r="AL348" i="34"/>
  <c r="AI349" i="34"/>
  <c r="AJ349" i="34"/>
  <c r="AK349" i="34"/>
  <c r="AL349" i="34"/>
  <c r="AI350" i="34"/>
  <c r="AJ350" i="34"/>
  <c r="AK350" i="34"/>
  <c r="AL350" i="34"/>
  <c r="AL367" i="34"/>
  <c r="AK367" i="34"/>
  <c r="AJ367" i="34"/>
  <c r="AI367" i="34"/>
  <c r="T354" i="51"/>
  <c r="U354" i="51"/>
  <c r="V354" i="51"/>
  <c r="W354" i="51"/>
  <c r="T378" i="51"/>
  <c r="U378" i="51"/>
  <c r="V378" i="51"/>
  <c r="W378" i="51"/>
  <c r="T402" i="51"/>
  <c r="U402" i="51"/>
  <c r="V402" i="51"/>
  <c r="W402" i="51"/>
  <c r="T425" i="51"/>
  <c r="AR343" i="34"/>
  <c r="T355" i="51"/>
  <c r="U355" i="51"/>
  <c r="V355" i="51"/>
  <c r="W355" i="51"/>
  <c r="T379" i="51"/>
  <c r="U379" i="51"/>
  <c r="V379" i="51"/>
  <c r="W379" i="51"/>
  <c r="T403" i="51"/>
  <c r="U403" i="51"/>
  <c r="V403" i="51"/>
  <c r="W403" i="51"/>
  <c r="T426" i="51"/>
  <c r="AR344" i="34"/>
  <c r="T356" i="51"/>
  <c r="U356" i="51"/>
  <c r="V356" i="51"/>
  <c r="W356" i="51"/>
  <c r="T380" i="51"/>
  <c r="U380" i="51"/>
  <c r="V380" i="51"/>
  <c r="W380" i="51"/>
  <c r="T404" i="51"/>
  <c r="U404" i="51"/>
  <c r="V404" i="51"/>
  <c r="W404" i="51"/>
  <c r="T427" i="51"/>
  <c r="AR345" i="34"/>
  <c r="T357" i="51"/>
  <c r="U357" i="51"/>
  <c r="V357" i="51"/>
  <c r="W357" i="51"/>
  <c r="T381" i="51"/>
  <c r="U381" i="51"/>
  <c r="V381" i="51"/>
  <c r="W381" i="51"/>
  <c r="T405" i="51"/>
  <c r="U405" i="51"/>
  <c r="V405" i="51"/>
  <c r="W405" i="51"/>
  <c r="T428" i="51"/>
  <c r="AR346" i="34"/>
  <c r="T358" i="51"/>
  <c r="U358" i="51"/>
  <c r="V358" i="51"/>
  <c r="W358" i="51"/>
  <c r="T382" i="51"/>
  <c r="U382" i="51"/>
  <c r="V382" i="51"/>
  <c r="W382" i="51"/>
  <c r="T406" i="51"/>
  <c r="U406" i="51"/>
  <c r="V406" i="51"/>
  <c r="W406" i="51"/>
  <c r="T429" i="51"/>
  <c r="AR347" i="34"/>
  <c r="AR366" i="34"/>
  <c r="P354" i="51"/>
  <c r="Q354" i="51"/>
  <c r="R354" i="51"/>
  <c r="S354" i="51"/>
  <c r="P378" i="51"/>
  <c r="Q378" i="51"/>
  <c r="R378" i="51"/>
  <c r="S378" i="51"/>
  <c r="P402" i="51"/>
  <c r="R402" i="51"/>
  <c r="P425" i="51"/>
  <c r="AQ343" i="34"/>
  <c r="P355" i="51"/>
  <c r="Q355" i="51"/>
  <c r="R355" i="51"/>
  <c r="S355" i="51"/>
  <c r="P379" i="51"/>
  <c r="Q379" i="51"/>
  <c r="R379" i="51"/>
  <c r="S379" i="51"/>
  <c r="P403" i="51"/>
  <c r="R403" i="51"/>
  <c r="P426" i="51"/>
  <c r="AQ344" i="34"/>
  <c r="P356" i="51"/>
  <c r="Q356" i="51"/>
  <c r="R356" i="51"/>
  <c r="S356" i="51"/>
  <c r="P380" i="51"/>
  <c r="Q380" i="51"/>
  <c r="R380" i="51"/>
  <c r="S380" i="51"/>
  <c r="P404" i="51"/>
  <c r="R404" i="51"/>
  <c r="P427" i="51"/>
  <c r="AQ345" i="34"/>
  <c r="P357" i="51"/>
  <c r="Q357" i="51"/>
  <c r="R357" i="51"/>
  <c r="S357" i="51"/>
  <c r="P381" i="51"/>
  <c r="Q381" i="51"/>
  <c r="R381" i="51"/>
  <c r="S381" i="51"/>
  <c r="P405" i="51"/>
  <c r="R405" i="51"/>
  <c r="P428" i="51"/>
  <c r="AQ346" i="34"/>
  <c r="P358" i="51"/>
  <c r="Q358" i="51"/>
  <c r="R358" i="51"/>
  <c r="S358" i="51"/>
  <c r="P382" i="51"/>
  <c r="Q382" i="51"/>
  <c r="R382" i="51"/>
  <c r="S382" i="51"/>
  <c r="P406" i="51"/>
  <c r="R406" i="51"/>
  <c r="P429" i="51"/>
  <c r="AQ347" i="34"/>
  <c r="AQ366" i="34"/>
  <c r="L354" i="51"/>
  <c r="M354" i="51"/>
  <c r="N354" i="51"/>
  <c r="O354" i="51"/>
  <c r="L378" i="51"/>
  <c r="M378" i="51"/>
  <c r="N378" i="51"/>
  <c r="O378" i="51"/>
  <c r="L392" i="51"/>
  <c r="N392" i="51"/>
  <c r="L415" i="51"/>
  <c r="AP343" i="34"/>
  <c r="L355" i="51"/>
  <c r="M355" i="51"/>
  <c r="N355" i="51"/>
  <c r="O355" i="51"/>
  <c r="L379" i="51"/>
  <c r="M379" i="51"/>
  <c r="N379" i="51"/>
  <c r="O379" i="51"/>
  <c r="L393" i="51"/>
  <c r="N393" i="51"/>
  <c r="L416" i="51"/>
  <c r="AP344" i="34"/>
  <c r="L356" i="51"/>
  <c r="M356" i="51"/>
  <c r="N356" i="51"/>
  <c r="O356" i="51"/>
  <c r="L380" i="51"/>
  <c r="M380" i="51"/>
  <c r="N380" i="51"/>
  <c r="O380" i="51"/>
  <c r="L394" i="51"/>
  <c r="N394" i="51"/>
  <c r="L417" i="51"/>
  <c r="AP345" i="34"/>
  <c r="L357" i="51"/>
  <c r="M357" i="51"/>
  <c r="N357" i="51"/>
  <c r="O357" i="51"/>
  <c r="L381" i="51"/>
  <c r="M381" i="51"/>
  <c r="N381" i="51"/>
  <c r="O381" i="51"/>
  <c r="L395" i="51"/>
  <c r="N395" i="51"/>
  <c r="L418" i="51"/>
  <c r="AP346" i="34"/>
  <c r="L358" i="51"/>
  <c r="M358" i="51"/>
  <c r="N358" i="51"/>
  <c r="O358" i="51"/>
  <c r="L382" i="51"/>
  <c r="M382" i="51"/>
  <c r="N382" i="51"/>
  <c r="O382" i="51"/>
  <c r="L396" i="51"/>
  <c r="N396" i="51"/>
  <c r="L419" i="51"/>
  <c r="AP347" i="34"/>
  <c r="AP366" i="34"/>
  <c r="H354" i="51"/>
  <c r="I354" i="51"/>
  <c r="J354" i="51"/>
  <c r="K354" i="51"/>
  <c r="H368" i="51"/>
  <c r="I368" i="51"/>
  <c r="J368" i="51"/>
  <c r="K368" i="51"/>
  <c r="AO343" i="34"/>
  <c r="H355" i="51"/>
  <c r="I355" i="51"/>
  <c r="J355" i="51"/>
  <c r="K355" i="51"/>
  <c r="H369" i="51"/>
  <c r="I369" i="51"/>
  <c r="J369" i="51"/>
  <c r="K369" i="51"/>
  <c r="AO344" i="34"/>
  <c r="H356" i="51"/>
  <c r="I356" i="51"/>
  <c r="J356" i="51"/>
  <c r="K356" i="51"/>
  <c r="H370" i="51"/>
  <c r="I370" i="51"/>
  <c r="J370" i="51"/>
  <c r="K370" i="51"/>
  <c r="AO345" i="34"/>
  <c r="H357" i="51"/>
  <c r="I357" i="51"/>
  <c r="J357" i="51"/>
  <c r="K357" i="51"/>
  <c r="H371" i="51"/>
  <c r="I371" i="51"/>
  <c r="J371" i="51"/>
  <c r="K371" i="51"/>
  <c r="AO346" i="34"/>
  <c r="H358" i="51"/>
  <c r="I358" i="51"/>
  <c r="J358" i="51"/>
  <c r="K358" i="51"/>
  <c r="H372" i="51"/>
  <c r="I372" i="51"/>
  <c r="J372" i="51"/>
  <c r="K372" i="51"/>
  <c r="AO347" i="34"/>
  <c r="AO366" i="34"/>
  <c r="D344" i="51"/>
  <c r="E344" i="51"/>
  <c r="F344" i="51"/>
  <c r="G344" i="51"/>
  <c r="D368" i="51"/>
  <c r="E368" i="51"/>
  <c r="F368" i="51"/>
  <c r="G368" i="51"/>
  <c r="AN343" i="34"/>
  <c r="D345" i="51"/>
  <c r="E345" i="51"/>
  <c r="F345" i="51"/>
  <c r="G345" i="51"/>
  <c r="D369" i="51"/>
  <c r="E369" i="51"/>
  <c r="F369" i="51"/>
  <c r="G369" i="51"/>
  <c r="AN344" i="34"/>
  <c r="D346" i="51"/>
  <c r="E346" i="51"/>
  <c r="F346" i="51"/>
  <c r="G346" i="51"/>
  <c r="D370" i="51"/>
  <c r="E370" i="51"/>
  <c r="F370" i="51"/>
  <c r="G370" i="51"/>
  <c r="AN345" i="34"/>
  <c r="D347" i="51"/>
  <c r="E347" i="51"/>
  <c r="F347" i="51"/>
  <c r="G347" i="51"/>
  <c r="D371" i="51"/>
  <c r="E371" i="51"/>
  <c r="F371" i="51"/>
  <c r="G371" i="51"/>
  <c r="AN346" i="34"/>
  <c r="D348" i="51"/>
  <c r="E348" i="51"/>
  <c r="F348" i="51"/>
  <c r="G348" i="51"/>
  <c r="D372" i="51"/>
  <c r="E372" i="51"/>
  <c r="F372" i="51"/>
  <c r="G372" i="51"/>
  <c r="AN347" i="34"/>
  <c r="AN366" i="34"/>
  <c r="AI343" i="34"/>
  <c r="AJ343" i="34"/>
  <c r="AK343" i="34"/>
  <c r="AL343" i="34"/>
  <c r="AI344" i="34"/>
  <c r="AJ344" i="34"/>
  <c r="AK344" i="34"/>
  <c r="AL344" i="34"/>
  <c r="AI345" i="34"/>
  <c r="AJ345" i="34"/>
  <c r="AK345" i="34"/>
  <c r="AL345" i="34"/>
  <c r="AI346" i="34"/>
  <c r="AJ346" i="34"/>
  <c r="AK346" i="34"/>
  <c r="AL346" i="34"/>
  <c r="AI347" i="34"/>
  <c r="AJ347" i="34"/>
  <c r="AK347" i="34"/>
  <c r="AL347" i="34"/>
  <c r="AL366" i="34"/>
  <c r="AK366" i="34"/>
  <c r="AJ366" i="34"/>
  <c r="AI366" i="34"/>
  <c r="T283" i="51"/>
  <c r="T306" i="51"/>
  <c r="T329" i="51"/>
  <c r="AR273" i="34"/>
  <c r="T284" i="51"/>
  <c r="T307" i="51"/>
  <c r="T330" i="51"/>
  <c r="AR274" i="34"/>
  <c r="T285" i="51"/>
  <c r="T308" i="51"/>
  <c r="T331" i="51"/>
  <c r="AR275" i="34"/>
  <c r="AR292" i="34"/>
  <c r="P283" i="51"/>
  <c r="P306" i="51"/>
  <c r="P329" i="51"/>
  <c r="AQ273" i="34"/>
  <c r="P284" i="51"/>
  <c r="P307" i="51"/>
  <c r="P330" i="51"/>
  <c r="AQ274" i="34"/>
  <c r="P285" i="51"/>
  <c r="P308" i="51"/>
  <c r="P331" i="51"/>
  <c r="AQ275" i="34"/>
  <c r="AQ292" i="34"/>
  <c r="L283" i="51"/>
  <c r="L306" i="51"/>
  <c r="L329" i="51"/>
  <c r="AP273" i="34"/>
  <c r="L284" i="51"/>
  <c r="L307" i="51"/>
  <c r="L330" i="51"/>
  <c r="AP274" i="34"/>
  <c r="L285" i="51"/>
  <c r="L308" i="51"/>
  <c r="L331" i="51"/>
  <c r="AP275" i="34"/>
  <c r="AP292" i="34"/>
  <c r="H273" i="51"/>
  <c r="H296" i="51"/>
  <c r="AO273" i="34"/>
  <c r="H274" i="51"/>
  <c r="H297" i="51"/>
  <c r="AO274" i="34"/>
  <c r="H275" i="51"/>
  <c r="H298" i="51"/>
  <c r="AO275" i="34"/>
  <c r="AO292" i="34"/>
  <c r="AN273" i="34"/>
  <c r="AN274" i="34"/>
  <c r="AN275" i="34"/>
  <c r="AN292" i="34"/>
  <c r="AI273" i="34"/>
  <c r="AJ273" i="34"/>
  <c r="AK273" i="34"/>
  <c r="AL273" i="34"/>
  <c r="AI274" i="34"/>
  <c r="AJ274" i="34"/>
  <c r="AK274" i="34"/>
  <c r="AL274" i="34"/>
  <c r="AI275" i="34"/>
  <c r="AJ275" i="34"/>
  <c r="AK275" i="34"/>
  <c r="AL275" i="34"/>
  <c r="AL292" i="34"/>
  <c r="AK292" i="34"/>
  <c r="AJ292" i="34"/>
  <c r="AI292" i="34"/>
  <c r="T278" i="51"/>
  <c r="T301" i="51"/>
  <c r="T324" i="51"/>
  <c r="AR268" i="34"/>
  <c r="T279" i="51"/>
  <c r="T302" i="51"/>
  <c r="T325" i="51"/>
  <c r="AR269" i="34"/>
  <c r="T280" i="51"/>
  <c r="T303" i="51"/>
  <c r="T326" i="51"/>
  <c r="AR270" i="34"/>
  <c r="T281" i="51"/>
  <c r="T304" i="51"/>
  <c r="T327" i="51"/>
  <c r="AR271" i="34"/>
  <c r="T282" i="51"/>
  <c r="T305" i="51"/>
  <c r="T328" i="51"/>
  <c r="AR272" i="34"/>
  <c r="AR291" i="34"/>
  <c r="P278" i="51"/>
  <c r="P301" i="51"/>
  <c r="P324" i="51"/>
  <c r="AQ268" i="34"/>
  <c r="P279" i="51"/>
  <c r="P302" i="51"/>
  <c r="P325" i="51"/>
  <c r="AQ269" i="34"/>
  <c r="P280" i="51"/>
  <c r="P303" i="51"/>
  <c r="P326" i="51"/>
  <c r="AQ270" i="34"/>
  <c r="P281" i="51"/>
  <c r="P304" i="51"/>
  <c r="P327" i="51"/>
  <c r="AQ271" i="34"/>
  <c r="P282" i="51"/>
  <c r="P305" i="51"/>
  <c r="P328" i="51"/>
  <c r="AQ272" i="34"/>
  <c r="AQ291" i="34"/>
  <c r="L278" i="51"/>
  <c r="L301" i="51"/>
  <c r="L324" i="51"/>
  <c r="AP268" i="34"/>
  <c r="L279" i="51"/>
  <c r="L302" i="51"/>
  <c r="L325" i="51"/>
  <c r="AP269" i="34"/>
  <c r="L280" i="51"/>
  <c r="L303" i="51"/>
  <c r="L326" i="51"/>
  <c r="AP270" i="34"/>
  <c r="L281" i="51"/>
  <c r="L304" i="51"/>
  <c r="L327" i="51"/>
  <c r="AP271" i="34"/>
  <c r="L282" i="51"/>
  <c r="L305" i="51"/>
  <c r="L328" i="51"/>
  <c r="AP272" i="34"/>
  <c r="AP291" i="34"/>
  <c r="H278" i="51"/>
  <c r="H301" i="51"/>
  <c r="AO268" i="34"/>
  <c r="H279" i="51"/>
  <c r="H302" i="51"/>
  <c r="AO269" i="34"/>
  <c r="H280" i="51"/>
  <c r="H303" i="51"/>
  <c r="AO270" i="34"/>
  <c r="H281" i="51"/>
  <c r="H304" i="51"/>
  <c r="AO271" i="34"/>
  <c r="H282" i="51"/>
  <c r="H305" i="51"/>
  <c r="AO272" i="34"/>
  <c r="AO291" i="34"/>
  <c r="D268" i="51"/>
  <c r="D291" i="51"/>
  <c r="AN268" i="34"/>
  <c r="D269" i="51"/>
  <c r="D292" i="51"/>
  <c r="AN269" i="34"/>
  <c r="D270" i="51"/>
  <c r="D293" i="51"/>
  <c r="AN270" i="34"/>
  <c r="D271" i="51"/>
  <c r="D294" i="51"/>
  <c r="AN271" i="34"/>
  <c r="D272" i="51"/>
  <c r="D295" i="51"/>
  <c r="AN272" i="34"/>
  <c r="AN291" i="34"/>
  <c r="AI268" i="34"/>
  <c r="AJ268" i="34"/>
  <c r="AK268" i="34"/>
  <c r="AL268" i="34"/>
  <c r="AI269" i="34"/>
  <c r="AJ269" i="34"/>
  <c r="AK269" i="34"/>
  <c r="AL269" i="34"/>
  <c r="AI270" i="34"/>
  <c r="AJ270" i="34"/>
  <c r="AK270" i="34"/>
  <c r="AL270" i="34"/>
  <c r="AI271" i="34"/>
  <c r="AJ271" i="34"/>
  <c r="AK271" i="34"/>
  <c r="AL271" i="34"/>
  <c r="AI272" i="34"/>
  <c r="AJ272" i="34"/>
  <c r="AK272" i="34"/>
  <c r="AL272" i="34"/>
  <c r="AL291" i="34"/>
  <c r="AK291" i="34"/>
  <c r="AJ291" i="34"/>
  <c r="AI291" i="34"/>
  <c r="AI193" i="34"/>
  <c r="AI194" i="34"/>
  <c r="AI195" i="34"/>
  <c r="AI196" i="34"/>
  <c r="AI197" i="34"/>
  <c r="AI216" i="34"/>
  <c r="AJ193" i="34"/>
  <c r="AJ194" i="34"/>
  <c r="AJ195" i="34"/>
  <c r="AJ196" i="34"/>
  <c r="AJ197" i="34"/>
  <c r="AJ216" i="34"/>
  <c r="AK193" i="34"/>
  <c r="AK194" i="34"/>
  <c r="AK195" i="34"/>
  <c r="AK196" i="34"/>
  <c r="AK197" i="34"/>
  <c r="AK216" i="34"/>
  <c r="AL193" i="34"/>
  <c r="AL194" i="34"/>
  <c r="AL195" i="34"/>
  <c r="AL196" i="34"/>
  <c r="AL197" i="34"/>
  <c r="AL216" i="34"/>
  <c r="D193" i="51"/>
  <c r="D216" i="51"/>
  <c r="AN193" i="34"/>
  <c r="D194" i="51"/>
  <c r="D217" i="51"/>
  <c r="AN194" i="34"/>
  <c r="D195" i="51"/>
  <c r="D218" i="51"/>
  <c r="AN195" i="34"/>
  <c r="D196" i="51"/>
  <c r="D219" i="51"/>
  <c r="AN196" i="34"/>
  <c r="D197" i="51"/>
  <c r="D220" i="51"/>
  <c r="AN197" i="34"/>
  <c r="AN216" i="34"/>
  <c r="H203" i="51"/>
  <c r="H226" i="51"/>
  <c r="AO193" i="34"/>
  <c r="H204" i="51"/>
  <c r="H227" i="51"/>
  <c r="AO194" i="34"/>
  <c r="H205" i="51"/>
  <c r="H228" i="51"/>
  <c r="AO195" i="34"/>
  <c r="H206" i="51"/>
  <c r="H229" i="51"/>
  <c r="AO196" i="34"/>
  <c r="H207" i="51"/>
  <c r="H230" i="51"/>
  <c r="AO197" i="34"/>
  <c r="AO216" i="34"/>
  <c r="L203" i="51"/>
  <c r="L226" i="51"/>
  <c r="L249" i="51"/>
  <c r="AP193" i="34"/>
  <c r="L204" i="51"/>
  <c r="L227" i="51"/>
  <c r="L250" i="51"/>
  <c r="AP194" i="34"/>
  <c r="L205" i="51"/>
  <c r="L228" i="51"/>
  <c r="L251" i="51"/>
  <c r="AP195" i="34"/>
  <c r="L206" i="51"/>
  <c r="L229" i="51"/>
  <c r="L252" i="51"/>
  <c r="AP196" i="34"/>
  <c r="L207" i="51"/>
  <c r="L230" i="51"/>
  <c r="L253" i="51"/>
  <c r="AP197" i="34"/>
  <c r="AP216" i="34"/>
  <c r="P203" i="51"/>
  <c r="P226" i="51"/>
  <c r="P249" i="51"/>
  <c r="AQ193" i="34"/>
  <c r="P204" i="51"/>
  <c r="P227" i="51"/>
  <c r="P250" i="51"/>
  <c r="AQ194" i="34"/>
  <c r="P205" i="51"/>
  <c r="P228" i="51"/>
  <c r="P251" i="51"/>
  <c r="AQ195" i="34"/>
  <c r="P206" i="51"/>
  <c r="P229" i="51"/>
  <c r="P252" i="51"/>
  <c r="AQ196" i="34"/>
  <c r="P207" i="51"/>
  <c r="P230" i="51"/>
  <c r="P253" i="51"/>
  <c r="AQ197" i="34"/>
  <c r="AQ216" i="34"/>
  <c r="T203" i="51"/>
  <c r="T226" i="51"/>
  <c r="T249" i="51"/>
  <c r="AR193" i="34"/>
  <c r="T204" i="51"/>
  <c r="T227" i="51"/>
  <c r="T250" i="51"/>
  <c r="AR194" i="34"/>
  <c r="T205" i="51"/>
  <c r="T228" i="51"/>
  <c r="T251" i="51"/>
  <c r="AR195" i="34"/>
  <c r="T206" i="51"/>
  <c r="T229" i="51"/>
  <c r="T252" i="51"/>
  <c r="AR196" i="34"/>
  <c r="T207" i="51"/>
  <c r="T230" i="51"/>
  <c r="T253" i="51"/>
  <c r="AR197" i="34"/>
  <c r="AR216" i="34"/>
  <c r="AI198" i="34"/>
  <c r="AI199" i="34"/>
  <c r="AI200" i="34"/>
  <c r="AI217" i="34"/>
  <c r="AJ198" i="34"/>
  <c r="AJ199" i="34"/>
  <c r="AJ200" i="34"/>
  <c r="AJ217" i="34"/>
  <c r="AK198" i="34"/>
  <c r="AK199" i="34"/>
  <c r="AK200" i="34"/>
  <c r="AK217" i="34"/>
  <c r="AL198" i="34"/>
  <c r="AL199" i="34"/>
  <c r="AL200" i="34"/>
  <c r="AL217" i="34"/>
  <c r="H198" i="51"/>
  <c r="H221" i="51"/>
  <c r="AO198" i="34"/>
  <c r="AN198" i="34"/>
  <c r="H199" i="51"/>
  <c r="H222" i="51"/>
  <c r="AO199" i="34"/>
  <c r="AN199" i="34"/>
  <c r="H200" i="51"/>
  <c r="H223" i="51"/>
  <c r="AO200" i="34"/>
  <c r="AN200" i="34"/>
  <c r="AN217" i="34"/>
  <c r="AO217" i="34"/>
  <c r="L208" i="51"/>
  <c r="L231" i="51"/>
  <c r="L254" i="51"/>
  <c r="AP198" i="34"/>
  <c r="L209" i="51"/>
  <c r="L232" i="51"/>
  <c r="L255" i="51"/>
  <c r="AP199" i="34"/>
  <c r="L210" i="51"/>
  <c r="L233" i="51"/>
  <c r="L256" i="51"/>
  <c r="AP200" i="34"/>
  <c r="AP217" i="34"/>
  <c r="P208" i="51"/>
  <c r="P231" i="51"/>
  <c r="P254" i="51"/>
  <c r="AQ198" i="34"/>
  <c r="P209" i="51"/>
  <c r="P232" i="51"/>
  <c r="P255" i="51"/>
  <c r="AQ199" i="34"/>
  <c r="P210" i="51"/>
  <c r="P233" i="51"/>
  <c r="P256" i="51"/>
  <c r="AQ200" i="34"/>
  <c r="AQ217" i="34"/>
  <c r="T208" i="51"/>
  <c r="T231" i="51"/>
  <c r="T254" i="51"/>
  <c r="AR198" i="34"/>
  <c r="T209" i="51"/>
  <c r="T232" i="51"/>
  <c r="T255" i="51"/>
  <c r="AR199" i="34"/>
  <c r="T210" i="51"/>
  <c r="T233" i="51"/>
  <c r="T256" i="51"/>
  <c r="AR200" i="34"/>
  <c r="AR217" i="34"/>
  <c r="AH217" i="34"/>
  <c r="AH216" i="34"/>
  <c r="Y580" i="52"/>
  <c r="U580" i="52"/>
  <c r="AK580" i="52"/>
  <c r="Y609" i="52"/>
  <c r="U609" i="52"/>
  <c r="AK609" i="52"/>
  <c r="AP580" i="52"/>
  <c r="Y581" i="52"/>
  <c r="U581" i="52"/>
  <c r="AK581" i="52"/>
  <c r="Y610" i="52"/>
  <c r="U610" i="52"/>
  <c r="AK610" i="52"/>
  <c r="AP581" i="52"/>
  <c r="Y582" i="52"/>
  <c r="U582" i="52"/>
  <c r="AK582" i="52"/>
  <c r="Y611" i="52"/>
  <c r="U611" i="52"/>
  <c r="AK611" i="52"/>
  <c r="AP582" i="52"/>
  <c r="Y583" i="52"/>
  <c r="U583" i="52"/>
  <c r="AK583" i="52"/>
  <c r="Y612" i="52"/>
  <c r="U612" i="52"/>
  <c r="AK612" i="52"/>
  <c r="AP583" i="52"/>
  <c r="Y584" i="52"/>
  <c r="U584" i="52"/>
  <c r="AK584" i="52"/>
  <c r="Y613" i="52"/>
  <c r="U613" i="52"/>
  <c r="AK613" i="52"/>
  <c r="AP584" i="52"/>
  <c r="Y585" i="52"/>
  <c r="U585" i="52"/>
  <c r="AK585" i="52"/>
  <c r="Y614" i="52"/>
  <c r="U614" i="52"/>
  <c r="AK614" i="52"/>
  <c r="AP585" i="52"/>
  <c r="Y586" i="52"/>
  <c r="U586" i="52"/>
  <c r="AK586" i="52"/>
  <c r="Y615" i="52"/>
  <c r="U615" i="52"/>
  <c r="AK615" i="52"/>
  <c r="AP586" i="52"/>
  <c r="Y587" i="52"/>
  <c r="AK587" i="52"/>
  <c r="Y616" i="52"/>
  <c r="AK616" i="52"/>
  <c r="AP587" i="52"/>
  <c r="Y588" i="52"/>
  <c r="AK588" i="52"/>
  <c r="Y617" i="52"/>
  <c r="AK617" i="52"/>
  <c r="AP588" i="52"/>
  <c r="Y589" i="52"/>
  <c r="U589" i="52"/>
  <c r="AK589" i="52"/>
  <c r="Y618" i="52"/>
  <c r="U618" i="52"/>
  <c r="AK618" i="52"/>
  <c r="AP589" i="52"/>
  <c r="Y590" i="52"/>
  <c r="U590" i="52"/>
  <c r="AK590" i="52"/>
  <c r="Y619" i="52"/>
  <c r="U619" i="52"/>
  <c r="AK619" i="52"/>
  <c r="AP590" i="52"/>
  <c r="Y579" i="52"/>
  <c r="U579" i="52"/>
  <c r="AK579" i="52"/>
  <c r="Y608" i="52"/>
  <c r="U608" i="52"/>
  <c r="AK608" i="52"/>
  <c r="AP579" i="52"/>
  <c r="O204" i="52"/>
  <c r="J204" i="52"/>
  <c r="AI204" i="52"/>
  <c r="O227" i="52"/>
  <c r="J227" i="52"/>
  <c r="AI227" i="52"/>
  <c r="H240" i="51"/>
  <c r="O250" i="52"/>
  <c r="D240" i="51"/>
  <c r="J250" i="52"/>
  <c r="AI250" i="52"/>
  <c r="AN204" i="52"/>
  <c r="O279" i="52"/>
  <c r="J279" i="52"/>
  <c r="AI279" i="52"/>
  <c r="O302" i="52"/>
  <c r="J302" i="52"/>
  <c r="AI302" i="52"/>
  <c r="H315" i="51"/>
  <c r="O325" i="52"/>
  <c r="D315" i="51"/>
  <c r="J325" i="52"/>
  <c r="AI325" i="52"/>
  <c r="AN279" i="52"/>
  <c r="O355" i="52"/>
  <c r="J355" i="52"/>
  <c r="AI355" i="52"/>
  <c r="O379" i="52"/>
  <c r="J379" i="52"/>
  <c r="AI379" i="52"/>
  <c r="AI403" i="52"/>
  <c r="AI426" i="52"/>
  <c r="AN355" i="52"/>
  <c r="O455" i="52"/>
  <c r="AI455" i="52"/>
  <c r="O478" i="52"/>
  <c r="AI478" i="52"/>
  <c r="O501" i="52"/>
  <c r="AI501" i="52"/>
  <c r="O524" i="52"/>
  <c r="AI524" i="52"/>
  <c r="O548" i="52"/>
  <c r="AI548" i="52"/>
  <c r="AN455" i="52"/>
  <c r="O580" i="52"/>
  <c r="J580" i="52"/>
  <c r="AI580" i="52"/>
  <c r="O609" i="52"/>
  <c r="J609" i="52"/>
  <c r="AI609" i="52"/>
  <c r="AN580" i="52"/>
  <c r="AN175" i="52"/>
  <c r="U204" i="52"/>
  <c r="AJ204" i="52"/>
  <c r="U227" i="52"/>
  <c r="AJ227" i="52"/>
  <c r="U250" i="52"/>
  <c r="AJ250" i="52"/>
  <c r="AO204" i="52"/>
  <c r="U279" i="52"/>
  <c r="AJ279" i="52"/>
  <c r="U302" i="52"/>
  <c r="AJ302" i="52"/>
  <c r="U325" i="52"/>
  <c r="AJ325" i="52"/>
  <c r="AO279" i="52"/>
  <c r="U355" i="52"/>
  <c r="AJ355" i="52"/>
  <c r="U379" i="52"/>
  <c r="AJ379" i="52"/>
  <c r="U403" i="52"/>
  <c r="AJ403" i="52"/>
  <c r="U426" i="52"/>
  <c r="AJ426" i="52"/>
  <c r="AO355" i="52"/>
  <c r="U455" i="52"/>
  <c r="AJ455" i="52"/>
  <c r="U478" i="52"/>
  <c r="AJ478" i="52"/>
  <c r="U501" i="52"/>
  <c r="AJ501" i="52"/>
  <c r="U524" i="52"/>
  <c r="AJ524" i="52"/>
  <c r="U548" i="52"/>
  <c r="AJ548" i="52"/>
  <c r="AO455" i="52"/>
  <c r="AJ580" i="52"/>
  <c r="AJ609" i="52"/>
  <c r="AO580" i="52"/>
  <c r="AO175" i="52"/>
  <c r="Y204" i="52"/>
  <c r="AK204" i="52"/>
  <c r="Y227" i="52"/>
  <c r="AK227" i="52"/>
  <c r="Y250" i="52"/>
  <c r="AK250" i="52"/>
  <c r="AP204" i="52"/>
  <c r="Y279" i="52"/>
  <c r="AK279" i="52"/>
  <c r="Y302" i="52"/>
  <c r="AK302" i="52"/>
  <c r="Y325" i="52"/>
  <c r="AK325" i="52"/>
  <c r="AP279" i="52"/>
  <c r="Y355" i="52"/>
  <c r="AK355" i="52"/>
  <c r="Y379" i="52"/>
  <c r="AK379" i="52"/>
  <c r="Y403" i="52"/>
  <c r="AK403" i="52"/>
  <c r="Y426" i="52"/>
  <c r="AK426" i="52"/>
  <c r="AP355" i="52"/>
  <c r="Y455" i="52"/>
  <c r="AK455" i="52"/>
  <c r="Y478" i="52"/>
  <c r="AK478" i="52"/>
  <c r="Y501" i="52"/>
  <c r="AK501" i="52"/>
  <c r="Y524" i="52"/>
  <c r="AK524" i="52"/>
  <c r="Y548" i="52"/>
  <c r="AK548" i="52"/>
  <c r="AP455" i="52"/>
  <c r="AP175" i="52"/>
  <c r="AC204" i="52"/>
  <c r="AL204" i="52"/>
  <c r="AC227" i="52"/>
  <c r="AL227" i="52"/>
  <c r="AC250" i="52"/>
  <c r="AL250" i="52"/>
  <c r="AQ204" i="52"/>
  <c r="AC279" i="52"/>
  <c r="AL279" i="52"/>
  <c r="AC302" i="52"/>
  <c r="AL302" i="52"/>
  <c r="AC325" i="52"/>
  <c r="AL325" i="52"/>
  <c r="AQ279" i="52"/>
  <c r="AC355" i="52"/>
  <c r="AL355" i="52"/>
  <c r="AC379" i="52"/>
  <c r="AL379" i="52"/>
  <c r="AC403" i="52"/>
  <c r="AL403" i="52"/>
  <c r="AC426" i="52"/>
  <c r="AL426" i="52"/>
  <c r="AQ355" i="52"/>
  <c r="AC455" i="52"/>
  <c r="AL455" i="52"/>
  <c r="AC478" i="52"/>
  <c r="AL478" i="52"/>
  <c r="AC501" i="52"/>
  <c r="AL501" i="52"/>
  <c r="AC524" i="52"/>
  <c r="AL524" i="52"/>
  <c r="U548" i="51"/>
  <c r="W548" i="51"/>
  <c r="AC548" i="52"/>
  <c r="AL548" i="52"/>
  <c r="AQ455" i="52"/>
  <c r="AC580" i="52"/>
  <c r="AL580" i="52"/>
  <c r="AC609" i="52"/>
  <c r="AL609" i="52"/>
  <c r="AC638" i="52"/>
  <c r="Y638" i="52"/>
  <c r="AL638" i="52"/>
  <c r="AQ580" i="52"/>
  <c r="AQ175" i="52"/>
  <c r="O205" i="52"/>
  <c r="J205" i="52"/>
  <c r="AI205" i="52"/>
  <c r="O228" i="52"/>
  <c r="J228" i="52"/>
  <c r="AI228" i="52"/>
  <c r="H241" i="51"/>
  <c r="O251" i="52"/>
  <c r="D241" i="51"/>
  <c r="J251" i="52"/>
  <c r="AI251" i="52"/>
  <c r="AN205" i="52"/>
  <c r="O280" i="52"/>
  <c r="J280" i="52"/>
  <c r="AI280" i="52"/>
  <c r="O303" i="52"/>
  <c r="J303" i="52"/>
  <c r="AI303" i="52"/>
  <c r="H316" i="51"/>
  <c r="O326" i="52"/>
  <c r="D316" i="51"/>
  <c r="J326" i="52"/>
  <c r="AI326" i="52"/>
  <c r="AN280" i="52"/>
  <c r="O356" i="52"/>
  <c r="J356" i="52"/>
  <c r="AI356" i="52"/>
  <c r="O380" i="52"/>
  <c r="J380" i="52"/>
  <c r="AI380" i="52"/>
  <c r="AI404" i="52"/>
  <c r="AI427" i="52"/>
  <c r="AN356" i="52"/>
  <c r="O456" i="52"/>
  <c r="AI456" i="52"/>
  <c r="O479" i="52"/>
  <c r="AI479" i="52"/>
  <c r="O502" i="52"/>
  <c r="AI502" i="52"/>
  <c r="O525" i="52"/>
  <c r="AI525" i="52"/>
  <c r="O549" i="52"/>
  <c r="AI549" i="52"/>
  <c r="AN456" i="52"/>
  <c r="O581" i="52"/>
  <c r="J581" i="52"/>
  <c r="AI581" i="52"/>
  <c r="O610" i="52"/>
  <c r="J610" i="52"/>
  <c r="AI610" i="52"/>
  <c r="AN581" i="52"/>
  <c r="AN176" i="52"/>
  <c r="U205" i="52"/>
  <c r="AJ205" i="52"/>
  <c r="U228" i="52"/>
  <c r="AJ228" i="52"/>
  <c r="U251" i="52"/>
  <c r="AJ251" i="52"/>
  <c r="AO205" i="52"/>
  <c r="U280" i="52"/>
  <c r="AJ280" i="52"/>
  <c r="U303" i="52"/>
  <c r="AJ303" i="52"/>
  <c r="U326" i="52"/>
  <c r="AJ326" i="52"/>
  <c r="AO280" i="52"/>
  <c r="U356" i="52"/>
  <c r="AJ356" i="52"/>
  <c r="U380" i="52"/>
  <c r="AJ380" i="52"/>
  <c r="U404" i="52"/>
  <c r="AJ404" i="52"/>
  <c r="U427" i="52"/>
  <c r="AJ427" i="52"/>
  <c r="AO356" i="52"/>
  <c r="U456" i="52"/>
  <c r="AJ456" i="52"/>
  <c r="U479" i="52"/>
  <c r="AJ479" i="52"/>
  <c r="U502" i="52"/>
  <c r="AJ502" i="52"/>
  <c r="U525" i="52"/>
  <c r="AJ525" i="52"/>
  <c r="U549" i="52"/>
  <c r="AJ549" i="52"/>
  <c r="AO456" i="52"/>
  <c r="AJ581" i="52"/>
  <c r="AJ610" i="52"/>
  <c r="AO581" i="52"/>
  <c r="AO176" i="52"/>
  <c r="Y205" i="52"/>
  <c r="AK205" i="52"/>
  <c r="Y228" i="52"/>
  <c r="AK228" i="52"/>
  <c r="Y251" i="52"/>
  <c r="AK251" i="52"/>
  <c r="AP205" i="52"/>
  <c r="Y280" i="52"/>
  <c r="AK280" i="52"/>
  <c r="Y303" i="52"/>
  <c r="AK303" i="52"/>
  <c r="Y326" i="52"/>
  <c r="AK326" i="52"/>
  <c r="AP280" i="52"/>
  <c r="Y356" i="52"/>
  <c r="AK356" i="52"/>
  <c r="Y380" i="52"/>
  <c r="AK380" i="52"/>
  <c r="Y404" i="52"/>
  <c r="AK404" i="52"/>
  <c r="Y427" i="52"/>
  <c r="AK427" i="52"/>
  <c r="AP356" i="52"/>
  <c r="Y456" i="52"/>
  <c r="AK456" i="52"/>
  <c r="Y479" i="52"/>
  <c r="AK479" i="52"/>
  <c r="Y502" i="52"/>
  <c r="AK502" i="52"/>
  <c r="Y525" i="52"/>
  <c r="AK525" i="52"/>
  <c r="Y549" i="52"/>
  <c r="AK549" i="52"/>
  <c r="AP456" i="52"/>
  <c r="AP176" i="52"/>
  <c r="AC205" i="52"/>
  <c r="AL205" i="52"/>
  <c r="AC228" i="52"/>
  <c r="AL228" i="52"/>
  <c r="AC251" i="52"/>
  <c r="AL251" i="52"/>
  <c r="AQ205" i="52"/>
  <c r="AC280" i="52"/>
  <c r="AL280" i="52"/>
  <c r="AC303" i="52"/>
  <c r="AL303" i="52"/>
  <c r="AC326" i="52"/>
  <c r="AL326" i="52"/>
  <c r="AQ280" i="52"/>
  <c r="AC356" i="52"/>
  <c r="AL356" i="52"/>
  <c r="AC380" i="52"/>
  <c r="AL380" i="52"/>
  <c r="AC404" i="52"/>
  <c r="AL404" i="52"/>
  <c r="AC427" i="52"/>
  <c r="AL427" i="52"/>
  <c r="AQ356" i="52"/>
  <c r="AC456" i="52"/>
  <c r="AL456" i="52"/>
  <c r="AC479" i="52"/>
  <c r="AL479" i="52"/>
  <c r="AC502" i="52"/>
  <c r="AL502" i="52"/>
  <c r="AC525" i="52"/>
  <c r="AL525" i="52"/>
  <c r="U549" i="51"/>
  <c r="W549" i="51"/>
  <c r="AC549" i="52"/>
  <c r="AL549" i="52"/>
  <c r="AQ456" i="52"/>
  <c r="AC581" i="52"/>
  <c r="AL581" i="52"/>
  <c r="AC610" i="52"/>
  <c r="AL610" i="52"/>
  <c r="AC639" i="52"/>
  <c r="Y639" i="52"/>
  <c r="AL639" i="52"/>
  <c r="AQ581" i="52"/>
  <c r="AQ176" i="52"/>
  <c r="O206" i="52"/>
  <c r="J206" i="52"/>
  <c r="AI206" i="52"/>
  <c r="O229" i="52"/>
  <c r="J229" i="52"/>
  <c r="AI229" i="52"/>
  <c r="H242" i="51"/>
  <c r="O252" i="52"/>
  <c r="D242" i="51"/>
  <c r="J252" i="52"/>
  <c r="AI252" i="52"/>
  <c r="AN206" i="52"/>
  <c r="O281" i="52"/>
  <c r="J281" i="52"/>
  <c r="AI281" i="52"/>
  <c r="O304" i="52"/>
  <c r="J304" i="52"/>
  <c r="AI304" i="52"/>
  <c r="H317" i="51"/>
  <c r="O327" i="52"/>
  <c r="D317" i="51"/>
  <c r="J327" i="52"/>
  <c r="AI327" i="52"/>
  <c r="AN281" i="52"/>
  <c r="O357" i="52"/>
  <c r="J357" i="52"/>
  <c r="AI357" i="52"/>
  <c r="O381" i="52"/>
  <c r="J381" i="52"/>
  <c r="AI381" i="52"/>
  <c r="AI405" i="52"/>
  <c r="AI428" i="52"/>
  <c r="AN357" i="52"/>
  <c r="O457" i="52"/>
  <c r="AI457" i="52"/>
  <c r="O480" i="52"/>
  <c r="AI480" i="52"/>
  <c r="O503" i="52"/>
  <c r="AI503" i="52"/>
  <c r="O526" i="52"/>
  <c r="AI526" i="52"/>
  <c r="O550" i="52"/>
  <c r="AI550" i="52"/>
  <c r="AN457" i="52"/>
  <c r="O582" i="52"/>
  <c r="J582" i="52"/>
  <c r="AI582" i="52"/>
  <c r="O611" i="52"/>
  <c r="J611" i="52"/>
  <c r="AI611" i="52"/>
  <c r="AN582" i="52"/>
  <c r="AN177" i="52"/>
  <c r="U206" i="52"/>
  <c r="AJ206" i="52"/>
  <c r="U229" i="52"/>
  <c r="AJ229" i="52"/>
  <c r="U252" i="52"/>
  <c r="AJ252" i="52"/>
  <c r="AO206" i="52"/>
  <c r="U281" i="52"/>
  <c r="AJ281" i="52"/>
  <c r="U304" i="52"/>
  <c r="AJ304" i="52"/>
  <c r="U327" i="52"/>
  <c r="AJ327" i="52"/>
  <c r="AO281" i="52"/>
  <c r="U357" i="52"/>
  <c r="AJ357" i="52"/>
  <c r="U381" i="52"/>
  <c r="AJ381" i="52"/>
  <c r="U405" i="52"/>
  <c r="AJ405" i="52"/>
  <c r="U428" i="52"/>
  <c r="AJ428" i="52"/>
  <c r="AO357" i="52"/>
  <c r="U457" i="52"/>
  <c r="AJ457" i="52"/>
  <c r="U480" i="52"/>
  <c r="AJ480" i="52"/>
  <c r="U503" i="52"/>
  <c r="AJ503" i="52"/>
  <c r="U526" i="52"/>
  <c r="AJ526" i="52"/>
  <c r="U550" i="52"/>
  <c r="AJ550" i="52"/>
  <c r="AO457" i="52"/>
  <c r="AJ582" i="52"/>
  <c r="AJ611" i="52"/>
  <c r="AO582" i="52"/>
  <c r="AO177" i="52"/>
  <c r="Y206" i="52"/>
  <c r="AK206" i="52"/>
  <c r="Y229" i="52"/>
  <c r="AK229" i="52"/>
  <c r="Y252" i="52"/>
  <c r="AK252" i="52"/>
  <c r="AP206" i="52"/>
  <c r="Y281" i="52"/>
  <c r="AK281" i="52"/>
  <c r="Y304" i="52"/>
  <c r="AK304" i="52"/>
  <c r="Y327" i="52"/>
  <c r="AK327" i="52"/>
  <c r="AP281" i="52"/>
  <c r="Y357" i="52"/>
  <c r="AK357" i="52"/>
  <c r="Y381" i="52"/>
  <c r="AK381" i="52"/>
  <c r="Y405" i="52"/>
  <c r="AK405" i="52"/>
  <c r="Y428" i="52"/>
  <c r="AK428" i="52"/>
  <c r="AP357" i="52"/>
  <c r="Y457" i="52"/>
  <c r="AK457" i="52"/>
  <c r="Y480" i="52"/>
  <c r="AK480" i="52"/>
  <c r="Y503" i="52"/>
  <c r="AK503" i="52"/>
  <c r="Y526" i="52"/>
  <c r="AK526" i="52"/>
  <c r="Y550" i="52"/>
  <c r="AK550" i="52"/>
  <c r="AP457" i="52"/>
  <c r="AP177" i="52"/>
  <c r="AC206" i="52"/>
  <c r="AL206" i="52"/>
  <c r="AC229" i="52"/>
  <c r="AL229" i="52"/>
  <c r="AC252" i="52"/>
  <c r="AL252" i="52"/>
  <c r="AQ206" i="52"/>
  <c r="AC281" i="52"/>
  <c r="AL281" i="52"/>
  <c r="AC304" i="52"/>
  <c r="AL304" i="52"/>
  <c r="AC327" i="52"/>
  <c r="AL327" i="52"/>
  <c r="AQ281" i="52"/>
  <c r="AC357" i="52"/>
  <c r="AL357" i="52"/>
  <c r="AC381" i="52"/>
  <c r="AL381" i="52"/>
  <c r="AC405" i="52"/>
  <c r="AL405" i="52"/>
  <c r="AC428" i="52"/>
  <c r="AL428" i="52"/>
  <c r="AQ357" i="52"/>
  <c r="AC457" i="52"/>
  <c r="AL457" i="52"/>
  <c r="AC480" i="52"/>
  <c r="AL480" i="52"/>
  <c r="AC503" i="52"/>
  <c r="AL503" i="52"/>
  <c r="AC526" i="52"/>
  <c r="AL526" i="52"/>
  <c r="U550" i="51"/>
  <c r="W550" i="51"/>
  <c r="AC550" i="52"/>
  <c r="AL550" i="52"/>
  <c r="AQ457" i="52"/>
  <c r="AC582" i="52"/>
  <c r="AL582" i="52"/>
  <c r="AC611" i="52"/>
  <c r="AL611" i="52"/>
  <c r="AC640" i="52"/>
  <c r="Y640" i="52"/>
  <c r="AL640" i="52"/>
  <c r="AQ582" i="52"/>
  <c r="AQ177" i="52"/>
  <c r="O207" i="52"/>
  <c r="J207" i="52"/>
  <c r="AI207" i="52"/>
  <c r="O230" i="52"/>
  <c r="J230" i="52"/>
  <c r="AI230" i="52"/>
  <c r="H243" i="51"/>
  <c r="O253" i="52"/>
  <c r="D243" i="51"/>
  <c r="J253" i="52"/>
  <c r="AI253" i="52"/>
  <c r="AN207" i="52"/>
  <c r="O282" i="52"/>
  <c r="J282" i="52"/>
  <c r="AI282" i="52"/>
  <c r="O305" i="52"/>
  <c r="J305" i="52"/>
  <c r="AI305" i="52"/>
  <c r="H318" i="51"/>
  <c r="O328" i="52"/>
  <c r="D318" i="51"/>
  <c r="J328" i="52"/>
  <c r="AI328" i="52"/>
  <c r="AN282" i="52"/>
  <c r="O358" i="52"/>
  <c r="J358" i="52"/>
  <c r="AI358" i="52"/>
  <c r="O382" i="52"/>
  <c r="J382" i="52"/>
  <c r="AI382" i="52"/>
  <c r="AI406" i="52"/>
  <c r="AI429" i="52"/>
  <c r="AN358" i="52"/>
  <c r="O458" i="52"/>
  <c r="AI458" i="52"/>
  <c r="O481" i="52"/>
  <c r="AI481" i="52"/>
  <c r="O504" i="52"/>
  <c r="AI504" i="52"/>
  <c r="O527" i="52"/>
  <c r="AI527" i="52"/>
  <c r="O551" i="52"/>
  <c r="AI551" i="52"/>
  <c r="AN458" i="52"/>
  <c r="O583" i="52"/>
  <c r="J583" i="52"/>
  <c r="AI583" i="52"/>
  <c r="O612" i="52"/>
  <c r="J612" i="52"/>
  <c r="AI612" i="52"/>
  <c r="AN583" i="52"/>
  <c r="AN178" i="52"/>
  <c r="U207" i="52"/>
  <c r="AJ207" i="52"/>
  <c r="U230" i="52"/>
  <c r="AJ230" i="52"/>
  <c r="U253" i="52"/>
  <c r="AJ253" i="52"/>
  <c r="AO207" i="52"/>
  <c r="U282" i="52"/>
  <c r="AJ282" i="52"/>
  <c r="U305" i="52"/>
  <c r="AJ305" i="52"/>
  <c r="U328" i="52"/>
  <c r="AJ328" i="52"/>
  <c r="AO282" i="52"/>
  <c r="U358" i="52"/>
  <c r="AJ358" i="52"/>
  <c r="U382" i="52"/>
  <c r="AJ382" i="52"/>
  <c r="U406" i="52"/>
  <c r="AJ406" i="52"/>
  <c r="U429" i="52"/>
  <c r="AJ429" i="52"/>
  <c r="AO358" i="52"/>
  <c r="U458" i="52"/>
  <c r="AJ458" i="52"/>
  <c r="U481" i="52"/>
  <c r="AJ481" i="52"/>
  <c r="U504" i="52"/>
  <c r="AJ504" i="52"/>
  <c r="U527" i="52"/>
  <c r="AJ527" i="52"/>
  <c r="U551" i="52"/>
  <c r="AJ551" i="52"/>
  <c r="AO458" i="52"/>
  <c r="AJ583" i="52"/>
  <c r="AJ612" i="52"/>
  <c r="AO583" i="52"/>
  <c r="AO178" i="52"/>
  <c r="Y207" i="52"/>
  <c r="AK207" i="52"/>
  <c r="Y230" i="52"/>
  <c r="AK230" i="52"/>
  <c r="Y253" i="52"/>
  <c r="AK253" i="52"/>
  <c r="AP207" i="52"/>
  <c r="Y282" i="52"/>
  <c r="AK282" i="52"/>
  <c r="Y305" i="52"/>
  <c r="AK305" i="52"/>
  <c r="Y328" i="52"/>
  <c r="AK328" i="52"/>
  <c r="AP282" i="52"/>
  <c r="Y358" i="52"/>
  <c r="AK358" i="52"/>
  <c r="Y382" i="52"/>
  <c r="AK382" i="52"/>
  <c r="Y406" i="52"/>
  <c r="AK406" i="52"/>
  <c r="Y429" i="52"/>
  <c r="AK429" i="52"/>
  <c r="AP358" i="52"/>
  <c r="Y458" i="52"/>
  <c r="AK458" i="52"/>
  <c r="Y481" i="52"/>
  <c r="AK481" i="52"/>
  <c r="Y504" i="52"/>
  <c r="AK504" i="52"/>
  <c r="Y527" i="52"/>
  <c r="AK527" i="52"/>
  <c r="Y551" i="52"/>
  <c r="AK551" i="52"/>
  <c r="AP458" i="52"/>
  <c r="AP178" i="52"/>
  <c r="AC207" i="52"/>
  <c r="AL207" i="52"/>
  <c r="AC230" i="52"/>
  <c r="AL230" i="52"/>
  <c r="AC253" i="52"/>
  <c r="AL253" i="52"/>
  <c r="AQ207" i="52"/>
  <c r="AC282" i="52"/>
  <c r="AL282" i="52"/>
  <c r="AC305" i="52"/>
  <c r="AL305" i="52"/>
  <c r="AC328" i="52"/>
  <c r="AL328" i="52"/>
  <c r="AQ282" i="52"/>
  <c r="AC358" i="52"/>
  <c r="AL358" i="52"/>
  <c r="AC382" i="52"/>
  <c r="AL382" i="52"/>
  <c r="AC406" i="52"/>
  <c r="AL406" i="52"/>
  <c r="AC429" i="52"/>
  <c r="AL429" i="52"/>
  <c r="AQ358" i="52"/>
  <c r="AC458" i="52"/>
  <c r="AL458" i="52"/>
  <c r="AC481" i="52"/>
  <c r="AL481" i="52"/>
  <c r="AC504" i="52"/>
  <c r="AL504" i="52"/>
  <c r="AC527" i="52"/>
  <c r="AL527" i="52"/>
  <c r="U551" i="51"/>
  <c r="W551" i="51"/>
  <c r="AC551" i="52"/>
  <c r="AL551" i="52"/>
  <c r="AQ458" i="52"/>
  <c r="AC583" i="52"/>
  <c r="AL583" i="52"/>
  <c r="AC612" i="52"/>
  <c r="AL612" i="52"/>
  <c r="AC641" i="52"/>
  <c r="Y641" i="52"/>
  <c r="AL641" i="52"/>
  <c r="AQ583" i="52"/>
  <c r="AQ178" i="52"/>
  <c r="AN208" i="52"/>
  <c r="AN283" i="52"/>
  <c r="AI407" i="52"/>
  <c r="AI430" i="52"/>
  <c r="AN359" i="52"/>
  <c r="AN459" i="52"/>
  <c r="AN584" i="52"/>
  <c r="AN179" i="52"/>
  <c r="U208" i="52"/>
  <c r="R208" i="52"/>
  <c r="AJ208" i="52"/>
  <c r="U231" i="52"/>
  <c r="R231" i="52"/>
  <c r="AJ231" i="52"/>
  <c r="U254" i="52"/>
  <c r="H244" i="51"/>
  <c r="R254" i="52"/>
  <c r="AJ254" i="52"/>
  <c r="AO208" i="52"/>
  <c r="U283" i="52"/>
  <c r="R283" i="52"/>
  <c r="AJ283" i="52"/>
  <c r="U306" i="52"/>
  <c r="R306" i="52"/>
  <c r="AJ306" i="52"/>
  <c r="U329" i="52"/>
  <c r="H319" i="51"/>
  <c r="R329" i="52"/>
  <c r="AJ329" i="52"/>
  <c r="AO283" i="52"/>
  <c r="U359" i="52"/>
  <c r="H349" i="51"/>
  <c r="I349" i="51"/>
  <c r="J349" i="51"/>
  <c r="K349" i="51"/>
  <c r="R359" i="52"/>
  <c r="AJ359" i="52"/>
  <c r="U383" i="52"/>
  <c r="R383" i="52"/>
  <c r="AJ383" i="52"/>
  <c r="AO359" i="52"/>
  <c r="U459" i="52"/>
  <c r="R459" i="52"/>
  <c r="AJ459" i="52"/>
  <c r="U482" i="52"/>
  <c r="R482" i="52"/>
  <c r="AJ482" i="52"/>
  <c r="U505" i="52"/>
  <c r="R505" i="52"/>
  <c r="AJ505" i="52"/>
  <c r="U528" i="52"/>
  <c r="R528" i="52"/>
  <c r="AJ528" i="52"/>
  <c r="U552" i="52"/>
  <c r="H542" i="51"/>
  <c r="J542" i="51"/>
  <c r="R552" i="52"/>
  <c r="AJ552" i="52"/>
  <c r="AO459" i="52"/>
  <c r="R584" i="52"/>
  <c r="AJ584" i="52"/>
  <c r="R613" i="52"/>
  <c r="AJ613" i="52"/>
  <c r="AO584" i="52"/>
  <c r="AO179" i="52"/>
  <c r="Y208" i="52"/>
  <c r="AK208" i="52"/>
  <c r="Y231" i="52"/>
  <c r="AK231" i="52"/>
  <c r="Y254" i="52"/>
  <c r="AK254" i="52"/>
  <c r="AP208" i="52"/>
  <c r="Y283" i="52"/>
  <c r="AK283" i="52"/>
  <c r="Y306" i="52"/>
  <c r="AK306" i="52"/>
  <c r="Y329" i="52"/>
  <c r="AK329" i="52"/>
  <c r="AP283" i="52"/>
  <c r="Y359" i="52"/>
  <c r="AK359" i="52"/>
  <c r="Y383" i="52"/>
  <c r="AK383" i="52"/>
  <c r="Y407" i="52"/>
  <c r="U407" i="52"/>
  <c r="AK407" i="52"/>
  <c r="Y430" i="52"/>
  <c r="U430" i="52"/>
  <c r="AK430" i="52"/>
  <c r="AP359" i="52"/>
  <c r="Y459" i="52"/>
  <c r="AK459" i="52"/>
  <c r="Y482" i="52"/>
  <c r="AK482" i="52"/>
  <c r="Y505" i="52"/>
  <c r="AK505" i="52"/>
  <c r="Y528" i="52"/>
  <c r="AK528" i="52"/>
  <c r="Y552" i="52"/>
  <c r="AK552" i="52"/>
  <c r="AP459" i="52"/>
  <c r="AP179" i="52"/>
  <c r="AC208" i="52"/>
  <c r="AL208" i="52"/>
  <c r="AC231" i="52"/>
  <c r="AL231" i="52"/>
  <c r="AC254" i="52"/>
  <c r="AL254" i="52"/>
  <c r="AQ208" i="52"/>
  <c r="AC283" i="52"/>
  <c r="AL283" i="52"/>
  <c r="AC306" i="52"/>
  <c r="AL306" i="52"/>
  <c r="AC329" i="52"/>
  <c r="AL329" i="52"/>
  <c r="AQ283" i="52"/>
  <c r="AC359" i="52"/>
  <c r="AL359" i="52"/>
  <c r="AC383" i="52"/>
  <c r="AL383" i="52"/>
  <c r="AC407" i="52"/>
  <c r="AL407" i="52"/>
  <c r="AC430" i="52"/>
  <c r="AL430" i="52"/>
  <c r="AQ359" i="52"/>
  <c r="AC459" i="52"/>
  <c r="AL459" i="52"/>
  <c r="AC482" i="52"/>
  <c r="AL482" i="52"/>
  <c r="AC505" i="52"/>
  <c r="AL505" i="52"/>
  <c r="AC528" i="52"/>
  <c r="AL528" i="52"/>
  <c r="U552" i="51"/>
  <c r="W552" i="51"/>
  <c r="AC552" i="52"/>
  <c r="AL552" i="52"/>
  <c r="AQ459" i="52"/>
  <c r="AC584" i="52"/>
  <c r="AL584" i="52"/>
  <c r="AC613" i="52"/>
  <c r="AL613" i="52"/>
  <c r="AC642" i="52"/>
  <c r="Y642" i="52"/>
  <c r="AL642" i="52"/>
  <c r="AQ584" i="52"/>
  <c r="AQ179" i="52"/>
  <c r="AN209" i="52"/>
  <c r="AN284" i="52"/>
  <c r="AI408" i="52"/>
  <c r="AI431" i="52"/>
  <c r="AN360" i="52"/>
  <c r="AN460" i="52"/>
  <c r="AN585" i="52"/>
  <c r="AN180" i="52"/>
  <c r="U209" i="52"/>
  <c r="R209" i="52"/>
  <c r="AJ209" i="52"/>
  <c r="U232" i="52"/>
  <c r="R232" i="52"/>
  <c r="AJ232" i="52"/>
  <c r="U255" i="52"/>
  <c r="H245" i="51"/>
  <c r="R255" i="52"/>
  <c r="AJ255" i="52"/>
  <c r="AO209" i="52"/>
  <c r="U284" i="52"/>
  <c r="R284" i="52"/>
  <c r="AJ284" i="52"/>
  <c r="U307" i="52"/>
  <c r="R307" i="52"/>
  <c r="AJ307" i="52"/>
  <c r="U330" i="52"/>
  <c r="H320" i="51"/>
  <c r="R330" i="52"/>
  <c r="AJ330" i="52"/>
  <c r="AO284" i="52"/>
  <c r="U360" i="52"/>
  <c r="H350" i="51"/>
  <c r="I350" i="51"/>
  <c r="J350" i="51"/>
  <c r="K350" i="51"/>
  <c r="R360" i="52"/>
  <c r="AJ360" i="52"/>
  <c r="U384" i="52"/>
  <c r="R384" i="52"/>
  <c r="AJ384" i="52"/>
  <c r="AO360" i="52"/>
  <c r="U460" i="52"/>
  <c r="R460" i="52"/>
  <c r="AJ460" i="52"/>
  <c r="U483" i="52"/>
  <c r="R483" i="52"/>
  <c r="AJ483" i="52"/>
  <c r="U506" i="52"/>
  <c r="R506" i="52"/>
  <c r="AJ506" i="52"/>
  <c r="U529" i="52"/>
  <c r="R529" i="52"/>
  <c r="AJ529" i="52"/>
  <c r="U553" i="52"/>
  <c r="H543" i="51"/>
  <c r="J543" i="51"/>
  <c r="R553" i="52"/>
  <c r="AJ553" i="52"/>
  <c r="AO460" i="52"/>
  <c r="R585" i="52"/>
  <c r="AJ585" i="52"/>
  <c r="R614" i="52"/>
  <c r="AJ614" i="52"/>
  <c r="AO585" i="52"/>
  <c r="AO180" i="52"/>
  <c r="Y209" i="52"/>
  <c r="AK209" i="52"/>
  <c r="Y232" i="52"/>
  <c r="AK232" i="52"/>
  <c r="Y255" i="52"/>
  <c r="AK255" i="52"/>
  <c r="AP209" i="52"/>
  <c r="Y284" i="52"/>
  <c r="AK284" i="52"/>
  <c r="Y307" i="52"/>
  <c r="AK307" i="52"/>
  <c r="Y330" i="52"/>
  <c r="AK330" i="52"/>
  <c r="AP284" i="52"/>
  <c r="Y360" i="52"/>
  <c r="AK360" i="52"/>
  <c r="Y384" i="52"/>
  <c r="AK384" i="52"/>
  <c r="Y408" i="52"/>
  <c r="U408" i="52"/>
  <c r="AK408" i="52"/>
  <c r="Y431" i="52"/>
  <c r="U431" i="52"/>
  <c r="AK431" i="52"/>
  <c r="AP360" i="52"/>
  <c r="Y460" i="52"/>
  <c r="AK460" i="52"/>
  <c r="Y483" i="52"/>
  <c r="AK483" i="52"/>
  <c r="Y506" i="52"/>
  <c r="AK506" i="52"/>
  <c r="Y529" i="52"/>
  <c r="AK529" i="52"/>
  <c r="Y553" i="52"/>
  <c r="AK553" i="52"/>
  <c r="AP460" i="52"/>
  <c r="AP180" i="52"/>
  <c r="AC209" i="52"/>
  <c r="AL209" i="52"/>
  <c r="AC232" i="52"/>
  <c r="AL232" i="52"/>
  <c r="AC255" i="52"/>
  <c r="AL255" i="52"/>
  <c r="AQ209" i="52"/>
  <c r="AC284" i="52"/>
  <c r="AL284" i="52"/>
  <c r="AC307" i="52"/>
  <c r="AL307" i="52"/>
  <c r="AC330" i="52"/>
  <c r="AL330" i="52"/>
  <c r="AQ284" i="52"/>
  <c r="AC360" i="52"/>
  <c r="AL360" i="52"/>
  <c r="AC384" i="52"/>
  <c r="AL384" i="52"/>
  <c r="AC408" i="52"/>
  <c r="AL408" i="52"/>
  <c r="AC431" i="52"/>
  <c r="AL431" i="52"/>
  <c r="AQ360" i="52"/>
  <c r="AC460" i="52"/>
  <c r="AL460" i="52"/>
  <c r="AC483" i="52"/>
  <c r="AL483" i="52"/>
  <c r="AC506" i="52"/>
  <c r="AL506" i="52"/>
  <c r="AC529" i="52"/>
  <c r="AL529" i="52"/>
  <c r="U553" i="51"/>
  <c r="W553" i="51"/>
  <c r="AC553" i="52"/>
  <c r="AL553" i="52"/>
  <c r="AQ460" i="52"/>
  <c r="AC585" i="52"/>
  <c r="AL585" i="52"/>
  <c r="AC614" i="52"/>
  <c r="AL614" i="52"/>
  <c r="AC643" i="52"/>
  <c r="Y643" i="52"/>
  <c r="AL643" i="52"/>
  <c r="AQ585" i="52"/>
  <c r="AQ180" i="52"/>
  <c r="AN210" i="52"/>
  <c r="AN285" i="52"/>
  <c r="AI409" i="52"/>
  <c r="AI432" i="52"/>
  <c r="AN361" i="52"/>
  <c r="AN461" i="52"/>
  <c r="AN586" i="52"/>
  <c r="AN181" i="52"/>
  <c r="U210" i="52"/>
  <c r="R210" i="52"/>
  <c r="AJ210" i="52"/>
  <c r="U233" i="52"/>
  <c r="R233" i="52"/>
  <c r="AJ233" i="52"/>
  <c r="U256" i="52"/>
  <c r="H246" i="51"/>
  <c r="R256" i="52"/>
  <c r="AJ256" i="52"/>
  <c r="AO210" i="52"/>
  <c r="U285" i="52"/>
  <c r="R285" i="52"/>
  <c r="AJ285" i="52"/>
  <c r="U308" i="52"/>
  <c r="R308" i="52"/>
  <c r="AJ308" i="52"/>
  <c r="U331" i="52"/>
  <c r="H321" i="51"/>
  <c r="R331" i="52"/>
  <c r="AJ331" i="52"/>
  <c r="AO285" i="52"/>
  <c r="U361" i="52"/>
  <c r="H351" i="51"/>
  <c r="I351" i="51"/>
  <c r="J351" i="51"/>
  <c r="K351" i="51"/>
  <c r="R361" i="52"/>
  <c r="AJ361" i="52"/>
  <c r="U385" i="52"/>
  <c r="R385" i="52"/>
  <c r="AJ385" i="52"/>
  <c r="AO361" i="52"/>
  <c r="U461" i="52"/>
  <c r="R461" i="52"/>
  <c r="AJ461" i="52"/>
  <c r="U484" i="52"/>
  <c r="R484" i="52"/>
  <c r="AJ484" i="52"/>
  <c r="U507" i="52"/>
  <c r="R507" i="52"/>
  <c r="AJ507" i="52"/>
  <c r="U530" i="52"/>
  <c r="R530" i="52"/>
  <c r="AJ530" i="52"/>
  <c r="U554" i="52"/>
  <c r="H544" i="51"/>
  <c r="J544" i="51"/>
  <c r="R554" i="52"/>
  <c r="AJ554" i="52"/>
  <c r="AO461" i="52"/>
  <c r="R586" i="52"/>
  <c r="AJ586" i="52"/>
  <c r="R615" i="52"/>
  <c r="AJ615" i="52"/>
  <c r="AO586" i="52"/>
  <c r="AO181" i="52"/>
  <c r="Y210" i="52"/>
  <c r="AK210" i="52"/>
  <c r="Y233" i="52"/>
  <c r="AK233" i="52"/>
  <c r="Y256" i="52"/>
  <c r="AK256" i="52"/>
  <c r="AP210" i="52"/>
  <c r="Y285" i="52"/>
  <c r="AK285" i="52"/>
  <c r="Y308" i="52"/>
  <c r="AK308" i="52"/>
  <c r="Y331" i="52"/>
  <c r="AK331" i="52"/>
  <c r="AP285" i="52"/>
  <c r="Y361" i="52"/>
  <c r="AK361" i="52"/>
  <c r="Y385" i="52"/>
  <c r="AK385" i="52"/>
  <c r="Y409" i="52"/>
  <c r="U409" i="52"/>
  <c r="AK409" i="52"/>
  <c r="Y432" i="52"/>
  <c r="U432" i="52"/>
  <c r="AK432" i="52"/>
  <c r="AP361" i="52"/>
  <c r="Y461" i="52"/>
  <c r="AK461" i="52"/>
  <c r="Y484" i="52"/>
  <c r="AK484" i="52"/>
  <c r="Y507" i="52"/>
  <c r="AK507" i="52"/>
  <c r="Y530" i="52"/>
  <c r="AK530" i="52"/>
  <c r="Y554" i="52"/>
  <c r="AK554" i="52"/>
  <c r="AP461" i="52"/>
  <c r="AP181" i="52"/>
  <c r="AC210" i="52"/>
  <c r="AL210" i="52"/>
  <c r="AC233" i="52"/>
  <c r="AL233" i="52"/>
  <c r="AC256" i="52"/>
  <c r="AL256" i="52"/>
  <c r="AQ210" i="52"/>
  <c r="AC285" i="52"/>
  <c r="AL285" i="52"/>
  <c r="AC308" i="52"/>
  <c r="AL308" i="52"/>
  <c r="AC331" i="52"/>
  <c r="AL331" i="52"/>
  <c r="AQ285" i="52"/>
  <c r="AC361" i="52"/>
  <c r="AL361" i="52"/>
  <c r="AC385" i="52"/>
  <c r="AL385" i="52"/>
  <c r="AC409" i="52"/>
  <c r="AL409" i="52"/>
  <c r="AC432" i="52"/>
  <c r="AL432" i="52"/>
  <c r="AQ361" i="52"/>
  <c r="AC461" i="52"/>
  <c r="AL461" i="52"/>
  <c r="AC484" i="52"/>
  <c r="AL484" i="52"/>
  <c r="AC507" i="52"/>
  <c r="AL507" i="52"/>
  <c r="AC530" i="52"/>
  <c r="AL530" i="52"/>
  <c r="U554" i="51"/>
  <c r="W554" i="51"/>
  <c r="AC554" i="52"/>
  <c r="AL554" i="52"/>
  <c r="AQ461" i="52"/>
  <c r="AC586" i="52"/>
  <c r="AL586" i="52"/>
  <c r="AC615" i="52"/>
  <c r="AL615" i="52"/>
  <c r="AC644" i="52"/>
  <c r="Y644" i="52"/>
  <c r="AL644" i="52"/>
  <c r="AQ586" i="52"/>
  <c r="AQ181" i="52"/>
  <c r="AI211" i="52"/>
  <c r="AI234" i="52"/>
  <c r="AI257" i="52"/>
  <c r="AN211" i="52"/>
  <c r="AI286" i="52"/>
  <c r="AI309" i="52"/>
  <c r="AI332" i="52"/>
  <c r="AN286" i="52"/>
  <c r="AI362" i="52"/>
  <c r="AI386" i="52"/>
  <c r="AI410" i="52"/>
  <c r="AI433" i="52"/>
  <c r="AN362" i="52"/>
  <c r="AI462" i="52"/>
  <c r="AI485" i="52"/>
  <c r="AI508" i="52"/>
  <c r="AI531" i="52"/>
  <c r="AI555" i="52"/>
  <c r="AN462" i="52"/>
  <c r="AI587" i="52"/>
  <c r="AI616" i="52"/>
  <c r="AN587" i="52"/>
  <c r="AN182" i="52"/>
  <c r="AJ211" i="52"/>
  <c r="AJ234" i="52"/>
  <c r="AJ257" i="52"/>
  <c r="AO211" i="52"/>
  <c r="AJ286" i="52"/>
  <c r="AJ309" i="52"/>
  <c r="AJ332" i="52"/>
  <c r="AO286" i="52"/>
  <c r="AJ362" i="52"/>
  <c r="AJ386" i="52"/>
  <c r="AJ410" i="52"/>
  <c r="AJ433" i="52"/>
  <c r="AO362" i="52"/>
  <c r="AJ462" i="52"/>
  <c r="AJ485" i="52"/>
  <c r="AJ508" i="52"/>
  <c r="AJ531" i="52"/>
  <c r="AJ555" i="52"/>
  <c r="AO462" i="52"/>
  <c r="AJ587" i="52"/>
  <c r="AJ616" i="52"/>
  <c r="AO587" i="52"/>
  <c r="AO182" i="52"/>
  <c r="P201" i="51"/>
  <c r="Y211" i="52"/>
  <c r="AK211" i="52"/>
  <c r="P224" i="51"/>
  <c r="Y234" i="52"/>
  <c r="AK234" i="52"/>
  <c r="P247" i="51"/>
  <c r="Y257" i="52"/>
  <c r="AK257" i="52"/>
  <c r="AP211" i="52"/>
  <c r="P276" i="51"/>
  <c r="Y286" i="52"/>
  <c r="AK286" i="52"/>
  <c r="P299" i="51"/>
  <c r="Y309" i="52"/>
  <c r="AK309" i="52"/>
  <c r="P322" i="51"/>
  <c r="Y332" i="52"/>
  <c r="AK332" i="52"/>
  <c r="AP286" i="52"/>
  <c r="P352" i="51"/>
  <c r="Q352" i="51"/>
  <c r="R352" i="51"/>
  <c r="S352" i="51"/>
  <c r="Y362" i="52"/>
  <c r="AK362" i="52"/>
  <c r="P376" i="51"/>
  <c r="Q376" i="51"/>
  <c r="R376" i="51"/>
  <c r="S376" i="51"/>
  <c r="Y386" i="52"/>
  <c r="AK386" i="52"/>
  <c r="P400" i="51"/>
  <c r="R400" i="51"/>
  <c r="Y410" i="52"/>
  <c r="AK410" i="52"/>
  <c r="P423" i="51"/>
  <c r="Y433" i="52"/>
  <c r="AK433" i="52"/>
  <c r="AP362" i="52"/>
  <c r="P452" i="51"/>
  <c r="Y462" i="52"/>
  <c r="AK462" i="52"/>
  <c r="P475" i="51"/>
  <c r="Y485" i="52"/>
  <c r="AK485" i="52"/>
  <c r="P498" i="51"/>
  <c r="Y508" i="52"/>
  <c r="AK508" i="52"/>
  <c r="P521" i="51"/>
  <c r="Y531" i="52"/>
  <c r="AK531" i="52"/>
  <c r="P545" i="51"/>
  <c r="R545" i="51"/>
  <c r="Y555" i="52"/>
  <c r="AK555" i="52"/>
  <c r="AP462" i="52"/>
  <c r="AP182" i="52"/>
  <c r="T201" i="51"/>
  <c r="T211" i="51"/>
  <c r="AC211" i="52"/>
  <c r="AL211" i="52"/>
  <c r="T224" i="51"/>
  <c r="T234" i="51"/>
  <c r="AC234" i="52"/>
  <c r="AL234" i="52"/>
  <c r="T247" i="51"/>
  <c r="T257" i="51"/>
  <c r="AC257" i="52"/>
  <c r="AL257" i="52"/>
  <c r="AQ211" i="52"/>
  <c r="T276" i="51"/>
  <c r="T286" i="51"/>
  <c r="AC286" i="52"/>
  <c r="AL286" i="52"/>
  <c r="T299" i="51"/>
  <c r="T309" i="51"/>
  <c r="AC309" i="52"/>
  <c r="AL309" i="52"/>
  <c r="T322" i="51"/>
  <c r="T332" i="51"/>
  <c r="AC332" i="52"/>
  <c r="AL332" i="52"/>
  <c r="AQ286" i="52"/>
  <c r="T352" i="51"/>
  <c r="T362" i="51"/>
  <c r="U352" i="51"/>
  <c r="U362" i="51"/>
  <c r="V352" i="51"/>
  <c r="V362" i="51"/>
  <c r="W352" i="51"/>
  <c r="W362" i="51"/>
  <c r="AC362" i="52"/>
  <c r="AL362" i="52"/>
  <c r="T376" i="51"/>
  <c r="T386" i="51"/>
  <c r="U376" i="51"/>
  <c r="U386" i="51"/>
  <c r="V376" i="51"/>
  <c r="V386" i="51"/>
  <c r="W376" i="51"/>
  <c r="W386" i="51"/>
  <c r="AC386" i="52"/>
  <c r="AL386" i="52"/>
  <c r="T400" i="51"/>
  <c r="T410" i="51"/>
  <c r="U400" i="51"/>
  <c r="U410" i="51"/>
  <c r="V400" i="51"/>
  <c r="V410" i="51"/>
  <c r="W400" i="51"/>
  <c r="W410" i="51"/>
  <c r="AC410" i="52"/>
  <c r="AL410" i="52"/>
  <c r="T423" i="51"/>
  <c r="T433" i="51"/>
  <c r="AC433" i="52"/>
  <c r="AL433" i="52"/>
  <c r="AQ362" i="52"/>
  <c r="T452" i="51"/>
  <c r="T462" i="51"/>
  <c r="AC462" i="52"/>
  <c r="AL462" i="52"/>
  <c r="T475" i="51"/>
  <c r="T485" i="51"/>
  <c r="AC485" i="52"/>
  <c r="AL485" i="52"/>
  <c r="T498" i="51"/>
  <c r="T508" i="51"/>
  <c r="AC508" i="52"/>
  <c r="AL508" i="52"/>
  <c r="T521" i="51"/>
  <c r="T531" i="51"/>
  <c r="AC531" i="52"/>
  <c r="AL531" i="52"/>
  <c r="T545" i="51"/>
  <c r="T555" i="51"/>
  <c r="U545" i="51"/>
  <c r="U555" i="51"/>
  <c r="V545" i="51"/>
  <c r="V555" i="51"/>
  <c r="W545" i="51"/>
  <c r="W555" i="51"/>
  <c r="AC555" i="52"/>
  <c r="AL555" i="52"/>
  <c r="AQ462" i="52"/>
  <c r="P574" i="51"/>
  <c r="T574" i="51"/>
  <c r="T586" i="51"/>
  <c r="Q574" i="51"/>
  <c r="U574" i="51"/>
  <c r="U586" i="51"/>
  <c r="R574" i="51"/>
  <c r="V574" i="51"/>
  <c r="V586" i="51"/>
  <c r="S574" i="51"/>
  <c r="W574" i="51"/>
  <c r="W586" i="51"/>
  <c r="AC587" i="52"/>
  <c r="AL587" i="52"/>
  <c r="P601" i="51"/>
  <c r="T601" i="51"/>
  <c r="T613" i="51"/>
  <c r="Q601" i="51"/>
  <c r="U601" i="51"/>
  <c r="U613" i="51"/>
  <c r="R601" i="51"/>
  <c r="V601" i="51"/>
  <c r="V613" i="51"/>
  <c r="S601" i="51"/>
  <c r="W601" i="51"/>
  <c r="W613" i="51"/>
  <c r="AC616" i="52"/>
  <c r="AL616" i="52"/>
  <c r="P628" i="51"/>
  <c r="T628" i="51"/>
  <c r="T640" i="51"/>
  <c r="Q628" i="51"/>
  <c r="U628" i="51"/>
  <c r="U640" i="51"/>
  <c r="R628" i="51"/>
  <c r="V628" i="51"/>
  <c r="V640" i="51"/>
  <c r="S628" i="51"/>
  <c r="W628" i="51"/>
  <c r="W640" i="51"/>
  <c r="AC645" i="52"/>
  <c r="Y645" i="52"/>
  <c r="AL645" i="52"/>
  <c r="AQ587" i="52"/>
  <c r="AQ182" i="52"/>
  <c r="AI212" i="52"/>
  <c r="AI235" i="52"/>
  <c r="AI258" i="52"/>
  <c r="AN212" i="52"/>
  <c r="AI287" i="52"/>
  <c r="AI310" i="52"/>
  <c r="AI333" i="52"/>
  <c r="AN287" i="52"/>
  <c r="AI363" i="52"/>
  <c r="AI387" i="52"/>
  <c r="AI411" i="52"/>
  <c r="AI434" i="52"/>
  <c r="AN363" i="52"/>
  <c r="AI463" i="52"/>
  <c r="AI486" i="52"/>
  <c r="AI509" i="52"/>
  <c r="AI532" i="52"/>
  <c r="AI556" i="52"/>
  <c r="AN463" i="52"/>
  <c r="AI588" i="52"/>
  <c r="AI617" i="52"/>
  <c r="AN588" i="52"/>
  <c r="AN183" i="52"/>
  <c r="AJ212" i="52"/>
  <c r="AJ235" i="52"/>
  <c r="AJ258" i="52"/>
  <c r="AO212" i="52"/>
  <c r="AJ287" i="52"/>
  <c r="AJ310" i="52"/>
  <c r="AJ333" i="52"/>
  <c r="AO287" i="52"/>
  <c r="AJ363" i="52"/>
  <c r="AJ387" i="52"/>
  <c r="AJ411" i="52"/>
  <c r="AJ434" i="52"/>
  <c r="AO363" i="52"/>
  <c r="AJ463" i="52"/>
  <c r="AJ486" i="52"/>
  <c r="AJ509" i="52"/>
  <c r="AJ532" i="52"/>
  <c r="AJ556" i="52"/>
  <c r="AO463" i="52"/>
  <c r="AJ588" i="52"/>
  <c r="AJ617" i="52"/>
  <c r="AO588" i="52"/>
  <c r="AO183" i="52"/>
  <c r="P202" i="51"/>
  <c r="Y212" i="52"/>
  <c r="AK212" i="52"/>
  <c r="P225" i="51"/>
  <c r="Y235" i="52"/>
  <c r="AK235" i="52"/>
  <c r="P248" i="51"/>
  <c r="Y258" i="52"/>
  <c r="AK258" i="52"/>
  <c r="AP212" i="52"/>
  <c r="P277" i="51"/>
  <c r="Y287" i="52"/>
  <c r="AK287" i="52"/>
  <c r="P300" i="51"/>
  <c r="Y310" i="52"/>
  <c r="AK310" i="52"/>
  <c r="P323" i="51"/>
  <c r="Y333" i="52"/>
  <c r="AK333" i="52"/>
  <c r="AP287" i="52"/>
  <c r="P353" i="51"/>
  <c r="Q353" i="51"/>
  <c r="R353" i="51"/>
  <c r="S353" i="51"/>
  <c r="Y363" i="52"/>
  <c r="AK363" i="52"/>
  <c r="P377" i="51"/>
  <c r="Q377" i="51"/>
  <c r="R377" i="51"/>
  <c r="S377" i="51"/>
  <c r="Y387" i="52"/>
  <c r="AK387" i="52"/>
  <c r="P401" i="51"/>
  <c r="R401" i="51"/>
  <c r="Y411" i="52"/>
  <c r="AK411" i="52"/>
  <c r="P424" i="51"/>
  <c r="Y434" i="52"/>
  <c r="AK434" i="52"/>
  <c r="AP363" i="52"/>
  <c r="P453" i="51"/>
  <c r="Y463" i="52"/>
  <c r="AK463" i="52"/>
  <c r="P476" i="51"/>
  <c r="Y486" i="52"/>
  <c r="AK486" i="52"/>
  <c r="P499" i="51"/>
  <c r="Y509" i="52"/>
  <c r="AK509" i="52"/>
  <c r="P522" i="51"/>
  <c r="Y532" i="52"/>
  <c r="AK532" i="52"/>
  <c r="P546" i="51"/>
  <c r="R546" i="51"/>
  <c r="Y556" i="52"/>
  <c r="AK556" i="52"/>
  <c r="AP463" i="52"/>
  <c r="AP183" i="52"/>
  <c r="T202" i="51"/>
  <c r="T212" i="51"/>
  <c r="AC212" i="52"/>
  <c r="AL212" i="52"/>
  <c r="T225" i="51"/>
  <c r="T235" i="51"/>
  <c r="AC235" i="52"/>
  <c r="AL235" i="52"/>
  <c r="T248" i="51"/>
  <c r="T258" i="51"/>
  <c r="AC258" i="52"/>
  <c r="AL258" i="52"/>
  <c r="AQ212" i="52"/>
  <c r="T277" i="51"/>
  <c r="T287" i="51"/>
  <c r="AC287" i="52"/>
  <c r="AL287" i="52"/>
  <c r="T300" i="51"/>
  <c r="T310" i="51"/>
  <c r="AC310" i="52"/>
  <c r="AL310" i="52"/>
  <c r="T323" i="51"/>
  <c r="T333" i="51"/>
  <c r="AC333" i="52"/>
  <c r="AL333" i="52"/>
  <c r="AQ287" i="52"/>
  <c r="T353" i="51"/>
  <c r="T363" i="51"/>
  <c r="U353" i="51"/>
  <c r="U363" i="51"/>
  <c r="V353" i="51"/>
  <c r="V363" i="51"/>
  <c r="W353" i="51"/>
  <c r="W363" i="51"/>
  <c r="AC363" i="52"/>
  <c r="AL363" i="52"/>
  <c r="T377" i="51"/>
  <c r="T387" i="51"/>
  <c r="U377" i="51"/>
  <c r="U387" i="51"/>
  <c r="V377" i="51"/>
  <c r="V387" i="51"/>
  <c r="W377" i="51"/>
  <c r="W387" i="51"/>
  <c r="AC387" i="52"/>
  <c r="AL387" i="52"/>
  <c r="T401" i="51"/>
  <c r="T411" i="51"/>
  <c r="U401" i="51"/>
  <c r="U411" i="51"/>
  <c r="V401" i="51"/>
  <c r="V411" i="51"/>
  <c r="W401" i="51"/>
  <c r="W411" i="51"/>
  <c r="AC411" i="52"/>
  <c r="AL411" i="52"/>
  <c r="T424" i="51"/>
  <c r="T434" i="51"/>
  <c r="AC434" i="52"/>
  <c r="AL434" i="52"/>
  <c r="AQ363" i="52"/>
  <c r="T453" i="51"/>
  <c r="T463" i="51"/>
  <c r="AC463" i="52"/>
  <c r="AL463" i="52"/>
  <c r="T476" i="51"/>
  <c r="T486" i="51"/>
  <c r="AC486" i="52"/>
  <c r="AL486" i="52"/>
  <c r="T499" i="51"/>
  <c r="T509" i="51"/>
  <c r="AC509" i="52"/>
  <c r="AL509" i="52"/>
  <c r="T522" i="51"/>
  <c r="T532" i="51"/>
  <c r="AC532" i="52"/>
  <c r="AL532" i="52"/>
  <c r="T546" i="51"/>
  <c r="T556" i="51"/>
  <c r="U546" i="51"/>
  <c r="U556" i="51"/>
  <c r="V546" i="51"/>
  <c r="V556" i="51"/>
  <c r="W546" i="51"/>
  <c r="W556" i="51"/>
  <c r="AC556" i="52"/>
  <c r="AL556" i="52"/>
  <c r="AQ463" i="52"/>
  <c r="P575" i="51"/>
  <c r="T575" i="51"/>
  <c r="T587" i="51"/>
  <c r="Q575" i="51"/>
  <c r="U575" i="51"/>
  <c r="U587" i="51"/>
  <c r="R575" i="51"/>
  <c r="V575" i="51"/>
  <c r="V587" i="51"/>
  <c r="S575" i="51"/>
  <c r="W575" i="51"/>
  <c r="W587" i="51"/>
  <c r="AC588" i="52"/>
  <c r="AL588" i="52"/>
  <c r="P602" i="51"/>
  <c r="T602" i="51"/>
  <c r="T614" i="51"/>
  <c r="Q602" i="51"/>
  <c r="U602" i="51"/>
  <c r="U614" i="51"/>
  <c r="R602" i="51"/>
  <c r="V602" i="51"/>
  <c r="V614" i="51"/>
  <c r="S602" i="51"/>
  <c r="W602" i="51"/>
  <c r="W614" i="51"/>
  <c r="AC617" i="52"/>
  <c r="AL617" i="52"/>
  <c r="P629" i="51"/>
  <c r="T629" i="51"/>
  <c r="T641" i="51"/>
  <c r="Q629" i="51"/>
  <c r="U629" i="51"/>
  <c r="U641" i="51"/>
  <c r="R629" i="51"/>
  <c r="V629" i="51"/>
  <c r="V641" i="51"/>
  <c r="S629" i="51"/>
  <c r="W629" i="51"/>
  <c r="W641" i="51"/>
  <c r="AC646" i="52"/>
  <c r="Y646" i="52"/>
  <c r="AL646" i="52"/>
  <c r="AQ588" i="52"/>
  <c r="AQ183" i="52"/>
  <c r="U203" i="52"/>
  <c r="O203" i="52"/>
  <c r="AJ203" i="52"/>
  <c r="U226" i="52"/>
  <c r="O226" i="52"/>
  <c r="AJ226" i="52"/>
  <c r="U249" i="52"/>
  <c r="H239" i="51"/>
  <c r="O249" i="52"/>
  <c r="AJ249" i="52"/>
  <c r="AO203" i="52"/>
  <c r="U278" i="52"/>
  <c r="O278" i="52"/>
  <c r="AJ278" i="52"/>
  <c r="U301" i="52"/>
  <c r="O301" i="52"/>
  <c r="AJ301" i="52"/>
  <c r="U324" i="52"/>
  <c r="H314" i="51"/>
  <c r="O324" i="52"/>
  <c r="AJ324" i="52"/>
  <c r="AO278" i="52"/>
  <c r="U354" i="52"/>
  <c r="O354" i="52"/>
  <c r="AJ354" i="52"/>
  <c r="U378" i="52"/>
  <c r="O378" i="52"/>
  <c r="AJ378" i="52"/>
  <c r="U402" i="52"/>
  <c r="AJ402" i="52"/>
  <c r="U425" i="52"/>
  <c r="AJ425" i="52"/>
  <c r="AO354" i="52"/>
  <c r="U454" i="52"/>
  <c r="O454" i="52"/>
  <c r="AJ454" i="52"/>
  <c r="U477" i="52"/>
  <c r="O477" i="52"/>
  <c r="AJ477" i="52"/>
  <c r="U500" i="52"/>
  <c r="O500" i="52"/>
  <c r="AJ500" i="52"/>
  <c r="U523" i="52"/>
  <c r="O523" i="52"/>
  <c r="AJ523" i="52"/>
  <c r="U547" i="52"/>
  <c r="O547" i="52"/>
  <c r="AJ547" i="52"/>
  <c r="AO454" i="52"/>
  <c r="O579" i="52"/>
  <c r="AJ579" i="52"/>
  <c r="O608" i="52"/>
  <c r="AJ608" i="52"/>
  <c r="AO579" i="52"/>
  <c r="AO174" i="52"/>
  <c r="Y203" i="52"/>
  <c r="AK203" i="52"/>
  <c r="Y226" i="52"/>
  <c r="AK226" i="52"/>
  <c r="Y249" i="52"/>
  <c r="AK249" i="52"/>
  <c r="AP203" i="52"/>
  <c r="Y278" i="52"/>
  <c r="AK278" i="52"/>
  <c r="Y301" i="52"/>
  <c r="AK301" i="52"/>
  <c r="Y324" i="52"/>
  <c r="AK324" i="52"/>
  <c r="AP278" i="52"/>
  <c r="Y354" i="52"/>
  <c r="AK354" i="52"/>
  <c r="Y378" i="52"/>
  <c r="AK378" i="52"/>
  <c r="Y402" i="52"/>
  <c r="AK402" i="52"/>
  <c r="Y425" i="52"/>
  <c r="AK425" i="52"/>
  <c r="AP354" i="52"/>
  <c r="Y454" i="52"/>
  <c r="AK454" i="52"/>
  <c r="Y477" i="52"/>
  <c r="AK477" i="52"/>
  <c r="Y500" i="52"/>
  <c r="AK500" i="52"/>
  <c r="Y523" i="52"/>
  <c r="AK523" i="52"/>
  <c r="Y547" i="52"/>
  <c r="AK547" i="52"/>
  <c r="AP454" i="52"/>
  <c r="AP174" i="52"/>
  <c r="AC203" i="52"/>
  <c r="AL203" i="52"/>
  <c r="AC226" i="52"/>
  <c r="AL226" i="52"/>
  <c r="AC249" i="52"/>
  <c r="AL249" i="52"/>
  <c r="AQ203" i="52"/>
  <c r="AC278" i="52"/>
  <c r="AL278" i="52"/>
  <c r="AC301" i="52"/>
  <c r="AL301" i="52"/>
  <c r="AC324" i="52"/>
  <c r="AL324" i="52"/>
  <c r="AQ278" i="52"/>
  <c r="AC354" i="52"/>
  <c r="AL354" i="52"/>
  <c r="AC378" i="52"/>
  <c r="AL378" i="52"/>
  <c r="AC402" i="52"/>
  <c r="AL402" i="52"/>
  <c r="AC425" i="52"/>
  <c r="AL425" i="52"/>
  <c r="AQ354" i="52"/>
  <c r="AC454" i="52"/>
  <c r="AL454" i="52"/>
  <c r="AC477" i="52"/>
  <c r="AL477" i="52"/>
  <c r="AC500" i="52"/>
  <c r="AL500" i="52"/>
  <c r="AC523" i="52"/>
  <c r="AL523" i="52"/>
  <c r="U547" i="51"/>
  <c r="W547" i="51"/>
  <c r="AC547" i="52"/>
  <c r="AL547" i="52"/>
  <c r="AQ454" i="52"/>
  <c r="AC579" i="52"/>
  <c r="AL579" i="52"/>
  <c r="AC608" i="52"/>
  <c r="AL608" i="52"/>
  <c r="AC637" i="52"/>
  <c r="Y637" i="52"/>
  <c r="AL637" i="52"/>
  <c r="AQ579" i="52"/>
  <c r="AQ174" i="52"/>
  <c r="J203" i="52"/>
  <c r="AI203" i="52"/>
  <c r="J226" i="52"/>
  <c r="AI226" i="52"/>
  <c r="D239" i="51"/>
  <c r="J249" i="52"/>
  <c r="AI249" i="52"/>
  <c r="AN203" i="52"/>
  <c r="J278" i="52"/>
  <c r="AI278" i="52"/>
  <c r="J301" i="52"/>
  <c r="AI301" i="52"/>
  <c r="D314" i="51"/>
  <c r="J324" i="52"/>
  <c r="AI324" i="52"/>
  <c r="AN278" i="52"/>
  <c r="J354" i="52"/>
  <c r="AI354" i="52"/>
  <c r="J378" i="52"/>
  <c r="AI378" i="52"/>
  <c r="AI402" i="52"/>
  <c r="AI425" i="52"/>
  <c r="AN354" i="52"/>
  <c r="AI454" i="52"/>
  <c r="AI477" i="52"/>
  <c r="AI500" i="52"/>
  <c r="AI523" i="52"/>
  <c r="AI547" i="52"/>
  <c r="AN454" i="52"/>
  <c r="J579" i="52"/>
  <c r="AI579" i="52"/>
  <c r="J608" i="52"/>
  <c r="AI608" i="52"/>
  <c r="AN579" i="52"/>
  <c r="AN174" i="52"/>
  <c r="AC566" i="52"/>
  <c r="AC595" i="52"/>
  <c r="AC624" i="52"/>
  <c r="AC77" i="53"/>
  <c r="AL77" i="53"/>
  <c r="AC567" i="52"/>
  <c r="AC596" i="52"/>
  <c r="AC625" i="52"/>
  <c r="AC78" i="53"/>
  <c r="AL78" i="53"/>
  <c r="AC568" i="52"/>
  <c r="AC597" i="52"/>
  <c r="AC626" i="52"/>
  <c r="AC79" i="53"/>
  <c r="AL79" i="53"/>
  <c r="AC569" i="52"/>
  <c r="AC598" i="52"/>
  <c r="AC627" i="52"/>
  <c r="AC80" i="53"/>
  <c r="AL80" i="53"/>
  <c r="AC570" i="52"/>
  <c r="AC599" i="52"/>
  <c r="AC628" i="52"/>
  <c r="AC81" i="53"/>
  <c r="AL81" i="53"/>
  <c r="AC571" i="52"/>
  <c r="AC600" i="52"/>
  <c r="AC629" i="52"/>
  <c r="AC82" i="53"/>
  <c r="AL82" i="53"/>
  <c r="AC572" i="52"/>
  <c r="AC601" i="52"/>
  <c r="AC630" i="52"/>
  <c r="AC83" i="53"/>
  <c r="AL83" i="53"/>
  <c r="AC573" i="52"/>
  <c r="AC602" i="52"/>
  <c r="AC631" i="52"/>
  <c r="AC84" i="53"/>
  <c r="AL84" i="53"/>
  <c r="AC574" i="52"/>
  <c r="AC603" i="52"/>
  <c r="AC632" i="52"/>
  <c r="AC85" i="53"/>
  <c r="AL85" i="53"/>
  <c r="AC575" i="52"/>
  <c r="AC604" i="52"/>
  <c r="AC633" i="52"/>
  <c r="AC86" i="53"/>
  <c r="AL86" i="53"/>
  <c r="T588" i="51"/>
  <c r="U588" i="51"/>
  <c r="V588" i="51"/>
  <c r="W588" i="51"/>
  <c r="AC589" i="52"/>
  <c r="AC576" i="52"/>
  <c r="T615" i="51"/>
  <c r="U615" i="51"/>
  <c r="V615" i="51"/>
  <c r="W615" i="51"/>
  <c r="AC618" i="52"/>
  <c r="AC605" i="52"/>
  <c r="T642" i="51"/>
  <c r="U642" i="51"/>
  <c r="V642" i="51"/>
  <c r="W642" i="51"/>
  <c r="AC647" i="52"/>
  <c r="Y647" i="52"/>
  <c r="AC634" i="52"/>
  <c r="AC87" i="53"/>
  <c r="AL87" i="53"/>
  <c r="T589" i="51"/>
  <c r="U589" i="51"/>
  <c r="V589" i="51"/>
  <c r="W589" i="51"/>
  <c r="AC590" i="52"/>
  <c r="AC577" i="52"/>
  <c r="T616" i="51"/>
  <c r="U616" i="51"/>
  <c r="V616" i="51"/>
  <c r="W616" i="51"/>
  <c r="AC619" i="52"/>
  <c r="AC606" i="52"/>
  <c r="T643" i="51"/>
  <c r="U643" i="51"/>
  <c r="V643" i="51"/>
  <c r="W643" i="51"/>
  <c r="AC648" i="52"/>
  <c r="Y648" i="52"/>
  <c r="AC635" i="52"/>
  <c r="AC88" i="53"/>
  <c r="AL88" i="53"/>
  <c r="AL89" i="53"/>
  <c r="Y566" i="52"/>
  <c r="Y595" i="52"/>
  <c r="Y77" i="53"/>
  <c r="AK77" i="53"/>
  <c r="Y567" i="52"/>
  <c r="Y596" i="52"/>
  <c r="Y78" i="53"/>
  <c r="AK78" i="53"/>
  <c r="Y568" i="52"/>
  <c r="Y597" i="52"/>
  <c r="Y79" i="53"/>
  <c r="AK79" i="53"/>
  <c r="Y569" i="52"/>
  <c r="Y598" i="52"/>
  <c r="Y80" i="53"/>
  <c r="AK80" i="53"/>
  <c r="Y570" i="52"/>
  <c r="Y599" i="52"/>
  <c r="Y81" i="53"/>
  <c r="AK81" i="53"/>
  <c r="Y571" i="52"/>
  <c r="Y600" i="52"/>
  <c r="Y82" i="53"/>
  <c r="AK82" i="53"/>
  <c r="Y572" i="52"/>
  <c r="Y601" i="52"/>
  <c r="Y83" i="53"/>
  <c r="AK83" i="53"/>
  <c r="Y573" i="52"/>
  <c r="Y602" i="52"/>
  <c r="Y84" i="53"/>
  <c r="AK84" i="53"/>
  <c r="Y576" i="52"/>
  <c r="Y605" i="52"/>
  <c r="Y87" i="53"/>
  <c r="AK87" i="53"/>
  <c r="AK85" i="53"/>
  <c r="AK86" i="53"/>
  <c r="AK89" i="53"/>
  <c r="U566" i="52"/>
  <c r="U595" i="52"/>
  <c r="U77" i="53"/>
  <c r="AJ77" i="53"/>
  <c r="U567" i="52"/>
  <c r="U596" i="52"/>
  <c r="U78" i="53"/>
  <c r="AJ78" i="53"/>
  <c r="U568" i="52"/>
  <c r="U597" i="52"/>
  <c r="U79" i="53"/>
  <c r="AJ79" i="53"/>
  <c r="U569" i="52"/>
  <c r="U598" i="52"/>
  <c r="U80" i="53"/>
  <c r="AJ80" i="53"/>
  <c r="U570" i="52"/>
  <c r="U599" i="52"/>
  <c r="U81" i="53"/>
  <c r="AJ81" i="53"/>
  <c r="U571" i="52"/>
  <c r="U600" i="52"/>
  <c r="U82" i="53"/>
  <c r="AJ82" i="53"/>
  <c r="U572" i="52"/>
  <c r="U601" i="52"/>
  <c r="U83" i="53"/>
  <c r="AJ83" i="53"/>
  <c r="U573" i="52"/>
  <c r="U602" i="52"/>
  <c r="U84" i="53"/>
  <c r="AJ84" i="53"/>
  <c r="O589" i="52"/>
  <c r="U576" i="52"/>
  <c r="O618" i="52"/>
  <c r="U605" i="52"/>
  <c r="U87" i="53"/>
  <c r="AJ87" i="53"/>
  <c r="AJ85" i="53"/>
  <c r="AJ86" i="53"/>
  <c r="AJ89" i="53"/>
  <c r="O566" i="52"/>
  <c r="O595" i="52"/>
  <c r="O77" i="53"/>
  <c r="AI77" i="53"/>
  <c r="O567" i="52"/>
  <c r="O596" i="52"/>
  <c r="O78" i="53"/>
  <c r="AI78" i="53"/>
  <c r="O568" i="52"/>
  <c r="O597" i="52"/>
  <c r="O79" i="53"/>
  <c r="AI79" i="53"/>
  <c r="O569" i="52"/>
  <c r="O598" i="52"/>
  <c r="O80" i="53"/>
  <c r="AI80" i="53"/>
  <c r="O570" i="52"/>
  <c r="O599" i="52"/>
  <c r="O81" i="53"/>
  <c r="AI81" i="53"/>
  <c r="J589" i="52"/>
  <c r="O576" i="52"/>
  <c r="J618" i="52"/>
  <c r="O605" i="52"/>
  <c r="O87" i="53"/>
  <c r="AI87" i="53"/>
  <c r="AI82" i="53"/>
  <c r="AI83" i="53"/>
  <c r="AI84" i="53"/>
  <c r="AI85" i="53"/>
  <c r="AI86" i="53"/>
  <c r="AI89" i="53"/>
  <c r="AJ589" i="52"/>
  <c r="AJ618" i="52"/>
  <c r="AO589" i="52"/>
  <c r="O590" i="52"/>
  <c r="AJ590" i="52"/>
  <c r="O619" i="52"/>
  <c r="AJ619" i="52"/>
  <c r="AO590" i="52"/>
  <c r="AO574" i="52"/>
  <c r="AI589" i="52"/>
  <c r="AI618" i="52"/>
  <c r="AN589" i="52"/>
  <c r="J590" i="52"/>
  <c r="AI590" i="52"/>
  <c r="J619" i="52"/>
  <c r="AI619" i="52"/>
  <c r="AN590" i="52"/>
  <c r="AN574" i="52"/>
  <c r="AJ574" i="52"/>
  <c r="AJ603" i="52"/>
  <c r="AJ637" i="52"/>
  <c r="AJ638" i="52"/>
  <c r="AJ639" i="52"/>
  <c r="AJ640" i="52"/>
  <c r="AJ641" i="52"/>
  <c r="AJ642" i="52"/>
  <c r="AJ643" i="52"/>
  <c r="AJ644" i="52"/>
  <c r="AJ645" i="52"/>
  <c r="AJ646" i="52"/>
  <c r="AJ647" i="52"/>
  <c r="AJ648" i="52"/>
  <c r="AJ632" i="52"/>
  <c r="AJ628" i="52"/>
  <c r="AJ599" i="52"/>
  <c r="AJ570" i="52"/>
  <c r="AO570" i="52"/>
  <c r="AN570" i="52"/>
  <c r="AL589" i="52"/>
  <c r="AL618" i="52"/>
  <c r="AL647" i="52"/>
  <c r="AQ589" i="52"/>
  <c r="AL590" i="52"/>
  <c r="AL619" i="52"/>
  <c r="AL648" i="52"/>
  <c r="AQ590" i="52"/>
  <c r="AN591" i="52"/>
  <c r="AO591" i="52"/>
  <c r="AP591" i="52"/>
  <c r="AQ591" i="52"/>
  <c r="AI592" i="52"/>
  <c r="AN592" i="52"/>
  <c r="AJ592" i="52"/>
  <c r="AO592" i="52"/>
  <c r="AK592" i="52"/>
  <c r="AP592" i="52"/>
  <c r="AL592" i="52"/>
  <c r="AQ592" i="52"/>
  <c r="AI593" i="52"/>
  <c r="AN593" i="52"/>
  <c r="AJ593" i="52"/>
  <c r="AO593" i="52"/>
  <c r="AK593" i="52"/>
  <c r="AP593" i="52"/>
  <c r="AL593" i="52"/>
  <c r="AQ593" i="52"/>
  <c r="AN350" i="52"/>
  <c r="AJ76" i="53"/>
  <c r="T105" i="51"/>
  <c r="T128" i="51"/>
  <c r="T141" i="51"/>
  <c r="T175" i="51"/>
  <c r="U175" i="51"/>
  <c r="V175" i="51"/>
  <c r="W175" i="51"/>
  <c r="AR95" i="34"/>
  <c r="AP166" i="34"/>
  <c r="T176" i="51"/>
  <c r="V176" i="51"/>
  <c r="AP167" i="34"/>
  <c r="V177" i="51"/>
  <c r="T177" i="51"/>
  <c r="AP168" i="34"/>
  <c r="T178" i="51"/>
  <c r="V178" i="51"/>
  <c r="AP169" i="34"/>
  <c r="T179" i="51"/>
  <c r="V179" i="51"/>
  <c r="AP170" i="34"/>
  <c r="T180" i="51"/>
  <c r="V180" i="51"/>
  <c r="AP171" i="34"/>
  <c r="T181" i="51"/>
  <c r="V181" i="51"/>
  <c r="AP172" i="34"/>
  <c r="T174" i="51"/>
  <c r="V174" i="51"/>
  <c r="AP165" i="34"/>
  <c r="AQ166" i="34"/>
  <c r="AQ167" i="34"/>
  <c r="AQ168" i="34"/>
  <c r="AQ169" i="34"/>
  <c r="AQ170" i="34"/>
  <c r="AQ171" i="34"/>
  <c r="AQ172" i="34"/>
  <c r="AQ165" i="34"/>
  <c r="AQ173" i="34"/>
  <c r="AP173" i="34"/>
  <c r="O194" i="52"/>
  <c r="O217" i="52"/>
  <c r="O240" i="52"/>
  <c r="O30" i="53"/>
  <c r="O269" i="52"/>
  <c r="O292" i="52"/>
  <c r="O315" i="52"/>
  <c r="O42" i="53"/>
  <c r="O345" i="52"/>
  <c r="O369" i="52"/>
  <c r="O54" i="53"/>
  <c r="H455" i="52"/>
  <c r="O445" i="52"/>
  <c r="H478" i="52"/>
  <c r="O468" i="52"/>
  <c r="H501" i="52"/>
  <c r="O491" i="52"/>
  <c r="H524" i="52"/>
  <c r="O514" i="52"/>
  <c r="H548" i="52"/>
  <c r="O538" i="52"/>
  <c r="O66" i="53"/>
  <c r="AN165" i="52"/>
  <c r="U194" i="52"/>
  <c r="U217" i="52"/>
  <c r="U240" i="52"/>
  <c r="U30" i="53"/>
  <c r="U269" i="52"/>
  <c r="U292" i="52"/>
  <c r="U315" i="52"/>
  <c r="U42" i="53"/>
  <c r="U345" i="52"/>
  <c r="U369" i="52"/>
  <c r="U54" i="53"/>
  <c r="U445" i="52"/>
  <c r="U468" i="52"/>
  <c r="U491" i="52"/>
  <c r="U514" i="52"/>
  <c r="U538" i="52"/>
  <c r="U66" i="53"/>
  <c r="AO165" i="52"/>
  <c r="Y194" i="52"/>
  <c r="Y217" i="52"/>
  <c r="Y240" i="52"/>
  <c r="Y30" i="53"/>
  <c r="Y269" i="52"/>
  <c r="Y292" i="52"/>
  <c r="Y315" i="52"/>
  <c r="Y42" i="53"/>
  <c r="Y345" i="52"/>
  <c r="Y369" i="52"/>
  <c r="Y393" i="52"/>
  <c r="Y416" i="52"/>
  <c r="Y54" i="53"/>
  <c r="Y445" i="52"/>
  <c r="Y468" i="52"/>
  <c r="Y491" i="52"/>
  <c r="Y514" i="52"/>
  <c r="Y538" i="52"/>
  <c r="Y66" i="53"/>
  <c r="AP165" i="52"/>
  <c r="AC194" i="52"/>
  <c r="AC217" i="52"/>
  <c r="AC240" i="52"/>
  <c r="AC30" i="53"/>
  <c r="AC269" i="52"/>
  <c r="AC292" i="52"/>
  <c r="AC315" i="52"/>
  <c r="AC42" i="53"/>
  <c r="AC345" i="52"/>
  <c r="AC369" i="52"/>
  <c r="AC393" i="52"/>
  <c r="AC416" i="52"/>
  <c r="AC54" i="53"/>
  <c r="AC445" i="52"/>
  <c r="AC468" i="52"/>
  <c r="AC491" i="52"/>
  <c r="AC514" i="52"/>
  <c r="AC538" i="52"/>
  <c r="AC66" i="53"/>
  <c r="AQ165" i="52"/>
  <c r="O195" i="52"/>
  <c r="O218" i="52"/>
  <c r="O241" i="52"/>
  <c r="O31" i="53"/>
  <c r="O270" i="52"/>
  <c r="O293" i="52"/>
  <c r="O316" i="52"/>
  <c r="O43" i="53"/>
  <c r="O346" i="52"/>
  <c r="O370" i="52"/>
  <c r="O55" i="53"/>
  <c r="H456" i="52"/>
  <c r="O446" i="52"/>
  <c r="H479" i="52"/>
  <c r="O469" i="52"/>
  <c r="H502" i="52"/>
  <c r="O492" i="52"/>
  <c r="H525" i="52"/>
  <c r="O515" i="52"/>
  <c r="H549" i="52"/>
  <c r="O539" i="52"/>
  <c r="O67" i="53"/>
  <c r="AN166" i="52"/>
  <c r="U195" i="52"/>
  <c r="U218" i="52"/>
  <c r="U241" i="52"/>
  <c r="U31" i="53"/>
  <c r="U270" i="52"/>
  <c r="U293" i="52"/>
  <c r="U316" i="52"/>
  <c r="U43" i="53"/>
  <c r="U346" i="52"/>
  <c r="U370" i="52"/>
  <c r="U55" i="53"/>
  <c r="U446" i="52"/>
  <c r="U469" i="52"/>
  <c r="U492" i="52"/>
  <c r="U515" i="52"/>
  <c r="U539" i="52"/>
  <c r="U67" i="53"/>
  <c r="AO166" i="52"/>
  <c r="Y195" i="52"/>
  <c r="Y218" i="52"/>
  <c r="Y241" i="52"/>
  <c r="Y31" i="53"/>
  <c r="Y270" i="52"/>
  <c r="Y293" i="52"/>
  <c r="Y316" i="52"/>
  <c r="Y43" i="53"/>
  <c r="Y346" i="52"/>
  <c r="Y370" i="52"/>
  <c r="Y394" i="52"/>
  <c r="Y417" i="52"/>
  <c r="Y55" i="53"/>
  <c r="Y446" i="52"/>
  <c r="Y469" i="52"/>
  <c r="Y492" i="52"/>
  <c r="Y515" i="52"/>
  <c r="Y539" i="52"/>
  <c r="Y67" i="53"/>
  <c r="AP166" i="52"/>
  <c r="AC195" i="52"/>
  <c r="AC218" i="52"/>
  <c r="AC241" i="52"/>
  <c r="AC31" i="53"/>
  <c r="AC270" i="52"/>
  <c r="AC293" i="52"/>
  <c r="AC316" i="52"/>
  <c r="AC43" i="53"/>
  <c r="AC346" i="52"/>
  <c r="AC370" i="52"/>
  <c r="AC394" i="52"/>
  <c r="AC417" i="52"/>
  <c r="AC55" i="53"/>
  <c r="AC446" i="52"/>
  <c r="AC469" i="52"/>
  <c r="AC492" i="52"/>
  <c r="AC515" i="52"/>
  <c r="AC539" i="52"/>
  <c r="AC67" i="53"/>
  <c r="AQ166" i="52"/>
  <c r="O196" i="52"/>
  <c r="O219" i="52"/>
  <c r="O242" i="52"/>
  <c r="O32" i="53"/>
  <c r="O271" i="52"/>
  <c r="O294" i="52"/>
  <c r="O317" i="52"/>
  <c r="O44" i="53"/>
  <c r="O347" i="52"/>
  <c r="O371" i="52"/>
  <c r="O56" i="53"/>
  <c r="H457" i="52"/>
  <c r="O447" i="52"/>
  <c r="H480" i="52"/>
  <c r="O470" i="52"/>
  <c r="H503" i="52"/>
  <c r="O493" i="52"/>
  <c r="H526" i="52"/>
  <c r="O516" i="52"/>
  <c r="H550" i="52"/>
  <c r="O540" i="52"/>
  <c r="O68" i="53"/>
  <c r="AN167" i="52"/>
  <c r="U196" i="52"/>
  <c r="U219" i="52"/>
  <c r="U242" i="52"/>
  <c r="U32" i="53"/>
  <c r="U271" i="52"/>
  <c r="U294" i="52"/>
  <c r="U317" i="52"/>
  <c r="U44" i="53"/>
  <c r="U347" i="52"/>
  <c r="U371" i="52"/>
  <c r="U56" i="53"/>
  <c r="U447" i="52"/>
  <c r="U470" i="52"/>
  <c r="U493" i="52"/>
  <c r="U516" i="52"/>
  <c r="U540" i="52"/>
  <c r="U68" i="53"/>
  <c r="AO167" i="52"/>
  <c r="Y196" i="52"/>
  <c r="Y219" i="52"/>
  <c r="Y242" i="52"/>
  <c r="Y32" i="53"/>
  <c r="Y271" i="52"/>
  <c r="Y294" i="52"/>
  <c r="Y317" i="52"/>
  <c r="Y44" i="53"/>
  <c r="Y347" i="52"/>
  <c r="Y371" i="52"/>
  <c r="Y395" i="52"/>
  <c r="Y418" i="52"/>
  <c r="Y56" i="53"/>
  <c r="Y447" i="52"/>
  <c r="Y470" i="52"/>
  <c r="Y493" i="52"/>
  <c r="Y516" i="52"/>
  <c r="Y540" i="52"/>
  <c r="Y68" i="53"/>
  <c r="AP167" i="52"/>
  <c r="AC196" i="52"/>
  <c r="AC219" i="52"/>
  <c r="AC242" i="52"/>
  <c r="AC32" i="53"/>
  <c r="AC271" i="52"/>
  <c r="AC294" i="52"/>
  <c r="AC317" i="52"/>
  <c r="AC44" i="53"/>
  <c r="AC347" i="52"/>
  <c r="AC371" i="52"/>
  <c r="AC395" i="52"/>
  <c r="AC418" i="52"/>
  <c r="AC56" i="53"/>
  <c r="AC447" i="52"/>
  <c r="AC470" i="52"/>
  <c r="AC493" i="52"/>
  <c r="AC516" i="52"/>
  <c r="AC540" i="52"/>
  <c r="AC68" i="53"/>
  <c r="AQ167" i="52"/>
  <c r="O197" i="52"/>
  <c r="O220" i="52"/>
  <c r="O243" i="52"/>
  <c r="O33" i="53"/>
  <c r="O272" i="52"/>
  <c r="O295" i="52"/>
  <c r="O318" i="52"/>
  <c r="O45" i="53"/>
  <c r="O348" i="52"/>
  <c r="O372" i="52"/>
  <c r="O57" i="53"/>
  <c r="H458" i="52"/>
  <c r="O448" i="52"/>
  <c r="H481" i="52"/>
  <c r="O471" i="52"/>
  <c r="H504" i="52"/>
  <c r="O494" i="52"/>
  <c r="H527" i="52"/>
  <c r="O517" i="52"/>
  <c r="H551" i="52"/>
  <c r="O541" i="52"/>
  <c r="O69" i="53"/>
  <c r="AN168" i="52"/>
  <c r="U197" i="52"/>
  <c r="U220" i="52"/>
  <c r="U243" i="52"/>
  <c r="U33" i="53"/>
  <c r="U272" i="52"/>
  <c r="U295" i="52"/>
  <c r="U318" i="52"/>
  <c r="U45" i="53"/>
  <c r="U348" i="52"/>
  <c r="U372" i="52"/>
  <c r="U57" i="53"/>
  <c r="U448" i="52"/>
  <c r="U471" i="52"/>
  <c r="U494" i="52"/>
  <c r="U517" i="52"/>
  <c r="U541" i="52"/>
  <c r="U69" i="53"/>
  <c r="AO168" i="52"/>
  <c r="Y197" i="52"/>
  <c r="Y220" i="52"/>
  <c r="Y243" i="52"/>
  <c r="Y33" i="53"/>
  <c r="Y272" i="52"/>
  <c r="Y295" i="52"/>
  <c r="Y318" i="52"/>
  <c r="Y45" i="53"/>
  <c r="Y348" i="52"/>
  <c r="Y372" i="52"/>
  <c r="Y396" i="52"/>
  <c r="Y419" i="52"/>
  <c r="Y57" i="53"/>
  <c r="Y448" i="52"/>
  <c r="Y471" i="52"/>
  <c r="Y494" i="52"/>
  <c r="Y517" i="52"/>
  <c r="Y541" i="52"/>
  <c r="Y69" i="53"/>
  <c r="AP168" i="52"/>
  <c r="AC197" i="52"/>
  <c r="AC220" i="52"/>
  <c r="AC243" i="52"/>
  <c r="AC33" i="53"/>
  <c r="AC272" i="52"/>
  <c r="AC295" i="52"/>
  <c r="AC318" i="52"/>
  <c r="AC45" i="53"/>
  <c r="AC348" i="52"/>
  <c r="AC372" i="52"/>
  <c r="AC396" i="52"/>
  <c r="AC419" i="52"/>
  <c r="AC57" i="53"/>
  <c r="AC448" i="52"/>
  <c r="AC471" i="52"/>
  <c r="AC494" i="52"/>
  <c r="AC517" i="52"/>
  <c r="AC541" i="52"/>
  <c r="AC69" i="53"/>
  <c r="AQ168" i="52"/>
  <c r="AN169" i="52"/>
  <c r="U198" i="52"/>
  <c r="U221" i="52"/>
  <c r="U244" i="52"/>
  <c r="U34" i="53"/>
  <c r="U273" i="52"/>
  <c r="U296" i="52"/>
  <c r="U319" i="52"/>
  <c r="U46" i="53"/>
  <c r="U349" i="52"/>
  <c r="U373" i="52"/>
  <c r="U58" i="53"/>
  <c r="U449" i="52"/>
  <c r="U472" i="52"/>
  <c r="U495" i="52"/>
  <c r="U518" i="52"/>
  <c r="U542" i="52"/>
  <c r="U70" i="53"/>
  <c r="AO169" i="52"/>
  <c r="Y198" i="52"/>
  <c r="Y221" i="52"/>
  <c r="Y244" i="52"/>
  <c r="Y34" i="53"/>
  <c r="Y273" i="52"/>
  <c r="Y296" i="52"/>
  <c r="Y319" i="52"/>
  <c r="Y46" i="53"/>
  <c r="Y349" i="52"/>
  <c r="Y373" i="52"/>
  <c r="Y397" i="52"/>
  <c r="Y420" i="52"/>
  <c r="Y58" i="53"/>
  <c r="Y449" i="52"/>
  <c r="Y472" i="52"/>
  <c r="Y495" i="52"/>
  <c r="Y518" i="52"/>
  <c r="Y542" i="52"/>
  <c r="Y70" i="53"/>
  <c r="AP169" i="52"/>
  <c r="AC198" i="52"/>
  <c r="AC221" i="52"/>
  <c r="AC244" i="52"/>
  <c r="AC34" i="53"/>
  <c r="AC273" i="52"/>
  <c r="AC296" i="52"/>
  <c r="AC319" i="52"/>
  <c r="AC46" i="53"/>
  <c r="AC349" i="52"/>
  <c r="AC373" i="52"/>
  <c r="AC397" i="52"/>
  <c r="AC420" i="52"/>
  <c r="AC58" i="53"/>
  <c r="AC449" i="52"/>
  <c r="AC472" i="52"/>
  <c r="AC495" i="52"/>
  <c r="AC518" i="52"/>
  <c r="AC542" i="52"/>
  <c r="AC70" i="53"/>
  <c r="AQ169" i="52"/>
  <c r="AN170" i="52"/>
  <c r="U199" i="52"/>
  <c r="U222" i="52"/>
  <c r="U245" i="52"/>
  <c r="U35" i="53"/>
  <c r="U274" i="52"/>
  <c r="U297" i="52"/>
  <c r="U320" i="52"/>
  <c r="U47" i="53"/>
  <c r="U350" i="52"/>
  <c r="U374" i="52"/>
  <c r="U59" i="53"/>
  <c r="U450" i="52"/>
  <c r="U473" i="52"/>
  <c r="U496" i="52"/>
  <c r="U519" i="52"/>
  <c r="U543" i="52"/>
  <c r="U71" i="53"/>
  <c r="AO170" i="52"/>
  <c r="Y199" i="52"/>
  <c r="Y222" i="52"/>
  <c r="Y245" i="52"/>
  <c r="Y35" i="53"/>
  <c r="Y274" i="52"/>
  <c r="Y297" i="52"/>
  <c r="Y320" i="52"/>
  <c r="Y47" i="53"/>
  <c r="Y350" i="52"/>
  <c r="Y374" i="52"/>
  <c r="Y398" i="52"/>
  <c r="Y421" i="52"/>
  <c r="Y59" i="53"/>
  <c r="Y450" i="52"/>
  <c r="Y473" i="52"/>
  <c r="Y496" i="52"/>
  <c r="Y519" i="52"/>
  <c r="Y543" i="52"/>
  <c r="Y71" i="53"/>
  <c r="AP170" i="52"/>
  <c r="AC199" i="52"/>
  <c r="AC222" i="52"/>
  <c r="AC245" i="52"/>
  <c r="AC35" i="53"/>
  <c r="AC274" i="52"/>
  <c r="AC297" i="52"/>
  <c r="AC320" i="52"/>
  <c r="AC47" i="53"/>
  <c r="AC350" i="52"/>
  <c r="AC374" i="52"/>
  <c r="AC398" i="52"/>
  <c r="AC421" i="52"/>
  <c r="AC59" i="53"/>
  <c r="AC450" i="52"/>
  <c r="AC473" i="52"/>
  <c r="AC496" i="52"/>
  <c r="AC519" i="52"/>
  <c r="AC543" i="52"/>
  <c r="AC71" i="53"/>
  <c r="AQ170" i="52"/>
  <c r="AN171" i="52"/>
  <c r="U200" i="52"/>
  <c r="U223" i="52"/>
  <c r="U246" i="52"/>
  <c r="U36" i="53"/>
  <c r="U275" i="52"/>
  <c r="U298" i="52"/>
  <c r="U321" i="52"/>
  <c r="U48" i="53"/>
  <c r="U351" i="52"/>
  <c r="U375" i="52"/>
  <c r="U60" i="53"/>
  <c r="U451" i="52"/>
  <c r="U474" i="52"/>
  <c r="U497" i="52"/>
  <c r="U520" i="52"/>
  <c r="U544" i="52"/>
  <c r="U72" i="53"/>
  <c r="AO171" i="52"/>
  <c r="Y200" i="52"/>
  <c r="Y223" i="52"/>
  <c r="Y246" i="52"/>
  <c r="Y36" i="53"/>
  <c r="Y275" i="52"/>
  <c r="Y298" i="52"/>
  <c r="Y321" i="52"/>
  <c r="Y48" i="53"/>
  <c r="Y351" i="52"/>
  <c r="Y375" i="52"/>
  <c r="Y399" i="52"/>
  <c r="Y422" i="52"/>
  <c r="Y60" i="53"/>
  <c r="Y451" i="52"/>
  <c r="Y474" i="52"/>
  <c r="Y497" i="52"/>
  <c r="Y520" i="52"/>
  <c r="Y544" i="52"/>
  <c r="Y72" i="53"/>
  <c r="AP171" i="52"/>
  <c r="AC200" i="52"/>
  <c r="AC223" i="52"/>
  <c r="AC246" i="52"/>
  <c r="AC36" i="53"/>
  <c r="AC275" i="52"/>
  <c r="AC298" i="52"/>
  <c r="AC321" i="52"/>
  <c r="AC48" i="53"/>
  <c r="AC351" i="52"/>
  <c r="AC375" i="52"/>
  <c r="AC399" i="52"/>
  <c r="AC422" i="52"/>
  <c r="AC60" i="53"/>
  <c r="AC451" i="52"/>
  <c r="AC474" i="52"/>
  <c r="AC497" i="52"/>
  <c r="AC520" i="52"/>
  <c r="AC544" i="52"/>
  <c r="AC72" i="53"/>
  <c r="AQ171" i="52"/>
  <c r="AN172" i="52"/>
  <c r="AO172" i="52"/>
  <c r="AP172" i="52"/>
  <c r="AC201" i="52"/>
  <c r="AC224" i="52"/>
  <c r="AC247" i="52"/>
  <c r="AC37" i="53"/>
  <c r="AC276" i="52"/>
  <c r="AC299" i="52"/>
  <c r="AC322" i="52"/>
  <c r="AC49" i="53"/>
  <c r="AC352" i="52"/>
  <c r="AC376" i="52"/>
  <c r="AC400" i="52"/>
  <c r="AC423" i="52"/>
  <c r="AC61" i="53"/>
  <c r="AC452" i="52"/>
  <c r="AC475" i="52"/>
  <c r="AC498" i="52"/>
  <c r="AC521" i="52"/>
  <c r="AC545" i="52"/>
  <c r="AC73" i="53"/>
  <c r="AQ172" i="52"/>
  <c r="AN173" i="52"/>
  <c r="AO173" i="52"/>
  <c r="AP173" i="52"/>
  <c r="AC202" i="52"/>
  <c r="AC225" i="52"/>
  <c r="AC248" i="52"/>
  <c r="AC38" i="53"/>
  <c r="AC277" i="52"/>
  <c r="AC300" i="52"/>
  <c r="AC323" i="52"/>
  <c r="AC50" i="53"/>
  <c r="AC353" i="52"/>
  <c r="AC377" i="52"/>
  <c r="AC401" i="52"/>
  <c r="AC424" i="52"/>
  <c r="AC62" i="53"/>
  <c r="AC453" i="52"/>
  <c r="AC476" i="52"/>
  <c r="AC499" i="52"/>
  <c r="AC522" i="52"/>
  <c r="AC546" i="52"/>
  <c r="AC74" i="53"/>
  <c r="AQ173" i="52"/>
  <c r="AC193" i="52"/>
  <c r="AC216" i="52"/>
  <c r="AC239" i="52"/>
  <c r="AC29" i="53"/>
  <c r="AC268" i="52"/>
  <c r="AC291" i="52"/>
  <c r="AC314" i="52"/>
  <c r="AC41" i="53"/>
  <c r="AC344" i="52"/>
  <c r="AC368" i="52"/>
  <c r="AC392" i="52"/>
  <c r="AC415" i="52"/>
  <c r="AC53" i="53"/>
  <c r="AC444" i="52"/>
  <c r="AC467" i="52"/>
  <c r="AC490" i="52"/>
  <c r="AC513" i="52"/>
  <c r="AC537" i="52"/>
  <c r="AC65" i="53"/>
  <c r="AQ164" i="52"/>
  <c r="Y193" i="52"/>
  <c r="Y216" i="52"/>
  <c r="Y239" i="52"/>
  <c r="Y29" i="53"/>
  <c r="Y268" i="52"/>
  <c r="Y291" i="52"/>
  <c r="Y314" i="52"/>
  <c r="Y41" i="53"/>
  <c r="Y344" i="52"/>
  <c r="Y368" i="52"/>
  <c r="Y392" i="52"/>
  <c r="Y415" i="52"/>
  <c r="Y53" i="53"/>
  <c r="Y444" i="52"/>
  <c r="Y467" i="52"/>
  <c r="Y490" i="52"/>
  <c r="Y513" i="52"/>
  <c r="Y537" i="52"/>
  <c r="Y65" i="53"/>
  <c r="AP164" i="52"/>
  <c r="U193" i="52"/>
  <c r="U216" i="52"/>
  <c r="U239" i="52"/>
  <c r="U29" i="53"/>
  <c r="U268" i="52"/>
  <c r="U291" i="52"/>
  <c r="U314" i="52"/>
  <c r="U41" i="53"/>
  <c r="U344" i="52"/>
  <c r="U368" i="52"/>
  <c r="U53" i="53"/>
  <c r="U444" i="52"/>
  <c r="U467" i="52"/>
  <c r="U490" i="52"/>
  <c r="U513" i="52"/>
  <c r="U537" i="52"/>
  <c r="U65" i="53"/>
  <c r="AO164" i="52"/>
  <c r="O193" i="52"/>
  <c r="O216" i="52"/>
  <c r="O239" i="52"/>
  <c r="O29" i="53"/>
  <c r="O268" i="52"/>
  <c r="O291" i="52"/>
  <c r="O314" i="52"/>
  <c r="O41" i="53"/>
  <c r="O344" i="52"/>
  <c r="O368" i="52"/>
  <c r="O53" i="53"/>
  <c r="H454" i="52"/>
  <c r="O444" i="52"/>
  <c r="H477" i="52"/>
  <c r="O467" i="52"/>
  <c r="H500" i="52"/>
  <c r="O490" i="52"/>
  <c r="H523" i="52"/>
  <c r="O513" i="52"/>
  <c r="H547" i="52"/>
  <c r="O537" i="52"/>
  <c r="O65" i="53"/>
  <c r="AN164" i="52"/>
  <c r="P32" i="51"/>
  <c r="Y32" i="52"/>
  <c r="L32" i="51"/>
  <c r="U32" i="52"/>
  <c r="Y22" i="34"/>
  <c r="Y22" i="52"/>
  <c r="P33" i="51"/>
  <c r="Y33" i="52"/>
  <c r="L33" i="51"/>
  <c r="U33" i="52"/>
  <c r="Y23" i="34"/>
  <c r="Y23" i="52"/>
  <c r="P34" i="51"/>
  <c r="Y34" i="52"/>
  <c r="L34" i="51"/>
  <c r="U34" i="52"/>
  <c r="Y24" i="34"/>
  <c r="Y24" i="52"/>
  <c r="P35" i="51"/>
  <c r="Y35" i="52"/>
  <c r="L35" i="51"/>
  <c r="U35" i="52"/>
  <c r="Y25" i="34"/>
  <c r="Y25" i="52"/>
  <c r="P36" i="51"/>
  <c r="Y36" i="52"/>
  <c r="L36" i="51"/>
  <c r="U36" i="52"/>
  <c r="Y26" i="34"/>
  <c r="Y26" i="52"/>
  <c r="P37" i="51"/>
  <c r="Y37" i="52"/>
  <c r="L37" i="51"/>
  <c r="U37" i="52"/>
  <c r="Y27" i="34"/>
  <c r="Y27" i="52"/>
  <c r="P38" i="51"/>
  <c r="Y38" i="52"/>
  <c r="L38" i="51"/>
  <c r="U38" i="52"/>
  <c r="Y28" i="34"/>
  <c r="Y28" i="52"/>
  <c r="P39" i="51"/>
  <c r="Y39" i="52"/>
  <c r="L39" i="51"/>
  <c r="U39" i="52"/>
  <c r="Y29" i="34"/>
  <c r="Y29" i="52"/>
  <c r="AK29" i="52"/>
  <c r="P104" i="51"/>
  <c r="Y104" i="52"/>
  <c r="L104" i="51"/>
  <c r="U104" i="52"/>
  <c r="Y94" i="34"/>
  <c r="Y94" i="52"/>
  <c r="P105" i="51"/>
  <c r="Y105" i="52"/>
  <c r="L105" i="51"/>
  <c r="U105" i="52"/>
  <c r="Y95" i="34"/>
  <c r="Y95" i="52"/>
  <c r="P106" i="51"/>
  <c r="Y106" i="52"/>
  <c r="L106" i="51"/>
  <c r="U106" i="52"/>
  <c r="Y96" i="34"/>
  <c r="Y96" i="52"/>
  <c r="P107" i="51"/>
  <c r="Y107" i="52"/>
  <c r="L107" i="51"/>
  <c r="U107" i="52"/>
  <c r="Y97" i="34"/>
  <c r="Y97" i="52"/>
  <c r="P108" i="51"/>
  <c r="Y108" i="52"/>
  <c r="L108" i="51"/>
  <c r="U108" i="52"/>
  <c r="Y98" i="34"/>
  <c r="Y98" i="52"/>
  <c r="P109" i="51"/>
  <c r="Y109" i="52"/>
  <c r="L109" i="51"/>
  <c r="U109" i="52"/>
  <c r="Y99" i="34"/>
  <c r="Y99" i="52"/>
  <c r="P110" i="51"/>
  <c r="Y110" i="52"/>
  <c r="L110" i="51"/>
  <c r="U110" i="52"/>
  <c r="Y100" i="34"/>
  <c r="Y100" i="52"/>
  <c r="P111" i="51"/>
  <c r="Y111" i="52"/>
  <c r="L111" i="51"/>
  <c r="U111" i="52"/>
  <c r="Y101" i="34"/>
  <c r="Y101" i="52"/>
  <c r="AK101" i="52"/>
  <c r="P127" i="51"/>
  <c r="Y127" i="52"/>
  <c r="L127" i="51"/>
  <c r="U127" i="52"/>
  <c r="Y117" i="34"/>
  <c r="Y117" i="52"/>
  <c r="P128" i="51"/>
  <c r="Y128" i="52"/>
  <c r="L128" i="51"/>
  <c r="U128" i="52"/>
  <c r="Y118" i="34"/>
  <c r="Y118" i="52"/>
  <c r="P129" i="51"/>
  <c r="Y129" i="52"/>
  <c r="L129" i="51"/>
  <c r="U129" i="52"/>
  <c r="Y119" i="34"/>
  <c r="Y119" i="52"/>
  <c r="P130" i="51"/>
  <c r="Y130" i="52"/>
  <c r="L130" i="51"/>
  <c r="U130" i="52"/>
  <c r="Y120" i="34"/>
  <c r="Y120" i="52"/>
  <c r="P131" i="51"/>
  <c r="Y131" i="52"/>
  <c r="L131" i="51"/>
  <c r="U131" i="52"/>
  <c r="Y121" i="34"/>
  <c r="Y121" i="52"/>
  <c r="P132" i="51"/>
  <c r="Y132" i="52"/>
  <c r="L132" i="51"/>
  <c r="U132" i="52"/>
  <c r="Y122" i="34"/>
  <c r="Y122" i="52"/>
  <c r="P133" i="51"/>
  <c r="Y133" i="52"/>
  <c r="L133" i="51"/>
  <c r="U133" i="52"/>
  <c r="Y123" i="34"/>
  <c r="Y123" i="52"/>
  <c r="P134" i="51"/>
  <c r="Y134" i="52"/>
  <c r="L134" i="51"/>
  <c r="U134" i="52"/>
  <c r="Y124" i="34"/>
  <c r="Y124" i="52"/>
  <c r="AK124" i="52"/>
  <c r="P150" i="51"/>
  <c r="Y150" i="52"/>
  <c r="L140" i="51"/>
  <c r="V150" i="52"/>
  <c r="Y140" i="34"/>
  <c r="Y140" i="52"/>
  <c r="P151" i="51"/>
  <c r="Y151" i="52"/>
  <c r="L141" i="51"/>
  <c r="V151" i="52"/>
  <c r="Y141" i="34"/>
  <c r="Y141" i="52"/>
  <c r="P152" i="51"/>
  <c r="Y152" i="52"/>
  <c r="L142" i="51"/>
  <c r="V152" i="52"/>
  <c r="Y142" i="34"/>
  <c r="Y142" i="52"/>
  <c r="P153" i="51"/>
  <c r="Y153" i="52"/>
  <c r="L143" i="51"/>
  <c r="V153" i="52"/>
  <c r="Y143" i="34"/>
  <c r="Y143" i="52"/>
  <c r="P154" i="51"/>
  <c r="Y154" i="52"/>
  <c r="L144" i="51"/>
  <c r="V154" i="52"/>
  <c r="Y144" i="34"/>
  <c r="Y144" i="52"/>
  <c r="P155" i="51"/>
  <c r="Y155" i="52"/>
  <c r="L145" i="51"/>
  <c r="V155" i="52"/>
  <c r="Y145" i="34"/>
  <c r="Y145" i="52"/>
  <c r="P156" i="51"/>
  <c r="Y156" i="52"/>
  <c r="L146" i="51"/>
  <c r="V156" i="52"/>
  <c r="Y146" i="34"/>
  <c r="Y146" i="52"/>
  <c r="P157" i="51"/>
  <c r="Y157" i="52"/>
  <c r="L147" i="51"/>
  <c r="V157" i="52"/>
  <c r="Y147" i="34"/>
  <c r="Y147" i="52"/>
  <c r="AK147" i="52"/>
  <c r="AK26" i="52"/>
  <c r="T32" i="51"/>
  <c r="AC32" i="52"/>
  <c r="AC22" i="34"/>
  <c r="AC22" i="52"/>
  <c r="T33" i="51"/>
  <c r="AC33" i="52"/>
  <c r="AC23" i="34"/>
  <c r="AC23" i="52"/>
  <c r="T34" i="51"/>
  <c r="AC34" i="52"/>
  <c r="AC24" i="34"/>
  <c r="AC24" i="52"/>
  <c r="T35" i="51"/>
  <c r="AC35" i="52"/>
  <c r="AC25" i="34"/>
  <c r="AC25" i="52"/>
  <c r="T36" i="51"/>
  <c r="AC36" i="52"/>
  <c r="AC26" i="34"/>
  <c r="AC26" i="52"/>
  <c r="T37" i="51"/>
  <c r="AC37" i="52"/>
  <c r="AC27" i="34"/>
  <c r="AC27" i="52"/>
  <c r="T38" i="51"/>
  <c r="AC38" i="52"/>
  <c r="AC28" i="34"/>
  <c r="AC28" i="52"/>
  <c r="T39" i="51"/>
  <c r="AC39" i="52"/>
  <c r="AC29" i="34"/>
  <c r="AC29" i="52"/>
  <c r="AL29" i="52"/>
  <c r="T104" i="51"/>
  <c r="AC104" i="52"/>
  <c r="AC94" i="34"/>
  <c r="AC94" i="52"/>
  <c r="AC105" i="52"/>
  <c r="AC95" i="34"/>
  <c r="AC95" i="52"/>
  <c r="T106" i="51"/>
  <c r="AC106" i="52"/>
  <c r="AC96" i="34"/>
  <c r="AC96" i="52"/>
  <c r="T107" i="51"/>
  <c r="AC107" i="52"/>
  <c r="AC97" i="34"/>
  <c r="AC97" i="52"/>
  <c r="T108" i="51"/>
  <c r="AC108" i="52"/>
  <c r="AC98" i="34"/>
  <c r="AC98" i="52"/>
  <c r="T109" i="51"/>
  <c r="AC109" i="52"/>
  <c r="AC99" i="34"/>
  <c r="AC99" i="52"/>
  <c r="T110" i="51"/>
  <c r="AC110" i="52"/>
  <c r="AC100" i="34"/>
  <c r="AC100" i="52"/>
  <c r="T111" i="51"/>
  <c r="AC111" i="52"/>
  <c r="AC101" i="34"/>
  <c r="AC101" i="52"/>
  <c r="AL101" i="52"/>
  <c r="T127" i="51"/>
  <c r="AC127" i="52"/>
  <c r="AC117" i="34"/>
  <c r="AC117" i="52"/>
  <c r="AC128" i="52"/>
  <c r="AC118" i="34"/>
  <c r="AC118" i="52"/>
  <c r="T129" i="51"/>
  <c r="AC129" i="52"/>
  <c r="AC119" i="34"/>
  <c r="AC119" i="52"/>
  <c r="T130" i="51"/>
  <c r="AC130" i="52"/>
  <c r="AC120" i="34"/>
  <c r="AC120" i="52"/>
  <c r="T131" i="51"/>
  <c r="AC131" i="52"/>
  <c r="AC121" i="34"/>
  <c r="AC121" i="52"/>
  <c r="T132" i="51"/>
  <c r="AC132" i="52"/>
  <c r="AC122" i="34"/>
  <c r="AC122" i="52"/>
  <c r="T133" i="51"/>
  <c r="AC133" i="52"/>
  <c r="AC123" i="34"/>
  <c r="AC123" i="52"/>
  <c r="T134" i="51"/>
  <c r="AC134" i="52"/>
  <c r="AC124" i="34"/>
  <c r="AC124" i="52"/>
  <c r="AL124" i="52"/>
  <c r="T150" i="51"/>
  <c r="AC150" i="52"/>
  <c r="AC140" i="34"/>
  <c r="AC140" i="52"/>
  <c r="T151" i="51"/>
  <c r="AC151" i="52"/>
  <c r="AC141" i="34"/>
  <c r="AC141" i="52"/>
  <c r="T152" i="51"/>
  <c r="AC152" i="52"/>
  <c r="AC142" i="34"/>
  <c r="AC142" i="52"/>
  <c r="T153" i="51"/>
  <c r="AC153" i="52"/>
  <c r="AC143" i="34"/>
  <c r="AC143" i="52"/>
  <c r="T154" i="51"/>
  <c r="AC154" i="52"/>
  <c r="AC144" i="34"/>
  <c r="AC144" i="52"/>
  <c r="T155" i="51"/>
  <c r="AC155" i="52"/>
  <c r="AC145" i="34"/>
  <c r="AC145" i="52"/>
  <c r="T156" i="51"/>
  <c r="AC156" i="52"/>
  <c r="AC146" i="34"/>
  <c r="AC146" i="52"/>
  <c r="T157" i="51"/>
  <c r="AC157" i="52"/>
  <c r="AC147" i="34"/>
  <c r="AC147" i="52"/>
  <c r="AL147" i="52"/>
  <c r="AL26" i="52"/>
  <c r="AL32" i="52"/>
  <c r="AL33" i="52"/>
  <c r="AL34" i="52"/>
  <c r="AL35" i="52"/>
  <c r="AL36" i="52"/>
  <c r="AL37" i="52"/>
  <c r="AL38" i="52"/>
  <c r="AL39" i="52"/>
  <c r="AL28" i="52"/>
  <c r="AL104" i="52"/>
  <c r="AL105" i="52"/>
  <c r="AL106" i="52"/>
  <c r="AL107" i="52"/>
  <c r="AL108" i="52"/>
  <c r="AL109" i="52"/>
  <c r="AL110" i="52"/>
  <c r="AL111" i="52"/>
  <c r="AL100" i="52"/>
  <c r="AL127" i="52"/>
  <c r="AL128" i="52"/>
  <c r="AL129" i="52"/>
  <c r="AL130" i="52"/>
  <c r="AL131" i="52"/>
  <c r="AL132" i="52"/>
  <c r="AL133" i="52"/>
  <c r="AL134" i="52"/>
  <c r="AL123" i="52"/>
  <c r="AL150" i="52"/>
  <c r="AL151" i="52"/>
  <c r="AL152" i="52"/>
  <c r="AL153" i="52"/>
  <c r="AL154" i="52"/>
  <c r="AL155" i="52"/>
  <c r="AL156" i="52"/>
  <c r="AL157" i="52"/>
  <c r="AL146" i="52"/>
  <c r="AL25" i="52"/>
  <c r="AK32" i="52"/>
  <c r="AK33" i="52"/>
  <c r="AK34" i="52"/>
  <c r="AK35" i="52"/>
  <c r="AK36" i="52"/>
  <c r="AK37" i="52"/>
  <c r="AK38" i="52"/>
  <c r="AK39" i="52"/>
  <c r="AK28" i="52"/>
  <c r="AK104" i="52"/>
  <c r="AK105" i="52"/>
  <c r="AK106" i="52"/>
  <c r="AK107" i="52"/>
  <c r="AK108" i="52"/>
  <c r="AK109" i="52"/>
  <c r="AK110" i="52"/>
  <c r="AK111" i="52"/>
  <c r="AK100" i="52"/>
  <c r="AK127" i="52"/>
  <c r="AK128" i="52"/>
  <c r="AK129" i="52"/>
  <c r="AK130" i="52"/>
  <c r="AK131" i="52"/>
  <c r="AK132" i="52"/>
  <c r="AK133" i="52"/>
  <c r="AK134" i="52"/>
  <c r="AK123" i="52"/>
  <c r="AK150" i="52"/>
  <c r="AK151" i="52"/>
  <c r="AK152" i="52"/>
  <c r="AK153" i="52"/>
  <c r="AK154" i="52"/>
  <c r="AK155" i="52"/>
  <c r="AK156" i="52"/>
  <c r="AK157" i="52"/>
  <c r="AK146" i="52"/>
  <c r="AK25" i="52"/>
  <c r="H32" i="51"/>
  <c r="O32" i="52"/>
  <c r="D22" i="51"/>
  <c r="J32" i="52"/>
  <c r="O22" i="34"/>
  <c r="O22" i="52"/>
  <c r="H33" i="51"/>
  <c r="O33" i="52"/>
  <c r="D23" i="51"/>
  <c r="J33" i="52"/>
  <c r="O23" i="34"/>
  <c r="O23" i="52"/>
  <c r="H34" i="51"/>
  <c r="O34" i="52"/>
  <c r="D24" i="51"/>
  <c r="J34" i="52"/>
  <c r="O24" i="34"/>
  <c r="O24" i="52"/>
  <c r="H35" i="51"/>
  <c r="O35" i="52"/>
  <c r="D25" i="51"/>
  <c r="J35" i="52"/>
  <c r="O25" i="34"/>
  <c r="O25" i="52"/>
  <c r="H36" i="51"/>
  <c r="O36" i="52"/>
  <c r="D26" i="51"/>
  <c r="J36" i="52"/>
  <c r="O26" i="34"/>
  <c r="O26" i="52"/>
  <c r="AI29" i="52"/>
  <c r="H104" i="51"/>
  <c r="O104" i="52"/>
  <c r="D94" i="51"/>
  <c r="J104" i="52"/>
  <c r="O94" i="34"/>
  <c r="O94" i="52"/>
  <c r="H105" i="51"/>
  <c r="O105" i="52"/>
  <c r="D95" i="51"/>
  <c r="J105" i="52"/>
  <c r="O95" i="34"/>
  <c r="O95" i="52"/>
  <c r="H106" i="51"/>
  <c r="O106" i="52"/>
  <c r="D96" i="51"/>
  <c r="J106" i="52"/>
  <c r="O96" i="34"/>
  <c r="O96" i="52"/>
  <c r="H107" i="51"/>
  <c r="O107" i="52"/>
  <c r="D97" i="51"/>
  <c r="J107" i="52"/>
  <c r="O97" i="34"/>
  <c r="O97" i="52"/>
  <c r="H108" i="51"/>
  <c r="O108" i="52"/>
  <c r="D98" i="51"/>
  <c r="J108" i="52"/>
  <c r="O98" i="34"/>
  <c r="O98" i="52"/>
  <c r="AI101" i="52"/>
  <c r="H127" i="51"/>
  <c r="O127" i="52"/>
  <c r="D117" i="51"/>
  <c r="J127" i="52"/>
  <c r="O117" i="34"/>
  <c r="O117" i="52"/>
  <c r="H128" i="51"/>
  <c r="O128" i="52"/>
  <c r="D118" i="51"/>
  <c r="J128" i="52"/>
  <c r="O118" i="34"/>
  <c r="O118" i="52"/>
  <c r="H129" i="51"/>
  <c r="O129" i="52"/>
  <c r="D119" i="51"/>
  <c r="J129" i="52"/>
  <c r="O119" i="34"/>
  <c r="O119" i="52"/>
  <c r="H130" i="51"/>
  <c r="O130" i="52"/>
  <c r="D120" i="51"/>
  <c r="J130" i="52"/>
  <c r="O120" i="34"/>
  <c r="O120" i="52"/>
  <c r="H131" i="51"/>
  <c r="O131" i="52"/>
  <c r="D121" i="51"/>
  <c r="J131" i="52"/>
  <c r="O121" i="34"/>
  <c r="O121" i="52"/>
  <c r="AI124" i="52"/>
  <c r="AI26" i="52"/>
  <c r="U22" i="34"/>
  <c r="U22" i="52"/>
  <c r="U23" i="34"/>
  <c r="U23" i="52"/>
  <c r="U24" i="34"/>
  <c r="U24" i="52"/>
  <c r="U25" i="34"/>
  <c r="U25" i="52"/>
  <c r="U26" i="34"/>
  <c r="U26" i="52"/>
  <c r="AJ29" i="52"/>
  <c r="U94" i="34"/>
  <c r="U94" i="52"/>
  <c r="U95" i="34"/>
  <c r="U95" i="52"/>
  <c r="U96" i="34"/>
  <c r="U96" i="52"/>
  <c r="U97" i="34"/>
  <c r="U97" i="52"/>
  <c r="U98" i="34"/>
  <c r="U98" i="52"/>
  <c r="AJ101" i="52"/>
  <c r="U117" i="34"/>
  <c r="U117" i="52"/>
  <c r="U118" i="34"/>
  <c r="U118" i="52"/>
  <c r="U119" i="34"/>
  <c r="U119" i="52"/>
  <c r="U120" i="34"/>
  <c r="U120" i="52"/>
  <c r="U121" i="34"/>
  <c r="U121" i="52"/>
  <c r="AJ124" i="52"/>
  <c r="AJ26" i="52"/>
  <c r="AJ32" i="52"/>
  <c r="AJ33" i="52"/>
  <c r="AJ34" i="52"/>
  <c r="AJ35" i="52"/>
  <c r="AJ36" i="52"/>
  <c r="AJ28" i="52"/>
  <c r="AJ104" i="52"/>
  <c r="AJ105" i="52"/>
  <c r="AJ106" i="52"/>
  <c r="AJ107" i="52"/>
  <c r="AJ108" i="52"/>
  <c r="AJ100" i="52"/>
  <c r="AJ127" i="52"/>
  <c r="AJ128" i="52"/>
  <c r="AJ129" i="52"/>
  <c r="AJ130" i="52"/>
  <c r="AJ131" i="52"/>
  <c r="AJ123" i="52"/>
  <c r="AJ25" i="52"/>
  <c r="AI32" i="52"/>
  <c r="AI33" i="52"/>
  <c r="AI34" i="52"/>
  <c r="AI35" i="52"/>
  <c r="AI36" i="52"/>
  <c r="AI28" i="52"/>
  <c r="AI104" i="52"/>
  <c r="AI105" i="52"/>
  <c r="AI106" i="52"/>
  <c r="AI107" i="52"/>
  <c r="AI108" i="52"/>
  <c r="AI100" i="52"/>
  <c r="AI127" i="52"/>
  <c r="AI128" i="52"/>
  <c r="AI129" i="52"/>
  <c r="AI130" i="52"/>
  <c r="AI131" i="52"/>
  <c r="AI123" i="52"/>
  <c r="AI25" i="52"/>
  <c r="P55" i="51"/>
  <c r="Y55" i="52"/>
  <c r="L55" i="51"/>
  <c r="U55" i="52"/>
  <c r="AK55" i="52"/>
  <c r="P56" i="51"/>
  <c r="Y56" i="52"/>
  <c r="L56" i="51"/>
  <c r="U56" i="52"/>
  <c r="AK56" i="52"/>
  <c r="P57" i="51"/>
  <c r="Y57" i="52"/>
  <c r="L57" i="51"/>
  <c r="U57" i="52"/>
  <c r="AK57" i="52"/>
  <c r="P58" i="51"/>
  <c r="Y58" i="52"/>
  <c r="L58" i="51"/>
  <c r="U58" i="52"/>
  <c r="AK58" i="52"/>
  <c r="P59" i="51"/>
  <c r="Y59" i="52"/>
  <c r="L59" i="51"/>
  <c r="U59" i="52"/>
  <c r="AK59" i="52"/>
  <c r="P60" i="51"/>
  <c r="Y60" i="52"/>
  <c r="L60" i="51"/>
  <c r="U60" i="52"/>
  <c r="AK60" i="52"/>
  <c r="P61" i="51"/>
  <c r="Y61" i="52"/>
  <c r="L61" i="51"/>
  <c r="U61" i="52"/>
  <c r="AK61" i="52"/>
  <c r="P62" i="51"/>
  <c r="Y62" i="52"/>
  <c r="L62" i="51"/>
  <c r="U62" i="52"/>
  <c r="AK62" i="52"/>
  <c r="AK51" i="52"/>
  <c r="P79" i="51"/>
  <c r="Q79" i="51"/>
  <c r="R79" i="51"/>
  <c r="S79" i="51"/>
  <c r="Y79" i="52"/>
  <c r="L79" i="51"/>
  <c r="M79" i="51"/>
  <c r="N79" i="51"/>
  <c r="O79" i="51"/>
  <c r="U79" i="52"/>
  <c r="AK79" i="52"/>
  <c r="P80" i="51"/>
  <c r="Q80" i="51"/>
  <c r="R80" i="51"/>
  <c r="S80" i="51"/>
  <c r="Y80" i="52"/>
  <c r="L80" i="51"/>
  <c r="M80" i="51"/>
  <c r="N80" i="51"/>
  <c r="O80" i="51"/>
  <c r="U80" i="52"/>
  <c r="AK80" i="52"/>
  <c r="P81" i="51"/>
  <c r="Q81" i="51"/>
  <c r="R81" i="51"/>
  <c r="S81" i="51"/>
  <c r="Y81" i="52"/>
  <c r="L81" i="51"/>
  <c r="M81" i="51"/>
  <c r="N81" i="51"/>
  <c r="O81" i="51"/>
  <c r="U81" i="52"/>
  <c r="AK81" i="52"/>
  <c r="P82" i="51"/>
  <c r="Q82" i="51"/>
  <c r="R82" i="51"/>
  <c r="S82" i="51"/>
  <c r="Y82" i="52"/>
  <c r="L82" i="51"/>
  <c r="M82" i="51"/>
  <c r="N82" i="51"/>
  <c r="O82" i="51"/>
  <c r="U82" i="52"/>
  <c r="AK82" i="52"/>
  <c r="P83" i="51"/>
  <c r="Q83" i="51"/>
  <c r="R83" i="51"/>
  <c r="S83" i="51"/>
  <c r="Y83" i="52"/>
  <c r="L83" i="51"/>
  <c r="M83" i="51"/>
  <c r="N83" i="51"/>
  <c r="O83" i="51"/>
  <c r="U83" i="52"/>
  <c r="AK83" i="52"/>
  <c r="P84" i="51"/>
  <c r="Q84" i="51"/>
  <c r="R84" i="51"/>
  <c r="S84" i="51"/>
  <c r="Y84" i="52"/>
  <c r="L84" i="51"/>
  <c r="M84" i="51"/>
  <c r="N84" i="51"/>
  <c r="O84" i="51"/>
  <c r="U84" i="52"/>
  <c r="AK84" i="52"/>
  <c r="P85" i="51"/>
  <c r="Q85" i="51"/>
  <c r="R85" i="51"/>
  <c r="S85" i="51"/>
  <c r="Y85" i="52"/>
  <c r="L85" i="51"/>
  <c r="M85" i="51"/>
  <c r="N85" i="51"/>
  <c r="O85" i="51"/>
  <c r="U85" i="52"/>
  <c r="AK85" i="52"/>
  <c r="P86" i="51"/>
  <c r="Q86" i="51"/>
  <c r="R86" i="51"/>
  <c r="S86" i="51"/>
  <c r="Y86" i="52"/>
  <c r="L86" i="51"/>
  <c r="M86" i="51"/>
  <c r="N86" i="51"/>
  <c r="O86" i="51"/>
  <c r="U86" i="52"/>
  <c r="AK86" i="52"/>
  <c r="AK75" i="52"/>
  <c r="AK71" i="52"/>
  <c r="AK22" i="52"/>
  <c r="H55" i="51"/>
  <c r="O55" i="52"/>
  <c r="D45" i="51"/>
  <c r="J55" i="52"/>
  <c r="AI55" i="52"/>
  <c r="H56" i="51"/>
  <c r="O56" i="52"/>
  <c r="D46" i="51"/>
  <c r="J56" i="52"/>
  <c r="AI56" i="52"/>
  <c r="H57" i="51"/>
  <c r="O57" i="52"/>
  <c r="D47" i="51"/>
  <c r="J57" i="52"/>
  <c r="AI57" i="52"/>
  <c r="H58" i="51"/>
  <c r="O58" i="52"/>
  <c r="D48" i="51"/>
  <c r="J58" i="52"/>
  <c r="AI58" i="52"/>
  <c r="H59" i="51"/>
  <c r="O59" i="52"/>
  <c r="D49" i="51"/>
  <c r="J59" i="52"/>
  <c r="AI59" i="52"/>
  <c r="AI51" i="52"/>
  <c r="H79" i="51"/>
  <c r="I79" i="51"/>
  <c r="J79" i="51"/>
  <c r="K79" i="51"/>
  <c r="O79" i="52"/>
  <c r="D69" i="51"/>
  <c r="E69" i="51"/>
  <c r="F69" i="51"/>
  <c r="G69" i="51"/>
  <c r="J79" i="52"/>
  <c r="AI79" i="52"/>
  <c r="H80" i="51"/>
  <c r="I80" i="51"/>
  <c r="J80" i="51"/>
  <c r="K80" i="51"/>
  <c r="O80" i="52"/>
  <c r="D70" i="51"/>
  <c r="E70" i="51"/>
  <c r="F70" i="51"/>
  <c r="G70" i="51"/>
  <c r="J80" i="52"/>
  <c r="AI80" i="52"/>
  <c r="H81" i="51"/>
  <c r="I81" i="51"/>
  <c r="J81" i="51"/>
  <c r="K81" i="51"/>
  <c r="O81" i="52"/>
  <c r="D71" i="51"/>
  <c r="E71" i="51"/>
  <c r="F71" i="51"/>
  <c r="G71" i="51"/>
  <c r="J81" i="52"/>
  <c r="AI81" i="52"/>
  <c r="H82" i="51"/>
  <c r="I82" i="51"/>
  <c r="J82" i="51"/>
  <c r="K82" i="51"/>
  <c r="O82" i="52"/>
  <c r="D72" i="51"/>
  <c r="E72" i="51"/>
  <c r="F72" i="51"/>
  <c r="G72" i="51"/>
  <c r="J82" i="52"/>
  <c r="AI82" i="52"/>
  <c r="H83" i="51"/>
  <c r="I83" i="51"/>
  <c r="J83" i="51"/>
  <c r="K83" i="51"/>
  <c r="O83" i="52"/>
  <c r="D73" i="51"/>
  <c r="E73" i="51"/>
  <c r="F73" i="51"/>
  <c r="G73" i="51"/>
  <c r="J83" i="52"/>
  <c r="AI83" i="52"/>
  <c r="AI75" i="52"/>
  <c r="AI71" i="52"/>
  <c r="AI22" i="52"/>
  <c r="BB45" i="52"/>
  <c r="BB46" i="52"/>
  <c r="BB47" i="52"/>
  <c r="BB48" i="52"/>
  <c r="BB49" i="52"/>
  <c r="BB50" i="52"/>
  <c r="BB51" i="52"/>
  <c r="BB52" i="52"/>
  <c r="BB53" i="52"/>
  <c r="BA45" i="52"/>
  <c r="BA46" i="52"/>
  <c r="BA47" i="52"/>
  <c r="BA48" i="52"/>
  <c r="BA49" i="52"/>
  <c r="BA50" i="52"/>
  <c r="BA51" i="52"/>
  <c r="BA52" i="52"/>
  <c r="BA53" i="52"/>
  <c r="AY45" i="52"/>
  <c r="AY46" i="52"/>
  <c r="AY47" i="52"/>
  <c r="AY48" i="52"/>
  <c r="AY49" i="52"/>
  <c r="AY50" i="52"/>
  <c r="AY51" i="52"/>
  <c r="AY52" i="52"/>
  <c r="AY53" i="52"/>
  <c r="AX45" i="52"/>
  <c r="AX46" i="52"/>
  <c r="AX47" i="52"/>
  <c r="AX48" i="52"/>
  <c r="AX49" i="52"/>
  <c r="AX50" i="52"/>
  <c r="AX51" i="52"/>
  <c r="AX52" i="52"/>
  <c r="AX53" i="52"/>
  <c r="AY56" i="52"/>
  <c r="AY57" i="52"/>
  <c r="AY58" i="52"/>
  <c r="AY59" i="52"/>
  <c r="AY60" i="52"/>
  <c r="AY61" i="52"/>
  <c r="AY62" i="52"/>
  <c r="AY63" i="52"/>
  <c r="AY64" i="52"/>
  <c r="AX56" i="52"/>
  <c r="AX57" i="52"/>
  <c r="AX58" i="52"/>
  <c r="AX59" i="52"/>
  <c r="AX60" i="52"/>
  <c r="AX61" i="52"/>
  <c r="AX62" i="52"/>
  <c r="AX63" i="52"/>
  <c r="AX64" i="52"/>
  <c r="BB69" i="52"/>
  <c r="BB70" i="52"/>
  <c r="BB71" i="52"/>
  <c r="BB72" i="52"/>
  <c r="BB73" i="52"/>
  <c r="BB74" i="52"/>
  <c r="BB75" i="52"/>
  <c r="BB76" i="52"/>
  <c r="BB77" i="52"/>
  <c r="BA69" i="52"/>
  <c r="BA70" i="52"/>
  <c r="BA71" i="52"/>
  <c r="BA72" i="52"/>
  <c r="BA73" i="52"/>
  <c r="BA74" i="52"/>
  <c r="BA75" i="52"/>
  <c r="BA76" i="52"/>
  <c r="BA77" i="52"/>
  <c r="AY69" i="52"/>
  <c r="AY70" i="52"/>
  <c r="AY71" i="52"/>
  <c r="AY72" i="52"/>
  <c r="AY73" i="52"/>
  <c r="AY74" i="52"/>
  <c r="AY75" i="52"/>
  <c r="AY76" i="52"/>
  <c r="AY77" i="52"/>
  <c r="AX69" i="52"/>
  <c r="AX70" i="52"/>
  <c r="AX71" i="52"/>
  <c r="AX72" i="52"/>
  <c r="AX73" i="52"/>
  <c r="AX74" i="52"/>
  <c r="AX75" i="52"/>
  <c r="AX76" i="52"/>
  <c r="AX77" i="52"/>
  <c r="BB22" i="52"/>
  <c r="BB23" i="52"/>
  <c r="BB24" i="52"/>
  <c r="BB25" i="52"/>
  <c r="BB26" i="52"/>
  <c r="BB27" i="52"/>
  <c r="BB28" i="52"/>
  <c r="BB29" i="52"/>
  <c r="BB30" i="52"/>
  <c r="BA22" i="52"/>
  <c r="BA23" i="52"/>
  <c r="BA24" i="52"/>
  <c r="BA25" i="52"/>
  <c r="BA26" i="52"/>
  <c r="BA27" i="52"/>
  <c r="BA28" i="52"/>
  <c r="BA29" i="52"/>
  <c r="BA30" i="52"/>
  <c r="T55" i="51"/>
  <c r="AC55" i="52"/>
  <c r="AC45" i="34"/>
  <c r="AC45" i="52"/>
  <c r="T79" i="51"/>
  <c r="U79" i="51"/>
  <c r="V79" i="51"/>
  <c r="W79" i="51"/>
  <c r="AC79" i="52"/>
  <c r="AC69" i="34"/>
  <c r="AC69" i="52"/>
  <c r="AY22" i="52"/>
  <c r="T56" i="51"/>
  <c r="AC56" i="52"/>
  <c r="AC46" i="34"/>
  <c r="AC46" i="52"/>
  <c r="T80" i="51"/>
  <c r="U80" i="51"/>
  <c r="V80" i="51"/>
  <c r="W80" i="51"/>
  <c r="AC80" i="52"/>
  <c r="AC70" i="34"/>
  <c r="AC70" i="52"/>
  <c r="AY23" i="52"/>
  <c r="T57" i="51"/>
  <c r="AC57" i="52"/>
  <c r="AC47" i="34"/>
  <c r="AC47" i="52"/>
  <c r="T81" i="51"/>
  <c r="U81" i="51"/>
  <c r="V81" i="51"/>
  <c r="W81" i="51"/>
  <c r="AC81" i="52"/>
  <c r="AC71" i="34"/>
  <c r="AC71" i="52"/>
  <c r="AY24" i="52"/>
  <c r="T58" i="51"/>
  <c r="AC58" i="52"/>
  <c r="AC48" i="34"/>
  <c r="AC48" i="52"/>
  <c r="T82" i="51"/>
  <c r="U82" i="51"/>
  <c r="V82" i="51"/>
  <c r="W82" i="51"/>
  <c r="AC82" i="52"/>
  <c r="AC72" i="34"/>
  <c r="AC72" i="52"/>
  <c r="AY25" i="52"/>
  <c r="T59" i="51"/>
  <c r="AC59" i="52"/>
  <c r="AC49" i="34"/>
  <c r="AC49" i="52"/>
  <c r="T83" i="51"/>
  <c r="U83" i="51"/>
  <c r="V83" i="51"/>
  <c r="W83" i="51"/>
  <c r="AC83" i="52"/>
  <c r="AC73" i="34"/>
  <c r="AC73" i="52"/>
  <c r="AY26" i="52"/>
  <c r="T60" i="51"/>
  <c r="AC60" i="52"/>
  <c r="AC50" i="34"/>
  <c r="AC50" i="52"/>
  <c r="T84" i="51"/>
  <c r="U84" i="51"/>
  <c r="V84" i="51"/>
  <c r="W84" i="51"/>
  <c r="AC84" i="52"/>
  <c r="AC74" i="34"/>
  <c r="AC74" i="52"/>
  <c r="AY27" i="52"/>
  <c r="T61" i="51"/>
  <c r="AC61" i="52"/>
  <c r="AC51" i="34"/>
  <c r="AC51" i="52"/>
  <c r="T85" i="51"/>
  <c r="U85" i="51"/>
  <c r="V85" i="51"/>
  <c r="W85" i="51"/>
  <c r="AC85" i="52"/>
  <c r="AC75" i="34"/>
  <c r="AC75" i="52"/>
  <c r="AY28" i="52"/>
  <c r="T62" i="51"/>
  <c r="AC62" i="52"/>
  <c r="AC52" i="34"/>
  <c r="AC52" i="52"/>
  <c r="T86" i="51"/>
  <c r="U86" i="51"/>
  <c r="V86" i="51"/>
  <c r="W86" i="51"/>
  <c r="AC86" i="52"/>
  <c r="AC76" i="34"/>
  <c r="AC76" i="52"/>
  <c r="AY29" i="52"/>
  <c r="AY30" i="52"/>
  <c r="AL55" i="52"/>
  <c r="AL79" i="52"/>
  <c r="AX22" i="52"/>
  <c r="AL56" i="52"/>
  <c r="AL80" i="52"/>
  <c r="AX23" i="52"/>
  <c r="AL57" i="52"/>
  <c r="AL81" i="52"/>
  <c r="AX24" i="52"/>
  <c r="AL58" i="52"/>
  <c r="AL82" i="52"/>
  <c r="AX25" i="52"/>
  <c r="AL59" i="52"/>
  <c r="AL83" i="52"/>
  <c r="AX26" i="52"/>
  <c r="AL60" i="52"/>
  <c r="AL84" i="52"/>
  <c r="AX27" i="52"/>
  <c r="AL61" i="52"/>
  <c r="AL85" i="52"/>
  <c r="AX28" i="52"/>
  <c r="AL62" i="52"/>
  <c r="AL86" i="52"/>
  <c r="AX29" i="52"/>
  <c r="AX30" i="52"/>
  <c r="BB32" i="52"/>
  <c r="BB33" i="52"/>
  <c r="BB34" i="52"/>
  <c r="BB35" i="52"/>
  <c r="BB36" i="52"/>
  <c r="BB37" i="52"/>
  <c r="BB38" i="52"/>
  <c r="BB39" i="52"/>
  <c r="BB40" i="52"/>
  <c r="BA32" i="52"/>
  <c r="BA33" i="52"/>
  <c r="BA34" i="52"/>
  <c r="BA35" i="52"/>
  <c r="BA36" i="52"/>
  <c r="BA37" i="52"/>
  <c r="BA38" i="52"/>
  <c r="BA39" i="52"/>
  <c r="BA40" i="52"/>
  <c r="AY32" i="52"/>
  <c r="AY33" i="52"/>
  <c r="AY34" i="52"/>
  <c r="AY35" i="52"/>
  <c r="AY36" i="52"/>
  <c r="AY37" i="52"/>
  <c r="AY38" i="52"/>
  <c r="AY39" i="52"/>
  <c r="AY40" i="52"/>
  <c r="AX32" i="52"/>
  <c r="AX33" i="52"/>
  <c r="AX34" i="52"/>
  <c r="AX35" i="52"/>
  <c r="AX36" i="52"/>
  <c r="AX37" i="52"/>
  <c r="AX38" i="52"/>
  <c r="AX39" i="52"/>
  <c r="AX40" i="52"/>
  <c r="U45" i="34"/>
  <c r="U45" i="52"/>
  <c r="U46" i="34"/>
  <c r="U46" i="52"/>
  <c r="U47" i="34"/>
  <c r="U47" i="52"/>
  <c r="U48" i="34"/>
  <c r="U48" i="52"/>
  <c r="U49" i="34"/>
  <c r="U49" i="52"/>
  <c r="AJ52" i="52"/>
  <c r="U69" i="34"/>
  <c r="U69" i="52"/>
  <c r="U70" i="34"/>
  <c r="U70" i="52"/>
  <c r="U71" i="34"/>
  <c r="U71" i="52"/>
  <c r="U72" i="34"/>
  <c r="U72" i="52"/>
  <c r="U73" i="34"/>
  <c r="U73" i="52"/>
  <c r="AJ76" i="52"/>
  <c r="AJ72" i="52"/>
  <c r="AJ23" i="52"/>
  <c r="AJ55" i="52"/>
  <c r="AJ56" i="52"/>
  <c r="AJ57" i="52"/>
  <c r="AJ58" i="52"/>
  <c r="AJ59" i="52"/>
  <c r="AJ51" i="52"/>
  <c r="AJ79" i="52"/>
  <c r="AJ80" i="52"/>
  <c r="AJ81" i="52"/>
  <c r="AJ82" i="52"/>
  <c r="AJ83" i="52"/>
  <c r="AJ75" i="52"/>
  <c r="AJ71" i="52"/>
  <c r="AJ22" i="52"/>
  <c r="O45" i="34"/>
  <c r="O45" i="52"/>
  <c r="O46" i="34"/>
  <c r="O46" i="52"/>
  <c r="O47" i="34"/>
  <c r="O47" i="52"/>
  <c r="O48" i="34"/>
  <c r="O48" i="52"/>
  <c r="O49" i="34"/>
  <c r="O49" i="52"/>
  <c r="AI52" i="52"/>
  <c r="O69" i="34"/>
  <c r="O69" i="52"/>
  <c r="O70" i="34"/>
  <c r="O70" i="52"/>
  <c r="O71" i="34"/>
  <c r="O71" i="52"/>
  <c r="O72" i="34"/>
  <c r="O72" i="52"/>
  <c r="O73" i="34"/>
  <c r="O73" i="52"/>
  <c r="AI76" i="52"/>
  <c r="AI72" i="52"/>
  <c r="AI23" i="52"/>
  <c r="Y45" i="34"/>
  <c r="Y45" i="52"/>
  <c r="Y46" i="34"/>
  <c r="Y46" i="52"/>
  <c r="Y47" i="34"/>
  <c r="Y47" i="52"/>
  <c r="Y48" i="34"/>
  <c r="Y48" i="52"/>
  <c r="Y49" i="34"/>
  <c r="Y49" i="52"/>
  <c r="Y50" i="34"/>
  <c r="Y50" i="52"/>
  <c r="Y51" i="34"/>
  <c r="Y51" i="52"/>
  <c r="Y52" i="34"/>
  <c r="Y52" i="52"/>
  <c r="AK52" i="52"/>
  <c r="Y69" i="34"/>
  <c r="Y69" i="52"/>
  <c r="Y70" i="34"/>
  <c r="Y70" i="52"/>
  <c r="Y71" i="34"/>
  <c r="Y71" i="52"/>
  <c r="Y72" i="34"/>
  <c r="Y72" i="52"/>
  <c r="Y73" i="34"/>
  <c r="Y73" i="52"/>
  <c r="Y74" i="34"/>
  <c r="Y74" i="52"/>
  <c r="Y75" i="34"/>
  <c r="Y75" i="52"/>
  <c r="Y76" i="34"/>
  <c r="Y76" i="52"/>
  <c r="AK76" i="52"/>
  <c r="AK72" i="52"/>
  <c r="AK23" i="52"/>
  <c r="AL52" i="52"/>
  <c r="AL76" i="52"/>
  <c r="AL72" i="52"/>
  <c r="AL23" i="52"/>
  <c r="AL51" i="52"/>
  <c r="AL75" i="52"/>
  <c r="AL71" i="52"/>
  <c r="AL22" i="52"/>
  <c r="AN575" i="52"/>
  <c r="AO575" i="52"/>
  <c r="AP575" i="52"/>
  <c r="AQ575" i="52"/>
  <c r="AR575" i="52"/>
  <c r="AP574" i="52"/>
  <c r="AQ574" i="52"/>
  <c r="AR574" i="52"/>
  <c r="AI76" i="53"/>
  <c r="AN571" i="52"/>
  <c r="AO571" i="52"/>
  <c r="AK76" i="53"/>
  <c r="AP571" i="52"/>
  <c r="AL76" i="53"/>
  <c r="AQ571" i="52"/>
  <c r="AR571" i="52"/>
  <c r="AP570" i="52"/>
  <c r="AQ570" i="52"/>
  <c r="AR570" i="52"/>
  <c r="AI65" i="53"/>
  <c r="AI66" i="53"/>
  <c r="AI67" i="53"/>
  <c r="AI68" i="53"/>
  <c r="AI69" i="53"/>
  <c r="AI64" i="53"/>
  <c r="AN451" i="52"/>
  <c r="AJ65" i="53"/>
  <c r="AJ66" i="53"/>
  <c r="AJ67" i="53"/>
  <c r="AJ68" i="53"/>
  <c r="AJ69" i="53"/>
  <c r="AJ64" i="53"/>
  <c r="AO451" i="52"/>
  <c r="AK65" i="53"/>
  <c r="AK66" i="53"/>
  <c r="AK67" i="53"/>
  <c r="AK68" i="53"/>
  <c r="AK69" i="53"/>
  <c r="AK70" i="53"/>
  <c r="AK71" i="53"/>
  <c r="AK72" i="53"/>
  <c r="AK64" i="53"/>
  <c r="AP451" i="52"/>
  <c r="AL65" i="53"/>
  <c r="AL66" i="53"/>
  <c r="AL67" i="53"/>
  <c r="AL68" i="53"/>
  <c r="AL69" i="53"/>
  <c r="AL70" i="53"/>
  <c r="AL71" i="53"/>
  <c r="AL72" i="53"/>
  <c r="AL64" i="53"/>
  <c r="AQ451" i="52"/>
  <c r="AR451" i="52"/>
  <c r="AN450" i="52"/>
  <c r="AO450" i="52"/>
  <c r="AP450" i="52"/>
  <c r="AQ450" i="52"/>
  <c r="AR450" i="52"/>
  <c r="AI53" i="53"/>
  <c r="AI54" i="53"/>
  <c r="AI55" i="53"/>
  <c r="AI56" i="53"/>
  <c r="AI57" i="53"/>
  <c r="AI52" i="53"/>
  <c r="AN351" i="52"/>
  <c r="AJ53" i="53"/>
  <c r="AJ54" i="53"/>
  <c r="AJ55" i="53"/>
  <c r="AJ56" i="53"/>
  <c r="AJ57" i="53"/>
  <c r="AJ52" i="53"/>
  <c r="AO351" i="52"/>
  <c r="AK53" i="53"/>
  <c r="AK54" i="53"/>
  <c r="AK55" i="53"/>
  <c r="AK56" i="53"/>
  <c r="AK57" i="53"/>
  <c r="AK58" i="53"/>
  <c r="AK59" i="53"/>
  <c r="AK60" i="53"/>
  <c r="AK52" i="53"/>
  <c r="AP351" i="52"/>
  <c r="AL53" i="53"/>
  <c r="AL54" i="53"/>
  <c r="AL55" i="53"/>
  <c r="AL56" i="53"/>
  <c r="AL57" i="53"/>
  <c r="AL58" i="53"/>
  <c r="AL59" i="53"/>
  <c r="AL60" i="53"/>
  <c r="AL52" i="53"/>
  <c r="AQ351" i="52"/>
  <c r="AR351" i="52"/>
  <c r="AO350" i="52"/>
  <c r="AP350" i="52"/>
  <c r="AQ350" i="52"/>
  <c r="AR350" i="52"/>
  <c r="AI41" i="53"/>
  <c r="AI42" i="53"/>
  <c r="AI43" i="53"/>
  <c r="AI44" i="53"/>
  <c r="AI45" i="53"/>
  <c r="AI40" i="53"/>
  <c r="AN275" i="52"/>
  <c r="AJ41" i="53"/>
  <c r="AJ42" i="53"/>
  <c r="AJ43" i="53"/>
  <c r="AJ44" i="53"/>
  <c r="AJ45" i="53"/>
  <c r="AJ40" i="53"/>
  <c r="AO275" i="52"/>
  <c r="AK41" i="53"/>
  <c r="AK42" i="53"/>
  <c r="AK43" i="53"/>
  <c r="AK44" i="53"/>
  <c r="AK45" i="53"/>
  <c r="AK46" i="53"/>
  <c r="AK47" i="53"/>
  <c r="AK48" i="53"/>
  <c r="AK40" i="53"/>
  <c r="AP275" i="52"/>
  <c r="AL41" i="53"/>
  <c r="AL42" i="53"/>
  <c r="AL43" i="53"/>
  <c r="AL44" i="53"/>
  <c r="AL45" i="53"/>
  <c r="AL46" i="53"/>
  <c r="AL47" i="53"/>
  <c r="AL48" i="53"/>
  <c r="AL40" i="53"/>
  <c r="AQ275" i="52"/>
  <c r="AR275" i="52"/>
  <c r="AN274" i="52"/>
  <c r="AO274" i="52"/>
  <c r="AP274" i="52"/>
  <c r="AQ274" i="52"/>
  <c r="AR274" i="52"/>
  <c r="AI29" i="53"/>
  <c r="AI30" i="53"/>
  <c r="AI31" i="53"/>
  <c r="AI32" i="53"/>
  <c r="AI33" i="53"/>
  <c r="AI28" i="53"/>
  <c r="AN200" i="52"/>
  <c r="AJ29" i="53"/>
  <c r="AJ30" i="53"/>
  <c r="AJ31" i="53"/>
  <c r="AJ32" i="53"/>
  <c r="AJ33" i="53"/>
  <c r="AJ28" i="53"/>
  <c r="AO200" i="52"/>
  <c r="AK29" i="53"/>
  <c r="AK30" i="53"/>
  <c r="AK31" i="53"/>
  <c r="AK32" i="53"/>
  <c r="AK33" i="53"/>
  <c r="AK34" i="53"/>
  <c r="AK35" i="53"/>
  <c r="AK36" i="53"/>
  <c r="AK28" i="53"/>
  <c r="AP200" i="52"/>
  <c r="AL29" i="53"/>
  <c r="AL30" i="53"/>
  <c r="AL31" i="53"/>
  <c r="AL32" i="53"/>
  <c r="AL33" i="53"/>
  <c r="AL34" i="53"/>
  <c r="AL35" i="53"/>
  <c r="AL36" i="53"/>
  <c r="AL28" i="53"/>
  <c r="AQ200" i="52"/>
  <c r="AR200" i="52"/>
  <c r="AN199" i="52"/>
  <c r="AO199" i="52"/>
  <c r="AP199" i="52"/>
  <c r="AQ199" i="52"/>
  <c r="AR199" i="52"/>
  <c r="AN193" i="52"/>
  <c r="AO193" i="52"/>
  <c r="AP193" i="52"/>
  <c r="AQ193" i="52"/>
  <c r="AR193" i="52"/>
  <c r="AN192" i="52"/>
  <c r="AO192" i="52"/>
  <c r="AP192" i="52"/>
  <c r="AQ192" i="52"/>
  <c r="AR192" i="52"/>
  <c r="AL422" i="52"/>
  <c r="AL320" i="52"/>
  <c r="AL321" i="52"/>
  <c r="AL245" i="52"/>
  <c r="AL246" i="52"/>
  <c r="AR577" i="34"/>
  <c r="AQ577" i="34"/>
  <c r="AP577" i="34"/>
  <c r="AO577" i="34"/>
  <c r="AN577" i="34"/>
  <c r="AR576" i="34"/>
  <c r="AQ576" i="34"/>
  <c r="AP576" i="34"/>
  <c r="AO576" i="34"/>
  <c r="AN576" i="34"/>
  <c r="AR574" i="34"/>
  <c r="AR575" i="34"/>
  <c r="AI574" i="34"/>
  <c r="AJ574" i="34"/>
  <c r="AK574" i="34"/>
  <c r="AL574" i="34"/>
  <c r="AI575" i="34"/>
  <c r="AJ575" i="34"/>
  <c r="AK575" i="34"/>
  <c r="AL575" i="34"/>
  <c r="AI576" i="34"/>
  <c r="AJ576" i="34"/>
  <c r="AK576" i="34"/>
  <c r="AL576" i="34"/>
  <c r="AI577" i="34"/>
  <c r="AJ577" i="34"/>
  <c r="AK577" i="34"/>
  <c r="AL577" i="34"/>
  <c r="AR452" i="34"/>
  <c r="AR453" i="34"/>
  <c r="AI452" i="34"/>
  <c r="AJ452" i="34"/>
  <c r="AK452" i="34"/>
  <c r="AL452" i="34"/>
  <c r="AI453" i="34"/>
  <c r="AJ453" i="34"/>
  <c r="AK453" i="34"/>
  <c r="AL453" i="34"/>
  <c r="AR351" i="34"/>
  <c r="AR352" i="34"/>
  <c r="AR276" i="34"/>
  <c r="AR277" i="34"/>
  <c r="AI351" i="34"/>
  <c r="AJ351" i="34"/>
  <c r="AK351" i="34"/>
  <c r="AL351" i="34"/>
  <c r="AI352" i="34"/>
  <c r="AJ352" i="34"/>
  <c r="AK352" i="34"/>
  <c r="AL352" i="34"/>
  <c r="AQ575" i="34"/>
  <c r="AP575" i="34"/>
  <c r="AO575" i="34"/>
  <c r="AN575" i="34"/>
  <c r="AQ574" i="34"/>
  <c r="AP574" i="34"/>
  <c r="AO574" i="34"/>
  <c r="AN574" i="34"/>
  <c r="AQ453" i="34"/>
  <c r="AP453" i="34"/>
  <c r="AO453" i="34"/>
  <c r="AN453" i="34"/>
  <c r="AQ452" i="34"/>
  <c r="AP452" i="34"/>
  <c r="AO452" i="34"/>
  <c r="AN452" i="34"/>
  <c r="AQ352" i="34"/>
  <c r="AP352" i="34"/>
  <c r="AO352" i="34"/>
  <c r="AN352" i="34"/>
  <c r="AQ351" i="34"/>
  <c r="AP351" i="34"/>
  <c r="AO351" i="34"/>
  <c r="AN351" i="34"/>
  <c r="AQ277" i="34"/>
  <c r="AP277" i="34"/>
  <c r="AO277" i="34"/>
  <c r="AN277" i="34"/>
  <c r="AQ276" i="34"/>
  <c r="AP276" i="34"/>
  <c r="AO276" i="34"/>
  <c r="AN276" i="34"/>
  <c r="AR202" i="34"/>
  <c r="AQ202" i="34"/>
  <c r="AP202" i="34"/>
  <c r="AO202" i="34"/>
  <c r="AN202" i="34"/>
  <c r="AR201" i="34"/>
  <c r="AQ201" i="34"/>
  <c r="AP201" i="34"/>
  <c r="AO201" i="34"/>
  <c r="AN201" i="34"/>
  <c r="P103" i="51"/>
  <c r="T103" i="51"/>
  <c r="T113" i="51"/>
  <c r="P126" i="51"/>
  <c r="T126" i="51"/>
  <c r="T136" i="51"/>
  <c r="P149" i="51"/>
  <c r="T149" i="51"/>
  <c r="P173" i="51"/>
  <c r="T173" i="51"/>
  <c r="T183" i="51"/>
  <c r="Q173" i="51"/>
  <c r="U173" i="51"/>
  <c r="U183" i="51"/>
  <c r="R173" i="51"/>
  <c r="V173" i="51"/>
  <c r="V183" i="51"/>
  <c r="S173" i="51"/>
  <c r="W173" i="51"/>
  <c r="W183" i="51"/>
  <c r="AR103" i="34"/>
  <c r="AQ103" i="34"/>
  <c r="AP103" i="34"/>
  <c r="AO103" i="34"/>
  <c r="AN103" i="34"/>
  <c r="P102" i="51"/>
  <c r="T102" i="51"/>
  <c r="T112" i="51"/>
  <c r="P125" i="51"/>
  <c r="T125" i="51"/>
  <c r="T135" i="51"/>
  <c r="P148" i="51"/>
  <c r="T148" i="51"/>
  <c r="P172" i="51"/>
  <c r="T172" i="51"/>
  <c r="T182" i="51"/>
  <c r="Q172" i="51"/>
  <c r="U172" i="51"/>
  <c r="U182" i="51"/>
  <c r="R172" i="51"/>
  <c r="V172" i="51"/>
  <c r="V182" i="51"/>
  <c r="S172" i="51"/>
  <c r="W172" i="51"/>
  <c r="W182" i="51"/>
  <c r="AR102" i="34"/>
  <c r="AQ102" i="34"/>
  <c r="AP102" i="34"/>
  <c r="AO102" i="34"/>
  <c r="AN102" i="34"/>
  <c r="P30" i="51"/>
  <c r="T30" i="51"/>
  <c r="T40" i="51"/>
  <c r="P53" i="51"/>
  <c r="T53" i="51"/>
  <c r="T63" i="51"/>
  <c r="P77" i="51"/>
  <c r="T77" i="51"/>
  <c r="T87" i="51"/>
  <c r="AR30" i="34"/>
  <c r="AQ30" i="34"/>
  <c r="AP30" i="34"/>
  <c r="AO30" i="34"/>
  <c r="AN30" i="34"/>
  <c r="P31" i="51"/>
  <c r="T31" i="51"/>
  <c r="T41" i="51"/>
  <c r="P54" i="51"/>
  <c r="T54" i="51"/>
  <c r="T64" i="51"/>
  <c r="P78" i="51"/>
  <c r="T78" i="51"/>
  <c r="T88" i="51"/>
  <c r="AR31" i="34"/>
  <c r="AQ31" i="34"/>
  <c r="AP31" i="34"/>
  <c r="AO31" i="34"/>
  <c r="AN31" i="34"/>
  <c r="H174" i="51"/>
  <c r="I174" i="51"/>
  <c r="J174" i="51"/>
  <c r="K174" i="51"/>
  <c r="AO104" i="34"/>
  <c r="H175" i="51"/>
  <c r="I175" i="51"/>
  <c r="J175" i="51"/>
  <c r="K175" i="51"/>
  <c r="AO105" i="34"/>
  <c r="H176" i="51"/>
  <c r="I176" i="51"/>
  <c r="J176" i="51"/>
  <c r="K176" i="51"/>
  <c r="AO106" i="34"/>
  <c r="H177" i="51"/>
  <c r="I177" i="51"/>
  <c r="J177" i="51"/>
  <c r="K177" i="51"/>
  <c r="AO107" i="34"/>
  <c r="H178" i="51"/>
  <c r="I178" i="51"/>
  <c r="J178" i="51"/>
  <c r="K178" i="51"/>
  <c r="AO108" i="34"/>
  <c r="AO109" i="34"/>
  <c r="AO110" i="34"/>
  <c r="AO111" i="34"/>
  <c r="AO112" i="34"/>
  <c r="AO113" i="34"/>
  <c r="AO114" i="34"/>
  <c r="AO115" i="34"/>
  <c r="H100" i="51"/>
  <c r="H123" i="51"/>
  <c r="H170" i="51"/>
  <c r="I170" i="51"/>
  <c r="J170" i="51"/>
  <c r="K170" i="51"/>
  <c r="AO100" i="34"/>
  <c r="H101" i="51"/>
  <c r="H124" i="51"/>
  <c r="H171" i="51"/>
  <c r="I171" i="51"/>
  <c r="J171" i="51"/>
  <c r="K171" i="51"/>
  <c r="AO101" i="34"/>
  <c r="H99" i="51"/>
  <c r="H122" i="51"/>
  <c r="H169" i="51"/>
  <c r="I169" i="51"/>
  <c r="J169" i="51"/>
  <c r="K169" i="51"/>
  <c r="AO99" i="34"/>
  <c r="L179" i="51"/>
  <c r="M179" i="51"/>
  <c r="N179" i="51"/>
  <c r="O179" i="51"/>
  <c r="AP99" i="34"/>
  <c r="P179" i="51"/>
  <c r="Q179" i="51"/>
  <c r="R179" i="51"/>
  <c r="S179" i="51"/>
  <c r="AQ99" i="34"/>
  <c r="T145" i="51"/>
  <c r="U179" i="51"/>
  <c r="W179" i="51"/>
  <c r="AR99" i="34"/>
  <c r="L180" i="51"/>
  <c r="M180" i="51"/>
  <c r="N180" i="51"/>
  <c r="O180" i="51"/>
  <c r="AP100" i="34"/>
  <c r="P180" i="51"/>
  <c r="Q180" i="51"/>
  <c r="R180" i="51"/>
  <c r="S180" i="51"/>
  <c r="AQ100" i="34"/>
  <c r="T146" i="51"/>
  <c r="U180" i="51"/>
  <c r="W180" i="51"/>
  <c r="AR100" i="34"/>
  <c r="L181" i="51"/>
  <c r="M181" i="51"/>
  <c r="N181" i="51"/>
  <c r="O181" i="51"/>
  <c r="AP101" i="34"/>
  <c r="P181" i="51"/>
  <c r="Q181" i="51"/>
  <c r="R181" i="51"/>
  <c r="S181" i="51"/>
  <c r="AQ101" i="34"/>
  <c r="T147" i="51"/>
  <c r="U181" i="51"/>
  <c r="W181" i="51"/>
  <c r="AR101" i="34"/>
  <c r="D168" i="51"/>
  <c r="E168" i="51"/>
  <c r="F168" i="51"/>
  <c r="G168" i="51"/>
  <c r="AN98" i="34"/>
  <c r="AO98" i="34"/>
  <c r="L178" i="51"/>
  <c r="M178" i="51"/>
  <c r="N178" i="51"/>
  <c r="O178" i="51"/>
  <c r="AP98" i="34"/>
  <c r="P178" i="51"/>
  <c r="Q178" i="51"/>
  <c r="R178" i="51"/>
  <c r="S178" i="51"/>
  <c r="AQ98" i="34"/>
  <c r="T144" i="51"/>
  <c r="U178" i="51"/>
  <c r="W178" i="51"/>
  <c r="AR98" i="34"/>
  <c r="D165" i="51"/>
  <c r="E165" i="51"/>
  <c r="F165" i="51"/>
  <c r="G165" i="51"/>
  <c r="AN95" i="34"/>
  <c r="AO95" i="34"/>
  <c r="L175" i="51"/>
  <c r="M175" i="51"/>
  <c r="N175" i="51"/>
  <c r="O175" i="51"/>
  <c r="AP95" i="34"/>
  <c r="P175" i="51"/>
  <c r="Q175" i="51"/>
  <c r="R175" i="51"/>
  <c r="S175" i="51"/>
  <c r="AQ95" i="34"/>
  <c r="D166" i="51"/>
  <c r="E166" i="51"/>
  <c r="F166" i="51"/>
  <c r="G166" i="51"/>
  <c r="AN96" i="34"/>
  <c r="AO96" i="34"/>
  <c r="L176" i="51"/>
  <c r="M176" i="51"/>
  <c r="N176" i="51"/>
  <c r="O176" i="51"/>
  <c r="AP96" i="34"/>
  <c r="P176" i="51"/>
  <c r="Q176" i="51"/>
  <c r="R176" i="51"/>
  <c r="S176" i="51"/>
  <c r="AQ96" i="34"/>
  <c r="T142" i="51"/>
  <c r="U176" i="51"/>
  <c r="W176" i="51"/>
  <c r="AR96" i="34"/>
  <c r="D167" i="51"/>
  <c r="E167" i="51"/>
  <c r="F167" i="51"/>
  <c r="G167" i="51"/>
  <c r="AN97" i="34"/>
  <c r="AO97" i="34"/>
  <c r="L177" i="51"/>
  <c r="M177" i="51"/>
  <c r="N177" i="51"/>
  <c r="O177" i="51"/>
  <c r="AP97" i="34"/>
  <c r="P177" i="51"/>
  <c r="Q177" i="51"/>
  <c r="R177" i="51"/>
  <c r="S177" i="51"/>
  <c r="AQ97" i="34"/>
  <c r="U177" i="51"/>
  <c r="T143" i="51"/>
  <c r="W177" i="51"/>
  <c r="AR97" i="34"/>
  <c r="L174" i="51"/>
  <c r="M174" i="51"/>
  <c r="N174" i="51"/>
  <c r="O174" i="51"/>
  <c r="AP94" i="34"/>
  <c r="T140" i="51"/>
  <c r="U174" i="51"/>
  <c r="W174" i="51"/>
  <c r="AR94" i="34"/>
  <c r="P174" i="51"/>
  <c r="Q174" i="51"/>
  <c r="R174" i="51"/>
  <c r="S174" i="51"/>
  <c r="AQ94" i="34"/>
  <c r="AO94" i="34"/>
  <c r="D164" i="51"/>
  <c r="E164" i="51"/>
  <c r="F164" i="51"/>
  <c r="G164" i="51"/>
  <c r="AN94" i="34"/>
  <c r="AN101" i="34"/>
  <c r="AN100" i="34"/>
  <c r="AN99" i="34"/>
  <c r="AR93" i="34"/>
  <c r="AQ93" i="34"/>
  <c r="AP93" i="34"/>
  <c r="AO93" i="34"/>
  <c r="AN93" i="34"/>
  <c r="AH94" i="34"/>
  <c r="AH95" i="34"/>
  <c r="AH96" i="34"/>
  <c r="AH97" i="34"/>
  <c r="AH98" i="34"/>
  <c r="AH93" i="34"/>
  <c r="AI22" i="34"/>
  <c r="AI94" i="34"/>
  <c r="AI23" i="34"/>
  <c r="AI95" i="34"/>
  <c r="AI24" i="34"/>
  <c r="AI96" i="34"/>
  <c r="AI25" i="34"/>
  <c r="AI97" i="34"/>
  <c r="AI26" i="34"/>
  <c r="AI98" i="34"/>
  <c r="AI93" i="34"/>
  <c r="AJ22" i="34"/>
  <c r="AJ94" i="34"/>
  <c r="AJ23" i="34"/>
  <c r="AJ95" i="34"/>
  <c r="AJ24" i="34"/>
  <c r="AJ96" i="34"/>
  <c r="AJ25" i="34"/>
  <c r="AJ97" i="34"/>
  <c r="AJ26" i="34"/>
  <c r="AJ98" i="34"/>
  <c r="AI27" i="34"/>
  <c r="U27" i="34"/>
  <c r="AJ27" i="34"/>
  <c r="AJ99" i="34"/>
  <c r="AI28" i="34"/>
  <c r="U28" i="34"/>
  <c r="AJ28" i="34"/>
  <c r="AJ100" i="34"/>
  <c r="AI29" i="34"/>
  <c r="U29" i="34"/>
  <c r="AJ29" i="34"/>
  <c r="AJ101" i="34"/>
  <c r="AJ93" i="34"/>
  <c r="AK22" i="34"/>
  <c r="AK94" i="34"/>
  <c r="AK23" i="34"/>
  <c r="AK95" i="34"/>
  <c r="AK24" i="34"/>
  <c r="AK96" i="34"/>
  <c r="AK25" i="34"/>
  <c r="AK97" i="34"/>
  <c r="AK26" i="34"/>
  <c r="AK98" i="34"/>
  <c r="AK27" i="34"/>
  <c r="AK99" i="34"/>
  <c r="AK28" i="34"/>
  <c r="AK100" i="34"/>
  <c r="AK29" i="34"/>
  <c r="AK101" i="34"/>
  <c r="AK93" i="34"/>
  <c r="AL22" i="34"/>
  <c r="AL94" i="34"/>
  <c r="AL23" i="34"/>
  <c r="AL95" i="34"/>
  <c r="AL24" i="34"/>
  <c r="AL96" i="34"/>
  <c r="AL25" i="34"/>
  <c r="AL97" i="34"/>
  <c r="AL26" i="34"/>
  <c r="AL98" i="34"/>
  <c r="AL27" i="34"/>
  <c r="AL99" i="34"/>
  <c r="AL28" i="34"/>
  <c r="AL100" i="34"/>
  <c r="AL29" i="34"/>
  <c r="AL101" i="34"/>
  <c r="AL93" i="34"/>
  <c r="AH99" i="34"/>
  <c r="AI99" i="34"/>
  <c r="AH100" i="34"/>
  <c r="AI100" i="34"/>
  <c r="AH101" i="34"/>
  <c r="AI101" i="34"/>
  <c r="AH102" i="34"/>
  <c r="AI30" i="34"/>
  <c r="AI102" i="34"/>
  <c r="AJ30" i="34"/>
  <c r="AJ102" i="34"/>
  <c r="AK30" i="34"/>
  <c r="AK102" i="34"/>
  <c r="AC30" i="34"/>
  <c r="AL30" i="34"/>
  <c r="AL102" i="34"/>
  <c r="AH103" i="34"/>
  <c r="AI31" i="34"/>
  <c r="AI103" i="34"/>
  <c r="AJ31" i="34"/>
  <c r="AJ103" i="34"/>
  <c r="AK31" i="34"/>
  <c r="AK103" i="34"/>
  <c r="AC31" i="34"/>
  <c r="AL31" i="34"/>
  <c r="AL103" i="34"/>
  <c r="H28" i="51"/>
  <c r="H51" i="51"/>
  <c r="H75" i="51"/>
  <c r="AO28" i="34"/>
  <c r="H29" i="51"/>
  <c r="H52" i="51"/>
  <c r="H76" i="51"/>
  <c r="AO29" i="34"/>
  <c r="H27" i="51"/>
  <c r="H50" i="51"/>
  <c r="H74" i="51"/>
  <c r="AO27" i="34"/>
  <c r="AP27" i="34"/>
  <c r="AQ27" i="34"/>
  <c r="AR27" i="34"/>
  <c r="AP28" i="34"/>
  <c r="AQ28" i="34"/>
  <c r="AR28" i="34"/>
  <c r="AP29" i="34"/>
  <c r="AQ29" i="34"/>
  <c r="AR29" i="34"/>
  <c r="AN26" i="34"/>
  <c r="AO26" i="34"/>
  <c r="AP26" i="34"/>
  <c r="AQ26" i="34"/>
  <c r="AR26" i="34"/>
  <c r="AN23" i="34"/>
  <c r="AO23" i="34"/>
  <c r="AP23" i="34"/>
  <c r="AQ23" i="34"/>
  <c r="AR23" i="34"/>
  <c r="AN24" i="34"/>
  <c r="AO24" i="34"/>
  <c r="AP24" i="34"/>
  <c r="AQ24" i="34"/>
  <c r="AR24" i="34"/>
  <c r="AN25" i="34"/>
  <c r="AO25" i="34"/>
  <c r="AP25" i="34"/>
  <c r="AQ25" i="34"/>
  <c r="AR25" i="34"/>
  <c r="AR22" i="34"/>
  <c r="AQ22" i="34"/>
  <c r="AO22" i="34"/>
  <c r="AP22" i="34"/>
  <c r="AN22" i="34"/>
  <c r="AN29" i="34"/>
  <c r="AN28" i="34"/>
  <c r="AN27" i="34"/>
  <c r="AR21" i="34"/>
  <c r="AQ21" i="34"/>
  <c r="AP21" i="34"/>
  <c r="AO21" i="34"/>
  <c r="AN21" i="34"/>
  <c r="AL21" i="34"/>
  <c r="AK21" i="34"/>
  <c r="AJ21" i="34"/>
  <c r="AI21" i="34"/>
  <c r="AH21" i="34"/>
  <c r="AR565" i="34"/>
  <c r="AQ565" i="34"/>
  <c r="AP565" i="34"/>
  <c r="AO565" i="34"/>
  <c r="AN565" i="34"/>
  <c r="AL565" i="34"/>
  <c r="AK565" i="34"/>
  <c r="AJ565" i="34"/>
  <c r="AI565" i="34"/>
  <c r="AH565" i="34"/>
  <c r="AR443" i="34"/>
  <c r="AQ443" i="34"/>
  <c r="AP443" i="34"/>
  <c r="AO443" i="34"/>
  <c r="AN443" i="34"/>
  <c r="AL443" i="34"/>
  <c r="AK443" i="34"/>
  <c r="AJ443" i="34"/>
  <c r="AI443" i="34"/>
  <c r="AH443" i="34"/>
  <c r="AR342" i="34"/>
  <c r="AQ342" i="34"/>
  <c r="AP342" i="34"/>
  <c r="AO342" i="34"/>
  <c r="AN342" i="34"/>
  <c r="AL342" i="34"/>
  <c r="AK342" i="34"/>
  <c r="AJ342" i="34"/>
  <c r="AI342" i="34"/>
  <c r="AH342" i="34"/>
  <c r="AI277" i="34"/>
  <c r="AJ277" i="34"/>
  <c r="AK277" i="34"/>
  <c r="AL277" i="34"/>
  <c r="AI276" i="34"/>
  <c r="AJ276" i="34"/>
  <c r="AK276" i="34"/>
  <c r="AL276" i="34"/>
  <c r="AR267" i="34"/>
  <c r="AQ267" i="34"/>
  <c r="AP267" i="34"/>
  <c r="AO267" i="34"/>
  <c r="AN267" i="34"/>
  <c r="AL267" i="34"/>
  <c r="AK267" i="34"/>
  <c r="AJ267" i="34"/>
  <c r="AI267" i="34"/>
  <c r="AH267" i="34"/>
  <c r="AI201" i="34"/>
  <c r="AJ201" i="34"/>
  <c r="AK201" i="34"/>
  <c r="AL201" i="34"/>
  <c r="AI202" i="34"/>
  <c r="AJ202" i="34"/>
  <c r="AK202" i="34"/>
  <c r="AL202" i="34"/>
  <c r="AN192" i="34"/>
  <c r="AJ192" i="34"/>
  <c r="AO192" i="34"/>
  <c r="AP192" i="34"/>
  <c r="AH192" i="34"/>
  <c r="AR192" i="34"/>
  <c r="AQ192" i="34"/>
  <c r="AL192" i="34"/>
  <c r="AK192" i="34"/>
  <c r="AI192" i="34"/>
  <c r="AS283" i="52"/>
  <c r="AS306" i="52"/>
  <c r="AS329" i="52"/>
  <c r="AU283" i="52"/>
  <c r="AS284" i="52"/>
  <c r="AS307" i="52"/>
  <c r="AS330" i="52"/>
  <c r="AU284" i="52"/>
  <c r="AS285" i="52"/>
  <c r="AS308" i="52"/>
  <c r="AS331" i="52"/>
  <c r="AU285" i="52"/>
  <c r="AV285" i="52"/>
  <c r="AS278" i="52"/>
  <c r="AS301" i="52"/>
  <c r="AS324" i="52"/>
  <c r="AU278" i="52"/>
  <c r="AS279" i="52"/>
  <c r="AS302" i="52"/>
  <c r="AS325" i="52"/>
  <c r="AU279" i="52"/>
  <c r="AS280" i="52"/>
  <c r="AS303" i="52"/>
  <c r="AS326" i="52"/>
  <c r="AU280" i="52"/>
  <c r="AS281" i="52"/>
  <c r="AS304" i="52"/>
  <c r="AS327" i="52"/>
  <c r="AU281" i="52"/>
  <c r="AS282" i="52"/>
  <c r="AS305" i="52"/>
  <c r="AS328" i="52"/>
  <c r="AU282" i="52"/>
  <c r="AV282" i="52"/>
  <c r="AS273" i="52"/>
  <c r="AS296" i="52"/>
  <c r="AS319" i="52"/>
  <c r="AU273" i="52"/>
  <c r="AS274" i="52"/>
  <c r="AS297" i="52"/>
  <c r="AS320" i="52"/>
  <c r="AU274" i="52"/>
  <c r="AS275" i="52"/>
  <c r="AS298" i="52"/>
  <c r="AS321" i="52"/>
  <c r="AU275" i="52"/>
  <c r="AV275" i="52"/>
  <c r="AS268" i="52"/>
  <c r="AS291" i="52"/>
  <c r="AS314" i="52"/>
  <c r="AU268" i="52"/>
  <c r="AS269" i="52"/>
  <c r="AS292" i="52"/>
  <c r="AS315" i="52"/>
  <c r="AU269" i="52"/>
  <c r="AS270" i="52"/>
  <c r="AS293" i="52"/>
  <c r="AS316" i="52"/>
  <c r="AU270" i="52"/>
  <c r="AS271" i="52"/>
  <c r="AS294" i="52"/>
  <c r="AS317" i="52"/>
  <c r="AU271" i="52"/>
  <c r="AS272" i="52"/>
  <c r="AS295" i="52"/>
  <c r="AS318" i="52"/>
  <c r="AU272" i="52"/>
  <c r="AV272" i="52"/>
  <c r="AS359" i="52"/>
  <c r="AS383" i="52"/>
  <c r="AU359" i="52"/>
  <c r="AS360" i="52"/>
  <c r="AS384" i="52"/>
  <c r="AU360" i="52"/>
  <c r="AS361" i="52"/>
  <c r="AS385" i="52"/>
  <c r="AU361" i="52"/>
  <c r="AV361" i="52"/>
  <c r="AS354" i="52"/>
  <c r="AS378" i="52"/>
  <c r="AU354" i="52"/>
  <c r="AS355" i="52"/>
  <c r="AS379" i="52"/>
  <c r="AU355" i="52"/>
  <c r="AS356" i="52"/>
  <c r="AS380" i="52"/>
  <c r="AU356" i="52"/>
  <c r="AS357" i="52"/>
  <c r="AS381" i="52"/>
  <c r="AU357" i="52"/>
  <c r="AS358" i="52"/>
  <c r="AS382" i="52"/>
  <c r="AU358" i="52"/>
  <c r="AV358" i="52"/>
  <c r="AS349" i="52"/>
  <c r="AS373" i="52"/>
  <c r="AU349" i="52"/>
  <c r="AS350" i="52"/>
  <c r="AS374" i="52"/>
  <c r="AU350" i="52"/>
  <c r="AS351" i="52"/>
  <c r="AS375" i="52"/>
  <c r="AU351" i="52"/>
  <c r="AV351" i="52"/>
  <c r="AS344" i="52"/>
  <c r="AS368" i="52"/>
  <c r="AU344" i="52"/>
  <c r="AS345" i="52"/>
  <c r="AS369" i="52"/>
  <c r="AU345" i="52"/>
  <c r="AS346" i="52"/>
  <c r="AS370" i="52"/>
  <c r="AU346" i="52"/>
  <c r="AS347" i="52"/>
  <c r="AS371" i="52"/>
  <c r="AU347" i="52"/>
  <c r="AS348" i="52"/>
  <c r="AS372" i="52"/>
  <c r="AU348" i="52"/>
  <c r="AV348" i="52"/>
  <c r="AS459" i="52"/>
  <c r="AS482" i="52"/>
  <c r="AS505" i="52"/>
  <c r="AS528" i="52"/>
  <c r="AS552" i="52"/>
  <c r="AU459" i="52"/>
  <c r="AS460" i="52"/>
  <c r="AS483" i="52"/>
  <c r="AS506" i="52"/>
  <c r="AS529" i="52"/>
  <c r="AS553" i="52"/>
  <c r="AU460" i="52"/>
  <c r="AS461" i="52"/>
  <c r="AS484" i="52"/>
  <c r="AS507" i="52"/>
  <c r="AS530" i="52"/>
  <c r="AS554" i="52"/>
  <c r="AU461" i="52"/>
  <c r="AV461" i="52"/>
  <c r="AS454" i="52"/>
  <c r="AS477" i="52"/>
  <c r="AS500" i="52"/>
  <c r="AS523" i="52"/>
  <c r="AS547" i="52"/>
  <c r="AU454" i="52"/>
  <c r="AS455" i="52"/>
  <c r="AS478" i="52"/>
  <c r="AS501" i="52"/>
  <c r="AS524" i="52"/>
  <c r="AS548" i="52"/>
  <c r="AU455" i="52"/>
  <c r="AS456" i="52"/>
  <c r="AS479" i="52"/>
  <c r="AS502" i="52"/>
  <c r="AS525" i="52"/>
  <c r="AS549" i="52"/>
  <c r="AU456" i="52"/>
  <c r="AS457" i="52"/>
  <c r="AS480" i="52"/>
  <c r="AS503" i="52"/>
  <c r="AS526" i="52"/>
  <c r="AS550" i="52"/>
  <c r="AU457" i="52"/>
  <c r="AS458" i="52"/>
  <c r="AS481" i="52"/>
  <c r="AS504" i="52"/>
  <c r="AS527" i="52"/>
  <c r="AS551" i="52"/>
  <c r="AU458" i="52"/>
  <c r="AV458" i="52"/>
  <c r="AS449" i="52"/>
  <c r="AS472" i="52"/>
  <c r="AS495" i="52"/>
  <c r="AS518" i="52"/>
  <c r="AS542" i="52"/>
  <c r="AU449" i="52"/>
  <c r="AS450" i="52"/>
  <c r="AS473" i="52"/>
  <c r="AS496" i="52"/>
  <c r="AS519" i="52"/>
  <c r="AS543" i="52"/>
  <c r="AU450" i="52"/>
  <c r="AS451" i="52"/>
  <c r="AS474" i="52"/>
  <c r="AS497" i="52"/>
  <c r="AS520" i="52"/>
  <c r="AS544" i="52"/>
  <c r="AU451" i="52"/>
  <c r="AV451" i="52"/>
  <c r="AS444" i="52"/>
  <c r="AS467" i="52"/>
  <c r="AS490" i="52"/>
  <c r="AS513" i="52"/>
  <c r="AS537" i="52"/>
  <c r="AU444" i="52"/>
  <c r="AS445" i="52"/>
  <c r="AS468" i="52"/>
  <c r="AS491" i="52"/>
  <c r="AS514" i="52"/>
  <c r="AS538" i="52"/>
  <c r="AU445" i="52"/>
  <c r="AS446" i="52"/>
  <c r="AS469" i="52"/>
  <c r="AS492" i="52"/>
  <c r="AS515" i="52"/>
  <c r="AS539" i="52"/>
  <c r="AU446" i="52"/>
  <c r="AS447" i="52"/>
  <c r="AS470" i="52"/>
  <c r="AS493" i="52"/>
  <c r="AS516" i="52"/>
  <c r="AS540" i="52"/>
  <c r="AU447" i="52"/>
  <c r="AS448" i="52"/>
  <c r="AS471" i="52"/>
  <c r="AS494" i="52"/>
  <c r="AS517" i="52"/>
  <c r="AS541" i="52"/>
  <c r="AU448" i="52"/>
  <c r="AV448" i="52"/>
  <c r="AS584" i="52"/>
  <c r="AS613" i="52"/>
  <c r="AU584" i="52"/>
  <c r="AS585" i="52"/>
  <c r="AS614" i="52"/>
  <c r="AU585" i="52"/>
  <c r="AS586" i="52"/>
  <c r="AS615" i="52"/>
  <c r="AU586" i="52"/>
  <c r="AV586" i="52"/>
  <c r="AS579" i="52"/>
  <c r="AS608" i="52"/>
  <c r="AU579" i="52"/>
  <c r="AS580" i="52"/>
  <c r="AS609" i="52"/>
  <c r="AU580" i="52"/>
  <c r="AS581" i="52"/>
  <c r="AS610" i="52"/>
  <c r="AU581" i="52"/>
  <c r="AS582" i="52"/>
  <c r="AS611" i="52"/>
  <c r="AU582" i="52"/>
  <c r="AS583" i="52"/>
  <c r="AS612" i="52"/>
  <c r="AU583" i="52"/>
  <c r="AV583" i="52"/>
  <c r="AS571" i="52"/>
  <c r="AS600" i="52"/>
  <c r="AU571" i="52"/>
  <c r="AS572" i="52"/>
  <c r="AS601" i="52"/>
  <c r="AU572" i="52"/>
  <c r="AS573" i="52"/>
  <c r="AS602" i="52"/>
  <c r="AU573" i="52"/>
  <c r="AV573" i="52"/>
  <c r="AS566" i="52"/>
  <c r="AS595" i="52"/>
  <c r="AU566" i="52"/>
  <c r="AS567" i="52"/>
  <c r="AS596" i="52"/>
  <c r="AU567" i="52"/>
  <c r="AS568" i="52"/>
  <c r="AS597" i="52"/>
  <c r="AU568" i="52"/>
  <c r="AS569" i="52"/>
  <c r="AS598" i="52"/>
  <c r="AU569" i="52"/>
  <c r="AS570" i="52"/>
  <c r="AS599" i="52"/>
  <c r="AU570" i="52"/>
  <c r="AV570" i="52"/>
  <c r="AS208" i="52"/>
  <c r="AS231" i="52"/>
  <c r="AS254" i="52"/>
  <c r="AU208" i="52"/>
  <c r="AS209" i="52"/>
  <c r="AS232" i="52"/>
  <c r="AS255" i="52"/>
  <c r="AU209" i="52"/>
  <c r="AS210" i="52"/>
  <c r="AS233" i="52"/>
  <c r="AS256" i="52"/>
  <c r="AU210" i="52"/>
  <c r="AV210" i="52"/>
  <c r="AS203" i="52"/>
  <c r="AS226" i="52"/>
  <c r="AS249" i="52"/>
  <c r="AU203" i="52"/>
  <c r="AS204" i="52"/>
  <c r="AS227" i="52"/>
  <c r="AS250" i="52"/>
  <c r="AU204" i="52"/>
  <c r="AS205" i="52"/>
  <c r="AS228" i="52"/>
  <c r="AS251" i="52"/>
  <c r="AU205" i="52"/>
  <c r="AS206" i="52"/>
  <c r="AS229" i="52"/>
  <c r="AS252" i="52"/>
  <c r="AU206" i="52"/>
  <c r="AS207" i="52"/>
  <c r="AS230" i="52"/>
  <c r="AS253" i="52"/>
  <c r="AU207" i="52"/>
  <c r="AV207" i="52"/>
  <c r="AS198" i="52"/>
  <c r="AS221" i="52"/>
  <c r="AS244" i="52"/>
  <c r="AU198" i="52"/>
  <c r="AS199" i="52"/>
  <c r="AS222" i="52"/>
  <c r="AS245" i="52"/>
  <c r="AU199" i="52"/>
  <c r="AS200" i="52"/>
  <c r="AS223" i="52"/>
  <c r="AS246" i="52"/>
  <c r="AU200" i="52"/>
  <c r="AV200" i="52"/>
  <c r="AS193" i="52"/>
  <c r="AS216" i="52"/>
  <c r="AS239" i="52"/>
  <c r="AU193" i="52"/>
  <c r="AS194" i="52"/>
  <c r="AS217" i="52"/>
  <c r="AS240" i="52"/>
  <c r="AU194" i="52"/>
  <c r="AS195" i="52"/>
  <c r="AS218" i="52"/>
  <c r="AS241" i="52"/>
  <c r="AU195" i="52"/>
  <c r="AS196" i="52"/>
  <c r="AS219" i="52"/>
  <c r="AS242" i="52"/>
  <c r="AU196" i="52"/>
  <c r="AS197" i="52"/>
  <c r="AS220" i="52"/>
  <c r="AS243" i="52"/>
  <c r="AU197" i="52"/>
  <c r="AV197" i="52"/>
  <c r="AK648" i="52"/>
  <c r="AI648" i="52"/>
  <c r="AK647" i="52"/>
  <c r="AI647" i="52"/>
  <c r="AK646" i="52"/>
  <c r="AI646" i="52"/>
  <c r="AK645" i="52"/>
  <c r="AI645" i="52"/>
  <c r="AK644" i="52"/>
  <c r="AI644" i="52"/>
  <c r="AK643" i="52"/>
  <c r="AI643" i="52"/>
  <c r="AK642" i="52"/>
  <c r="AI642" i="52"/>
  <c r="AK641" i="52"/>
  <c r="AI641" i="52"/>
  <c r="AK640" i="52"/>
  <c r="AI640" i="52"/>
  <c r="AK639" i="52"/>
  <c r="AI639" i="52"/>
  <c r="AK638" i="52"/>
  <c r="AI638" i="52"/>
  <c r="AK637" i="52"/>
  <c r="AI637" i="52"/>
  <c r="AT602" i="52"/>
  <c r="AT599" i="52"/>
  <c r="AT573" i="52"/>
  <c r="AT570" i="52"/>
  <c r="AT544" i="52"/>
  <c r="AT541" i="52"/>
  <c r="AT520" i="52"/>
  <c r="AT517" i="52"/>
  <c r="AT497" i="52"/>
  <c r="AT494" i="52"/>
  <c r="AT474" i="52"/>
  <c r="AT471" i="52"/>
  <c r="AT451" i="52"/>
  <c r="AT448" i="52"/>
  <c r="AS420" i="52"/>
  <c r="AS421" i="52"/>
  <c r="AS422" i="52"/>
  <c r="AT422" i="52"/>
  <c r="AS415" i="52"/>
  <c r="AS416" i="52"/>
  <c r="AS417" i="52"/>
  <c r="AS418" i="52"/>
  <c r="AS419" i="52"/>
  <c r="AT419" i="52"/>
  <c r="AS397" i="52"/>
  <c r="AS398" i="52"/>
  <c r="AS399" i="52"/>
  <c r="AT399" i="52"/>
  <c r="AS392" i="52"/>
  <c r="AS393" i="52"/>
  <c r="AS394" i="52"/>
  <c r="AS395" i="52"/>
  <c r="AS396" i="52"/>
  <c r="AT396" i="52"/>
  <c r="AT375" i="52"/>
  <c r="AT372" i="52"/>
  <c r="AT351" i="52"/>
  <c r="AT348" i="52"/>
  <c r="AT321" i="52"/>
  <c r="AT318" i="52"/>
  <c r="AT298" i="52"/>
  <c r="AT295" i="52"/>
  <c r="AT275" i="52"/>
  <c r="AT272" i="52"/>
  <c r="AT246" i="52"/>
  <c r="AT243" i="52"/>
  <c r="AT223" i="52"/>
  <c r="AT220" i="52"/>
  <c r="AT200" i="52"/>
  <c r="AT197" i="52"/>
  <c r="AT210" i="52"/>
  <c r="AT207" i="52"/>
  <c r="AT233" i="52"/>
  <c r="AT230" i="52"/>
  <c r="AT256" i="52"/>
  <c r="AT253" i="52"/>
  <c r="AT285" i="52"/>
  <c r="AT282" i="52"/>
  <c r="AT308" i="52"/>
  <c r="AT305" i="52"/>
  <c r="AT331" i="52"/>
  <c r="AT328" i="52"/>
  <c r="AT361" i="52"/>
  <c r="AT358" i="52"/>
  <c r="AT385" i="52"/>
  <c r="AT382" i="52"/>
  <c r="AS407" i="52"/>
  <c r="AS408" i="52"/>
  <c r="AS409" i="52"/>
  <c r="AT409" i="52"/>
  <c r="AS402" i="52"/>
  <c r="AS403" i="52"/>
  <c r="AS404" i="52"/>
  <c r="AS405" i="52"/>
  <c r="AS406" i="52"/>
  <c r="AT406" i="52"/>
  <c r="AS430" i="52"/>
  <c r="AS431" i="52"/>
  <c r="AS432" i="52"/>
  <c r="AT432" i="52"/>
  <c r="AS425" i="52"/>
  <c r="AS426" i="52"/>
  <c r="AS427" i="52"/>
  <c r="AS428" i="52"/>
  <c r="AS429" i="52"/>
  <c r="AT429" i="52"/>
  <c r="AT461" i="52"/>
  <c r="AT458" i="52"/>
  <c r="AT484" i="52"/>
  <c r="AT481" i="52"/>
  <c r="AT615" i="52"/>
  <c r="AT612" i="52"/>
  <c r="AT586" i="52"/>
  <c r="AT583" i="52"/>
  <c r="AT554" i="52"/>
  <c r="AT551" i="52"/>
  <c r="AT530" i="52"/>
  <c r="AT527" i="52"/>
  <c r="AT504" i="52"/>
  <c r="AC5" i="53"/>
  <c r="AL5" i="53"/>
  <c r="AC6" i="53"/>
  <c r="AL6" i="53"/>
  <c r="AC7" i="53"/>
  <c r="AL7" i="53"/>
  <c r="AC8" i="53"/>
  <c r="AL8" i="53"/>
  <c r="AC9" i="53"/>
  <c r="AL9" i="53"/>
  <c r="AC10" i="53"/>
  <c r="AL10" i="53"/>
  <c r="AC11" i="53"/>
  <c r="AL11" i="53"/>
  <c r="AC12" i="53"/>
  <c r="AL12" i="53"/>
  <c r="AL4" i="53"/>
  <c r="Y5" i="53"/>
  <c r="AK5" i="53"/>
  <c r="Y6" i="53"/>
  <c r="AK6" i="53"/>
  <c r="Y7" i="53"/>
  <c r="AK7" i="53"/>
  <c r="Y8" i="53"/>
  <c r="AK8" i="53"/>
  <c r="Y9" i="53"/>
  <c r="AK9" i="53"/>
  <c r="Y10" i="53"/>
  <c r="AK10" i="53"/>
  <c r="Y11" i="53"/>
  <c r="AK11" i="53"/>
  <c r="Y12" i="53"/>
  <c r="AK12" i="53"/>
  <c r="AK4" i="53"/>
  <c r="U5" i="53"/>
  <c r="AJ5" i="53"/>
  <c r="U6" i="53"/>
  <c r="AJ6" i="53"/>
  <c r="U7" i="53"/>
  <c r="AJ7" i="53"/>
  <c r="U8" i="53"/>
  <c r="AJ8" i="53"/>
  <c r="U9" i="53"/>
  <c r="AJ9" i="53"/>
  <c r="AJ4" i="53"/>
  <c r="O5" i="53"/>
  <c r="AI5" i="53"/>
  <c r="O6" i="53"/>
  <c r="AI6" i="53"/>
  <c r="O7" i="53"/>
  <c r="AI7" i="53"/>
  <c r="O8" i="53"/>
  <c r="AI8" i="53"/>
  <c r="O9" i="53"/>
  <c r="AI9" i="53"/>
  <c r="AI4" i="53"/>
  <c r="AC174" i="52"/>
  <c r="Y174" i="52"/>
  <c r="AC164" i="34"/>
  <c r="AC164" i="52"/>
  <c r="AC17" i="53"/>
  <c r="AL17" i="53"/>
  <c r="AC175" i="52"/>
  <c r="Y175" i="52"/>
  <c r="AC165" i="34"/>
  <c r="AC165" i="52"/>
  <c r="AC18" i="53"/>
  <c r="AL18" i="53"/>
  <c r="AC176" i="52"/>
  <c r="Y176" i="52"/>
  <c r="AC166" i="34"/>
  <c r="AC166" i="52"/>
  <c r="AC19" i="53"/>
  <c r="AL19" i="53"/>
  <c r="AC177" i="52"/>
  <c r="Y177" i="52"/>
  <c r="AC167" i="34"/>
  <c r="AC167" i="52"/>
  <c r="AC20" i="53"/>
  <c r="AL20" i="53"/>
  <c r="AC178" i="52"/>
  <c r="Y178" i="52"/>
  <c r="AC168" i="34"/>
  <c r="AC168" i="52"/>
  <c r="AC21" i="53"/>
  <c r="AL21" i="53"/>
  <c r="AC179" i="52"/>
  <c r="Y179" i="52"/>
  <c r="AC169" i="34"/>
  <c r="AC169" i="52"/>
  <c r="AC22" i="53"/>
  <c r="AL22" i="53"/>
  <c r="AC180" i="52"/>
  <c r="Y180" i="52"/>
  <c r="AC170" i="34"/>
  <c r="AC170" i="52"/>
  <c r="AC23" i="53"/>
  <c r="AL23" i="53"/>
  <c r="AC181" i="52"/>
  <c r="Y181" i="52"/>
  <c r="AC171" i="34"/>
  <c r="AC171" i="52"/>
  <c r="AC24" i="53"/>
  <c r="AL24" i="53"/>
  <c r="AL16" i="53"/>
  <c r="U174" i="52"/>
  <c r="Y164" i="34"/>
  <c r="Y164" i="52"/>
  <c r="Y17" i="53"/>
  <c r="AK17" i="53"/>
  <c r="U175" i="52"/>
  <c r="Y165" i="34"/>
  <c r="Y165" i="52"/>
  <c r="Y18" i="53"/>
  <c r="AK18" i="53"/>
  <c r="U176" i="52"/>
  <c r="Y166" i="34"/>
  <c r="Y166" i="52"/>
  <c r="Y19" i="53"/>
  <c r="AK19" i="53"/>
  <c r="U177" i="52"/>
  <c r="Y167" i="34"/>
  <c r="Y167" i="52"/>
  <c r="Y20" i="53"/>
  <c r="AK20" i="53"/>
  <c r="U178" i="52"/>
  <c r="Y168" i="34"/>
  <c r="Y168" i="52"/>
  <c r="Y21" i="53"/>
  <c r="AK21" i="53"/>
  <c r="U179" i="52"/>
  <c r="Y169" i="34"/>
  <c r="Y169" i="52"/>
  <c r="Y22" i="53"/>
  <c r="AK22" i="53"/>
  <c r="U180" i="52"/>
  <c r="Y170" i="34"/>
  <c r="Y170" i="52"/>
  <c r="Y23" i="53"/>
  <c r="AK23" i="53"/>
  <c r="U181" i="52"/>
  <c r="Y171" i="34"/>
  <c r="Y171" i="52"/>
  <c r="Y24" i="53"/>
  <c r="AK24" i="53"/>
  <c r="AK16" i="53"/>
  <c r="O174" i="52"/>
  <c r="U164" i="34"/>
  <c r="U164" i="52"/>
  <c r="U17" i="53"/>
  <c r="AJ17" i="53"/>
  <c r="O175" i="52"/>
  <c r="U165" i="34"/>
  <c r="U165" i="52"/>
  <c r="U18" i="53"/>
  <c r="AJ18" i="53"/>
  <c r="O176" i="52"/>
  <c r="U166" i="34"/>
  <c r="U166" i="52"/>
  <c r="U19" i="53"/>
  <c r="AJ19" i="53"/>
  <c r="O177" i="52"/>
  <c r="U167" i="34"/>
  <c r="U167" i="52"/>
  <c r="U20" i="53"/>
  <c r="AJ20" i="53"/>
  <c r="O178" i="52"/>
  <c r="U168" i="34"/>
  <c r="U168" i="52"/>
  <c r="U21" i="53"/>
  <c r="AJ21" i="53"/>
  <c r="AJ16" i="53"/>
  <c r="J174" i="52"/>
  <c r="O164" i="34"/>
  <c r="O164" i="52"/>
  <c r="O17" i="53"/>
  <c r="AI17" i="53"/>
  <c r="J175" i="52"/>
  <c r="O165" i="34"/>
  <c r="O165" i="52"/>
  <c r="O18" i="53"/>
  <c r="AI18" i="53"/>
  <c r="J176" i="52"/>
  <c r="O166" i="34"/>
  <c r="O166" i="52"/>
  <c r="O19" i="53"/>
  <c r="AI19" i="53"/>
  <c r="J177" i="52"/>
  <c r="O167" i="34"/>
  <c r="O167" i="52"/>
  <c r="O20" i="53"/>
  <c r="AI20" i="53"/>
  <c r="J178" i="52"/>
  <c r="O168" i="34"/>
  <c r="O168" i="52"/>
  <c r="O21" i="53"/>
  <c r="AI21" i="53"/>
  <c r="AI16" i="53"/>
  <c r="AL633" i="52"/>
  <c r="AK633" i="52"/>
  <c r="AJ633" i="52"/>
  <c r="AI633" i="52"/>
  <c r="AL629" i="52"/>
  <c r="AK629" i="52"/>
  <c r="AJ629" i="52"/>
  <c r="AI629" i="52"/>
  <c r="AL604" i="52"/>
  <c r="AK604" i="52"/>
  <c r="AJ604" i="52"/>
  <c r="AI604" i="52"/>
  <c r="AL600" i="52"/>
  <c r="AK600" i="52"/>
  <c r="AJ600" i="52"/>
  <c r="AI600" i="52"/>
  <c r="AJ575" i="52"/>
  <c r="AK575" i="52"/>
  <c r="AL575" i="52"/>
  <c r="AI575" i="52"/>
  <c r="O577" i="52"/>
  <c r="AL571" i="52"/>
  <c r="AK571" i="52"/>
  <c r="AJ571" i="52"/>
  <c r="AI571" i="52"/>
  <c r="AL544" i="52"/>
  <c r="AK544" i="52"/>
  <c r="AJ544" i="52"/>
  <c r="AI544" i="52"/>
  <c r="AL520" i="52"/>
  <c r="AK520" i="52"/>
  <c r="AJ520" i="52"/>
  <c r="AI520" i="52"/>
  <c r="AL497" i="52"/>
  <c r="AK497" i="52"/>
  <c r="AJ497" i="52"/>
  <c r="AI497" i="52"/>
  <c r="AL474" i="52"/>
  <c r="AK474" i="52"/>
  <c r="AJ474" i="52"/>
  <c r="AI474" i="52"/>
  <c r="AL451" i="52"/>
  <c r="AK451" i="52"/>
  <c r="AJ451" i="52"/>
  <c r="AI451" i="52"/>
  <c r="AK422" i="52"/>
  <c r="AJ422" i="52"/>
  <c r="AI422" i="52"/>
  <c r="AL399" i="52"/>
  <c r="AK399" i="52"/>
  <c r="AJ399" i="52"/>
  <c r="AI399" i="52"/>
  <c r="AL375" i="52"/>
  <c r="AK375" i="52"/>
  <c r="AJ375" i="52"/>
  <c r="AI375" i="52"/>
  <c r="AL351" i="52"/>
  <c r="AK351" i="52"/>
  <c r="AJ351" i="52"/>
  <c r="AI351" i="52"/>
  <c r="AK321" i="52"/>
  <c r="AJ321" i="52"/>
  <c r="AI321" i="52"/>
  <c r="AL298" i="52"/>
  <c r="AK298" i="52"/>
  <c r="AJ298" i="52"/>
  <c r="AI298" i="52"/>
  <c r="AL275" i="52"/>
  <c r="AK275" i="52"/>
  <c r="AJ275" i="52"/>
  <c r="AI275" i="52"/>
  <c r="AK246" i="52"/>
  <c r="AJ246" i="52"/>
  <c r="AI246" i="52"/>
  <c r="AL223" i="52"/>
  <c r="AK223" i="52"/>
  <c r="AJ223" i="52"/>
  <c r="AI223" i="52"/>
  <c r="AL200" i="52"/>
  <c r="AK200" i="52"/>
  <c r="AJ200" i="52"/>
  <c r="AI200" i="52"/>
  <c r="AL171" i="52"/>
  <c r="AK171" i="52"/>
  <c r="AJ171" i="52"/>
  <c r="AI171" i="52"/>
  <c r="AJ147" i="52"/>
  <c r="AI147" i="52"/>
  <c r="AL632" i="52"/>
  <c r="AK632" i="52"/>
  <c r="AI632" i="52"/>
  <c r="AL603" i="52"/>
  <c r="AK603" i="52"/>
  <c r="AI603" i="52"/>
  <c r="AL628" i="52"/>
  <c r="AK628" i="52"/>
  <c r="AI628" i="52"/>
  <c r="AL599" i="52"/>
  <c r="AK599" i="52"/>
  <c r="AI599" i="52"/>
  <c r="AI570" i="52"/>
  <c r="AK570" i="52"/>
  <c r="AL570" i="52"/>
  <c r="AI574" i="52"/>
  <c r="AK574" i="52"/>
  <c r="AL543" i="52"/>
  <c r="AK543" i="52"/>
  <c r="AJ543" i="52"/>
  <c r="AI543" i="52"/>
  <c r="AL519" i="52"/>
  <c r="AK519" i="52"/>
  <c r="AJ519" i="52"/>
  <c r="AI519" i="52"/>
  <c r="AL496" i="52"/>
  <c r="AK496" i="52"/>
  <c r="AJ496" i="52"/>
  <c r="AI496" i="52"/>
  <c r="AL473" i="52"/>
  <c r="AK473" i="52"/>
  <c r="AJ473" i="52"/>
  <c r="AI473" i="52"/>
  <c r="AL450" i="52"/>
  <c r="AK450" i="52"/>
  <c r="AJ450" i="52"/>
  <c r="AI450" i="52"/>
  <c r="AL421" i="52"/>
  <c r="AK421" i="52"/>
  <c r="AJ421" i="52"/>
  <c r="AI421" i="52"/>
  <c r="AL398" i="52"/>
  <c r="AK398" i="52"/>
  <c r="AJ398" i="52"/>
  <c r="AI398" i="52"/>
  <c r="AL374" i="52"/>
  <c r="AK374" i="52"/>
  <c r="AJ374" i="52"/>
  <c r="AI374" i="52"/>
  <c r="AL350" i="52"/>
  <c r="AK350" i="52"/>
  <c r="AJ350" i="52"/>
  <c r="AI350" i="52"/>
  <c r="AK320" i="52"/>
  <c r="AJ320" i="52"/>
  <c r="AI320" i="52"/>
  <c r="AL297" i="52"/>
  <c r="AK297" i="52"/>
  <c r="AJ297" i="52"/>
  <c r="AI297" i="52"/>
  <c r="AL274" i="52"/>
  <c r="AK274" i="52"/>
  <c r="AJ274" i="52"/>
  <c r="AI274" i="52"/>
  <c r="AK245" i="52"/>
  <c r="AJ245" i="52"/>
  <c r="AI245" i="52"/>
  <c r="AL222" i="52"/>
  <c r="AK222" i="52"/>
  <c r="AJ222" i="52"/>
  <c r="AI222" i="52"/>
  <c r="AL199" i="52"/>
  <c r="AK199" i="52"/>
  <c r="AJ199" i="52"/>
  <c r="AI199" i="52"/>
  <c r="AL174" i="52"/>
  <c r="AL175" i="52"/>
  <c r="AL176" i="52"/>
  <c r="AL177" i="52"/>
  <c r="AL178" i="52"/>
  <c r="AL179" i="52"/>
  <c r="AL180" i="52"/>
  <c r="AL181" i="52"/>
  <c r="AL170" i="52"/>
  <c r="AK174" i="52"/>
  <c r="AK175" i="52"/>
  <c r="AK176" i="52"/>
  <c r="AK177" i="52"/>
  <c r="AK178" i="52"/>
  <c r="AK179" i="52"/>
  <c r="AK180" i="52"/>
  <c r="AK181" i="52"/>
  <c r="AK170" i="52"/>
  <c r="AJ174" i="52"/>
  <c r="AJ175" i="52"/>
  <c r="AJ176" i="52"/>
  <c r="AJ177" i="52"/>
  <c r="AJ178" i="52"/>
  <c r="AJ170" i="52"/>
  <c r="AI174" i="52"/>
  <c r="AI175" i="52"/>
  <c r="AI176" i="52"/>
  <c r="AI177" i="52"/>
  <c r="AI178" i="52"/>
  <c r="AI170" i="52"/>
  <c r="AJ150" i="52"/>
  <c r="AJ151" i="52"/>
  <c r="AJ152" i="52"/>
  <c r="AJ153" i="52"/>
  <c r="AJ154" i="52"/>
  <c r="AJ146" i="52"/>
  <c r="AI150" i="52"/>
  <c r="AI151" i="52"/>
  <c r="AI152" i="52"/>
  <c r="AI153" i="52"/>
  <c r="AI154" i="52"/>
  <c r="AI146" i="52"/>
  <c r="AJ159" i="52"/>
  <c r="AI159" i="52"/>
  <c r="AJ158" i="52"/>
  <c r="AI158" i="52"/>
  <c r="AJ157" i="52"/>
  <c r="AI157" i="52"/>
  <c r="AJ156" i="52"/>
  <c r="AI156" i="52"/>
  <c r="AJ155" i="52"/>
  <c r="AI155" i="52"/>
  <c r="AC41" i="52"/>
  <c r="Y41" i="52"/>
  <c r="AC31" i="52"/>
  <c r="AC64" i="52"/>
  <c r="Y64" i="52"/>
  <c r="AC54" i="34"/>
  <c r="AC54" i="52"/>
  <c r="Q78" i="51"/>
  <c r="U78" i="51"/>
  <c r="U88" i="51"/>
  <c r="R78" i="51"/>
  <c r="V78" i="51"/>
  <c r="V88" i="51"/>
  <c r="S78" i="51"/>
  <c r="W78" i="51"/>
  <c r="W88" i="51"/>
  <c r="AC88" i="52"/>
  <c r="Y88" i="52"/>
  <c r="AC78" i="34"/>
  <c r="AC78" i="52"/>
  <c r="AC14" i="53"/>
  <c r="AL14" i="53"/>
  <c r="AK14" i="53"/>
  <c r="AJ14" i="53"/>
  <c r="AI14" i="53"/>
  <c r="AC40" i="52"/>
  <c r="Y40" i="52"/>
  <c r="AC30" i="52"/>
  <c r="AC63" i="52"/>
  <c r="Y63" i="52"/>
  <c r="AC53" i="34"/>
  <c r="AC53" i="52"/>
  <c r="Q77" i="51"/>
  <c r="U77" i="51"/>
  <c r="U87" i="51"/>
  <c r="R77" i="51"/>
  <c r="V77" i="51"/>
  <c r="V87" i="51"/>
  <c r="S77" i="51"/>
  <c r="W77" i="51"/>
  <c r="W87" i="51"/>
  <c r="AC87" i="52"/>
  <c r="Y87" i="52"/>
  <c r="AC77" i="34"/>
  <c r="AC77" i="52"/>
  <c r="AC13" i="53"/>
  <c r="AL13" i="53"/>
  <c r="AK13" i="53"/>
  <c r="AJ13" i="53"/>
  <c r="AI13" i="53"/>
  <c r="R39" i="52"/>
  <c r="U29" i="52"/>
  <c r="R62" i="52"/>
  <c r="U52" i="34"/>
  <c r="U52" i="52"/>
  <c r="I76" i="51"/>
  <c r="J76" i="51"/>
  <c r="K76" i="51"/>
  <c r="R86" i="52"/>
  <c r="U76" i="34"/>
  <c r="U76" i="52"/>
  <c r="U12" i="53"/>
  <c r="AJ12" i="53"/>
  <c r="AI12" i="53"/>
  <c r="R38" i="52"/>
  <c r="U28" i="52"/>
  <c r="R61" i="52"/>
  <c r="U51" i="34"/>
  <c r="U51" i="52"/>
  <c r="I75" i="51"/>
  <c r="J75" i="51"/>
  <c r="K75" i="51"/>
  <c r="R85" i="52"/>
  <c r="U75" i="34"/>
  <c r="U75" i="52"/>
  <c r="U11" i="53"/>
  <c r="AJ11" i="53"/>
  <c r="AI11" i="53"/>
  <c r="R37" i="52"/>
  <c r="U27" i="52"/>
  <c r="R60" i="52"/>
  <c r="U50" i="34"/>
  <c r="U50" i="52"/>
  <c r="I74" i="51"/>
  <c r="J74" i="51"/>
  <c r="K74" i="51"/>
  <c r="R84" i="52"/>
  <c r="U74" i="34"/>
  <c r="U74" i="52"/>
  <c r="U10" i="53"/>
  <c r="AJ10" i="53"/>
  <c r="AI10" i="53"/>
  <c r="O606" i="52"/>
  <c r="O88" i="53"/>
  <c r="U577" i="52"/>
  <c r="U606" i="52"/>
  <c r="U88" i="53"/>
  <c r="Y577" i="52"/>
  <c r="Y606" i="52"/>
  <c r="Y88" i="53"/>
  <c r="AL74" i="53"/>
  <c r="AK74" i="53"/>
  <c r="AJ74" i="53"/>
  <c r="AI74" i="53"/>
  <c r="AL73" i="53"/>
  <c r="AK73" i="53"/>
  <c r="AJ73" i="53"/>
  <c r="AI73" i="53"/>
  <c r="AJ72" i="53"/>
  <c r="AI72" i="53"/>
  <c r="AJ71" i="53"/>
  <c r="AI71" i="53"/>
  <c r="AJ70" i="53"/>
  <c r="AI70" i="53"/>
  <c r="AL62" i="53"/>
  <c r="AK62" i="53"/>
  <c r="AJ62" i="53"/>
  <c r="AI62" i="53"/>
  <c r="AL61" i="53"/>
  <c r="AK61" i="53"/>
  <c r="AJ61" i="53"/>
  <c r="AI61" i="53"/>
  <c r="AJ60" i="53"/>
  <c r="AI60" i="53"/>
  <c r="AJ59" i="53"/>
  <c r="AI59" i="53"/>
  <c r="AJ58" i="53"/>
  <c r="AI58" i="53"/>
  <c r="AL50" i="53"/>
  <c r="AK50" i="53"/>
  <c r="AJ50" i="53"/>
  <c r="AI50" i="53"/>
  <c r="AL49" i="53"/>
  <c r="AK49" i="53"/>
  <c r="AJ49" i="53"/>
  <c r="AI49" i="53"/>
  <c r="AJ48" i="53"/>
  <c r="AI48" i="53"/>
  <c r="AJ47" i="53"/>
  <c r="AI47" i="53"/>
  <c r="AJ46" i="53"/>
  <c r="AI46" i="53"/>
  <c r="AL38" i="53"/>
  <c r="AK38" i="53"/>
  <c r="AJ38" i="53"/>
  <c r="AI38" i="53"/>
  <c r="AL37" i="53"/>
  <c r="AK37" i="53"/>
  <c r="AJ37" i="53"/>
  <c r="AI37" i="53"/>
  <c r="AJ36" i="53"/>
  <c r="AI36" i="53"/>
  <c r="AJ35" i="53"/>
  <c r="AI35" i="53"/>
  <c r="AJ34" i="53"/>
  <c r="AI34" i="53"/>
  <c r="AI22" i="53"/>
  <c r="R109" i="52"/>
  <c r="U99" i="34"/>
  <c r="U99" i="52"/>
  <c r="R132" i="52"/>
  <c r="U122" i="34"/>
  <c r="U122" i="52"/>
  <c r="R179" i="52"/>
  <c r="U169" i="34"/>
  <c r="U169" i="52"/>
  <c r="U22" i="53"/>
  <c r="AJ22" i="53"/>
  <c r="AI23" i="53"/>
  <c r="R110" i="52"/>
  <c r="U100" i="34"/>
  <c r="U100" i="52"/>
  <c r="R133" i="52"/>
  <c r="U123" i="34"/>
  <c r="U123" i="52"/>
  <c r="R180" i="52"/>
  <c r="U170" i="34"/>
  <c r="U170" i="52"/>
  <c r="U23" i="53"/>
  <c r="AJ23" i="53"/>
  <c r="AI24" i="53"/>
  <c r="R111" i="52"/>
  <c r="U101" i="34"/>
  <c r="U101" i="52"/>
  <c r="R134" i="52"/>
  <c r="U124" i="34"/>
  <c r="U124" i="52"/>
  <c r="R181" i="52"/>
  <c r="U171" i="34"/>
  <c r="U171" i="52"/>
  <c r="U24" i="53"/>
  <c r="AJ24" i="53"/>
  <c r="AI25" i="53"/>
  <c r="AJ25" i="53"/>
  <c r="AK25" i="53"/>
  <c r="AC112" i="52"/>
  <c r="Y112" i="52"/>
  <c r="AC102" i="34"/>
  <c r="AC102" i="52"/>
  <c r="AC135" i="52"/>
  <c r="Y135" i="52"/>
  <c r="AC125" i="34"/>
  <c r="AC125" i="52"/>
  <c r="T158" i="51"/>
  <c r="AC158" i="52"/>
  <c r="Y158" i="52"/>
  <c r="AC148" i="34"/>
  <c r="AC148" i="52"/>
  <c r="AC182" i="52"/>
  <c r="Y182" i="52"/>
  <c r="AC172" i="34"/>
  <c r="AC172" i="52"/>
  <c r="AC25" i="53"/>
  <c r="AL25" i="53"/>
  <c r="AI26" i="53"/>
  <c r="AJ26" i="53"/>
  <c r="AK26" i="53"/>
  <c r="AC113" i="52"/>
  <c r="Y113" i="52"/>
  <c r="AC103" i="34"/>
  <c r="AC103" i="52"/>
  <c r="AC136" i="52"/>
  <c r="Y136" i="52"/>
  <c r="AC126" i="34"/>
  <c r="AC126" i="52"/>
  <c r="T159" i="51"/>
  <c r="AC159" i="52"/>
  <c r="Y159" i="52"/>
  <c r="AC149" i="34"/>
  <c r="AC149" i="52"/>
  <c r="AC183" i="52"/>
  <c r="Y183" i="52"/>
  <c r="AC173" i="34"/>
  <c r="AC173" i="52"/>
  <c r="AC26" i="53"/>
  <c r="AL26" i="53"/>
  <c r="V224" i="50"/>
  <c r="T224" i="50"/>
  <c r="V537" i="51"/>
  <c r="V538" i="51"/>
  <c r="V539" i="51"/>
  <c r="V540" i="51"/>
  <c r="V541" i="51"/>
  <c r="V542" i="51"/>
  <c r="V543" i="51"/>
  <c r="V544" i="51"/>
  <c r="V223" i="50"/>
  <c r="T537" i="51"/>
  <c r="T538" i="51"/>
  <c r="T539" i="51"/>
  <c r="T540" i="51"/>
  <c r="T541" i="51"/>
  <c r="T542" i="51"/>
  <c r="T543" i="51"/>
  <c r="T544" i="51"/>
  <c r="T223" i="50"/>
  <c r="T36" i="50"/>
  <c r="T35" i="50"/>
  <c r="T34" i="50"/>
  <c r="T33" i="50"/>
  <c r="T50" i="51"/>
  <c r="T51" i="51"/>
  <c r="T52" i="51"/>
  <c r="T32" i="50"/>
  <c r="T45" i="51"/>
  <c r="T46" i="51"/>
  <c r="T47" i="51"/>
  <c r="T48" i="51"/>
  <c r="T49" i="51"/>
  <c r="T31" i="50"/>
  <c r="T27" i="50"/>
  <c r="T26" i="50"/>
  <c r="T25" i="50"/>
  <c r="T24" i="50"/>
  <c r="T27" i="51"/>
  <c r="T28" i="51"/>
  <c r="T29" i="51"/>
  <c r="T23" i="50"/>
  <c r="T22" i="51"/>
  <c r="T23" i="51"/>
  <c r="T24" i="51"/>
  <c r="T25" i="51"/>
  <c r="T26" i="51"/>
  <c r="T22" i="50"/>
  <c r="T218" i="50"/>
  <c r="T217" i="50"/>
  <c r="T216" i="50"/>
  <c r="T215" i="50"/>
  <c r="T518" i="51"/>
  <c r="T519" i="51"/>
  <c r="T520" i="51"/>
  <c r="T214" i="50"/>
  <c r="T513" i="51"/>
  <c r="T514" i="51"/>
  <c r="T515" i="51"/>
  <c r="T516" i="51"/>
  <c r="T517" i="51"/>
  <c r="T213" i="50"/>
  <c r="T209" i="50"/>
  <c r="T208" i="50"/>
  <c r="T207" i="50"/>
  <c r="T206" i="50"/>
  <c r="T495" i="51"/>
  <c r="T496" i="51"/>
  <c r="T497" i="51"/>
  <c r="T205" i="50"/>
  <c r="T490" i="51"/>
  <c r="T491" i="51"/>
  <c r="T492" i="51"/>
  <c r="T493" i="51"/>
  <c r="T494" i="51"/>
  <c r="T204" i="50"/>
  <c r="T200" i="50"/>
  <c r="T199" i="50"/>
  <c r="T198" i="50"/>
  <c r="T197" i="50"/>
  <c r="T472" i="51"/>
  <c r="T473" i="51"/>
  <c r="T474" i="51"/>
  <c r="T196" i="50"/>
  <c r="T467" i="51"/>
  <c r="T468" i="51"/>
  <c r="T469" i="51"/>
  <c r="T470" i="51"/>
  <c r="T471" i="51"/>
  <c r="T195" i="50"/>
  <c r="T191" i="50"/>
  <c r="T190" i="50"/>
  <c r="T189" i="50"/>
  <c r="T188" i="50"/>
  <c r="T449" i="51"/>
  <c r="T450" i="51"/>
  <c r="T451" i="51"/>
  <c r="T187" i="50"/>
  <c r="T444" i="51"/>
  <c r="T445" i="51"/>
  <c r="T446" i="51"/>
  <c r="T447" i="51"/>
  <c r="T448" i="51"/>
  <c r="T186" i="50"/>
  <c r="T176" i="50"/>
  <c r="T175" i="50"/>
  <c r="T174" i="50"/>
  <c r="T173" i="50"/>
  <c r="T420" i="51"/>
  <c r="T421" i="51"/>
  <c r="T422" i="51"/>
  <c r="T172" i="50"/>
  <c r="T415" i="51"/>
  <c r="T416" i="51"/>
  <c r="T417" i="51"/>
  <c r="T418" i="51"/>
  <c r="T419" i="51"/>
  <c r="T171" i="50"/>
  <c r="T139" i="50"/>
  <c r="T314" i="51"/>
  <c r="T315" i="51"/>
  <c r="T316" i="51"/>
  <c r="T317" i="51"/>
  <c r="T318" i="51"/>
  <c r="T319" i="51"/>
  <c r="T320" i="51"/>
  <c r="T321" i="51"/>
  <c r="T138" i="50"/>
  <c r="T134" i="50"/>
  <c r="T133" i="50"/>
  <c r="T132" i="50"/>
  <c r="T131" i="50"/>
  <c r="T296" i="51"/>
  <c r="T297" i="51"/>
  <c r="T298" i="51"/>
  <c r="T130" i="50"/>
  <c r="T291" i="51"/>
  <c r="T292" i="51"/>
  <c r="T293" i="51"/>
  <c r="T294" i="51"/>
  <c r="T295" i="51"/>
  <c r="T129" i="50"/>
  <c r="T125" i="50"/>
  <c r="T124" i="50"/>
  <c r="T123" i="50"/>
  <c r="T122" i="50"/>
  <c r="T273" i="51"/>
  <c r="T274" i="51"/>
  <c r="T275" i="51"/>
  <c r="T121" i="50"/>
  <c r="T268" i="51"/>
  <c r="T269" i="51"/>
  <c r="T270" i="51"/>
  <c r="T271" i="51"/>
  <c r="T272" i="51"/>
  <c r="T120" i="50"/>
  <c r="T110" i="50"/>
  <c r="T239" i="51"/>
  <c r="T240" i="51"/>
  <c r="T241" i="51"/>
  <c r="T242" i="51"/>
  <c r="T243" i="51"/>
  <c r="T244" i="51"/>
  <c r="T245" i="51"/>
  <c r="T246" i="51"/>
  <c r="T109" i="50"/>
  <c r="T105" i="50"/>
  <c r="T104" i="50"/>
  <c r="T103" i="50"/>
  <c r="T102" i="50"/>
  <c r="T221" i="51"/>
  <c r="T222" i="51"/>
  <c r="T223" i="51"/>
  <c r="T101" i="50"/>
  <c r="T216" i="51"/>
  <c r="T217" i="51"/>
  <c r="T218" i="51"/>
  <c r="T219" i="51"/>
  <c r="T220" i="51"/>
  <c r="T100" i="50"/>
  <c r="T96" i="50"/>
  <c r="T95" i="50"/>
  <c r="T94" i="50"/>
  <c r="T93" i="50"/>
  <c r="T198" i="51"/>
  <c r="T199" i="51"/>
  <c r="T200" i="51"/>
  <c r="T92" i="50"/>
  <c r="T193" i="51"/>
  <c r="T194" i="51"/>
  <c r="T195" i="51"/>
  <c r="T196" i="51"/>
  <c r="T197" i="51"/>
  <c r="T91" i="50"/>
  <c r="T75" i="50"/>
  <c r="T74" i="50"/>
  <c r="T73" i="50"/>
  <c r="T72" i="50"/>
  <c r="T71" i="50"/>
  <c r="T70" i="50"/>
  <c r="T66" i="50"/>
  <c r="T65" i="50"/>
  <c r="T64" i="50"/>
  <c r="T63" i="50"/>
  <c r="T122" i="51"/>
  <c r="T123" i="51"/>
  <c r="T124" i="51"/>
  <c r="T62" i="50"/>
  <c r="T117" i="51"/>
  <c r="T118" i="51"/>
  <c r="T119" i="51"/>
  <c r="T120" i="51"/>
  <c r="T121" i="51"/>
  <c r="T61" i="50"/>
  <c r="T57" i="50"/>
  <c r="T56" i="50"/>
  <c r="T55" i="50"/>
  <c r="T94" i="51"/>
  <c r="T95" i="51"/>
  <c r="T96" i="51"/>
  <c r="T97" i="51"/>
  <c r="T98" i="51"/>
  <c r="T52" i="50"/>
  <c r="T99" i="51"/>
  <c r="T100" i="51"/>
  <c r="T101" i="51"/>
  <c r="T53" i="50"/>
  <c r="T54" i="50"/>
  <c r="AJ165" i="34"/>
  <c r="AJ167" i="34"/>
  <c r="AJ170" i="34"/>
  <c r="AJ169" i="34"/>
  <c r="AJ164" i="34"/>
  <c r="AJ166" i="34"/>
  <c r="AJ168" i="34"/>
  <c r="AJ171" i="34"/>
  <c r="AJ172" i="34"/>
  <c r="AI165" i="34"/>
  <c r="AK165" i="34"/>
  <c r="AI167" i="34"/>
  <c r="AK167" i="34"/>
  <c r="AI170" i="34"/>
  <c r="AK170" i="34"/>
  <c r="AI169" i="34"/>
  <c r="AK169" i="34"/>
  <c r="AI164" i="34"/>
  <c r="AK164" i="34"/>
  <c r="AI166" i="34"/>
  <c r="AK166" i="34"/>
  <c r="AI168" i="34"/>
  <c r="AK168" i="34"/>
  <c r="AI171" i="34"/>
  <c r="AK171" i="34"/>
  <c r="AK172" i="34"/>
  <c r="AI172" i="34"/>
  <c r="AL574" i="52"/>
  <c r="AL291" i="52"/>
  <c r="AL182" i="52"/>
  <c r="AL183" i="52"/>
  <c r="AL561" i="52"/>
  <c r="AL560" i="52"/>
  <c r="AL439" i="52"/>
  <c r="AL438" i="52"/>
  <c r="AL338" i="52"/>
  <c r="AL337" i="52"/>
  <c r="AL263" i="52"/>
  <c r="AL262" i="52"/>
  <c r="AL188" i="52"/>
  <c r="AL187" i="52"/>
  <c r="AL292" i="52"/>
  <c r="AL159" i="52"/>
  <c r="AL158" i="52"/>
  <c r="AL136" i="52"/>
  <c r="AL135" i="52"/>
  <c r="AL113" i="52"/>
  <c r="AL112" i="52"/>
  <c r="AL88" i="52"/>
  <c r="AL87" i="52"/>
  <c r="AL64" i="52"/>
  <c r="AL63" i="52"/>
  <c r="AL41" i="52"/>
  <c r="AL40" i="52"/>
  <c r="T606" i="1"/>
  <c r="AC609" i="35"/>
  <c r="Y609" i="35"/>
  <c r="AC596" i="35"/>
  <c r="T607" i="1"/>
  <c r="AC610" i="35"/>
  <c r="Y610" i="35"/>
  <c r="AC597" i="35"/>
  <c r="T608" i="1"/>
  <c r="AC611" i="35"/>
  <c r="Y611" i="35"/>
  <c r="AC598" i="35"/>
  <c r="T609" i="1"/>
  <c r="AC612" i="35"/>
  <c r="Y612" i="35"/>
  <c r="AC599" i="35"/>
  <c r="T610" i="1"/>
  <c r="AC613" i="35"/>
  <c r="Y613" i="35"/>
  <c r="AC600" i="35"/>
  <c r="T611" i="1"/>
  <c r="AC614" i="35"/>
  <c r="Y614" i="35"/>
  <c r="AC601" i="35"/>
  <c r="T612" i="1"/>
  <c r="AC615" i="35"/>
  <c r="Y615" i="35"/>
  <c r="AC602" i="35"/>
  <c r="T613" i="1"/>
  <c r="AC616" i="35"/>
  <c r="Y616" i="35"/>
  <c r="AC603" i="35"/>
  <c r="T614" i="1"/>
  <c r="AC617" i="35"/>
  <c r="Y617" i="35"/>
  <c r="AC604" i="35"/>
  <c r="AC618" i="35"/>
  <c r="Y618" i="35"/>
  <c r="AC605" i="35"/>
  <c r="AC619" i="35"/>
  <c r="Y619" i="35"/>
  <c r="AC606" i="35"/>
  <c r="AC620" i="35"/>
  <c r="Y620" i="35"/>
  <c r="AC607" i="35"/>
  <c r="T605" i="1"/>
  <c r="AC608" i="35"/>
  <c r="Y608" i="35"/>
  <c r="AC595" i="35"/>
  <c r="AC607" i="52"/>
  <c r="AC636" i="52"/>
  <c r="W247" i="49"/>
  <c r="V247" i="49"/>
  <c r="U247" i="49"/>
  <c r="T247" i="49"/>
  <c r="W241" i="49"/>
  <c r="V241" i="49"/>
  <c r="U241" i="49"/>
  <c r="T241" i="49"/>
  <c r="W235" i="49"/>
  <c r="V235" i="49"/>
  <c r="U235" i="49"/>
  <c r="T235" i="49"/>
  <c r="V223" i="49"/>
  <c r="T223" i="49"/>
  <c r="T214" i="49"/>
  <c r="T213" i="49"/>
  <c r="T205" i="49"/>
  <c r="T204" i="49"/>
  <c r="T196" i="49"/>
  <c r="T195" i="49"/>
  <c r="T187" i="49"/>
  <c r="T186" i="49"/>
  <c r="T172" i="49"/>
  <c r="T171" i="49"/>
  <c r="V163" i="49"/>
  <c r="T163" i="49"/>
  <c r="V162" i="49"/>
  <c r="T162" i="49"/>
  <c r="W156" i="49"/>
  <c r="V156" i="49"/>
  <c r="U156" i="49"/>
  <c r="T156" i="49"/>
  <c r="W150" i="49"/>
  <c r="V150" i="49"/>
  <c r="U150" i="49"/>
  <c r="T150" i="49"/>
  <c r="T138" i="49"/>
  <c r="T130" i="49"/>
  <c r="T129" i="49"/>
  <c r="T121" i="49"/>
  <c r="T120" i="49"/>
  <c r="T109" i="49"/>
  <c r="T101" i="49"/>
  <c r="T100" i="49"/>
  <c r="T92" i="49"/>
  <c r="T91" i="49"/>
  <c r="W80" i="49"/>
  <c r="V80" i="49"/>
  <c r="U80" i="49"/>
  <c r="T80" i="49"/>
  <c r="T71" i="49"/>
  <c r="T70" i="49"/>
  <c r="T62" i="49"/>
  <c r="T61" i="49"/>
  <c r="T53" i="49"/>
  <c r="T52" i="49"/>
  <c r="W42" i="49"/>
  <c r="V42" i="49"/>
  <c r="U42" i="49"/>
  <c r="T42" i="49"/>
  <c r="W41" i="49"/>
  <c r="V41" i="49"/>
  <c r="U41" i="49"/>
  <c r="T41" i="49"/>
  <c r="T32" i="49"/>
  <c r="T31" i="49"/>
  <c r="T23" i="49"/>
  <c r="T22" i="49"/>
  <c r="P252" i="55"/>
  <c r="T252" i="55"/>
  <c r="W632" i="1"/>
  <c r="W633" i="1"/>
  <c r="W634" i="1"/>
  <c r="W635" i="1"/>
  <c r="W636" i="1"/>
  <c r="W637" i="1"/>
  <c r="W638" i="1"/>
  <c r="W639" i="1"/>
  <c r="W640" i="1"/>
  <c r="W641" i="1"/>
  <c r="W248" i="20"/>
  <c r="W248" i="55"/>
  <c r="V632" i="1"/>
  <c r="V633" i="1"/>
  <c r="V634" i="1"/>
  <c r="V635" i="1"/>
  <c r="V636" i="1"/>
  <c r="V637" i="1"/>
  <c r="V638" i="1"/>
  <c r="V639" i="1"/>
  <c r="V640" i="1"/>
  <c r="V641" i="1"/>
  <c r="V248" i="20"/>
  <c r="V248" i="55"/>
  <c r="U632" i="1"/>
  <c r="U633" i="1"/>
  <c r="U634" i="1"/>
  <c r="U635" i="1"/>
  <c r="U636" i="1"/>
  <c r="U637" i="1"/>
  <c r="U638" i="1"/>
  <c r="U639" i="1"/>
  <c r="U640" i="1"/>
  <c r="U641" i="1"/>
  <c r="U248" i="20"/>
  <c r="U248" i="55"/>
  <c r="T632" i="1"/>
  <c r="T633" i="1"/>
  <c r="T634" i="1"/>
  <c r="T635" i="1"/>
  <c r="T636" i="1"/>
  <c r="T637" i="1"/>
  <c r="T638" i="1"/>
  <c r="T639" i="1"/>
  <c r="T640" i="1"/>
  <c r="T641" i="1"/>
  <c r="T248" i="20"/>
  <c r="T248" i="55"/>
  <c r="W605" i="1"/>
  <c r="W606" i="1"/>
  <c r="W607" i="1"/>
  <c r="W608" i="1"/>
  <c r="W609" i="1"/>
  <c r="W610" i="1"/>
  <c r="W611" i="1"/>
  <c r="W612" i="1"/>
  <c r="W613" i="1"/>
  <c r="W614" i="1"/>
  <c r="W242" i="20"/>
  <c r="W242" i="55"/>
  <c r="V605" i="1"/>
  <c r="V606" i="1"/>
  <c r="V607" i="1"/>
  <c r="V608" i="1"/>
  <c r="V609" i="1"/>
  <c r="V610" i="1"/>
  <c r="V611" i="1"/>
  <c r="V612" i="1"/>
  <c r="V613" i="1"/>
  <c r="V614" i="1"/>
  <c r="V242" i="20"/>
  <c r="V242" i="55"/>
  <c r="U605" i="1"/>
  <c r="U606" i="1"/>
  <c r="U607" i="1"/>
  <c r="U608" i="1"/>
  <c r="U609" i="1"/>
  <c r="U610" i="1"/>
  <c r="U611" i="1"/>
  <c r="U612" i="1"/>
  <c r="U613" i="1"/>
  <c r="U614" i="1"/>
  <c r="U242" i="20"/>
  <c r="U242" i="55"/>
  <c r="T242" i="20"/>
  <c r="T242" i="55"/>
  <c r="W578" i="1"/>
  <c r="W579" i="1"/>
  <c r="W580" i="1"/>
  <c r="W581" i="1"/>
  <c r="W582" i="1"/>
  <c r="W583" i="1"/>
  <c r="W584" i="1"/>
  <c r="W585" i="1"/>
  <c r="W586" i="1"/>
  <c r="W587" i="1"/>
  <c r="W236" i="20"/>
  <c r="W236" i="55"/>
  <c r="V578" i="1"/>
  <c r="V579" i="1"/>
  <c r="V580" i="1"/>
  <c r="V581" i="1"/>
  <c r="V582" i="1"/>
  <c r="V583" i="1"/>
  <c r="V584" i="1"/>
  <c r="V585" i="1"/>
  <c r="V586" i="1"/>
  <c r="V587" i="1"/>
  <c r="V236" i="20"/>
  <c r="V236" i="55"/>
  <c r="U578" i="1"/>
  <c r="U579" i="1"/>
  <c r="U580" i="1"/>
  <c r="U581" i="1"/>
  <c r="U582" i="1"/>
  <c r="U583" i="1"/>
  <c r="U584" i="1"/>
  <c r="U585" i="1"/>
  <c r="U586" i="1"/>
  <c r="U587" i="1"/>
  <c r="U236" i="20"/>
  <c r="U236" i="55"/>
  <c r="T578" i="1"/>
  <c r="T579" i="1"/>
  <c r="T580" i="1"/>
  <c r="T581" i="1"/>
  <c r="T582" i="1"/>
  <c r="T583" i="1"/>
  <c r="T584" i="1"/>
  <c r="T585" i="1"/>
  <c r="T586" i="1"/>
  <c r="T587" i="1"/>
  <c r="T236" i="20"/>
  <c r="T236" i="55"/>
  <c r="P228" i="55"/>
  <c r="T228" i="55"/>
  <c r="V547" i="1"/>
  <c r="V548" i="1"/>
  <c r="V549" i="1"/>
  <c r="V550" i="1"/>
  <c r="V551" i="1"/>
  <c r="V552" i="1"/>
  <c r="V553" i="1"/>
  <c r="V554" i="1"/>
  <c r="V555" i="1"/>
  <c r="V556" i="1"/>
  <c r="V224" i="20"/>
  <c r="V224" i="55"/>
  <c r="T547" i="1"/>
  <c r="T548" i="1"/>
  <c r="T549" i="1"/>
  <c r="T550" i="1"/>
  <c r="T551" i="1"/>
  <c r="T552" i="1"/>
  <c r="T553" i="1"/>
  <c r="T554" i="1"/>
  <c r="T555" i="1"/>
  <c r="T556" i="1"/>
  <c r="T224" i="20"/>
  <c r="T224" i="55"/>
  <c r="T531" i="1"/>
  <c r="T532" i="1"/>
  <c r="T218" i="20"/>
  <c r="T218" i="55"/>
  <c r="T528" i="1"/>
  <c r="T529" i="1"/>
  <c r="T530" i="1"/>
  <c r="T217" i="20"/>
  <c r="T217" i="55"/>
  <c r="T523" i="1"/>
  <c r="T524" i="1"/>
  <c r="T525" i="1"/>
  <c r="T526" i="1"/>
  <c r="T527" i="1"/>
  <c r="T216" i="20"/>
  <c r="T216" i="55"/>
  <c r="T521" i="1"/>
  <c r="T522" i="1"/>
  <c r="T215" i="20"/>
  <c r="T215" i="55"/>
  <c r="P215" i="20"/>
  <c r="P215" i="55"/>
  <c r="T508" i="1"/>
  <c r="T509" i="1"/>
  <c r="T209" i="20"/>
  <c r="T209" i="55"/>
  <c r="T505" i="1"/>
  <c r="T506" i="1"/>
  <c r="T507" i="1"/>
  <c r="T208" i="20"/>
  <c r="T208" i="55"/>
  <c r="T500" i="1"/>
  <c r="T501" i="1"/>
  <c r="T502" i="1"/>
  <c r="T503" i="1"/>
  <c r="T504" i="1"/>
  <c r="T207" i="20"/>
  <c r="T207" i="55"/>
  <c r="T498" i="1"/>
  <c r="T499" i="1"/>
  <c r="T206" i="20"/>
  <c r="T206" i="55"/>
  <c r="P206" i="20"/>
  <c r="P206" i="55"/>
  <c r="T485" i="1"/>
  <c r="T486" i="1"/>
  <c r="T200" i="20"/>
  <c r="T200" i="55"/>
  <c r="T482" i="1"/>
  <c r="T483" i="1"/>
  <c r="T484" i="1"/>
  <c r="T199" i="20"/>
  <c r="T199" i="55"/>
  <c r="T477" i="1"/>
  <c r="T478" i="1"/>
  <c r="T479" i="1"/>
  <c r="T480" i="1"/>
  <c r="T481" i="1"/>
  <c r="T198" i="20"/>
  <c r="T198" i="55"/>
  <c r="T475" i="1"/>
  <c r="T476" i="1"/>
  <c r="T197" i="20"/>
  <c r="T197" i="55"/>
  <c r="P197" i="20"/>
  <c r="P197" i="55"/>
  <c r="T462" i="1"/>
  <c r="T463" i="1"/>
  <c r="T191" i="20"/>
  <c r="T191" i="55"/>
  <c r="T459" i="1"/>
  <c r="T460" i="1"/>
  <c r="T461" i="1"/>
  <c r="T190" i="20"/>
  <c r="T190" i="55"/>
  <c r="T454" i="1"/>
  <c r="T455" i="1"/>
  <c r="T456" i="1"/>
  <c r="T457" i="1"/>
  <c r="T458" i="1"/>
  <c r="T189" i="20"/>
  <c r="T189" i="55"/>
  <c r="T452" i="1"/>
  <c r="T453" i="1"/>
  <c r="T188" i="20"/>
  <c r="T188" i="55"/>
  <c r="P188" i="20"/>
  <c r="P188" i="55"/>
  <c r="P180" i="55"/>
  <c r="T180" i="55"/>
  <c r="T433" i="1"/>
  <c r="T434" i="1"/>
  <c r="T176" i="20"/>
  <c r="T176" i="55"/>
  <c r="T430" i="1"/>
  <c r="T431" i="1"/>
  <c r="T432" i="1"/>
  <c r="T175" i="20"/>
  <c r="T175" i="55"/>
  <c r="T425" i="1"/>
  <c r="T426" i="1"/>
  <c r="T427" i="1"/>
  <c r="T428" i="1"/>
  <c r="T429" i="1"/>
  <c r="T174" i="20"/>
  <c r="T174" i="55"/>
  <c r="T423" i="1"/>
  <c r="T424" i="1"/>
  <c r="T173" i="20"/>
  <c r="T173" i="55"/>
  <c r="P173" i="20"/>
  <c r="P173" i="55"/>
  <c r="V410" i="1"/>
  <c r="V411" i="1"/>
  <c r="V167" i="20"/>
  <c r="V167" i="55"/>
  <c r="T410" i="1"/>
  <c r="T411" i="1"/>
  <c r="T167" i="20"/>
  <c r="T167" i="55"/>
  <c r="V407" i="1"/>
  <c r="V408" i="1"/>
  <c r="V409" i="1"/>
  <c r="V166" i="20"/>
  <c r="V166" i="55"/>
  <c r="T407" i="1"/>
  <c r="T408" i="1"/>
  <c r="T409" i="1"/>
  <c r="T166" i="20"/>
  <c r="T166" i="55"/>
  <c r="V402" i="1"/>
  <c r="V403" i="1"/>
  <c r="V404" i="1"/>
  <c r="V405" i="1"/>
  <c r="V406" i="1"/>
  <c r="V165" i="20"/>
  <c r="V165" i="55"/>
  <c r="T402" i="1"/>
  <c r="T403" i="1"/>
  <c r="T404" i="1"/>
  <c r="T405" i="1"/>
  <c r="T406" i="1"/>
  <c r="T165" i="20"/>
  <c r="T165" i="55"/>
  <c r="R165" i="55"/>
  <c r="P165" i="55"/>
  <c r="V400" i="1"/>
  <c r="V401" i="1"/>
  <c r="V164" i="20"/>
  <c r="V164" i="55"/>
  <c r="T400" i="1"/>
  <c r="T401" i="1"/>
  <c r="T164" i="20"/>
  <c r="T164" i="55"/>
  <c r="R164" i="20"/>
  <c r="R164" i="55"/>
  <c r="P164" i="20"/>
  <c r="P164" i="55"/>
  <c r="W378" i="1"/>
  <c r="W379" i="1"/>
  <c r="W380" i="1"/>
  <c r="W381" i="1"/>
  <c r="W382" i="1"/>
  <c r="W383" i="1"/>
  <c r="W384" i="1"/>
  <c r="W385" i="1"/>
  <c r="W386" i="1"/>
  <c r="W387" i="1"/>
  <c r="W157" i="20"/>
  <c r="W157" i="55"/>
  <c r="V378" i="1"/>
  <c r="V379" i="1"/>
  <c r="V380" i="1"/>
  <c r="V381" i="1"/>
  <c r="V382" i="1"/>
  <c r="V383" i="1"/>
  <c r="V384" i="1"/>
  <c r="V385" i="1"/>
  <c r="V386" i="1"/>
  <c r="V387" i="1"/>
  <c r="V157" i="20"/>
  <c r="V157" i="55"/>
  <c r="U378" i="1"/>
  <c r="U379" i="1"/>
  <c r="U380" i="1"/>
  <c r="U381" i="1"/>
  <c r="U382" i="1"/>
  <c r="U383" i="1"/>
  <c r="U384" i="1"/>
  <c r="U385" i="1"/>
  <c r="U386" i="1"/>
  <c r="U387" i="1"/>
  <c r="U157" i="20"/>
  <c r="U157" i="55"/>
  <c r="T378" i="1"/>
  <c r="T379" i="1"/>
  <c r="T380" i="1"/>
  <c r="T381" i="1"/>
  <c r="T382" i="1"/>
  <c r="T383" i="1"/>
  <c r="T384" i="1"/>
  <c r="T385" i="1"/>
  <c r="T386" i="1"/>
  <c r="T387" i="1"/>
  <c r="T157" i="20"/>
  <c r="T157" i="55"/>
  <c r="S157" i="55"/>
  <c r="R157" i="55"/>
  <c r="Q157" i="55"/>
  <c r="P157" i="55"/>
  <c r="W354" i="1"/>
  <c r="W355" i="1"/>
  <c r="W356" i="1"/>
  <c r="W357" i="1"/>
  <c r="W358" i="1"/>
  <c r="W359" i="1"/>
  <c r="W360" i="1"/>
  <c r="W361" i="1"/>
  <c r="W362" i="1"/>
  <c r="W363" i="1"/>
  <c r="W151" i="20"/>
  <c r="W151" i="55"/>
  <c r="V354" i="1"/>
  <c r="V355" i="1"/>
  <c r="V356" i="1"/>
  <c r="V357" i="1"/>
  <c r="V358" i="1"/>
  <c r="V359" i="1"/>
  <c r="V360" i="1"/>
  <c r="V361" i="1"/>
  <c r="V362" i="1"/>
  <c r="V363" i="1"/>
  <c r="V151" i="20"/>
  <c r="V151" i="55"/>
  <c r="U354" i="1"/>
  <c r="U355" i="1"/>
  <c r="U356" i="1"/>
  <c r="U357" i="1"/>
  <c r="U358" i="1"/>
  <c r="U359" i="1"/>
  <c r="U360" i="1"/>
  <c r="U361" i="1"/>
  <c r="U362" i="1"/>
  <c r="U363" i="1"/>
  <c r="U151" i="20"/>
  <c r="U151" i="55"/>
  <c r="T354" i="1"/>
  <c r="T355" i="1"/>
  <c r="T356" i="1"/>
  <c r="T357" i="1"/>
  <c r="T358" i="1"/>
  <c r="T359" i="1"/>
  <c r="T360" i="1"/>
  <c r="T361" i="1"/>
  <c r="T362" i="1"/>
  <c r="T363" i="1"/>
  <c r="T151" i="20"/>
  <c r="T151" i="55"/>
  <c r="S151" i="55"/>
  <c r="R151" i="55"/>
  <c r="Q151" i="55"/>
  <c r="P151" i="55"/>
  <c r="P143" i="55"/>
  <c r="T143" i="55"/>
  <c r="T324" i="1"/>
  <c r="T325" i="1"/>
  <c r="T326" i="1"/>
  <c r="T327" i="1"/>
  <c r="T328" i="1"/>
  <c r="T329" i="1"/>
  <c r="T330" i="1"/>
  <c r="T331" i="1"/>
  <c r="T332" i="1"/>
  <c r="T333" i="1"/>
  <c r="T139" i="20"/>
  <c r="T139" i="55"/>
  <c r="T309" i="1"/>
  <c r="T310" i="1"/>
  <c r="T134" i="20"/>
  <c r="T134" i="55"/>
  <c r="T306" i="1"/>
  <c r="T307" i="1"/>
  <c r="T308" i="1"/>
  <c r="T133" i="20"/>
  <c r="T133" i="55"/>
  <c r="T301" i="1"/>
  <c r="T302" i="1"/>
  <c r="T303" i="1"/>
  <c r="T304" i="1"/>
  <c r="T305" i="1"/>
  <c r="T132" i="20"/>
  <c r="T132" i="55"/>
  <c r="T299" i="1"/>
  <c r="T300" i="1"/>
  <c r="T131" i="20"/>
  <c r="T131" i="55"/>
  <c r="P131" i="20"/>
  <c r="P131" i="55"/>
  <c r="T286" i="1"/>
  <c r="T287" i="1"/>
  <c r="T125" i="20"/>
  <c r="T125" i="55"/>
  <c r="T283" i="1"/>
  <c r="T284" i="1"/>
  <c r="T285" i="1"/>
  <c r="T124" i="20"/>
  <c r="T124" i="55"/>
  <c r="T278" i="1"/>
  <c r="T279" i="1"/>
  <c r="T280" i="1"/>
  <c r="T281" i="1"/>
  <c r="T282" i="1"/>
  <c r="T123" i="20"/>
  <c r="T123" i="55"/>
  <c r="T276" i="1"/>
  <c r="T277" i="1"/>
  <c r="T122" i="20"/>
  <c r="T122" i="55"/>
  <c r="P122" i="20"/>
  <c r="P122" i="55"/>
  <c r="P114" i="55"/>
  <c r="T114" i="55"/>
  <c r="T249" i="1"/>
  <c r="T250" i="1"/>
  <c r="T251" i="1"/>
  <c r="T252" i="1"/>
  <c r="T253" i="1"/>
  <c r="T254" i="1"/>
  <c r="T255" i="1"/>
  <c r="T256" i="1"/>
  <c r="T257" i="1"/>
  <c r="T258" i="1"/>
  <c r="T110" i="20"/>
  <c r="T110" i="55"/>
  <c r="T234" i="1"/>
  <c r="T235" i="1"/>
  <c r="T105" i="20"/>
  <c r="T105" i="55"/>
  <c r="T231" i="1"/>
  <c r="T232" i="1"/>
  <c r="T233" i="1"/>
  <c r="T104" i="20"/>
  <c r="T104" i="55"/>
  <c r="T226" i="1"/>
  <c r="T227" i="1"/>
  <c r="T228" i="1"/>
  <c r="T229" i="1"/>
  <c r="T230" i="1"/>
  <c r="T103" i="20"/>
  <c r="T103" i="55"/>
  <c r="T224" i="1"/>
  <c r="T225" i="1"/>
  <c r="T102" i="20"/>
  <c r="T102" i="55"/>
  <c r="P102" i="20"/>
  <c r="P102" i="55"/>
  <c r="T211" i="1"/>
  <c r="T212" i="1"/>
  <c r="T96" i="20"/>
  <c r="T96" i="55"/>
  <c r="T208" i="1"/>
  <c r="T209" i="1"/>
  <c r="T210" i="1"/>
  <c r="T95" i="20"/>
  <c r="T95" i="55"/>
  <c r="T203" i="1"/>
  <c r="T204" i="1"/>
  <c r="T205" i="1"/>
  <c r="T206" i="1"/>
  <c r="T207" i="1"/>
  <c r="T94" i="20"/>
  <c r="T94" i="55"/>
  <c r="T201" i="1"/>
  <c r="T202" i="1"/>
  <c r="T93" i="20"/>
  <c r="T93" i="55"/>
  <c r="P93" i="20"/>
  <c r="P93" i="55"/>
  <c r="B87" i="55"/>
  <c r="B85" i="55"/>
  <c r="D85" i="55"/>
  <c r="F85" i="55"/>
  <c r="H85" i="55"/>
  <c r="J85" i="55"/>
  <c r="L85" i="55"/>
  <c r="N85" i="55"/>
  <c r="P85" i="55"/>
  <c r="T85" i="55"/>
  <c r="W174" i="1"/>
  <c r="W175" i="1"/>
  <c r="W176" i="1"/>
  <c r="W177" i="1"/>
  <c r="W178" i="1"/>
  <c r="W179" i="1"/>
  <c r="W180" i="1"/>
  <c r="W181" i="1"/>
  <c r="W182" i="1"/>
  <c r="W183" i="1"/>
  <c r="W81" i="20"/>
  <c r="W81" i="55"/>
  <c r="V174" i="1"/>
  <c r="V175" i="1"/>
  <c r="V176" i="1"/>
  <c r="V177" i="1"/>
  <c r="V178" i="1"/>
  <c r="V179" i="1"/>
  <c r="V180" i="1"/>
  <c r="V181" i="1"/>
  <c r="V182" i="1"/>
  <c r="V183" i="1"/>
  <c r="V81" i="20"/>
  <c r="V81" i="55"/>
  <c r="U174" i="1"/>
  <c r="U175" i="1"/>
  <c r="U176" i="1"/>
  <c r="U177" i="1"/>
  <c r="U178" i="1"/>
  <c r="U179" i="1"/>
  <c r="U180" i="1"/>
  <c r="U181" i="1"/>
  <c r="U182" i="1"/>
  <c r="U183" i="1"/>
  <c r="U81" i="20"/>
  <c r="U81" i="55"/>
  <c r="T174" i="1"/>
  <c r="T175" i="1"/>
  <c r="T176" i="1"/>
  <c r="T177" i="1"/>
  <c r="T178" i="1"/>
  <c r="T179" i="1"/>
  <c r="T180" i="1"/>
  <c r="T181" i="1"/>
  <c r="T182" i="1"/>
  <c r="T183" i="1"/>
  <c r="T81" i="20"/>
  <c r="T81" i="55"/>
  <c r="L81" i="55"/>
  <c r="T158" i="1"/>
  <c r="T159" i="1"/>
  <c r="T75" i="20"/>
  <c r="T75" i="55"/>
  <c r="T155" i="1"/>
  <c r="T156" i="1"/>
  <c r="T157" i="1"/>
  <c r="T74" i="20"/>
  <c r="T74" i="55"/>
  <c r="T150" i="1"/>
  <c r="T151" i="1"/>
  <c r="T152" i="1"/>
  <c r="T153" i="1"/>
  <c r="T154" i="1"/>
  <c r="T73" i="20"/>
  <c r="T73" i="55"/>
  <c r="T148" i="1"/>
  <c r="T149" i="1"/>
  <c r="T72" i="20"/>
  <c r="T72" i="55"/>
  <c r="P72" i="20"/>
  <c r="P72" i="55"/>
  <c r="T135" i="1"/>
  <c r="T136" i="1"/>
  <c r="T66" i="20"/>
  <c r="T66" i="55"/>
  <c r="T132" i="1"/>
  <c r="T133" i="1"/>
  <c r="T134" i="1"/>
  <c r="T65" i="20"/>
  <c r="T65" i="55"/>
  <c r="T127" i="1"/>
  <c r="T128" i="1"/>
  <c r="T129" i="1"/>
  <c r="T130" i="1"/>
  <c r="T131" i="1"/>
  <c r="T64" i="20"/>
  <c r="T64" i="55"/>
  <c r="T125" i="1"/>
  <c r="T126" i="1"/>
  <c r="T63" i="20"/>
  <c r="T63" i="55"/>
  <c r="P63" i="20"/>
  <c r="P63" i="55"/>
  <c r="T112" i="1"/>
  <c r="T113" i="1"/>
  <c r="T57" i="20"/>
  <c r="T57" i="55"/>
  <c r="T109" i="1"/>
  <c r="T110" i="1"/>
  <c r="T111" i="1"/>
  <c r="T56" i="20"/>
  <c r="T56" i="55"/>
  <c r="T104" i="1"/>
  <c r="T105" i="1"/>
  <c r="T106" i="1"/>
  <c r="T107" i="1"/>
  <c r="T108" i="1"/>
  <c r="T55" i="20"/>
  <c r="T55" i="55"/>
  <c r="T102" i="1"/>
  <c r="T103" i="1"/>
  <c r="T54" i="20"/>
  <c r="T54" i="55"/>
  <c r="P54" i="20"/>
  <c r="P54" i="55"/>
  <c r="W87" i="1"/>
  <c r="W88" i="1"/>
  <c r="W46" i="20"/>
  <c r="W46" i="55"/>
  <c r="V87" i="1"/>
  <c r="V88" i="1"/>
  <c r="V46" i="20"/>
  <c r="V46" i="55"/>
  <c r="U87" i="1"/>
  <c r="U88" i="1"/>
  <c r="U46" i="20"/>
  <c r="U46" i="55"/>
  <c r="T87" i="1"/>
  <c r="T88" i="1"/>
  <c r="T46" i="20"/>
  <c r="T46" i="55"/>
  <c r="W84" i="1"/>
  <c r="W85" i="1"/>
  <c r="W86" i="1"/>
  <c r="W45" i="20"/>
  <c r="W45" i="55"/>
  <c r="V84" i="1"/>
  <c r="V85" i="1"/>
  <c r="V86" i="1"/>
  <c r="V45" i="20"/>
  <c r="V45" i="55"/>
  <c r="U84" i="1"/>
  <c r="U85" i="1"/>
  <c r="U86" i="1"/>
  <c r="U45" i="20"/>
  <c r="U45" i="55"/>
  <c r="T84" i="1"/>
  <c r="T85" i="1"/>
  <c r="T86" i="1"/>
  <c r="T45" i="20"/>
  <c r="T45" i="55"/>
  <c r="W79" i="1"/>
  <c r="W80" i="1"/>
  <c r="W81" i="1"/>
  <c r="W82" i="1"/>
  <c r="W83" i="1"/>
  <c r="W44" i="20"/>
  <c r="W44" i="55"/>
  <c r="V79" i="1"/>
  <c r="V80" i="1"/>
  <c r="V81" i="1"/>
  <c r="V82" i="1"/>
  <c r="V83" i="1"/>
  <c r="V44" i="20"/>
  <c r="V44" i="55"/>
  <c r="U79" i="1"/>
  <c r="U80" i="1"/>
  <c r="U81" i="1"/>
  <c r="U82" i="1"/>
  <c r="U83" i="1"/>
  <c r="U44" i="20"/>
  <c r="U44" i="55"/>
  <c r="T79" i="1"/>
  <c r="T80" i="1"/>
  <c r="T81" i="1"/>
  <c r="T82" i="1"/>
  <c r="T83" i="1"/>
  <c r="T44" i="20"/>
  <c r="T44" i="55"/>
  <c r="W77" i="1"/>
  <c r="W78" i="1"/>
  <c r="W43" i="20"/>
  <c r="W43" i="55"/>
  <c r="V77" i="1"/>
  <c r="V78" i="1"/>
  <c r="V43" i="20"/>
  <c r="V43" i="55"/>
  <c r="U77" i="1"/>
  <c r="U78" i="1"/>
  <c r="U43" i="20"/>
  <c r="U43" i="55"/>
  <c r="T77" i="1"/>
  <c r="T78" i="1"/>
  <c r="T43" i="20"/>
  <c r="T43" i="55"/>
  <c r="S43" i="20"/>
  <c r="S43" i="55"/>
  <c r="R43" i="20"/>
  <c r="R43" i="55"/>
  <c r="Q43" i="20"/>
  <c r="Q43" i="55"/>
  <c r="P43" i="20"/>
  <c r="P43" i="55"/>
  <c r="T63" i="1"/>
  <c r="T64" i="1"/>
  <c r="T36" i="20"/>
  <c r="T36" i="55"/>
  <c r="T60" i="1"/>
  <c r="T61" i="1"/>
  <c r="T62" i="1"/>
  <c r="T35" i="20"/>
  <c r="T35" i="55"/>
  <c r="T55" i="1"/>
  <c r="T56" i="1"/>
  <c r="T57" i="1"/>
  <c r="T58" i="1"/>
  <c r="T59" i="1"/>
  <c r="T34" i="20"/>
  <c r="T34" i="55"/>
  <c r="T53" i="1"/>
  <c r="T54" i="1"/>
  <c r="T33" i="20"/>
  <c r="T33" i="55"/>
  <c r="P33" i="20"/>
  <c r="P33" i="55"/>
  <c r="T40" i="1"/>
  <c r="T41" i="1"/>
  <c r="T27" i="20"/>
  <c r="T27" i="55"/>
  <c r="T37" i="1"/>
  <c r="T38" i="1"/>
  <c r="T39" i="1"/>
  <c r="T26" i="20"/>
  <c r="T26" i="55"/>
  <c r="T32" i="1"/>
  <c r="T33" i="1"/>
  <c r="T34" i="1"/>
  <c r="T35" i="1"/>
  <c r="T36" i="1"/>
  <c r="T25" i="20"/>
  <c r="T25" i="55"/>
  <c r="T30" i="1"/>
  <c r="T31" i="1"/>
  <c r="T24" i="20"/>
  <c r="T24" i="55"/>
  <c r="P24" i="20"/>
  <c r="P24" i="55"/>
  <c r="Q43" i="47"/>
  <c r="R43" i="47"/>
  <c r="S43" i="47"/>
  <c r="T43" i="47"/>
  <c r="U43" i="47"/>
  <c r="V43" i="47"/>
  <c r="W43" i="47"/>
  <c r="P43" i="47"/>
  <c r="R164" i="47"/>
  <c r="T164" i="47"/>
  <c r="V164" i="47"/>
  <c r="P164" i="47"/>
  <c r="T215" i="47"/>
  <c r="P215" i="47"/>
  <c r="T206" i="47"/>
  <c r="P206" i="47"/>
  <c r="T197" i="47"/>
  <c r="P197" i="47"/>
  <c r="T188" i="47"/>
  <c r="P188" i="47"/>
  <c r="T173" i="47"/>
  <c r="P173" i="47"/>
  <c r="T131" i="47"/>
  <c r="P131" i="47"/>
  <c r="T122" i="47"/>
  <c r="P122" i="47"/>
  <c r="T102" i="47"/>
  <c r="P102" i="47"/>
  <c r="T93" i="47"/>
  <c r="P93" i="47"/>
  <c r="T72" i="47"/>
  <c r="P72" i="47"/>
  <c r="T63" i="47"/>
  <c r="P63" i="47"/>
  <c r="T54" i="47"/>
  <c r="P54" i="47"/>
  <c r="T33" i="47"/>
  <c r="P33" i="47"/>
  <c r="T24" i="47"/>
  <c r="P24" i="47"/>
  <c r="V167" i="47"/>
  <c r="T167" i="47"/>
  <c r="V166" i="47"/>
  <c r="T166" i="47"/>
  <c r="V165" i="47"/>
  <c r="T165" i="47"/>
  <c r="V224" i="47"/>
  <c r="T224" i="47"/>
  <c r="W46" i="47"/>
  <c r="V46" i="47"/>
  <c r="U46" i="47"/>
  <c r="T46" i="47"/>
  <c r="W45" i="47"/>
  <c r="V45" i="47"/>
  <c r="U45" i="47"/>
  <c r="T45" i="47"/>
  <c r="W44" i="47"/>
  <c r="V44" i="47"/>
  <c r="U44" i="47"/>
  <c r="T44" i="47"/>
  <c r="W81" i="47"/>
  <c r="V81" i="47"/>
  <c r="U81" i="47"/>
  <c r="T81" i="47"/>
  <c r="W151" i="47"/>
  <c r="V151" i="47"/>
  <c r="U151" i="47"/>
  <c r="T151" i="47"/>
  <c r="W157" i="47"/>
  <c r="V157" i="47"/>
  <c r="U157" i="47"/>
  <c r="T157" i="47"/>
  <c r="W236" i="47"/>
  <c r="V236" i="47"/>
  <c r="U236" i="47"/>
  <c r="T236" i="47"/>
  <c r="W242" i="47"/>
  <c r="V242" i="47"/>
  <c r="U242" i="47"/>
  <c r="T242" i="47"/>
  <c r="U248" i="47"/>
  <c r="V248" i="47"/>
  <c r="W248" i="47"/>
  <c r="T248" i="47"/>
  <c r="T218" i="47"/>
  <c r="T217" i="47"/>
  <c r="T216" i="47"/>
  <c r="T209" i="47"/>
  <c r="T208" i="47"/>
  <c r="T207" i="47"/>
  <c r="T200" i="47"/>
  <c r="T199" i="47"/>
  <c r="T198" i="47"/>
  <c r="T191" i="47"/>
  <c r="T190" i="47"/>
  <c r="T189" i="47"/>
  <c r="T176" i="47"/>
  <c r="T175" i="47"/>
  <c r="T174" i="47"/>
  <c r="T139" i="47"/>
  <c r="T134" i="47"/>
  <c r="T133" i="47"/>
  <c r="T132" i="47"/>
  <c r="T125" i="47"/>
  <c r="T124" i="47"/>
  <c r="T123" i="47"/>
  <c r="T110" i="47"/>
  <c r="T105" i="47"/>
  <c r="T104" i="47"/>
  <c r="T103" i="47"/>
  <c r="T96" i="47"/>
  <c r="T95" i="47"/>
  <c r="T94" i="47"/>
  <c r="T75" i="47"/>
  <c r="T74" i="47"/>
  <c r="T73" i="47"/>
  <c r="T66" i="47"/>
  <c r="T65" i="47"/>
  <c r="T64" i="47"/>
  <c r="T57" i="47"/>
  <c r="T56" i="47"/>
  <c r="T55" i="47"/>
  <c r="T36" i="47"/>
  <c r="T35" i="47"/>
  <c r="T34" i="47"/>
  <c r="T27" i="47"/>
  <c r="T26" i="47"/>
  <c r="T25" i="47"/>
  <c r="P215" i="50"/>
  <c r="P215" i="49"/>
  <c r="P206" i="50"/>
  <c r="P206" i="49"/>
  <c r="P197" i="50"/>
  <c r="P197" i="49"/>
  <c r="P188" i="50"/>
  <c r="P188" i="49"/>
  <c r="P173" i="50"/>
  <c r="P173" i="49"/>
  <c r="R164" i="50"/>
  <c r="R164" i="49"/>
  <c r="P164" i="50"/>
  <c r="P164" i="49"/>
  <c r="P131" i="50"/>
  <c r="P131" i="49"/>
  <c r="P122" i="50"/>
  <c r="P122" i="49"/>
  <c r="P102" i="50"/>
  <c r="P102" i="49"/>
  <c r="P93" i="50"/>
  <c r="P93" i="49"/>
  <c r="P72" i="50"/>
  <c r="P72" i="49"/>
  <c r="P63" i="50"/>
  <c r="P63" i="49"/>
  <c r="P54" i="50"/>
  <c r="P54" i="49"/>
  <c r="S43" i="50"/>
  <c r="S43" i="49"/>
  <c r="R43" i="50"/>
  <c r="R43" i="49"/>
  <c r="Q43" i="50"/>
  <c r="Q43" i="49"/>
  <c r="P43" i="50"/>
  <c r="P43" i="49"/>
  <c r="P33" i="50"/>
  <c r="P33" i="49"/>
  <c r="P24" i="50"/>
  <c r="P24" i="49"/>
  <c r="U43" i="50"/>
  <c r="U43" i="49"/>
  <c r="V43" i="50"/>
  <c r="V43" i="49"/>
  <c r="W43" i="50"/>
  <c r="W43" i="49"/>
  <c r="T43" i="50"/>
  <c r="T43" i="49"/>
  <c r="V164" i="50"/>
  <c r="V164" i="49"/>
  <c r="T164" i="50"/>
  <c r="T164" i="49"/>
  <c r="T215" i="49"/>
  <c r="T206" i="49"/>
  <c r="T197" i="49"/>
  <c r="T188" i="49"/>
  <c r="T173" i="49"/>
  <c r="T131" i="49"/>
  <c r="T122" i="49"/>
  <c r="T102" i="49"/>
  <c r="T93" i="49"/>
  <c r="T72" i="49"/>
  <c r="T63" i="49"/>
  <c r="T54" i="49"/>
  <c r="T33" i="49"/>
  <c r="T24" i="49"/>
  <c r="V224" i="49"/>
  <c r="T224" i="49"/>
  <c r="V165" i="50"/>
  <c r="V165" i="49"/>
  <c r="V166" i="50"/>
  <c r="V166" i="49"/>
  <c r="T166" i="50"/>
  <c r="T166" i="49"/>
  <c r="T165" i="50"/>
  <c r="T165" i="49"/>
  <c r="W45" i="50"/>
  <c r="W45" i="49"/>
  <c r="V45" i="50"/>
  <c r="V45" i="49"/>
  <c r="U45" i="50"/>
  <c r="U45" i="49"/>
  <c r="T45" i="50"/>
  <c r="T45" i="49"/>
  <c r="W44" i="50"/>
  <c r="W44" i="49"/>
  <c r="V44" i="50"/>
  <c r="V44" i="49"/>
  <c r="U44" i="50"/>
  <c r="U44" i="49"/>
  <c r="T44" i="50"/>
  <c r="T44" i="49"/>
  <c r="W81" i="50"/>
  <c r="W81" i="49"/>
  <c r="V81" i="50"/>
  <c r="V81" i="49"/>
  <c r="U81" i="50"/>
  <c r="U81" i="49"/>
  <c r="T81" i="50"/>
  <c r="T81" i="49"/>
  <c r="W151" i="50"/>
  <c r="W151" i="49"/>
  <c r="V151" i="50"/>
  <c r="V151" i="49"/>
  <c r="U151" i="50"/>
  <c r="U151" i="49"/>
  <c r="T151" i="50"/>
  <c r="T151" i="49"/>
  <c r="W157" i="50"/>
  <c r="W157" i="49"/>
  <c r="V157" i="50"/>
  <c r="V157" i="49"/>
  <c r="U157" i="50"/>
  <c r="U157" i="49"/>
  <c r="T157" i="50"/>
  <c r="T157" i="49"/>
  <c r="W236" i="50"/>
  <c r="W236" i="49"/>
  <c r="V236" i="50"/>
  <c r="V236" i="49"/>
  <c r="U236" i="50"/>
  <c r="U236" i="49"/>
  <c r="T236" i="50"/>
  <c r="T236" i="49"/>
  <c r="W242" i="50"/>
  <c r="W242" i="49"/>
  <c r="V242" i="50"/>
  <c r="V242" i="49"/>
  <c r="U242" i="50"/>
  <c r="U242" i="49"/>
  <c r="T242" i="50"/>
  <c r="T242" i="49"/>
  <c r="U248" i="50"/>
  <c r="U248" i="49"/>
  <c r="V248" i="50"/>
  <c r="V248" i="49"/>
  <c r="W248" i="50"/>
  <c r="W248" i="49"/>
  <c r="T248" i="50"/>
  <c r="T248" i="49"/>
  <c r="R117" i="48"/>
  <c r="Q117" i="48"/>
  <c r="R109" i="48"/>
  <c r="Q109" i="48"/>
  <c r="R8" i="48"/>
  <c r="Q8" i="48"/>
  <c r="W627" i="51"/>
  <c r="W626" i="51"/>
  <c r="W625" i="51"/>
  <c r="W624" i="51"/>
  <c r="W623" i="51"/>
  <c r="W622" i="51"/>
  <c r="W621" i="51"/>
  <c r="W620" i="51"/>
  <c r="V627" i="51"/>
  <c r="V626" i="51"/>
  <c r="V625" i="51"/>
  <c r="V624" i="51"/>
  <c r="V623" i="51"/>
  <c r="V622" i="51"/>
  <c r="V621" i="51"/>
  <c r="V620" i="51"/>
  <c r="U627" i="51"/>
  <c r="U626" i="51"/>
  <c r="U625" i="51"/>
  <c r="U624" i="51"/>
  <c r="U623" i="51"/>
  <c r="U622" i="51"/>
  <c r="U621" i="51"/>
  <c r="U620" i="51"/>
  <c r="T627" i="51"/>
  <c r="T626" i="51"/>
  <c r="T625" i="51"/>
  <c r="T624" i="51"/>
  <c r="T623" i="51"/>
  <c r="T622" i="51"/>
  <c r="T621" i="51"/>
  <c r="T620" i="51"/>
  <c r="W631" i="51"/>
  <c r="V631" i="51"/>
  <c r="U631" i="51"/>
  <c r="T631" i="51"/>
  <c r="W630" i="51"/>
  <c r="V630" i="51"/>
  <c r="U630" i="51"/>
  <c r="T630" i="51"/>
  <c r="W600" i="51"/>
  <c r="W599" i="51"/>
  <c r="W598" i="51"/>
  <c r="W597" i="51"/>
  <c r="W596" i="51"/>
  <c r="W595" i="51"/>
  <c r="W594" i="51"/>
  <c r="W593" i="51"/>
  <c r="V600" i="51"/>
  <c r="V599" i="51"/>
  <c r="V598" i="51"/>
  <c r="V597" i="51"/>
  <c r="V596" i="51"/>
  <c r="V595" i="51"/>
  <c r="V594" i="51"/>
  <c r="V593" i="51"/>
  <c r="U600" i="51"/>
  <c r="U599" i="51"/>
  <c r="U598" i="51"/>
  <c r="U597" i="51"/>
  <c r="U596" i="51"/>
  <c r="U595" i="51"/>
  <c r="U594" i="51"/>
  <c r="U593" i="51"/>
  <c r="T600" i="51"/>
  <c r="T599" i="51"/>
  <c r="T598" i="51"/>
  <c r="T597" i="51"/>
  <c r="T596" i="51"/>
  <c r="T595" i="51"/>
  <c r="T594" i="51"/>
  <c r="T593" i="51"/>
  <c r="W604" i="51"/>
  <c r="V604" i="51"/>
  <c r="U604" i="51"/>
  <c r="T604" i="51"/>
  <c r="W603" i="51"/>
  <c r="V603" i="51"/>
  <c r="U603" i="51"/>
  <c r="T603" i="51"/>
  <c r="U576" i="51"/>
  <c r="V576" i="51"/>
  <c r="W576" i="51"/>
  <c r="U577" i="51"/>
  <c r="V577" i="51"/>
  <c r="W577" i="51"/>
  <c r="T577" i="51"/>
  <c r="T576" i="51"/>
  <c r="W573" i="51"/>
  <c r="W572" i="51"/>
  <c r="W571" i="51"/>
  <c r="W570" i="51"/>
  <c r="W569" i="51"/>
  <c r="W568" i="51"/>
  <c r="W567" i="51"/>
  <c r="W566" i="51"/>
  <c r="V573" i="51"/>
  <c r="V572" i="51"/>
  <c r="V571" i="51"/>
  <c r="V570" i="51"/>
  <c r="V569" i="51"/>
  <c r="V568" i="51"/>
  <c r="V567" i="51"/>
  <c r="V566" i="51"/>
  <c r="U573" i="51"/>
  <c r="U572" i="51"/>
  <c r="U571" i="51"/>
  <c r="U570" i="51"/>
  <c r="U569" i="51"/>
  <c r="U568" i="51"/>
  <c r="U567" i="51"/>
  <c r="U566" i="51"/>
  <c r="T573" i="51"/>
  <c r="T572" i="51"/>
  <c r="T571" i="51"/>
  <c r="T570" i="51"/>
  <c r="T569" i="51"/>
  <c r="T568" i="51"/>
  <c r="T567" i="51"/>
  <c r="T566" i="51"/>
  <c r="W544" i="51"/>
  <c r="U544" i="51"/>
  <c r="W543" i="51"/>
  <c r="U543" i="51"/>
  <c r="W542" i="51"/>
  <c r="U542" i="51"/>
  <c r="W541" i="51"/>
  <c r="U541" i="51"/>
  <c r="W540" i="51"/>
  <c r="U540" i="51"/>
  <c r="W539" i="51"/>
  <c r="U539" i="51"/>
  <c r="W538" i="51"/>
  <c r="U538" i="51"/>
  <c r="W537" i="51"/>
  <c r="U537" i="51"/>
  <c r="W522" i="51"/>
  <c r="W532" i="51"/>
  <c r="V522" i="51"/>
  <c r="V532" i="51"/>
  <c r="U522" i="51"/>
  <c r="U532" i="51"/>
  <c r="W521" i="51"/>
  <c r="W531" i="51"/>
  <c r="V521" i="51"/>
  <c r="V531" i="51"/>
  <c r="U521" i="51"/>
  <c r="U531" i="51"/>
  <c r="W530" i="51"/>
  <c r="V530" i="51"/>
  <c r="U530" i="51"/>
  <c r="W529" i="51"/>
  <c r="V529" i="51"/>
  <c r="U529" i="51"/>
  <c r="W528" i="51"/>
  <c r="V528" i="51"/>
  <c r="U528" i="51"/>
  <c r="W527" i="51"/>
  <c r="V527" i="51"/>
  <c r="U527" i="51"/>
  <c r="W526" i="51"/>
  <c r="V526" i="51"/>
  <c r="U526" i="51"/>
  <c r="W525" i="51"/>
  <c r="V525" i="51"/>
  <c r="U525" i="51"/>
  <c r="W524" i="51"/>
  <c r="V524" i="51"/>
  <c r="U524" i="51"/>
  <c r="W523" i="51"/>
  <c r="V523" i="51"/>
  <c r="U523" i="51"/>
  <c r="W520" i="51"/>
  <c r="V520" i="51"/>
  <c r="U520" i="51"/>
  <c r="W519" i="51"/>
  <c r="V519" i="51"/>
  <c r="U519" i="51"/>
  <c r="W518" i="51"/>
  <c r="V518" i="51"/>
  <c r="U518" i="51"/>
  <c r="W517" i="51"/>
  <c r="V517" i="51"/>
  <c r="U517" i="51"/>
  <c r="W516" i="51"/>
  <c r="V516" i="51"/>
  <c r="U516" i="51"/>
  <c r="W515" i="51"/>
  <c r="V515" i="51"/>
  <c r="U515" i="51"/>
  <c r="W514" i="51"/>
  <c r="V514" i="51"/>
  <c r="U514" i="51"/>
  <c r="W513" i="51"/>
  <c r="V513" i="51"/>
  <c r="U513" i="51"/>
  <c r="W499" i="51"/>
  <c r="W509" i="51"/>
  <c r="V499" i="51"/>
  <c r="V509" i="51"/>
  <c r="U499" i="51"/>
  <c r="U509" i="51"/>
  <c r="W498" i="51"/>
  <c r="W508" i="51"/>
  <c r="V498" i="51"/>
  <c r="V508" i="51"/>
  <c r="U498" i="51"/>
  <c r="U508" i="51"/>
  <c r="W507" i="51"/>
  <c r="V507" i="51"/>
  <c r="U507" i="51"/>
  <c r="W506" i="51"/>
  <c r="V506" i="51"/>
  <c r="U506" i="51"/>
  <c r="W505" i="51"/>
  <c r="V505" i="51"/>
  <c r="U505" i="51"/>
  <c r="W504" i="51"/>
  <c r="V504" i="51"/>
  <c r="U504" i="51"/>
  <c r="W503" i="51"/>
  <c r="V503" i="51"/>
  <c r="U503" i="51"/>
  <c r="W502" i="51"/>
  <c r="V502" i="51"/>
  <c r="U502" i="51"/>
  <c r="W501" i="51"/>
  <c r="V501" i="51"/>
  <c r="U501" i="51"/>
  <c r="W500" i="51"/>
  <c r="V500" i="51"/>
  <c r="U500" i="51"/>
  <c r="W497" i="51"/>
  <c r="V497" i="51"/>
  <c r="U497" i="51"/>
  <c r="W496" i="51"/>
  <c r="V496" i="51"/>
  <c r="U496" i="51"/>
  <c r="W495" i="51"/>
  <c r="V495" i="51"/>
  <c r="U495" i="51"/>
  <c r="W494" i="51"/>
  <c r="V494" i="51"/>
  <c r="U494" i="51"/>
  <c r="W493" i="51"/>
  <c r="V493" i="51"/>
  <c r="U493" i="51"/>
  <c r="W492" i="51"/>
  <c r="V492" i="51"/>
  <c r="U492" i="51"/>
  <c r="W491" i="51"/>
  <c r="V491" i="51"/>
  <c r="U491" i="51"/>
  <c r="W490" i="51"/>
  <c r="V490" i="51"/>
  <c r="U490" i="51"/>
  <c r="W476" i="51"/>
  <c r="W486" i="51"/>
  <c r="V476" i="51"/>
  <c r="V486" i="51"/>
  <c r="U476" i="51"/>
  <c r="U486" i="51"/>
  <c r="W475" i="51"/>
  <c r="W485" i="51"/>
  <c r="V475" i="51"/>
  <c r="V485" i="51"/>
  <c r="U475" i="51"/>
  <c r="U485" i="51"/>
  <c r="W484" i="51"/>
  <c r="V484" i="51"/>
  <c r="U484" i="51"/>
  <c r="W483" i="51"/>
  <c r="V483" i="51"/>
  <c r="U483" i="51"/>
  <c r="W482" i="51"/>
  <c r="V482" i="51"/>
  <c r="U482" i="51"/>
  <c r="W481" i="51"/>
  <c r="V481" i="51"/>
  <c r="U481" i="51"/>
  <c r="W480" i="51"/>
  <c r="V480" i="51"/>
  <c r="U480" i="51"/>
  <c r="W479" i="51"/>
  <c r="V479" i="51"/>
  <c r="U479" i="51"/>
  <c r="W478" i="51"/>
  <c r="V478" i="51"/>
  <c r="U478" i="51"/>
  <c r="W477" i="51"/>
  <c r="V477" i="51"/>
  <c r="U477" i="51"/>
  <c r="W474" i="51"/>
  <c r="V474" i="51"/>
  <c r="U474" i="51"/>
  <c r="W473" i="51"/>
  <c r="V473" i="51"/>
  <c r="U473" i="51"/>
  <c r="W472" i="51"/>
  <c r="V472" i="51"/>
  <c r="U472" i="51"/>
  <c r="W471" i="51"/>
  <c r="V471" i="51"/>
  <c r="U471" i="51"/>
  <c r="W470" i="51"/>
  <c r="V470" i="51"/>
  <c r="U470" i="51"/>
  <c r="W469" i="51"/>
  <c r="V469" i="51"/>
  <c r="U469" i="51"/>
  <c r="W468" i="51"/>
  <c r="V468" i="51"/>
  <c r="U468" i="51"/>
  <c r="W467" i="51"/>
  <c r="V467" i="51"/>
  <c r="U467" i="51"/>
  <c r="W453" i="51"/>
  <c r="W463" i="51"/>
  <c r="V453" i="51"/>
  <c r="V463" i="51"/>
  <c r="U453" i="51"/>
  <c r="U463" i="51"/>
  <c r="W452" i="51"/>
  <c r="W462" i="51"/>
  <c r="V452" i="51"/>
  <c r="V462" i="51"/>
  <c r="U452" i="51"/>
  <c r="U462" i="51"/>
  <c r="W461" i="51"/>
  <c r="V461" i="51"/>
  <c r="U461" i="51"/>
  <c r="W460" i="51"/>
  <c r="V460" i="51"/>
  <c r="U460" i="51"/>
  <c r="W459" i="51"/>
  <c r="V459" i="51"/>
  <c r="U459" i="51"/>
  <c r="W458" i="51"/>
  <c r="V458" i="51"/>
  <c r="U458" i="51"/>
  <c r="W457" i="51"/>
  <c r="V457" i="51"/>
  <c r="U457" i="51"/>
  <c r="W456" i="51"/>
  <c r="V456" i="51"/>
  <c r="U456" i="51"/>
  <c r="W455" i="51"/>
  <c r="V455" i="51"/>
  <c r="U455" i="51"/>
  <c r="W454" i="51"/>
  <c r="V454" i="51"/>
  <c r="U454" i="51"/>
  <c r="W451" i="51"/>
  <c r="V451" i="51"/>
  <c r="U451" i="51"/>
  <c r="W450" i="51"/>
  <c r="V450" i="51"/>
  <c r="U450" i="51"/>
  <c r="W449" i="51"/>
  <c r="V449" i="51"/>
  <c r="U449" i="51"/>
  <c r="W448" i="51"/>
  <c r="V448" i="51"/>
  <c r="U448" i="51"/>
  <c r="W447" i="51"/>
  <c r="V447" i="51"/>
  <c r="U447" i="51"/>
  <c r="W446" i="51"/>
  <c r="V446" i="51"/>
  <c r="U446" i="51"/>
  <c r="W445" i="51"/>
  <c r="V445" i="51"/>
  <c r="U445" i="51"/>
  <c r="W444" i="51"/>
  <c r="V444" i="51"/>
  <c r="U444" i="51"/>
  <c r="W424" i="51"/>
  <c r="W434" i="51"/>
  <c r="V424" i="51"/>
  <c r="V434" i="51"/>
  <c r="U424" i="51"/>
  <c r="U434" i="51"/>
  <c r="W423" i="51"/>
  <c r="W433" i="51"/>
  <c r="V423" i="51"/>
  <c r="V433" i="51"/>
  <c r="U423" i="51"/>
  <c r="U433" i="51"/>
  <c r="W432" i="51"/>
  <c r="V432" i="51"/>
  <c r="U432" i="51"/>
  <c r="W431" i="51"/>
  <c r="V431" i="51"/>
  <c r="U431" i="51"/>
  <c r="W430" i="51"/>
  <c r="V430" i="51"/>
  <c r="U430" i="51"/>
  <c r="W429" i="51"/>
  <c r="V429" i="51"/>
  <c r="U429" i="51"/>
  <c r="W428" i="51"/>
  <c r="V428" i="51"/>
  <c r="U428" i="51"/>
  <c r="W427" i="51"/>
  <c r="V427" i="51"/>
  <c r="U427" i="51"/>
  <c r="W426" i="51"/>
  <c r="V426" i="51"/>
  <c r="U426" i="51"/>
  <c r="W425" i="51"/>
  <c r="V425" i="51"/>
  <c r="U425" i="51"/>
  <c r="W422" i="51"/>
  <c r="V422" i="51"/>
  <c r="U422" i="51"/>
  <c r="W421" i="51"/>
  <c r="V421" i="51"/>
  <c r="U421" i="51"/>
  <c r="W420" i="51"/>
  <c r="V420" i="51"/>
  <c r="U420" i="51"/>
  <c r="W419" i="51"/>
  <c r="V419" i="51"/>
  <c r="U419" i="51"/>
  <c r="W418" i="51"/>
  <c r="V418" i="51"/>
  <c r="U418" i="51"/>
  <c r="W417" i="51"/>
  <c r="V417" i="51"/>
  <c r="U417" i="51"/>
  <c r="W416" i="51"/>
  <c r="V416" i="51"/>
  <c r="U416" i="51"/>
  <c r="W415" i="51"/>
  <c r="V415" i="51"/>
  <c r="U415" i="51"/>
  <c r="V399" i="51"/>
  <c r="V398" i="51"/>
  <c r="V397" i="51"/>
  <c r="V396" i="51"/>
  <c r="V395" i="51"/>
  <c r="V394" i="51"/>
  <c r="V393" i="51"/>
  <c r="V392" i="51"/>
  <c r="W399" i="51"/>
  <c r="W398" i="51"/>
  <c r="W397" i="51"/>
  <c r="W396" i="51"/>
  <c r="W395" i="51"/>
  <c r="W394" i="51"/>
  <c r="W393" i="51"/>
  <c r="W392" i="51"/>
  <c r="T399" i="51"/>
  <c r="T398" i="51"/>
  <c r="T397" i="51"/>
  <c r="T396" i="51"/>
  <c r="T395" i="51"/>
  <c r="T394" i="51"/>
  <c r="T393" i="51"/>
  <c r="T392" i="51"/>
  <c r="U399" i="51"/>
  <c r="U398" i="51"/>
  <c r="U397" i="51"/>
  <c r="U396" i="51"/>
  <c r="U395" i="51"/>
  <c r="U394" i="51"/>
  <c r="U393" i="51"/>
  <c r="U392" i="51"/>
  <c r="W375" i="51"/>
  <c r="W374" i="51"/>
  <c r="W373" i="51"/>
  <c r="W372" i="51"/>
  <c r="W371" i="51"/>
  <c r="W370" i="51"/>
  <c r="W369" i="51"/>
  <c r="W368" i="51"/>
  <c r="V375" i="51"/>
  <c r="V374" i="51"/>
  <c r="V373" i="51"/>
  <c r="V372" i="51"/>
  <c r="V371" i="51"/>
  <c r="V370" i="51"/>
  <c r="V369" i="51"/>
  <c r="V368" i="51"/>
  <c r="U375" i="51"/>
  <c r="U374" i="51"/>
  <c r="U373" i="51"/>
  <c r="U372" i="51"/>
  <c r="U371" i="51"/>
  <c r="U370" i="51"/>
  <c r="U369" i="51"/>
  <c r="U368" i="51"/>
  <c r="T375" i="51"/>
  <c r="T374" i="51"/>
  <c r="T373" i="51"/>
  <c r="T372" i="51"/>
  <c r="T371" i="51"/>
  <c r="T370" i="51"/>
  <c r="T369" i="51"/>
  <c r="T368" i="51"/>
  <c r="W351" i="51"/>
  <c r="W350" i="51"/>
  <c r="W349" i="51"/>
  <c r="W348" i="51"/>
  <c r="W347" i="51"/>
  <c r="W346" i="51"/>
  <c r="W345" i="51"/>
  <c r="W344" i="51"/>
  <c r="V351" i="51"/>
  <c r="V350" i="51"/>
  <c r="V349" i="51"/>
  <c r="V348" i="51"/>
  <c r="V347" i="51"/>
  <c r="V346" i="51"/>
  <c r="V345" i="51"/>
  <c r="V344" i="51"/>
  <c r="U351" i="51"/>
  <c r="U350" i="51"/>
  <c r="U349" i="51"/>
  <c r="U348" i="51"/>
  <c r="U347" i="51"/>
  <c r="U346" i="51"/>
  <c r="U345" i="51"/>
  <c r="U344" i="51"/>
  <c r="T351" i="51"/>
  <c r="T350" i="51"/>
  <c r="T349" i="51"/>
  <c r="T348" i="51"/>
  <c r="T347" i="51"/>
  <c r="T346" i="51"/>
  <c r="T345" i="51"/>
  <c r="T344" i="51"/>
  <c r="W323" i="51"/>
  <c r="W333" i="51"/>
  <c r="V323" i="51"/>
  <c r="V333" i="51"/>
  <c r="U323" i="51"/>
  <c r="U333" i="51"/>
  <c r="W322" i="51"/>
  <c r="W332" i="51"/>
  <c r="V322" i="51"/>
  <c r="V332" i="51"/>
  <c r="U322" i="51"/>
  <c r="U332" i="51"/>
  <c r="W331" i="51"/>
  <c r="V331" i="51"/>
  <c r="U331" i="51"/>
  <c r="W330" i="51"/>
  <c r="V330" i="51"/>
  <c r="U330" i="51"/>
  <c r="W329" i="51"/>
  <c r="V329" i="51"/>
  <c r="U329" i="51"/>
  <c r="W328" i="51"/>
  <c r="V328" i="51"/>
  <c r="U328" i="51"/>
  <c r="W327" i="51"/>
  <c r="V327" i="51"/>
  <c r="U327" i="51"/>
  <c r="W326" i="51"/>
  <c r="V326" i="51"/>
  <c r="U326" i="51"/>
  <c r="W325" i="51"/>
  <c r="V325" i="51"/>
  <c r="U325" i="51"/>
  <c r="W324" i="51"/>
  <c r="V324" i="51"/>
  <c r="U324" i="51"/>
  <c r="W321" i="51"/>
  <c r="V321" i="51"/>
  <c r="U321" i="51"/>
  <c r="W320" i="51"/>
  <c r="V320" i="51"/>
  <c r="U320" i="51"/>
  <c r="W319" i="51"/>
  <c r="V319" i="51"/>
  <c r="U319" i="51"/>
  <c r="W318" i="51"/>
  <c r="V318" i="51"/>
  <c r="U318" i="51"/>
  <c r="W317" i="51"/>
  <c r="V317" i="51"/>
  <c r="U317" i="51"/>
  <c r="W316" i="51"/>
  <c r="V316" i="51"/>
  <c r="U316" i="51"/>
  <c r="W315" i="51"/>
  <c r="V315" i="51"/>
  <c r="U315" i="51"/>
  <c r="W314" i="51"/>
  <c r="V314" i="51"/>
  <c r="U314" i="51"/>
  <c r="W300" i="51"/>
  <c r="W310" i="51"/>
  <c r="V300" i="51"/>
  <c r="V310" i="51"/>
  <c r="U300" i="51"/>
  <c r="U310" i="51"/>
  <c r="W299" i="51"/>
  <c r="W309" i="51"/>
  <c r="V299" i="51"/>
  <c r="V309" i="51"/>
  <c r="U299" i="51"/>
  <c r="U309" i="51"/>
  <c r="W308" i="51"/>
  <c r="V308" i="51"/>
  <c r="U308" i="51"/>
  <c r="W307" i="51"/>
  <c r="V307" i="51"/>
  <c r="U307" i="51"/>
  <c r="W306" i="51"/>
  <c r="V306" i="51"/>
  <c r="U306" i="51"/>
  <c r="W305" i="51"/>
  <c r="V305" i="51"/>
  <c r="U305" i="51"/>
  <c r="W304" i="51"/>
  <c r="V304" i="51"/>
  <c r="U304" i="51"/>
  <c r="W303" i="51"/>
  <c r="V303" i="51"/>
  <c r="U303" i="51"/>
  <c r="W302" i="51"/>
  <c r="V302" i="51"/>
  <c r="U302" i="51"/>
  <c r="W301" i="51"/>
  <c r="V301" i="51"/>
  <c r="U301" i="51"/>
  <c r="W298" i="51"/>
  <c r="V298" i="51"/>
  <c r="U298" i="51"/>
  <c r="W297" i="51"/>
  <c r="V297" i="51"/>
  <c r="U297" i="51"/>
  <c r="W296" i="51"/>
  <c r="V296" i="51"/>
  <c r="U296" i="51"/>
  <c r="W295" i="51"/>
  <c r="V295" i="51"/>
  <c r="U295" i="51"/>
  <c r="W294" i="51"/>
  <c r="V294" i="51"/>
  <c r="U294" i="51"/>
  <c r="W293" i="51"/>
  <c r="V293" i="51"/>
  <c r="U293" i="51"/>
  <c r="W292" i="51"/>
  <c r="V292" i="51"/>
  <c r="U292" i="51"/>
  <c r="W291" i="51"/>
  <c r="V291" i="51"/>
  <c r="U291" i="51"/>
  <c r="W277" i="51"/>
  <c r="W287" i="51"/>
  <c r="V277" i="51"/>
  <c r="V287" i="51"/>
  <c r="U277" i="51"/>
  <c r="U287" i="51"/>
  <c r="W276" i="51"/>
  <c r="W286" i="51"/>
  <c r="V276" i="51"/>
  <c r="V286" i="51"/>
  <c r="U276" i="51"/>
  <c r="U286" i="51"/>
  <c r="W285" i="51"/>
  <c r="V285" i="51"/>
  <c r="U285" i="51"/>
  <c r="W284" i="51"/>
  <c r="V284" i="51"/>
  <c r="U284" i="51"/>
  <c r="W283" i="51"/>
  <c r="V283" i="51"/>
  <c r="U283" i="51"/>
  <c r="W282" i="51"/>
  <c r="V282" i="51"/>
  <c r="U282" i="51"/>
  <c r="W281" i="51"/>
  <c r="V281" i="51"/>
  <c r="U281" i="51"/>
  <c r="W280" i="51"/>
  <c r="V280" i="51"/>
  <c r="U280" i="51"/>
  <c r="W279" i="51"/>
  <c r="V279" i="51"/>
  <c r="U279" i="51"/>
  <c r="W278" i="51"/>
  <c r="V278" i="51"/>
  <c r="U278" i="51"/>
  <c r="W275" i="51"/>
  <c r="V275" i="51"/>
  <c r="U275" i="51"/>
  <c r="W274" i="51"/>
  <c r="V274" i="51"/>
  <c r="U274" i="51"/>
  <c r="W273" i="51"/>
  <c r="V273" i="51"/>
  <c r="U273" i="51"/>
  <c r="W272" i="51"/>
  <c r="V272" i="51"/>
  <c r="U272" i="51"/>
  <c r="W271" i="51"/>
  <c r="V271" i="51"/>
  <c r="U271" i="51"/>
  <c r="W270" i="51"/>
  <c r="V270" i="51"/>
  <c r="U270" i="51"/>
  <c r="W269" i="51"/>
  <c r="V269" i="51"/>
  <c r="U269" i="51"/>
  <c r="W268" i="51"/>
  <c r="V268" i="51"/>
  <c r="U268" i="51"/>
  <c r="W248" i="51"/>
  <c r="W258" i="51"/>
  <c r="V248" i="51"/>
  <c r="V258" i="51"/>
  <c r="U248" i="51"/>
  <c r="U258" i="51"/>
  <c r="W247" i="51"/>
  <c r="W257" i="51"/>
  <c r="V247" i="51"/>
  <c r="V257" i="51"/>
  <c r="U247" i="51"/>
  <c r="U257" i="51"/>
  <c r="W256" i="51"/>
  <c r="V256" i="51"/>
  <c r="U256" i="51"/>
  <c r="W255" i="51"/>
  <c r="V255" i="51"/>
  <c r="U255" i="51"/>
  <c r="W254" i="51"/>
  <c r="V254" i="51"/>
  <c r="U254" i="51"/>
  <c r="W253" i="51"/>
  <c r="V253" i="51"/>
  <c r="U253" i="51"/>
  <c r="W252" i="51"/>
  <c r="V252" i="51"/>
  <c r="U252" i="51"/>
  <c r="W251" i="51"/>
  <c r="V251" i="51"/>
  <c r="U251" i="51"/>
  <c r="W250" i="51"/>
  <c r="V250" i="51"/>
  <c r="U250" i="51"/>
  <c r="W249" i="51"/>
  <c r="V249" i="51"/>
  <c r="U249" i="51"/>
  <c r="W246" i="51"/>
  <c r="V246" i="51"/>
  <c r="U246" i="51"/>
  <c r="W245" i="51"/>
  <c r="V245" i="51"/>
  <c r="U245" i="51"/>
  <c r="W244" i="51"/>
  <c r="V244" i="51"/>
  <c r="U244" i="51"/>
  <c r="W243" i="51"/>
  <c r="V243" i="51"/>
  <c r="U243" i="51"/>
  <c r="W242" i="51"/>
  <c r="V242" i="51"/>
  <c r="U242" i="51"/>
  <c r="W241" i="51"/>
  <c r="V241" i="51"/>
  <c r="U241" i="51"/>
  <c r="W240" i="51"/>
  <c r="V240" i="51"/>
  <c r="U240" i="51"/>
  <c r="W239" i="51"/>
  <c r="V239" i="51"/>
  <c r="U239" i="51"/>
  <c r="W225" i="51"/>
  <c r="W235" i="51"/>
  <c r="V225" i="51"/>
  <c r="V235" i="51"/>
  <c r="U225" i="51"/>
  <c r="U235" i="51"/>
  <c r="W224" i="51"/>
  <c r="W234" i="51"/>
  <c r="V224" i="51"/>
  <c r="V234" i="51"/>
  <c r="U224" i="51"/>
  <c r="U234" i="51"/>
  <c r="W233" i="51"/>
  <c r="V233" i="51"/>
  <c r="U233" i="51"/>
  <c r="W232" i="51"/>
  <c r="V232" i="51"/>
  <c r="U232" i="51"/>
  <c r="W231" i="51"/>
  <c r="V231" i="51"/>
  <c r="U231" i="51"/>
  <c r="W230" i="51"/>
  <c r="V230" i="51"/>
  <c r="U230" i="51"/>
  <c r="W229" i="51"/>
  <c r="V229" i="51"/>
  <c r="U229" i="51"/>
  <c r="W228" i="51"/>
  <c r="V228" i="51"/>
  <c r="U228" i="51"/>
  <c r="W227" i="51"/>
  <c r="V227" i="51"/>
  <c r="U227" i="51"/>
  <c r="W226" i="51"/>
  <c r="V226" i="51"/>
  <c r="U226" i="51"/>
  <c r="W223" i="51"/>
  <c r="V223" i="51"/>
  <c r="U223" i="51"/>
  <c r="W222" i="51"/>
  <c r="V222" i="51"/>
  <c r="U222" i="51"/>
  <c r="W221" i="51"/>
  <c r="V221" i="51"/>
  <c r="U221" i="51"/>
  <c r="W220" i="51"/>
  <c r="V220" i="51"/>
  <c r="U220" i="51"/>
  <c r="W219" i="51"/>
  <c r="V219" i="51"/>
  <c r="U219" i="51"/>
  <c r="W218" i="51"/>
  <c r="V218" i="51"/>
  <c r="U218" i="51"/>
  <c r="W217" i="51"/>
  <c r="V217" i="51"/>
  <c r="U217" i="51"/>
  <c r="W216" i="51"/>
  <c r="V216" i="51"/>
  <c r="U216" i="51"/>
  <c r="W209" i="51"/>
  <c r="V209" i="51"/>
  <c r="U209" i="51"/>
  <c r="W202" i="51"/>
  <c r="W212" i="51"/>
  <c r="V202" i="51"/>
  <c r="V212" i="51"/>
  <c r="U202" i="51"/>
  <c r="U212" i="51"/>
  <c r="W201" i="51"/>
  <c r="W211" i="51"/>
  <c r="V201" i="51"/>
  <c r="V211" i="51"/>
  <c r="U201" i="51"/>
  <c r="U211" i="51"/>
  <c r="W210" i="51"/>
  <c r="V210" i="51"/>
  <c r="U210" i="51"/>
  <c r="W208" i="51"/>
  <c r="V208" i="51"/>
  <c r="U208" i="51"/>
  <c r="W207" i="51"/>
  <c r="V207" i="51"/>
  <c r="U207" i="51"/>
  <c r="W206" i="51"/>
  <c r="V206" i="51"/>
  <c r="U206" i="51"/>
  <c r="W205" i="51"/>
  <c r="V205" i="51"/>
  <c r="U205" i="51"/>
  <c r="W204" i="51"/>
  <c r="V204" i="51"/>
  <c r="U204" i="51"/>
  <c r="W203" i="51"/>
  <c r="V203" i="51"/>
  <c r="U203" i="51"/>
  <c r="W200" i="51"/>
  <c r="V200" i="51"/>
  <c r="U200" i="51"/>
  <c r="W199" i="51"/>
  <c r="V199" i="51"/>
  <c r="U199" i="51"/>
  <c r="W198" i="51"/>
  <c r="V198" i="51"/>
  <c r="U198" i="51"/>
  <c r="W197" i="51"/>
  <c r="V197" i="51"/>
  <c r="U197" i="51"/>
  <c r="W196" i="51"/>
  <c r="V196" i="51"/>
  <c r="U196" i="51"/>
  <c r="W195" i="51"/>
  <c r="V195" i="51"/>
  <c r="U195" i="51"/>
  <c r="W194" i="51"/>
  <c r="V194" i="51"/>
  <c r="U194" i="51"/>
  <c r="W193" i="51"/>
  <c r="V193" i="51"/>
  <c r="U193" i="51"/>
  <c r="W171" i="51"/>
  <c r="W170" i="51"/>
  <c r="W169" i="51"/>
  <c r="W168" i="51"/>
  <c r="W167" i="51"/>
  <c r="W166" i="51"/>
  <c r="W165" i="51"/>
  <c r="W164" i="51"/>
  <c r="V171" i="51"/>
  <c r="V170" i="51"/>
  <c r="V169" i="51"/>
  <c r="V168" i="51"/>
  <c r="V167" i="51"/>
  <c r="V166" i="51"/>
  <c r="V165" i="51"/>
  <c r="V164" i="51"/>
  <c r="U171" i="51"/>
  <c r="U170" i="51"/>
  <c r="U169" i="51"/>
  <c r="U168" i="51"/>
  <c r="U167" i="51"/>
  <c r="U166" i="51"/>
  <c r="U165" i="51"/>
  <c r="U164" i="51"/>
  <c r="T171" i="51"/>
  <c r="T170" i="51"/>
  <c r="T169" i="51"/>
  <c r="T168" i="51"/>
  <c r="T167" i="51"/>
  <c r="T166" i="51"/>
  <c r="T165" i="51"/>
  <c r="T164" i="51"/>
  <c r="W149" i="51"/>
  <c r="W159" i="51"/>
  <c r="V149" i="51"/>
  <c r="V159" i="51"/>
  <c r="U149" i="51"/>
  <c r="U159" i="51"/>
  <c r="W148" i="51"/>
  <c r="W158" i="51"/>
  <c r="V148" i="51"/>
  <c r="V158" i="51"/>
  <c r="U148" i="51"/>
  <c r="U158" i="51"/>
  <c r="W157" i="51"/>
  <c r="V157" i="51"/>
  <c r="U157" i="51"/>
  <c r="W156" i="51"/>
  <c r="V156" i="51"/>
  <c r="U156" i="51"/>
  <c r="W155" i="51"/>
  <c r="V155" i="51"/>
  <c r="U155" i="51"/>
  <c r="W154" i="51"/>
  <c r="V154" i="51"/>
  <c r="U154" i="51"/>
  <c r="W153" i="51"/>
  <c r="V153" i="51"/>
  <c r="U153" i="51"/>
  <c r="W152" i="51"/>
  <c r="V152" i="51"/>
  <c r="U152" i="51"/>
  <c r="W151" i="51"/>
  <c r="V151" i="51"/>
  <c r="U151" i="51"/>
  <c r="W150" i="51"/>
  <c r="V150" i="51"/>
  <c r="U150" i="51"/>
  <c r="W147" i="51"/>
  <c r="V147" i="51"/>
  <c r="U147" i="51"/>
  <c r="W146" i="51"/>
  <c r="V146" i="51"/>
  <c r="U146" i="51"/>
  <c r="W145" i="51"/>
  <c r="V145" i="51"/>
  <c r="U145" i="51"/>
  <c r="W144" i="51"/>
  <c r="V144" i="51"/>
  <c r="U144" i="51"/>
  <c r="W143" i="51"/>
  <c r="V143" i="51"/>
  <c r="U143" i="51"/>
  <c r="W142" i="51"/>
  <c r="V142" i="51"/>
  <c r="U142" i="51"/>
  <c r="W141" i="51"/>
  <c r="V141" i="51"/>
  <c r="U141" i="51"/>
  <c r="W140" i="51"/>
  <c r="V140" i="51"/>
  <c r="U140" i="51"/>
  <c r="W126" i="51"/>
  <c r="W136" i="51"/>
  <c r="V126" i="51"/>
  <c r="V136" i="51"/>
  <c r="U126" i="51"/>
  <c r="U136" i="51"/>
  <c r="W125" i="51"/>
  <c r="W135" i="51"/>
  <c r="V125" i="51"/>
  <c r="V135" i="51"/>
  <c r="U125" i="51"/>
  <c r="U135" i="51"/>
  <c r="W134" i="51"/>
  <c r="V134" i="51"/>
  <c r="U134" i="51"/>
  <c r="W133" i="51"/>
  <c r="V133" i="51"/>
  <c r="U133" i="51"/>
  <c r="W132" i="51"/>
  <c r="V132" i="51"/>
  <c r="U132" i="51"/>
  <c r="W131" i="51"/>
  <c r="V131" i="51"/>
  <c r="U131" i="51"/>
  <c r="W130" i="51"/>
  <c r="V130" i="51"/>
  <c r="U130" i="51"/>
  <c r="W129" i="51"/>
  <c r="V129" i="51"/>
  <c r="U129" i="51"/>
  <c r="W128" i="51"/>
  <c r="V128" i="51"/>
  <c r="U128" i="51"/>
  <c r="W127" i="51"/>
  <c r="V127" i="51"/>
  <c r="U127" i="51"/>
  <c r="W124" i="51"/>
  <c r="V124" i="51"/>
  <c r="U124" i="51"/>
  <c r="W123" i="51"/>
  <c r="V123" i="51"/>
  <c r="U123" i="51"/>
  <c r="W122" i="51"/>
  <c r="V122" i="51"/>
  <c r="U122" i="51"/>
  <c r="W121" i="51"/>
  <c r="V121" i="51"/>
  <c r="U121" i="51"/>
  <c r="W120" i="51"/>
  <c r="V120" i="51"/>
  <c r="U120" i="51"/>
  <c r="W119" i="51"/>
  <c r="V119" i="51"/>
  <c r="U119" i="51"/>
  <c r="W118" i="51"/>
  <c r="V118" i="51"/>
  <c r="U118" i="51"/>
  <c r="W117" i="51"/>
  <c r="V117" i="51"/>
  <c r="U117" i="51"/>
  <c r="W103" i="51"/>
  <c r="W113" i="51"/>
  <c r="V103" i="51"/>
  <c r="V113" i="51"/>
  <c r="U103" i="51"/>
  <c r="U113" i="51"/>
  <c r="W102" i="51"/>
  <c r="W112" i="51"/>
  <c r="V102" i="51"/>
  <c r="V112" i="51"/>
  <c r="U102" i="51"/>
  <c r="U112" i="51"/>
  <c r="W111" i="51"/>
  <c r="V111" i="51"/>
  <c r="U111" i="51"/>
  <c r="W110" i="51"/>
  <c r="V110" i="51"/>
  <c r="U110" i="51"/>
  <c r="W109" i="51"/>
  <c r="V109" i="51"/>
  <c r="U109" i="51"/>
  <c r="W108" i="51"/>
  <c r="V108" i="51"/>
  <c r="U108" i="51"/>
  <c r="W107" i="51"/>
  <c r="V107" i="51"/>
  <c r="U107" i="51"/>
  <c r="W106" i="51"/>
  <c r="V106" i="51"/>
  <c r="U106" i="51"/>
  <c r="W105" i="51"/>
  <c r="V105" i="51"/>
  <c r="U105" i="51"/>
  <c r="W104" i="51"/>
  <c r="V104" i="51"/>
  <c r="U104" i="51"/>
  <c r="W101" i="51"/>
  <c r="V101" i="51"/>
  <c r="U101" i="51"/>
  <c r="W100" i="51"/>
  <c r="V100" i="51"/>
  <c r="U100" i="51"/>
  <c r="W99" i="51"/>
  <c r="V99" i="51"/>
  <c r="U99" i="51"/>
  <c r="W98" i="51"/>
  <c r="V98" i="51"/>
  <c r="U98" i="51"/>
  <c r="W97" i="51"/>
  <c r="V97" i="51"/>
  <c r="U97" i="51"/>
  <c r="W96" i="51"/>
  <c r="V96" i="51"/>
  <c r="U96" i="51"/>
  <c r="W95" i="51"/>
  <c r="V95" i="51"/>
  <c r="U95" i="51"/>
  <c r="W94" i="51"/>
  <c r="V94" i="51"/>
  <c r="U94" i="51"/>
  <c r="W76" i="51"/>
  <c r="W75" i="51"/>
  <c r="W74" i="51"/>
  <c r="W73" i="51"/>
  <c r="W72" i="51"/>
  <c r="W71" i="51"/>
  <c r="W70" i="51"/>
  <c r="W69" i="51"/>
  <c r="V76" i="51"/>
  <c r="V75" i="51"/>
  <c r="V74" i="51"/>
  <c r="V73" i="51"/>
  <c r="V72" i="51"/>
  <c r="V71" i="51"/>
  <c r="V70" i="51"/>
  <c r="V69" i="51"/>
  <c r="U76" i="51"/>
  <c r="U75" i="51"/>
  <c r="U74" i="51"/>
  <c r="U73" i="51"/>
  <c r="U72" i="51"/>
  <c r="U71" i="51"/>
  <c r="U69" i="51"/>
  <c r="U70" i="51"/>
  <c r="T76" i="51"/>
  <c r="T75" i="51"/>
  <c r="T74" i="51"/>
  <c r="T73" i="51"/>
  <c r="T72" i="51"/>
  <c r="T71" i="51"/>
  <c r="T70" i="51"/>
  <c r="T69" i="51"/>
  <c r="T217" i="49"/>
  <c r="T216" i="49"/>
  <c r="T208" i="49"/>
  <c r="T207" i="49"/>
  <c r="T199" i="49"/>
  <c r="T198" i="49"/>
  <c r="T190" i="49"/>
  <c r="T189" i="49"/>
  <c r="T175" i="49"/>
  <c r="T174" i="49"/>
  <c r="T139" i="49"/>
  <c r="T133" i="49"/>
  <c r="T132" i="49"/>
  <c r="T124" i="49"/>
  <c r="T123" i="49"/>
  <c r="T110" i="49"/>
  <c r="T104" i="49"/>
  <c r="T103" i="49"/>
  <c r="T95" i="49"/>
  <c r="T94" i="49"/>
  <c r="T74" i="49"/>
  <c r="T73" i="49"/>
  <c r="T65" i="49"/>
  <c r="T64" i="49"/>
  <c r="T56" i="49"/>
  <c r="T55" i="49"/>
  <c r="T35" i="49"/>
  <c r="T34" i="49"/>
  <c r="T26" i="49"/>
  <c r="T25" i="49"/>
  <c r="W223" i="49"/>
  <c r="U223" i="49"/>
  <c r="W162" i="49"/>
  <c r="W163" i="49"/>
  <c r="U163" i="49"/>
  <c r="U162" i="49"/>
  <c r="AC578" i="52"/>
  <c r="Y578" i="52"/>
  <c r="Y607" i="52"/>
  <c r="U578" i="52"/>
  <c r="U607" i="52"/>
  <c r="O578" i="52"/>
  <c r="O607" i="52"/>
  <c r="AI558" i="52"/>
  <c r="AJ558" i="52"/>
  <c r="AK558" i="52"/>
  <c r="AI557" i="52"/>
  <c r="AJ557" i="52"/>
  <c r="AK557" i="52"/>
  <c r="AI534" i="52"/>
  <c r="AJ534" i="52"/>
  <c r="AK534" i="52"/>
  <c r="AI533" i="52"/>
  <c r="AJ533" i="52"/>
  <c r="AK533" i="52"/>
  <c r="AI511" i="52"/>
  <c r="AJ511" i="52"/>
  <c r="AK511" i="52"/>
  <c r="AI510" i="52"/>
  <c r="AJ510" i="52"/>
  <c r="AK510" i="52"/>
  <c r="AT507" i="52"/>
  <c r="AI488" i="52"/>
  <c r="AJ488" i="52"/>
  <c r="AK488" i="52"/>
  <c r="AI487" i="52"/>
  <c r="AJ487" i="52"/>
  <c r="AK487" i="52"/>
  <c r="AI465" i="52"/>
  <c r="AN465" i="52"/>
  <c r="AJ465" i="52"/>
  <c r="AO465" i="52"/>
  <c r="AK465" i="52"/>
  <c r="AP465" i="52"/>
  <c r="AI464" i="52"/>
  <c r="AN464" i="52"/>
  <c r="AJ464" i="52"/>
  <c r="AO464" i="52"/>
  <c r="AK464" i="52"/>
  <c r="AP464" i="52"/>
  <c r="AI436" i="52"/>
  <c r="AJ436" i="52"/>
  <c r="AK436" i="52"/>
  <c r="AI435" i="52"/>
  <c r="AJ435" i="52"/>
  <c r="AK435" i="52"/>
  <c r="AI413" i="52"/>
  <c r="AJ413" i="52"/>
  <c r="AK413" i="52"/>
  <c r="AI412" i="52"/>
  <c r="AJ412" i="52"/>
  <c r="AK412" i="52"/>
  <c r="AI389" i="52"/>
  <c r="AJ389" i="52"/>
  <c r="AK389" i="52"/>
  <c r="AI388" i="52"/>
  <c r="AJ388" i="52"/>
  <c r="AK388" i="52"/>
  <c r="AI365" i="52"/>
  <c r="AN365" i="52"/>
  <c r="AJ365" i="52"/>
  <c r="AO365" i="52"/>
  <c r="AK365" i="52"/>
  <c r="AP365" i="52"/>
  <c r="AI364" i="52"/>
  <c r="AN364" i="52"/>
  <c r="AJ364" i="52"/>
  <c r="AO364" i="52"/>
  <c r="AK364" i="52"/>
  <c r="AP364" i="52"/>
  <c r="AI335" i="52"/>
  <c r="AJ335" i="52"/>
  <c r="AK335" i="52"/>
  <c r="AI334" i="52"/>
  <c r="AJ334" i="52"/>
  <c r="AK334" i="52"/>
  <c r="AI312" i="52"/>
  <c r="AJ312" i="52"/>
  <c r="AK312" i="52"/>
  <c r="AI311" i="52"/>
  <c r="AJ311" i="52"/>
  <c r="AK311" i="52"/>
  <c r="AI289" i="52"/>
  <c r="AJ289" i="52"/>
  <c r="AK289" i="52"/>
  <c r="AI288" i="52"/>
  <c r="AJ288" i="52"/>
  <c r="AK288" i="52"/>
  <c r="AI260" i="52"/>
  <c r="AJ260" i="52"/>
  <c r="AK260" i="52"/>
  <c r="AI259" i="52"/>
  <c r="AJ259" i="52"/>
  <c r="AK259" i="52"/>
  <c r="AI237" i="52"/>
  <c r="AJ237" i="52"/>
  <c r="AK237" i="52"/>
  <c r="AI236" i="52"/>
  <c r="AJ236" i="52"/>
  <c r="AK236" i="52"/>
  <c r="AI214" i="52"/>
  <c r="AJ214" i="52"/>
  <c r="AK214" i="52"/>
  <c r="AI213" i="52"/>
  <c r="AJ213" i="52"/>
  <c r="AK213" i="52"/>
  <c r="AI183" i="52"/>
  <c r="AJ183" i="52"/>
  <c r="AK183" i="52"/>
  <c r="AI182" i="52"/>
  <c r="AJ182" i="52"/>
  <c r="AK182" i="52"/>
  <c r="AJ181" i="52"/>
  <c r="AJ180" i="52"/>
  <c r="AJ179" i="52"/>
  <c r="AK159" i="52"/>
  <c r="AK158" i="52"/>
  <c r="AI136" i="52"/>
  <c r="AJ136" i="52"/>
  <c r="AK136" i="52"/>
  <c r="AI135" i="52"/>
  <c r="AJ135" i="52"/>
  <c r="AK135" i="52"/>
  <c r="AJ134" i="52"/>
  <c r="AJ133" i="52"/>
  <c r="AJ132" i="52"/>
  <c r="AI113" i="52"/>
  <c r="AJ113" i="52"/>
  <c r="AK113" i="52"/>
  <c r="AI112" i="52"/>
  <c r="AJ112" i="52"/>
  <c r="AK112" i="52"/>
  <c r="AJ111" i="52"/>
  <c r="AJ110" i="52"/>
  <c r="AJ109" i="52"/>
  <c r="AI88" i="52"/>
  <c r="AJ88" i="52"/>
  <c r="AK88" i="52"/>
  <c r="AI87" i="52"/>
  <c r="AJ87" i="52"/>
  <c r="AK87" i="52"/>
  <c r="AJ86" i="52"/>
  <c r="AJ85" i="52"/>
  <c r="AJ84" i="52"/>
  <c r="AI64" i="52"/>
  <c r="AJ64" i="52"/>
  <c r="AK64" i="52"/>
  <c r="AI63" i="52"/>
  <c r="AJ63" i="52"/>
  <c r="AK63" i="52"/>
  <c r="AJ62" i="52"/>
  <c r="AJ61" i="52"/>
  <c r="AJ60" i="52"/>
  <c r="AI41" i="52"/>
  <c r="AJ41" i="52"/>
  <c r="AK41" i="52"/>
  <c r="AI40" i="52"/>
  <c r="AJ40" i="52"/>
  <c r="AK40" i="52"/>
  <c r="AJ39" i="52"/>
  <c r="AJ38" i="52"/>
  <c r="AJ37" i="52"/>
  <c r="P647" i="51"/>
  <c r="T647" i="51"/>
  <c r="P600" i="51"/>
  <c r="L600" i="51"/>
  <c r="P599" i="51"/>
  <c r="L599" i="51"/>
  <c r="P598" i="51"/>
  <c r="L598" i="51"/>
  <c r="P597" i="51"/>
  <c r="L597" i="51"/>
  <c r="P596" i="51"/>
  <c r="L596" i="51"/>
  <c r="P595" i="51"/>
  <c r="L595" i="51"/>
  <c r="P594" i="51"/>
  <c r="L594" i="51"/>
  <c r="P593" i="51"/>
  <c r="L593" i="51"/>
  <c r="P573" i="51"/>
  <c r="L573" i="51"/>
  <c r="P572" i="51"/>
  <c r="L572" i="51"/>
  <c r="P571" i="51"/>
  <c r="L571" i="51"/>
  <c r="P570" i="51"/>
  <c r="L570" i="51"/>
  <c r="H570" i="51"/>
  <c r="P569" i="51"/>
  <c r="L569" i="51"/>
  <c r="H569" i="51"/>
  <c r="P568" i="51"/>
  <c r="L568" i="51"/>
  <c r="H568" i="51"/>
  <c r="P567" i="51"/>
  <c r="L567" i="51"/>
  <c r="H567" i="51"/>
  <c r="P566" i="51"/>
  <c r="L566" i="51"/>
  <c r="H566" i="51"/>
  <c r="P560" i="51"/>
  <c r="T560" i="51"/>
  <c r="R544" i="51"/>
  <c r="P544" i="51"/>
  <c r="N544" i="51"/>
  <c r="L544" i="51"/>
  <c r="R543" i="51"/>
  <c r="P543" i="51"/>
  <c r="N543" i="51"/>
  <c r="L543" i="51"/>
  <c r="R542" i="51"/>
  <c r="P542" i="51"/>
  <c r="N542" i="51"/>
  <c r="L542" i="51"/>
  <c r="R541" i="51"/>
  <c r="P541" i="51"/>
  <c r="N541" i="51"/>
  <c r="L541" i="51"/>
  <c r="F541" i="51"/>
  <c r="R540" i="51"/>
  <c r="P540" i="51"/>
  <c r="N540" i="51"/>
  <c r="L540" i="51"/>
  <c r="F540" i="51"/>
  <c r="R539" i="51"/>
  <c r="P539" i="51"/>
  <c r="N539" i="51"/>
  <c r="L539" i="51"/>
  <c r="F539" i="51"/>
  <c r="R538" i="51"/>
  <c r="P538" i="51"/>
  <c r="N538" i="51"/>
  <c r="L538" i="51"/>
  <c r="F538" i="51"/>
  <c r="R537" i="51"/>
  <c r="P537" i="51"/>
  <c r="N537" i="51"/>
  <c r="L537" i="51"/>
  <c r="F537" i="51"/>
  <c r="P520" i="51"/>
  <c r="L520" i="51"/>
  <c r="P519" i="51"/>
  <c r="L519" i="51"/>
  <c r="P518" i="51"/>
  <c r="L518" i="51"/>
  <c r="P517" i="51"/>
  <c r="L517" i="51"/>
  <c r="H517" i="51"/>
  <c r="P516" i="51"/>
  <c r="L516" i="51"/>
  <c r="H516" i="51"/>
  <c r="P515" i="51"/>
  <c r="L515" i="51"/>
  <c r="H515" i="51"/>
  <c r="P514" i="51"/>
  <c r="L514" i="51"/>
  <c r="H514" i="51"/>
  <c r="P513" i="51"/>
  <c r="L513" i="51"/>
  <c r="H513" i="51"/>
  <c r="P497" i="51"/>
  <c r="L497" i="51"/>
  <c r="P496" i="51"/>
  <c r="L496" i="51"/>
  <c r="P495" i="51"/>
  <c r="L495" i="51"/>
  <c r="P494" i="51"/>
  <c r="L494" i="51"/>
  <c r="H494" i="51"/>
  <c r="P493" i="51"/>
  <c r="L493" i="51"/>
  <c r="H493" i="51"/>
  <c r="P492" i="51"/>
  <c r="L492" i="51"/>
  <c r="H492" i="51"/>
  <c r="P491" i="51"/>
  <c r="L491" i="51"/>
  <c r="H491" i="51"/>
  <c r="P490" i="51"/>
  <c r="L490" i="51"/>
  <c r="H490" i="51"/>
  <c r="P474" i="51"/>
  <c r="L474" i="51"/>
  <c r="P473" i="51"/>
  <c r="L473" i="51"/>
  <c r="P472" i="51"/>
  <c r="L472" i="51"/>
  <c r="P471" i="51"/>
  <c r="L471" i="51"/>
  <c r="H471" i="51"/>
  <c r="P470" i="51"/>
  <c r="L470" i="51"/>
  <c r="H470" i="51"/>
  <c r="P469" i="51"/>
  <c r="L469" i="51"/>
  <c r="H469" i="51"/>
  <c r="P468" i="51"/>
  <c r="L468" i="51"/>
  <c r="H468" i="51"/>
  <c r="P467" i="51"/>
  <c r="L467" i="51"/>
  <c r="H467" i="51"/>
  <c r="P451" i="51"/>
  <c r="L451" i="51"/>
  <c r="P450" i="51"/>
  <c r="L450" i="51"/>
  <c r="P449" i="51"/>
  <c r="L449" i="51"/>
  <c r="P448" i="51"/>
  <c r="L448" i="51"/>
  <c r="H448" i="51"/>
  <c r="P447" i="51"/>
  <c r="L447" i="51"/>
  <c r="H447" i="51"/>
  <c r="P446" i="51"/>
  <c r="L446" i="51"/>
  <c r="H446" i="51"/>
  <c r="P445" i="51"/>
  <c r="L445" i="51"/>
  <c r="H445" i="51"/>
  <c r="P444" i="51"/>
  <c r="L444" i="51"/>
  <c r="H444" i="51"/>
  <c r="P438" i="51"/>
  <c r="T438" i="51"/>
  <c r="P422" i="51"/>
  <c r="P421" i="51"/>
  <c r="P420" i="51"/>
  <c r="P419" i="51"/>
  <c r="P418" i="51"/>
  <c r="P417" i="51"/>
  <c r="P416" i="51"/>
  <c r="P415" i="51"/>
  <c r="R399" i="51"/>
  <c r="P399" i="51"/>
  <c r="R398" i="51"/>
  <c r="P398" i="51"/>
  <c r="R397" i="51"/>
  <c r="P397" i="51"/>
  <c r="R396" i="51"/>
  <c r="P396" i="51"/>
  <c r="R395" i="51"/>
  <c r="P395" i="51"/>
  <c r="R394" i="51"/>
  <c r="P394" i="51"/>
  <c r="R393" i="51"/>
  <c r="P393" i="51"/>
  <c r="R392" i="51"/>
  <c r="P392" i="51"/>
  <c r="S375" i="51"/>
  <c r="R375" i="51"/>
  <c r="Q375" i="51"/>
  <c r="P375" i="51"/>
  <c r="O375" i="51"/>
  <c r="N375" i="51"/>
  <c r="M375" i="51"/>
  <c r="L375" i="51"/>
  <c r="S374" i="51"/>
  <c r="R374" i="51"/>
  <c r="Q374" i="51"/>
  <c r="P374" i="51"/>
  <c r="O374" i="51"/>
  <c r="N374" i="51"/>
  <c r="M374" i="51"/>
  <c r="L374" i="51"/>
  <c r="S373" i="51"/>
  <c r="R373" i="51"/>
  <c r="Q373" i="51"/>
  <c r="P373" i="51"/>
  <c r="O373" i="51"/>
  <c r="N373" i="51"/>
  <c r="M373" i="51"/>
  <c r="L373" i="51"/>
  <c r="S372" i="51"/>
  <c r="R372" i="51"/>
  <c r="Q372" i="51"/>
  <c r="P372" i="51"/>
  <c r="O372" i="51"/>
  <c r="N372" i="51"/>
  <c r="M372" i="51"/>
  <c r="L372" i="51"/>
  <c r="S371" i="51"/>
  <c r="R371" i="51"/>
  <c r="Q371" i="51"/>
  <c r="P371" i="51"/>
  <c r="O371" i="51"/>
  <c r="N371" i="51"/>
  <c r="M371" i="51"/>
  <c r="L371" i="51"/>
  <c r="S370" i="51"/>
  <c r="R370" i="51"/>
  <c r="Q370" i="51"/>
  <c r="P370" i="51"/>
  <c r="O370" i="51"/>
  <c r="N370" i="51"/>
  <c r="M370" i="51"/>
  <c r="L370" i="51"/>
  <c r="S369" i="51"/>
  <c r="R369" i="51"/>
  <c r="Q369" i="51"/>
  <c r="P369" i="51"/>
  <c r="O369" i="51"/>
  <c r="N369" i="51"/>
  <c r="M369" i="51"/>
  <c r="L369" i="51"/>
  <c r="S368" i="51"/>
  <c r="R368" i="51"/>
  <c r="Q368" i="51"/>
  <c r="P368" i="51"/>
  <c r="O368" i="51"/>
  <c r="N368" i="51"/>
  <c r="M368" i="51"/>
  <c r="L368" i="51"/>
  <c r="S351" i="51"/>
  <c r="R351" i="51"/>
  <c r="Q351" i="51"/>
  <c r="P351" i="51"/>
  <c r="O351" i="51"/>
  <c r="N351" i="51"/>
  <c r="M351" i="51"/>
  <c r="L351" i="51"/>
  <c r="S350" i="51"/>
  <c r="R350" i="51"/>
  <c r="Q350" i="51"/>
  <c r="P350" i="51"/>
  <c r="O350" i="51"/>
  <c r="N350" i="51"/>
  <c r="M350" i="51"/>
  <c r="L350" i="51"/>
  <c r="S349" i="51"/>
  <c r="R349" i="51"/>
  <c r="Q349" i="51"/>
  <c r="P349" i="51"/>
  <c r="O349" i="51"/>
  <c r="N349" i="51"/>
  <c r="M349" i="51"/>
  <c r="L349" i="51"/>
  <c r="S348" i="51"/>
  <c r="R348" i="51"/>
  <c r="Q348" i="51"/>
  <c r="P348" i="51"/>
  <c r="O348" i="51"/>
  <c r="N348" i="51"/>
  <c r="M348" i="51"/>
  <c r="L348" i="51"/>
  <c r="K348" i="51"/>
  <c r="J348" i="51"/>
  <c r="I348" i="51"/>
  <c r="H348" i="51"/>
  <c r="S347" i="51"/>
  <c r="R347" i="51"/>
  <c r="Q347" i="51"/>
  <c r="P347" i="51"/>
  <c r="O347" i="51"/>
  <c r="N347" i="51"/>
  <c r="M347" i="51"/>
  <c r="L347" i="51"/>
  <c r="K347" i="51"/>
  <c r="J347" i="51"/>
  <c r="I347" i="51"/>
  <c r="H347" i="51"/>
  <c r="S346" i="51"/>
  <c r="R346" i="51"/>
  <c r="Q346" i="51"/>
  <c r="P346" i="51"/>
  <c r="O346" i="51"/>
  <c r="N346" i="51"/>
  <c r="M346" i="51"/>
  <c r="L346" i="51"/>
  <c r="K346" i="51"/>
  <c r="J346" i="51"/>
  <c r="I346" i="51"/>
  <c r="H346" i="51"/>
  <c r="S345" i="51"/>
  <c r="R345" i="51"/>
  <c r="Q345" i="51"/>
  <c r="P345" i="51"/>
  <c r="O345" i="51"/>
  <c r="N345" i="51"/>
  <c r="M345" i="51"/>
  <c r="L345" i="51"/>
  <c r="K345" i="51"/>
  <c r="J345" i="51"/>
  <c r="I345" i="51"/>
  <c r="H345" i="51"/>
  <c r="S344" i="51"/>
  <c r="R344" i="51"/>
  <c r="Q344" i="51"/>
  <c r="P344" i="51"/>
  <c r="O344" i="51"/>
  <c r="N344" i="51"/>
  <c r="M344" i="51"/>
  <c r="L344" i="51"/>
  <c r="K344" i="51"/>
  <c r="J344" i="51"/>
  <c r="I344" i="51"/>
  <c r="H344" i="51"/>
  <c r="P337" i="51"/>
  <c r="T337" i="51"/>
  <c r="P321" i="51"/>
  <c r="L321" i="51"/>
  <c r="P320" i="51"/>
  <c r="L320" i="51"/>
  <c r="P319" i="51"/>
  <c r="L319" i="51"/>
  <c r="P318" i="51"/>
  <c r="L318" i="51"/>
  <c r="P317" i="51"/>
  <c r="L317" i="51"/>
  <c r="P316" i="51"/>
  <c r="L316" i="51"/>
  <c r="P315" i="51"/>
  <c r="L315" i="51"/>
  <c r="P314" i="51"/>
  <c r="L314" i="51"/>
  <c r="P298" i="51"/>
  <c r="L298" i="51"/>
  <c r="P297" i="51"/>
  <c r="L297" i="51"/>
  <c r="P296" i="51"/>
  <c r="L296" i="51"/>
  <c r="P295" i="51"/>
  <c r="L295" i="51"/>
  <c r="H295" i="51"/>
  <c r="P294" i="51"/>
  <c r="L294" i="51"/>
  <c r="H294" i="51"/>
  <c r="P293" i="51"/>
  <c r="L293" i="51"/>
  <c r="H293" i="51"/>
  <c r="P292" i="51"/>
  <c r="L292" i="51"/>
  <c r="H292" i="51"/>
  <c r="P291" i="51"/>
  <c r="L291" i="51"/>
  <c r="H291" i="51"/>
  <c r="P275" i="51"/>
  <c r="L275" i="51"/>
  <c r="P274" i="51"/>
  <c r="L274" i="51"/>
  <c r="P273" i="51"/>
  <c r="L273" i="51"/>
  <c r="P272" i="51"/>
  <c r="L272" i="51"/>
  <c r="H272" i="51"/>
  <c r="P271" i="51"/>
  <c r="L271" i="51"/>
  <c r="H271" i="51"/>
  <c r="P270" i="51"/>
  <c r="L270" i="51"/>
  <c r="H270" i="51"/>
  <c r="P269" i="51"/>
  <c r="L269" i="51"/>
  <c r="H269" i="51"/>
  <c r="P268" i="51"/>
  <c r="L268" i="51"/>
  <c r="H268" i="51"/>
  <c r="P262" i="51"/>
  <c r="T262" i="51"/>
  <c r="P246" i="51"/>
  <c r="L246" i="51"/>
  <c r="P245" i="51"/>
  <c r="L245" i="51"/>
  <c r="P244" i="51"/>
  <c r="L244" i="51"/>
  <c r="P243" i="51"/>
  <c r="L243" i="51"/>
  <c r="P242" i="51"/>
  <c r="L242" i="51"/>
  <c r="P241" i="51"/>
  <c r="L241" i="51"/>
  <c r="P240" i="51"/>
  <c r="L240" i="51"/>
  <c r="P239" i="51"/>
  <c r="L239" i="51"/>
  <c r="P223" i="51"/>
  <c r="L223" i="51"/>
  <c r="P222" i="51"/>
  <c r="L222" i="51"/>
  <c r="P221" i="51"/>
  <c r="L221" i="51"/>
  <c r="P220" i="51"/>
  <c r="L220" i="51"/>
  <c r="H220" i="51"/>
  <c r="P219" i="51"/>
  <c r="L219" i="51"/>
  <c r="H219" i="51"/>
  <c r="P218" i="51"/>
  <c r="L218" i="51"/>
  <c r="H218" i="51"/>
  <c r="P217" i="51"/>
  <c r="L217" i="51"/>
  <c r="H217" i="51"/>
  <c r="P216" i="51"/>
  <c r="L216" i="51"/>
  <c r="H216" i="51"/>
  <c r="P200" i="51"/>
  <c r="L200" i="51"/>
  <c r="P199" i="51"/>
  <c r="L199" i="51"/>
  <c r="P198" i="51"/>
  <c r="L198" i="51"/>
  <c r="P197" i="51"/>
  <c r="L197" i="51"/>
  <c r="H197" i="51"/>
  <c r="P196" i="51"/>
  <c r="L196" i="51"/>
  <c r="H196" i="51"/>
  <c r="P195" i="51"/>
  <c r="L195" i="51"/>
  <c r="H195" i="51"/>
  <c r="P194" i="51"/>
  <c r="L194" i="51"/>
  <c r="H194" i="51"/>
  <c r="P193" i="51"/>
  <c r="L193" i="51"/>
  <c r="H193" i="51"/>
  <c r="B189" i="51"/>
  <c r="B187" i="51"/>
  <c r="D187" i="51"/>
  <c r="F187" i="51"/>
  <c r="H187" i="51"/>
  <c r="J187" i="51"/>
  <c r="L187" i="51"/>
  <c r="N187" i="51"/>
  <c r="P187" i="51"/>
  <c r="T187" i="51"/>
  <c r="S171" i="51"/>
  <c r="R171" i="51"/>
  <c r="Q171" i="51"/>
  <c r="P171" i="51"/>
  <c r="O171" i="51"/>
  <c r="N171" i="51"/>
  <c r="M171" i="51"/>
  <c r="L171" i="51"/>
  <c r="S170" i="51"/>
  <c r="R170" i="51"/>
  <c r="Q170" i="51"/>
  <c r="P170" i="51"/>
  <c r="O170" i="51"/>
  <c r="N170" i="51"/>
  <c r="M170" i="51"/>
  <c r="L170" i="51"/>
  <c r="S169" i="51"/>
  <c r="R169" i="51"/>
  <c r="Q169" i="51"/>
  <c r="P169" i="51"/>
  <c r="O169" i="51"/>
  <c r="N169" i="51"/>
  <c r="M169" i="51"/>
  <c r="L169" i="51"/>
  <c r="S168" i="51"/>
  <c r="R168" i="51"/>
  <c r="Q168" i="51"/>
  <c r="P168" i="51"/>
  <c r="O168" i="51"/>
  <c r="N168" i="51"/>
  <c r="M168" i="51"/>
  <c r="L168" i="51"/>
  <c r="K168" i="51"/>
  <c r="J168" i="51"/>
  <c r="I168" i="51"/>
  <c r="H168" i="51"/>
  <c r="S167" i="51"/>
  <c r="R167" i="51"/>
  <c r="Q167" i="51"/>
  <c r="P167" i="51"/>
  <c r="O167" i="51"/>
  <c r="N167" i="51"/>
  <c r="M167" i="51"/>
  <c r="L167" i="51"/>
  <c r="K167" i="51"/>
  <c r="J167" i="51"/>
  <c r="I167" i="51"/>
  <c r="H167" i="51"/>
  <c r="S166" i="51"/>
  <c r="R166" i="51"/>
  <c r="Q166" i="51"/>
  <c r="P166" i="51"/>
  <c r="O166" i="51"/>
  <c r="N166" i="51"/>
  <c r="M166" i="51"/>
  <c r="L166" i="51"/>
  <c r="K166" i="51"/>
  <c r="J166" i="51"/>
  <c r="I166" i="51"/>
  <c r="H166" i="51"/>
  <c r="S165" i="51"/>
  <c r="R165" i="51"/>
  <c r="Q165" i="51"/>
  <c r="P165" i="51"/>
  <c r="O165" i="51"/>
  <c r="N165" i="51"/>
  <c r="M165" i="51"/>
  <c r="L165" i="51"/>
  <c r="K165" i="51"/>
  <c r="J165" i="51"/>
  <c r="I165" i="51"/>
  <c r="H165" i="51"/>
  <c r="S164" i="51"/>
  <c r="R164" i="51"/>
  <c r="Q164" i="51"/>
  <c r="P164" i="51"/>
  <c r="O164" i="51"/>
  <c r="N164" i="51"/>
  <c r="M164" i="51"/>
  <c r="L164" i="51"/>
  <c r="K164" i="51"/>
  <c r="J164" i="51"/>
  <c r="I164" i="51"/>
  <c r="H164" i="51"/>
  <c r="P147" i="51"/>
  <c r="P146" i="51"/>
  <c r="P145" i="51"/>
  <c r="P144" i="51"/>
  <c r="P143" i="51"/>
  <c r="P142" i="51"/>
  <c r="P141" i="51"/>
  <c r="P140" i="51"/>
  <c r="P124" i="51"/>
  <c r="L124" i="51"/>
  <c r="P123" i="51"/>
  <c r="L123" i="51"/>
  <c r="P122" i="51"/>
  <c r="L122" i="51"/>
  <c r="P121" i="51"/>
  <c r="L121" i="51"/>
  <c r="H121" i="51"/>
  <c r="P120" i="51"/>
  <c r="L120" i="51"/>
  <c r="H120" i="51"/>
  <c r="P119" i="51"/>
  <c r="L119" i="51"/>
  <c r="H119" i="51"/>
  <c r="P118" i="51"/>
  <c r="L118" i="51"/>
  <c r="H118" i="51"/>
  <c r="P117" i="51"/>
  <c r="L117" i="51"/>
  <c r="H117" i="51"/>
  <c r="P101" i="51"/>
  <c r="L101" i="51"/>
  <c r="P100" i="51"/>
  <c r="L100" i="51"/>
  <c r="P99" i="51"/>
  <c r="L99" i="51"/>
  <c r="P98" i="51"/>
  <c r="L98" i="51"/>
  <c r="H98" i="51"/>
  <c r="P97" i="51"/>
  <c r="L97" i="51"/>
  <c r="H97" i="51"/>
  <c r="P96" i="51"/>
  <c r="L96" i="51"/>
  <c r="H96" i="51"/>
  <c r="P95" i="51"/>
  <c r="L95" i="51"/>
  <c r="H95" i="51"/>
  <c r="P94" i="51"/>
  <c r="L94" i="51"/>
  <c r="H94" i="51"/>
  <c r="S76" i="51"/>
  <c r="R76" i="51"/>
  <c r="Q76" i="51"/>
  <c r="P76" i="51"/>
  <c r="O76" i="51"/>
  <c r="N76" i="51"/>
  <c r="M76" i="51"/>
  <c r="L76" i="51"/>
  <c r="S75" i="51"/>
  <c r="R75" i="51"/>
  <c r="Q75" i="51"/>
  <c r="P75" i="51"/>
  <c r="O75" i="51"/>
  <c r="N75" i="51"/>
  <c r="M75" i="51"/>
  <c r="L75" i="51"/>
  <c r="S74" i="51"/>
  <c r="R74" i="51"/>
  <c r="Q74" i="51"/>
  <c r="P74" i="51"/>
  <c r="O74" i="51"/>
  <c r="N74" i="51"/>
  <c r="M74" i="51"/>
  <c r="L74" i="51"/>
  <c r="S73" i="51"/>
  <c r="R73" i="51"/>
  <c r="Q73" i="51"/>
  <c r="P73" i="51"/>
  <c r="O73" i="51"/>
  <c r="N73" i="51"/>
  <c r="M73" i="51"/>
  <c r="L73" i="51"/>
  <c r="K73" i="51"/>
  <c r="J73" i="51"/>
  <c r="I73" i="51"/>
  <c r="H73" i="51"/>
  <c r="S72" i="51"/>
  <c r="R72" i="51"/>
  <c r="Q72" i="51"/>
  <c r="P72" i="51"/>
  <c r="O72" i="51"/>
  <c r="N72" i="51"/>
  <c r="M72" i="51"/>
  <c r="L72" i="51"/>
  <c r="K72" i="51"/>
  <c r="J72" i="51"/>
  <c r="I72" i="51"/>
  <c r="H72" i="51"/>
  <c r="S71" i="51"/>
  <c r="R71" i="51"/>
  <c r="Q71" i="51"/>
  <c r="P71" i="51"/>
  <c r="O71" i="51"/>
  <c r="N71" i="51"/>
  <c r="M71" i="51"/>
  <c r="L71" i="51"/>
  <c r="K71" i="51"/>
  <c r="J71" i="51"/>
  <c r="I71" i="51"/>
  <c r="H71" i="51"/>
  <c r="S70" i="51"/>
  <c r="R70" i="51"/>
  <c r="Q70" i="51"/>
  <c r="P70" i="51"/>
  <c r="O70" i="51"/>
  <c r="N70" i="51"/>
  <c r="M70" i="51"/>
  <c r="L70" i="51"/>
  <c r="K70" i="51"/>
  <c r="J70" i="51"/>
  <c r="I70" i="51"/>
  <c r="H70" i="51"/>
  <c r="S69" i="51"/>
  <c r="R69" i="51"/>
  <c r="Q69" i="51"/>
  <c r="P69" i="51"/>
  <c r="O69" i="51"/>
  <c r="N69" i="51"/>
  <c r="M69" i="51"/>
  <c r="L69" i="51"/>
  <c r="K69" i="51"/>
  <c r="J69" i="51"/>
  <c r="I69" i="51"/>
  <c r="H69" i="51"/>
  <c r="P52" i="51"/>
  <c r="L52" i="51"/>
  <c r="P51" i="51"/>
  <c r="L51" i="51"/>
  <c r="P50" i="51"/>
  <c r="L50" i="51"/>
  <c r="P49" i="51"/>
  <c r="L49" i="51"/>
  <c r="H49" i="51"/>
  <c r="P48" i="51"/>
  <c r="L48" i="51"/>
  <c r="H48" i="51"/>
  <c r="P47" i="51"/>
  <c r="L47" i="51"/>
  <c r="H47" i="51"/>
  <c r="P46" i="51"/>
  <c r="L46" i="51"/>
  <c r="H46" i="51"/>
  <c r="P45" i="51"/>
  <c r="L45" i="51"/>
  <c r="H45" i="51"/>
  <c r="P29" i="51"/>
  <c r="L29" i="51"/>
  <c r="P28" i="51"/>
  <c r="L28" i="51"/>
  <c r="P27" i="51"/>
  <c r="L27" i="51"/>
  <c r="P26" i="51"/>
  <c r="L26" i="51"/>
  <c r="H26" i="51"/>
  <c r="P25" i="51"/>
  <c r="L25" i="51"/>
  <c r="H25" i="51"/>
  <c r="P24" i="51"/>
  <c r="L24" i="51"/>
  <c r="H24" i="51"/>
  <c r="P23" i="51"/>
  <c r="L23" i="51"/>
  <c r="H23" i="51"/>
  <c r="P22" i="51"/>
  <c r="L22" i="51"/>
  <c r="H22" i="51"/>
  <c r="P252" i="50"/>
  <c r="T252" i="50"/>
  <c r="W247" i="50"/>
  <c r="V247" i="50"/>
  <c r="U247" i="50"/>
  <c r="T247" i="50"/>
  <c r="S247" i="50"/>
  <c r="R247" i="50"/>
  <c r="Q247" i="50"/>
  <c r="P247" i="50"/>
  <c r="S242" i="50"/>
  <c r="R242" i="50"/>
  <c r="Q242" i="50"/>
  <c r="P242" i="50"/>
  <c r="L242" i="50"/>
  <c r="W241" i="50"/>
  <c r="V241" i="50"/>
  <c r="U241" i="50"/>
  <c r="T241" i="50"/>
  <c r="P241" i="50"/>
  <c r="L241" i="50"/>
  <c r="H241" i="50"/>
  <c r="D241" i="50"/>
  <c r="S236" i="50"/>
  <c r="R236" i="50"/>
  <c r="Q236" i="50"/>
  <c r="P236" i="50"/>
  <c r="L236" i="50"/>
  <c r="H236" i="50"/>
  <c r="W235" i="50"/>
  <c r="V235" i="50"/>
  <c r="U235" i="50"/>
  <c r="T235" i="50"/>
  <c r="P235" i="50"/>
  <c r="L235" i="50"/>
  <c r="H235" i="50"/>
  <c r="D235" i="50"/>
  <c r="P228" i="50"/>
  <c r="T228" i="50"/>
  <c r="R224" i="50"/>
  <c r="P224" i="50"/>
  <c r="N224" i="50"/>
  <c r="L224" i="50"/>
  <c r="R223" i="50"/>
  <c r="P223" i="50"/>
  <c r="N223" i="50"/>
  <c r="L223" i="50"/>
  <c r="J223" i="50"/>
  <c r="H223" i="50"/>
  <c r="F223" i="50"/>
  <c r="D223" i="50"/>
  <c r="P218" i="50"/>
  <c r="P217" i="50"/>
  <c r="L217" i="50"/>
  <c r="P216" i="50"/>
  <c r="L216" i="50"/>
  <c r="H216" i="50"/>
  <c r="P214" i="50"/>
  <c r="L214" i="50"/>
  <c r="H214" i="50"/>
  <c r="P213" i="50"/>
  <c r="L213" i="50"/>
  <c r="H213" i="50"/>
  <c r="D213" i="50"/>
  <c r="P209" i="50"/>
  <c r="P208" i="50"/>
  <c r="L208" i="50"/>
  <c r="P207" i="50"/>
  <c r="L207" i="50"/>
  <c r="H207" i="50"/>
  <c r="P205" i="50"/>
  <c r="L205" i="50"/>
  <c r="H205" i="50"/>
  <c r="P204" i="50"/>
  <c r="L204" i="50"/>
  <c r="H204" i="50"/>
  <c r="D204" i="50"/>
  <c r="P200" i="50"/>
  <c r="P199" i="50"/>
  <c r="L199" i="50"/>
  <c r="P198" i="50"/>
  <c r="L198" i="50"/>
  <c r="H198" i="50"/>
  <c r="P196" i="50"/>
  <c r="L196" i="50"/>
  <c r="H196" i="50"/>
  <c r="P195" i="50"/>
  <c r="L195" i="50"/>
  <c r="H195" i="50"/>
  <c r="D195" i="50"/>
  <c r="P191" i="50"/>
  <c r="P190" i="50"/>
  <c r="L190" i="50"/>
  <c r="P189" i="50"/>
  <c r="L189" i="50"/>
  <c r="H189" i="50"/>
  <c r="P187" i="50"/>
  <c r="L187" i="50"/>
  <c r="H187" i="50"/>
  <c r="P186" i="50"/>
  <c r="L186" i="50"/>
  <c r="H186" i="50"/>
  <c r="D186" i="50"/>
  <c r="P180" i="50"/>
  <c r="T180" i="50"/>
  <c r="P176" i="50"/>
  <c r="P175" i="50"/>
  <c r="P174" i="50"/>
  <c r="P172" i="50"/>
  <c r="L172" i="50"/>
  <c r="P171" i="50"/>
  <c r="L171" i="50"/>
  <c r="V167" i="50"/>
  <c r="T167" i="50"/>
  <c r="R167" i="50"/>
  <c r="P167" i="50"/>
  <c r="R166" i="50"/>
  <c r="P166" i="50"/>
  <c r="R165" i="50"/>
  <c r="P165" i="50"/>
  <c r="V163" i="50"/>
  <c r="T163" i="50"/>
  <c r="R163" i="50"/>
  <c r="P163" i="50"/>
  <c r="N163" i="50"/>
  <c r="L163" i="50"/>
  <c r="V162" i="50"/>
  <c r="T162" i="50"/>
  <c r="R162" i="50"/>
  <c r="P162" i="50"/>
  <c r="N162" i="50"/>
  <c r="L162" i="50"/>
  <c r="S157" i="50"/>
  <c r="R157" i="50"/>
  <c r="Q157" i="50"/>
  <c r="P157" i="50"/>
  <c r="O157" i="50"/>
  <c r="N157" i="50"/>
  <c r="M157" i="50"/>
  <c r="L157" i="50"/>
  <c r="W156" i="50"/>
  <c r="V156" i="50"/>
  <c r="U156" i="50"/>
  <c r="T156" i="50"/>
  <c r="S156" i="50"/>
  <c r="R156" i="50"/>
  <c r="Q156" i="50"/>
  <c r="P156" i="50"/>
  <c r="O156" i="50"/>
  <c r="N156" i="50"/>
  <c r="M156" i="50"/>
  <c r="L156" i="50"/>
  <c r="K156" i="50"/>
  <c r="J156" i="50"/>
  <c r="I156" i="50"/>
  <c r="H156" i="50"/>
  <c r="G156" i="50"/>
  <c r="F156" i="50"/>
  <c r="E156" i="50"/>
  <c r="D156" i="50"/>
  <c r="S151" i="50"/>
  <c r="R151" i="50"/>
  <c r="Q151" i="50"/>
  <c r="P151" i="50"/>
  <c r="O151" i="50"/>
  <c r="N151" i="50"/>
  <c r="M151" i="50"/>
  <c r="L151" i="50"/>
  <c r="K151" i="50"/>
  <c r="J151" i="50"/>
  <c r="I151" i="50"/>
  <c r="H151" i="50"/>
  <c r="W150" i="50"/>
  <c r="V150" i="50"/>
  <c r="U150" i="50"/>
  <c r="T150" i="50"/>
  <c r="S150" i="50"/>
  <c r="R150" i="50"/>
  <c r="Q150" i="50"/>
  <c r="P150" i="50"/>
  <c r="O150" i="50"/>
  <c r="N150" i="50"/>
  <c r="M150" i="50"/>
  <c r="L150" i="50"/>
  <c r="K150" i="50"/>
  <c r="J150" i="50"/>
  <c r="I150" i="50"/>
  <c r="H150" i="50"/>
  <c r="G150" i="50"/>
  <c r="F150" i="50"/>
  <c r="E150" i="50"/>
  <c r="D150" i="50"/>
  <c r="P143" i="50"/>
  <c r="T143" i="50"/>
  <c r="P139" i="50"/>
  <c r="L139" i="50"/>
  <c r="P138" i="50"/>
  <c r="L138" i="50"/>
  <c r="H138" i="50"/>
  <c r="D138" i="50"/>
  <c r="P134" i="50"/>
  <c r="P133" i="50"/>
  <c r="L133" i="50"/>
  <c r="P132" i="50"/>
  <c r="L132" i="50"/>
  <c r="H132" i="50"/>
  <c r="P130" i="50"/>
  <c r="L130" i="50"/>
  <c r="H130" i="50"/>
  <c r="P129" i="50"/>
  <c r="L129" i="50"/>
  <c r="H129" i="50"/>
  <c r="D129" i="50"/>
  <c r="P125" i="50"/>
  <c r="P124" i="50"/>
  <c r="L124" i="50"/>
  <c r="P123" i="50"/>
  <c r="L123" i="50"/>
  <c r="H123" i="50"/>
  <c r="P121" i="50"/>
  <c r="L121" i="50"/>
  <c r="H121" i="50"/>
  <c r="P120" i="50"/>
  <c r="L120" i="50"/>
  <c r="H120" i="50"/>
  <c r="D120" i="50"/>
  <c r="P114" i="50"/>
  <c r="T114" i="50"/>
  <c r="P110" i="50"/>
  <c r="L110" i="50"/>
  <c r="P109" i="50"/>
  <c r="L109" i="50"/>
  <c r="H109" i="50"/>
  <c r="D109" i="50"/>
  <c r="P105" i="50"/>
  <c r="P104" i="50"/>
  <c r="L104" i="50"/>
  <c r="P103" i="50"/>
  <c r="L103" i="50"/>
  <c r="H103" i="50"/>
  <c r="P101" i="50"/>
  <c r="L101" i="50"/>
  <c r="H101" i="50"/>
  <c r="P100" i="50"/>
  <c r="L100" i="50"/>
  <c r="H100" i="50"/>
  <c r="D100" i="50"/>
  <c r="P96" i="50"/>
  <c r="P95" i="50"/>
  <c r="L95" i="50"/>
  <c r="P94" i="50"/>
  <c r="L94" i="50"/>
  <c r="H94" i="50"/>
  <c r="P92" i="50"/>
  <c r="L92" i="50"/>
  <c r="H92" i="50"/>
  <c r="P91" i="50"/>
  <c r="L91" i="50"/>
  <c r="H91" i="50"/>
  <c r="D91" i="50"/>
  <c r="B87" i="50"/>
  <c r="B85" i="50"/>
  <c r="P85" i="50"/>
  <c r="T85" i="50"/>
  <c r="N85" i="50"/>
  <c r="L85" i="50"/>
  <c r="J85" i="50"/>
  <c r="H85" i="50"/>
  <c r="F85" i="50"/>
  <c r="D85" i="50"/>
  <c r="S81" i="50"/>
  <c r="R81" i="50"/>
  <c r="Q81" i="50"/>
  <c r="P81" i="50"/>
  <c r="O81" i="50"/>
  <c r="N81" i="50"/>
  <c r="M81" i="50"/>
  <c r="L81" i="50"/>
  <c r="K81" i="50"/>
  <c r="J81" i="50"/>
  <c r="I81" i="50"/>
  <c r="H81" i="50"/>
  <c r="W80" i="50"/>
  <c r="V80" i="50"/>
  <c r="U80" i="50"/>
  <c r="T80" i="50"/>
  <c r="S80" i="50"/>
  <c r="R80" i="50"/>
  <c r="Q80" i="50"/>
  <c r="P80" i="50"/>
  <c r="O80" i="50"/>
  <c r="N80" i="50"/>
  <c r="M80" i="50"/>
  <c r="L80" i="50"/>
  <c r="K80" i="50"/>
  <c r="J80" i="50"/>
  <c r="I80" i="50"/>
  <c r="H80" i="50"/>
  <c r="G80" i="50"/>
  <c r="F80" i="50"/>
  <c r="E80" i="50"/>
  <c r="D80" i="50"/>
  <c r="P75" i="50"/>
  <c r="P74" i="50"/>
  <c r="P73" i="50"/>
  <c r="P71" i="50"/>
  <c r="L71" i="50"/>
  <c r="P70" i="50"/>
  <c r="L70" i="50"/>
  <c r="P66" i="50"/>
  <c r="P65" i="50"/>
  <c r="L65" i="50"/>
  <c r="P64" i="50"/>
  <c r="L64" i="50"/>
  <c r="H64" i="50"/>
  <c r="P62" i="50"/>
  <c r="L62" i="50"/>
  <c r="H62" i="50"/>
  <c r="P61" i="50"/>
  <c r="L61" i="50"/>
  <c r="H61" i="50"/>
  <c r="D61" i="50"/>
  <c r="P57" i="50"/>
  <c r="P56" i="50"/>
  <c r="L56" i="50"/>
  <c r="P55" i="50"/>
  <c r="L55" i="50"/>
  <c r="H55" i="50"/>
  <c r="P53" i="50"/>
  <c r="L53" i="50"/>
  <c r="H53" i="50"/>
  <c r="P52" i="50"/>
  <c r="L52" i="50"/>
  <c r="H52" i="50"/>
  <c r="D52" i="50"/>
  <c r="W46" i="50"/>
  <c r="V46" i="50"/>
  <c r="U46" i="50"/>
  <c r="T46" i="50"/>
  <c r="S46" i="50"/>
  <c r="R46" i="50"/>
  <c r="Q46" i="50"/>
  <c r="P46" i="50"/>
  <c r="S45" i="50"/>
  <c r="R45" i="50"/>
  <c r="Q45" i="50"/>
  <c r="P45" i="50"/>
  <c r="O45" i="50"/>
  <c r="N45" i="50"/>
  <c r="M45" i="50"/>
  <c r="L45" i="50"/>
  <c r="S44" i="50"/>
  <c r="R44" i="50"/>
  <c r="Q44" i="50"/>
  <c r="P44" i="50"/>
  <c r="O44" i="50"/>
  <c r="N44" i="50"/>
  <c r="M44" i="50"/>
  <c r="L44" i="50"/>
  <c r="K44" i="50"/>
  <c r="J44" i="50"/>
  <c r="I44" i="50"/>
  <c r="H44" i="50"/>
  <c r="W42" i="50"/>
  <c r="V42" i="50"/>
  <c r="U42" i="50"/>
  <c r="T42" i="50"/>
  <c r="S42" i="50"/>
  <c r="R42" i="50"/>
  <c r="Q42" i="50"/>
  <c r="P42" i="50"/>
  <c r="O42" i="50"/>
  <c r="N42" i="50"/>
  <c r="M42" i="50"/>
  <c r="L42" i="50"/>
  <c r="K42" i="50"/>
  <c r="J42" i="50"/>
  <c r="I42" i="50"/>
  <c r="H42" i="50"/>
  <c r="W41" i="50"/>
  <c r="V41" i="50"/>
  <c r="U41" i="50"/>
  <c r="T41" i="50"/>
  <c r="S41" i="50"/>
  <c r="R41" i="50"/>
  <c r="Q41" i="50"/>
  <c r="P41" i="50"/>
  <c r="O41" i="50"/>
  <c r="N41" i="50"/>
  <c r="M41" i="50"/>
  <c r="L41" i="50"/>
  <c r="K41" i="50"/>
  <c r="J41" i="50"/>
  <c r="I41" i="50"/>
  <c r="H41" i="50"/>
  <c r="G41" i="50"/>
  <c r="F41" i="50"/>
  <c r="E41" i="50"/>
  <c r="D41" i="50"/>
  <c r="P36" i="50"/>
  <c r="P35" i="50"/>
  <c r="L35" i="50"/>
  <c r="P34" i="50"/>
  <c r="L34" i="50"/>
  <c r="H34" i="50"/>
  <c r="P32" i="50"/>
  <c r="L32" i="50"/>
  <c r="H32" i="50"/>
  <c r="P31" i="50"/>
  <c r="L31" i="50"/>
  <c r="H31" i="50"/>
  <c r="D31" i="50"/>
  <c r="P27" i="50"/>
  <c r="P26" i="50"/>
  <c r="L26" i="50"/>
  <c r="P25" i="50"/>
  <c r="L25" i="50"/>
  <c r="H25" i="50"/>
  <c r="P23" i="50"/>
  <c r="L23" i="50"/>
  <c r="H23" i="50"/>
  <c r="P22" i="50"/>
  <c r="L22" i="50"/>
  <c r="H22" i="50"/>
  <c r="D22" i="50"/>
  <c r="P252" i="49"/>
  <c r="T252" i="49"/>
  <c r="P228" i="49"/>
  <c r="T228" i="49"/>
  <c r="P180" i="49"/>
  <c r="T180" i="49"/>
  <c r="R165" i="49"/>
  <c r="P165" i="49"/>
  <c r="S157" i="49"/>
  <c r="R157" i="49"/>
  <c r="Q157" i="49"/>
  <c r="P157" i="49"/>
  <c r="S151" i="49"/>
  <c r="R151" i="49"/>
  <c r="Q151" i="49"/>
  <c r="P151" i="49"/>
  <c r="P143" i="49"/>
  <c r="T143" i="49"/>
  <c r="P114" i="49"/>
  <c r="T114" i="49"/>
  <c r="B87" i="49"/>
  <c r="B85" i="49"/>
  <c r="D85" i="49"/>
  <c r="F85" i="49"/>
  <c r="H85" i="49"/>
  <c r="J85" i="49"/>
  <c r="L85" i="49"/>
  <c r="N85" i="49"/>
  <c r="P85" i="49"/>
  <c r="T85" i="49"/>
  <c r="L81" i="49"/>
  <c r="A7" i="48"/>
  <c r="B7" i="48"/>
  <c r="B110" i="48"/>
  <c r="B108" i="48"/>
  <c r="A1" i="48"/>
  <c r="T566" i="1"/>
  <c r="T567" i="1"/>
  <c r="T568" i="1"/>
  <c r="T569" i="1"/>
  <c r="T570" i="1"/>
  <c r="T572" i="1"/>
  <c r="T573" i="1"/>
  <c r="T574" i="1"/>
  <c r="T575" i="1"/>
  <c r="T235" i="20"/>
  <c r="U146" i="7"/>
  <c r="AG146" i="7"/>
  <c r="AI146" i="7"/>
  <c r="AH146" i="7"/>
  <c r="T146" i="7"/>
  <c r="AF146" i="7"/>
  <c r="R146" i="7"/>
  <c r="U145" i="7"/>
  <c r="AG145" i="7"/>
  <c r="T145" i="7"/>
  <c r="AF145" i="7"/>
  <c r="R145" i="7"/>
  <c r="U143" i="7"/>
  <c r="AG143" i="7"/>
  <c r="AI143" i="7"/>
  <c r="AH143" i="7"/>
  <c r="T143" i="7"/>
  <c r="AF143" i="7"/>
  <c r="R143" i="7"/>
  <c r="U142" i="7"/>
  <c r="AG142" i="7"/>
  <c r="T142" i="7"/>
  <c r="AF142" i="7"/>
  <c r="R142" i="7"/>
  <c r="U140" i="7"/>
  <c r="AG140" i="7"/>
  <c r="AI140" i="7"/>
  <c r="AH140" i="7"/>
  <c r="T140" i="7"/>
  <c r="AF140" i="7"/>
  <c r="R140" i="7"/>
  <c r="U139" i="7"/>
  <c r="AG139" i="7"/>
  <c r="T139" i="7"/>
  <c r="AF139" i="7"/>
  <c r="R139" i="7"/>
  <c r="U137" i="7"/>
  <c r="AG137" i="7"/>
  <c r="AI137" i="7"/>
  <c r="AH137" i="7"/>
  <c r="T137" i="7"/>
  <c r="AF137" i="7"/>
  <c r="R137" i="7"/>
  <c r="U136" i="7"/>
  <c r="AG136" i="7"/>
  <c r="T136" i="7"/>
  <c r="AF136" i="7"/>
  <c r="R136" i="7"/>
  <c r="U134" i="7"/>
  <c r="AG134" i="7"/>
  <c r="AI134" i="7"/>
  <c r="AH134" i="7"/>
  <c r="T134" i="7"/>
  <c r="AF134" i="7"/>
  <c r="R134" i="7"/>
  <c r="U133" i="7"/>
  <c r="AG133" i="7"/>
  <c r="T133" i="7"/>
  <c r="AF133" i="7"/>
  <c r="R133" i="7"/>
  <c r="U131" i="7"/>
  <c r="AG131" i="7"/>
  <c r="AI131" i="7"/>
  <c r="AH131" i="7"/>
  <c r="T131" i="7"/>
  <c r="AF131" i="7"/>
  <c r="R131" i="7"/>
  <c r="U130" i="7"/>
  <c r="AG130" i="7"/>
  <c r="T130" i="7"/>
  <c r="AF130" i="7"/>
  <c r="R130" i="7"/>
  <c r="U128" i="7"/>
  <c r="AG128" i="7"/>
  <c r="AI128" i="7"/>
  <c r="AH128" i="7"/>
  <c r="T128" i="7"/>
  <c r="AF128" i="7"/>
  <c r="R128" i="7"/>
  <c r="U127" i="7"/>
  <c r="AG127" i="7"/>
  <c r="T127" i="7"/>
  <c r="AF127" i="7"/>
  <c r="R127" i="7"/>
  <c r="U125" i="7"/>
  <c r="AG125" i="7"/>
  <c r="AI125" i="7"/>
  <c r="AH125" i="7"/>
  <c r="T125" i="7"/>
  <c r="AF125" i="7"/>
  <c r="R125" i="7"/>
  <c r="U124" i="7"/>
  <c r="AG124" i="7"/>
  <c r="T124" i="7"/>
  <c r="AF124" i="7"/>
  <c r="R124" i="7"/>
  <c r="U122" i="7"/>
  <c r="AG122" i="7"/>
  <c r="AI122" i="7"/>
  <c r="AH122" i="7"/>
  <c r="T122" i="7"/>
  <c r="AF122" i="7"/>
  <c r="R122" i="7"/>
  <c r="U121" i="7"/>
  <c r="AG121" i="7"/>
  <c r="T121" i="7"/>
  <c r="AF121" i="7"/>
  <c r="R121" i="7"/>
  <c r="U119" i="7"/>
  <c r="AG119" i="7"/>
  <c r="AI119" i="7"/>
  <c r="AH119" i="7"/>
  <c r="T119" i="7"/>
  <c r="AF119" i="7"/>
  <c r="R119" i="7"/>
  <c r="U118" i="7"/>
  <c r="AG118" i="7"/>
  <c r="T118" i="7"/>
  <c r="AF118" i="7"/>
  <c r="R118" i="7"/>
  <c r="U116" i="7"/>
  <c r="AG116" i="7"/>
  <c r="AI116" i="7"/>
  <c r="AH116" i="7"/>
  <c r="T116" i="7"/>
  <c r="AF116" i="7"/>
  <c r="R116" i="7"/>
  <c r="U115" i="7"/>
  <c r="AG115" i="7"/>
  <c r="T115" i="7"/>
  <c r="AF115" i="7"/>
  <c r="R115" i="7"/>
  <c r="U113" i="7"/>
  <c r="AG113" i="7"/>
  <c r="AN113" i="7"/>
  <c r="AP113" i="7"/>
  <c r="AO113" i="7"/>
  <c r="T113" i="7"/>
  <c r="AF113" i="7"/>
  <c r="AM113" i="7"/>
  <c r="R113" i="7"/>
  <c r="AK113" i="7"/>
  <c r="AI113" i="7"/>
  <c r="AH113" i="7"/>
  <c r="U112" i="7"/>
  <c r="AG112" i="7"/>
  <c r="AN112" i="7"/>
  <c r="T112" i="7"/>
  <c r="AF112" i="7"/>
  <c r="AM112" i="7"/>
  <c r="R112" i="7"/>
  <c r="AK112" i="7"/>
  <c r="S110" i="41"/>
  <c r="S110" i="45"/>
  <c r="S110" i="7"/>
  <c r="U110" i="41"/>
  <c r="U110" i="45"/>
  <c r="U110" i="7"/>
  <c r="AG110" i="7"/>
  <c r="AI110" i="7"/>
  <c r="AH110" i="7"/>
  <c r="T110" i="41"/>
  <c r="T110" i="45"/>
  <c r="T110" i="7"/>
  <c r="AF110" i="7"/>
  <c r="R110" i="41"/>
  <c r="R110" i="45"/>
  <c r="R110" i="7"/>
  <c r="U109" i="41"/>
  <c r="U109" i="45"/>
  <c r="U109" i="7"/>
  <c r="AG109" i="7"/>
  <c r="T109" i="41"/>
  <c r="T109" i="45"/>
  <c r="T109" i="7"/>
  <c r="AF109" i="7"/>
  <c r="R109" i="41"/>
  <c r="R109" i="45"/>
  <c r="R109" i="7"/>
  <c r="U107" i="41"/>
  <c r="U107" i="45"/>
  <c r="U107" i="7"/>
  <c r="AG107" i="7"/>
  <c r="AI107" i="7"/>
  <c r="AH107" i="7"/>
  <c r="T107" i="41"/>
  <c r="T107" i="45"/>
  <c r="T107" i="7"/>
  <c r="AF107" i="7"/>
  <c r="R107" i="41"/>
  <c r="R107" i="45"/>
  <c r="R107" i="7"/>
  <c r="U106" i="41"/>
  <c r="U106" i="45"/>
  <c r="U106" i="7"/>
  <c r="AG106" i="7"/>
  <c r="T106" i="41"/>
  <c r="T106" i="45"/>
  <c r="T106" i="7"/>
  <c r="AF106" i="7"/>
  <c r="R106" i="41"/>
  <c r="R106" i="45"/>
  <c r="R106" i="7"/>
  <c r="U104" i="41"/>
  <c r="U104" i="45"/>
  <c r="U104" i="7"/>
  <c r="AG104" i="7"/>
  <c r="AI104" i="7"/>
  <c r="AH104" i="7"/>
  <c r="T104" i="41"/>
  <c r="T104" i="45"/>
  <c r="T104" i="7"/>
  <c r="AF104" i="7"/>
  <c r="R104" i="41"/>
  <c r="R104" i="45"/>
  <c r="R104" i="7"/>
  <c r="U103" i="41"/>
  <c r="U103" i="45"/>
  <c r="U103" i="7"/>
  <c r="AG103" i="7"/>
  <c r="T103" i="41"/>
  <c r="T103" i="45"/>
  <c r="T103" i="7"/>
  <c r="AF103" i="7"/>
  <c r="R103" i="41"/>
  <c r="R103" i="45"/>
  <c r="R103" i="7"/>
  <c r="U101" i="41"/>
  <c r="U101" i="45"/>
  <c r="U101" i="7"/>
  <c r="AG101" i="7"/>
  <c r="AI101" i="7"/>
  <c r="AH101" i="7"/>
  <c r="T101" i="41"/>
  <c r="T101" i="45"/>
  <c r="T101" i="7"/>
  <c r="AF101" i="7"/>
  <c r="R101" i="41"/>
  <c r="R101" i="45"/>
  <c r="R101" i="7"/>
  <c r="U100" i="41"/>
  <c r="U100" i="45"/>
  <c r="U100" i="7"/>
  <c r="AG100" i="7"/>
  <c r="T100" i="41"/>
  <c r="T100" i="45"/>
  <c r="T100" i="7"/>
  <c r="AF100" i="7"/>
  <c r="R100" i="41"/>
  <c r="R100" i="45"/>
  <c r="R100" i="7"/>
  <c r="U98" i="41"/>
  <c r="U98" i="45"/>
  <c r="U98" i="7"/>
  <c r="AG98" i="7"/>
  <c r="AI98" i="7"/>
  <c r="AH98" i="7"/>
  <c r="T98" i="41"/>
  <c r="T98" i="45"/>
  <c r="T98" i="7"/>
  <c r="AF98" i="7"/>
  <c r="AG97" i="7"/>
  <c r="AF97" i="7"/>
  <c r="U95" i="41"/>
  <c r="U95" i="45"/>
  <c r="U95" i="7"/>
  <c r="AG95" i="7"/>
  <c r="AN95" i="7"/>
  <c r="AP95" i="7"/>
  <c r="AO95" i="7"/>
  <c r="T95" i="41"/>
  <c r="T95" i="45"/>
  <c r="T95" i="7"/>
  <c r="AF95" i="7"/>
  <c r="AM95" i="7"/>
  <c r="R95" i="41"/>
  <c r="R95" i="45"/>
  <c r="R95" i="7"/>
  <c r="AK95" i="7"/>
  <c r="AI95" i="7"/>
  <c r="AH95" i="7"/>
  <c r="U94" i="41"/>
  <c r="U94" i="45"/>
  <c r="U94" i="7"/>
  <c r="AG94" i="7"/>
  <c r="AN94" i="7"/>
  <c r="T94" i="41"/>
  <c r="T94" i="45"/>
  <c r="T94" i="7"/>
  <c r="AF94" i="7"/>
  <c r="AM94" i="7"/>
  <c r="R94" i="41"/>
  <c r="R94" i="45"/>
  <c r="R94" i="7"/>
  <c r="AK94" i="7"/>
  <c r="U92" i="41"/>
  <c r="U92" i="45"/>
  <c r="U92" i="7"/>
  <c r="AG92" i="7"/>
  <c r="AI92" i="7"/>
  <c r="AH92" i="7"/>
  <c r="T92" i="41"/>
  <c r="T92" i="45"/>
  <c r="T92" i="7"/>
  <c r="AF92" i="7"/>
  <c r="R92" i="41"/>
  <c r="R92" i="45"/>
  <c r="R92" i="7"/>
  <c r="U91" i="41"/>
  <c r="U91" i="45"/>
  <c r="U91" i="7"/>
  <c r="AG91" i="7"/>
  <c r="T91" i="41"/>
  <c r="T91" i="45"/>
  <c r="T91" i="7"/>
  <c r="AF91" i="7"/>
  <c r="R91" i="41"/>
  <c r="R91" i="45"/>
  <c r="R91" i="7"/>
  <c r="U89" i="41"/>
  <c r="U89" i="45"/>
  <c r="U89" i="7"/>
  <c r="AG89" i="7"/>
  <c r="AI89" i="7"/>
  <c r="AH89" i="7"/>
  <c r="T89" i="41"/>
  <c r="T89" i="45"/>
  <c r="T89" i="7"/>
  <c r="AF89" i="7"/>
  <c r="R89" i="41"/>
  <c r="R89" i="45"/>
  <c r="R89" i="7"/>
  <c r="U88" i="41"/>
  <c r="U88" i="45"/>
  <c r="U88" i="7"/>
  <c r="AG88" i="7"/>
  <c r="T88" i="41"/>
  <c r="T88" i="45"/>
  <c r="T88" i="7"/>
  <c r="AF88" i="7"/>
  <c r="R88" i="41"/>
  <c r="R88" i="45"/>
  <c r="R88" i="7"/>
  <c r="U86" i="41"/>
  <c r="U86" i="45"/>
  <c r="U86" i="7"/>
  <c r="AG86" i="7"/>
  <c r="AI86" i="7"/>
  <c r="AH86" i="7"/>
  <c r="T86" i="41"/>
  <c r="T86" i="45"/>
  <c r="T86" i="7"/>
  <c r="AF86" i="7"/>
  <c r="R86" i="41"/>
  <c r="R86" i="45"/>
  <c r="R86" i="7"/>
  <c r="U85" i="41"/>
  <c r="U85" i="45"/>
  <c r="U85" i="7"/>
  <c r="AG85" i="7"/>
  <c r="T85" i="41"/>
  <c r="T85" i="45"/>
  <c r="T85" i="7"/>
  <c r="AF85" i="7"/>
  <c r="R85" i="41"/>
  <c r="R85" i="45"/>
  <c r="R85" i="7"/>
  <c r="U83" i="41"/>
  <c r="U83" i="45"/>
  <c r="U83" i="7"/>
  <c r="AG83" i="7"/>
  <c r="AI83" i="7"/>
  <c r="AH83" i="7"/>
  <c r="T83" i="41"/>
  <c r="T83" i="45"/>
  <c r="T83" i="7"/>
  <c r="AF83" i="7"/>
  <c r="R83" i="41"/>
  <c r="R83" i="45"/>
  <c r="R83" i="7"/>
  <c r="U82" i="41"/>
  <c r="U82" i="45"/>
  <c r="U82" i="7"/>
  <c r="AG82" i="7"/>
  <c r="T82" i="41"/>
  <c r="T82" i="45"/>
  <c r="T82" i="7"/>
  <c r="AF82" i="7"/>
  <c r="R82" i="41"/>
  <c r="R82" i="45"/>
  <c r="R82" i="7"/>
  <c r="U80" i="41"/>
  <c r="U80" i="45"/>
  <c r="U80" i="7"/>
  <c r="AG80" i="7"/>
  <c r="AI80" i="7"/>
  <c r="AH80" i="7"/>
  <c r="T80" i="41"/>
  <c r="T80" i="45"/>
  <c r="T80" i="7"/>
  <c r="AF80" i="7"/>
  <c r="R80" i="41"/>
  <c r="R80" i="45"/>
  <c r="R80" i="7"/>
  <c r="U79" i="41"/>
  <c r="U79" i="45"/>
  <c r="U79" i="7"/>
  <c r="AG79" i="7"/>
  <c r="T79" i="41"/>
  <c r="T79" i="45"/>
  <c r="T79" i="7"/>
  <c r="AF79" i="7"/>
  <c r="R79" i="41"/>
  <c r="R79" i="45"/>
  <c r="R79" i="7"/>
  <c r="U77" i="41"/>
  <c r="U77" i="45"/>
  <c r="U77" i="7"/>
  <c r="AG77" i="7"/>
  <c r="AI77" i="7"/>
  <c r="AH77" i="7"/>
  <c r="T77" i="41"/>
  <c r="T77" i="45"/>
  <c r="T77" i="7"/>
  <c r="AF77" i="7"/>
  <c r="R77" i="41"/>
  <c r="R77" i="45"/>
  <c r="R77" i="7"/>
  <c r="U76" i="41"/>
  <c r="U76" i="45"/>
  <c r="U76" i="7"/>
  <c r="AG76" i="7"/>
  <c r="T76" i="41"/>
  <c r="T76" i="45"/>
  <c r="T76" i="7"/>
  <c r="AF76" i="7"/>
  <c r="R76" i="41"/>
  <c r="R76" i="45"/>
  <c r="R76" i="7"/>
  <c r="U74" i="41"/>
  <c r="U74" i="45"/>
  <c r="U74" i="7"/>
  <c r="AG74" i="7"/>
  <c r="AI74" i="7"/>
  <c r="AH74" i="7"/>
  <c r="T74" i="41"/>
  <c r="T74" i="45"/>
  <c r="T74" i="7"/>
  <c r="AF74" i="7"/>
  <c r="R74" i="41"/>
  <c r="R74" i="45"/>
  <c r="R74" i="7"/>
  <c r="U73" i="41"/>
  <c r="U73" i="45"/>
  <c r="U73" i="7"/>
  <c r="AG73" i="7"/>
  <c r="T73" i="41"/>
  <c r="T73" i="45"/>
  <c r="T73" i="7"/>
  <c r="AF73" i="7"/>
  <c r="R73" i="41"/>
  <c r="R73" i="45"/>
  <c r="R73" i="7"/>
  <c r="U71" i="41"/>
  <c r="U71" i="45"/>
  <c r="U71" i="7"/>
  <c r="AG71" i="7"/>
  <c r="AI71" i="7"/>
  <c r="AH71" i="7"/>
  <c r="T71" i="41"/>
  <c r="T71" i="45"/>
  <c r="T71" i="7"/>
  <c r="AF71" i="7"/>
  <c r="R71" i="41"/>
  <c r="R71" i="45"/>
  <c r="R71" i="7"/>
  <c r="U70" i="41"/>
  <c r="U70" i="45"/>
  <c r="U70" i="7"/>
  <c r="AG70" i="7"/>
  <c r="T70" i="41"/>
  <c r="T70" i="45"/>
  <c r="T70" i="7"/>
  <c r="AF70" i="7"/>
  <c r="R70" i="41"/>
  <c r="R70" i="45"/>
  <c r="R70" i="7"/>
  <c r="U68" i="41"/>
  <c r="U68" i="45"/>
  <c r="U68" i="7"/>
  <c r="AG68" i="7"/>
  <c r="AI68" i="7"/>
  <c r="AH68" i="7"/>
  <c r="T68" i="41"/>
  <c r="T68" i="45"/>
  <c r="T68" i="7"/>
  <c r="AF68" i="7"/>
  <c r="R68" i="41"/>
  <c r="R68" i="45"/>
  <c r="R68" i="7"/>
  <c r="U67" i="41"/>
  <c r="U67" i="45"/>
  <c r="U67" i="7"/>
  <c r="AG67" i="7"/>
  <c r="T67" i="41"/>
  <c r="T67" i="45"/>
  <c r="T67" i="7"/>
  <c r="AF67" i="7"/>
  <c r="R67" i="41"/>
  <c r="R67" i="45"/>
  <c r="R67" i="7"/>
  <c r="U65" i="41"/>
  <c r="U65" i="45"/>
  <c r="U65" i="7"/>
  <c r="AG65" i="7"/>
  <c r="AI65" i="7"/>
  <c r="AH65" i="7"/>
  <c r="T65" i="41"/>
  <c r="T65" i="45"/>
  <c r="T65" i="7"/>
  <c r="AF65" i="7"/>
  <c r="R65" i="41"/>
  <c r="R65" i="45"/>
  <c r="R65" i="7"/>
  <c r="U64" i="41"/>
  <c r="U64" i="45"/>
  <c r="U64" i="7"/>
  <c r="AG64" i="7"/>
  <c r="T64" i="41"/>
  <c r="T64" i="45"/>
  <c r="T64" i="7"/>
  <c r="AF64" i="7"/>
  <c r="R64" i="41"/>
  <c r="R64" i="45"/>
  <c r="R64" i="7"/>
  <c r="U62" i="41"/>
  <c r="U62" i="45"/>
  <c r="U62" i="7"/>
  <c r="AG62" i="7"/>
  <c r="AN62" i="7"/>
  <c r="AP62" i="7"/>
  <c r="AO62" i="7"/>
  <c r="T62" i="41"/>
  <c r="T62" i="45"/>
  <c r="T62" i="7"/>
  <c r="AF62" i="7"/>
  <c r="AM62" i="7"/>
  <c r="R62" i="41"/>
  <c r="R62" i="45"/>
  <c r="R62" i="7"/>
  <c r="AK62" i="7"/>
  <c r="AI62" i="7"/>
  <c r="AH62" i="7"/>
  <c r="U61" i="41"/>
  <c r="U61" i="45"/>
  <c r="U61" i="7"/>
  <c r="AG61" i="7"/>
  <c r="AN61" i="7"/>
  <c r="T61" i="41"/>
  <c r="T61" i="45"/>
  <c r="T61" i="7"/>
  <c r="AF61" i="7"/>
  <c r="AM61" i="7"/>
  <c r="R61" i="41"/>
  <c r="R61" i="45"/>
  <c r="R61" i="7"/>
  <c r="AK61" i="7"/>
  <c r="AG59" i="7"/>
  <c r="AI59" i="7"/>
  <c r="AH59" i="7"/>
  <c r="AF59" i="7"/>
  <c r="AG58" i="7"/>
  <c r="AF58" i="7"/>
  <c r="AG56" i="7"/>
  <c r="AI56" i="7"/>
  <c r="AH56" i="7"/>
  <c r="AF56" i="7"/>
  <c r="AG55" i="7"/>
  <c r="AF55" i="7"/>
  <c r="AG53" i="7"/>
  <c r="AN53" i="7"/>
  <c r="AP53" i="7"/>
  <c r="AO53" i="7"/>
  <c r="AF53" i="7"/>
  <c r="AM53" i="7"/>
  <c r="AK53" i="7"/>
  <c r="AI53" i="7"/>
  <c r="AH53" i="7"/>
  <c r="AG52" i="7"/>
  <c r="AN52" i="7"/>
  <c r="AF52" i="7"/>
  <c r="AM52" i="7"/>
  <c r="AK52" i="7"/>
  <c r="AG50" i="7"/>
  <c r="AI50" i="7"/>
  <c r="AH50" i="7"/>
  <c r="AF50" i="7"/>
  <c r="AG49" i="7"/>
  <c r="AF49" i="7"/>
  <c r="AG47" i="7"/>
  <c r="AI47" i="7"/>
  <c r="AH47" i="7"/>
  <c r="AF47" i="7"/>
  <c r="AG46" i="7"/>
  <c r="AF46" i="7"/>
  <c r="AG44" i="7"/>
  <c r="AN44" i="7"/>
  <c r="AP44" i="7"/>
  <c r="AO44" i="7"/>
  <c r="AF44" i="7"/>
  <c r="AM44" i="7"/>
  <c r="AK44" i="7"/>
  <c r="AI44" i="7"/>
  <c r="AH44" i="7"/>
  <c r="AG43" i="7"/>
  <c r="AN43" i="7"/>
  <c r="AF43" i="7"/>
  <c r="AM43" i="7"/>
  <c r="AK43" i="7"/>
  <c r="AG41" i="7"/>
  <c r="AI41" i="7"/>
  <c r="AH41" i="7"/>
  <c r="AF41" i="7"/>
  <c r="AG40" i="7"/>
  <c r="AF40" i="7"/>
  <c r="AG38" i="7"/>
  <c r="AI38" i="7"/>
  <c r="AH38" i="7"/>
  <c r="AF38" i="7"/>
  <c r="AG37" i="7"/>
  <c r="AF37" i="7"/>
  <c r="AG35" i="7"/>
  <c r="AI35" i="7"/>
  <c r="AH35" i="7"/>
  <c r="AF35" i="7"/>
  <c r="AG34" i="7"/>
  <c r="AF34" i="7"/>
  <c r="AG32" i="7"/>
  <c r="AI32" i="7"/>
  <c r="AH32" i="7"/>
  <c r="AF32" i="7"/>
  <c r="AG31" i="7"/>
  <c r="AF31" i="7"/>
  <c r="AG29" i="7"/>
  <c r="AI29" i="7"/>
  <c r="AH29" i="7"/>
  <c r="AF29" i="7"/>
  <c r="AG28" i="7"/>
  <c r="AF28" i="7"/>
  <c r="AG26" i="7"/>
  <c r="AI26" i="7"/>
  <c r="AH26" i="7"/>
  <c r="AF26" i="7"/>
  <c r="AG25" i="7"/>
  <c r="AF25" i="7"/>
  <c r="AG23" i="7"/>
  <c r="AN23" i="7"/>
  <c r="AP23" i="7"/>
  <c r="AO23" i="7"/>
  <c r="AF23" i="7"/>
  <c r="AM23" i="7"/>
  <c r="AK23" i="7"/>
  <c r="AI23" i="7"/>
  <c r="AH23" i="7"/>
  <c r="AG22" i="7"/>
  <c r="AN22" i="7"/>
  <c r="AF22" i="7"/>
  <c r="AM22" i="7"/>
  <c r="AK22" i="7"/>
  <c r="AG20" i="7"/>
  <c r="AI20" i="7"/>
  <c r="AH20" i="7"/>
  <c r="AF20" i="7"/>
  <c r="AG19" i="7"/>
  <c r="AF19" i="7"/>
  <c r="AG17" i="7"/>
  <c r="AI17" i="7"/>
  <c r="AH17" i="7"/>
  <c r="AF17" i="7"/>
  <c r="AG16" i="7"/>
  <c r="AF16" i="7"/>
  <c r="AG14" i="7"/>
  <c r="AI14" i="7"/>
  <c r="AH14" i="7"/>
  <c r="AF14" i="7"/>
  <c r="AG13" i="7"/>
  <c r="AF13" i="7"/>
  <c r="AG11" i="7"/>
  <c r="AI11" i="7"/>
  <c r="AH11" i="7"/>
  <c r="AF11" i="7"/>
  <c r="AG10" i="7"/>
  <c r="AF10" i="7"/>
  <c r="AG8" i="7"/>
  <c r="AI8" i="7"/>
  <c r="AH8" i="7"/>
  <c r="AF8" i="7"/>
  <c r="AG7" i="7"/>
  <c r="AF7" i="7"/>
  <c r="AG5" i="7"/>
  <c r="AN5" i="7"/>
  <c r="AP5" i="7"/>
  <c r="AO5" i="7"/>
  <c r="AF5" i="7"/>
  <c r="AM5" i="7"/>
  <c r="AK5" i="7"/>
  <c r="AI5" i="7"/>
  <c r="AH5" i="7"/>
  <c r="AG4" i="7"/>
  <c r="AN4" i="7"/>
  <c r="AF4" i="7"/>
  <c r="AM4" i="7"/>
  <c r="AK4" i="7"/>
  <c r="AG3" i="7"/>
  <c r="AF3" i="7"/>
  <c r="AG2" i="7"/>
  <c r="AN2" i="7"/>
  <c r="AF2" i="7"/>
  <c r="AM2" i="7"/>
  <c r="AK2" i="7"/>
  <c r="AG146" i="45"/>
  <c r="AI146" i="45"/>
  <c r="AH146" i="45"/>
  <c r="AF146" i="45"/>
  <c r="AG145" i="45"/>
  <c r="AF145" i="45"/>
  <c r="AG143" i="45"/>
  <c r="AI143" i="45"/>
  <c r="AH143" i="45"/>
  <c r="AF143" i="45"/>
  <c r="AG142" i="45"/>
  <c r="AF142" i="45"/>
  <c r="AG140" i="45"/>
  <c r="AI140" i="45"/>
  <c r="AH140" i="45"/>
  <c r="AF140" i="45"/>
  <c r="AG139" i="45"/>
  <c r="AF139" i="45"/>
  <c r="AG137" i="45"/>
  <c r="AI137" i="45"/>
  <c r="AH137" i="45"/>
  <c r="AF137" i="45"/>
  <c r="AG136" i="45"/>
  <c r="AF136" i="45"/>
  <c r="AG134" i="45"/>
  <c r="AI134" i="45"/>
  <c r="AH134" i="45"/>
  <c r="AF134" i="45"/>
  <c r="AG133" i="45"/>
  <c r="AF133" i="45"/>
  <c r="AG131" i="45"/>
  <c r="AI131" i="45"/>
  <c r="AH131" i="45"/>
  <c r="AF131" i="45"/>
  <c r="AG130" i="45"/>
  <c r="AF130" i="45"/>
  <c r="AG128" i="45"/>
  <c r="AI128" i="45"/>
  <c r="AH128" i="45"/>
  <c r="AF128" i="45"/>
  <c r="AG127" i="45"/>
  <c r="AF127" i="45"/>
  <c r="AG125" i="45"/>
  <c r="AI125" i="45"/>
  <c r="AH125" i="45"/>
  <c r="AF125" i="45"/>
  <c r="AG124" i="45"/>
  <c r="AF124" i="45"/>
  <c r="AG122" i="45"/>
  <c r="AI122" i="45"/>
  <c r="AH122" i="45"/>
  <c r="AF122" i="45"/>
  <c r="AG121" i="45"/>
  <c r="AF121" i="45"/>
  <c r="AG119" i="45"/>
  <c r="AI119" i="45"/>
  <c r="AH119" i="45"/>
  <c r="AF119" i="45"/>
  <c r="AG118" i="45"/>
  <c r="AF118" i="45"/>
  <c r="AG116" i="45"/>
  <c r="AI116" i="45"/>
  <c r="AH116" i="45"/>
  <c r="AF116" i="45"/>
  <c r="AG115" i="45"/>
  <c r="AF115" i="45"/>
  <c r="AG113" i="45"/>
  <c r="AI113" i="45"/>
  <c r="AH113" i="45"/>
  <c r="AF113" i="45"/>
  <c r="AG112" i="45"/>
  <c r="AF112" i="45"/>
  <c r="AG110" i="45"/>
  <c r="AI110" i="45"/>
  <c r="AH110" i="45"/>
  <c r="AF110" i="45"/>
  <c r="AG109" i="45"/>
  <c r="AF109" i="45"/>
  <c r="AG107" i="45"/>
  <c r="AI107" i="45"/>
  <c r="AH107" i="45"/>
  <c r="AF107" i="45"/>
  <c r="AG106" i="45"/>
  <c r="AF106" i="45"/>
  <c r="AG104" i="45"/>
  <c r="AI104" i="45"/>
  <c r="AH104" i="45"/>
  <c r="AF104" i="45"/>
  <c r="AG103" i="45"/>
  <c r="AF103" i="45"/>
  <c r="AG101" i="45"/>
  <c r="AI101" i="45"/>
  <c r="AH101" i="45"/>
  <c r="AF101" i="45"/>
  <c r="AG100" i="45"/>
  <c r="AF100" i="45"/>
  <c r="AG98" i="45"/>
  <c r="AI98" i="45"/>
  <c r="AH98" i="45"/>
  <c r="AF98" i="45"/>
  <c r="R98" i="45"/>
  <c r="U97" i="45"/>
  <c r="AG97" i="45"/>
  <c r="T97" i="45"/>
  <c r="AF97" i="45"/>
  <c r="R97" i="45"/>
  <c r="AG95" i="45"/>
  <c r="AI95" i="45"/>
  <c r="AH95" i="45"/>
  <c r="AF95" i="45"/>
  <c r="AG94" i="45"/>
  <c r="AF94" i="45"/>
  <c r="AG92" i="45"/>
  <c r="AI92" i="45"/>
  <c r="AH92" i="45"/>
  <c r="AF92" i="45"/>
  <c r="AG91" i="45"/>
  <c r="AF91" i="45"/>
  <c r="AG89" i="45"/>
  <c r="AI89" i="45"/>
  <c r="AH89" i="45"/>
  <c r="AF89" i="45"/>
  <c r="AG88" i="45"/>
  <c r="AF88" i="45"/>
  <c r="AG86" i="45"/>
  <c r="AI86" i="45"/>
  <c r="AH86" i="45"/>
  <c r="AF86" i="45"/>
  <c r="AG85" i="45"/>
  <c r="AF85" i="45"/>
  <c r="AG83" i="45"/>
  <c r="AI83" i="45"/>
  <c r="AH83" i="45"/>
  <c r="AF83" i="45"/>
  <c r="AG82" i="45"/>
  <c r="AF82" i="45"/>
  <c r="AG80" i="45"/>
  <c r="AI80" i="45"/>
  <c r="AH80" i="45"/>
  <c r="AF80" i="45"/>
  <c r="AG79" i="45"/>
  <c r="AF79" i="45"/>
  <c r="AG77" i="45"/>
  <c r="AI77" i="45"/>
  <c r="AH77" i="45"/>
  <c r="AF77" i="45"/>
  <c r="AG76" i="45"/>
  <c r="AF76" i="45"/>
  <c r="AG74" i="45"/>
  <c r="AI74" i="45"/>
  <c r="AH74" i="45"/>
  <c r="AF74" i="45"/>
  <c r="AG73" i="45"/>
  <c r="AF73" i="45"/>
  <c r="AG71" i="45"/>
  <c r="AI71" i="45"/>
  <c r="AH71" i="45"/>
  <c r="AF71" i="45"/>
  <c r="AG70" i="45"/>
  <c r="AF70" i="45"/>
  <c r="AG68" i="45"/>
  <c r="AI68" i="45"/>
  <c r="AH68" i="45"/>
  <c r="AF68" i="45"/>
  <c r="AG67" i="45"/>
  <c r="AF67" i="45"/>
  <c r="AG65" i="45"/>
  <c r="AI65" i="45"/>
  <c r="AH65" i="45"/>
  <c r="AF65" i="45"/>
  <c r="AG64" i="45"/>
  <c r="AF64" i="45"/>
  <c r="AG62" i="45"/>
  <c r="AI62" i="45"/>
  <c r="AH62" i="45"/>
  <c r="AF62" i="45"/>
  <c r="AG61" i="45"/>
  <c r="AF61" i="45"/>
  <c r="AG59" i="45"/>
  <c r="AI59" i="45"/>
  <c r="AH59" i="45"/>
  <c r="AF59" i="45"/>
  <c r="AG58" i="45"/>
  <c r="AF58" i="45"/>
  <c r="AG56" i="45"/>
  <c r="AI56" i="45"/>
  <c r="AH56" i="45"/>
  <c r="AF56" i="45"/>
  <c r="AG55" i="45"/>
  <c r="AF55" i="45"/>
  <c r="AG53" i="45"/>
  <c r="AI53" i="45"/>
  <c r="AH53" i="45"/>
  <c r="AF53" i="45"/>
  <c r="AG52" i="45"/>
  <c r="AF52" i="45"/>
  <c r="AG50" i="45"/>
  <c r="AI50" i="45"/>
  <c r="AH50" i="45"/>
  <c r="AF50" i="45"/>
  <c r="AG49" i="45"/>
  <c r="AF49" i="45"/>
  <c r="AG47" i="45"/>
  <c r="AI47" i="45"/>
  <c r="AH47" i="45"/>
  <c r="AF47" i="45"/>
  <c r="AG46" i="45"/>
  <c r="AF46" i="45"/>
  <c r="AG44" i="45"/>
  <c r="AI44" i="45"/>
  <c r="AH44" i="45"/>
  <c r="AF44" i="45"/>
  <c r="AG43" i="45"/>
  <c r="AF43" i="45"/>
  <c r="AG41" i="45"/>
  <c r="AI41" i="45"/>
  <c r="AH41" i="45"/>
  <c r="AF41" i="45"/>
  <c r="AG40" i="45"/>
  <c r="AF40" i="45"/>
  <c r="AG38" i="45"/>
  <c r="AI38" i="45"/>
  <c r="AH38" i="45"/>
  <c r="AF38" i="45"/>
  <c r="AG37" i="45"/>
  <c r="AF37" i="45"/>
  <c r="AG35" i="45"/>
  <c r="AI35" i="45"/>
  <c r="AH35" i="45"/>
  <c r="AF35" i="45"/>
  <c r="AG34" i="45"/>
  <c r="AF34" i="45"/>
  <c r="AG32" i="45"/>
  <c r="AI32" i="45"/>
  <c r="AH32" i="45"/>
  <c r="AF32" i="45"/>
  <c r="AG31" i="45"/>
  <c r="AF31" i="45"/>
  <c r="AG29" i="45"/>
  <c r="AI29" i="45"/>
  <c r="AH29" i="45"/>
  <c r="AF29" i="45"/>
  <c r="AG28" i="45"/>
  <c r="AF28" i="45"/>
  <c r="AG26" i="45"/>
  <c r="AI26" i="45"/>
  <c r="AH26" i="45"/>
  <c r="AF26" i="45"/>
  <c r="AG25" i="45"/>
  <c r="AF25" i="45"/>
  <c r="AG23" i="45"/>
  <c r="AI23" i="45"/>
  <c r="AH23" i="45"/>
  <c r="AF23" i="45"/>
  <c r="AG22" i="45"/>
  <c r="AF22" i="45"/>
  <c r="AG20" i="45"/>
  <c r="AI20" i="45"/>
  <c r="AH20" i="45"/>
  <c r="AF20" i="45"/>
  <c r="AG19" i="45"/>
  <c r="AF19" i="45"/>
  <c r="AG17" i="45"/>
  <c r="AI17" i="45"/>
  <c r="AH17" i="45"/>
  <c r="AF17" i="45"/>
  <c r="AG16" i="45"/>
  <c r="AF16" i="45"/>
  <c r="AG14" i="45"/>
  <c r="AI14" i="45"/>
  <c r="AH14" i="45"/>
  <c r="AF14" i="45"/>
  <c r="AG13" i="45"/>
  <c r="AF13" i="45"/>
  <c r="AG11" i="45"/>
  <c r="AI11" i="45"/>
  <c r="AH11" i="45"/>
  <c r="AF11" i="45"/>
  <c r="AG10" i="45"/>
  <c r="AF10" i="45"/>
  <c r="AG8" i="45"/>
  <c r="AI8" i="45"/>
  <c r="AH8" i="45"/>
  <c r="AF8" i="45"/>
  <c r="AG7" i="45"/>
  <c r="AF7" i="45"/>
  <c r="AG5" i="45"/>
  <c r="AI5" i="45"/>
  <c r="AH5" i="45"/>
  <c r="AF5" i="45"/>
  <c r="AG4" i="45"/>
  <c r="AF4" i="45"/>
  <c r="AG3" i="45"/>
  <c r="AF3" i="45"/>
  <c r="AF2" i="45"/>
  <c r="AG146" i="41"/>
  <c r="AI146" i="41"/>
  <c r="AH146" i="41"/>
  <c r="AF146" i="41"/>
  <c r="AG145" i="41"/>
  <c r="AF145" i="41"/>
  <c r="AG143" i="41"/>
  <c r="AI143" i="41"/>
  <c r="AH143" i="41"/>
  <c r="AF143" i="41"/>
  <c r="AG142" i="41"/>
  <c r="AF142" i="41"/>
  <c r="AG140" i="41"/>
  <c r="AI140" i="41"/>
  <c r="AH140" i="41"/>
  <c r="AF140" i="41"/>
  <c r="AG139" i="41"/>
  <c r="AF139" i="41"/>
  <c r="AG137" i="41"/>
  <c r="AI137" i="41"/>
  <c r="AH137" i="41"/>
  <c r="AF137" i="41"/>
  <c r="AG136" i="41"/>
  <c r="AF136" i="41"/>
  <c r="AG134" i="41"/>
  <c r="AI134" i="41"/>
  <c r="AH134" i="41"/>
  <c r="AF134" i="41"/>
  <c r="AG133" i="41"/>
  <c r="AF133" i="41"/>
  <c r="AG131" i="41"/>
  <c r="AI131" i="41"/>
  <c r="AH131" i="41"/>
  <c r="AF131" i="41"/>
  <c r="AG130" i="41"/>
  <c r="AF130" i="41"/>
  <c r="AG128" i="41"/>
  <c r="AI128" i="41"/>
  <c r="AH128" i="41"/>
  <c r="AF128" i="41"/>
  <c r="AG127" i="41"/>
  <c r="AF127" i="41"/>
  <c r="AG125" i="41"/>
  <c r="AI125" i="41"/>
  <c r="AH125" i="41"/>
  <c r="AF125" i="41"/>
  <c r="AG124" i="41"/>
  <c r="AF124" i="41"/>
  <c r="AG122" i="41"/>
  <c r="AI122" i="41"/>
  <c r="AH122" i="41"/>
  <c r="AF122" i="41"/>
  <c r="AG121" i="41"/>
  <c r="AF121" i="41"/>
  <c r="AG119" i="41"/>
  <c r="AI119" i="41"/>
  <c r="AH119" i="41"/>
  <c r="AF119" i="41"/>
  <c r="AG118" i="41"/>
  <c r="AF118" i="41"/>
  <c r="AG116" i="41"/>
  <c r="AI116" i="41"/>
  <c r="AH116" i="41"/>
  <c r="AF116" i="41"/>
  <c r="AG115" i="41"/>
  <c r="AF115" i="41"/>
  <c r="AG113" i="41"/>
  <c r="AI113" i="41"/>
  <c r="AH113" i="41"/>
  <c r="AF113" i="41"/>
  <c r="AG112" i="41"/>
  <c r="AF112" i="41"/>
  <c r="AG110" i="41"/>
  <c r="AI110" i="41"/>
  <c r="AH110" i="41"/>
  <c r="AF110" i="41"/>
  <c r="AG109" i="41"/>
  <c r="AF109" i="41"/>
  <c r="AG107" i="41"/>
  <c r="AI107" i="41"/>
  <c r="AH107" i="41"/>
  <c r="AF107" i="41"/>
  <c r="AG106" i="41"/>
  <c r="AF106" i="41"/>
  <c r="AG104" i="41"/>
  <c r="AI104" i="41"/>
  <c r="AH104" i="41"/>
  <c r="AF104" i="41"/>
  <c r="AG103" i="41"/>
  <c r="AF103" i="41"/>
  <c r="AG101" i="41"/>
  <c r="AI101" i="41"/>
  <c r="AH101" i="41"/>
  <c r="AF101" i="41"/>
  <c r="AG100" i="41"/>
  <c r="AF100" i="41"/>
  <c r="AG98" i="41"/>
  <c r="AI98" i="41"/>
  <c r="AH98" i="41"/>
  <c r="AF98" i="41"/>
  <c r="R98" i="41"/>
  <c r="U97" i="41"/>
  <c r="AG97" i="41"/>
  <c r="T97" i="41"/>
  <c r="AF97" i="41"/>
  <c r="R97" i="41"/>
  <c r="AG95" i="41"/>
  <c r="AI95" i="41"/>
  <c r="AH95" i="41"/>
  <c r="AF95" i="41"/>
  <c r="AG94" i="41"/>
  <c r="AF94" i="41"/>
  <c r="AG92" i="41"/>
  <c r="AI92" i="41"/>
  <c r="AH92" i="41"/>
  <c r="AF92" i="41"/>
  <c r="AG91" i="41"/>
  <c r="AF91" i="41"/>
  <c r="AG89" i="41"/>
  <c r="AI89" i="41"/>
  <c r="AH89" i="41"/>
  <c r="AF89" i="41"/>
  <c r="AG88" i="41"/>
  <c r="AF88" i="41"/>
  <c r="AG86" i="41"/>
  <c r="AI86" i="41"/>
  <c r="AH86" i="41"/>
  <c r="AF86" i="41"/>
  <c r="AG85" i="41"/>
  <c r="AF85" i="41"/>
  <c r="AG83" i="41"/>
  <c r="AI83" i="41"/>
  <c r="AH83" i="41"/>
  <c r="AF83" i="41"/>
  <c r="AG82" i="41"/>
  <c r="AF82" i="41"/>
  <c r="AG80" i="41"/>
  <c r="AI80" i="41"/>
  <c r="AH80" i="41"/>
  <c r="AF80" i="41"/>
  <c r="AG79" i="41"/>
  <c r="AF79" i="41"/>
  <c r="AG77" i="41"/>
  <c r="AI77" i="41"/>
  <c r="AH77" i="41"/>
  <c r="AF77" i="41"/>
  <c r="AG76" i="41"/>
  <c r="AF76" i="41"/>
  <c r="AG74" i="41"/>
  <c r="AI74" i="41"/>
  <c r="AH74" i="41"/>
  <c r="AF74" i="41"/>
  <c r="AG73" i="41"/>
  <c r="AF73" i="41"/>
  <c r="AG71" i="41"/>
  <c r="AI71" i="41"/>
  <c r="AH71" i="41"/>
  <c r="AF71" i="41"/>
  <c r="AG70" i="41"/>
  <c r="AF70" i="41"/>
  <c r="AG68" i="41"/>
  <c r="AI68" i="41"/>
  <c r="AH68" i="41"/>
  <c r="AF68" i="41"/>
  <c r="AG67" i="41"/>
  <c r="AF67" i="41"/>
  <c r="AG65" i="41"/>
  <c r="AI65" i="41"/>
  <c r="AH65" i="41"/>
  <c r="AF65" i="41"/>
  <c r="AG64" i="41"/>
  <c r="AF64" i="41"/>
  <c r="AG62" i="41"/>
  <c r="AI62" i="41"/>
  <c r="AH62" i="41"/>
  <c r="AF62" i="41"/>
  <c r="AG61" i="41"/>
  <c r="AF61" i="41"/>
  <c r="AG59" i="41"/>
  <c r="AI59" i="41"/>
  <c r="AH59" i="41"/>
  <c r="AF59" i="41"/>
  <c r="AG58" i="41"/>
  <c r="AF58" i="41"/>
  <c r="AG56" i="41"/>
  <c r="AI56" i="41"/>
  <c r="AH56" i="41"/>
  <c r="AF56" i="41"/>
  <c r="AG55" i="41"/>
  <c r="AF55" i="41"/>
  <c r="AG53" i="41"/>
  <c r="AI53" i="41"/>
  <c r="AH53" i="41"/>
  <c r="AF53" i="41"/>
  <c r="AG52" i="41"/>
  <c r="AF52" i="41"/>
  <c r="AG50" i="41"/>
  <c r="AI50" i="41"/>
  <c r="AH50" i="41"/>
  <c r="AF50" i="41"/>
  <c r="AG49" i="41"/>
  <c r="AF49" i="41"/>
  <c r="AG47" i="41"/>
  <c r="AI47" i="41"/>
  <c r="AH47" i="41"/>
  <c r="AF47" i="41"/>
  <c r="AG46" i="41"/>
  <c r="AF46" i="41"/>
  <c r="AG44" i="41"/>
  <c r="AI44" i="41"/>
  <c r="AH44" i="41"/>
  <c r="AF44" i="41"/>
  <c r="AG43" i="41"/>
  <c r="AF43" i="41"/>
  <c r="AG41" i="41"/>
  <c r="AI41" i="41"/>
  <c r="AH41" i="41"/>
  <c r="AF41" i="41"/>
  <c r="AG40" i="41"/>
  <c r="AF40" i="41"/>
  <c r="AG38" i="41"/>
  <c r="AI38" i="41"/>
  <c r="AH38" i="41"/>
  <c r="AF38" i="41"/>
  <c r="AG37" i="41"/>
  <c r="AF37" i="41"/>
  <c r="AG35" i="41"/>
  <c r="AI35" i="41"/>
  <c r="AH35" i="41"/>
  <c r="AF35" i="41"/>
  <c r="AG34" i="41"/>
  <c r="AF34" i="41"/>
  <c r="AG32" i="41"/>
  <c r="AI32" i="41"/>
  <c r="AH32" i="41"/>
  <c r="AF32" i="41"/>
  <c r="AG31" i="41"/>
  <c r="AF31" i="41"/>
  <c r="AG29" i="41"/>
  <c r="AI29" i="41"/>
  <c r="AH29" i="41"/>
  <c r="AF29" i="41"/>
  <c r="AG28" i="41"/>
  <c r="AF28" i="41"/>
  <c r="AG26" i="41"/>
  <c r="AI26" i="41"/>
  <c r="AH26" i="41"/>
  <c r="AF26" i="41"/>
  <c r="AG25" i="41"/>
  <c r="AF25" i="41"/>
  <c r="AG23" i="41"/>
  <c r="AI23" i="41"/>
  <c r="AH23" i="41"/>
  <c r="AF23" i="41"/>
  <c r="AG22" i="41"/>
  <c r="AF22" i="41"/>
  <c r="AG20" i="41"/>
  <c r="AI20" i="41"/>
  <c r="AH20" i="41"/>
  <c r="AF20" i="41"/>
  <c r="AG19" i="41"/>
  <c r="AF19" i="41"/>
  <c r="AG17" i="41"/>
  <c r="AI17" i="41"/>
  <c r="AH17" i="41"/>
  <c r="AF17" i="41"/>
  <c r="AG16" i="41"/>
  <c r="AF16" i="41"/>
  <c r="AG14" i="41"/>
  <c r="AI14" i="41"/>
  <c r="AH14" i="41"/>
  <c r="AF14" i="41"/>
  <c r="AG13" i="41"/>
  <c r="AF13" i="41"/>
  <c r="AG11" i="41"/>
  <c r="AI11" i="41"/>
  <c r="AH11" i="41"/>
  <c r="AF11" i="41"/>
  <c r="AG10" i="41"/>
  <c r="AF10" i="41"/>
  <c r="AG8" i="41"/>
  <c r="AI8" i="41"/>
  <c r="AH8" i="41"/>
  <c r="AF8" i="41"/>
  <c r="AG7" i="41"/>
  <c r="AF7" i="41"/>
  <c r="AG5" i="41"/>
  <c r="AI5" i="41"/>
  <c r="AH5" i="41"/>
  <c r="AF5" i="41"/>
  <c r="AG4" i="41"/>
  <c r="AF4" i="41"/>
  <c r="AG3" i="41"/>
  <c r="AF3" i="41"/>
  <c r="AG2" i="41"/>
  <c r="AF2" i="41"/>
  <c r="P252" i="47"/>
  <c r="T252" i="47"/>
  <c r="P228" i="47"/>
  <c r="T228" i="47"/>
  <c r="P180" i="47"/>
  <c r="T180" i="47"/>
  <c r="R165" i="47"/>
  <c r="P165" i="47"/>
  <c r="S157" i="47"/>
  <c r="R157" i="47"/>
  <c r="Q157" i="47"/>
  <c r="P157" i="47"/>
  <c r="S151" i="47"/>
  <c r="R151" i="47"/>
  <c r="Q151" i="47"/>
  <c r="P151" i="47"/>
  <c r="P143" i="47"/>
  <c r="T143" i="47"/>
  <c r="P114" i="47"/>
  <c r="T114" i="47"/>
  <c r="B87" i="47"/>
  <c r="B85" i="47"/>
  <c r="D85" i="47"/>
  <c r="F85" i="47"/>
  <c r="H85" i="47"/>
  <c r="J85" i="47"/>
  <c r="L85" i="47"/>
  <c r="N85" i="47"/>
  <c r="P85" i="47"/>
  <c r="T85" i="47"/>
  <c r="L81" i="47"/>
  <c r="W629" i="1"/>
  <c r="V629" i="1"/>
  <c r="U629" i="1"/>
  <c r="T629" i="1"/>
  <c r="W628" i="1"/>
  <c r="V628" i="1"/>
  <c r="U628" i="1"/>
  <c r="T628" i="1"/>
  <c r="W627" i="1"/>
  <c r="V627" i="1"/>
  <c r="U627" i="1"/>
  <c r="T627" i="1"/>
  <c r="W626" i="1"/>
  <c r="V626" i="1"/>
  <c r="U626" i="1"/>
  <c r="T626" i="1"/>
  <c r="W624" i="1"/>
  <c r="V624" i="1"/>
  <c r="U624" i="1"/>
  <c r="T624" i="1"/>
  <c r="W623" i="1"/>
  <c r="V623" i="1"/>
  <c r="U623" i="1"/>
  <c r="T623" i="1"/>
  <c r="W622" i="1"/>
  <c r="V622" i="1"/>
  <c r="U622" i="1"/>
  <c r="T622" i="1"/>
  <c r="W621" i="1"/>
  <c r="V621" i="1"/>
  <c r="U621" i="1"/>
  <c r="T621" i="1"/>
  <c r="W620" i="1"/>
  <c r="V620" i="1"/>
  <c r="U620" i="1"/>
  <c r="T620" i="1"/>
  <c r="W602" i="1"/>
  <c r="V602" i="1"/>
  <c r="U602" i="1"/>
  <c r="T602" i="1"/>
  <c r="W601" i="1"/>
  <c r="V601" i="1"/>
  <c r="U601" i="1"/>
  <c r="T601" i="1"/>
  <c r="W600" i="1"/>
  <c r="V600" i="1"/>
  <c r="U600" i="1"/>
  <c r="T600" i="1"/>
  <c r="W599" i="1"/>
  <c r="V599" i="1"/>
  <c r="U599" i="1"/>
  <c r="T599" i="1"/>
  <c r="W597" i="1"/>
  <c r="V597" i="1"/>
  <c r="U597" i="1"/>
  <c r="T597" i="1"/>
  <c r="W596" i="1"/>
  <c r="V596" i="1"/>
  <c r="U596" i="1"/>
  <c r="T596" i="1"/>
  <c r="W595" i="1"/>
  <c r="V595" i="1"/>
  <c r="U595" i="1"/>
  <c r="T595" i="1"/>
  <c r="W594" i="1"/>
  <c r="V594" i="1"/>
  <c r="U594" i="1"/>
  <c r="T594" i="1"/>
  <c r="W593" i="1"/>
  <c r="V593" i="1"/>
  <c r="U593" i="1"/>
  <c r="T593" i="1"/>
  <c r="U566" i="1"/>
  <c r="V566" i="1"/>
  <c r="W566" i="1"/>
  <c r="U567" i="1"/>
  <c r="V567" i="1"/>
  <c r="W567" i="1"/>
  <c r="U568" i="1"/>
  <c r="V568" i="1"/>
  <c r="W568" i="1"/>
  <c r="U569" i="1"/>
  <c r="V569" i="1"/>
  <c r="W569" i="1"/>
  <c r="U570" i="1"/>
  <c r="V570" i="1"/>
  <c r="W570" i="1"/>
  <c r="U572" i="1"/>
  <c r="V572" i="1"/>
  <c r="W572" i="1"/>
  <c r="U573" i="1"/>
  <c r="V573" i="1"/>
  <c r="W573" i="1"/>
  <c r="U574" i="1"/>
  <c r="V574" i="1"/>
  <c r="W574" i="1"/>
  <c r="U575" i="1"/>
  <c r="V575" i="1"/>
  <c r="W575" i="1"/>
  <c r="P188" i="28"/>
  <c r="T188" i="28"/>
  <c r="P188" i="27"/>
  <c r="T188" i="27"/>
  <c r="P188" i="26"/>
  <c r="T188" i="26"/>
  <c r="P188" i="25"/>
  <c r="T188" i="25"/>
  <c r="P188" i="24"/>
  <c r="T188" i="24"/>
  <c r="P188" i="23"/>
  <c r="T188" i="23"/>
  <c r="P188" i="22"/>
  <c r="T188" i="22"/>
  <c r="P188" i="21"/>
  <c r="T188" i="21"/>
  <c r="P188" i="19"/>
  <c r="T188" i="19"/>
  <c r="P188" i="18"/>
  <c r="T188" i="18"/>
  <c r="S98" i="41"/>
  <c r="S98" i="45"/>
  <c r="S98" i="7"/>
  <c r="AA145" i="7"/>
  <c r="AB145" i="7"/>
  <c r="AA142" i="7"/>
  <c r="AB142" i="7"/>
  <c r="AA139" i="7"/>
  <c r="AB139" i="7"/>
  <c r="AA136" i="7"/>
  <c r="AB136" i="7"/>
  <c r="AA133" i="7"/>
  <c r="AB133" i="7"/>
  <c r="AA130" i="7"/>
  <c r="AB130" i="7"/>
  <c r="AA127" i="7"/>
  <c r="AB127" i="7"/>
  <c r="AA124" i="7"/>
  <c r="AB124" i="7"/>
  <c r="AA121" i="7"/>
  <c r="AB121" i="7"/>
  <c r="AA118" i="7"/>
  <c r="AB118" i="7"/>
  <c r="AA115" i="7"/>
  <c r="AB115" i="7"/>
  <c r="AA112" i="7"/>
  <c r="AB112" i="7"/>
  <c r="AA109" i="41"/>
  <c r="AA109" i="45"/>
  <c r="AA109" i="7"/>
  <c r="AB109" i="7"/>
  <c r="AA106" i="41"/>
  <c r="AA106" i="45"/>
  <c r="AA106" i="7"/>
  <c r="AB106" i="7"/>
  <c r="AB103" i="7"/>
  <c r="AB100" i="7"/>
  <c r="AB97" i="7"/>
  <c r="AB94" i="7"/>
  <c r="AB91" i="7"/>
  <c r="AB88" i="7"/>
  <c r="AB85" i="7"/>
  <c r="AA82" i="41"/>
  <c r="AA82" i="45"/>
  <c r="AA82" i="7"/>
  <c r="AB82" i="7"/>
  <c r="AA79" i="41"/>
  <c r="AA79" i="45"/>
  <c r="AA79" i="7"/>
  <c r="AB79" i="7"/>
  <c r="AA76" i="41"/>
  <c r="AA76" i="45"/>
  <c r="AA76" i="7"/>
  <c r="AB76" i="7"/>
  <c r="AA73" i="41"/>
  <c r="AA73" i="45"/>
  <c r="AA73" i="7"/>
  <c r="AB73" i="7"/>
  <c r="AA70" i="41"/>
  <c r="AA70" i="45"/>
  <c r="AA70" i="7"/>
  <c r="AB70" i="7"/>
  <c r="AA67" i="41"/>
  <c r="AA67" i="45"/>
  <c r="AA67" i="7"/>
  <c r="AB67" i="7"/>
  <c r="AA64" i="41"/>
  <c r="AA64" i="45"/>
  <c r="AA64" i="7"/>
  <c r="AB64" i="7"/>
  <c r="AA61" i="41"/>
  <c r="AA61" i="45"/>
  <c r="AA61" i="7"/>
  <c r="AB61" i="7"/>
  <c r="AA58" i="41"/>
  <c r="AA58" i="45"/>
  <c r="AA58" i="7"/>
  <c r="AB58" i="7"/>
  <c r="AB55" i="7"/>
  <c r="AB52" i="7"/>
  <c r="AA49" i="41"/>
  <c r="AA49" i="45"/>
  <c r="AA49" i="7"/>
  <c r="AB49" i="7"/>
  <c r="AB46" i="7"/>
  <c r="AB43" i="7"/>
  <c r="AA40" i="41"/>
  <c r="AA40" i="45"/>
  <c r="AA40" i="7"/>
  <c r="AB40" i="7"/>
  <c r="AA37" i="41"/>
  <c r="AA37" i="45"/>
  <c r="AA37" i="7"/>
  <c r="AB37" i="7"/>
  <c r="AA34" i="41"/>
  <c r="AA34" i="45"/>
  <c r="AA34" i="7"/>
  <c r="AB34" i="7"/>
  <c r="AA31" i="41"/>
  <c r="AA31" i="45"/>
  <c r="AA31" i="7"/>
  <c r="AB31" i="7"/>
  <c r="AB28" i="7"/>
  <c r="AB25" i="7"/>
  <c r="AB22" i="7"/>
  <c r="AB19" i="7"/>
  <c r="AB16" i="7"/>
  <c r="AB13" i="7"/>
  <c r="AB10" i="7"/>
  <c r="AB7" i="7"/>
  <c r="AB4" i="7"/>
  <c r="AB145" i="45"/>
  <c r="AB142" i="45"/>
  <c r="AB139" i="45"/>
  <c r="AB136" i="45"/>
  <c r="AB133" i="45"/>
  <c r="AB130" i="45"/>
  <c r="AB127" i="45"/>
  <c r="AB124" i="45"/>
  <c r="AB121" i="45"/>
  <c r="AB118" i="45"/>
  <c r="AB115" i="45"/>
  <c r="AB112" i="45"/>
  <c r="AB109" i="45"/>
  <c r="AB106" i="45"/>
  <c r="AB103" i="45"/>
  <c r="AB100" i="45"/>
  <c r="AB97" i="45"/>
  <c r="AB94" i="45"/>
  <c r="AB91" i="45"/>
  <c r="AB88" i="45"/>
  <c r="AB85" i="45"/>
  <c r="AB82" i="45"/>
  <c r="AB79" i="45"/>
  <c r="AB76" i="45"/>
  <c r="AB73" i="45"/>
  <c r="AB70" i="45"/>
  <c r="AB67" i="45"/>
  <c r="AB64" i="45"/>
  <c r="AB61" i="45"/>
  <c r="AB58" i="45"/>
  <c r="AB55" i="45"/>
  <c r="AB52" i="45"/>
  <c r="AB49" i="45"/>
  <c r="AB46" i="45"/>
  <c r="AB43" i="45"/>
  <c r="AB40" i="45"/>
  <c r="AB37" i="45"/>
  <c r="AB34" i="45"/>
  <c r="AB31" i="45"/>
  <c r="AB28" i="45"/>
  <c r="AB25" i="45"/>
  <c r="AB22" i="45"/>
  <c r="AB19" i="45"/>
  <c r="AB16" i="45"/>
  <c r="AB13" i="45"/>
  <c r="AB10" i="45"/>
  <c r="AB7" i="45"/>
  <c r="AB4" i="45"/>
  <c r="AB4" i="41"/>
  <c r="AB7" i="41"/>
  <c r="AB10" i="41"/>
  <c r="AB13" i="41"/>
  <c r="AB16" i="41"/>
  <c r="AB19" i="41"/>
  <c r="AB22" i="41"/>
  <c r="AB145" i="41"/>
  <c r="AB142" i="41"/>
  <c r="AB139" i="41"/>
  <c r="AB136" i="41"/>
  <c r="AB133" i="41"/>
  <c r="AB130" i="41"/>
  <c r="AB127" i="41"/>
  <c r="AB124" i="41"/>
  <c r="AB121" i="41"/>
  <c r="AB118" i="41"/>
  <c r="AB115" i="41"/>
  <c r="AB112" i="41"/>
  <c r="AB109" i="41"/>
  <c r="AB106" i="41"/>
  <c r="AB103" i="41"/>
  <c r="AB100" i="41"/>
  <c r="AB97" i="41"/>
  <c r="AB94" i="41"/>
  <c r="AB91" i="41"/>
  <c r="AB88" i="41"/>
  <c r="AB85" i="41"/>
  <c r="AB82" i="41"/>
  <c r="AB79" i="41"/>
  <c r="AB76" i="41"/>
  <c r="AB73" i="41"/>
  <c r="AB70" i="41"/>
  <c r="AB67" i="41"/>
  <c r="AB64" i="41"/>
  <c r="AB61" i="41"/>
  <c r="AB58" i="41"/>
  <c r="AB55" i="41"/>
  <c r="AB52" i="41"/>
  <c r="AB49" i="41"/>
  <c r="AB46" i="41"/>
  <c r="AB43" i="41"/>
  <c r="AB40" i="41"/>
  <c r="AB37" i="41"/>
  <c r="AB34" i="41"/>
  <c r="AB31" i="41"/>
  <c r="AB28" i="41"/>
  <c r="AB25" i="41"/>
  <c r="S113" i="7"/>
  <c r="S116" i="7"/>
  <c r="S119" i="7"/>
  <c r="S122" i="7"/>
  <c r="S125" i="7"/>
  <c r="S128" i="7"/>
  <c r="S131" i="7"/>
  <c r="S134" i="7"/>
  <c r="S137" i="7"/>
  <c r="S140" i="7"/>
  <c r="S143" i="7"/>
  <c r="S146" i="7"/>
  <c r="S112" i="7"/>
  <c r="S115" i="7"/>
  <c r="S118" i="7"/>
  <c r="S121" i="7"/>
  <c r="S124" i="7"/>
  <c r="S127" i="7"/>
  <c r="S130" i="7"/>
  <c r="S133" i="7"/>
  <c r="S136" i="7"/>
  <c r="S139" i="7"/>
  <c r="S142" i="7"/>
  <c r="S145" i="7"/>
  <c r="S95" i="41"/>
  <c r="S95" i="45"/>
  <c r="S95" i="7"/>
  <c r="S101" i="41"/>
  <c r="S101" i="45"/>
  <c r="S101" i="7"/>
  <c r="S104" i="41"/>
  <c r="S104" i="45"/>
  <c r="S104" i="7"/>
  <c r="S107" i="41"/>
  <c r="S107" i="45"/>
  <c r="S107" i="7"/>
  <c r="S94" i="41"/>
  <c r="S94" i="45"/>
  <c r="S94" i="7"/>
  <c r="S100" i="41"/>
  <c r="S100" i="45"/>
  <c r="S100" i="7"/>
  <c r="S103" i="41"/>
  <c r="S103" i="45"/>
  <c r="S103" i="7"/>
  <c r="S106" i="41"/>
  <c r="S106" i="45"/>
  <c r="S106" i="7"/>
  <c r="S109" i="41"/>
  <c r="S109" i="45"/>
  <c r="S109" i="7"/>
  <c r="S62" i="41"/>
  <c r="S62" i="45"/>
  <c r="S62" i="7"/>
  <c r="S65" i="41"/>
  <c r="S65" i="45"/>
  <c r="S65" i="7"/>
  <c r="S68" i="41"/>
  <c r="S68" i="45"/>
  <c r="S68" i="7"/>
  <c r="S71" i="41"/>
  <c r="S71" i="45"/>
  <c r="S71" i="7"/>
  <c r="S74" i="41"/>
  <c r="S74" i="45"/>
  <c r="S74" i="7"/>
  <c r="S77" i="41"/>
  <c r="S77" i="45"/>
  <c r="S77" i="7"/>
  <c r="S80" i="41"/>
  <c r="S80" i="45"/>
  <c r="S80" i="7"/>
  <c r="S83" i="41"/>
  <c r="S83" i="45"/>
  <c r="S83" i="7"/>
  <c r="S86" i="41"/>
  <c r="S86" i="45"/>
  <c r="S86" i="7"/>
  <c r="S89" i="41"/>
  <c r="S89" i="45"/>
  <c r="S89" i="7"/>
  <c r="S92" i="41"/>
  <c r="S92" i="45"/>
  <c r="S92" i="7"/>
  <c r="S61" i="41"/>
  <c r="S61" i="45"/>
  <c r="S61" i="7"/>
  <c r="S64" i="41"/>
  <c r="S64" i="45"/>
  <c r="S64" i="7"/>
  <c r="S67" i="41"/>
  <c r="S67" i="45"/>
  <c r="S67" i="7"/>
  <c r="S70" i="41"/>
  <c r="S70" i="45"/>
  <c r="S70" i="7"/>
  <c r="S73" i="41"/>
  <c r="S73" i="45"/>
  <c r="S73" i="7"/>
  <c r="S76" i="41"/>
  <c r="S76" i="45"/>
  <c r="S76" i="7"/>
  <c r="S79" i="41"/>
  <c r="S79" i="45"/>
  <c r="S79" i="7"/>
  <c r="S82" i="41"/>
  <c r="S82" i="45"/>
  <c r="S82" i="7"/>
  <c r="S85" i="41"/>
  <c r="S85" i="45"/>
  <c r="S85" i="7"/>
  <c r="S88" i="41"/>
  <c r="S88" i="45"/>
  <c r="S88" i="7"/>
  <c r="S91" i="41"/>
  <c r="S91" i="45"/>
  <c r="S91" i="7"/>
  <c r="Q146" i="7"/>
  <c r="P146" i="7"/>
  <c r="O146" i="7"/>
  <c r="N146" i="7"/>
  <c r="M146" i="7"/>
  <c r="L146" i="7"/>
  <c r="K146" i="7"/>
  <c r="J146" i="7"/>
  <c r="I146" i="7"/>
  <c r="H146" i="7"/>
  <c r="G146" i="7"/>
  <c r="F146" i="7"/>
  <c r="E146" i="7"/>
  <c r="D146" i="7"/>
  <c r="C146" i="7"/>
  <c r="Q145" i="7"/>
  <c r="P145" i="7"/>
  <c r="O145" i="7"/>
  <c r="N145" i="7"/>
  <c r="M145" i="7"/>
  <c r="L145" i="7"/>
  <c r="K145" i="7"/>
  <c r="J145" i="7"/>
  <c r="I145" i="7"/>
  <c r="H145" i="7"/>
  <c r="G145" i="7"/>
  <c r="F145" i="7"/>
  <c r="E145" i="7"/>
  <c r="D145" i="7"/>
  <c r="C145" i="7"/>
  <c r="Q143" i="7"/>
  <c r="P143" i="7"/>
  <c r="O143" i="7"/>
  <c r="N143" i="7"/>
  <c r="M143" i="7"/>
  <c r="L143" i="7"/>
  <c r="K143" i="7"/>
  <c r="J143" i="7"/>
  <c r="I143" i="7"/>
  <c r="H143" i="7"/>
  <c r="G143" i="7"/>
  <c r="F143" i="7"/>
  <c r="E143" i="7"/>
  <c r="D143" i="7"/>
  <c r="C143" i="7"/>
  <c r="Q142" i="7"/>
  <c r="P142" i="7"/>
  <c r="O142" i="7"/>
  <c r="N142" i="7"/>
  <c r="M142" i="7"/>
  <c r="L142" i="7"/>
  <c r="K142" i="7"/>
  <c r="J142" i="7"/>
  <c r="I142" i="7"/>
  <c r="H142" i="7"/>
  <c r="G142" i="7"/>
  <c r="F142" i="7"/>
  <c r="E142" i="7"/>
  <c r="D142" i="7"/>
  <c r="C142" i="7"/>
  <c r="Q140" i="7"/>
  <c r="P140" i="7"/>
  <c r="O140" i="7"/>
  <c r="N140" i="7"/>
  <c r="M140" i="7"/>
  <c r="L140" i="7"/>
  <c r="K140" i="7"/>
  <c r="J140" i="7"/>
  <c r="I140" i="7"/>
  <c r="H140" i="7"/>
  <c r="G140" i="7"/>
  <c r="F140" i="7"/>
  <c r="E140" i="7"/>
  <c r="D140" i="7"/>
  <c r="C140" i="7"/>
  <c r="Q139" i="7"/>
  <c r="P139" i="7"/>
  <c r="O139" i="7"/>
  <c r="N139" i="7"/>
  <c r="M139" i="7"/>
  <c r="L139" i="7"/>
  <c r="K139" i="7"/>
  <c r="J139" i="7"/>
  <c r="I139" i="7"/>
  <c r="H139" i="7"/>
  <c r="G139" i="7"/>
  <c r="F139" i="7"/>
  <c r="E139" i="7"/>
  <c r="D139" i="7"/>
  <c r="C139" i="7"/>
  <c r="Q137" i="7"/>
  <c r="P137" i="7"/>
  <c r="O137" i="7"/>
  <c r="N137" i="7"/>
  <c r="M137" i="7"/>
  <c r="L137" i="7"/>
  <c r="K137" i="7"/>
  <c r="J137" i="7"/>
  <c r="I137" i="7"/>
  <c r="H137" i="7"/>
  <c r="G137" i="7"/>
  <c r="F137" i="7"/>
  <c r="E137" i="7"/>
  <c r="D137" i="7"/>
  <c r="C137" i="7"/>
  <c r="Q136" i="7"/>
  <c r="P136" i="7"/>
  <c r="O136" i="7"/>
  <c r="N136" i="7"/>
  <c r="M136" i="7"/>
  <c r="L136" i="7"/>
  <c r="K136" i="7"/>
  <c r="J136" i="7"/>
  <c r="I136" i="7"/>
  <c r="H136" i="7"/>
  <c r="G136" i="7"/>
  <c r="F136" i="7"/>
  <c r="E136" i="7"/>
  <c r="D136" i="7"/>
  <c r="C136" i="7"/>
  <c r="Q134" i="7"/>
  <c r="P134" i="7"/>
  <c r="O134" i="7"/>
  <c r="N134" i="7"/>
  <c r="M134" i="7"/>
  <c r="L134" i="7"/>
  <c r="K134" i="7"/>
  <c r="J134" i="7"/>
  <c r="I134" i="7"/>
  <c r="H134" i="7"/>
  <c r="G134" i="7"/>
  <c r="F134" i="7"/>
  <c r="E134" i="7"/>
  <c r="D134" i="7"/>
  <c r="C134" i="7"/>
  <c r="Q133" i="7"/>
  <c r="P133" i="7"/>
  <c r="O133" i="7"/>
  <c r="N133" i="7"/>
  <c r="M133" i="7"/>
  <c r="L133" i="7"/>
  <c r="K133" i="7"/>
  <c r="J133" i="7"/>
  <c r="I133" i="7"/>
  <c r="H133" i="7"/>
  <c r="G133" i="7"/>
  <c r="F133" i="7"/>
  <c r="E133" i="7"/>
  <c r="D133" i="7"/>
  <c r="C133" i="7"/>
  <c r="Q131" i="7"/>
  <c r="P131" i="7"/>
  <c r="O131" i="7"/>
  <c r="N131" i="7"/>
  <c r="M131" i="7"/>
  <c r="L131" i="7"/>
  <c r="K131" i="7"/>
  <c r="J131" i="7"/>
  <c r="I131" i="7"/>
  <c r="H131" i="7"/>
  <c r="G131" i="7"/>
  <c r="F131" i="7"/>
  <c r="E131" i="7"/>
  <c r="D131" i="7"/>
  <c r="C131" i="7"/>
  <c r="Q130" i="7"/>
  <c r="P130" i="7"/>
  <c r="O130" i="7"/>
  <c r="N130" i="7"/>
  <c r="M130" i="7"/>
  <c r="L130" i="7"/>
  <c r="K130" i="7"/>
  <c r="J130" i="7"/>
  <c r="I130" i="7"/>
  <c r="H130" i="7"/>
  <c r="G130" i="7"/>
  <c r="F130" i="7"/>
  <c r="E130" i="7"/>
  <c r="D130" i="7"/>
  <c r="C130" i="7"/>
  <c r="Q128" i="7"/>
  <c r="P128" i="7"/>
  <c r="O128" i="7"/>
  <c r="N128" i="7"/>
  <c r="M128" i="7"/>
  <c r="L128" i="7"/>
  <c r="K128" i="7"/>
  <c r="J128" i="7"/>
  <c r="I128" i="7"/>
  <c r="H128" i="7"/>
  <c r="G128" i="7"/>
  <c r="F128" i="7"/>
  <c r="E128" i="7"/>
  <c r="D128" i="7"/>
  <c r="C128" i="7"/>
  <c r="Q127" i="7"/>
  <c r="P127" i="7"/>
  <c r="O127" i="7"/>
  <c r="N127" i="7"/>
  <c r="M127" i="7"/>
  <c r="L127" i="7"/>
  <c r="K127" i="7"/>
  <c r="J127" i="7"/>
  <c r="I127" i="7"/>
  <c r="H127" i="7"/>
  <c r="G127" i="7"/>
  <c r="F127" i="7"/>
  <c r="E127" i="7"/>
  <c r="D127" i="7"/>
  <c r="C127" i="7"/>
  <c r="Q125" i="7"/>
  <c r="P125" i="7"/>
  <c r="O125" i="7"/>
  <c r="N125" i="7"/>
  <c r="M125" i="7"/>
  <c r="L125" i="7"/>
  <c r="K125" i="7"/>
  <c r="J125" i="7"/>
  <c r="I125" i="7"/>
  <c r="H125" i="7"/>
  <c r="G125" i="7"/>
  <c r="F125" i="7"/>
  <c r="E125" i="7"/>
  <c r="D125" i="7"/>
  <c r="C125" i="7"/>
  <c r="Q124" i="7"/>
  <c r="P124" i="7"/>
  <c r="O124" i="7"/>
  <c r="N124" i="7"/>
  <c r="M124" i="7"/>
  <c r="L124" i="7"/>
  <c r="K124" i="7"/>
  <c r="J124" i="7"/>
  <c r="I124" i="7"/>
  <c r="H124" i="7"/>
  <c r="G124" i="7"/>
  <c r="F124" i="7"/>
  <c r="E124" i="7"/>
  <c r="D124" i="7"/>
  <c r="C124" i="7"/>
  <c r="Q122" i="7"/>
  <c r="P122" i="7"/>
  <c r="O122" i="7"/>
  <c r="N122" i="7"/>
  <c r="M122" i="7"/>
  <c r="L122" i="7"/>
  <c r="K122" i="7"/>
  <c r="J122" i="7"/>
  <c r="I122" i="7"/>
  <c r="H122" i="7"/>
  <c r="G122" i="7"/>
  <c r="F122" i="7"/>
  <c r="E122" i="7"/>
  <c r="D122" i="7"/>
  <c r="C122" i="7"/>
  <c r="Q121" i="7"/>
  <c r="P121" i="7"/>
  <c r="O121" i="7"/>
  <c r="N121" i="7"/>
  <c r="M121" i="7"/>
  <c r="L121" i="7"/>
  <c r="K121" i="7"/>
  <c r="J121" i="7"/>
  <c r="I121" i="7"/>
  <c r="H121" i="7"/>
  <c r="G121" i="7"/>
  <c r="F121" i="7"/>
  <c r="E121" i="7"/>
  <c r="D121" i="7"/>
  <c r="C121" i="7"/>
  <c r="Q119" i="7"/>
  <c r="P119" i="7"/>
  <c r="O119" i="7"/>
  <c r="N119" i="7"/>
  <c r="M119" i="7"/>
  <c r="L119" i="7"/>
  <c r="K119" i="7"/>
  <c r="J119" i="7"/>
  <c r="I119" i="7"/>
  <c r="H119" i="7"/>
  <c r="G119" i="7"/>
  <c r="F119" i="7"/>
  <c r="E119" i="7"/>
  <c r="D119" i="7"/>
  <c r="C119" i="7"/>
  <c r="Q118" i="7"/>
  <c r="P118" i="7"/>
  <c r="O118" i="7"/>
  <c r="N118" i="7"/>
  <c r="M118" i="7"/>
  <c r="L118" i="7"/>
  <c r="K118" i="7"/>
  <c r="J118" i="7"/>
  <c r="I118" i="7"/>
  <c r="H118" i="7"/>
  <c r="G118" i="7"/>
  <c r="F118" i="7"/>
  <c r="E118" i="7"/>
  <c r="D118" i="7"/>
  <c r="C118" i="7"/>
  <c r="Q116" i="7"/>
  <c r="P116" i="7"/>
  <c r="O116" i="7"/>
  <c r="N116" i="7"/>
  <c r="M116" i="7"/>
  <c r="L116" i="7"/>
  <c r="K116" i="7"/>
  <c r="J116" i="7"/>
  <c r="I116" i="7"/>
  <c r="H116" i="7"/>
  <c r="G116" i="7"/>
  <c r="F116" i="7"/>
  <c r="E116" i="7"/>
  <c r="D116" i="7"/>
  <c r="C116" i="7"/>
  <c r="Q115" i="7"/>
  <c r="P115" i="7"/>
  <c r="O115" i="7"/>
  <c r="N115" i="7"/>
  <c r="M115" i="7"/>
  <c r="L115" i="7"/>
  <c r="K115" i="7"/>
  <c r="J115" i="7"/>
  <c r="I115" i="7"/>
  <c r="H115" i="7"/>
  <c r="G115" i="7"/>
  <c r="F115" i="7"/>
  <c r="E115" i="7"/>
  <c r="D115" i="7"/>
  <c r="C115" i="7"/>
  <c r="Q113" i="7"/>
  <c r="P113" i="7"/>
  <c r="O113" i="7"/>
  <c r="N113" i="7"/>
  <c r="M113" i="7"/>
  <c r="L113" i="7"/>
  <c r="K113" i="7"/>
  <c r="J113" i="7"/>
  <c r="I113" i="7"/>
  <c r="H113" i="7"/>
  <c r="G113" i="7"/>
  <c r="F113" i="7"/>
  <c r="E113" i="7"/>
  <c r="D113" i="7"/>
  <c r="C113" i="7"/>
  <c r="Q112" i="7"/>
  <c r="P112" i="7"/>
  <c r="O112" i="7"/>
  <c r="N112" i="7"/>
  <c r="M112" i="7"/>
  <c r="L112" i="7"/>
  <c r="K112" i="7"/>
  <c r="J112" i="7"/>
  <c r="I112" i="7"/>
  <c r="H112" i="7"/>
  <c r="G112" i="7"/>
  <c r="F112" i="7"/>
  <c r="E112" i="7"/>
  <c r="D112" i="7"/>
  <c r="C112" i="7"/>
  <c r="Q110" i="45"/>
  <c r="Q110" i="41"/>
  <c r="Q110" i="7"/>
  <c r="P110" i="45"/>
  <c r="P110" i="41"/>
  <c r="P110" i="7"/>
  <c r="O110" i="45"/>
  <c r="O110" i="41"/>
  <c r="O110" i="7"/>
  <c r="N110" i="45"/>
  <c r="N110" i="41"/>
  <c r="N110" i="7"/>
  <c r="M110" i="45"/>
  <c r="M110" i="41"/>
  <c r="M110" i="7"/>
  <c r="L110" i="45"/>
  <c r="L110" i="41"/>
  <c r="L110" i="7"/>
  <c r="K110" i="45"/>
  <c r="K110" i="41"/>
  <c r="K110" i="7"/>
  <c r="J110" i="45"/>
  <c r="J110" i="41"/>
  <c r="J110" i="7"/>
  <c r="I110" i="45"/>
  <c r="I110" i="41"/>
  <c r="I110" i="7"/>
  <c r="H110" i="45"/>
  <c r="H110" i="41"/>
  <c r="H110" i="7"/>
  <c r="G110" i="45"/>
  <c r="G110" i="41"/>
  <c r="G110" i="7"/>
  <c r="F110" i="45"/>
  <c r="F110" i="41"/>
  <c r="F110" i="7"/>
  <c r="E110" i="45"/>
  <c r="E110" i="41"/>
  <c r="E110" i="7"/>
  <c r="D110" i="45"/>
  <c r="D110" i="41"/>
  <c r="D110" i="7"/>
  <c r="C110" i="45"/>
  <c r="C110" i="41"/>
  <c r="C110" i="7"/>
  <c r="Q109" i="45"/>
  <c r="Q109" i="41"/>
  <c r="Q109" i="7"/>
  <c r="P109" i="45"/>
  <c r="P109" i="41"/>
  <c r="P109" i="7"/>
  <c r="O109" i="45"/>
  <c r="O109" i="41"/>
  <c r="O109" i="7"/>
  <c r="N109" i="45"/>
  <c r="N109" i="41"/>
  <c r="N109" i="7"/>
  <c r="M109" i="45"/>
  <c r="M109" i="41"/>
  <c r="M109" i="7"/>
  <c r="L109" i="45"/>
  <c r="L109" i="41"/>
  <c r="L109" i="7"/>
  <c r="K109" i="45"/>
  <c r="K109" i="41"/>
  <c r="K109" i="7"/>
  <c r="J109" i="45"/>
  <c r="J109" i="41"/>
  <c r="J109" i="7"/>
  <c r="I109" i="45"/>
  <c r="I109" i="41"/>
  <c r="I109" i="7"/>
  <c r="H109" i="45"/>
  <c r="H109" i="41"/>
  <c r="H109" i="7"/>
  <c r="G109" i="45"/>
  <c r="G109" i="41"/>
  <c r="G109" i="7"/>
  <c r="F109" i="45"/>
  <c r="F109" i="41"/>
  <c r="F109" i="7"/>
  <c r="E109" i="45"/>
  <c r="E109" i="41"/>
  <c r="E109" i="7"/>
  <c r="D109" i="45"/>
  <c r="D109" i="41"/>
  <c r="D109" i="7"/>
  <c r="C109" i="45"/>
  <c r="C109" i="41"/>
  <c r="C109" i="7"/>
  <c r="Q107" i="45"/>
  <c r="Q107" i="41"/>
  <c r="Q107" i="7"/>
  <c r="P107" i="45"/>
  <c r="P107" i="41"/>
  <c r="P107" i="7"/>
  <c r="O107" i="45"/>
  <c r="O107" i="41"/>
  <c r="O107" i="7"/>
  <c r="N107" i="45"/>
  <c r="N107" i="41"/>
  <c r="N107" i="7"/>
  <c r="M107" i="45"/>
  <c r="M107" i="41"/>
  <c r="M107" i="7"/>
  <c r="L107" i="45"/>
  <c r="L107" i="41"/>
  <c r="L107" i="7"/>
  <c r="K107" i="45"/>
  <c r="K107" i="41"/>
  <c r="K107" i="7"/>
  <c r="J107" i="45"/>
  <c r="J107" i="41"/>
  <c r="J107" i="7"/>
  <c r="I107" i="45"/>
  <c r="I107" i="41"/>
  <c r="I107" i="7"/>
  <c r="H107" i="45"/>
  <c r="H107" i="41"/>
  <c r="H107" i="7"/>
  <c r="G107" i="45"/>
  <c r="G107" i="41"/>
  <c r="G107" i="7"/>
  <c r="F107" i="45"/>
  <c r="F107" i="41"/>
  <c r="F107" i="7"/>
  <c r="E107" i="45"/>
  <c r="E107" i="41"/>
  <c r="E107" i="7"/>
  <c r="D107" i="45"/>
  <c r="D107" i="41"/>
  <c r="D107" i="7"/>
  <c r="C107" i="45"/>
  <c r="C107" i="41"/>
  <c r="C107" i="7"/>
  <c r="Q106" i="45"/>
  <c r="Q106" i="41"/>
  <c r="Q106" i="7"/>
  <c r="P106" i="45"/>
  <c r="P106" i="41"/>
  <c r="P106" i="7"/>
  <c r="O106" i="45"/>
  <c r="O106" i="41"/>
  <c r="O106" i="7"/>
  <c r="N106" i="45"/>
  <c r="N106" i="41"/>
  <c r="N106" i="7"/>
  <c r="M106" i="45"/>
  <c r="M106" i="41"/>
  <c r="M106" i="7"/>
  <c r="L106" i="45"/>
  <c r="L106" i="41"/>
  <c r="L106" i="7"/>
  <c r="K106" i="45"/>
  <c r="K106" i="41"/>
  <c r="K106" i="7"/>
  <c r="J106" i="45"/>
  <c r="J106" i="41"/>
  <c r="J106" i="7"/>
  <c r="I106" i="45"/>
  <c r="I106" i="41"/>
  <c r="I106" i="7"/>
  <c r="H106" i="45"/>
  <c r="H106" i="41"/>
  <c r="H106" i="7"/>
  <c r="G106" i="45"/>
  <c r="G106" i="41"/>
  <c r="G106" i="7"/>
  <c r="F106" i="45"/>
  <c r="F106" i="41"/>
  <c r="F106" i="7"/>
  <c r="E106" i="45"/>
  <c r="E106" i="41"/>
  <c r="E106" i="7"/>
  <c r="D106" i="45"/>
  <c r="D106" i="41"/>
  <c r="D106" i="7"/>
  <c r="C106" i="45"/>
  <c r="C106" i="41"/>
  <c r="C106" i="7"/>
  <c r="Q83" i="45"/>
  <c r="Q83" i="41"/>
  <c r="Q83" i="7"/>
  <c r="P83" i="45"/>
  <c r="P83" i="41"/>
  <c r="P83" i="7"/>
  <c r="O83" i="45"/>
  <c r="O83" i="41"/>
  <c r="O83" i="7"/>
  <c r="N83" i="45"/>
  <c r="N83" i="41"/>
  <c r="N83" i="7"/>
  <c r="M83" i="45"/>
  <c r="M83" i="41"/>
  <c r="M83" i="7"/>
  <c r="L83" i="45"/>
  <c r="L83" i="41"/>
  <c r="L83" i="7"/>
  <c r="K83" i="45"/>
  <c r="K83" i="41"/>
  <c r="K83" i="7"/>
  <c r="J83" i="45"/>
  <c r="J83" i="41"/>
  <c r="J83" i="7"/>
  <c r="I83" i="45"/>
  <c r="I83" i="41"/>
  <c r="I83" i="7"/>
  <c r="H83" i="45"/>
  <c r="H83" i="41"/>
  <c r="H83" i="7"/>
  <c r="G83" i="45"/>
  <c r="G83" i="41"/>
  <c r="G83" i="7"/>
  <c r="F83" i="45"/>
  <c r="F83" i="41"/>
  <c r="F83" i="7"/>
  <c r="E83" i="45"/>
  <c r="E83" i="41"/>
  <c r="E83" i="7"/>
  <c r="D83" i="45"/>
  <c r="D83" i="41"/>
  <c r="D83" i="7"/>
  <c r="C83" i="45"/>
  <c r="C83" i="41"/>
  <c r="C83" i="7"/>
  <c r="Q82" i="45"/>
  <c r="Q82" i="41"/>
  <c r="Q82" i="7"/>
  <c r="P82" i="45"/>
  <c r="P82" i="41"/>
  <c r="P82" i="7"/>
  <c r="O82" i="45"/>
  <c r="O82" i="41"/>
  <c r="O82" i="7"/>
  <c r="N82" i="45"/>
  <c r="N82" i="41"/>
  <c r="N82" i="7"/>
  <c r="M82" i="45"/>
  <c r="M82" i="41"/>
  <c r="M82" i="7"/>
  <c r="L82" i="45"/>
  <c r="L82" i="41"/>
  <c r="L82" i="7"/>
  <c r="K82" i="45"/>
  <c r="K82" i="41"/>
  <c r="K82" i="7"/>
  <c r="J82" i="45"/>
  <c r="J82" i="41"/>
  <c r="J82" i="7"/>
  <c r="I82" i="45"/>
  <c r="I82" i="41"/>
  <c r="I82" i="7"/>
  <c r="H82" i="45"/>
  <c r="H82" i="41"/>
  <c r="H82" i="7"/>
  <c r="G82" i="45"/>
  <c r="G82" i="41"/>
  <c r="G82" i="7"/>
  <c r="F82" i="45"/>
  <c r="F82" i="41"/>
  <c r="F82" i="7"/>
  <c r="E82" i="45"/>
  <c r="E82" i="41"/>
  <c r="E82" i="7"/>
  <c r="D82" i="45"/>
  <c r="D82" i="41"/>
  <c r="D82" i="7"/>
  <c r="C82" i="45"/>
  <c r="C82" i="41"/>
  <c r="C82" i="7"/>
  <c r="Q80" i="45"/>
  <c r="Q80" i="41"/>
  <c r="Q80" i="7"/>
  <c r="P80" i="45"/>
  <c r="P80" i="41"/>
  <c r="P80" i="7"/>
  <c r="O80" i="45"/>
  <c r="O80" i="41"/>
  <c r="O80" i="7"/>
  <c r="N80" i="45"/>
  <c r="N80" i="41"/>
  <c r="N80" i="7"/>
  <c r="M80" i="45"/>
  <c r="M80" i="41"/>
  <c r="M80" i="7"/>
  <c r="L80" i="45"/>
  <c r="L80" i="41"/>
  <c r="L80" i="7"/>
  <c r="K80" i="45"/>
  <c r="K80" i="41"/>
  <c r="K80" i="7"/>
  <c r="J80" i="45"/>
  <c r="J80" i="41"/>
  <c r="J80" i="7"/>
  <c r="I80" i="45"/>
  <c r="I80" i="41"/>
  <c r="I80" i="7"/>
  <c r="H80" i="45"/>
  <c r="H80" i="41"/>
  <c r="H80" i="7"/>
  <c r="G80" i="45"/>
  <c r="G80" i="41"/>
  <c r="G80" i="7"/>
  <c r="F80" i="45"/>
  <c r="F80" i="41"/>
  <c r="F80" i="7"/>
  <c r="E80" i="45"/>
  <c r="E80" i="41"/>
  <c r="E80" i="7"/>
  <c r="D80" i="45"/>
  <c r="D80" i="41"/>
  <c r="D80" i="7"/>
  <c r="C80" i="45"/>
  <c r="C80" i="41"/>
  <c r="C80" i="7"/>
  <c r="Q79" i="45"/>
  <c r="Q79" i="41"/>
  <c r="Q79" i="7"/>
  <c r="P79" i="45"/>
  <c r="P79" i="41"/>
  <c r="P79" i="7"/>
  <c r="O79" i="45"/>
  <c r="O79" i="41"/>
  <c r="O79" i="7"/>
  <c r="N79" i="45"/>
  <c r="N79" i="41"/>
  <c r="N79" i="7"/>
  <c r="M79" i="45"/>
  <c r="M79" i="41"/>
  <c r="M79" i="7"/>
  <c r="L79" i="45"/>
  <c r="L79" i="41"/>
  <c r="L79" i="7"/>
  <c r="K79" i="45"/>
  <c r="K79" i="41"/>
  <c r="K79" i="7"/>
  <c r="J79" i="45"/>
  <c r="J79" i="41"/>
  <c r="J79" i="7"/>
  <c r="I79" i="45"/>
  <c r="I79" i="41"/>
  <c r="I79" i="7"/>
  <c r="H79" i="45"/>
  <c r="H79" i="41"/>
  <c r="H79" i="7"/>
  <c r="G79" i="45"/>
  <c r="G79" i="41"/>
  <c r="G79" i="7"/>
  <c r="F79" i="45"/>
  <c r="F79" i="41"/>
  <c r="F79" i="7"/>
  <c r="E79" i="45"/>
  <c r="E79" i="41"/>
  <c r="E79" i="7"/>
  <c r="D79" i="45"/>
  <c r="D79" i="41"/>
  <c r="D79" i="7"/>
  <c r="C79" i="45"/>
  <c r="C79" i="41"/>
  <c r="C79" i="7"/>
  <c r="Q77" i="45"/>
  <c r="Q77" i="41"/>
  <c r="Q77" i="7"/>
  <c r="P77" i="45"/>
  <c r="P77" i="41"/>
  <c r="P77" i="7"/>
  <c r="O77" i="45"/>
  <c r="O77" i="41"/>
  <c r="O77" i="7"/>
  <c r="N77" i="45"/>
  <c r="N77" i="41"/>
  <c r="N77" i="7"/>
  <c r="M77" i="45"/>
  <c r="M77" i="41"/>
  <c r="M77" i="7"/>
  <c r="L77" i="45"/>
  <c r="L77" i="41"/>
  <c r="L77" i="7"/>
  <c r="K77" i="45"/>
  <c r="K77" i="41"/>
  <c r="K77" i="7"/>
  <c r="J77" i="45"/>
  <c r="J77" i="41"/>
  <c r="J77" i="7"/>
  <c r="I77" i="45"/>
  <c r="I77" i="41"/>
  <c r="I77" i="7"/>
  <c r="H77" i="45"/>
  <c r="H77" i="41"/>
  <c r="H77" i="7"/>
  <c r="G77" i="45"/>
  <c r="G77" i="41"/>
  <c r="G77" i="7"/>
  <c r="F77" i="45"/>
  <c r="F77" i="41"/>
  <c r="F77" i="7"/>
  <c r="E77" i="45"/>
  <c r="E77" i="41"/>
  <c r="E77" i="7"/>
  <c r="D77" i="45"/>
  <c r="D77" i="41"/>
  <c r="D77" i="7"/>
  <c r="C77" i="45"/>
  <c r="C77" i="41"/>
  <c r="C77" i="7"/>
  <c r="Q76" i="45"/>
  <c r="Q76" i="41"/>
  <c r="Q76" i="7"/>
  <c r="P76" i="45"/>
  <c r="P76" i="41"/>
  <c r="P76" i="7"/>
  <c r="O76" i="45"/>
  <c r="O76" i="41"/>
  <c r="O76" i="7"/>
  <c r="N76" i="45"/>
  <c r="N76" i="41"/>
  <c r="N76" i="7"/>
  <c r="M76" i="45"/>
  <c r="M76" i="41"/>
  <c r="M76" i="7"/>
  <c r="L76" i="45"/>
  <c r="L76" i="41"/>
  <c r="L76" i="7"/>
  <c r="K76" i="45"/>
  <c r="K76" i="41"/>
  <c r="K76" i="7"/>
  <c r="J76" i="45"/>
  <c r="J76" i="41"/>
  <c r="J76" i="7"/>
  <c r="I76" i="45"/>
  <c r="I76" i="41"/>
  <c r="I76" i="7"/>
  <c r="H76" i="45"/>
  <c r="H76" i="41"/>
  <c r="H76" i="7"/>
  <c r="G76" i="45"/>
  <c r="G76" i="41"/>
  <c r="G76" i="7"/>
  <c r="F76" i="45"/>
  <c r="F76" i="41"/>
  <c r="F76" i="7"/>
  <c r="E76" i="45"/>
  <c r="E76" i="41"/>
  <c r="E76" i="7"/>
  <c r="D76" i="45"/>
  <c r="D76" i="41"/>
  <c r="D76" i="7"/>
  <c r="C76" i="45"/>
  <c r="C76" i="41"/>
  <c r="C76" i="7"/>
  <c r="Q74" i="45"/>
  <c r="Q74" i="41"/>
  <c r="Q74" i="7"/>
  <c r="P74" i="45"/>
  <c r="P74" i="41"/>
  <c r="P74" i="7"/>
  <c r="O74" i="45"/>
  <c r="O74" i="41"/>
  <c r="O74" i="7"/>
  <c r="N74" i="45"/>
  <c r="N74" i="41"/>
  <c r="N74" i="7"/>
  <c r="M74" i="45"/>
  <c r="M74" i="41"/>
  <c r="M74" i="7"/>
  <c r="L74" i="45"/>
  <c r="L74" i="41"/>
  <c r="L74" i="7"/>
  <c r="K74" i="45"/>
  <c r="K74" i="41"/>
  <c r="K74" i="7"/>
  <c r="J74" i="45"/>
  <c r="J74" i="41"/>
  <c r="J74" i="7"/>
  <c r="I74" i="45"/>
  <c r="I74" i="41"/>
  <c r="I74" i="7"/>
  <c r="H74" i="45"/>
  <c r="H74" i="41"/>
  <c r="H74" i="7"/>
  <c r="G74" i="45"/>
  <c r="G74" i="41"/>
  <c r="G74" i="7"/>
  <c r="F74" i="45"/>
  <c r="F74" i="41"/>
  <c r="F74" i="7"/>
  <c r="E74" i="45"/>
  <c r="E74" i="41"/>
  <c r="E74" i="7"/>
  <c r="D74" i="45"/>
  <c r="D74" i="41"/>
  <c r="D74" i="7"/>
  <c r="C74" i="45"/>
  <c r="C74" i="41"/>
  <c r="C74" i="7"/>
  <c r="Q73" i="45"/>
  <c r="Q73" i="41"/>
  <c r="Q73" i="7"/>
  <c r="P73" i="45"/>
  <c r="P73" i="41"/>
  <c r="P73" i="7"/>
  <c r="O73" i="45"/>
  <c r="O73" i="41"/>
  <c r="O73" i="7"/>
  <c r="N73" i="45"/>
  <c r="N73" i="41"/>
  <c r="N73" i="7"/>
  <c r="M73" i="45"/>
  <c r="M73" i="41"/>
  <c r="M73" i="7"/>
  <c r="L73" i="45"/>
  <c r="L73" i="41"/>
  <c r="L73" i="7"/>
  <c r="K73" i="45"/>
  <c r="K73" i="41"/>
  <c r="K73" i="7"/>
  <c r="J73" i="45"/>
  <c r="J73" i="41"/>
  <c r="J73" i="7"/>
  <c r="I73" i="45"/>
  <c r="I73" i="41"/>
  <c r="I73" i="7"/>
  <c r="H73" i="45"/>
  <c r="H73" i="41"/>
  <c r="H73" i="7"/>
  <c r="G73" i="45"/>
  <c r="G73" i="41"/>
  <c r="G73" i="7"/>
  <c r="F73" i="45"/>
  <c r="F73" i="41"/>
  <c r="F73" i="7"/>
  <c r="E73" i="45"/>
  <c r="E73" i="41"/>
  <c r="E73" i="7"/>
  <c r="D73" i="45"/>
  <c r="D73" i="41"/>
  <c r="D73" i="7"/>
  <c r="C73" i="45"/>
  <c r="C73" i="41"/>
  <c r="C73" i="7"/>
  <c r="Q71" i="45"/>
  <c r="Q71" i="41"/>
  <c r="Q71" i="7"/>
  <c r="P71" i="45"/>
  <c r="P71" i="41"/>
  <c r="P71" i="7"/>
  <c r="O71" i="45"/>
  <c r="O71" i="41"/>
  <c r="O71" i="7"/>
  <c r="N71" i="45"/>
  <c r="N71" i="41"/>
  <c r="N71" i="7"/>
  <c r="M71" i="45"/>
  <c r="M71" i="41"/>
  <c r="M71" i="7"/>
  <c r="L71" i="45"/>
  <c r="L71" i="41"/>
  <c r="L71" i="7"/>
  <c r="K71" i="45"/>
  <c r="K71" i="41"/>
  <c r="K71" i="7"/>
  <c r="J71" i="45"/>
  <c r="J71" i="41"/>
  <c r="J71" i="7"/>
  <c r="I71" i="45"/>
  <c r="I71" i="41"/>
  <c r="I71" i="7"/>
  <c r="H71" i="45"/>
  <c r="H71" i="41"/>
  <c r="H71" i="7"/>
  <c r="G71" i="45"/>
  <c r="G71" i="41"/>
  <c r="G71" i="7"/>
  <c r="F71" i="45"/>
  <c r="F71" i="41"/>
  <c r="F71" i="7"/>
  <c r="E71" i="45"/>
  <c r="E71" i="41"/>
  <c r="E71" i="7"/>
  <c r="D71" i="45"/>
  <c r="D71" i="41"/>
  <c r="D71" i="7"/>
  <c r="C71" i="45"/>
  <c r="C71" i="41"/>
  <c r="C71" i="7"/>
  <c r="Q70" i="45"/>
  <c r="Q70" i="41"/>
  <c r="Q70" i="7"/>
  <c r="P70" i="45"/>
  <c r="P70" i="41"/>
  <c r="P70" i="7"/>
  <c r="O70" i="45"/>
  <c r="O70" i="41"/>
  <c r="O70" i="7"/>
  <c r="N70" i="45"/>
  <c r="N70" i="41"/>
  <c r="N70" i="7"/>
  <c r="M70" i="45"/>
  <c r="M70" i="41"/>
  <c r="M70" i="7"/>
  <c r="L70" i="45"/>
  <c r="L70" i="41"/>
  <c r="L70" i="7"/>
  <c r="K70" i="45"/>
  <c r="K70" i="41"/>
  <c r="K70" i="7"/>
  <c r="J70" i="45"/>
  <c r="J70" i="41"/>
  <c r="J70" i="7"/>
  <c r="I70" i="45"/>
  <c r="I70" i="41"/>
  <c r="I70" i="7"/>
  <c r="H70" i="45"/>
  <c r="H70" i="41"/>
  <c r="H70" i="7"/>
  <c r="G70" i="45"/>
  <c r="G70" i="41"/>
  <c r="G70" i="7"/>
  <c r="F70" i="45"/>
  <c r="F70" i="41"/>
  <c r="F70" i="7"/>
  <c r="E70" i="45"/>
  <c r="E70" i="41"/>
  <c r="E70" i="7"/>
  <c r="D70" i="45"/>
  <c r="D70" i="41"/>
  <c r="D70" i="7"/>
  <c r="C70" i="45"/>
  <c r="C70" i="41"/>
  <c r="C70" i="7"/>
  <c r="Q68" i="45"/>
  <c r="Q68" i="41"/>
  <c r="Q68" i="7"/>
  <c r="P68" i="45"/>
  <c r="P68" i="41"/>
  <c r="P68" i="7"/>
  <c r="O68" i="45"/>
  <c r="O68" i="41"/>
  <c r="O68" i="7"/>
  <c r="N68" i="45"/>
  <c r="N68" i="41"/>
  <c r="N68" i="7"/>
  <c r="M68" i="45"/>
  <c r="M68" i="41"/>
  <c r="M68" i="7"/>
  <c r="L68" i="45"/>
  <c r="L68" i="41"/>
  <c r="L68" i="7"/>
  <c r="K68" i="45"/>
  <c r="K68" i="41"/>
  <c r="K68" i="7"/>
  <c r="J68" i="45"/>
  <c r="J68" i="41"/>
  <c r="J68" i="7"/>
  <c r="I68" i="45"/>
  <c r="I68" i="41"/>
  <c r="I68" i="7"/>
  <c r="H68" i="45"/>
  <c r="H68" i="41"/>
  <c r="H68" i="7"/>
  <c r="G68" i="45"/>
  <c r="G68" i="41"/>
  <c r="G68" i="7"/>
  <c r="F68" i="45"/>
  <c r="F68" i="41"/>
  <c r="F68" i="7"/>
  <c r="E68" i="45"/>
  <c r="E68" i="41"/>
  <c r="E68" i="7"/>
  <c r="D68" i="45"/>
  <c r="D68" i="41"/>
  <c r="D68" i="7"/>
  <c r="C68" i="45"/>
  <c r="C68" i="41"/>
  <c r="C68" i="7"/>
  <c r="Q67" i="45"/>
  <c r="Q67" i="41"/>
  <c r="Q67" i="7"/>
  <c r="P67" i="45"/>
  <c r="P67" i="41"/>
  <c r="P67" i="7"/>
  <c r="O67" i="45"/>
  <c r="O67" i="41"/>
  <c r="O67" i="7"/>
  <c r="N67" i="45"/>
  <c r="N67" i="41"/>
  <c r="N67" i="7"/>
  <c r="M67" i="45"/>
  <c r="M67" i="41"/>
  <c r="M67" i="7"/>
  <c r="L67" i="45"/>
  <c r="L67" i="41"/>
  <c r="L67" i="7"/>
  <c r="K67" i="45"/>
  <c r="K67" i="41"/>
  <c r="K67" i="7"/>
  <c r="J67" i="45"/>
  <c r="J67" i="41"/>
  <c r="J67" i="7"/>
  <c r="I67" i="45"/>
  <c r="I67" i="41"/>
  <c r="I67" i="7"/>
  <c r="H67" i="45"/>
  <c r="H67" i="41"/>
  <c r="H67" i="7"/>
  <c r="G67" i="45"/>
  <c r="G67" i="41"/>
  <c r="G67" i="7"/>
  <c r="F67" i="45"/>
  <c r="F67" i="41"/>
  <c r="F67" i="7"/>
  <c r="E67" i="45"/>
  <c r="E67" i="41"/>
  <c r="E67" i="7"/>
  <c r="D67" i="45"/>
  <c r="D67" i="41"/>
  <c r="D67" i="7"/>
  <c r="C67" i="45"/>
  <c r="C67" i="41"/>
  <c r="C67" i="7"/>
  <c r="Q65" i="45"/>
  <c r="Q65" i="41"/>
  <c r="Q65" i="7"/>
  <c r="P65" i="45"/>
  <c r="P65" i="41"/>
  <c r="P65" i="7"/>
  <c r="O65" i="45"/>
  <c r="O65" i="41"/>
  <c r="O65" i="7"/>
  <c r="N65" i="45"/>
  <c r="N65" i="41"/>
  <c r="N65" i="7"/>
  <c r="M65" i="45"/>
  <c r="M65" i="41"/>
  <c r="M65" i="7"/>
  <c r="L65" i="45"/>
  <c r="L65" i="41"/>
  <c r="L65" i="7"/>
  <c r="K65" i="45"/>
  <c r="K65" i="41"/>
  <c r="K65" i="7"/>
  <c r="J65" i="45"/>
  <c r="J65" i="41"/>
  <c r="J65" i="7"/>
  <c r="I65" i="45"/>
  <c r="I65" i="41"/>
  <c r="I65" i="7"/>
  <c r="H65" i="45"/>
  <c r="H65" i="41"/>
  <c r="H65" i="7"/>
  <c r="G65" i="45"/>
  <c r="G65" i="41"/>
  <c r="G65" i="7"/>
  <c r="F65" i="45"/>
  <c r="F65" i="41"/>
  <c r="F65" i="7"/>
  <c r="E65" i="45"/>
  <c r="E65" i="41"/>
  <c r="E65" i="7"/>
  <c r="D65" i="45"/>
  <c r="D65" i="41"/>
  <c r="D65" i="7"/>
  <c r="C65" i="45"/>
  <c r="C65" i="41"/>
  <c r="C65" i="7"/>
  <c r="Q64" i="45"/>
  <c r="Q64" i="41"/>
  <c r="Q64" i="7"/>
  <c r="P64" i="45"/>
  <c r="P64" i="41"/>
  <c r="P64" i="7"/>
  <c r="O64" i="45"/>
  <c r="O64" i="41"/>
  <c r="O64" i="7"/>
  <c r="N64" i="45"/>
  <c r="N64" i="41"/>
  <c r="N64" i="7"/>
  <c r="M64" i="45"/>
  <c r="M64" i="41"/>
  <c r="M64" i="7"/>
  <c r="L64" i="45"/>
  <c r="L64" i="41"/>
  <c r="L64" i="7"/>
  <c r="K64" i="45"/>
  <c r="K64" i="41"/>
  <c r="K64" i="7"/>
  <c r="J64" i="45"/>
  <c r="J64" i="41"/>
  <c r="J64" i="7"/>
  <c r="I64" i="45"/>
  <c r="I64" i="41"/>
  <c r="I64" i="7"/>
  <c r="H64" i="45"/>
  <c r="H64" i="41"/>
  <c r="H64" i="7"/>
  <c r="G64" i="45"/>
  <c r="G64" i="41"/>
  <c r="G64" i="7"/>
  <c r="F64" i="45"/>
  <c r="F64" i="41"/>
  <c r="F64" i="7"/>
  <c r="E64" i="45"/>
  <c r="E64" i="41"/>
  <c r="E64" i="7"/>
  <c r="D64" i="45"/>
  <c r="D64" i="41"/>
  <c r="D64" i="7"/>
  <c r="C64" i="45"/>
  <c r="C64" i="41"/>
  <c r="C64" i="7"/>
  <c r="Q62" i="45"/>
  <c r="Q62" i="41"/>
  <c r="Q62" i="7"/>
  <c r="P62" i="45"/>
  <c r="P62" i="41"/>
  <c r="P62" i="7"/>
  <c r="O62" i="45"/>
  <c r="O62" i="41"/>
  <c r="O62" i="7"/>
  <c r="N62" i="45"/>
  <c r="N62" i="41"/>
  <c r="N62" i="7"/>
  <c r="M62" i="45"/>
  <c r="M62" i="41"/>
  <c r="M62" i="7"/>
  <c r="L62" i="45"/>
  <c r="L62" i="41"/>
  <c r="L62" i="7"/>
  <c r="K62" i="45"/>
  <c r="K62" i="41"/>
  <c r="K62" i="7"/>
  <c r="J62" i="45"/>
  <c r="J62" i="41"/>
  <c r="J62" i="7"/>
  <c r="I62" i="45"/>
  <c r="I62" i="41"/>
  <c r="I62" i="7"/>
  <c r="H62" i="45"/>
  <c r="H62" i="41"/>
  <c r="H62" i="7"/>
  <c r="G62" i="45"/>
  <c r="G62" i="41"/>
  <c r="G62" i="7"/>
  <c r="F62" i="45"/>
  <c r="F62" i="41"/>
  <c r="F62" i="7"/>
  <c r="E62" i="45"/>
  <c r="E62" i="41"/>
  <c r="E62" i="7"/>
  <c r="D62" i="45"/>
  <c r="D62" i="41"/>
  <c r="D62" i="7"/>
  <c r="C62" i="45"/>
  <c r="C62" i="41"/>
  <c r="C62" i="7"/>
  <c r="Q61" i="45"/>
  <c r="Q61" i="41"/>
  <c r="Q61" i="7"/>
  <c r="P61" i="45"/>
  <c r="P61" i="41"/>
  <c r="P61" i="7"/>
  <c r="O61" i="45"/>
  <c r="O61" i="41"/>
  <c r="O61" i="7"/>
  <c r="N61" i="45"/>
  <c r="N61" i="41"/>
  <c r="N61" i="7"/>
  <c r="M61" i="45"/>
  <c r="M61" i="41"/>
  <c r="M61" i="7"/>
  <c r="L61" i="45"/>
  <c r="L61" i="41"/>
  <c r="L61" i="7"/>
  <c r="K61" i="45"/>
  <c r="K61" i="41"/>
  <c r="K61" i="7"/>
  <c r="J61" i="45"/>
  <c r="J61" i="41"/>
  <c r="J61" i="7"/>
  <c r="I61" i="45"/>
  <c r="I61" i="41"/>
  <c r="I61" i="7"/>
  <c r="H61" i="45"/>
  <c r="H61" i="41"/>
  <c r="H61" i="7"/>
  <c r="G61" i="45"/>
  <c r="G61" i="41"/>
  <c r="G61" i="7"/>
  <c r="F61" i="45"/>
  <c r="F61" i="41"/>
  <c r="F61" i="7"/>
  <c r="E61" i="45"/>
  <c r="E61" i="41"/>
  <c r="E61" i="7"/>
  <c r="D61" i="45"/>
  <c r="D61" i="41"/>
  <c r="D61" i="7"/>
  <c r="C61" i="45"/>
  <c r="C61" i="41"/>
  <c r="C61" i="7"/>
  <c r="Q104" i="45"/>
  <c r="Q104" i="41"/>
  <c r="Q104" i="7"/>
  <c r="P104" i="45"/>
  <c r="P104" i="41"/>
  <c r="P104" i="7"/>
  <c r="O104" i="45"/>
  <c r="O104" i="41"/>
  <c r="O104" i="7"/>
  <c r="N104" i="45"/>
  <c r="N104" i="41"/>
  <c r="N104" i="7"/>
  <c r="M104" i="45"/>
  <c r="M104" i="41"/>
  <c r="M104" i="7"/>
  <c r="L104" i="45"/>
  <c r="L104" i="41"/>
  <c r="L104" i="7"/>
  <c r="K104" i="45"/>
  <c r="K104" i="41"/>
  <c r="K104" i="7"/>
  <c r="J104" i="45"/>
  <c r="J104" i="41"/>
  <c r="J104" i="7"/>
  <c r="I104" i="45"/>
  <c r="I104" i="41"/>
  <c r="I104" i="7"/>
  <c r="H104" i="45"/>
  <c r="H104" i="41"/>
  <c r="H104" i="7"/>
  <c r="G104" i="45"/>
  <c r="G104" i="41"/>
  <c r="G104" i="7"/>
  <c r="F104" i="45"/>
  <c r="F104" i="41"/>
  <c r="F104" i="7"/>
  <c r="E104" i="45"/>
  <c r="E104" i="41"/>
  <c r="E104" i="7"/>
  <c r="D104" i="45"/>
  <c r="D104" i="41"/>
  <c r="D104" i="7"/>
  <c r="C104" i="45"/>
  <c r="C104" i="41"/>
  <c r="C104" i="7"/>
  <c r="Q103" i="45"/>
  <c r="Q103" i="41"/>
  <c r="Q103" i="7"/>
  <c r="P103" i="45"/>
  <c r="P103" i="41"/>
  <c r="P103" i="7"/>
  <c r="O103" i="45"/>
  <c r="O103" i="41"/>
  <c r="O103" i="7"/>
  <c r="N103" i="45"/>
  <c r="N103" i="41"/>
  <c r="N103" i="7"/>
  <c r="M103" i="45"/>
  <c r="M103" i="41"/>
  <c r="M103" i="7"/>
  <c r="L103" i="45"/>
  <c r="L103" i="41"/>
  <c r="L103" i="7"/>
  <c r="K103" i="45"/>
  <c r="K103" i="41"/>
  <c r="K103" i="7"/>
  <c r="J103" i="45"/>
  <c r="J103" i="41"/>
  <c r="J103" i="7"/>
  <c r="I103" i="45"/>
  <c r="I103" i="41"/>
  <c r="I103" i="7"/>
  <c r="H103" i="45"/>
  <c r="H103" i="41"/>
  <c r="H103" i="7"/>
  <c r="G103" i="45"/>
  <c r="G103" i="41"/>
  <c r="G103" i="7"/>
  <c r="F103" i="45"/>
  <c r="F103" i="41"/>
  <c r="F103" i="7"/>
  <c r="E103" i="45"/>
  <c r="E103" i="41"/>
  <c r="E103" i="7"/>
  <c r="D103" i="45"/>
  <c r="D103" i="41"/>
  <c r="D103" i="7"/>
  <c r="C103" i="45"/>
  <c r="C103" i="41"/>
  <c r="C103" i="7"/>
  <c r="Q101" i="45"/>
  <c r="Q101" i="41"/>
  <c r="Q101" i="7"/>
  <c r="P101" i="45"/>
  <c r="P101" i="41"/>
  <c r="P101" i="7"/>
  <c r="O101" i="45"/>
  <c r="O101" i="41"/>
  <c r="O101" i="7"/>
  <c r="N101" i="45"/>
  <c r="N101" i="41"/>
  <c r="N101" i="7"/>
  <c r="M101" i="45"/>
  <c r="M101" i="41"/>
  <c r="M101" i="7"/>
  <c r="L101" i="45"/>
  <c r="L101" i="41"/>
  <c r="L101" i="7"/>
  <c r="K101" i="45"/>
  <c r="K101" i="41"/>
  <c r="K101" i="7"/>
  <c r="J101" i="45"/>
  <c r="J101" i="41"/>
  <c r="J101" i="7"/>
  <c r="I101" i="45"/>
  <c r="I101" i="41"/>
  <c r="I101" i="7"/>
  <c r="H101" i="45"/>
  <c r="H101" i="41"/>
  <c r="H101" i="7"/>
  <c r="G101" i="45"/>
  <c r="G101" i="41"/>
  <c r="G101" i="7"/>
  <c r="F101" i="45"/>
  <c r="F101" i="41"/>
  <c r="F101" i="7"/>
  <c r="E101" i="45"/>
  <c r="E101" i="41"/>
  <c r="E101" i="7"/>
  <c r="D101" i="45"/>
  <c r="D101" i="41"/>
  <c r="D101" i="7"/>
  <c r="C101" i="45"/>
  <c r="C101" i="41"/>
  <c r="C101" i="7"/>
  <c r="Q100" i="45"/>
  <c r="Q100" i="41"/>
  <c r="Q100" i="7"/>
  <c r="P100" i="45"/>
  <c r="P100" i="41"/>
  <c r="P100" i="7"/>
  <c r="O100" i="45"/>
  <c r="O100" i="41"/>
  <c r="O100" i="7"/>
  <c r="N100" i="45"/>
  <c r="N100" i="41"/>
  <c r="N100" i="7"/>
  <c r="M100" i="45"/>
  <c r="M100" i="41"/>
  <c r="M100" i="7"/>
  <c r="L100" i="45"/>
  <c r="L100" i="41"/>
  <c r="L100" i="7"/>
  <c r="K100" i="45"/>
  <c r="K100" i="41"/>
  <c r="K100" i="7"/>
  <c r="J100" i="45"/>
  <c r="J100" i="41"/>
  <c r="J100" i="7"/>
  <c r="I100" i="45"/>
  <c r="I100" i="41"/>
  <c r="I100" i="7"/>
  <c r="H100" i="45"/>
  <c r="H100" i="41"/>
  <c r="H100" i="7"/>
  <c r="G100" i="45"/>
  <c r="G100" i="41"/>
  <c r="G100" i="7"/>
  <c r="F100" i="45"/>
  <c r="F100" i="41"/>
  <c r="F100" i="7"/>
  <c r="E100" i="45"/>
  <c r="E100" i="41"/>
  <c r="E100" i="7"/>
  <c r="D100" i="45"/>
  <c r="D100" i="41"/>
  <c r="D100" i="7"/>
  <c r="C100" i="45"/>
  <c r="C100" i="41"/>
  <c r="C100" i="7"/>
  <c r="Q95" i="45"/>
  <c r="Q95" i="41"/>
  <c r="Q95" i="7"/>
  <c r="P95" i="45"/>
  <c r="P95" i="41"/>
  <c r="P95" i="7"/>
  <c r="O95" i="45"/>
  <c r="O95" i="41"/>
  <c r="O95" i="7"/>
  <c r="N95" i="45"/>
  <c r="N95" i="41"/>
  <c r="N95" i="7"/>
  <c r="M95" i="45"/>
  <c r="M95" i="41"/>
  <c r="M95" i="7"/>
  <c r="L95" i="45"/>
  <c r="L95" i="41"/>
  <c r="L95" i="7"/>
  <c r="K95" i="45"/>
  <c r="K95" i="41"/>
  <c r="K95" i="7"/>
  <c r="J95" i="45"/>
  <c r="J95" i="41"/>
  <c r="J95" i="7"/>
  <c r="I95" i="45"/>
  <c r="I95" i="41"/>
  <c r="I95" i="7"/>
  <c r="H95" i="45"/>
  <c r="H95" i="41"/>
  <c r="H95" i="7"/>
  <c r="G95" i="45"/>
  <c r="G95" i="41"/>
  <c r="G95" i="7"/>
  <c r="F95" i="45"/>
  <c r="F95" i="41"/>
  <c r="F95" i="7"/>
  <c r="E95" i="45"/>
  <c r="E95" i="41"/>
  <c r="E95" i="7"/>
  <c r="D95" i="45"/>
  <c r="D95" i="41"/>
  <c r="D95" i="7"/>
  <c r="C95" i="45"/>
  <c r="C95" i="41"/>
  <c r="C95" i="7"/>
  <c r="Q94" i="45"/>
  <c r="Q94" i="41"/>
  <c r="Q94" i="7"/>
  <c r="P94" i="45"/>
  <c r="P94" i="41"/>
  <c r="P94" i="7"/>
  <c r="O94" i="45"/>
  <c r="O94" i="41"/>
  <c r="O94" i="7"/>
  <c r="N94" i="45"/>
  <c r="N94" i="41"/>
  <c r="N94" i="7"/>
  <c r="M94" i="45"/>
  <c r="M94" i="41"/>
  <c r="M94" i="7"/>
  <c r="L94" i="45"/>
  <c r="L94" i="41"/>
  <c r="L94" i="7"/>
  <c r="K94" i="45"/>
  <c r="K94" i="41"/>
  <c r="K94" i="7"/>
  <c r="J94" i="45"/>
  <c r="J94" i="41"/>
  <c r="J94" i="7"/>
  <c r="I94" i="45"/>
  <c r="I94" i="41"/>
  <c r="I94" i="7"/>
  <c r="H94" i="45"/>
  <c r="H94" i="41"/>
  <c r="H94" i="7"/>
  <c r="G94" i="45"/>
  <c r="G94" i="41"/>
  <c r="G94" i="7"/>
  <c r="F94" i="45"/>
  <c r="F94" i="41"/>
  <c r="F94" i="7"/>
  <c r="E94" i="45"/>
  <c r="E94" i="41"/>
  <c r="E94" i="7"/>
  <c r="D94" i="45"/>
  <c r="D94" i="41"/>
  <c r="D94" i="7"/>
  <c r="C94" i="45"/>
  <c r="C94" i="41"/>
  <c r="C94" i="7"/>
  <c r="Q92" i="45"/>
  <c r="Q92" i="41"/>
  <c r="Q92" i="7"/>
  <c r="P92" i="45"/>
  <c r="P92" i="41"/>
  <c r="P92" i="7"/>
  <c r="O92" i="45"/>
  <c r="O92" i="41"/>
  <c r="O92" i="7"/>
  <c r="N92" i="45"/>
  <c r="N92" i="41"/>
  <c r="N92" i="7"/>
  <c r="M92" i="7"/>
  <c r="L92" i="7"/>
  <c r="K92" i="7"/>
  <c r="J92" i="7"/>
  <c r="I92" i="7"/>
  <c r="H92" i="7"/>
  <c r="G92" i="7"/>
  <c r="F92" i="7"/>
  <c r="E92" i="7"/>
  <c r="D92" i="7"/>
  <c r="C92" i="7"/>
  <c r="Q91" i="45"/>
  <c r="Q91" i="41"/>
  <c r="Q91" i="7"/>
  <c r="P91" i="45"/>
  <c r="P91" i="41"/>
  <c r="P91" i="7"/>
  <c r="O91" i="45"/>
  <c r="O91" i="41"/>
  <c r="O91" i="7"/>
  <c r="N91" i="45"/>
  <c r="N91" i="41"/>
  <c r="N91" i="7"/>
  <c r="M91" i="7"/>
  <c r="L91" i="7"/>
  <c r="K91" i="7"/>
  <c r="J91" i="7"/>
  <c r="I91" i="7"/>
  <c r="H91" i="7"/>
  <c r="G91" i="7"/>
  <c r="F91" i="7"/>
  <c r="E91" i="7"/>
  <c r="D91" i="7"/>
  <c r="C91" i="7"/>
  <c r="Q89" i="45"/>
  <c r="Q89" i="41"/>
  <c r="Q89" i="7"/>
  <c r="P89" i="45"/>
  <c r="P89" i="41"/>
  <c r="P89" i="7"/>
  <c r="O89" i="45"/>
  <c r="O89" i="41"/>
  <c r="O89" i="7"/>
  <c r="N89" i="45"/>
  <c r="N89" i="41"/>
  <c r="N89" i="7"/>
  <c r="M89" i="7"/>
  <c r="L89" i="7"/>
  <c r="K89" i="7"/>
  <c r="J89" i="7"/>
  <c r="I89" i="7"/>
  <c r="H89" i="7"/>
  <c r="G89" i="7"/>
  <c r="F89" i="7"/>
  <c r="E89" i="7"/>
  <c r="D89" i="7"/>
  <c r="C89" i="7"/>
  <c r="Q88" i="45"/>
  <c r="Q88" i="41"/>
  <c r="Q88" i="7"/>
  <c r="P88" i="45"/>
  <c r="P88" i="41"/>
  <c r="P88" i="7"/>
  <c r="O88" i="45"/>
  <c r="O88" i="41"/>
  <c r="O88" i="7"/>
  <c r="N88" i="45"/>
  <c r="N88" i="41"/>
  <c r="N88" i="7"/>
  <c r="M88" i="7"/>
  <c r="L88" i="7"/>
  <c r="K88" i="7"/>
  <c r="J88" i="7"/>
  <c r="I88" i="7"/>
  <c r="H88" i="7"/>
  <c r="G88" i="7"/>
  <c r="F88" i="7"/>
  <c r="E88" i="7"/>
  <c r="D88" i="7"/>
  <c r="C88" i="7"/>
  <c r="Q86" i="45"/>
  <c r="Q86" i="41"/>
  <c r="Q86" i="7"/>
  <c r="P86" i="45"/>
  <c r="P86" i="41"/>
  <c r="P86" i="7"/>
  <c r="O86" i="45"/>
  <c r="O86" i="41"/>
  <c r="O86" i="7"/>
  <c r="N86" i="45"/>
  <c r="N86" i="41"/>
  <c r="N86" i="7"/>
  <c r="M86" i="7"/>
  <c r="L86" i="7"/>
  <c r="K86" i="7"/>
  <c r="J86" i="7"/>
  <c r="I86" i="7"/>
  <c r="H86" i="7"/>
  <c r="G86" i="7"/>
  <c r="F86" i="7"/>
  <c r="E86" i="7"/>
  <c r="D86" i="7"/>
  <c r="C86" i="7"/>
  <c r="Q85" i="45"/>
  <c r="Q85" i="41"/>
  <c r="Q85" i="7"/>
  <c r="P85" i="45"/>
  <c r="P85" i="41"/>
  <c r="P85" i="7"/>
  <c r="O85" i="45"/>
  <c r="O85" i="41"/>
  <c r="O85" i="7"/>
  <c r="N85" i="45"/>
  <c r="N85" i="41"/>
  <c r="N85" i="7"/>
  <c r="M85" i="7"/>
  <c r="L85" i="7"/>
  <c r="K85" i="7"/>
  <c r="J85" i="7"/>
  <c r="I85" i="7"/>
  <c r="H85" i="7"/>
  <c r="G85" i="7"/>
  <c r="F85" i="7"/>
  <c r="E85" i="7"/>
  <c r="D85" i="7"/>
  <c r="C85" i="7"/>
  <c r="Q98" i="45"/>
  <c r="P98" i="45"/>
  <c r="O98" i="45"/>
  <c r="N98" i="45"/>
  <c r="M98" i="45"/>
  <c r="L98" i="45"/>
  <c r="K98" i="45"/>
  <c r="J98" i="45"/>
  <c r="I98" i="45"/>
  <c r="H98" i="45"/>
  <c r="G98" i="45"/>
  <c r="F98" i="45"/>
  <c r="E98" i="45"/>
  <c r="D98" i="45"/>
  <c r="S97" i="45"/>
  <c r="Q97" i="45"/>
  <c r="P97" i="45"/>
  <c r="O97" i="45"/>
  <c r="N97" i="45"/>
  <c r="M97" i="45"/>
  <c r="L97" i="45"/>
  <c r="K97" i="45"/>
  <c r="J97" i="45"/>
  <c r="I97" i="45"/>
  <c r="H97" i="45"/>
  <c r="G97" i="45"/>
  <c r="F97" i="45"/>
  <c r="E97" i="45"/>
  <c r="D97" i="45"/>
  <c r="C98" i="45"/>
  <c r="C97" i="45"/>
  <c r="Q98" i="41"/>
  <c r="P98" i="41"/>
  <c r="O98" i="41"/>
  <c r="N98" i="41"/>
  <c r="M98" i="41"/>
  <c r="L98" i="41"/>
  <c r="K98" i="41"/>
  <c r="J98" i="41"/>
  <c r="I98" i="41"/>
  <c r="H98" i="41"/>
  <c r="G98" i="41"/>
  <c r="F98" i="41"/>
  <c r="E98" i="41"/>
  <c r="D98" i="41"/>
  <c r="P97" i="41"/>
  <c r="L97" i="41"/>
  <c r="G97" i="41"/>
  <c r="C98" i="41"/>
  <c r="R165" i="33"/>
  <c r="R157" i="33"/>
  <c r="Q157" i="33"/>
  <c r="Y383" i="35"/>
  <c r="S151" i="33"/>
  <c r="R151" i="33"/>
  <c r="Y505" i="35"/>
  <c r="R505" i="35"/>
  <c r="AN505" i="35"/>
  <c r="Y506" i="35"/>
  <c r="R506" i="35"/>
  <c r="U506" i="35"/>
  <c r="AI506" i="35"/>
  <c r="Y507" i="35"/>
  <c r="R507" i="35"/>
  <c r="AN507" i="35"/>
  <c r="Y482" i="35"/>
  <c r="R482" i="35"/>
  <c r="Y483" i="35"/>
  <c r="R483" i="35"/>
  <c r="AN483" i="35"/>
  <c r="Y484" i="35"/>
  <c r="R484" i="35"/>
  <c r="O523" i="35"/>
  <c r="O524" i="35"/>
  <c r="AJ524" i="35"/>
  <c r="AN524" i="35"/>
  <c r="O525" i="35"/>
  <c r="AN525" i="35"/>
  <c r="O526" i="35"/>
  <c r="O527" i="35"/>
  <c r="O500" i="35"/>
  <c r="O501" i="35"/>
  <c r="AN501" i="35"/>
  <c r="O502" i="35"/>
  <c r="AN502" i="35"/>
  <c r="O503" i="35"/>
  <c r="AN503" i="35"/>
  <c r="O504" i="35"/>
  <c r="O477" i="35"/>
  <c r="AN477" i="35"/>
  <c r="O478" i="35"/>
  <c r="AN478" i="35"/>
  <c r="O479" i="35"/>
  <c r="AN479" i="35"/>
  <c r="O480" i="35"/>
  <c r="AN480" i="35"/>
  <c r="O481" i="35"/>
  <c r="AN481" i="35"/>
  <c r="O455" i="35"/>
  <c r="O456" i="35"/>
  <c r="AN456" i="35"/>
  <c r="O457" i="35"/>
  <c r="AN457" i="35"/>
  <c r="O458" i="35"/>
  <c r="Y459" i="35"/>
  <c r="R459" i="35"/>
  <c r="AN459" i="35"/>
  <c r="Y460" i="35"/>
  <c r="R460" i="35"/>
  <c r="AN460" i="35"/>
  <c r="Y461" i="35"/>
  <c r="R461" i="35"/>
  <c r="Y523" i="35"/>
  <c r="U523" i="35"/>
  <c r="AH523" i="35"/>
  <c r="Y524" i="35"/>
  <c r="U524" i="35"/>
  <c r="AH524" i="35"/>
  <c r="Y525" i="35"/>
  <c r="U525" i="35"/>
  <c r="AH525" i="35"/>
  <c r="AI525" i="35"/>
  <c r="Y526" i="35"/>
  <c r="U526" i="35"/>
  <c r="Y527" i="35"/>
  <c r="U527" i="35"/>
  <c r="AH527" i="35"/>
  <c r="Y528" i="35"/>
  <c r="U528" i="35"/>
  <c r="AH528" i="35"/>
  <c r="Y529" i="35"/>
  <c r="U529" i="35"/>
  <c r="R529" i="35"/>
  <c r="AI529" i="35"/>
  <c r="Y530" i="35"/>
  <c r="U530" i="35"/>
  <c r="AI523" i="35"/>
  <c r="R528" i="35"/>
  <c r="R530" i="35"/>
  <c r="AJ525" i="35"/>
  <c r="AJ527" i="35"/>
  <c r="AJ528" i="35"/>
  <c r="AJ529" i="35"/>
  <c r="AJ530" i="35"/>
  <c r="Y500" i="35"/>
  <c r="U500" i="35"/>
  <c r="AI500" i="35"/>
  <c r="Y501" i="35"/>
  <c r="U501" i="35"/>
  <c r="AI501" i="35"/>
  <c r="Y502" i="35"/>
  <c r="U502" i="35"/>
  <c r="AI502" i="35"/>
  <c r="AH502" i="35"/>
  <c r="Y503" i="35"/>
  <c r="U503" i="35"/>
  <c r="AH503" i="35"/>
  <c r="Y504" i="35"/>
  <c r="U504" i="35"/>
  <c r="AI504" i="35"/>
  <c r="U505" i="35"/>
  <c r="U507" i="35"/>
  <c r="AI503" i="35"/>
  <c r="AJ501" i="35"/>
  <c r="AJ502" i="35"/>
  <c r="AJ503" i="35"/>
  <c r="AJ505" i="35"/>
  <c r="AJ506" i="35"/>
  <c r="AJ507" i="35"/>
  <c r="Y477" i="35"/>
  <c r="U477" i="35"/>
  <c r="AH477" i="35"/>
  <c r="AI477" i="35"/>
  <c r="Y478" i="35"/>
  <c r="U478" i="35"/>
  <c r="AH478" i="35"/>
  <c r="Y479" i="35"/>
  <c r="U479" i="35"/>
  <c r="AH479" i="35"/>
  <c r="AI479" i="35"/>
  <c r="Y480" i="35"/>
  <c r="U480" i="35"/>
  <c r="AH480" i="35"/>
  <c r="Y481" i="35"/>
  <c r="U481" i="35"/>
  <c r="AH481" i="35"/>
  <c r="U482" i="35"/>
  <c r="AI482" i="35"/>
  <c r="U483" i="35"/>
  <c r="AH483" i="35"/>
  <c r="U484" i="35"/>
  <c r="AH484" i="35"/>
  <c r="AI478" i="35"/>
  <c r="AI480" i="35"/>
  <c r="AI483" i="35"/>
  <c r="AJ477" i="35"/>
  <c r="AJ479" i="35"/>
  <c r="AJ480" i="35"/>
  <c r="AJ481" i="35"/>
  <c r="AJ482" i="35"/>
  <c r="AJ483" i="35"/>
  <c r="AJ484" i="35"/>
  <c r="Y454" i="35"/>
  <c r="U454" i="35"/>
  <c r="AH454" i="35"/>
  <c r="Y455" i="35"/>
  <c r="U455" i="35"/>
  <c r="AI455" i="35"/>
  <c r="Y456" i="35"/>
  <c r="U456" i="35"/>
  <c r="AI456" i="35"/>
  <c r="AH456" i="35"/>
  <c r="Y457" i="35"/>
  <c r="U457" i="35"/>
  <c r="AH457" i="35"/>
  <c r="Y458" i="35"/>
  <c r="U458" i="35"/>
  <c r="AH458" i="35"/>
  <c r="U459" i="35"/>
  <c r="AI459" i="35"/>
  <c r="AH459" i="35"/>
  <c r="U460" i="35"/>
  <c r="U461" i="35"/>
  <c r="AI461" i="35"/>
  <c r="AI457" i="35"/>
  <c r="AJ456" i="35"/>
  <c r="AJ457" i="35"/>
  <c r="AJ459" i="35"/>
  <c r="AJ460" i="35"/>
  <c r="AJ461" i="35"/>
  <c r="Y32" i="35"/>
  <c r="U32" i="35"/>
  <c r="U104" i="35"/>
  <c r="Y127" i="35"/>
  <c r="U127" i="35"/>
  <c r="O127" i="35"/>
  <c r="AI127" i="35"/>
  <c r="Y150" i="35"/>
  <c r="Y33" i="35"/>
  <c r="U33" i="35"/>
  <c r="Y105" i="35"/>
  <c r="Y128" i="35"/>
  <c r="U128" i="35"/>
  <c r="Y151" i="35"/>
  <c r="V151" i="35"/>
  <c r="Y34" i="35"/>
  <c r="U34" i="35"/>
  <c r="Y106" i="35"/>
  <c r="U106" i="35"/>
  <c r="Y129" i="35"/>
  <c r="U129" i="35"/>
  <c r="V152" i="35"/>
  <c r="Y35" i="35"/>
  <c r="U35" i="35"/>
  <c r="Y107" i="35"/>
  <c r="U107" i="35"/>
  <c r="AH107" i="35"/>
  <c r="Y97" i="35"/>
  <c r="Y130" i="35"/>
  <c r="U130" i="35"/>
  <c r="Y153" i="35"/>
  <c r="V153" i="35"/>
  <c r="Y143" i="35"/>
  <c r="Y36" i="35"/>
  <c r="U36" i="35"/>
  <c r="Y108" i="35"/>
  <c r="U108" i="35"/>
  <c r="Y131" i="35"/>
  <c r="U131" i="35"/>
  <c r="Y154" i="35"/>
  <c r="V154" i="35"/>
  <c r="Y37" i="35"/>
  <c r="U37" i="35"/>
  <c r="AH37" i="35"/>
  <c r="Y27" i="35"/>
  <c r="Y109" i="35"/>
  <c r="U109" i="35"/>
  <c r="Y132" i="35"/>
  <c r="U132" i="35"/>
  <c r="AH132" i="35"/>
  <c r="Y155" i="35"/>
  <c r="V155" i="35"/>
  <c r="U38" i="35"/>
  <c r="U110" i="35"/>
  <c r="Y133" i="35"/>
  <c r="U133" i="35"/>
  <c r="AH133" i="35"/>
  <c r="Y156" i="35"/>
  <c r="V156" i="35"/>
  <c r="AH156" i="35"/>
  <c r="Y146" i="35"/>
  <c r="Y39" i="35"/>
  <c r="U39" i="35"/>
  <c r="Y111" i="35"/>
  <c r="U111" i="35"/>
  <c r="Y134" i="35"/>
  <c r="L65" i="20"/>
  <c r="Y157" i="35"/>
  <c r="V157" i="35"/>
  <c r="AH151" i="35"/>
  <c r="AH34" i="35"/>
  <c r="AH35" i="35"/>
  <c r="AH153" i="35"/>
  <c r="AH109" i="35"/>
  <c r="AH155" i="35"/>
  <c r="AH111" i="35"/>
  <c r="O128" i="35"/>
  <c r="AI128" i="35"/>
  <c r="O129" i="35"/>
  <c r="O130" i="35"/>
  <c r="J130" i="35"/>
  <c r="O120" i="35"/>
  <c r="O131" i="35"/>
  <c r="AI131" i="35"/>
  <c r="AJ164" i="35"/>
  <c r="AI164" i="35"/>
  <c r="J127" i="35"/>
  <c r="O117" i="35"/>
  <c r="J128" i="35"/>
  <c r="J129" i="35"/>
  <c r="J131" i="35"/>
  <c r="U117" i="35"/>
  <c r="U118" i="35"/>
  <c r="J104" i="35"/>
  <c r="O105" i="35"/>
  <c r="J105" i="35"/>
  <c r="O106" i="35"/>
  <c r="J106" i="35"/>
  <c r="AJ106" i="35"/>
  <c r="O96" i="35"/>
  <c r="O107" i="35"/>
  <c r="J107" i="34"/>
  <c r="J107" i="35"/>
  <c r="O97" i="35"/>
  <c r="O108" i="35"/>
  <c r="J108" i="35"/>
  <c r="AJ108" i="35"/>
  <c r="U98" i="35"/>
  <c r="O55" i="35"/>
  <c r="J55" i="35"/>
  <c r="O56" i="35"/>
  <c r="J56" i="35"/>
  <c r="O57" i="35"/>
  <c r="J57" i="35"/>
  <c r="O58" i="35"/>
  <c r="J58" i="35"/>
  <c r="O59" i="35"/>
  <c r="J59" i="35"/>
  <c r="U55" i="35"/>
  <c r="U56" i="35"/>
  <c r="U57" i="35"/>
  <c r="U58" i="35"/>
  <c r="U59" i="35"/>
  <c r="Y55" i="35"/>
  <c r="Y56" i="35"/>
  <c r="Y58" i="35"/>
  <c r="Y48" i="35"/>
  <c r="Y59" i="35"/>
  <c r="Y60" i="35"/>
  <c r="Y61" i="35"/>
  <c r="U61" i="35"/>
  <c r="Y62" i="35"/>
  <c r="O32" i="35"/>
  <c r="J32" i="35"/>
  <c r="AJ32" i="35"/>
  <c r="O33" i="35"/>
  <c r="J33" i="35"/>
  <c r="O34" i="35"/>
  <c r="J34" i="35"/>
  <c r="O35" i="35"/>
  <c r="J35" i="35"/>
  <c r="O25" i="35"/>
  <c r="O36" i="35"/>
  <c r="J36" i="35"/>
  <c r="U22" i="35"/>
  <c r="U23" i="35"/>
  <c r="U25" i="35"/>
  <c r="AJ163" i="35"/>
  <c r="AI163" i="35"/>
  <c r="AJ129" i="35"/>
  <c r="AJ130" i="35"/>
  <c r="AH58" i="35"/>
  <c r="AJ55" i="35"/>
  <c r="AJ35" i="35"/>
  <c r="AJ36" i="35"/>
  <c r="AR46" i="35"/>
  <c r="AR47" i="35"/>
  <c r="AR48" i="35"/>
  <c r="AR49" i="35"/>
  <c r="AR50" i="35"/>
  <c r="AR51" i="35"/>
  <c r="AR52" i="35"/>
  <c r="AW46" i="35"/>
  <c r="AW47" i="35"/>
  <c r="AW48" i="35"/>
  <c r="AW49" i="35"/>
  <c r="AW50" i="35"/>
  <c r="AW51" i="35"/>
  <c r="AW52" i="35"/>
  <c r="AW45" i="35"/>
  <c r="AR45" i="35"/>
  <c r="AR35" i="35"/>
  <c r="AR33" i="35"/>
  <c r="AR34" i="35"/>
  <c r="AR36" i="35"/>
  <c r="AR37" i="35"/>
  <c r="AR38" i="35"/>
  <c r="AR39" i="35"/>
  <c r="AR32" i="35"/>
  <c r="AW33" i="35"/>
  <c r="AW34" i="35"/>
  <c r="AW35" i="35"/>
  <c r="AW36" i="35"/>
  <c r="AW37" i="35"/>
  <c r="AW38" i="35"/>
  <c r="AW39" i="35"/>
  <c r="AW32" i="35"/>
  <c r="Y158" i="35"/>
  <c r="AH158" i="35"/>
  <c r="Y159" i="35"/>
  <c r="O355" i="35"/>
  <c r="J379" i="35"/>
  <c r="J356" i="35"/>
  <c r="O380" i="35"/>
  <c r="J380" i="35"/>
  <c r="J357" i="35"/>
  <c r="J358" i="35"/>
  <c r="O382" i="35"/>
  <c r="R383" i="35"/>
  <c r="Y359" i="35"/>
  <c r="R359" i="35"/>
  <c r="U359" i="35"/>
  <c r="U349" i="35"/>
  <c r="Y360" i="35"/>
  <c r="R360" i="35"/>
  <c r="Y384" i="35"/>
  <c r="Y361" i="35"/>
  <c r="R361" i="35"/>
  <c r="Y385" i="35"/>
  <c r="H156" i="20"/>
  <c r="R385" i="35"/>
  <c r="O378" i="35"/>
  <c r="AN370" i="35"/>
  <c r="AN350" i="35"/>
  <c r="AN351" i="35"/>
  <c r="O580" i="35"/>
  <c r="J580" i="35"/>
  <c r="AN580" i="35"/>
  <c r="O609" i="35"/>
  <c r="J609" i="35"/>
  <c r="AJ609" i="35"/>
  <c r="O581" i="35"/>
  <c r="J581" i="35"/>
  <c r="O610" i="35"/>
  <c r="J610" i="35"/>
  <c r="O582" i="35"/>
  <c r="J582" i="35"/>
  <c r="O569" i="35"/>
  <c r="AN582" i="35"/>
  <c r="O611" i="35"/>
  <c r="J611" i="35"/>
  <c r="AJ611" i="35"/>
  <c r="AN611" i="35"/>
  <c r="O583" i="35"/>
  <c r="J583" i="35"/>
  <c r="O612" i="35"/>
  <c r="J612" i="35"/>
  <c r="O599" i="35"/>
  <c r="Y584" i="35"/>
  <c r="R584" i="35"/>
  <c r="AN571" i="35"/>
  <c r="R613" i="35"/>
  <c r="Y585" i="35"/>
  <c r="R585" i="35"/>
  <c r="R614" i="35"/>
  <c r="Y586" i="35"/>
  <c r="R586" i="35"/>
  <c r="R615" i="35"/>
  <c r="O579" i="35"/>
  <c r="O608" i="35"/>
  <c r="J608" i="35"/>
  <c r="O548" i="35"/>
  <c r="AN548" i="35"/>
  <c r="H223" i="20"/>
  <c r="O549" i="35"/>
  <c r="O550" i="35"/>
  <c r="AJ550" i="35"/>
  <c r="AN550" i="35"/>
  <c r="O551" i="35"/>
  <c r="Y552" i="35"/>
  <c r="AN529" i="35"/>
  <c r="R224" i="20"/>
  <c r="R553" i="35"/>
  <c r="Y554" i="35"/>
  <c r="U554" i="35"/>
  <c r="AH554" i="35"/>
  <c r="R554" i="35"/>
  <c r="AN554" i="35"/>
  <c r="O547" i="35"/>
  <c r="AN547" i="35"/>
  <c r="O204" i="35"/>
  <c r="J204" i="35"/>
  <c r="AN204" i="35"/>
  <c r="O227" i="35"/>
  <c r="J227" i="35"/>
  <c r="AN217" i="35"/>
  <c r="O250" i="35"/>
  <c r="J250" i="35"/>
  <c r="AJ250" i="35"/>
  <c r="O205" i="35"/>
  <c r="J205" i="35"/>
  <c r="O195" i="35"/>
  <c r="O228" i="35"/>
  <c r="J228" i="35"/>
  <c r="O251" i="35"/>
  <c r="J251" i="35"/>
  <c r="AN251" i="35"/>
  <c r="O206" i="35"/>
  <c r="J206" i="35"/>
  <c r="O229" i="35"/>
  <c r="J229" i="35"/>
  <c r="O252" i="35"/>
  <c r="J252" i="35"/>
  <c r="O207" i="35"/>
  <c r="J207" i="35"/>
  <c r="AN207" i="35"/>
  <c r="O230" i="35"/>
  <c r="J230" i="35"/>
  <c r="O253" i="35"/>
  <c r="J253" i="35"/>
  <c r="Y208" i="35"/>
  <c r="R208" i="35"/>
  <c r="AN208" i="35"/>
  <c r="Y231" i="35"/>
  <c r="R231" i="35"/>
  <c r="AN221" i="35"/>
  <c r="Y254" i="35"/>
  <c r="R254" i="35"/>
  <c r="Y209" i="35"/>
  <c r="R209" i="35"/>
  <c r="AN209" i="35"/>
  <c r="Y232" i="35"/>
  <c r="R232" i="35"/>
  <c r="Y255" i="35"/>
  <c r="R255" i="35"/>
  <c r="Y233" i="35"/>
  <c r="R233" i="35"/>
  <c r="Y210" i="35"/>
  <c r="R210" i="35"/>
  <c r="AN210" i="35"/>
  <c r="Y256" i="35"/>
  <c r="R256" i="35"/>
  <c r="O203" i="35"/>
  <c r="J203" i="35"/>
  <c r="O226" i="35"/>
  <c r="J226" i="35"/>
  <c r="AJ226" i="35"/>
  <c r="O249" i="35"/>
  <c r="J249" i="35"/>
  <c r="O279" i="35"/>
  <c r="J279" i="35"/>
  <c r="AN279" i="35"/>
  <c r="O302" i="35"/>
  <c r="J302" i="35"/>
  <c r="AN302" i="35"/>
  <c r="O325" i="35"/>
  <c r="J325" i="35"/>
  <c r="O315" i="35"/>
  <c r="O280" i="35"/>
  <c r="J280" i="35"/>
  <c r="O270" i="35"/>
  <c r="O303" i="35"/>
  <c r="J303" i="35"/>
  <c r="O326" i="35"/>
  <c r="J326" i="35"/>
  <c r="O281" i="35"/>
  <c r="J281" i="35"/>
  <c r="O304" i="35"/>
  <c r="J304" i="35"/>
  <c r="O327" i="35"/>
  <c r="O282" i="35"/>
  <c r="J282" i="35"/>
  <c r="O305" i="35"/>
  <c r="J305" i="35"/>
  <c r="AN305" i="35"/>
  <c r="O328" i="35"/>
  <c r="J328" i="35"/>
  <c r="Y283" i="35"/>
  <c r="R283" i="35"/>
  <c r="Y306" i="35"/>
  <c r="R306" i="35"/>
  <c r="AN306" i="35"/>
  <c r="Y329" i="35"/>
  <c r="R329" i="35"/>
  <c r="Y284" i="35"/>
  <c r="R284" i="35"/>
  <c r="Y307" i="35"/>
  <c r="R307" i="35"/>
  <c r="Y330" i="35"/>
  <c r="R330" i="35"/>
  <c r="Y285" i="35"/>
  <c r="R285" i="35"/>
  <c r="AN285" i="35"/>
  <c r="Y308" i="35"/>
  <c r="R308" i="35"/>
  <c r="AN298" i="35"/>
  <c r="AN308" i="35"/>
  <c r="Y331" i="35"/>
  <c r="R331" i="35"/>
  <c r="AN321" i="35"/>
  <c r="O278" i="35"/>
  <c r="J278" i="35"/>
  <c r="AN268" i="35"/>
  <c r="AN278" i="35"/>
  <c r="O301" i="35"/>
  <c r="J301" i="35"/>
  <c r="AN291" i="35"/>
  <c r="O324" i="35"/>
  <c r="J324" i="35"/>
  <c r="Y432" i="35"/>
  <c r="Y431" i="35"/>
  <c r="AN431" i="35"/>
  <c r="Y430" i="35"/>
  <c r="U430" i="35"/>
  <c r="AH430" i="35"/>
  <c r="AN429" i="35"/>
  <c r="AN428" i="35"/>
  <c r="AN427" i="35"/>
  <c r="AN426" i="35"/>
  <c r="AN425" i="35"/>
  <c r="Y409" i="35"/>
  <c r="AN409" i="35"/>
  <c r="Y408" i="35"/>
  <c r="AN408" i="35"/>
  <c r="Y407" i="35"/>
  <c r="AN407" i="35"/>
  <c r="AN406" i="35"/>
  <c r="AN405" i="35"/>
  <c r="AN404" i="35"/>
  <c r="AN403" i="35"/>
  <c r="AN402" i="35"/>
  <c r="AN200" i="35"/>
  <c r="AN246" i="35"/>
  <c r="AN220" i="35"/>
  <c r="AN196" i="35"/>
  <c r="AN241" i="35"/>
  <c r="AN194" i="35"/>
  <c r="AN269" i="35"/>
  <c r="AN295" i="35"/>
  <c r="AN319" i="35"/>
  <c r="AN297" i="35"/>
  <c r="H455" i="35"/>
  <c r="H478" i="35"/>
  <c r="AN468" i="35"/>
  <c r="H501" i="35"/>
  <c r="AN491" i="35"/>
  <c r="H524" i="35"/>
  <c r="H548" i="35"/>
  <c r="AN538" i="35"/>
  <c r="H456" i="35"/>
  <c r="H479" i="35"/>
  <c r="AN469" i="35"/>
  <c r="H502" i="35"/>
  <c r="AN492" i="35"/>
  <c r="H525" i="35"/>
  <c r="AN515" i="35"/>
  <c r="H549" i="35"/>
  <c r="H457" i="35"/>
  <c r="AN447" i="35"/>
  <c r="H480" i="35"/>
  <c r="H503" i="35"/>
  <c r="AN493" i="35"/>
  <c r="H526" i="35"/>
  <c r="AN516" i="35"/>
  <c r="H550" i="35"/>
  <c r="H458" i="35"/>
  <c r="H481" i="35"/>
  <c r="AN471" i="35"/>
  <c r="H504" i="35"/>
  <c r="AN494" i="35"/>
  <c r="H527" i="35"/>
  <c r="H551" i="35"/>
  <c r="AN449" i="35"/>
  <c r="AN472" i="35"/>
  <c r="AN495" i="35"/>
  <c r="AN450" i="35"/>
  <c r="AN473" i="35"/>
  <c r="AN519" i="35"/>
  <c r="AN451" i="35"/>
  <c r="AN474" i="35"/>
  <c r="AN497" i="35"/>
  <c r="H454" i="35"/>
  <c r="H500" i="35"/>
  <c r="AN490" i="35"/>
  <c r="H523" i="35"/>
  <c r="AN513" i="35"/>
  <c r="AN567" i="35"/>
  <c r="AN569" i="35"/>
  <c r="AN598" i="35"/>
  <c r="AO569" i="35"/>
  <c r="U432" i="35"/>
  <c r="U431" i="35"/>
  <c r="Y420" i="35"/>
  <c r="AN420" i="35"/>
  <c r="Y429" i="35"/>
  <c r="U429" i="35"/>
  <c r="AI429" i="35"/>
  <c r="Y419" i="35"/>
  <c r="AN419" i="35"/>
  <c r="Y428" i="35"/>
  <c r="U428" i="35"/>
  <c r="Y418" i="35"/>
  <c r="AN418" i="35"/>
  <c r="Y427" i="35"/>
  <c r="U427" i="35"/>
  <c r="AI427" i="35"/>
  <c r="Y426" i="35"/>
  <c r="U426" i="35"/>
  <c r="AI426" i="35"/>
  <c r="Y425" i="35"/>
  <c r="U425" i="35"/>
  <c r="AI425" i="35"/>
  <c r="Y403" i="35"/>
  <c r="U403" i="35"/>
  <c r="Y404" i="35"/>
  <c r="U404" i="35"/>
  <c r="AI404" i="35"/>
  <c r="Y405" i="35"/>
  <c r="U405" i="35"/>
  <c r="AI405" i="35"/>
  <c r="Y395" i="35"/>
  <c r="AN395" i="35"/>
  <c r="Y406" i="35"/>
  <c r="U406" i="35"/>
  <c r="AI406" i="35"/>
  <c r="Y396" i="35"/>
  <c r="AN396" i="35"/>
  <c r="U408" i="35"/>
  <c r="U409" i="35"/>
  <c r="Y402" i="35"/>
  <c r="U402" i="35"/>
  <c r="AH402" i="35"/>
  <c r="U354" i="35"/>
  <c r="AJ402" i="35"/>
  <c r="AJ425" i="35"/>
  <c r="U355" i="35"/>
  <c r="AJ403" i="35"/>
  <c r="AJ426" i="35"/>
  <c r="U356" i="35"/>
  <c r="U380" i="35"/>
  <c r="AJ404" i="35"/>
  <c r="AJ427" i="35"/>
  <c r="U357" i="35"/>
  <c r="AJ405" i="35"/>
  <c r="AJ428" i="35"/>
  <c r="U358" i="35"/>
  <c r="U382" i="35"/>
  <c r="AJ406" i="35"/>
  <c r="AJ429" i="35"/>
  <c r="AJ359" i="35"/>
  <c r="AJ383" i="35"/>
  <c r="AJ407" i="35"/>
  <c r="AJ430" i="35"/>
  <c r="U360" i="35"/>
  <c r="U384" i="35"/>
  <c r="AJ360" i="35"/>
  <c r="AJ384" i="35"/>
  <c r="AJ408" i="35"/>
  <c r="AJ431" i="35"/>
  <c r="AM360" i="35"/>
  <c r="U361" i="35"/>
  <c r="U385" i="35"/>
  <c r="AJ361" i="35"/>
  <c r="AJ385" i="35"/>
  <c r="AJ409" i="35"/>
  <c r="AJ432" i="35"/>
  <c r="AI362" i="35"/>
  <c r="AI386" i="35"/>
  <c r="AI410" i="35"/>
  <c r="AI433" i="35"/>
  <c r="AL362" i="35"/>
  <c r="AJ362" i="35"/>
  <c r="AJ386" i="35"/>
  <c r="AJ410" i="35"/>
  <c r="AJ433" i="35"/>
  <c r="AM362" i="35"/>
  <c r="AI363" i="35"/>
  <c r="AI387" i="35"/>
  <c r="AI411" i="35"/>
  <c r="AI434" i="35"/>
  <c r="AL363" i="35"/>
  <c r="AJ363" i="35"/>
  <c r="AJ387" i="35"/>
  <c r="AJ411" i="35"/>
  <c r="AJ434" i="35"/>
  <c r="Y355" i="35"/>
  <c r="AH355" i="35"/>
  <c r="Y379" i="35"/>
  <c r="Y356" i="35"/>
  <c r="Y380" i="35"/>
  <c r="Y381" i="35"/>
  <c r="Y357" i="35"/>
  <c r="AH357" i="35"/>
  <c r="Y382" i="35"/>
  <c r="Y358" i="35"/>
  <c r="AH429" i="35"/>
  <c r="Y362" i="35"/>
  <c r="AH362" i="35"/>
  <c r="Y386" i="35"/>
  <c r="AH386" i="35"/>
  <c r="Y410" i="35"/>
  <c r="AH410" i="35"/>
  <c r="Y433" i="35"/>
  <c r="AH433" i="35"/>
  <c r="Y387" i="35"/>
  <c r="AH387" i="35"/>
  <c r="Y411" i="35"/>
  <c r="AH411" i="35"/>
  <c r="Y434" i="35"/>
  <c r="AH434" i="35"/>
  <c r="Y354" i="35"/>
  <c r="Y378" i="35"/>
  <c r="U579" i="35"/>
  <c r="AI579" i="35"/>
  <c r="U608" i="35"/>
  <c r="U595" i="35"/>
  <c r="AI608" i="35"/>
  <c r="AL579" i="35"/>
  <c r="U580" i="35"/>
  <c r="AI580" i="35"/>
  <c r="U609" i="35"/>
  <c r="U596" i="35"/>
  <c r="AI609" i="35"/>
  <c r="AJ580" i="35"/>
  <c r="AM580" i="35"/>
  <c r="U581" i="35"/>
  <c r="U610" i="35"/>
  <c r="Y597" i="35"/>
  <c r="U582" i="35"/>
  <c r="U611" i="35"/>
  <c r="U598" i="35"/>
  <c r="AJ582" i="35"/>
  <c r="AM582" i="35"/>
  <c r="U583" i="35"/>
  <c r="U612" i="35"/>
  <c r="AI612" i="35"/>
  <c r="U584" i="35"/>
  <c r="U613" i="35"/>
  <c r="AJ584" i="35"/>
  <c r="AJ613" i="35"/>
  <c r="AM584" i="35"/>
  <c r="U585" i="35"/>
  <c r="U614" i="35"/>
  <c r="AJ585" i="35"/>
  <c r="AJ614" i="35"/>
  <c r="AM585" i="35"/>
  <c r="U586" i="35"/>
  <c r="AH586" i="35"/>
  <c r="U615" i="35"/>
  <c r="AJ586" i="35"/>
  <c r="AJ615" i="35"/>
  <c r="AM586" i="35"/>
  <c r="AI587" i="35"/>
  <c r="AI616" i="35"/>
  <c r="AJ587" i="35"/>
  <c r="AJ616" i="35"/>
  <c r="AM587" i="35"/>
  <c r="AI588" i="35"/>
  <c r="AI617" i="35"/>
  <c r="AL588" i="35"/>
  <c r="AJ588" i="35"/>
  <c r="AJ617" i="35"/>
  <c r="AM588" i="35"/>
  <c r="U589" i="35"/>
  <c r="O589" i="35"/>
  <c r="AI589" i="35"/>
  <c r="U618" i="35"/>
  <c r="O618" i="35"/>
  <c r="AI618" i="35"/>
  <c r="J589" i="35"/>
  <c r="AJ589" i="35"/>
  <c r="J618" i="35"/>
  <c r="U590" i="35"/>
  <c r="O590" i="35"/>
  <c r="U619" i="35"/>
  <c r="O619" i="35"/>
  <c r="J590" i="35"/>
  <c r="AJ590" i="35"/>
  <c r="J619" i="35"/>
  <c r="P236" i="20"/>
  <c r="Y596" i="35"/>
  <c r="AH609" i="35"/>
  <c r="Y581" i="35"/>
  <c r="Y582" i="35"/>
  <c r="AH612" i="35"/>
  <c r="Y583" i="35"/>
  <c r="AH583" i="35"/>
  <c r="AK583" i="35"/>
  <c r="AH613" i="35"/>
  <c r="AH585" i="35"/>
  <c r="Y587" i="35"/>
  <c r="AH587" i="35"/>
  <c r="Y588" i="35"/>
  <c r="AH588" i="35"/>
  <c r="AH617" i="35"/>
  <c r="AK588" i="35"/>
  <c r="Y589" i="35"/>
  <c r="AH589" i="35"/>
  <c r="Y590" i="35"/>
  <c r="Y577" i="35"/>
  <c r="Y579" i="35"/>
  <c r="AH579" i="35"/>
  <c r="U547" i="35"/>
  <c r="U537" i="35"/>
  <c r="AI547" i="35"/>
  <c r="AJ547" i="35"/>
  <c r="U548" i="35"/>
  <c r="AJ548" i="35"/>
  <c r="U549" i="35"/>
  <c r="U550" i="35"/>
  <c r="AI550" i="35"/>
  <c r="U551" i="35"/>
  <c r="AJ551" i="35"/>
  <c r="U552" i="35"/>
  <c r="AJ552" i="35"/>
  <c r="AM459" i="35"/>
  <c r="U553" i="35"/>
  <c r="AJ553" i="35"/>
  <c r="AM460" i="35"/>
  <c r="AI554" i="35"/>
  <c r="AJ554" i="35"/>
  <c r="AM461" i="35"/>
  <c r="AI462" i="35"/>
  <c r="AI485" i="35"/>
  <c r="AI508" i="35"/>
  <c r="AI531" i="35"/>
  <c r="AI555" i="35"/>
  <c r="AJ462" i="35"/>
  <c r="AJ485" i="35"/>
  <c r="AJ508" i="35"/>
  <c r="AJ531" i="35"/>
  <c r="AJ555" i="35"/>
  <c r="AM462" i="35"/>
  <c r="AI463" i="35"/>
  <c r="AI486" i="35"/>
  <c r="AI509" i="35"/>
  <c r="AI532" i="35"/>
  <c r="AI556" i="35"/>
  <c r="AJ463" i="35"/>
  <c r="AJ486" i="35"/>
  <c r="AJ509" i="35"/>
  <c r="AJ532" i="35"/>
  <c r="AJ556" i="35"/>
  <c r="AM463" i="35"/>
  <c r="Y548" i="35"/>
  <c r="Y549" i="35"/>
  <c r="Y550" i="35"/>
  <c r="AH550" i="35"/>
  <c r="Y551" i="35"/>
  <c r="Y462" i="35"/>
  <c r="AH462" i="35"/>
  <c r="Y485" i="35"/>
  <c r="Y531" i="35"/>
  <c r="Y555" i="35"/>
  <c r="AH555" i="35"/>
  <c r="Y486" i="35"/>
  <c r="AH486" i="35"/>
  <c r="Y509" i="35"/>
  <c r="AH509" i="35"/>
  <c r="Y532" i="35"/>
  <c r="AH532" i="35"/>
  <c r="Y556" i="35"/>
  <c r="AH556" i="35"/>
  <c r="U278" i="35"/>
  <c r="AI278" i="35"/>
  <c r="U301" i="35"/>
  <c r="AI301" i="35"/>
  <c r="U324" i="35"/>
  <c r="AI324" i="35"/>
  <c r="AJ324" i="35"/>
  <c r="U302" i="35"/>
  <c r="AI302" i="35"/>
  <c r="U325" i="35"/>
  <c r="AI325" i="35"/>
  <c r="AJ279" i="35"/>
  <c r="U280" i="35"/>
  <c r="U303" i="35"/>
  <c r="AI303" i="35"/>
  <c r="U326" i="35"/>
  <c r="AJ280" i="35"/>
  <c r="AJ303" i="35"/>
  <c r="U281" i="35"/>
  <c r="U304" i="35"/>
  <c r="AI304" i="35"/>
  <c r="AJ281" i="35"/>
  <c r="U282" i="35"/>
  <c r="U305" i="35"/>
  <c r="AI305" i="35"/>
  <c r="U328" i="35"/>
  <c r="U283" i="35"/>
  <c r="U306" i="35"/>
  <c r="U329" i="35"/>
  <c r="AI329" i="35"/>
  <c r="AJ283" i="35"/>
  <c r="AJ306" i="35"/>
  <c r="AJ329" i="35"/>
  <c r="AM283" i="35"/>
  <c r="U284" i="35"/>
  <c r="AI284" i="35"/>
  <c r="U330" i="35"/>
  <c r="AI330" i="35"/>
  <c r="AJ284" i="35"/>
  <c r="AJ307" i="35"/>
  <c r="AJ330" i="35"/>
  <c r="AM284" i="35"/>
  <c r="U285" i="35"/>
  <c r="U308" i="35"/>
  <c r="AH308" i="35"/>
  <c r="AI308" i="35"/>
  <c r="U331" i="35"/>
  <c r="AJ285" i="35"/>
  <c r="AJ308" i="35"/>
  <c r="AJ331" i="35"/>
  <c r="AM285" i="35"/>
  <c r="AI286" i="35"/>
  <c r="AI309" i="35"/>
  <c r="AI332" i="35"/>
  <c r="AL286" i="35"/>
  <c r="AJ286" i="35"/>
  <c r="AJ309" i="35"/>
  <c r="AJ332" i="35"/>
  <c r="AM286" i="35"/>
  <c r="AI287" i="35"/>
  <c r="AI310" i="35"/>
  <c r="AI333" i="35"/>
  <c r="AL287" i="35"/>
  <c r="AJ287" i="35"/>
  <c r="AJ310" i="35"/>
  <c r="AJ333" i="35"/>
  <c r="AM287" i="35"/>
  <c r="Y279" i="35"/>
  <c r="Y302" i="35"/>
  <c r="AH302" i="35"/>
  <c r="Y325" i="35"/>
  <c r="AH325" i="35"/>
  <c r="Y280" i="35"/>
  <c r="Y303" i="35"/>
  <c r="AH303" i="35"/>
  <c r="Y326" i="35"/>
  <c r="AH326" i="35"/>
  <c r="Y327" i="35"/>
  <c r="Y281" i="35"/>
  <c r="Y304" i="35"/>
  <c r="Y282" i="35"/>
  <c r="Y305" i="35"/>
  <c r="AH305" i="35"/>
  <c r="Y328" i="35"/>
  <c r="AH328" i="35"/>
  <c r="AH283" i="35"/>
  <c r="AH330" i="35"/>
  <c r="AH331" i="35"/>
  <c r="Y286" i="35"/>
  <c r="AH286" i="35"/>
  <c r="Y309" i="35"/>
  <c r="AH309" i="35"/>
  <c r="Y332" i="35"/>
  <c r="AH332" i="35"/>
  <c r="Y287" i="35"/>
  <c r="AH287" i="35"/>
  <c r="Y310" i="35"/>
  <c r="AH310" i="35"/>
  <c r="Y333" i="35"/>
  <c r="AH333" i="35"/>
  <c r="AK287" i="35"/>
  <c r="Y301" i="35"/>
  <c r="AH301" i="35"/>
  <c r="Y324" i="35"/>
  <c r="Y278" i="35"/>
  <c r="Y268" i="35"/>
  <c r="Y291" i="35"/>
  <c r="Y314" i="35"/>
  <c r="Y41" i="46"/>
  <c r="AH278" i="35"/>
  <c r="U203" i="35"/>
  <c r="U226" i="35"/>
  <c r="AI226" i="35"/>
  <c r="U249" i="35"/>
  <c r="AI249" i="35"/>
  <c r="AJ249" i="35"/>
  <c r="U204" i="35"/>
  <c r="U227" i="35"/>
  <c r="U250" i="35"/>
  <c r="AJ204" i="35"/>
  <c r="AJ227" i="35"/>
  <c r="AM204" i="35"/>
  <c r="U205" i="35"/>
  <c r="U228" i="35"/>
  <c r="U251" i="35"/>
  <c r="AI251" i="35"/>
  <c r="AJ205" i="35"/>
  <c r="AJ251" i="35"/>
  <c r="U206" i="35"/>
  <c r="AI206" i="35"/>
  <c r="U229" i="35"/>
  <c r="AI229" i="35"/>
  <c r="U252" i="35"/>
  <c r="AI252" i="35"/>
  <c r="AJ252" i="35"/>
  <c r="U207" i="35"/>
  <c r="U230" i="35"/>
  <c r="AI230" i="35"/>
  <c r="U253" i="35"/>
  <c r="AI253" i="35"/>
  <c r="U208" i="35"/>
  <c r="U231" i="35"/>
  <c r="U254" i="35"/>
  <c r="AI254" i="35"/>
  <c r="AJ208" i="35"/>
  <c r="AJ231" i="35"/>
  <c r="AJ254" i="35"/>
  <c r="U209" i="35"/>
  <c r="U199" i="35"/>
  <c r="AI209" i="35"/>
  <c r="U232" i="35"/>
  <c r="AI232" i="35"/>
  <c r="U255" i="35"/>
  <c r="AI255" i="35"/>
  <c r="AJ209" i="35"/>
  <c r="AJ232" i="35"/>
  <c r="AJ255" i="35"/>
  <c r="AM209" i="35"/>
  <c r="U210" i="35"/>
  <c r="AI210" i="35"/>
  <c r="U233" i="35"/>
  <c r="AI233" i="35"/>
  <c r="U256" i="35"/>
  <c r="AJ210" i="35"/>
  <c r="AJ233" i="35"/>
  <c r="AJ256" i="35"/>
  <c r="AI211" i="35"/>
  <c r="AI234" i="35"/>
  <c r="AI257" i="35"/>
  <c r="AJ211" i="35"/>
  <c r="AJ234" i="35"/>
  <c r="AJ257" i="35"/>
  <c r="AM211" i="35"/>
  <c r="AI212" i="35"/>
  <c r="AI235" i="35"/>
  <c r="AI258" i="35"/>
  <c r="AL212" i="35"/>
  <c r="AJ212" i="35"/>
  <c r="AJ235" i="35"/>
  <c r="AJ258" i="35"/>
  <c r="Y204" i="35"/>
  <c r="Y194" i="35"/>
  <c r="AH204" i="35"/>
  <c r="Y227" i="35"/>
  <c r="Y251" i="35"/>
  <c r="Y205" i="35"/>
  <c r="Y228" i="35"/>
  <c r="AH228" i="35"/>
  <c r="Y206" i="35"/>
  <c r="Y196" i="35"/>
  <c r="Y229" i="35"/>
  <c r="AH229" i="35"/>
  <c r="Y252" i="35"/>
  <c r="AH252" i="35"/>
  <c r="Y207" i="35"/>
  <c r="Y253" i="35"/>
  <c r="AH253" i="35"/>
  <c r="AH209" i="35"/>
  <c r="Y211" i="35"/>
  <c r="AH211" i="35"/>
  <c r="Y234" i="35"/>
  <c r="AH234" i="35"/>
  <c r="Y257" i="35"/>
  <c r="AH257" i="35"/>
  <c r="Y212" i="35"/>
  <c r="AH212" i="35"/>
  <c r="Y235" i="35"/>
  <c r="AH235" i="35"/>
  <c r="Y258" i="35"/>
  <c r="AH258" i="35"/>
  <c r="AK212" i="35"/>
  <c r="Y203" i="35"/>
  <c r="Y249" i="35"/>
  <c r="AH249" i="35"/>
  <c r="Y226" i="35"/>
  <c r="R39" i="35"/>
  <c r="AI39" i="35"/>
  <c r="R38" i="35"/>
  <c r="AI38" i="35"/>
  <c r="R37" i="35"/>
  <c r="R62" i="35"/>
  <c r="R61" i="35"/>
  <c r="R60" i="34"/>
  <c r="L45" i="20"/>
  <c r="U86" i="35"/>
  <c r="R86" i="35"/>
  <c r="AI86" i="35"/>
  <c r="R85" i="35"/>
  <c r="U84" i="35"/>
  <c r="R84" i="35"/>
  <c r="U74" i="35"/>
  <c r="R110" i="35"/>
  <c r="AI110" i="35"/>
  <c r="R109" i="35"/>
  <c r="AI109" i="35"/>
  <c r="R133" i="35"/>
  <c r="U181" i="35"/>
  <c r="R181" i="35"/>
  <c r="U180" i="35"/>
  <c r="R180" i="35"/>
  <c r="U179" i="35"/>
  <c r="R179" i="35"/>
  <c r="AJ465" i="35"/>
  <c r="AJ488" i="35"/>
  <c r="AJ511" i="35"/>
  <c r="AJ534" i="35"/>
  <c r="AJ558" i="35"/>
  <c r="AM465" i="35"/>
  <c r="AJ464" i="35"/>
  <c r="AJ487" i="35"/>
  <c r="AJ510" i="35"/>
  <c r="AJ533" i="35"/>
  <c r="AJ557" i="35"/>
  <c r="AM464" i="35"/>
  <c r="AJ365" i="35"/>
  <c r="AJ389" i="35"/>
  <c r="AJ413" i="35"/>
  <c r="AJ436" i="35"/>
  <c r="AM365" i="35"/>
  <c r="AJ364" i="35"/>
  <c r="AJ388" i="35"/>
  <c r="AJ412" i="35"/>
  <c r="AJ435" i="35"/>
  <c r="AM364" i="35"/>
  <c r="AI465" i="35"/>
  <c r="AI488" i="35"/>
  <c r="AI511" i="35"/>
  <c r="AI534" i="35"/>
  <c r="AI558" i="35"/>
  <c r="AI464" i="35"/>
  <c r="AI487" i="35"/>
  <c r="AI510" i="35"/>
  <c r="AI533" i="35"/>
  <c r="AI557" i="35"/>
  <c r="AL464" i="35"/>
  <c r="AI365" i="35"/>
  <c r="AI389" i="35"/>
  <c r="AI413" i="35"/>
  <c r="AI436" i="35"/>
  <c r="AI364" i="35"/>
  <c r="AI388" i="35"/>
  <c r="AI412" i="35"/>
  <c r="AI435" i="35"/>
  <c r="AL364" i="35"/>
  <c r="AH464" i="35"/>
  <c r="AH487" i="35"/>
  <c r="AH510" i="35"/>
  <c r="AH533" i="35"/>
  <c r="AH557" i="35"/>
  <c r="AK464" i="35"/>
  <c r="AH465" i="35"/>
  <c r="AH488" i="35"/>
  <c r="AH511" i="35"/>
  <c r="AH534" i="35"/>
  <c r="AH558" i="35"/>
  <c r="AK465" i="35"/>
  <c r="AH364" i="35"/>
  <c r="AH388" i="35"/>
  <c r="AH412" i="35"/>
  <c r="AH435" i="35"/>
  <c r="AK364" i="35"/>
  <c r="AH365" i="35"/>
  <c r="AH389" i="35"/>
  <c r="AH413" i="35"/>
  <c r="AH436" i="35"/>
  <c r="AK365" i="35"/>
  <c r="AJ593" i="35"/>
  <c r="AJ592" i="35"/>
  <c r="AJ335" i="35"/>
  <c r="AJ334" i="35"/>
  <c r="AJ312" i="35"/>
  <c r="AJ311" i="35"/>
  <c r="AJ289" i="35"/>
  <c r="AJ288" i="35"/>
  <c r="AJ260" i="35"/>
  <c r="AJ259" i="35"/>
  <c r="AJ237" i="35"/>
  <c r="AJ236" i="35"/>
  <c r="AJ214" i="35"/>
  <c r="AJ213" i="35"/>
  <c r="AJ183" i="35"/>
  <c r="AJ182" i="35"/>
  <c r="AJ181" i="35"/>
  <c r="AJ180" i="35"/>
  <c r="AJ179" i="35"/>
  <c r="O178" i="35"/>
  <c r="O177" i="35"/>
  <c r="J177" i="35"/>
  <c r="AJ177" i="35"/>
  <c r="O176" i="34"/>
  <c r="O176" i="35"/>
  <c r="J176" i="35"/>
  <c r="J81" i="20"/>
  <c r="F80" i="20"/>
  <c r="O174" i="34"/>
  <c r="O174" i="35"/>
  <c r="AJ136" i="35"/>
  <c r="AJ135" i="35"/>
  <c r="AJ134" i="35"/>
  <c r="AJ133" i="35"/>
  <c r="AJ132" i="35"/>
  <c r="AJ113" i="35"/>
  <c r="AJ112" i="35"/>
  <c r="AJ111" i="35"/>
  <c r="AJ110" i="35"/>
  <c r="AJ109" i="35"/>
  <c r="AJ88" i="35"/>
  <c r="AJ87" i="35"/>
  <c r="AJ86" i="35"/>
  <c r="AJ85" i="35"/>
  <c r="AJ84" i="35"/>
  <c r="O83" i="35"/>
  <c r="J83" i="35"/>
  <c r="AJ83" i="35"/>
  <c r="J82" i="35"/>
  <c r="O81" i="35"/>
  <c r="J81" i="35"/>
  <c r="AJ81" i="35"/>
  <c r="H44" i="20"/>
  <c r="O80" i="35"/>
  <c r="J80" i="34"/>
  <c r="O79" i="35"/>
  <c r="J79" i="34"/>
  <c r="E41" i="20"/>
  <c r="AJ64" i="35"/>
  <c r="AJ63" i="35"/>
  <c r="AJ62" i="35"/>
  <c r="AJ61" i="35"/>
  <c r="AJ60" i="35"/>
  <c r="AJ41" i="35"/>
  <c r="AJ40" i="35"/>
  <c r="AJ39" i="35"/>
  <c r="AJ38" i="35"/>
  <c r="AJ37" i="35"/>
  <c r="AI593" i="35"/>
  <c r="AI592" i="35"/>
  <c r="AI335" i="35"/>
  <c r="AI334" i="35"/>
  <c r="AI312" i="35"/>
  <c r="AI311" i="35"/>
  <c r="AI289" i="35"/>
  <c r="AI288" i="35"/>
  <c r="AI260" i="35"/>
  <c r="AI259" i="35"/>
  <c r="AI237" i="35"/>
  <c r="AI236" i="35"/>
  <c r="AI214" i="35"/>
  <c r="AI213" i="35"/>
  <c r="AI183" i="35"/>
  <c r="AI182" i="35"/>
  <c r="N81" i="20"/>
  <c r="U176" i="35"/>
  <c r="O81" i="20"/>
  <c r="U174" i="35"/>
  <c r="AI136" i="35"/>
  <c r="AI135" i="35"/>
  <c r="AI113" i="35"/>
  <c r="AI112" i="35"/>
  <c r="AI88" i="35"/>
  <c r="AI87" i="35"/>
  <c r="U83" i="34"/>
  <c r="U83" i="35"/>
  <c r="U82" i="35"/>
  <c r="U81" i="34"/>
  <c r="U81" i="35"/>
  <c r="AI81" i="35"/>
  <c r="U80" i="34"/>
  <c r="U80" i="35"/>
  <c r="AI80" i="35"/>
  <c r="AI64" i="35"/>
  <c r="AI63" i="35"/>
  <c r="AI41" i="35"/>
  <c r="AI40" i="35"/>
  <c r="Y41" i="35"/>
  <c r="Y63" i="35"/>
  <c r="AH63" i="35"/>
  <c r="Y88" i="35"/>
  <c r="AH88" i="35"/>
  <c r="Y87" i="35"/>
  <c r="AH87" i="35"/>
  <c r="Y86" i="35"/>
  <c r="Y84" i="34"/>
  <c r="Y84" i="35"/>
  <c r="AH84" i="35"/>
  <c r="Y83" i="35"/>
  <c r="AH83" i="35"/>
  <c r="P44" i="20"/>
  <c r="Y82" i="35"/>
  <c r="Y81" i="35"/>
  <c r="Y80" i="35"/>
  <c r="Y79" i="35"/>
  <c r="Y113" i="35"/>
  <c r="Y112" i="35"/>
  <c r="Y136" i="35"/>
  <c r="AC136" i="35"/>
  <c r="AC126" i="35"/>
  <c r="AH136" i="35"/>
  <c r="Y135" i="35"/>
  <c r="Y183" i="34"/>
  <c r="Y183" i="35"/>
  <c r="AH183" i="35"/>
  <c r="Y182" i="34"/>
  <c r="Y182" i="35"/>
  <c r="AH182" i="35"/>
  <c r="Y180" i="35"/>
  <c r="Y179" i="35"/>
  <c r="Y177" i="35"/>
  <c r="Y176" i="35"/>
  <c r="Y591" i="35"/>
  <c r="U591" i="35"/>
  <c r="O591" i="35"/>
  <c r="J591" i="35"/>
  <c r="O578" i="35"/>
  <c r="AH593" i="35"/>
  <c r="AH592" i="35"/>
  <c r="AH335" i="35"/>
  <c r="AH334" i="35"/>
  <c r="AH312" i="35"/>
  <c r="AH311" i="35"/>
  <c r="AH289" i="35"/>
  <c r="AH288" i="35"/>
  <c r="AH260" i="35"/>
  <c r="AH259" i="35"/>
  <c r="AH237" i="35"/>
  <c r="AH236" i="35"/>
  <c r="AH214" i="35"/>
  <c r="AH213" i="35"/>
  <c r="O370" i="35"/>
  <c r="AC591" i="35"/>
  <c r="AC578" i="35"/>
  <c r="AC590" i="35"/>
  <c r="AC577" i="35"/>
  <c r="AC88" i="46"/>
  <c r="AC589" i="35"/>
  <c r="AC576" i="35"/>
  <c r="AC87" i="46"/>
  <c r="AC588" i="35"/>
  <c r="AC575" i="35"/>
  <c r="AC86" i="46"/>
  <c r="AC587" i="35"/>
  <c r="AC586" i="35"/>
  <c r="AC573" i="35"/>
  <c r="AC84" i="46"/>
  <c r="AC585" i="35"/>
  <c r="AC572" i="35"/>
  <c r="AC584" i="35"/>
  <c r="AC571" i="35"/>
  <c r="AC82" i="46"/>
  <c r="AC583" i="35"/>
  <c r="AC570" i="35"/>
  <c r="AC81" i="46"/>
  <c r="AC582" i="35"/>
  <c r="AC569" i="35"/>
  <c r="AC80" i="46"/>
  <c r="AC581" i="35"/>
  <c r="AC568" i="35"/>
  <c r="AC79" i="46"/>
  <c r="AC580" i="35"/>
  <c r="AC579" i="35"/>
  <c r="U620" i="35"/>
  <c r="Y607" i="35"/>
  <c r="Y576" i="35"/>
  <c r="Y605" i="35"/>
  <c r="Y87" i="46"/>
  <c r="Y573" i="35"/>
  <c r="Y570" i="35"/>
  <c r="Y599" i="35"/>
  <c r="Y81" i="46"/>
  <c r="O620" i="35"/>
  <c r="U607" i="35"/>
  <c r="U576" i="35"/>
  <c r="U605" i="35"/>
  <c r="U87" i="46"/>
  <c r="U599" i="35"/>
  <c r="U567" i="35"/>
  <c r="U78" i="46"/>
  <c r="U566" i="35"/>
  <c r="U77" i="46"/>
  <c r="J620" i="35"/>
  <c r="O576" i="35"/>
  <c r="O605" i="35"/>
  <c r="O87" i="46"/>
  <c r="O570" i="35"/>
  <c r="O81" i="46"/>
  <c r="O598" i="35"/>
  <c r="O80" i="46"/>
  <c r="O567" i="35"/>
  <c r="O596" i="35"/>
  <c r="O78" i="46"/>
  <c r="O595" i="35"/>
  <c r="AC463" i="35"/>
  <c r="AC486" i="35"/>
  <c r="AC476" i="35"/>
  <c r="AC509" i="35"/>
  <c r="AC499" i="35"/>
  <c r="AC532" i="35"/>
  <c r="AC522" i="35"/>
  <c r="AC556" i="35"/>
  <c r="AC485" i="35"/>
  <c r="AC508" i="35"/>
  <c r="AC531" i="35"/>
  <c r="AC555" i="35"/>
  <c r="AC545" i="35"/>
  <c r="AC461" i="35"/>
  <c r="AC451" i="35"/>
  <c r="AC484" i="35"/>
  <c r="AC474" i="35"/>
  <c r="AC507" i="35"/>
  <c r="AC497" i="35"/>
  <c r="AC530" i="35"/>
  <c r="AC520" i="35"/>
  <c r="AC460" i="35"/>
  <c r="AC450" i="35"/>
  <c r="AC483" i="35"/>
  <c r="AC473" i="35"/>
  <c r="AC506" i="35"/>
  <c r="AC496" i="35"/>
  <c r="AC529" i="35"/>
  <c r="AC519" i="35"/>
  <c r="AC553" i="35"/>
  <c r="AC459" i="35"/>
  <c r="AC449" i="35"/>
  <c r="AC505" i="35"/>
  <c r="AC495" i="35"/>
  <c r="AC528" i="35"/>
  <c r="AC518" i="35"/>
  <c r="AC552" i="35"/>
  <c r="AC542" i="35"/>
  <c r="AC458" i="35"/>
  <c r="AC448" i="35"/>
  <c r="AC481" i="35"/>
  <c r="AC471" i="35"/>
  <c r="AC504" i="35"/>
  <c r="AC494" i="35"/>
  <c r="AC527" i="35"/>
  <c r="AC517" i="35"/>
  <c r="AC551" i="35"/>
  <c r="AC541" i="35"/>
  <c r="AC457" i="35"/>
  <c r="AC447" i="35"/>
  <c r="AC480" i="35"/>
  <c r="AC470" i="35"/>
  <c r="AC503" i="35"/>
  <c r="AC493" i="35"/>
  <c r="AC526" i="35"/>
  <c r="AC516" i="35"/>
  <c r="AC550" i="35"/>
  <c r="AC540" i="35"/>
  <c r="AC456" i="35"/>
  <c r="AC446" i="35"/>
  <c r="AC479" i="35"/>
  <c r="AC469" i="35"/>
  <c r="AC502" i="35"/>
  <c r="AC492" i="35"/>
  <c r="AC525" i="35"/>
  <c r="AC515" i="35"/>
  <c r="AC549" i="35"/>
  <c r="AC539" i="35"/>
  <c r="AC455" i="35"/>
  <c r="AC445" i="35"/>
  <c r="AC478" i="35"/>
  <c r="AC468" i="35"/>
  <c r="AC501" i="35"/>
  <c r="AC491" i="35"/>
  <c r="AC524" i="35"/>
  <c r="AC514" i="35"/>
  <c r="AC548" i="35"/>
  <c r="AC538" i="35"/>
  <c r="AC454" i="35"/>
  <c r="AC444" i="35"/>
  <c r="AC477" i="35"/>
  <c r="AC467" i="35"/>
  <c r="AC500" i="35"/>
  <c r="AC490" i="35"/>
  <c r="AC523" i="35"/>
  <c r="AC547" i="35"/>
  <c r="Y451" i="35"/>
  <c r="Y474" i="35"/>
  <c r="Y520" i="35"/>
  <c r="Y450" i="35"/>
  <c r="Y473" i="35"/>
  <c r="Y519" i="35"/>
  <c r="Y449" i="35"/>
  <c r="Y472" i="35"/>
  <c r="Y495" i="35"/>
  <c r="Y518" i="35"/>
  <c r="Y542" i="35"/>
  <c r="Y448" i="35"/>
  <c r="Y471" i="35"/>
  <c r="Y494" i="35"/>
  <c r="Y517" i="35"/>
  <c r="Y447" i="35"/>
  <c r="Y470" i="35"/>
  <c r="Y493" i="35"/>
  <c r="Y540" i="35"/>
  <c r="Y446" i="35"/>
  <c r="Y469" i="35"/>
  <c r="Y492" i="35"/>
  <c r="Y445" i="35"/>
  <c r="Y468" i="35"/>
  <c r="Y491" i="35"/>
  <c r="Y514" i="35"/>
  <c r="Y444" i="35"/>
  <c r="Y467" i="35"/>
  <c r="Y490" i="35"/>
  <c r="Y513" i="35"/>
  <c r="U451" i="35"/>
  <c r="U474" i="35"/>
  <c r="U520" i="35"/>
  <c r="U544" i="35"/>
  <c r="U450" i="35"/>
  <c r="U473" i="35"/>
  <c r="U496" i="35"/>
  <c r="U519" i="35"/>
  <c r="U449" i="35"/>
  <c r="U472" i="35"/>
  <c r="U495" i="35"/>
  <c r="U471" i="35"/>
  <c r="U494" i="35"/>
  <c r="U517" i="35"/>
  <c r="U447" i="35"/>
  <c r="U470" i="35"/>
  <c r="U493" i="35"/>
  <c r="U540" i="35"/>
  <c r="U446" i="35"/>
  <c r="U469" i="35"/>
  <c r="U492" i="35"/>
  <c r="U515" i="35"/>
  <c r="U445" i="35"/>
  <c r="U468" i="35"/>
  <c r="U491" i="35"/>
  <c r="U514" i="35"/>
  <c r="U467" i="35"/>
  <c r="U490" i="35"/>
  <c r="U513" i="35"/>
  <c r="O471" i="35"/>
  <c r="O494" i="35"/>
  <c r="O517" i="35"/>
  <c r="O541" i="35"/>
  <c r="O447" i="35"/>
  <c r="O493" i="35"/>
  <c r="O516" i="35"/>
  <c r="O469" i="35"/>
  <c r="O492" i="35"/>
  <c r="O515" i="35"/>
  <c r="O468" i="35"/>
  <c r="O491" i="35"/>
  <c r="O490" i="35"/>
  <c r="O513" i="35"/>
  <c r="AC387" i="35"/>
  <c r="AC377" i="35"/>
  <c r="AC411" i="35"/>
  <c r="AC401" i="35"/>
  <c r="AC434" i="35"/>
  <c r="AC424" i="35"/>
  <c r="AC386" i="35"/>
  <c r="AC376" i="35"/>
  <c r="AC433" i="35"/>
  <c r="AC423" i="35"/>
  <c r="AC361" i="35"/>
  <c r="AC351" i="35"/>
  <c r="AC385" i="35"/>
  <c r="AC375" i="35"/>
  <c r="AC409" i="35"/>
  <c r="AC399" i="35"/>
  <c r="AC432" i="35"/>
  <c r="AC422" i="35"/>
  <c r="AC360" i="35"/>
  <c r="AC350" i="35"/>
  <c r="AC384" i="35"/>
  <c r="AC374" i="35"/>
  <c r="AC408" i="35"/>
  <c r="AC398" i="35"/>
  <c r="AC431" i="35"/>
  <c r="AC421" i="35"/>
  <c r="AC59" i="46"/>
  <c r="AC383" i="35"/>
  <c r="AC373" i="35"/>
  <c r="AC407" i="35"/>
  <c r="AC397" i="35"/>
  <c r="AC430" i="35"/>
  <c r="AC420" i="35"/>
  <c r="AC382" i="35"/>
  <c r="AC372" i="35"/>
  <c r="AC406" i="35"/>
  <c r="AC396" i="35"/>
  <c r="AC429" i="35"/>
  <c r="AC419" i="35"/>
  <c r="AC357" i="35"/>
  <c r="AC347" i="35"/>
  <c r="AC381" i="35"/>
  <c r="AC371" i="35"/>
  <c r="AC405" i="35"/>
  <c r="AC395" i="35"/>
  <c r="AC428" i="35"/>
  <c r="AC418" i="35"/>
  <c r="AC380" i="35"/>
  <c r="AC370" i="35"/>
  <c r="AC404" i="35"/>
  <c r="AC394" i="35"/>
  <c r="AC427" i="35"/>
  <c r="AC417" i="35"/>
  <c r="AC379" i="35"/>
  <c r="AC369" i="35"/>
  <c r="AC403" i="35"/>
  <c r="AC393" i="35"/>
  <c r="AC426" i="35"/>
  <c r="AC402" i="35"/>
  <c r="AC392" i="35"/>
  <c r="AC425" i="35"/>
  <c r="AC415" i="35"/>
  <c r="Y375" i="35"/>
  <c r="Y349" i="35"/>
  <c r="Y345" i="35"/>
  <c r="AC287" i="35"/>
  <c r="AC277" i="35"/>
  <c r="AC310" i="35"/>
  <c r="AC300" i="35"/>
  <c r="AC333" i="35"/>
  <c r="AC323" i="35"/>
  <c r="AC50" i="46"/>
  <c r="AC309" i="35"/>
  <c r="AC299" i="35"/>
  <c r="AC332" i="35"/>
  <c r="AC322" i="35"/>
  <c r="AC285" i="35"/>
  <c r="AC275" i="35"/>
  <c r="AC308" i="35"/>
  <c r="AC298" i="35"/>
  <c r="AC331" i="35"/>
  <c r="AC321" i="35"/>
  <c r="AC48" i="46"/>
  <c r="AC284" i="35"/>
  <c r="AC307" i="35"/>
  <c r="AC297" i="35"/>
  <c r="AC330" i="35"/>
  <c r="AC320" i="35"/>
  <c r="AC283" i="35"/>
  <c r="AC273" i="35"/>
  <c r="AC306" i="35"/>
  <c r="AC296" i="35"/>
  <c r="AC329" i="35"/>
  <c r="AC319" i="35"/>
  <c r="AC46" i="46"/>
  <c r="AC282" i="35"/>
  <c r="AC272" i="35"/>
  <c r="AC305" i="35"/>
  <c r="AC295" i="35"/>
  <c r="AC328" i="35"/>
  <c r="AC318" i="35"/>
  <c r="AC281" i="35"/>
  <c r="AC304" i="35"/>
  <c r="AC294" i="35"/>
  <c r="AC327" i="35"/>
  <c r="AC317" i="35"/>
  <c r="AC303" i="35"/>
  <c r="AC293" i="35"/>
  <c r="AC326" i="35"/>
  <c r="AC316" i="35"/>
  <c r="AC279" i="35"/>
  <c r="AC269" i="35"/>
  <c r="AC302" i="35"/>
  <c r="AC292" i="35"/>
  <c r="AC325" i="35"/>
  <c r="AC315" i="35"/>
  <c r="AC42" i="46"/>
  <c r="AC278" i="35"/>
  <c r="AC268" i="35"/>
  <c r="AC301" i="35"/>
  <c r="AC291" i="35"/>
  <c r="AC324" i="35"/>
  <c r="AC314" i="35"/>
  <c r="Y298" i="35"/>
  <c r="Y321" i="35"/>
  <c r="Y320" i="35"/>
  <c r="Y296" i="35"/>
  <c r="Y319" i="35"/>
  <c r="Y295" i="35"/>
  <c r="Y318" i="35"/>
  <c r="Y293" i="35"/>
  <c r="Y316" i="35"/>
  <c r="Y292" i="35"/>
  <c r="Y315" i="35"/>
  <c r="U298" i="35"/>
  <c r="U321" i="35"/>
  <c r="U320" i="35"/>
  <c r="U296" i="35"/>
  <c r="U319" i="35"/>
  <c r="U295" i="35"/>
  <c r="U318" i="35"/>
  <c r="U294" i="35"/>
  <c r="U293" i="35"/>
  <c r="U292" i="35"/>
  <c r="U315" i="35"/>
  <c r="U291" i="35"/>
  <c r="U314" i="35"/>
  <c r="O295" i="35"/>
  <c r="O293" i="35"/>
  <c r="O269" i="35"/>
  <c r="O292" i="35"/>
  <c r="O291" i="35"/>
  <c r="O314" i="35"/>
  <c r="AC212" i="35"/>
  <c r="AC202" i="35"/>
  <c r="AC235" i="35"/>
  <c r="AC225" i="35"/>
  <c r="AC258" i="35"/>
  <c r="AC248" i="35"/>
  <c r="AC38" i="46"/>
  <c r="AC211" i="35"/>
  <c r="AC201" i="35"/>
  <c r="AC234" i="35"/>
  <c r="AC224" i="35"/>
  <c r="AC257" i="35"/>
  <c r="AC247" i="35"/>
  <c r="AC210" i="35"/>
  <c r="AC200" i="35"/>
  <c r="AC233" i="35"/>
  <c r="AC223" i="35"/>
  <c r="AC256" i="35"/>
  <c r="AC246" i="35"/>
  <c r="AC209" i="35"/>
  <c r="AC232" i="35"/>
  <c r="AC222" i="35"/>
  <c r="AC255" i="35"/>
  <c r="AC245" i="35"/>
  <c r="AC208" i="35"/>
  <c r="AC198" i="35"/>
  <c r="AC254" i="35"/>
  <c r="AC207" i="35"/>
  <c r="AC197" i="35"/>
  <c r="AC230" i="35"/>
  <c r="AC253" i="35"/>
  <c r="AC243" i="35"/>
  <c r="AC206" i="35"/>
  <c r="AC196" i="35"/>
  <c r="AC229" i="35"/>
  <c r="AC219" i="35"/>
  <c r="AC252" i="35"/>
  <c r="AC242" i="35"/>
  <c r="AC32" i="46"/>
  <c r="AC205" i="35"/>
  <c r="AC195" i="35"/>
  <c r="AC228" i="35"/>
  <c r="AC218" i="35"/>
  <c r="AC251" i="35"/>
  <c r="AC241" i="35"/>
  <c r="AC204" i="35"/>
  <c r="AC194" i="35"/>
  <c r="AC227" i="35"/>
  <c r="AC217" i="35"/>
  <c r="AC250" i="35"/>
  <c r="AC203" i="35"/>
  <c r="AC226" i="35"/>
  <c r="AC216" i="35"/>
  <c r="AC249" i="35"/>
  <c r="AC239" i="35"/>
  <c r="Y223" i="35"/>
  <c r="Y246" i="35"/>
  <c r="Y243" i="35"/>
  <c r="Y219" i="35"/>
  <c r="Y242" i="35"/>
  <c r="Y218" i="35"/>
  <c r="Y241" i="35"/>
  <c r="Y216" i="35"/>
  <c r="Y239" i="35"/>
  <c r="U223" i="35"/>
  <c r="U246" i="35"/>
  <c r="U222" i="35"/>
  <c r="U244" i="35"/>
  <c r="U220" i="35"/>
  <c r="U243" i="35"/>
  <c r="U219" i="35"/>
  <c r="U242" i="35"/>
  <c r="U241" i="35"/>
  <c r="U216" i="35"/>
  <c r="U239" i="35"/>
  <c r="O220" i="35"/>
  <c r="O243" i="35"/>
  <c r="O242" i="35"/>
  <c r="O241" i="35"/>
  <c r="O194" i="35"/>
  <c r="O217" i="35"/>
  <c r="O240" i="35"/>
  <c r="O30" i="46"/>
  <c r="O239" i="35"/>
  <c r="AC159" i="35"/>
  <c r="AC112" i="35"/>
  <c r="AC135" i="35"/>
  <c r="AC182" i="34"/>
  <c r="AC111" i="35"/>
  <c r="AC134" i="34"/>
  <c r="AC134" i="35"/>
  <c r="AC157" i="35"/>
  <c r="AC181" i="34"/>
  <c r="AC181" i="35"/>
  <c r="AC110" i="35"/>
  <c r="AC156" i="35"/>
  <c r="AC146" i="35"/>
  <c r="AC180" i="34"/>
  <c r="AC180" i="35"/>
  <c r="AC170" i="35"/>
  <c r="AC132" i="35"/>
  <c r="AC122" i="35"/>
  <c r="AC155" i="35"/>
  <c r="AC145" i="35"/>
  <c r="AC108" i="35"/>
  <c r="AC131" i="35"/>
  <c r="AC121" i="35"/>
  <c r="AC178" i="34"/>
  <c r="AC178" i="35"/>
  <c r="AC107" i="35"/>
  <c r="AC130" i="35"/>
  <c r="AC153" i="35"/>
  <c r="AC177" i="34"/>
  <c r="AC177" i="35"/>
  <c r="AC106" i="35"/>
  <c r="AC96" i="35"/>
  <c r="AC129" i="35"/>
  <c r="AC119" i="35"/>
  <c r="AC152" i="35"/>
  <c r="AC176" i="35"/>
  <c r="AC166" i="35"/>
  <c r="AC128" i="35"/>
  <c r="AC118" i="35"/>
  <c r="AC151" i="35"/>
  <c r="AC141" i="35"/>
  <c r="AC104" i="35"/>
  <c r="AC127" i="35"/>
  <c r="AC117" i="35"/>
  <c r="AC150" i="35"/>
  <c r="AC174" i="34"/>
  <c r="Y170" i="35"/>
  <c r="AC41" i="34"/>
  <c r="AC41" i="35"/>
  <c r="AC64" i="35"/>
  <c r="AC40" i="35"/>
  <c r="AC87" i="34"/>
  <c r="AC62" i="35"/>
  <c r="AC86" i="35"/>
  <c r="AC38" i="35"/>
  <c r="AC61" i="34"/>
  <c r="AC61" i="35"/>
  <c r="AC51" i="35"/>
  <c r="AC85" i="34"/>
  <c r="AC37" i="35"/>
  <c r="AC27" i="35"/>
  <c r="AC60" i="35"/>
  <c r="AC36" i="35"/>
  <c r="AC26" i="35"/>
  <c r="AC59" i="35"/>
  <c r="AC83" i="35"/>
  <c r="AC58" i="34"/>
  <c r="AC58" i="35"/>
  <c r="AC82" i="35"/>
  <c r="AC57" i="35"/>
  <c r="AC81" i="35"/>
  <c r="AC71" i="35"/>
  <c r="AC56" i="35"/>
  <c r="AC80" i="35"/>
  <c r="AC70" i="35"/>
  <c r="AC32" i="35"/>
  <c r="AC22" i="35"/>
  <c r="AC55" i="35"/>
  <c r="AC79" i="35"/>
  <c r="Y74" i="35"/>
  <c r="Y73" i="35"/>
  <c r="Y71" i="35"/>
  <c r="U29" i="35"/>
  <c r="U28" i="35"/>
  <c r="U73" i="35"/>
  <c r="U70" i="35"/>
  <c r="O71" i="35"/>
  <c r="J164" i="34"/>
  <c r="J140" i="34"/>
  <c r="J117" i="34"/>
  <c r="J94" i="34"/>
  <c r="J69" i="34"/>
  <c r="J45" i="34"/>
  <c r="J22" i="34"/>
  <c r="D68" i="34"/>
  <c r="D163" i="34"/>
  <c r="AC638" i="35"/>
  <c r="Y638" i="35"/>
  <c r="AC639" i="35"/>
  <c r="Y639" i="35"/>
  <c r="AC626" i="35"/>
  <c r="AC640" i="35"/>
  <c r="Y640" i="35"/>
  <c r="AC627" i="35"/>
  <c r="AC641" i="35"/>
  <c r="Y641" i="35"/>
  <c r="AC628" i="35"/>
  <c r="AC642" i="35"/>
  <c r="Y642" i="35"/>
  <c r="AC643" i="35"/>
  <c r="Y643" i="35"/>
  <c r="AC630" i="35"/>
  <c r="AC644" i="35"/>
  <c r="Y644" i="35"/>
  <c r="AC645" i="35"/>
  <c r="Y645" i="35"/>
  <c r="AC632" i="35"/>
  <c r="AC646" i="35"/>
  <c r="Y646" i="35"/>
  <c r="AC633" i="35"/>
  <c r="AC647" i="35"/>
  <c r="Y647" i="35"/>
  <c r="AC634" i="35"/>
  <c r="AC648" i="35"/>
  <c r="Y648" i="35"/>
  <c r="AC635" i="35"/>
  <c r="AC649" i="35"/>
  <c r="Y649" i="35"/>
  <c r="AC636" i="35"/>
  <c r="AC637" i="35"/>
  <c r="Y637" i="35"/>
  <c r="AC624" i="35"/>
  <c r="AC64" i="34"/>
  <c r="Y63" i="34"/>
  <c r="AC62" i="34"/>
  <c r="Y62" i="34"/>
  <c r="R62" i="34"/>
  <c r="Y61" i="34"/>
  <c r="U61" i="34"/>
  <c r="R61" i="34"/>
  <c r="AC60" i="34"/>
  <c r="Y60" i="34"/>
  <c r="AC59" i="34"/>
  <c r="Y59" i="34"/>
  <c r="U59" i="34"/>
  <c r="O59" i="34"/>
  <c r="J59" i="34"/>
  <c r="Y58" i="34"/>
  <c r="U58" i="34"/>
  <c r="O58" i="34"/>
  <c r="J58" i="34"/>
  <c r="AC57" i="34"/>
  <c r="U57" i="34"/>
  <c r="O57" i="34"/>
  <c r="J57" i="34"/>
  <c r="AC56" i="34"/>
  <c r="Y56" i="34"/>
  <c r="U56" i="34"/>
  <c r="O56" i="34"/>
  <c r="J56" i="34"/>
  <c r="AC55" i="34"/>
  <c r="Y55" i="34"/>
  <c r="U55" i="34"/>
  <c r="O55" i="34"/>
  <c r="J55" i="34"/>
  <c r="AC151" i="34"/>
  <c r="AC152" i="34"/>
  <c r="AC153" i="34"/>
  <c r="AC155" i="34"/>
  <c r="AC157" i="34"/>
  <c r="AC159" i="34"/>
  <c r="AC150" i="34"/>
  <c r="Y150" i="34"/>
  <c r="Y151" i="34"/>
  <c r="Y153" i="34"/>
  <c r="Y154" i="34"/>
  <c r="Y155" i="34"/>
  <c r="Y156" i="34"/>
  <c r="Y157" i="34"/>
  <c r="Y127" i="34"/>
  <c r="AC183" i="34"/>
  <c r="Y181" i="34"/>
  <c r="U181" i="34"/>
  <c r="Y180" i="34"/>
  <c r="U180" i="34"/>
  <c r="AC179" i="34"/>
  <c r="Y179" i="34"/>
  <c r="U179" i="34"/>
  <c r="Y178" i="34"/>
  <c r="U178" i="34"/>
  <c r="O178" i="34"/>
  <c r="Y177" i="34"/>
  <c r="U177" i="34"/>
  <c r="O177" i="34"/>
  <c r="AC176" i="34"/>
  <c r="Y176" i="34"/>
  <c r="U176" i="34"/>
  <c r="AC175" i="34"/>
  <c r="Y175" i="34"/>
  <c r="U175" i="34"/>
  <c r="O175" i="34"/>
  <c r="Y174" i="34"/>
  <c r="U174" i="34"/>
  <c r="AC136" i="34"/>
  <c r="AC135" i="34"/>
  <c r="Y134" i="34"/>
  <c r="Y133" i="34"/>
  <c r="U133" i="34"/>
  <c r="AC132" i="34"/>
  <c r="Y132" i="34"/>
  <c r="U132" i="34"/>
  <c r="AC131" i="34"/>
  <c r="Y131" i="34"/>
  <c r="U131" i="34"/>
  <c r="O131" i="34"/>
  <c r="AC130" i="34"/>
  <c r="Y130" i="34"/>
  <c r="U130" i="34"/>
  <c r="O130" i="34"/>
  <c r="Y129" i="34"/>
  <c r="U129" i="34"/>
  <c r="O129" i="34"/>
  <c r="AC128" i="34"/>
  <c r="Y128" i="34"/>
  <c r="U128" i="34"/>
  <c r="O128" i="34"/>
  <c r="AC127" i="34"/>
  <c r="U127" i="34"/>
  <c r="O127" i="34"/>
  <c r="AC112" i="34"/>
  <c r="AC111" i="34"/>
  <c r="Y111" i="34"/>
  <c r="U111" i="34"/>
  <c r="AC110" i="34"/>
  <c r="U110" i="34"/>
  <c r="Y109" i="34"/>
  <c r="U109" i="34"/>
  <c r="AC108" i="34"/>
  <c r="Y108" i="34"/>
  <c r="U108" i="34"/>
  <c r="O108" i="34"/>
  <c r="AC107" i="34"/>
  <c r="Y107" i="34"/>
  <c r="U107" i="34"/>
  <c r="O107" i="34"/>
  <c r="AC106" i="34"/>
  <c r="Y106" i="34"/>
  <c r="U106" i="34"/>
  <c r="O106" i="34"/>
  <c r="AC105" i="34"/>
  <c r="Y105" i="34"/>
  <c r="O105" i="34"/>
  <c r="AC104" i="34"/>
  <c r="U104" i="34"/>
  <c r="AC88" i="34"/>
  <c r="AC86" i="34"/>
  <c r="Y86" i="34"/>
  <c r="U86" i="34"/>
  <c r="Y85" i="34"/>
  <c r="U85" i="34"/>
  <c r="AC84" i="34"/>
  <c r="U84" i="34"/>
  <c r="AC83" i="34"/>
  <c r="Y83" i="34"/>
  <c r="O83" i="34"/>
  <c r="AC82" i="34"/>
  <c r="U82" i="34"/>
  <c r="O82" i="34"/>
  <c r="AC81" i="34"/>
  <c r="Y81" i="34"/>
  <c r="O81" i="34"/>
  <c r="AC80" i="34"/>
  <c r="Y80" i="34"/>
  <c r="O80" i="34"/>
  <c r="AC79" i="34"/>
  <c r="Y79" i="34"/>
  <c r="U79" i="34"/>
  <c r="O79" i="34"/>
  <c r="V151" i="34"/>
  <c r="V152" i="34"/>
  <c r="V153" i="34"/>
  <c r="V154" i="34"/>
  <c r="V155" i="34"/>
  <c r="V156" i="34"/>
  <c r="V157" i="34"/>
  <c r="V150" i="34"/>
  <c r="R181" i="34"/>
  <c r="R180" i="34"/>
  <c r="R179" i="34"/>
  <c r="J178" i="34"/>
  <c r="J177" i="34"/>
  <c r="J176" i="34"/>
  <c r="J175" i="34"/>
  <c r="J174" i="34"/>
  <c r="Y88" i="34"/>
  <c r="Y87" i="34"/>
  <c r="R86" i="34"/>
  <c r="R85" i="34"/>
  <c r="R84" i="34"/>
  <c r="J83" i="34"/>
  <c r="J82" i="34"/>
  <c r="J81" i="34"/>
  <c r="Y159" i="34"/>
  <c r="Y158" i="34"/>
  <c r="Y135" i="34"/>
  <c r="R133" i="34"/>
  <c r="J131" i="34"/>
  <c r="J130" i="34"/>
  <c r="J129" i="34"/>
  <c r="J128" i="34"/>
  <c r="J127" i="34"/>
  <c r="R110" i="34"/>
  <c r="R109" i="34"/>
  <c r="J108" i="34"/>
  <c r="J106" i="34"/>
  <c r="J105" i="34"/>
  <c r="J104" i="34"/>
  <c r="Y33" i="34"/>
  <c r="Y34" i="34"/>
  <c r="Y35" i="34"/>
  <c r="AC36" i="34"/>
  <c r="Y36" i="34"/>
  <c r="Y37" i="34"/>
  <c r="AC38" i="34"/>
  <c r="Y39" i="34"/>
  <c r="AC40" i="34"/>
  <c r="Y41" i="34"/>
  <c r="AC32" i="34"/>
  <c r="Y32" i="34"/>
  <c r="U33" i="34"/>
  <c r="U34" i="34"/>
  <c r="U35" i="34"/>
  <c r="U36" i="34"/>
  <c r="U37" i="34"/>
  <c r="U38" i="34"/>
  <c r="U39" i="34"/>
  <c r="U32" i="34"/>
  <c r="R39" i="34"/>
  <c r="R37" i="34"/>
  <c r="O33" i="34"/>
  <c r="O34" i="34"/>
  <c r="O35" i="34"/>
  <c r="O36" i="34"/>
  <c r="O32" i="34"/>
  <c r="J33" i="34"/>
  <c r="J34" i="34"/>
  <c r="J35" i="34"/>
  <c r="J36" i="34"/>
  <c r="J32" i="34"/>
  <c r="Q236" i="20"/>
  <c r="R236" i="20"/>
  <c r="S236" i="20"/>
  <c r="U235" i="20"/>
  <c r="V235" i="20"/>
  <c r="W235" i="20"/>
  <c r="U241" i="20"/>
  <c r="V241" i="20"/>
  <c r="W241" i="20"/>
  <c r="Q242" i="20"/>
  <c r="R242" i="20"/>
  <c r="S242" i="20"/>
  <c r="Q247" i="20"/>
  <c r="R247" i="20"/>
  <c r="S247" i="20"/>
  <c r="T247" i="20"/>
  <c r="U247" i="20"/>
  <c r="V247" i="20"/>
  <c r="W247" i="20"/>
  <c r="P247" i="20"/>
  <c r="P252" i="20"/>
  <c r="T252" i="20"/>
  <c r="L235" i="20"/>
  <c r="H236" i="20"/>
  <c r="P244" i="31"/>
  <c r="T244" i="31"/>
  <c r="L81" i="33"/>
  <c r="P252" i="33"/>
  <c r="T252" i="33"/>
  <c r="P228" i="33"/>
  <c r="T228" i="33"/>
  <c r="P180" i="33"/>
  <c r="T180" i="33"/>
  <c r="P143" i="33"/>
  <c r="T143" i="33"/>
  <c r="P114" i="33"/>
  <c r="T114" i="33"/>
  <c r="B87" i="33"/>
  <c r="B85" i="33"/>
  <c r="D85" i="33"/>
  <c r="F85" i="33"/>
  <c r="H85" i="33"/>
  <c r="J85" i="33"/>
  <c r="L85" i="33"/>
  <c r="N85" i="33"/>
  <c r="H241" i="20"/>
  <c r="H151" i="20"/>
  <c r="R81" i="20"/>
  <c r="I81" i="20"/>
  <c r="W164" i="1"/>
  <c r="W165" i="1"/>
  <c r="W166" i="1"/>
  <c r="W167" i="1"/>
  <c r="W168" i="1"/>
  <c r="W169" i="1"/>
  <c r="W170" i="1"/>
  <c r="W171" i="1"/>
  <c r="W172" i="1"/>
  <c r="W173" i="1"/>
  <c r="V164" i="1"/>
  <c r="V165" i="1"/>
  <c r="V166" i="1"/>
  <c r="V167" i="1"/>
  <c r="V168" i="1"/>
  <c r="V169" i="1"/>
  <c r="V170" i="1"/>
  <c r="V171" i="1"/>
  <c r="V172" i="1"/>
  <c r="V173" i="1"/>
  <c r="V80" i="20"/>
  <c r="U164" i="1"/>
  <c r="U165" i="1"/>
  <c r="U166" i="1"/>
  <c r="U167" i="1"/>
  <c r="U168" i="1"/>
  <c r="U169" i="1"/>
  <c r="U170" i="1"/>
  <c r="U171" i="1"/>
  <c r="U172" i="1"/>
  <c r="U173" i="1"/>
  <c r="U80" i="20"/>
  <c r="S80" i="20"/>
  <c r="N80" i="20"/>
  <c r="M80" i="20"/>
  <c r="K80" i="20"/>
  <c r="J80" i="20"/>
  <c r="I80" i="20"/>
  <c r="B88" i="5"/>
  <c r="B87" i="5"/>
  <c r="B86" i="5"/>
  <c r="B85" i="5"/>
  <c r="B84" i="5"/>
  <c r="B82" i="5"/>
  <c r="B80" i="5"/>
  <c r="B73" i="5"/>
  <c r="B71" i="5"/>
  <c r="A71" i="5"/>
  <c r="B69" i="5"/>
  <c r="B68" i="5"/>
  <c r="B66" i="5"/>
  <c r="B64" i="5"/>
  <c r="B62" i="5"/>
  <c r="B60" i="5"/>
  <c r="A60" i="5"/>
  <c r="B58" i="5"/>
  <c r="B56" i="5"/>
  <c r="B55" i="5"/>
  <c r="B53" i="5"/>
  <c r="B52" i="5"/>
  <c r="B51" i="5"/>
  <c r="B50" i="5"/>
  <c r="B48" i="5"/>
  <c r="B47" i="5"/>
  <c r="B46" i="5"/>
  <c r="B45" i="5"/>
  <c r="A45" i="5"/>
  <c r="B43" i="5"/>
  <c r="B41" i="5"/>
  <c r="B39" i="5"/>
  <c r="A39" i="5"/>
  <c r="B37" i="5"/>
  <c r="B35" i="5"/>
  <c r="B33" i="5"/>
  <c r="A33" i="5"/>
  <c r="B31" i="5"/>
  <c r="B30" i="5"/>
  <c r="B29" i="5"/>
  <c r="B28" i="5"/>
  <c r="B26" i="5"/>
  <c r="B24" i="5"/>
  <c r="B22" i="5"/>
  <c r="A22" i="5"/>
  <c r="B20" i="5"/>
  <c r="B19" i="5"/>
  <c r="B18" i="5"/>
  <c r="B17" i="5"/>
  <c r="B15" i="5"/>
  <c r="B13" i="5"/>
  <c r="A13" i="5"/>
  <c r="B11" i="5"/>
  <c r="B9" i="5"/>
  <c r="B7" i="5"/>
  <c r="A7" i="5"/>
  <c r="A8" i="30"/>
  <c r="P164" i="25"/>
  <c r="P132" i="25"/>
  <c r="T132" i="25"/>
  <c r="P103" i="25"/>
  <c r="T103" i="25"/>
  <c r="P82" i="25"/>
  <c r="D61" i="25"/>
  <c r="F61" i="25"/>
  <c r="H61" i="25"/>
  <c r="B61" i="25"/>
  <c r="J61" i="25"/>
  <c r="L61" i="25"/>
  <c r="N61" i="25"/>
  <c r="P61" i="25"/>
  <c r="L236" i="20"/>
  <c r="L241" i="20"/>
  <c r="D91" i="30"/>
  <c r="B91" i="30"/>
  <c r="D88" i="30"/>
  <c r="B88" i="30"/>
  <c r="A88" i="30"/>
  <c r="B85" i="30"/>
  <c r="D84" i="30"/>
  <c r="B84" i="30"/>
  <c r="D81" i="30"/>
  <c r="B81" i="30"/>
  <c r="D78" i="30"/>
  <c r="B78" i="30"/>
  <c r="D75" i="30"/>
  <c r="B75" i="30"/>
  <c r="D72" i="30"/>
  <c r="B72" i="30"/>
  <c r="A72" i="30"/>
  <c r="D69" i="30"/>
  <c r="B69" i="30"/>
  <c r="B66" i="30"/>
  <c r="D65" i="30"/>
  <c r="B65" i="30"/>
  <c r="B62" i="30"/>
  <c r="B61" i="30"/>
  <c r="B60" i="30"/>
  <c r="D59" i="30"/>
  <c r="B59" i="30"/>
  <c r="B56" i="30"/>
  <c r="B55" i="30"/>
  <c r="B54" i="30"/>
  <c r="D53" i="30"/>
  <c r="B53" i="30"/>
  <c r="A53" i="30"/>
  <c r="D50" i="30"/>
  <c r="B50" i="30"/>
  <c r="D47" i="30"/>
  <c r="B47" i="30"/>
  <c r="D44" i="30"/>
  <c r="B44" i="30"/>
  <c r="A44" i="30"/>
  <c r="D41" i="30"/>
  <c r="B41" i="30"/>
  <c r="D38" i="30"/>
  <c r="B38" i="30"/>
  <c r="D35" i="30"/>
  <c r="B35" i="30"/>
  <c r="A35" i="30"/>
  <c r="B32" i="30"/>
  <c r="B31" i="30"/>
  <c r="B30" i="30"/>
  <c r="D29" i="30"/>
  <c r="B29" i="30"/>
  <c r="D26" i="30"/>
  <c r="B26" i="30"/>
  <c r="D23" i="30"/>
  <c r="B23" i="30"/>
  <c r="D20" i="30"/>
  <c r="B20" i="30"/>
  <c r="A20" i="30"/>
  <c r="B17" i="30"/>
  <c r="B16" i="30"/>
  <c r="B15" i="30"/>
  <c r="D14" i="30"/>
  <c r="B14" i="30"/>
  <c r="D11" i="30"/>
  <c r="B11" i="30"/>
  <c r="D8" i="30"/>
  <c r="B8" i="30"/>
  <c r="A1" i="30"/>
  <c r="W69" i="29"/>
  <c r="V69" i="29"/>
  <c r="U69" i="29"/>
  <c r="T69" i="29"/>
  <c r="S69" i="29"/>
  <c r="R69" i="29"/>
  <c r="Q69" i="29"/>
  <c r="P69" i="29"/>
  <c r="O69" i="29"/>
  <c r="N69" i="29"/>
  <c r="M69" i="29"/>
  <c r="L69" i="29"/>
  <c r="T63" i="29"/>
  <c r="P63" i="29"/>
  <c r="T56" i="29"/>
  <c r="P56" i="29"/>
  <c r="L56" i="29"/>
  <c r="T49" i="29"/>
  <c r="P49" i="29"/>
  <c r="L49" i="29"/>
  <c r="W40" i="29"/>
  <c r="V40" i="29"/>
  <c r="U40" i="29"/>
  <c r="T40" i="29"/>
  <c r="S40" i="29"/>
  <c r="R40" i="29"/>
  <c r="Q40" i="29"/>
  <c r="P40" i="29"/>
  <c r="O40" i="29"/>
  <c r="N40" i="29"/>
  <c r="M40" i="29"/>
  <c r="L40" i="29"/>
  <c r="T32" i="29"/>
  <c r="P32" i="29"/>
  <c r="L32" i="29"/>
  <c r="T25" i="29"/>
  <c r="P25" i="29"/>
  <c r="L25" i="29"/>
  <c r="T94" i="29"/>
  <c r="P94" i="29"/>
  <c r="L94" i="29"/>
  <c r="T89" i="29"/>
  <c r="P89" i="29"/>
  <c r="L89" i="29"/>
  <c r="T82" i="29"/>
  <c r="P82" i="29"/>
  <c r="L82" i="29"/>
  <c r="T119" i="29"/>
  <c r="P119" i="29"/>
  <c r="L119" i="29"/>
  <c r="T114" i="29"/>
  <c r="P114" i="29"/>
  <c r="L114" i="29"/>
  <c r="T107" i="29"/>
  <c r="P107" i="29"/>
  <c r="L107" i="29"/>
  <c r="T152" i="29"/>
  <c r="P152" i="29"/>
  <c r="V145" i="29"/>
  <c r="T145" i="29"/>
  <c r="R145" i="29"/>
  <c r="P145" i="29"/>
  <c r="W137" i="29"/>
  <c r="V137" i="29"/>
  <c r="U137" i="29"/>
  <c r="T137" i="29"/>
  <c r="S137" i="29"/>
  <c r="R137" i="29"/>
  <c r="Q137" i="29"/>
  <c r="P137" i="29"/>
  <c r="O137" i="29"/>
  <c r="N137" i="29"/>
  <c r="M137" i="29"/>
  <c r="L137" i="29"/>
  <c r="W131" i="29"/>
  <c r="V131" i="29"/>
  <c r="U131" i="29"/>
  <c r="T131" i="29"/>
  <c r="S131" i="29"/>
  <c r="R131" i="29"/>
  <c r="Q131" i="29"/>
  <c r="P131" i="29"/>
  <c r="O131" i="29"/>
  <c r="N131" i="29"/>
  <c r="M131" i="29"/>
  <c r="L131" i="29"/>
  <c r="V192" i="29"/>
  <c r="T192" i="29"/>
  <c r="R192" i="29"/>
  <c r="P192" i="29"/>
  <c r="N192" i="29"/>
  <c r="L192" i="29"/>
  <c r="T186" i="29"/>
  <c r="P186" i="29"/>
  <c r="L186" i="29"/>
  <c r="T179" i="29"/>
  <c r="P179" i="29"/>
  <c r="L179" i="29"/>
  <c r="T172" i="29"/>
  <c r="P172" i="29"/>
  <c r="L172" i="29"/>
  <c r="T165" i="29"/>
  <c r="P165" i="29"/>
  <c r="L165" i="29"/>
  <c r="T208" i="29"/>
  <c r="P208" i="29"/>
  <c r="L208" i="29"/>
  <c r="T203" i="29"/>
  <c r="P203" i="29"/>
  <c r="L203" i="29"/>
  <c r="P228" i="31"/>
  <c r="T228" i="31"/>
  <c r="P180" i="31"/>
  <c r="T180" i="31"/>
  <c r="P143" i="31"/>
  <c r="T143" i="31"/>
  <c r="P114" i="31"/>
  <c r="T114" i="31"/>
  <c r="B87" i="31"/>
  <c r="B85" i="31"/>
  <c r="D85" i="31"/>
  <c r="F85" i="31"/>
  <c r="H85" i="31"/>
  <c r="J85" i="31"/>
  <c r="L85" i="31"/>
  <c r="N85" i="31"/>
  <c r="P85" i="31"/>
  <c r="T85" i="31"/>
  <c r="N224" i="20"/>
  <c r="N223" i="20"/>
  <c r="P223" i="20"/>
  <c r="V537" i="1"/>
  <c r="T537" i="1"/>
  <c r="T538" i="1"/>
  <c r="T539" i="1"/>
  <c r="T540" i="1"/>
  <c r="T541" i="1"/>
  <c r="T542" i="1"/>
  <c r="T543" i="1"/>
  <c r="T544" i="1"/>
  <c r="T545" i="1"/>
  <c r="T546" i="1"/>
  <c r="V538" i="1"/>
  <c r="V539" i="1"/>
  <c r="V540" i="1"/>
  <c r="V541" i="1"/>
  <c r="V542" i="1"/>
  <c r="V543" i="1"/>
  <c r="V544" i="1"/>
  <c r="V545" i="1"/>
  <c r="V546" i="1"/>
  <c r="V223" i="20"/>
  <c r="P216" i="20"/>
  <c r="P214" i="20"/>
  <c r="T518" i="1"/>
  <c r="T519" i="1"/>
  <c r="T214" i="20"/>
  <c r="T513" i="1"/>
  <c r="T514" i="1"/>
  <c r="T515" i="1"/>
  <c r="T516" i="1"/>
  <c r="T517" i="1"/>
  <c r="T495" i="1"/>
  <c r="T496" i="1"/>
  <c r="T490" i="1"/>
  <c r="T491" i="1"/>
  <c r="T492" i="1"/>
  <c r="T493" i="1"/>
  <c r="T494" i="1"/>
  <c r="P199" i="20"/>
  <c r="T472" i="1"/>
  <c r="T473" i="1"/>
  <c r="H195" i="20"/>
  <c r="L195" i="20"/>
  <c r="P195" i="20"/>
  <c r="T467" i="1"/>
  <c r="T468" i="1"/>
  <c r="T469" i="1"/>
  <c r="T470" i="1"/>
  <c r="T471" i="1"/>
  <c r="T449" i="1"/>
  <c r="T450" i="1"/>
  <c r="T444" i="1"/>
  <c r="T445" i="1"/>
  <c r="T446" i="1"/>
  <c r="T447" i="1"/>
  <c r="T448" i="1"/>
  <c r="L190" i="20"/>
  <c r="P171" i="20"/>
  <c r="T415" i="1"/>
  <c r="T416" i="1"/>
  <c r="T417" i="1"/>
  <c r="T418" i="1"/>
  <c r="T419" i="1"/>
  <c r="T171" i="20"/>
  <c r="P172" i="20"/>
  <c r="T420" i="1"/>
  <c r="T421" i="1"/>
  <c r="T422" i="1"/>
  <c r="P162" i="20"/>
  <c r="R162" i="20"/>
  <c r="T392" i="1"/>
  <c r="T393" i="1"/>
  <c r="T394" i="1"/>
  <c r="T395" i="1"/>
  <c r="T396" i="1"/>
  <c r="T162" i="20"/>
  <c r="V392" i="1"/>
  <c r="V393" i="1"/>
  <c r="V394" i="1"/>
  <c r="V395" i="1"/>
  <c r="V396" i="1"/>
  <c r="T397" i="1"/>
  <c r="T398" i="1"/>
  <c r="T399" i="1"/>
  <c r="V397" i="1"/>
  <c r="V398" i="1"/>
  <c r="V399" i="1"/>
  <c r="Q157" i="20"/>
  <c r="S157" i="20"/>
  <c r="O157" i="20"/>
  <c r="M156" i="20"/>
  <c r="Q156" i="20"/>
  <c r="V368" i="1"/>
  <c r="S156" i="20"/>
  <c r="T368" i="1"/>
  <c r="T369" i="1"/>
  <c r="T370" i="1"/>
  <c r="T371" i="1"/>
  <c r="T372" i="1"/>
  <c r="T373" i="1"/>
  <c r="T374" i="1"/>
  <c r="T376" i="1"/>
  <c r="T377" i="1"/>
  <c r="U368" i="1"/>
  <c r="U369" i="1"/>
  <c r="U370" i="1"/>
  <c r="U371" i="1"/>
  <c r="U372" i="1"/>
  <c r="U373" i="1"/>
  <c r="U374" i="1"/>
  <c r="U376" i="1"/>
  <c r="U377" i="1"/>
  <c r="U156" i="20"/>
  <c r="V369" i="1"/>
  <c r="V370" i="1"/>
  <c r="V371" i="1"/>
  <c r="V372" i="1"/>
  <c r="V373" i="1"/>
  <c r="V374" i="1"/>
  <c r="V375" i="1"/>
  <c r="V376" i="1"/>
  <c r="V377" i="1"/>
  <c r="W368" i="1"/>
  <c r="W369" i="1"/>
  <c r="W370" i="1"/>
  <c r="W371" i="1"/>
  <c r="W374" i="1"/>
  <c r="W372" i="1"/>
  <c r="W373" i="1"/>
  <c r="W375" i="1"/>
  <c r="W376" i="1"/>
  <c r="W377" i="1"/>
  <c r="K156" i="20"/>
  <c r="Q151" i="20"/>
  <c r="S151" i="20"/>
  <c r="M151" i="20"/>
  <c r="O151" i="20"/>
  <c r="O150" i="20"/>
  <c r="S150" i="20"/>
  <c r="T344" i="1"/>
  <c r="T345" i="1"/>
  <c r="T346" i="1"/>
  <c r="T347" i="1"/>
  <c r="T348" i="1"/>
  <c r="T349" i="1"/>
  <c r="T350" i="1"/>
  <c r="T352" i="1"/>
  <c r="T353" i="1"/>
  <c r="U344" i="1"/>
  <c r="U345" i="1"/>
  <c r="U346" i="1"/>
  <c r="U347" i="1"/>
  <c r="U350" i="1"/>
  <c r="U348" i="1"/>
  <c r="U349" i="1"/>
  <c r="U352" i="1"/>
  <c r="U353" i="1"/>
  <c r="V344" i="1"/>
  <c r="V345" i="1"/>
  <c r="V346" i="1"/>
  <c r="V347" i="1"/>
  <c r="V348" i="1"/>
  <c r="V349" i="1"/>
  <c r="V350" i="1"/>
  <c r="V351" i="1"/>
  <c r="V352" i="1"/>
  <c r="V353" i="1"/>
  <c r="W344" i="1"/>
  <c r="W345" i="1"/>
  <c r="W346" i="1"/>
  <c r="W347" i="1"/>
  <c r="W351" i="1"/>
  <c r="W350" i="1"/>
  <c r="W348" i="1"/>
  <c r="W349" i="1"/>
  <c r="W352" i="1"/>
  <c r="W353" i="1"/>
  <c r="W150" i="20"/>
  <c r="J150" i="20"/>
  <c r="K150" i="20"/>
  <c r="H150" i="20"/>
  <c r="P138" i="20"/>
  <c r="T314" i="1"/>
  <c r="T315" i="1"/>
  <c r="T316" i="1"/>
  <c r="T317" i="1"/>
  <c r="T319" i="1"/>
  <c r="T320" i="1"/>
  <c r="T318" i="1"/>
  <c r="T321" i="1"/>
  <c r="T322" i="1"/>
  <c r="T323" i="1"/>
  <c r="L138" i="20"/>
  <c r="H138" i="20"/>
  <c r="T296" i="1"/>
  <c r="T297" i="1"/>
  <c r="T298" i="1"/>
  <c r="T291" i="1"/>
  <c r="T292" i="1"/>
  <c r="T293" i="1"/>
  <c r="T294" i="1"/>
  <c r="T295" i="1"/>
  <c r="H132" i="20"/>
  <c r="P124" i="20"/>
  <c r="L121" i="20"/>
  <c r="P121" i="20"/>
  <c r="T273" i="1"/>
  <c r="T274" i="1"/>
  <c r="T275" i="1"/>
  <c r="H120" i="20"/>
  <c r="T268" i="1"/>
  <c r="T269" i="1"/>
  <c r="T270" i="1"/>
  <c r="T271" i="1"/>
  <c r="T272" i="1"/>
  <c r="T120" i="20"/>
  <c r="H121" i="20"/>
  <c r="D120" i="20"/>
  <c r="P109" i="20"/>
  <c r="T239" i="1"/>
  <c r="T240" i="1"/>
  <c r="T241" i="1"/>
  <c r="T242" i="1"/>
  <c r="T243" i="1"/>
  <c r="T244" i="1"/>
  <c r="T245" i="1"/>
  <c r="T246" i="1"/>
  <c r="T247" i="1"/>
  <c r="T248" i="1"/>
  <c r="L103" i="20"/>
  <c r="L101" i="20"/>
  <c r="P101" i="20"/>
  <c r="T221" i="1"/>
  <c r="T222" i="1"/>
  <c r="T223" i="1"/>
  <c r="T101" i="20"/>
  <c r="H100" i="20"/>
  <c r="L100" i="20"/>
  <c r="P100" i="20"/>
  <c r="T216" i="1"/>
  <c r="T217" i="1"/>
  <c r="T218" i="1"/>
  <c r="T219" i="1"/>
  <c r="T220" i="1"/>
  <c r="T100" i="20"/>
  <c r="H103" i="20"/>
  <c r="H101" i="20"/>
  <c r="D100" i="20"/>
  <c r="P95" i="20"/>
  <c r="L92" i="20"/>
  <c r="T198" i="1"/>
  <c r="T199" i="1"/>
  <c r="T200" i="1"/>
  <c r="T92" i="20"/>
  <c r="T193" i="1"/>
  <c r="T194" i="1"/>
  <c r="T195" i="1"/>
  <c r="T196" i="1"/>
  <c r="T197" i="1"/>
  <c r="T91" i="20"/>
  <c r="L95" i="20"/>
  <c r="H94" i="20"/>
  <c r="T164" i="1"/>
  <c r="T165" i="1"/>
  <c r="T166" i="1"/>
  <c r="T167" i="1"/>
  <c r="T168" i="1"/>
  <c r="T169" i="1"/>
  <c r="T170" i="1"/>
  <c r="T171" i="1"/>
  <c r="T172" i="1"/>
  <c r="T173" i="1"/>
  <c r="T80" i="20"/>
  <c r="L80" i="20"/>
  <c r="H80" i="20"/>
  <c r="P70" i="20"/>
  <c r="T140" i="1"/>
  <c r="T141" i="1"/>
  <c r="T142" i="1"/>
  <c r="T143" i="1"/>
  <c r="T144" i="1"/>
  <c r="T70" i="20"/>
  <c r="P71" i="20"/>
  <c r="T145" i="1"/>
  <c r="T146" i="1"/>
  <c r="T147" i="1"/>
  <c r="L71" i="20"/>
  <c r="L70" i="20"/>
  <c r="H61" i="20"/>
  <c r="L61" i="20"/>
  <c r="T117" i="1"/>
  <c r="T118" i="1"/>
  <c r="T119" i="1"/>
  <c r="T120" i="1"/>
  <c r="T121" i="1"/>
  <c r="T61" i="20"/>
  <c r="H64" i="20"/>
  <c r="L62" i="20"/>
  <c r="P62" i="20"/>
  <c r="T122" i="1"/>
  <c r="T123" i="1"/>
  <c r="T124" i="1"/>
  <c r="T62" i="20"/>
  <c r="L55" i="20"/>
  <c r="P55" i="20"/>
  <c r="L53" i="20"/>
  <c r="P53" i="20"/>
  <c r="T99" i="1"/>
  <c r="T100" i="1"/>
  <c r="T101" i="1"/>
  <c r="H52" i="20"/>
  <c r="L52" i="20"/>
  <c r="T94" i="1"/>
  <c r="T95" i="1"/>
  <c r="T96" i="1"/>
  <c r="T97" i="1"/>
  <c r="T98" i="1"/>
  <c r="D52" i="20"/>
  <c r="J42" i="20"/>
  <c r="K42" i="20"/>
  <c r="M42" i="20"/>
  <c r="R42" i="20"/>
  <c r="S42" i="20"/>
  <c r="T74" i="1"/>
  <c r="T75" i="1"/>
  <c r="T76" i="1"/>
  <c r="U74" i="1"/>
  <c r="U75" i="1"/>
  <c r="U76" i="1"/>
  <c r="V74" i="1"/>
  <c r="V75" i="1"/>
  <c r="V76" i="1"/>
  <c r="W74" i="1"/>
  <c r="W75" i="1"/>
  <c r="W76" i="1"/>
  <c r="W42" i="20"/>
  <c r="H42" i="20"/>
  <c r="G41" i="20"/>
  <c r="H41" i="20"/>
  <c r="I41" i="20"/>
  <c r="J41" i="20"/>
  <c r="K41" i="20"/>
  <c r="L41" i="20"/>
  <c r="M41" i="20"/>
  <c r="N41" i="20"/>
  <c r="O41" i="20"/>
  <c r="P41" i="20"/>
  <c r="Q41" i="20"/>
  <c r="R41" i="20"/>
  <c r="S41" i="20"/>
  <c r="T69" i="1"/>
  <c r="T70" i="1"/>
  <c r="T71" i="1"/>
  <c r="T72" i="1"/>
  <c r="T73" i="1"/>
  <c r="U69" i="1"/>
  <c r="U70" i="1"/>
  <c r="U71" i="1"/>
  <c r="U72" i="1"/>
  <c r="U73" i="1"/>
  <c r="V69" i="1"/>
  <c r="V70" i="1"/>
  <c r="V71" i="1"/>
  <c r="V72" i="1"/>
  <c r="V73" i="1"/>
  <c r="V41" i="20"/>
  <c r="W69" i="1"/>
  <c r="W72" i="1"/>
  <c r="W70" i="1"/>
  <c r="W71" i="1"/>
  <c r="W73" i="1"/>
  <c r="W41" i="20"/>
  <c r="P32" i="20"/>
  <c r="T50" i="1"/>
  <c r="T51" i="1"/>
  <c r="L31" i="20"/>
  <c r="T45" i="1"/>
  <c r="T46" i="1"/>
  <c r="T47" i="1"/>
  <c r="T48" i="1"/>
  <c r="T49" i="1"/>
  <c r="L26" i="20"/>
  <c r="L25" i="20"/>
  <c r="P25" i="20"/>
  <c r="H25" i="20"/>
  <c r="L23" i="20"/>
  <c r="P23" i="20"/>
  <c r="T27" i="1"/>
  <c r="T28" i="1"/>
  <c r="T29" i="1"/>
  <c r="T23" i="20"/>
  <c r="H23" i="20"/>
  <c r="L22" i="20"/>
  <c r="T22" i="1"/>
  <c r="T23" i="1"/>
  <c r="T25" i="1"/>
  <c r="T24" i="1"/>
  <c r="T26" i="1"/>
  <c r="T22" i="20"/>
  <c r="D22" i="20"/>
  <c r="P228" i="20"/>
  <c r="T228" i="20"/>
  <c r="P180" i="20"/>
  <c r="T180" i="20"/>
  <c r="P143" i="20"/>
  <c r="T143" i="20"/>
  <c r="P114" i="20"/>
  <c r="T114" i="20"/>
  <c r="B87" i="20"/>
  <c r="B85" i="20"/>
  <c r="D85" i="20"/>
  <c r="F85" i="20"/>
  <c r="H85" i="20"/>
  <c r="J85" i="20"/>
  <c r="L85" i="20"/>
  <c r="N85" i="20"/>
  <c r="P212" i="29"/>
  <c r="T212" i="29"/>
  <c r="P196" i="29"/>
  <c r="T196" i="29"/>
  <c r="P156" i="29"/>
  <c r="T156" i="29"/>
  <c r="P123" i="29"/>
  <c r="T123" i="29"/>
  <c r="P98" i="29"/>
  <c r="T98" i="29"/>
  <c r="B75" i="29"/>
  <c r="B73" i="29"/>
  <c r="D73" i="29"/>
  <c r="F73" i="29"/>
  <c r="H73" i="29"/>
  <c r="J73" i="29"/>
  <c r="L73" i="29"/>
  <c r="N73" i="29"/>
  <c r="P73" i="29"/>
  <c r="T73" i="29"/>
  <c r="P164" i="28"/>
  <c r="T164" i="28"/>
  <c r="P132" i="28"/>
  <c r="T132" i="28"/>
  <c r="P103" i="28"/>
  <c r="T103" i="28"/>
  <c r="P82" i="28"/>
  <c r="T82" i="28"/>
  <c r="B63" i="28"/>
  <c r="B61" i="28"/>
  <c r="D61" i="28"/>
  <c r="F61" i="28"/>
  <c r="H61" i="28"/>
  <c r="J61" i="28"/>
  <c r="L61" i="28"/>
  <c r="N61" i="28"/>
  <c r="P164" i="27"/>
  <c r="T164" i="27"/>
  <c r="P132" i="27"/>
  <c r="T132" i="27"/>
  <c r="P103" i="27"/>
  <c r="T103" i="27"/>
  <c r="P82" i="27"/>
  <c r="T82" i="27"/>
  <c r="B63" i="27"/>
  <c r="B61" i="27"/>
  <c r="D61" i="27"/>
  <c r="F61" i="27"/>
  <c r="H61" i="27"/>
  <c r="J61" i="27"/>
  <c r="L61" i="27"/>
  <c r="N61" i="27"/>
  <c r="P164" i="26"/>
  <c r="T164" i="26"/>
  <c r="P132" i="26"/>
  <c r="T132" i="26"/>
  <c r="P103" i="26"/>
  <c r="T103" i="26"/>
  <c r="P82" i="26"/>
  <c r="T82" i="26"/>
  <c r="B63" i="26"/>
  <c r="B61" i="26"/>
  <c r="D61" i="26"/>
  <c r="F61" i="26"/>
  <c r="H61" i="26"/>
  <c r="J61" i="26"/>
  <c r="L61" i="26"/>
  <c r="N61" i="26"/>
  <c r="P61" i="26"/>
  <c r="T164" i="25"/>
  <c r="T82" i="25"/>
  <c r="B63" i="25"/>
  <c r="P164" i="24"/>
  <c r="T164" i="24"/>
  <c r="P132" i="24"/>
  <c r="T132" i="24"/>
  <c r="P103" i="24"/>
  <c r="T103" i="24"/>
  <c r="P82" i="24"/>
  <c r="T82" i="24"/>
  <c r="B63" i="24"/>
  <c r="B61" i="24"/>
  <c r="D61" i="24"/>
  <c r="F61" i="24"/>
  <c r="H61" i="24"/>
  <c r="J61" i="24"/>
  <c r="L61" i="24"/>
  <c r="N61" i="24"/>
  <c r="P164" i="23"/>
  <c r="T164" i="23"/>
  <c r="P132" i="23"/>
  <c r="T132" i="23"/>
  <c r="P103" i="23"/>
  <c r="T103" i="23"/>
  <c r="P82" i="23"/>
  <c r="T82" i="23"/>
  <c r="B63" i="23"/>
  <c r="B61" i="23"/>
  <c r="D61" i="23"/>
  <c r="F61" i="23"/>
  <c r="H61" i="23"/>
  <c r="J61" i="23"/>
  <c r="L61" i="23"/>
  <c r="N61" i="23"/>
  <c r="P61" i="23"/>
  <c r="T61" i="23"/>
  <c r="P164" i="22"/>
  <c r="T164" i="22"/>
  <c r="P132" i="22"/>
  <c r="T132" i="22"/>
  <c r="P103" i="22"/>
  <c r="T103" i="22"/>
  <c r="P82" i="22"/>
  <c r="T82" i="22"/>
  <c r="B63" i="22"/>
  <c r="B61" i="22"/>
  <c r="D61" i="22"/>
  <c r="F61" i="22"/>
  <c r="H61" i="22"/>
  <c r="J61" i="22"/>
  <c r="L61" i="22"/>
  <c r="N61" i="22"/>
  <c r="P164" i="21"/>
  <c r="T164" i="21"/>
  <c r="P132" i="21"/>
  <c r="T132" i="21"/>
  <c r="P103" i="21"/>
  <c r="T103" i="21"/>
  <c r="P82" i="21"/>
  <c r="T82" i="21"/>
  <c r="B63" i="21"/>
  <c r="B61" i="21"/>
  <c r="D61" i="21"/>
  <c r="F61" i="21"/>
  <c r="H61" i="21"/>
  <c r="J61" i="21"/>
  <c r="L61" i="21"/>
  <c r="N61" i="21"/>
  <c r="P61" i="21"/>
  <c r="T61" i="21"/>
  <c r="P164" i="19"/>
  <c r="T164" i="19"/>
  <c r="P132" i="19"/>
  <c r="T132" i="19"/>
  <c r="P103" i="19"/>
  <c r="T103" i="19"/>
  <c r="P82" i="19"/>
  <c r="T82" i="19"/>
  <c r="B63" i="19"/>
  <c r="B61" i="19"/>
  <c r="D61" i="19"/>
  <c r="F61" i="19"/>
  <c r="H61" i="19"/>
  <c r="J61" i="19"/>
  <c r="L61" i="19"/>
  <c r="N61" i="19"/>
  <c r="P164" i="18"/>
  <c r="T164" i="18"/>
  <c r="P132" i="18"/>
  <c r="T132" i="18"/>
  <c r="P103" i="18"/>
  <c r="T103" i="18"/>
  <c r="P82" i="18"/>
  <c r="T82" i="18"/>
  <c r="B63" i="18"/>
  <c r="B61" i="18"/>
  <c r="D61" i="18"/>
  <c r="F61" i="18"/>
  <c r="H61" i="18"/>
  <c r="J61" i="18"/>
  <c r="L61" i="18"/>
  <c r="N61" i="18"/>
  <c r="P262" i="1"/>
  <c r="T262" i="1"/>
  <c r="P337" i="1"/>
  <c r="T337" i="1"/>
  <c r="P438" i="1"/>
  <c r="T438" i="1"/>
  <c r="P560" i="1"/>
  <c r="T560" i="1"/>
  <c r="A1" i="6"/>
  <c r="A1" i="5"/>
  <c r="A58" i="6"/>
  <c r="A57" i="6"/>
  <c r="A56" i="6"/>
  <c r="A55" i="6"/>
  <c r="A77" i="6"/>
  <c r="A76" i="6"/>
  <c r="B189" i="1"/>
  <c r="N187" i="1"/>
  <c r="L187" i="1"/>
  <c r="J187" i="1"/>
  <c r="H187" i="1"/>
  <c r="F187" i="1"/>
  <c r="D187" i="1"/>
  <c r="B187" i="1"/>
  <c r="P647" i="1"/>
  <c r="T647" i="1"/>
  <c r="A84" i="6"/>
  <c r="A82" i="6"/>
  <c r="A74" i="6"/>
  <c r="A72" i="6"/>
  <c r="A70" i="6"/>
  <c r="A68" i="6"/>
  <c r="A63" i="6"/>
  <c r="A61" i="6"/>
  <c r="A60" i="6"/>
  <c r="A53" i="6"/>
  <c r="A52" i="6"/>
  <c r="A51" i="6"/>
  <c r="A50" i="6"/>
  <c r="A45" i="6"/>
  <c r="A43" i="6"/>
  <c r="A41" i="6"/>
  <c r="A36" i="6"/>
  <c r="A34" i="6"/>
  <c r="A32" i="6"/>
  <c r="A27" i="6"/>
  <c r="A26" i="6"/>
  <c r="A25" i="6"/>
  <c r="A24" i="6"/>
  <c r="A22" i="6"/>
  <c r="A20" i="6"/>
  <c r="A18" i="6"/>
  <c r="A13" i="6"/>
  <c r="A12" i="6"/>
  <c r="A11" i="6"/>
  <c r="A10" i="6"/>
  <c r="A8" i="6"/>
  <c r="A6" i="6"/>
  <c r="L34" i="20"/>
  <c r="T42" i="20"/>
  <c r="P42" i="20"/>
  <c r="L42" i="20"/>
  <c r="H34" i="20"/>
  <c r="P35" i="20"/>
  <c r="D41" i="20"/>
  <c r="T41" i="20"/>
  <c r="R163" i="20"/>
  <c r="N163" i="20"/>
  <c r="P165" i="20"/>
  <c r="R166" i="20"/>
  <c r="L171" i="20"/>
  <c r="H196" i="20"/>
  <c r="T195" i="20"/>
  <c r="T196" i="20"/>
  <c r="L196" i="20"/>
  <c r="L198" i="20"/>
  <c r="H207" i="20"/>
  <c r="D213" i="20"/>
  <c r="P213" i="20"/>
  <c r="H213" i="20"/>
  <c r="P235" i="20"/>
  <c r="T163" i="20"/>
  <c r="P163" i="20"/>
  <c r="V162" i="20"/>
  <c r="N162" i="20"/>
  <c r="P166" i="20"/>
  <c r="R165" i="20"/>
  <c r="L172" i="20"/>
  <c r="D195" i="20"/>
  <c r="P196" i="20"/>
  <c r="P198" i="20"/>
  <c r="H214" i="20"/>
  <c r="T213" i="20"/>
  <c r="L213" i="20"/>
  <c r="L214" i="20"/>
  <c r="P217" i="20"/>
  <c r="J223" i="20"/>
  <c r="P224" i="20"/>
  <c r="L223" i="20"/>
  <c r="P61" i="19"/>
  <c r="T61" i="22"/>
  <c r="P61" i="24"/>
  <c r="P85" i="20"/>
  <c r="T31" i="20"/>
  <c r="H32" i="20"/>
  <c r="R44" i="20"/>
  <c r="N44" i="20"/>
  <c r="L44" i="20"/>
  <c r="J44" i="20"/>
  <c r="S45" i="20"/>
  <c r="Q45" i="20"/>
  <c r="O45" i="20"/>
  <c r="M45" i="20"/>
  <c r="L56" i="20"/>
  <c r="H62" i="20"/>
  <c r="H92" i="20"/>
  <c r="P150" i="20"/>
  <c r="D156" i="20"/>
  <c r="F156" i="20"/>
  <c r="L162" i="20"/>
  <c r="P175" i="20"/>
  <c r="D186" i="20"/>
  <c r="P186" i="20"/>
  <c r="H186" i="20"/>
  <c r="P187" i="20"/>
  <c r="P189" i="20"/>
  <c r="L199" i="20"/>
  <c r="H205" i="20"/>
  <c r="T204" i="20"/>
  <c r="L204" i="20"/>
  <c r="T205" i="20"/>
  <c r="L205" i="20"/>
  <c r="L207" i="20"/>
  <c r="H216" i="20"/>
  <c r="P61" i="18"/>
  <c r="T61" i="18"/>
  <c r="T61" i="19"/>
  <c r="T61" i="24"/>
  <c r="T85" i="20"/>
  <c r="P61" i="20"/>
  <c r="P64" i="20"/>
  <c r="P74" i="20"/>
  <c r="D109" i="20"/>
  <c r="L124" i="20"/>
  <c r="L150" i="20"/>
  <c r="P151" i="20"/>
  <c r="P156" i="20"/>
  <c r="D31" i="20"/>
  <c r="H31" i="20"/>
  <c r="T32" i="20"/>
  <c r="L32" i="20"/>
  <c r="S44" i="20"/>
  <c r="Q44" i="20"/>
  <c r="O44" i="20"/>
  <c r="M44" i="20"/>
  <c r="K44" i="20"/>
  <c r="R45" i="20"/>
  <c r="P45" i="20"/>
  <c r="D61" i="20"/>
  <c r="L64" i="20"/>
  <c r="P65" i="20"/>
  <c r="P73" i="20"/>
  <c r="T71" i="20"/>
  <c r="D80" i="20"/>
  <c r="P80" i="20"/>
  <c r="L81" i="20"/>
  <c r="P81" i="20"/>
  <c r="D91" i="20"/>
  <c r="H91" i="20"/>
  <c r="P94" i="20"/>
  <c r="L104" i="20"/>
  <c r="H109" i="20"/>
  <c r="D129" i="20"/>
  <c r="P129" i="20"/>
  <c r="H129" i="20"/>
  <c r="P130" i="20"/>
  <c r="P132" i="20"/>
  <c r="D150" i="20"/>
  <c r="F150" i="20"/>
  <c r="T150" i="20"/>
  <c r="J151" i="20"/>
  <c r="L151" i="20"/>
  <c r="L156" i="20"/>
  <c r="P157" i="20"/>
  <c r="H130" i="20"/>
  <c r="T129" i="20"/>
  <c r="L129" i="20"/>
  <c r="T130" i="20"/>
  <c r="L130" i="20"/>
  <c r="L132" i="20"/>
  <c r="P133" i="20"/>
  <c r="P139" i="20"/>
  <c r="G150" i="20"/>
  <c r="E150" i="20"/>
  <c r="V150" i="20"/>
  <c r="R150" i="20"/>
  <c r="K151" i="20"/>
  <c r="I151" i="20"/>
  <c r="N151" i="20"/>
  <c r="R151" i="20"/>
  <c r="G156" i="20"/>
  <c r="E156" i="20"/>
  <c r="J156" i="20"/>
  <c r="T156" i="20"/>
  <c r="L157" i="20"/>
  <c r="V156" i="20"/>
  <c r="R156" i="20"/>
  <c r="N156" i="20"/>
  <c r="N157" i="20"/>
  <c r="R157" i="20"/>
  <c r="L163" i="20"/>
  <c r="V163" i="20"/>
  <c r="T172" i="20"/>
  <c r="P174" i="20"/>
  <c r="H187" i="20"/>
  <c r="T186" i="20"/>
  <c r="L186" i="20"/>
  <c r="T187" i="20"/>
  <c r="L187" i="20"/>
  <c r="L189" i="20"/>
  <c r="P190" i="20"/>
  <c r="H198" i="20"/>
  <c r="D204" i="20"/>
  <c r="P204" i="20"/>
  <c r="H204" i="20"/>
  <c r="P205" i="20"/>
  <c r="P207" i="20"/>
  <c r="L217" i="20"/>
  <c r="Y538" i="35"/>
  <c r="Y66" i="46"/>
  <c r="AC50" i="35"/>
  <c r="AC84" i="35"/>
  <c r="AC74" i="35"/>
  <c r="AC10" i="46"/>
  <c r="Y181" i="35"/>
  <c r="AC171" i="35"/>
  <c r="AC56" i="46"/>
  <c r="J79" i="35"/>
  <c r="AJ79" i="35"/>
  <c r="AN232" i="35"/>
  <c r="AN255" i="35"/>
  <c r="AO209" i="35"/>
  <c r="Y250" i="35"/>
  <c r="AC240" i="35"/>
  <c r="AC45" i="46"/>
  <c r="Y602" i="35"/>
  <c r="Y84" i="46"/>
  <c r="AI548" i="35"/>
  <c r="U538" i="35"/>
  <c r="AI614" i="35"/>
  <c r="U601" i="35"/>
  <c r="AC30" i="46"/>
  <c r="AC69" i="35"/>
  <c r="AC69" i="46"/>
  <c r="W80" i="20"/>
  <c r="AC280" i="35"/>
  <c r="AC270" i="35"/>
  <c r="AC43" i="46"/>
  <c r="AC60" i="46"/>
  <c r="AH176" i="35"/>
  <c r="Y193" i="35"/>
  <c r="Y29" i="46"/>
  <c r="AH203" i="35"/>
  <c r="AH226" i="35"/>
  <c r="AK203" i="35"/>
  <c r="AI231" i="35"/>
  <c r="AH231" i="35"/>
  <c r="Y221" i="35"/>
  <c r="U221" i="35"/>
  <c r="O577" i="35"/>
  <c r="U577" i="35"/>
  <c r="AI581" i="35"/>
  <c r="U568" i="35"/>
  <c r="AH382" i="35"/>
  <c r="AI382" i="35"/>
  <c r="U372" i="35"/>
  <c r="Y372" i="35"/>
  <c r="U378" i="35"/>
  <c r="M157" i="20"/>
  <c r="AJ282" i="35"/>
  <c r="U272" i="35"/>
  <c r="U45" i="46"/>
  <c r="O272" i="35"/>
  <c r="AN272" i="35"/>
  <c r="AN294" i="35"/>
  <c r="AN304" i="35"/>
  <c r="AJ304" i="35"/>
  <c r="O294" i="35"/>
  <c r="AN326" i="35"/>
  <c r="AJ326" i="35"/>
  <c r="AN316" i="35"/>
  <c r="O316" i="35"/>
  <c r="U316" i="35"/>
  <c r="AJ228" i="35"/>
  <c r="AN228" i="35"/>
  <c r="AN218" i="35"/>
  <c r="O218" i="35"/>
  <c r="O31" i="46"/>
  <c r="U218" i="35"/>
  <c r="U62" i="35"/>
  <c r="AH62" i="35"/>
  <c r="U62" i="34"/>
  <c r="AI61" i="35"/>
  <c r="Y49" i="35"/>
  <c r="AH59" i="35"/>
  <c r="U46" i="35"/>
  <c r="U6" i="46"/>
  <c r="AI56" i="35"/>
  <c r="O104" i="35"/>
  <c r="O104" i="34"/>
  <c r="Y38" i="35"/>
  <c r="Y38" i="34"/>
  <c r="AN518" i="35"/>
  <c r="U518" i="35"/>
  <c r="R552" i="35"/>
  <c r="U542" i="35"/>
  <c r="U70" i="46"/>
  <c r="H55" i="20"/>
  <c r="P104" i="20"/>
  <c r="L109" i="20"/>
  <c r="T121" i="20"/>
  <c r="R80" i="20"/>
  <c r="Y57" i="35"/>
  <c r="AC47" i="35"/>
  <c r="AC174" i="35"/>
  <c r="AC120" i="35"/>
  <c r="AC143" i="35"/>
  <c r="AC48" i="35"/>
  <c r="AC167" i="35"/>
  <c r="AC72" i="35"/>
  <c r="AC179" i="35"/>
  <c r="AC133" i="35"/>
  <c r="AC123" i="35"/>
  <c r="AC133" i="34"/>
  <c r="AC183" i="35"/>
  <c r="AC173" i="35"/>
  <c r="AC193" i="35"/>
  <c r="AC29" i="46"/>
  <c r="AC271" i="35"/>
  <c r="AC44" i="46"/>
  <c r="AC378" i="35"/>
  <c r="AC368" i="35"/>
  <c r="Y497" i="35"/>
  <c r="Y544" i="35"/>
  <c r="Y72" i="46"/>
  <c r="Y566" i="35"/>
  <c r="AH82" i="35"/>
  <c r="Y72" i="35"/>
  <c r="P110" i="20"/>
  <c r="AI250" i="35"/>
  <c r="U240" i="35"/>
  <c r="AI331" i="35"/>
  <c r="AI285" i="35"/>
  <c r="AL285" i="35"/>
  <c r="U275" i="35"/>
  <c r="U48" i="46"/>
  <c r="U279" i="35"/>
  <c r="L123" i="20"/>
  <c r="AH548" i="35"/>
  <c r="AH611" i="35"/>
  <c r="Y568" i="35"/>
  <c r="Y79" i="46"/>
  <c r="AH581" i="35"/>
  <c r="AI583" i="35"/>
  <c r="AL583" i="35"/>
  <c r="U570" i="35"/>
  <c r="U81" i="46"/>
  <c r="AK362" i="35"/>
  <c r="Y346" i="35"/>
  <c r="H477" i="35"/>
  <c r="AN274" i="35"/>
  <c r="Y274" i="35"/>
  <c r="AN284" i="35"/>
  <c r="AN307" i="35"/>
  <c r="AN330" i="35"/>
  <c r="AO284" i="35"/>
  <c r="AH284" i="35"/>
  <c r="AN328" i="35"/>
  <c r="AN318" i="35"/>
  <c r="AN282" i="35"/>
  <c r="AO282" i="35"/>
  <c r="J327" i="35"/>
  <c r="D138" i="20"/>
  <c r="AN281" i="35"/>
  <c r="AN271" i="35"/>
  <c r="O271" i="35"/>
  <c r="AN292" i="35"/>
  <c r="AN315" i="35"/>
  <c r="AO269" i="35"/>
  <c r="AJ302" i="35"/>
  <c r="AN549" i="35"/>
  <c r="AO456" i="35"/>
  <c r="O539" i="35"/>
  <c r="AJ549" i="35"/>
  <c r="AM456" i="35"/>
  <c r="J579" i="35"/>
  <c r="D235" i="20"/>
  <c r="U51" i="35"/>
  <c r="Y174" i="35"/>
  <c r="AH507" i="35"/>
  <c r="AI507" i="35"/>
  <c r="AI484" i="35"/>
  <c r="AI530" i="35"/>
  <c r="AL461" i="35"/>
  <c r="U497" i="35"/>
  <c r="U72" i="46"/>
  <c r="AN530" i="35"/>
  <c r="AN520" i="35"/>
  <c r="AN544" i="35"/>
  <c r="AO451" i="35"/>
  <c r="AI528" i="35"/>
  <c r="AH526" i="35"/>
  <c r="AH529" i="35"/>
  <c r="AH530" i="35"/>
  <c r="AH536" i="35"/>
  <c r="AN458" i="35"/>
  <c r="AJ458" i="35"/>
  <c r="AJ504" i="35"/>
  <c r="AM458" i="35"/>
  <c r="AN448" i="35"/>
  <c r="U448" i="35"/>
  <c r="O448" i="35"/>
  <c r="O69" i="46"/>
  <c r="O454" i="35"/>
  <c r="H189" i="20"/>
  <c r="H123" i="20"/>
  <c r="H81" i="20"/>
  <c r="N45" i="20"/>
  <c r="P31" i="20"/>
  <c r="T109" i="20"/>
  <c r="I42" i="20"/>
  <c r="P61" i="28"/>
  <c r="T61" i="28"/>
  <c r="V42" i="20"/>
  <c r="N42" i="20"/>
  <c r="P120" i="20"/>
  <c r="L120" i="20"/>
  <c r="I150" i="20"/>
  <c r="Q150" i="20"/>
  <c r="O156" i="20"/>
  <c r="L216" i="20"/>
  <c r="O80" i="20"/>
  <c r="Q80" i="20"/>
  <c r="K81" i="20"/>
  <c r="Y82" i="34"/>
  <c r="AC156" i="34"/>
  <c r="AC631" i="35"/>
  <c r="AC49" i="35"/>
  <c r="AC73" i="35"/>
  <c r="AC9" i="46"/>
  <c r="AC28" i="35"/>
  <c r="AC140" i="35"/>
  <c r="AC45" i="35"/>
  <c r="AC5" i="46"/>
  <c r="AC97" i="35"/>
  <c r="AC154" i="35"/>
  <c r="AC144" i="35"/>
  <c r="AC154" i="34"/>
  <c r="AC158" i="35"/>
  <c r="AC158" i="34"/>
  <c r="AC31" i="46"/>
  <c r="AC36" i="46"/>
  <c r="O318" i="35"/>
  <c r="AC274" i="35"/>
  <c r="AC47" i="46"/>
  <c r="U516" i="35"/>
  <c r="U68" i="46"/>
  <c r="Y515" i="35"/>
  <c r="AC513" i="35"/>
  <c r="AC482" i="35"/>
  <c r="AC472" i="35"/>
  <c r="AC70" i="46"/>
  <c r="AC462" i="35"/>
  <c r="U177" i="35"/>
  <c r="M81" i="20"/>
  <c r="J80" i="35"/>
  <c r="O70" i="35"/>
  <c r="J175" i="35"/>
  <c r="E80" i="20"/>
  <c r="O175" i="35"/>
  <c r="AI180" i="35"/>
  <c r="AK211" i="35"/>
  <c r="AH206" i="35"/>
  <c r="AK206" i="35"/>
  <c r="AH205" i="35"/>
  <c r="Y195" i="35"/>
  <c r="Y31" i="46"/>
  <c r="AI228" i="35"/>
  <c r="AI227" i="35"/>
  <c r="Y217" i="35"/>
  <c r="U217" i="35"/>
  <c r="AH324" i="35"/>
  <c r="AK278" i="35"/>
  <c r="AH282" i="35"/>
  <c r="AK282" i="35"/>
  <c r="Y272" i="35"/>
  <c r="Y45" i="46"/>
  <c r="AJ328" i="35"/>
  <c r="U327" i="35"/>
  <c r="L139" i="20"/>
  <c r="AI281" i="35"/>
  <c r="AM280" i="35"/>
  <c r="AI280" i="35"/>
  <c r="U270" i="35"/>
  <c r="U43" i="46"/>
  <c r="AI584" i="35"/>
  <c r="AI613" i="35"/>
  <c r="AL584" i="35"/>
  <c r="AH584" i="35"/>
  <c r="AK584" i="35"/>
  <c r="Y571" i="35"/>
  <c r="U571" i="35"/>
  <c r="AL580" i="35"/>
  <c r="AH385" i="35"/>
  <c r="AI385" i="35"/>
  <c r="U375" i="35"/>
  <c r="AI361" i="35"/>
  <c r="AL361" i="35"/>
  <c r="U351" i="35"/>
  <c r="Y351" i="35"/>
  <c r="AH361" i="35"/>
  <c r="AI360" i="35"/>
  <c r="AH360" i="35"/>
  <c r="U350" i="35"/>
  <c r="Y350" i="35"/>
  <c r="U370" i="35"/>
  <c r="Y370" i="35"/>
  <c r="AI380" i="35"/>
  <c r="AH404" i="35"/>
  <c r="Y394" i="35"/>
  <c r="AN394" i="35"/>
  <c r="AI428" i="35"/>
  <c r="AH428" i="35"/>
  <c r="H547" i="35"/>
  <c r="D223" i="20"/>
  <c r="AN514" i="35"/>
  <c r="O514" i="35"/>
  <c r="Y399" i="35"/>
  <c r="AN399" i="35"/>
  <c r="AH409" i="35"/>
  <c r="AN273" i="35"/>
  <c r="Y273" i="35"/>
  <c r="Y46" i="46"/>
  <c r="AN283" i="35"/>
  <c r="AN223" i="35"/>
  <c r="AO200" i="35"/>
  <c r="AH233" i="35"/>
  <c r="AN233" i="35"/>
  <c r="AN229" i="35"/>
  <c r="AN219" i="35"/>
  <c r="AN242" i="35"/>
  <c r="AO196" i="35"/>
  <c r="AJ229" i="35"/>
  <c r="O219" i="35"/>
  <c r="Y553" i="35"/>
  <c r="AH552" i="35"/>
  <c r="U105" i="35"/>
  <c r="U105" i="34"/>
  <c r="V150" i="35"/>
  <c r="AH150" i="35"/>
  <c r="AH127" i="35"/>
  <c r="Y117" i="35"/>
  <c r="Y104" i="35"/>
  <c r="Y104" i="34"/>
  <c r="U41" i="20"/>
  <c r="AC35" i="35"/>
  <c r="AC25" i="35"/>
  <c r="AC35" i="34"/>
  <c r="U66" i="46"/>
  <c r="AC66" i="46"/>
  <c r="Y578" i="35"/>
  <c r="U578" i="35"/>
  <c r="AH179" i="35"/>
  <c r="S81" i="20"/>
  <c r="AH86" i="35"/>
  <c r="Y76" i="35"/>
  <c r="O69" i="35"/>
  <c r="AJ176" i="35"/>
  <c r="U171" i="35"/>
  <c r="AI181" i="35"/>
  <c r="R111" i="35"/>
  <c r="AI111" i="35"/>
  <c r="R111" i="34"/>
  <c r="H53" i="20"/>
  <c r="AI37" i="35"/>
  <c r="U27" i="35"/>
  <c r="Y230" i="35"/>
  <c r="AC220" i="35"/>
  <c r="AC33" i="46"/>
  <c r="P103" i="20"/>
  <c r="AI207" i="35"/>
  <c r="AL207" i="35"/>
  <c r="Y197" i="35"/>
  <c r="U197" i="35"/>
  <c r="U33" i="46"/>
  <c r="AH207" i="35"/>
  <c r="AH281" i="35"/>
  <c r="Y271" i="35"/>
  <c r="U307" i="35"/>
  <c r="L133" i="20"/>
  <c r="AI551" i="35"/>
  <c r="U541" i="35"/>
  <c r="U539" i="35"/>
  <c r="U67" i="46"/>
  <c r="AI549" i="35"/>
  <c r="AL456" i="35"/>
  <c r="AI615" i="35"/>
  <c r="U602" i="35"/>
  <c r="AH615" i="35"/>
  <c r="AK586" i="35"/>
  <c r="AI611" i="35"/>
  <c r="Y598" i="35"/>
  <c r="AN331" i="35"/>
  <c r="AO285" i="35"/>
  <c r="AN222" i="35"/>
  <c r="AH232" i="35"/>
  <c r="AH255" i="35"/>
  <c r="AK209" i="35"/>
  <c r="Y222" i="35"/>
  <c r="AN199" i="35"/>
  <c r="Y199" i="35"/>
  <c r="AN254" i="35"/>
  <c r="AN231" i="35"/>
  <c r="AO208" i="35"/>
  <c r="AN244" i="35"/>
  <c r="Y244" i="35"/>
  <c r="AN602" i="35"/>
  <c r="AN615" i="35"/>
  <c r="AN375" i="35"/>
  <c r="AO351" i="35"/>
  <c r="AN385" i="35"/>
  <c r="U60" i="35"/>
  <c r="L35" i="20"/>
  <c r="U60" i="34"/>
  <c r="Y57" i="34"/>
  <c r="U134" i="35"/>
  <c r="AH134" i="35"/>
  <c r="U134" i="34"/>
  <c r="Y110" i="35"/>
  <c r="P56" i="20"/>
  <c r="AI526" i="35"/>
  <c r="AL457" i="35"/>
  <c r="Y516" i="35"/>
  <c r="Y68" i="46"/>
  <c r="AN506" i="35"/>
  <c r="AH506" i="35"/>
  <c r="AN496" i="35"/>
  <c r="Y496" i="35"/>
  <c r="AN373" i="35"/>
  <c r="AN383" i="35"/>
  <c r="P91" i="20"/>
  <c r="L224" i="20"/>
  <c r="P22" i="20"/>
  <c r="T61" i="26"/>
  <c r="P26" i="20"/>
  <c r="U42" i="20"/>
  <c r="T138" i="20"/>
  <c r="P92" i="20"/>
  <c r="U76" i="35"/>
  <c r="AC33" i="34"/>
  <c r="AC33" i="35"/>
  <c r="AC23" i="35"/>
  <c r="AC85" i="35"/>
  <c r="AC175" i="35"/>
  <c r="AC101" i="35"/>
  <c r="AC124" i="35"/>
  <c r="AC147" i="35"/>
  <c r="AC52" i="35"/>
  <c r="AC182" i="35"/>
  <c r="AC172" i="35"/>
  <c r="AC231" i="35"/>
  <c r="AC221" i="35"/>
  <c r="AC199" i="35"/>
  <c r="AC35" i="46"/>
  <c r="O42" i="46"/>
  <c r="AC41" i="46"/>
  <c r="AC356" i="35"/>
  <c r="AC346" i="35"/>
  <c r="AC55" i="46"/>
  <c r="Y541" i="35"/>
  <c r="Y69" i="46"/>
  <c r="AC67" i="46"/>
  <c r="O607" i="35"/>
  <c r="AH80" i="35"/>
  <c r="Y70" i="35"/>
  <c r="Y85" i="35"/>
  <c r="U178" i="35"/>
  <c r="R134" i="35"/>
  <c r="R134" i="34"/>
  <c r="AI84" i="35"/>
  <c r="AH254" i="35"/>
  <c r="AI256" i="35"/>
  <c r="AL210" i="35"/>
  <c r="AH256" i="35"/>
  <c r="Y200" i="35"/>
  <c r="Y36" i="46"/>
  <c r="U200" i="35"/>
  <c r="U36" i="46"/>
  <c r="AH210" i="35"/>
  <c r="AL209" i="35"/>
  <c r="U195" i="35"/>
  <c r="AI205" i="35"/>
  <c r="AL205" i="35"/>
  <c r="Y416" i="35"/>
  <c r="AN416" i="35"/>
  <c r="AH426" i="35"/>
  <c r="AN245" i="35"/>
  <c r="N150" i="20"/>
  <c r="L110" i="20"/>
  <c r="I44" i="20"/>
  <c r="P208" i="20"/>
  <c r="L94" i="20"/>
  <c r="L91" i="20"/>
  <c r="L208" i="20"/>
  <c r="L242" i="20"/>
  <c r="P34" i="20"/>
  <c r="P187" i="1"/>
  <c r="T187" i="1"/>
  <c r="P61" i="27"/>
  <c r="T61" i="27"/>
  <c r="P52" i="20"/>
  <c r="W156" i="20"/>
  <c r="F223" i="20"/>
  <c r="T223" i="20"/>
  <c r="R223" i="20"/>
  <c r="Q81" i="20"/>
  <c r="P241" i="20"/>
  <c r="T241" i="20"/>
  <c r="Y110" i="34"/>
  <c r="AC129" i="34"/>
  <c r="AC46" i="35"/>
  <c r="AC34" i="35"/>
  <c r="AC24" i="35"/>
  <c r="AC7" i="46"/>
  <c r="AC34" i="34"/>
  <c r="AC76" i="35"/>
  <c r="AC87" i="35"/>
  <c r="AC77" i="35"/>
  <c r="AC63" i="35"/>
  <c r="AC53" i="35"/>
  <c r="AC63" i="34"/>
  <c r="Y152" i="35"/>
  <c r="AC142" i="35"/>
  <c r="AC19" i="46"/>
  <c r="U245" i="35"/>
  <c r="U35" i="46"/>
  <c r="Y245" i="35"/>
  <c r="AC244" i="35"/>
  <c r="AC37" i="46"/>
  <c r="O43" i="46"/>
  <c r="AC416" i="35"/>
  <c r="AC410" i="35"/>
  <c r="AC400" i="35"/>
  <c r="Y70" i="46"/>
  <c r="AC68" i="46"/>
  <c r="AC546" i="35"/>
  <c r="AC566" i="35"/>
  <c r="O167" i="35"/>
  <c r="O20" i="46"/>
  <c r="AH177" i="35"/>
  <c r="U71" i="35"/>
  <c r="AI174" i="35"/>
  <c r="AI176" i="35"/>
  <c r="U166" i="35"/>
  <c r="G80" i="20"/>
  <c r="R60" i="35"/>
  <c r="Y32" i="46"/>
  <c r="AH304" i="35"/>
  <c r="Y294" i="35"/>
  <c r="AH280" i="35"/>
  <c r="AK280" i="35"/>
  <c r="Y270" i="35"/>
  <c r="Y43" i="46"/>
  <c r="AH306" i="35"/>
  <c r="AH329" i="35"/>
  <c r="AK283" i="35"/>
  <c r="AI306" i="35"/>
  <c r="AI328" i="35"/>
  <c r="AI282" i="35"/>
  <c r="AL282" i="35"/>
  <c r="Y463" i="35"/>
  <c r="Y508" i="35"/>
  <c r="AH508" i="35"/>
  <c r="Y539" i="35"/>
  <c r="Y67" i="46"/>
  <c r="AH549" i="35"/>
  <c r="AK456" i="35"/>
  <c r="Y606" i="35"/>
  <c r="U606" i="35"/>
  <c r="AI619" i="35"/>
  <c r="AH619" i="35"/>
  <c r="AJ618" i="35"/>
  <c r="AM589" i="35"/>
  <c r="AI610" i="35"/>
  <c r="U597" i="35"/>
  <c r="AH356" i="35"/>
  <c r="AH380" i="35"/>
  <c r="AH427" i="35"/>
  <c r="AK356" i="35"/>
  <c r="Y348" i="35"/>
  <c r="Y57" i="46"/>
  <c r="AH354" i="35"/>
  <c r="Y344" i="35"/>
  <c r="AN540" i="35"/>
  <c r="AN470" i="35"/>
  <c r="AO447" i="35"/>
  <c r="O540" i="35"/>
  <c r="O470" i="35"/>
  <c r="O68" i="46"/>
  <c r="AN539" i="35"/>
  <c r="AN446" i="35"/>
  <c r="O446" i="35"/>
  <c r="AN445" i="35"/>
  <c r="AO445" i="35"/>
  <c r="O445" i="35"/>
  <c r="O193" i="35"/>
  <c r="O216" i="35"/>
  <c r="O29" i="46"/>
  <c r="AN193" i="35"/>
  <c r="AJ203" i="35"/>
  <c r="AM203" i="35"/>
  <c r="AN203" i="35"/>
  <c r="AN226" i="35"/>
  <c r="AN249" i="35"/>
  <c r="AO203" i="35"/>
  <c r="AN227" i="35"/>
  <c r="AN250" i="35"/>
  <c r="AO204" i="35"/>
  <c r="AN528" i="35"/>
  <c r="AN586" i="35"/>
  <c r="AO586" i="35"/>
  <c r="U573" i="35"/>
  <c r="AN573" i="35"/>
  <c r="AO573" i="35"/>
  <c r="AI586" i="35"/>
  <c r="AL586" i="35"/>
  <c r="AN614" i="35"/>
  <c r="AN601" i="35"/>
  <c r="AH614" i="35"/>
  <c r="Y601" i="35"/>
  <c r="AN600" i="35"/>
  <c r="AO571" i="35"/>
  <c r="AO582" i="35"/>
  <c r="O379" i="35"/>
  <c r="I156" i="20"/>
  <c r="Y121" i="35"/>
  <c r="AH131" i="35"/>
  <c r="T61" i="25"/>
  <c r="O42" i="20"/>
  <c r="T52" i="20"/>
  <c r="T53" i="20"/>
  <c r="H235" i="20"/>
  <c r="AC629" i="35"/>
  <c r="AC88" i="35"/>
  <c r="AC94" i="35"/>
  <c r="AC105" i="35"/>
  <c r="AC95" i="35"/>
  <c r="AC98" i="35"/>
  <c r="AC109" i="35"/>
  <c r="AC99" i="35"/>
  <c r="AC109" i="34"/>
  <c r="AC113" i="35"/>
  <c r="AC113" i="34"/>
  <c r="AC286" i="35"/>
  <c r="AC276" i="35"/>
  <c r="AC49" i="46"/>
  <c r="AC355" i="35"/>
  <c r="AC345" i="35"/>
  <c r="AC54" i="46"/>
  <c r="AC359" i="35"/>
  <c r="AC349" i="35"/>
  <c r="AC58" i="46"/>
  <c r="AC363" i="35"/>
  <c r="AC554" i="35"/>
  <c r="AC544" i="35"/>
  <c r="AC72" i="46"/>
  <c r="Y178" i="35"/>
  <c r="U79" i="35"/>
  <c r="Y69" i="35"/>
  <c r="AI83" i="35"/>
  <c r="AL465" i="35"/>
  <c r="R132" i="35"/>
  <c r="R132" i="34"/>
  <c r="U100" i="35"/>
  <c r="AH251" i="35"/>
  <c r="AH227" i="35"/>
  <c r="AM208" i="35"/>
  <c r="AI208" i="35"/>
  <c r="AL208" i="35"/>
  <c r="U198" i="35"/>
  <c r="AM205" i="35"/>
  <c r="U271" i="35"/>
  <c r="AI326" i="35"/>
  <c r="AL462" i="35"/>
  <c r="AH590" i="35"/>
  <c r="AK590" i="35"/>
  <c r="Y580" i="35"/>
  <c r="AI585" i="35"/>
  <c r="U572" i="35"/>
  <c r="U600" i="35"/>
  <c r="AI582" i="35"/>
  <c r="AL582" i="35"/>
  <c r="U569" i="35"/>
  <c r="U80" i="46"/>
  <c r="AH425" i="35"/>
  <c r="Y415" i="35"/>
  <c r="AN415" i="35"/>
  <c r="Y398" i="35"/>
  <c r="AN398" i="35"/>
  <c r="AH408" i="35"/>
  <c r="AN329" i="35"/>
  <c r="AJ325" i="35"/>
  <c r="AN197" i="35"/>
  <c r="AN243" i="35"/>
  <c r="AO197" i="35"/>
  <c r="AJ207" i="35"/>
  <c r="AJ230" i="35"/>
  <c r="AJ253" i="35"/>
  <c r="AM207" i="35"/>
  <c r="O197" i="35"/>
  <c r="O33" i="46"/>
  <c r="AH384" i="35"/>
  <c r="Y374" i="35"/>
  <c r="AN359" i="35"/>
  <c r="AO359" i="35"/>
  <c r="AN349" i="35"/>
  <c r="AO349" i="35"/>
  <c r="AH359" i="35"/>
  <c r="AJ59" i="35"/>
  <c r="O48" i="35"/>
  <c r="AJ58" i="35"/>
  <c r="O98" i="35"/>
  <c r="O49" i="35"/>
  <c r="O73" i="35"/>
  <c r="AK457" i="35"/>
  <c r="AI524" i="35"/>
  <c r="AL455" i="35"/>
  <c r="H22" i="20"/>
  <c r="Q42" i="20"/>
  <c r="U150" i="20"/>
  <c r="M150" i="20"/>
  <c r="P85" i="33"/>
  <c r="T85" i="33"/>
  <c r="AC625" i="35"/>
  <c r="AC37" i="34"/>
  <c r="AC39" i="35"/>
  <c r="AC29" i="35"/>
  <c r="AC39" i="34"/>
  <c r="AC354" i="35"/>
  <c r="AC344" i="35"/>
  <c r="AC53" i="46"/>
  <c r="AC358" i="35"/>
  <c r="AC348" i="35"/>
  <c r="AC57" i="46"/>
  <c r="AC362" i="35"/>
  <c r="AC352" i="35"/>
  <c r="AC61" i="46"/>
  <c r="AC83" i="46"/>
  <c r="AH180" i="35"/>
  <c r="AH81" i="35"/>
  <c r="Y64" i="35"/>
  <c r="Y64" i="34"/>
  <c r="AJ80" i="35"/>
  <c r="F41" i="20"/>
  <c r="U169" i="35"/>
  <c r="AI179" i="35"/>
  <c r="AI133" i="35"/>
  <c r="U123" i="35"/>
  <c r="AL206" i="35"/>
  <c r="AI204" i="35"/>
  <c r="U194" i="35"/>
  <c r="U30" i="46"/>
  <c r="AI203" i="35"/>
  <c r="AL203" i="35"/>
  <c r="U193" i="35"/>
  <c r="U29" i="46"/>
  <c r="AK286" i="35"/>
  <c r="AH327" i="35"/>
  <c r="AI283" i="35"/>
  <c r="AL283" i="35"/>
  <c r="U273" i="35"/>
  <c r="U46" i="46"/>
  <c r="AL278" i="35"/>
  <c r="AH551" i="35"/>
  <c r="AL463" i="35"/>
  <c r="AI553" i="35"/>
  <c r="U543" i="35"/>
  <c r="U71" i="46"/>
  <c r="P242" i="20"/>
  <c r="Y88" i="46"/>
  <c r="AK585" i="35"/>
  <c r="AH582" i="35"/>
  <c r="Y569" i="35"/>
  <c r="Y80" i="46"/>
  <c r="AH610" i="35"/>
  <c r="AI359" i="35"/>
  <c r="Y347" i="35"/>
  <c r="AI355" i="35"/>
  <c r="U345" i="35"/>
  <c r="Y392" i="35"/>
  <c r="AN392" i="35"/>
  <c r="AI402" i="35"/>
  <c r="Y393" i="35"/>
  <c r="AN393" i="35"/>
  <c r="AI403" i="35"/>
  <c r="Y421" i="35"/>
  <c r="AN421" i="35"/>
  <c r="AH431" i="35"/>
  <c r="AJ278" i="35"/>
  <c r="U268" i="35"/>
  <c r="U41" i="46"/>
  <c r="O268" i="35"/>
  <c r="O41" i="46"/>
  <c r="AN275" i="35"/>
  <c r="AO275" i="35"/>
  <c r="AH285" i="35"/>
  <c r="AK285" i="35"/>
  <c r="Y275" i="35"/>
  <c r="Y48" i="46"/>
  <c r="AN320" i="35"/>
  <c r="AN293" i="35"/>
  <c r="AN303" i="35"/>
  <c r="AN198" i="35"/>
  <c r="AH208" i="35"/>
  <c r="AK208" i="35"/>
  <c r="Y198" i="35"/>
  <c r="Y34" i="46"/>
  <c r="AN253" i="35"/>
  <c r="AN206" i="35"/>
  <c r="AN252" i="35"/>
  <c r="AO206" i="35"/>
  <c r="AJ206" i="35"/>
  <c r="AM206" i="35"/>
  <c r="U196" i="35"/>
  <c r="U32" i="46"/>
  <c r="O196" i="35"/>
  <c r="O32" i="46"/>
  <c r="AN608" i="35"/>
  <c r="AJ608" i="35"/>
  <c r="AN595" i="35"/>
  <c r="AN585" i="35"/>
  <c r="AN572" i="35"/>
  <c r="AO572" i="35"/>
  <c r="Y572" i="35"/>
  <c r="AN597" i="35"/>
  <c r="AJ610" i="35"/>
  <c r="AN610" i="35"/>
  <c r="O597" i="35"/>
  <c r="AJ581" i="35"/>
  <c r="AN581" i="35"/>
  <c r="AN568" i="35"/>
  <c r="AO568" i="35"/>
  <c r="O568" i="35"/>
  <c r="O79" i="46"/>
  <c r="AI59" i="35"/>
  <c r="U49" i="35"/>
  <c r="AI55" i="35"/>
  <c r="U45" i="35"/>
  <c r="O46" i="35"/>
  <c r="AJ56" i="35"/>
  <c r="Y152" i="34"/>
  <c r="Y166" i="35"/>
  <c r="P123" i="20"/>
  <c r="D241" i="20"/>
  <c r="R38" i="34"/>
  <c r="Y136" i="34"/>
  <c r="U274" i="35"/>
  <c r="O538" i="35"/>
  <c r="J174" i="35"/>
  <c r="O164" i="35"/>
  <c r="AL365" i="35"/>
  <c r="AM212" i="35"/>
  <c r="AM210" i="35"/>
  <c r="AJ305" i="35"/>
  <c r="AJ301" i="35"/>
  <c r="Y547" i="35"/>
  <c r="AI590" i="35"/>
  <c r="AL590" i="35"/>
  <c r="AL587" i="35"/>
  <c r="AH378" i="35"/>
  <c r="Y363" i="35"/>
  <c r="AH363" i="35"/>
  <c r="AK363" i="35"/>
  <c r="AH358" i="35"/>
  <c r="U383" i="35"/>
  <c r="Y373" i="35"/>
  <c r="U381" i="35"/>
  <c r="U379" i="35"/>
  <c r="AH403" i="35"/>
  <c r="AN296" i="35"/>
  <c r="AN216" i="35"/>
  <c r="AN430" i="35"/>
  <c r="AN301" i="35"/>
  <c r="AN324" i="35"/>
  <c r="AO278" i="35"/>
  <c r="AN327" i="35"/>
  <c r="AN584" i="35"/>
  <c r="J354" i="35"/>
  <c r="O354" i="35"/>
  <c r="U24" i="35"/>
  <c r="U26" i="35"/>
  <c r="AI46" i="35"/>
  <c r="AJ33" i="35"/>
  <c r="AI33" i="35"/>
  <c r="O23" i="35"/>
  <c r="Y52" i="35"/>
  <c r="Y50" i="35"/>
  <c r="Y10" i="46"/>
  <c r="Y45" i="35"/>
  <c r="AH55" i="35"/>
  <c r="AJ57" i="35"/>
  <c r="U121" i="35"/>
  <c r="O118" i="35"/>
  <c r="O119" i="35"/>
  <c r="O121" i="35"/>
  <c r="AJ141" i="35"/>
  <c r="AJ128" i="35"/>
  <c r="Y29" i="35"/>
  <c r="AH39" i="35"/>
  <c r="U99" i="35"/>
  <c r="AK37" i="35"/>
  <c r="AP27" i="35"/>
  <c r="AL37" i="35"/>
  <c r="AI36" i="35"/>
  <c r="AH36" i="35"/>
  <c r="Y25" i="35"/>
  <c r="AI35" i="35"/>
  <c r="AI460" i="35"/>
  <c r="AH460" i="35"/>
  <c r="AI454" i="35"/>
  <c r="Y175" i="35"/>
  <c r="U175" i="35"/>
  <c r="O82" i="35"/>
  <c r="J178" i="35"/>
  <c r="AJ178" i="35"/>
  <c r="U85" i="35"/>
  <c r="AL211" i="35"/>
  <c r="AH618" i="35"/>
  <c r="AK589" i="35"/>
  <c r="AJ619" i="35"/>
  <c r="AM590" i="35"/>
  <c r="O606" i="35"/>
  <c r="AL589" i="35"/>
  <c r="AM361" i="35"/>
  <c r="AN270" i="35"/>
  <c r="AN280" i="35"/>
  <c r="AN325" i="35"/>
  <c r="AO279" i="35"/>
  <c r="AN230" i="35"/>
  <c r="AO207" i="35"/>
  <c r="AN195" i="35"/>
  <c r="AO195" i="35"/>
  <c r="AN205" i="35"/>
  <c r="AO205" i="35"/>
  <c r="AN240" i="35"/>
  <c r="AO194" i="35"/>
  <c r="AN551" i="35"/>
  <c r="AN541" i="35"/>
  <c r="AN613" i="35"/>
  <c r="Y600" i="35"/>
  <c r="AN583" i="35"/>
  <c r="AN570" i="35"/>
  <c r="AJ583" i="35"/>
  <c r="AN380" i="35"/>
  <c r="AJ380" i="35"/>
  <c r="AJ68" i="35"/>
  <c r="Y101" i="35"/>
  <c r="AH128" i="35"/>
  <c r="AH33" i="35"/>
  <c r="Y23" i="35"/>
  <c r="U407" i="35"/>
  <c r="Y397" i="35"/>
  <c r="AN397" i="35"/>
  <c r="AH406" i="35"/>
  <c r="Y417" i="35"/>
  <c r="AN417" i="35"/>
  <c r="AN432" i="35"/>
  <c r="Y422" i="35"/>
  <c r="AN422" i="35"/>
  <c r="AH432" i="35"/>
  <c r="AN314" i="35"/>
  <c r="AO268" i="35"/>
  <c r="AN239" i="35"/>
  <c r="AN256" i="35"/>
  <c r="AO210" i="35"/>
  <c r="AN579" i="35"/>
  <c r="AN566" i="35"/>
  <c r="AO566" i="35"/>
  <c r="AN612" i="35"/>
  <c r="AN599" i="35"/>
  <c r="AJ612" i="35"/>
  <c r="J378" i="35"/>
  <c r="AN368" i="35"/>
  <c r="O357" i="35"/>
  <c r="AJ34" i="35"/>
  <c r="AJ45" i="35"/>
  <c r="O24" i="35"/>
  <c r="U48" i="35"/>
  <c r="AI58" i="35"/>
  <c r="O47" i="35"/>
  <c r="Y144" i="35"/>
  <c r="AH154" i="35"/>
  <c r="AI129" i="35"/>
  <c r="AI130" i="35"/>
  <c r="AI140" i="35"/>
  <c r="U119" i="35"/>
  <c r="AH129" i="35"/>
  <c r="U96" i="35"/>
  <c r="U19" i="46"/>
  <c r="AI106" i="35"/>
  <c r="AI34" i="35"/>
  <c r="Y141" i="35"/>
  <c r="Y118" i="35"/>
  <c r="Y22" i="35"/>
  <c r="AH32" i="35"/>
  <c r="AI458" i="35"/>
  <c r="AM363" i="35"/>
  <c r="AM359" i="35"/>
  <c r="AH405" i="35"/>
  <c r="AN609" i="35"/>
  <c r="AO580" i="35"/>
  <c r="AN596" i="35"/>
  <c r="AO567" i="35"/>
  <c r="AN361" i="35"/>
  <c r="AO361" i="35"/>
  <c r="R384" i="35"/>
  <c r="AN360" i="35"/>
  <c r="J382" i="35"/>
  <c r="O372" i="35"/>
  <c r="J381" i="35"/>
  <c r="O381" i="35"/>
  <c r="O356" i="35"/>
  <c r="AI356" i="35"/>
  <c r="AL356" i="35"/>
  <c r="U47" i="35"/>
  <c r="AI57" i="35"/>
  <c r="AJ105" i="35"/>
  <c r="O95" i="35"/>
  <c r="AJ131" i="35"/>
  <c r="Y147" i="35"/>
  <c r="AH157" i="35"/>
  <c r="Y145" i="35"/>
  <c r="Y122" i="35"/>
  <c r="Y99" i="35"/>
  <c r="AK27" i="35"/>
  <c r="AQ27" i="35"/>
  <c r="Y169" i="35"/>
  <c r="AH108" i="35"/>
  <c r="AI108" i="35"/>
  <c r="Y26" i="35"/>
  <c r="Y120" i="35"/>
  <c r="AH130" i="35"/>
  <c r="AK35" i="35"/>
  <c r="AP25" i="35"/>
  <c r="U120" i="35"/>
  <c r="AH505" i="35"/>
  <c r="AI505" i="35"/>
  <c r="AI513" i="35"/>
  <c r="AN527" i="35"/>
  <c r="AN517" i="35"/>
  <c r="AN523" i="35"/>
  <c r="AJ523" i="35"/>
  <c r="J355" i="35"/>
  <c r="AN355" i="35"/>
  <c r="O26" i="35"/>
  <c r="Y51" i="35"/>
  <c r="Y46" i="35"/>
  <c r="U97" i="35"/>
  <c r="AI107" i="35"/>
  <c r="AL27" i="35"/>
  <c r="Y96" i="35"/>
  <c r="AI527" i="35"/>
  <c r="AN455" i="35"/>
  <c r="AO455" i="35"/>
  <c r="AJ455" i="35"/>
  <c r="AN504" i="35"/>
  <c r="AN526" i="35"/>
  <c r="AO457" i="35"/>
  <c r="AJ526" i="35"/>
  <c r="AM457" i="35"/>
  <c r="AH482" i="35"/>
  <c r="AK459" i="35"/>
  <c r="O358" i="35"/>
  <c r="AH61" i="35"/>
  <c r="AH56" i="35"/>
  <c r="AJ107" i="35"/>
  <c r="O22" i="35"/>
  <c r="AI32" i="35"/>
  <c r="O45" i="35"/>
  <c r="AJ127" i="35"/>
  <c r="AJ140" i="35"/>
  <c r="AH106" i="35"/>
  <c r="Y123" i="35"/>
  <c r="Y119" i="35"/>
  <c r="AJ478" i="35"/>
  <c r="AJ490" i="35"/>
  <c r="AN500" i="35"/>
  <c r="AJ500" i="35"/>
  <c r="AJ513" i="35"/>
  <c r="AN484" i="35"/>
  <c r="AN482" i="35"/>
  <c r="AN485" i="35"/>
  <c r="S157" i="33"/>
  <c r="P165" i="33"/>
  <c r="Y98" i="35"/>
  <c r="Y24" i="35"/>
  <c r="AH105" i="35"/>
  <c r="Y140" i="35"/>
  <c r="AH455" i="35"/>
  <c r="AH461" i="35"/>
  <c r="AH467" i="35"/>
  <c r="AI481" i="35"/>
  <c r="AI490" i="35"/>
  <c r="AH504" i="35"/>
  <c r="AK458" i="35"/>
  <c r="AN461" i="35"/>
  <c r="AN476" i="35"/>
  <c r="AN508" i="35"/>
  <c r="P151" i="33"/>
  <c r="Q151" i="33"/>
  <c r="AH501" i="35"/>
  <c r="AH500" i="35"/>
  <c r="AH513" i="35"/>
  <c r="AI536" i="35"/>
  <c r="P157" i="33"/>
  <c r="AI141" i="35"/>
  <c r="Y58" i="46"/>
  <c r="AC24" i="46"/>
  <c r="AJ69" i="35"/>
  <c r="AH514" i="35"/>
  <c r="AN347" i="35"/>
  <c r="AJ357" i="35"/>
  <c r="AJ381" i="35"/>
  <c r="AM357" i="35"/>
  <c r="AN357" i="35"/>
  <c r="AN381" i="35"/>
  <c r="AO357" i="35"/>
  <c r="O347" i="35"/>
  <c r="AO583" i="35"/>
  <c r="AI85" i="35"/>
  <c r="U75" i="35"/>
  <c r="U11" i="46"/>
  <c r="AN344" i="35"/>
  <c r="AO344" i="35"/>
  <c r="O344" i="35"/>
  <c r="AN354" i="35"/>
  <c r="AN378" i="35"/>
  <c r="AO354" i="35"/>
  <c r="AJ354" i="35"/>
  <c r="AI381" i="35"/>
  <c r="AH381" i="35"/>
  <c r="AK357" i="35"/>
  <c r="U371" i="35"/>
  <c r="Y371" i="35"/>
  <c r="Y537" i="35"/>
  <c r="Y65" i="46"/>
  <c r="AH547" i="35"/>
  <c r="Y56" i="46"/>
  <c r="AI132" i="35"/>
  <c r="U122" i="35"/>
  <c r="AC168" i="35"/>
  <c r="AC21" i="46"/>
  <c r="O66" i="46"/>
  <c r="AH85" i="35"/>
  <c r="Y75" i="35"/>
  <c r="Y543" i="35"/>
  <c r="Y71" i="46"/>
  <c r="AI307" i="35"/>
  <c r="AL284" i="35"/>
  <c r="Y297" i="35"/>
  <c r="U297" i="35"/>
  <c r="AH140" i="35"/>
  <c r="U95" i="35"/>
  <c r="Y95" i="35"/>
  <c r="AI105" i="35"/>
  <c r="AN317" i="35"/>
  <c r="AJ327" i="35"/>
  <c r="AM281" i="35"/>
  <c r="O317" i="35"/>
  <c r="O44" i="46"/>
  <c r="AN467" i="35"/>
  <c r="O467" i="35"/>
  <c r="AC169" i="35"/>
  <c r="AC22" i="46"/>
  <c r="U101" i="35"/>
  <c r="U124" i="35"/>
  <c r="U24" i="46"/>
  <c r="AN348" i="35"/>
  <c r="AN372" i="35"/>
  <c r="AO348" i="35"/>
  <c r="AN358" i="35"/>
  <c r="O348" i="35"/>
  <c r="O57" i="46"/>
  <c r="AJ358" i="35"/>
  <c r="AJ382" i="35"/>
  <c r="AM358" i="35"/>
  <c r="AM455" i="35"/>
  <c r="AI467" i="35"/>
  <c r="AH468" i="35"/>
  <c r="AL454" i="35"/>
  <c r="O6" i="46"/>
  <c r="AO581" i="35"/>
  <c r="AO585" i="35"/>
  <c r="AM278" i="35"/>
  <c r="U347" i="35"/>
  <c r="U83" i="46"/>
  <c r="AC78" i="35"/>
  <c r="Y368" i="35"/>
  <c r="Y53" i="46"/>
  <c r="AC34" i="46"/>
  <c r="AC75" i="35"/>
  <c r="Y220" i="35"/>
  <c r="Y33" i="46"/>
  <c r="AH181" i="35"/>
  <c r="Y171" i="35"/>
  <c r="AC8" i="46"/>
  <c r="AN537" i="35"/>
  <c r="O537" i="35"/>
  <c r="AK205" i="35"/>
  <c r="U346" i="35"/>
  <c r="U55" i="46"/>
  <c r="AC20" i="46"/>
  <c r="AI279" i="35"/>
  <c r="AL279" i="35"/>
  <c r="U269" i="35"/>
  <c r="U42" i="46"/>
  <c r="O368" i="35"/>
  <c r="U368" i="35"/>
  <c r="AI378" i="35"/>
  <c r="AO461" i="35"/>
  <c r="Y142" i="35"/>
  <c r="AH164" i="35"/>
  <c r="AJ46" i="35"/>
  <c r="O5" i="46"/>
  <c r="O9" i="46"/>
  <c r="AN522" i="35"/>
  <c r="AL458" i="35"/>
  <c r="U7" i="46"/>
  <c r="AO570" i="35"/>
  <c r="U165" i="35"/>
  <c r="AI175" i="35"/>
  <c r="AL460" i="35"/>
  <c r="U9" i="46"/>
  <c r="Y12" i="46"/>
  <c r="AO584" i="35"/>
  <c r="AH379" i="35"/>
  <c r="AK355" i="35"/>
  <c r="AI379" i="35"/>
  <c r="U369" i="35"/>
  <c r="Y369" i="35"/>
  <c r="Y54" i="46"/>
  <c r="AK358" i="35"/>
  <c r="AH152" i="35"/>
  <c r="AL34" i="35"/>
  <c r="AK24" i="35"/>
  <c r="AQ24" i="35"/>
  <c r="AI68" i="35"/>
  <c r="Y83" i="46"/>
  <c r="AL355" i="35"/>
  <c r="AI552" i="35"/>
  <c r="AL459" i="35"/>
  <c r="AC12" i="46"/>
  <c r="AH307" i="35"/>
  <c r="AH279" i="35"/>
  <c r="AK279" i="35"/>
  <c r="AC498" i="35"/>
  <c r="U84" i="46"/>
  <c r="AO193" i="35"/>
  <c r="AO446" i="35"/>
  <c r="AK354" i="35"/>
  <c r="AI358" i="35"/>
  <c r="AL358" i="35"/>
  <c r="AH463" i="35"/>
  <c r="AK463" i="35"/>
  <c r="AC453" i="35"/>
  <c r="AC74" i="46"/>
  <c r="AJ174" i="35"/>
  <c r="U164" i="35"/>
  <c r="U31" i="46"/>
  <c r="U168" i="35"/>
  <c r="U21" i="46"/>
  <c r="AI178" i="35"/>
  <c r="AC6" i="46"/>
  <c r="Y100" i="35"/>
  <c r="Y23" i="46"/>
  <c r="AH110" i="35"/>
  <c r="Y47" i="35"/>
  <c r="Y7" i="46"/>
  <c r="AH57" i="35"/>
  <c r="AH60" i="35"/>
  <c r="AH68" i="35"/>
  <c r="AO199" i="35"/>
  <c r="O166" i="35"/>
  <c r="O19" i="46"/>
  <c r="AN552" i="35"/>
  <c r="AO459" i="35"/>
  <c r="AO273" i="35"/>
  <c r="AK360" i="35"/>
  <c r="U60" i="46"/>
  <c r="Y82" i="46"/>
  <c r="AL280" i="35"/>
  <c r="AI327" i="35"/>
  <c r="U317" i="35"/>
  <c r="U44" i="46"/>
  <c r="Y317" i="35"/>
  <c r="AI177" i="35"/>
  <c r="U167" i="35"/>
  <c r="U20" i="46"/>
  <c r="Y167" i="35"/>
  <c r="Y20" i="46"/>
  <c r="U69" i="46"/>
  <c r="AN462" i="35"/>
  <c r="AO274" i="35"/>
  <c r="AK581" i="35"/>
  <c r="AC164" i="35"/>
  <c r="AC17" i="46"/>
  <c r="Y28" i="35"/>
  <c r="AH38" i="35"/>
  <c r="O94" i="35"/>
  <c r="U94" i="35"/>
  <c r="AJ104" i="35"/>
  <c r="AJ117" i="35"/>
  <c r="AI104" i="35"/>
  <c r="AI117" i="35"/>
  <c r="AO272" i="35"/>
  <c r="AL581" i="35"/>
  <c r="AC100" i="35"/>
  <c r="AC23" i="46"/>
  <c r="AK26" i="35"/>
  <c r="AQ26" i="35"/>
  <c r="AL26" i="35"/>
  <c r="Y9" i="46"/>
  <c r="AL23" i="35"/>
  <c r="AK23" i="35"/>
  <c r="AQ23" i="35"/>
  <c r="Y6" i="46"/>
  <c r="AN382" i="35"/>
  <c r="AH175" i="35"/>
  <c r="Y165" i="35"/>
  <c r="AH407" i="35"/>
  <c r="AH383" i="35"/>
  <c r="AK359" i="35"/>
  <c r="AH580" i="35"/>
  <c r="AK580" i="35"/>
  <c r="Y567" i="35"/>
  <c r="Y78" i="46"/>
  <c r="AI79" i="35"/>
  <c r="U69" i="35"/>
  <c r="U5" i="46"/>
  <c r="AH79" i="35"/>
  <c r="AI354" i="35"/>
  <c r="AL354" i="35"/>
  <c r="AC165" i="35"/>
  <c r="U50" i="35"/>
  <c r="U10" i="46"/>
  <c r="AC11" i="46"/>
  <c r="AO448" i="35"/>
  <c r="U170" i="35"/>
  <c r="AK284" i="35"/>
  <c r="AI62" i="35"/>
  <c r="U52" i="35"/>
  <c r="U12" i="46"/>
  <c r="O45" i="46"/>
  <c r="U88" i="46"/>
  <c r="AC537" i="35"/>
  <c r="AC65" i="46"/>
  <c r="AN499" i="35"/>
  <c r="Y19" i="46"/>
  <c r="O345" i="35"/>
  <c r="AN345" i="35"/>
  <c r="AN369" i="35"/>
  <c r="AO345" i="35"/>
  <c r="AN356" i="35"/>
  <c r="AO356" i="35"/>
  <c r="AN346" i="35"/>
  <c r="AO346" i="35"/>
  <c r="AJ356" i="35"/>
  <c r="AM356" i="35"/>
  <c r="O346" i="35"/>
  <c r="O55" i="46"/>
  <c r="Y94" i="35"/>
  <c r="AK22" i="35"/>
  <c r="Y5" i="46"/>
  <c r="AK33" i="35"/>
  <c r="AP23" i="35"/>
  <c r="AL33" i="35"/>
  <c r="AO280" i="35"/>
  <c r="AK25" i="35"/>
  <c r="AQ25" i="35"/>
  <c r="AL25" i="35"/>
  <c r="Y8" i="46"/>
  <c r="U22" i="46"/>
  <c r="AH69" i="35"/>
  <c r="AI383" i="35"/>
  <c r="AL359" i="35"/>
  <c r="U373" i="35"/>
  <c r="U58" i="46"/>
  <c r="U47" i="46"/>
  <c r="AL204" i="35"/>
  <c r="AH64" i="35"/>
  <c r="AC54" i="35"/>
  <c r="U34" i="46"/>
  <c r="AH178" i="35"/>
  <c r="Y168" i="35"/>
  <c r="Y21" i="46"/>
  <c r="AC77" i="46"/>
  <c r="AK210" i="35"/>
  <c r="Y124" i="35"/>
  <c r="AL29" i="35"/>
  <c r="AI134" i="35"/>
  <c r="Y44" i="46"/>
  <c r="AH553" i="35"/>
  <c r="AK460" i="35"/>
  <c r="AN543" i="35"/>
  <c r="AO450" i="35"/>
  <c r="AN553" i="35"/>
  <c r="AO460" i="35"/>
  <c r="AO283" i="35"/>
  <c r="Y59" i="46"/>
  <c r="AK361" i="35"/>
  <c r="AL281" i="35"/>
  <c r="Y240" i="35"/>
  <c r="Y30" i="46"/>
  <c r="O165" i="35"/>
  <c r="O18" i="46"/>
  <c r="AJ175" i="35"/>
  <c r="AN454" i="35"/>
  <c r="AJ454" i="35"/>
  <c r="AN444" i="35"/>
  <c r="AO444" i="35"/>
  <c r="U444" i="35"/>
  <c r="U65" i="46"/>
  <c r="O444" i="35"/>
  <c r="O65" i="46"/>
  <c r="AH537" i="35"/>
  <c r="AO271" i="35"/>
  <c r="AN542" i="35"/>
  <c r="AO449" i="35"/>
  <c r="AJ378" i="35"/>
  <c r="O88" i="46"/>
  <c r="AK461" i="35"/>
  <c r="AK455" i="35"/>
  <c r="AI45" i="35"/>
  <c r="Y22" i="46"/>
  <c r="AJ536" i="35"/>
  <c r="O371" i="35"/>
  <c r="AN371" i="35"/>
  <c r="AN384" i="35"/>
  <c r="AO360" i="35"/>
  <c r="U374" i="35"/>
  <c r="AN374" i="35"/>
  <c r="AO350" i="35"/>
  <c r="AH490" i="35"/>
  <c r="AH491" i="35"/>
  <c r="O7" i="46"/>
  <c r="AO579" i="35"/>
  <c r="AL35" i="35"/>
  <c r="AM583" i="35"/>
  <c r="AO270" i="35"/>
  <c r="AJ82" i="35"/>
  <c r="O72" i="35"/>
  <c r="O8" i="46"/>
  <c r="U72" i="35"/>
  <c r="U8" i="46"/>
  <c r="AL36" i="35"/>
  <c r="AK36" i="35"/>
  <c r="AP26" i="35"/>
  <c r="AK39" i="35"/>
  <c r="AP29" i="35"/>
  <c r="AL39" i="35"/>
  <c r="AJ355" i="35"/>
  <c r="AJ379" i="35"/>
  <c r="AM355" i="35"/>
  <c r="AI384" i="35"/>
  <c r="AL360" i="35"/>
  <c r="AI69" i="35"/>
  <c r="AM581" i="35"/>
  <c r="AO198" i="35"/>
  <c r="U54" i="46"/>
  <c r="AI357" i="35"/>
  <c r="AL357" i="35"/>
  <c r="AK582" i="35"/>
  <c r="AH608" i="35"/>
  <c r="AK579" i="35"/>
  <c r="Y595" i="35"/>
  <c r="AI82" i="35"/>
  <c r="AK454" i="35"/>
  <c r="AL585" i="35"/>
  <c r="Y269" i="35"/>
  <c r="Y42" i="46"/>
  <c r="U23" i="46"/>
  <c r="O168" i="35"/>
  <c r="O21" i="46"/>
  <c r="AC353" i="35"/>
  <c r="AC62" i="46"/>
  <c r="AC18" i="46"/>
  <c r="AN379" i="35"/>
  <c r="AO355" i="35"/>
  <c r="O369" i="35"/>
  <c r="O67" i="46"/>
  <c r="U344" i="35"/>
  <c r="U348" i="35"/>
  <c r="U57" i="46"/>
  <c r="AI60" i="35"/>
  <c r="Y35" i="46"/>
  <c r="AK281" i="35"/>
  <c r="AH230" i="35"/>
  <c r="AK207" i="35"/>
  <c r="AH104" i="35"/>
  <c r="AH117" i="35"/>
  <c r="AH163" i="35"/>
  <c r="U59" i="46"/>
  <c r="Y60" i="46"/>
  <c r="U82" i="46"/>
  <c r="AC567" i="35"/>
  <c r="AC78" i="46"/>
  <c r="AO458" i="35"/>
  <c r="AH174" i="35"/>
  <c r="Y164" i="35"/>
  <c r="AJ579" i="35"/>
  <c r="AM579" i="35"/>
  <c r="O566" i="35"/>
  <c r="O77" i="46"/>
  <c r="AM279" i="35"/>
  <c r="AO281" i="35"/>
  <c r="Y47" i="46"/>
  <c r="Y55" i="46"/>
  <c r="AH250" i="35"/>
  <c r="AK204" i="35"/>
  <c r="Y77" i="46"/>
  <c r="AM282" i="35"/>
  <c r="U79" i="46"/>
  <c r="AC543" i="35"/>
  <c r="AC71" i="46"/>
  <c r="AQ22" i="35"/>
  <c r="AK28" i="35"/>
  <c r="AQ28" i="35"/>
  <c r="AL28" i="35"/>
  <c r="Y11" i="46"/>
  <c r="AH141" i="35"/>
  <c r="AK29" i="35"/>
  <c r="AQ29" i="35"/>
  <c r="U18" i="46"/>
  <c r="AL32" i="35"/>
  <c r="AJ467" i="35"/>
  <c r="AM454" i="35"/>
  <c r="Y24" i="46"/>
  <c r="O53" i="46"/>
  <c r="AK32" i="35"/>
  <c r="U53" i="46"/>
  <c r="AH46" i="35"/>
  <c r="AK38" i="35"/>
  <c r="AP28" i="35"/>
  <c r="AL38" i="35"/>
  <c r="AK34" i="35"/>
  <c r="AP24" i="35"/>
  <c r="AO358" i="35"/>
  <c r="AL24" i="35"/>
  <c r="Y18" i="46"/>
  <c r="AM354" i="35"/>
  <c r="O56" i="46"/>
  <c r="AH45" i="35"/>
  <c r="AH118" i="35"/>
  <c r="Y17" i="46"/>
  <c r="AI118" i="35"/>
  <c r="U17" i="46"/>
  <c r="AN453" i="35"/>
  <c r="AO454" i="35"/>
  <c r="AL22" i="35"/>
  <c r="O54" i="46"/>
  <c r="AJ118" i="35"/>
  <c r="O17" i="46"/>
  <c r="U56" i="46"/>
  <c r="AO347" i="35"/>
  <c r="AP22" i="35"/>
  <c r="AK40" i="35"/>
  <c r="AR23" i="35"/>
  <c r="AR27" i="35"/>
  <c r="AR22" i="35"/>
  <c r="AR24" i="35"/>
  <c r="AR26" i="35"/>
  <c r="AR28" i="35"/>
  <c r="AR25" i="35"/>
  <c r="AR29" i="35"/>
  <c r="AK30" i="35"/>
  <c r="M97" i="41"/>
  <c r="C97" i="41"/>
  <c r="I97" i="41"/>
  <c r="N97" i="41"/>
  <c r="Q97" i="41"/>
  <c r="J97" i="41"/>
  <c r="D97" i="41"/>
  <c r="H97" i="41"/>
  <c r="E97" i="41"/>
  <c r="K97" i="41"/>
  <c r="S97" i="41"/>
  <c r="F97" i="41"/>
  <c r="O97" i="41"/>
  <c r="AH159" i="35"/>
  <c r="AC149" i="35"/>
  <c r="AC103" i="35"/>
  <c r="AH113" i="35"/>
  <c r="Y113" i="34"/>
  <c r="AH41" i="35"/>
  <c r="AC31" i="35"/>
  <c r="AC14" i="46"/>
  <c r="AH135" i="35"/>
  <c r="AC125" i="35"/>
  <c r="AC148" i="35"/>
  <c r="AC102" i="35"/>
  <c r="AH112" i="35"/>
  <c r="Y112" i="34"/>
  <c r="Y40" i="34"/>
  <c r="Y40" i="35"/>
  <c r="AH616" i="35"/>
  <c r="AK587" i="35"/>
  <c r="AC574" i="35"/>
  <c r="AH531" i="35"/>
  <c r="AC521" i="35"/>
  <c r="AC475" i="35"/>
  <c r="AH485" i="35"/>
  <c r="AK462" i="35"/>
  <c r="AC452" i="35"/>
  <c r="AC26" i="46"/>
  <c r="AC25" i="46"/>
  <c r="AH40" i="35"/>
  <c r="AC30" i="35"/>
  <c r="AC13" i="46"/>
  <c r="AC85" i="46"/>
  <c r="AC73" i="46"/>
</calcChain>
</file>

<file path=xl/comments1.xml><?xml version="1.0" encoding="utf-8"?>
<x:comments xmlns:x="http://schemas.openxmlformats.org/spreadsheetml/2006/main">
  <x:authors>
    <x:author>Stephen Fraser</x:author>
  </x:authors>
  <x:commentList/>
</x:comments>
</file>

<file path=xl/comments10.xml><?xml version="1.0" encoding="utf-8"?>
<x:comments xmlns:x="http://schemas.openxmlformats.org/spreadsheetml/2006/main">
  <x:authors>
    <x:author>Stephen Fraser</x:author>
  </x:authors>
  <x:commentList/>
</x:comments>
</file>

<file path=xl/comments11.xml><?xml version="1.0" encoding="utf-8"?>
<x:comments xmlns:x="http://schemas.openxmlformats.org/spreadsheetml/2006/main">
  <x:authors>
    <x:author>Stephen Fraser</x:author>
  </x:authors>
  <x:commentList/>
</x:comments>
</file>

<file path=xl/comments12.xml><?xml version="1.0" encoding="utf-8"?>
<x:comments xmlns:x="http://schemas.openxmlformats.org/spreadsheetml/2006/main">
  <x:authors>
    <x:author>Stephen Fraser</x:author>
  </x:authors>
  <x:commentList/>
</x:comments>
</file>

<file path=xl/comments2.xml><?xml version="1.0" encoding="utf-8"?>
<x:comments xmlns:x="http://schemas.openxmlformats.org/spreadsheetml/2006/main">
  <x:authors>
    <x:author>Stephen Fraser</x:author>
  </x:authors>
  <x:commentList/>
</x:comments>
</file>

<file path=xl/comments3.xml><?xml version="1.0" encoding="utf-8"?>
<x:comments xmlns:x="http://schemas.openxmlformats.org/spreadsheetml/2006/main">
  <x:authors>
    <x:author>Stephen Fraser</x:author>
  </x:authors>
  <x:commentList/>
</x:comments>
</file>

<file path=xl/comments4.xml><?xml version="1.0" encoding="utf-8"?>
<x:comments xmlns:x="http://schemas.openxmlformats.org/spreadsheetml/2006/main">
  <x:authors>
    <x:author>Stephen Fraser</x:author>
  </x:authors>
  <x:commentList/>
</x:comments>
</file>

<file path=xl/comments5.xml><?xml version="1.0" encoding="utf-8"?>
<x:comments xmlns:x="http://schemas.openxmlformats.org/spreadsheetml/2006/main">
  <x:authors>
    <x:author>Stephen Fraser</x:author>
  </x:authors>
  <x:commentList/>
</x:comments>
</file>

<file path=xl/comments6.xml><?xml version="1.0" encoding="utf-8"?>
<x:comments xmlns:x="http://schemas.openxmlformats.org/spreadsheetml/2006/main">
  <x:authors>
    <x:author>Stephen Fraser</x:author>
  </x:authors>
  <x:commentList/>
</x:comments>
</file>

<file path=xl/comments7.xml><?xml version="1.0" encoding="utf-8"?>
<x:comments xmlns:x="http://schemas.openxmlformats.org/spreadsheetml/2006/main">
  <x:authors>
    <x:author>Stephen Fraser</x:author>
  </x:authors>
  <x:commentList/>
</x:comments>
</file>

<file path=xl/comments8.xml><?xml version="1.0" encoding="utf-8"?>
<x:comments xmlns:x="http://schemas.openxmlformats.org/spreadsheetml/2006/main">
  <x:authors>
    <x:author>Stephen Fraser</x:author>
  </x:authors>
  <x:commentList/>
</x:comments>
</file>

<file path=xl/comments9.xml><?xml version="1.0" encoding="utf-8"?>
<x:comments xmlns:x="http://schemas.openxmlformats.org/spreadsheetml/2006/main">
  <x:authors>
    <x:author>Stephen Fraser</x:author>
  </x:authors>
  <x:commentList/>
</x:comments>
</file>

<file path=xl/sharedStrings.xml><?xml version="1.0" encoding="utf-8"?>
<sst xmlns="http://schemas.openxmlformats.org/spreadsheetml/2006/main" count="26046" uniqueCount="1551">
  <si>
    <t>PROJECT NAME</t>
  </si>
  <si>
    <t>IMPACT</t>
  </si>
  <si>
    <t>Planned</t>
  </si>
  <si>
    <t>Achieved</t>
  </si>
  <si>
    <t>Source</t>
  </si>
  <si>
    <t>OUTCOME</t>
  </si>
  <si>
    <t>Assumptions</t>
  </si>
  <si>
    <t>INPUTS (£)</t>
  </si>
  <si>
    <t>Govt (£)</t>
  </si>
  <si>
    <t>Total (£)</t>
  </si>
  <si>
    <t>INPUTS (HR)</t>
  </si>
  <si>
    <t>OUTPUT 1</t>
  </si>
  <si>
    <t>Assumption</t>
  </si>
  <si>
    <t>IMPACT WEIGHTING (%)</t>
  </si>
  <si>
    <t>RISK RATING</t>
  </si>
  <si>
    <t>OUTPUT 2</t>
  </si>
  <si>
    <t>Output Indicator 1.1</t>
  </si>
  <si>
    <t>Output Indicator 1.2</t>
  </si>
  <si>
    <t>Output Indicator 1.3</t>
  </si>
  <si>
    <t>Output Indicator 2.1</t>
  </si>
  <si>
    <t>Output Indicator 2.2</t>
  </si>
  <si>
    <t>Output Indicator 2.3</t>
  </si>
  <si>
    <t>Outcome Indicator 1</t>
  </si>
  <si>
    <t>Outcome Indicator 2</t>
  </si>
  <si>
    <t>Impact Indicator 1</t>
  </si>
  <si>
    <t>Impact Indicator 2</t>
  </si>
  <si>
    <t>OUTPUT 3</t>
  </si>
  <si>
    <t>OUTPUT 5</t>
  </si>
  <si>
    <t>OUTPUT 4</t>
  </si>
  <si>
    <t>Output Indicator 3.1</t>
  </si>
  <si>
    <t>Output Indicator 3.2</t>
  </si>
  <si>
    <t>Output Indicator 3.3</t>
  </si>
  <si>
    <t>Output Indicator 4.1</t>
  </si>
  <si>
    <t>Output Indicator 4.2</t>
  </si>
  <si>
    <t>Output Indicator 4.3</t>
  </si>
  <si>
    <t>Output Indicator 5.1</t>
  </si>
  <si>
    <t>Output Indicator 5.2</t>
  </si>
  <si>
    <t>Impact Indicator 3</t>
  </si>
  <si>
    <t>Outcome Indicator 3</t>
  </si>
  <si>
    <t>Outcome Indicator 4</t>
  </si>
  <si>
    <t>Output Indicator 3.4</t>
  </si>
  <si>
    <t>Output Indicator 4.4</t>
  </si>
  <si>
    <t>Output Indicator 4.5</t>
  </si>
  <si>
    <t>Nigeria’s own resources used efficiently and effectively to achieve MDGs.</t>
  </si>
  <si>
    <t>Level of citizen’s perceptions of state and local government performance.</t>
  </si>
  <si>
    <t>Level of citizens’ access to, use of and satisfaction with basic services in existing states.</t>
  </si>
  <si>
    <t>Progress towards MDGs.</t>
  </si>
  <si>
    <t>The efficiency and effectiveness of selected state level governments’ use of public resources is enhanced.</t>
  </si>
  <si>
    <t>Level of accountability and responsiveness of state and local government.</t>
  </si>
  <si>
    <t>Level of citizen’s satisfaction (including that of women and other socially excluded groups) with their ability to claim rights and hold government to account through democratic channels.</t>
  </si>
  <si>
    <t>SUPER IMPACT</t>
  </si>
  <si>
    <t>Super Impact Indicator 1</t>
  </si>
  <si>
    <t>Super Impact Indicator 2</t>
  </si>
  <si>
    <t>Super Impact Indicator 3</t>
  </si>
  <si>
    <t>State houses of assembly, civil society, media and citizens demonstrate more effectiveness in demanding better performance from government and holding government to account.</t>
  </si>
  <si>
    <t>Level of functionality of state houses of assembly as agents of voice and accountability.</t>
  </si>
  <si>
    <t>Level of functionality of civil society as agents of voice and accountability.</t>
  </si>
  <si>
    <t>Civil society demonstrates a replicable and sustainable approach to issue-based policy advocacy and monitoring.</t>
  </si>
  <si>
    <t>Level of strength of civil society partnerships in terms of their internal capacity, external relations and skills in policy advocacy and monitoring.</t>
  </si>
  <si>
    <t>Level of independence / dependence of civil society partnerships on SAVI support.</t>
  </si>
  <si>
    <t>Cumulative number of civil society partnerships emerging in other sub-sectors, sectors and states which have based key aspects of their approach on that of SAVI-supported partnerships.</t>
  </si>
  <si>
    <t>Civil society demonstrates a replicable and sustainable approach to facilitating public involvement in government budget and planning processes.</t>
  </si>
  <si>
    <t>Level of strength of civil society partnerships in terms of their internal capacity, external relations and skills in facilitating public involvement in government budget and planning processes.</t>
  </si>
  <si>
    <t>Cumulative number of issue-based civil society partnerships supported by these budget and planning process partnerships through replication of key aspects of their approaches to facilitating public involvement.</t>
  </si>
  <si>
    <t>More open and inclusive systems of communication and improved understanding between citizens, CS, media, SHoA and government.</t>
  </si>
  <si>
    <t>Improved systems of transparency, public engagement and financial oversight in state houses of assembly.</t>
  </si>
  <si>
    <t>Level of quality of systems for recruitment and retention of house support staff and aides.</t>
  </si>
  <si>
    <t>Level of quality of systems for induction and monitoring of compliance with house rules &amp; procedures.</t>
  </si>
  <si>
    <t>Level of quality of systems for public access to information and processes in the house and representation of public interests by members.</t>
  </si>
  <si>
    <t>Level of quality of systems for scrutinizing public financial documents in the house.</t>
  </si>
  <si>
    <t>Other development partners take a more sustainable and replicable approach to strengthening voice and accountability.</t>
  </si>
  <si>
    <t>Cumulative number of other development partners accessing relevant and useful lessons learnt by SAVI and its local partners.</t>
  </si>
  <si>
    <t>Cumulative number of firm commitments by other development partners to replicate key aspects of SAVI and its local partners approaches.</t>
  </si>
  <si>
    <t>10% (range: 5-15%)</t>
  </si>
  <si>
    <t>30% (range: 25-35%)</t>
  </si>
  <si>
    <t>20% (range: 15-25%)</t>
  </si>
  <si>
    <t>Target (mid 2015)</t>
  </si>
  <si>
    <t>Milestone 1 (mid 2011)</t>
  </si>
  <si>
    <t>Baseline (early 2010)</t>
  </si>
  <si>
    <t>Baseline (mid 2009)</t>
  </si>
  <si>
    <t>Milestone 1 (late 2010)</t>
  </si>
  <si>
    <t>Milestone 2 (late 2012)</t>
  </si>
  <si>
    <t>See SPARC logframe for details of sub-indicators, baselines, milestones and targets.</t>
  </si>
  <si>
    <t>Sub-indicators are: accountability; responsiveness; capability.
See SPARC logframe for details of methodology, baselines, milestones and targets.</t>
  </si>
  <si>
    <t>SPARC: Cross-SLP survey on the perceptions of service delivery and governance in focal states.</t>
  </si>
  <si>
    <t>SPARC: Annual MDG reports of Office of the Senior Special Adviser to the President on MDGs (OSSAP-MDGs), National Planning Commission (NPC).</t>
  </si>
  <si>
    <t>Sub-indicators include: % primary net enrolment (boys/girls); % primary completion rate (boys/girls); ratio of girls to boys in primary and junior secondary education; satisfaction (primary and secondary education), under 5s mortality rate (boys/girls); TB case detection rate, satisfaction (health services).
See ESSPIN and PATHS2 logframes for full details of sub-indicators, baselines, milestones and targets.</t>
  </si>
  <si>
    <t>ESSPIN: National Core Welfare Indicators Questionnaire Survey (CWIQ), Nigeria Education Data Survey (NEDS), Nigeria Living Standards Survey (NLSS), PATHS2: Nigeria Demographic &amp; Health Survey (NDHS), National TB &amp; Leprosy Control Programme (NTBLCP) Annual Report.</t>
  </si>
  <si>
    <t>Local Partners (£)</t>
  </si>
  <si>
    <t>Development Partners (£)</t>
  </si>
  <si>
    <t>• DFID continues to regard SAVI as a pilot/demonstration programme → OP5
• SAVI’s approach continues to be appropriate to the Nigerian setting → OP5</t>
  </si>
  <si>
    <t>• SHoA does not become more manipulated the executive or political class → OP4
• Lack of continuity of members between administrations does not necessarily negate improvement in democratic functioning of SHoA → OP4
• Members are receptive to SAVI’s capacity building &amp; reform activities during election campaigning periods → OP4</t>
  </si>
  <si>
    <t>Medium</t>
  </si>
  <si>
    <t>High</t>
  </si>
  <si>
    <t>(cont’d from Output 1):
• Political volatility doesn’t undermine the justification of any SAVI supported advocacy activity → OP 1, 2
• CS groups not involved with SAVI are responsive to using lessons and replicating them → OP 1, 2
• Turf protection and competition for resources between CS groups does not undermine partnership working &amp; possible replication → OP 1, 2
(cont’d under Output 3)</t>
  </si>
  <si>
    <t>• Sustainable achievements are achieved in:
− adoption, monitoring and evaluation of appropriate state policies and strategies,
− state public financial management,
− state civil service performance,
− and federal support to state governance. 
• The power of vested interests that oppose increased voice and accountability do not increase beyond the capacity of civil society to respond.
• Social instability and insecurity does not substantially affect poverty reducing resource allocation.
• Economy does not contract and levels of oil revenues do not fall below critical levels.
• State governments continue their reform agenda and engagement with civil society.
• There is a space for plural political views in the States where SAVI works.
• Citizens maintain faith in democratic process.</t>
  </si>
  <si>
    <t>• State governments continue to prioritise the MDGs in the allocation and use of public resources.
• Levels and fluctuations in oil revenues do not unduly undermine fiscal stability.
• Sectoral SLPs achieve sustainable improvements in sector performance.
• Sustainable improvements in key service delivery are achieved.
• Governors forum influences passage of legislation relating to fiscal discipline.</t>
  </si>
  <si>
    <t>• The key functions of government in lead states improve → General 
• Community voice provides information to SAVI supported CS partnerships for their advocacy activities → General 
• Progress on V&amp;A is not undermined by other initiatives → General 
• CS groups do not make substantial abuse of their influence for personal or political gains → General
• Media does not become more manipulated by the political class → General
(cont’d under Output 2)</t>
  </si>
  <si>
    <t>(cont’d from Output 2):
• Electioneering in the run up to elections does not unduly hamper CS engagement on V&amp;A → OP 1, 2, 3, 4</t>
  </si>
  <si>
    <t>committees</t>
  </si>
  <si>
    <t>houses</t>
  </si>
  <si>
    <t>permit</t>
  </si>
  <si>
    <t>promo</t>
  </si>
  <si>
    <t>institu</t>
  </si>
  <si>
    <t>facilita</t>
  </si>
  <si>
    <t>no.</t>
  </si>
  <si>
    <t>a). FR</t>
  </si>
  <si>
    <t>b). PP</t>
  </si>
  <si>
    <t>c). FoI</t>
  </si>
  <si>
    <t>d). SC</t>
  </si>
  <si>
    <t>a). %</t>
  </si>
  <si>
    <t>b). %</t>
  </si>
  <si>
    <t>c). %</t>
  </si>
  <si>
    <t>Indicator:</t>
  </si>
  <si>
    <t>Objective:</t>
  </si>
  <si>
    <t>SAVI V&amp;A Governance Index: a triangulated peer review by independent state based experts.</t>
  </si>
  <si>
    <t>NOI Polls/IMEP Citizens Perception Survey: an independent public survey by national polling experts.</t>
  </si>
  <si>
    <t>SAVI state reports: citing State House of Assembly records of bills and State Ministry of Justice records of acts.</t>
  </si>
  <si>
    <t>Annual civil society partnership capacity self-assessments (CS-PCAs), retrospectively used to establish a baseline.</t>
  </si>
  <si>
    <t>SAVI state reports and case studies: citing ‘results / replication diaries’ and annual partnership capacity self-assessments (CS-PCAs).</t>
  </si>
  <si>
    <t>Annual civil society partnership capacity self-assessments (CS-PCAs), prior to which organisational capacity self-assessments (CS-OCAs) were used to establish a baseline.</t>
  </si>
  <si>
    <t>Annual appraisal of self-administered monitoring of the effectiveness of their own ‘civic education’ programmes (audience surveys) by SAVI’s civil society/media partners – triangulated with NOI Polls/IMEP Citizens Perceptions Surveys, SEAT reports generated by SPARC, and any national statistics on ‘civic education’.</t>
  </si>
  <si>
    <t>Annual Media organisational capacity self-assessments (Media-OCAs) triangulated with SAVI ‘media-watch’.</t>
  </si>
  <si>
    <t>Annual state house of assembly organisational capacity self-assessments (SHoA-OCAs).</t>
  </si>
  <si>
    <t>Annual state house of assembly organisational capacity self-assessments (SHoA-OCAs) and SAVI ‘results / replication diaries’ kept by state teams.</t>
  </si>
  <si>
    <t>SAVI ‘results / replication diaries’ kept by state, national and UK-based teams.</t>
  </si>
  <si>
    <t>SAVI case studies: of ‘headline’ results directly and indirectly attributable to SAVI.</t>
  </si>
  <si>
    <t>Guidance Notes:</t>
  </si>
  <si>
    <t>Primary Source of Information for Evaluation:</t>
  </si>
  <si>
    <t>Futher Definition of the Indicator:</t>
  </si>
  <si>
    <t>Sub-Indicators:</t>
  </si>
  <si>
    <t>ASSUMPTIONS</t>
  </si>
  <si>
    <t>The assumptions at Impact level consider several levels: enabling environment for processes of voice and accountability and government reforms and performance and other DFID programmes. Key factors include: progress against MDGs, fiscal stability and public financial management, sector performance and revenue.</t>
  </si>
  <si>
    <t>The assumptions at Outcome level consider the enabling environment for processes of voice and accountability. That without an enabling environment and for V&amp;A, SAVI as a programme would be both at risk and likely not achieve its Outcome. Key factors include power of vested interests, social - economic instability, fair and safe elections, space for political views and opinions.</t>
  </si>
  <si>
    <t>Impact &gt; Super Impact Level</t>
  </si>
  <si>
    <t>Outcome &gt; Impact Level</t>
  </si>
  <si>
    <t>Output &gt; Outcome Level</t>
  </si>
  <si>
    <t>same as for outcome to impact level above</t>
  </si>
  <si>
    <t>same as for impact to super impact level above</t>
  </si>
  <si>
    <t>planned</t>
  </si>
  <si>
    <t>achieved</t>
  </si>
  <si>
    <t>Q1</t>
  </si>
  <si>
    <t>Q2</t>
  </si>
  <si>
    <t>Q3</t>
  </si>
  <si>
    <t>Q4</t>
  </si>
  <si>
    <t>b). public procurement bill (PP),</t>
  </si>
  <si>
    <t>d). house service commission bill (SC).</t>
  </si>
  <si>
    <t>c). freedom of information bill (FoI), and</t>
  </si>
  <si>
    <t>Extent of passage and implementation (by state houses of assembly and state governments) of key legislation that underpins good governance:
a). fiscal responsibility bill (FR),</t>
  </si>
  <si>
    <t>d). institutionalising their subordinates participation.</t>
  </si>
  <si>
    <t>c). promoting &gt;</t>
  </si>
  <si>
    <t xml:space="preserve">b). facilitating &gt; </t>
  </si>
  <si>
    <t>d). institutionalising their inclusion.</t>
  </si>
  <si>
    <t>ì</t>
  </si>
  <si>
    <t>è</t>
  </si>
  <si>
    <t>Level of functionality of the media as agents of voice and accountability.</t>
  </si>
  <si>
    <t>Cumulative number of partnerships supported by SAVI (for demonstration) and by local partners (for replication) under all five Outputs progressively supported by the leadership in civil society, the media, state houses of assembly and government: i.e:
a). permitting &gt;</t>
  </si>
  <si>
    <t>Cumulative number of partnerships supported by SAVI (for demonstration) and by local partners (for replication) under all five Outputs progressively including the voice of women and other socially excluded groups: i.e:
a). permitting &gt;</t>
  </si>
  <si>
    <t>î</t>
  </si>
  <si>
    <t>a). reflect the voice of women and other socially excluded groups,</t>
  </si>
  <si>
    <t>Output Indicator 3.3a</t>
  </si>
  <si>
    <t>Output Indicator 3.3b</t>
  </si>
  <si>
    <t>Output Indicator 3.2a</t>
  </si>
  <si>
    <t>Output Indicator 3.2b</t>
  </si>
  <si>
    <t>Output Indicator 3.2c</t>
  </si>
  <si>
    <t>Output Indicator 3.2d</t>
  </si>
  <si>
    <t>Output Indicator 3.1a</t>
  </si>
  <si>
    <t>Output Indicator 3.1b</t>
  </si>
  <si>
    <t>Output Indicator 3.1c</t>
  </si>
  <si>
    <t>Output Indicator 3.1d</t>
  </si>
  <si>
    <r>
      <rPr>
        <sz val="10"/>
        <rFont val="Zapf Dingbats"/>
      </rPr>
      <t>★</t>
    </r>
    <r>
      <rPr>
        <i/>
        <sz val="9"/>
        <rFont val="Arial"/>
        <family val="2"/>
      </rPr>
      <t xml:space="preserve"> press for guidance</t>
    </r>
  </si>
  <si>
    <t>new indicator: post-MTR</t>
  </si>
  <si>
    <t>revised indicator: post-MTR</t>
  </si>
  <si>
    <t>DFID-SAVI (£)</t>
  </si>
  <si>
    <t>DFID-SAVI SHARE (%)</t>
  </si>
  <si>
    <t>DFID-SAVI (FTEs)</t>
  </si>
  <si>
    <t>OUTCOME LEVEL</t>
  </si>
  <si>
    <t>IMPACT LEVEL</t>
  </si>
  <si>
    <t>b). state houses.</t>
  </si>
  <si>
    <t>b). among state citizens.</t>
  </si>
  <si>
    <t>Cumulative number of house committees and state houses improving the quality of their systems based on approaches initially demonstrated with SAVI support:
a). house committees,</t>
  </si>
  <si>
    <t>Output Indicator 4.5a</t>
  </si>
  <si>
    <t>Output Indicator 4.5b</t>
  </si>
  <si>
    <t>Outcome Indicator 4c</t>
  </si>
  <si>
    <t>Outcome Indicator 4b</t>
  </si>
  <si>
    <t>Outcome Indicator 4a</t>
  </si>
  <si>
    <t>Impact Indicator 3a</t>
  </si>
  <si>
    <t>Impact Indicator 3b</t>
  </si>
  <si>
    <t>Impact Indicator 3c</t>
  </si>
  <si>
    <t>Impact Indicator 3d</t>
  </si>
  <si>
    <t>2009/10</t>
  </si>
  <si>
    <t>quarter:</t>
  </si>
  <si>
    <t>year:</t>
  </si>
  <si>
    <t>indicator:</t>
  </si>
  <si>
    <t>colours for traffic lights</t>
  </si>
  <si>
    <t>style of traffic arrows</t>
  </si>
  <si>
    <t></t>
  </si>
  <si>
    <t></t>
  </si>
  <si>
    <t>planned: citizens</t>
  </si>
  <si>
    <t>achieved: citizens</t>
  </si>
  <si>
    <t>achieved: partners</t>
  </si>
  <si>
    <t>planned: partners</t>
  </si>
  <si>
    <t>planned: permit</t>
  </si>
  <si>
    <t>achieved: permit</t>
  </si>
  <si>
    <t>planned: committees</t>
  </si>
  <si>
    <t>achieved: committees</t>
  </si>
  <si>
    <t>planned: houses</t>
  </si>
  <si>
    <t>achieved: houses</t>
  </si>
  <si>
    <t>achieved: institute</t>
  </si>
  <si>
    <t>planned: institute</t>
  </si>
  <si>
    <t>achieved:promote</t>
  </si>
  <si>
    <t>planned: promote</t>
  </si>
  <si>
    <t>achieved: facilitate</t>
  </si>
  <si>
    <t>planned: facilitate</t>
  </si>
  <si>
    <t>planned: FR</t>
  </si>
  <si>
    <t>achieved: FR</t>
  </si>
  <si>
    <t>planned: PP</t>
  </si>
  <si>
    <t>achieved: PP</t>
  </si>
  <si>
    <t>planned: FoI</t>
  </si>
  <si>
    <t>achieved: FoI</t>
  </si>
  <si>
    <t>achieved: SC</t>
  </si>
  <si>
    <t>planned: SC</t>
  </si>
  <si>
    <t>planned: inclusive</t>
  </si>
  <si>
    <t>achieved: inclusive</t>
  </si>
  <si>
    <t>planned: outside</t>
  </si>
  <si>
    <t>achieved: outside</t>
  </si>
  <si>
    <t>planned: indirect</t>
  </si>
  <si>
    <t>achieved: indirect</t>
  </si>
  <si>
    <t>WORKINGS</t>
  </si>
  <si>
    <t>Indicator Reference Sheet</t>
  </si>
  <si>
    <t>Graphics of Progress Against SAVI Logframe</t>
  </si>
  <si>
    <t>State Accountability &amp; Voice Initiative</t>
  </si>
  <si>
    <t>SAVI Programme</t>
  </si>
  <si>
    <t>Planned: ZKY</t>
  </si>
  <si>
    <t>Planned: A&amp;N</t>
  </si>
  <si>
    <t>Planned: SLP</t>
  </si>
  <si>
    <t>Achieved: SLP</t>
  </si>
  <si>
    <t>-</t>
  </si>
  <si>
    <t>2.5 (mid 2013 baseline)</t>
  </si>
  <si>
    <t>2.3 (early 2012 baseline)</t>
  </si>
  <si>
    <t>1.0 (early 2012 baseline)</t>
  </si>
  <si>
    <t>1.0 (mid 2013 baseline)</t>
  </si>
  <si>
    <t>2.2 (early 2012 baseline)</t>
  </si>
  <si>
    <t>2.4 (mid 2013 baseline)</t>
  </si>
  <si>
    <t>1.6 (early 2012 baseline)</t>
  </si>
  <si>
    <t>1.8 (mid 2013 baseline)</t>
  </si>
  <si>
    <t>Achieved: ALL</t>
  </si>
  <si>
    <t>Planned: ALL</t>
  </si>
  <si>
    <t>late 2012 baseline &gt;&gt;&gt;</t>
  </si>
  <si>
    <t>retrospective baseline &amp; targets</t>
  </si>
  <si>
    <t>1.3 (early 2012 baseline)</t>
  </si>
  <si>
    <t>1.5 (mid 2013 baseline)</t>
  </si>
  <si>
    <t>2.0 (early 2012 baseline)</t>
  </si>
  <si>
    <t>1.7 (early 2012 baseline)</t>
  </si>
  <si>
    <t>Milestone 3 (late 2013)</t>
  </si>
  <si>
    <t>mid 2012 baseline &gt;&gt;&gt;</t>
  </si>
  <si>
    <t>mid 2013 baseline &gt;&gt;&gt;</t>
  </si>
  <si>
    <t>MTR (late 2011) = 16</t>
  </si>
  <si>
    <t>MTR (late 2011) &gt;&gt;&gt;</t>
  </si>
  <si>
    <t>MTR (late 2011) = 1.9</t>
  </si>
  <si>
    <t>MTR (late 2011) = 2.3</t>
  </si>
  <si>
    <t>MTR (late 2011) = 2.0</t>
  </si>
  <si>
    <t>MTR (late 2011) = 1.8</t>
  </si>
  <si>
    <t>MTR (late 2011) = 2.7</t>
  </si>
  <si>
    <t>MTR (late 2011) = 2.6</t>
  </si>
  <si>
    <t>&gt;50%</t>
  </si>
  <si>
    <t>MTR (late 2011) = n/a until 2012</t>
  </si>
  <si>
    <t>post MTR (early 2012) = 2.66</t>
  </si>
  <si>
    <t>post MTR (early 2012) = 2.64</t>
  </si>
  <si>
    <t>post MTR (early 2012) = 2.84</t>
  </si>
  <si>
    <t>SAVI Programme Logframe</t>
  </si>
  <si>
    <t>new indicator: pre-MTR</t>
  </si>
  <si>
    <t>Annual civil society partnership capacity self-assessments (CS-PCAs); previously organisational capacity self-assessments (CS-OCAs) were used to establish a baseline.</t>
  </si>
  <si>
    <t>SAVI Enugu State</t>
  </si>
  <si>
    <t>SAVI Jigawa State</t>
  </si>
  <si>
    <t>SAVI Kaduna State</t>
  </si>
  <si>
    <t>SAVI Kano State</t>
  </si>
  <si>
    <t>SAVI Lagos State</t>
  </si>
  <si>
    <t>SAVI Zamfara State</t>
  </si>
  <si>
    <t>SAVI Katsina State</t>
  </si>
  <si>
    <t>SAVI Yobe State</t>
  </si>
  <si>
    <t>SAVI Anambra State</t>
  </si>
  <si>
    <t>SAVI Niger State</t>
  </si>
  <si>
    <t>Achieved: ZKY</t>
  </si>
  <si>
    <t>Achieved: A&amp;N</t>
  </si>
  <si>
    <t>Planned: Enugu</t>
  </si>
  <si>
    <t>Planned: Jigawa</t>
  </si>
  <si>
    <t>Planned: Kaduna</t>
  </si>
  <si>
    <t>Planned: Kano</t>
  </si>
  <si>
    <t>Planned: Lagos</t>
  </si>
  <si>
    <t>Planned: Anambra</t>
  </si>
  <si>
    <t>Planned: Niger</t>
  </si>
  <si>
    <t>Planned: Zamfara</t>
  </si>
  <si>
    <t>Planned: Katsina</t>
  </si>
  <si>
    <t>Planned: Yobe</t>
  </si>
  <si>
    <t>Achieved: Enugu</t>
  </si>
  <si>
    <t>Achieved: Jigawa</t>
  </si>
  <si>
    <t>Achieved: Kaduna</t>
  </si>
  <si>
    <t>Achieved: Kano</t>
  </si>
  <si>
    <t>Achieved: Lagos</t>
  </si>
  <si>
    <t>Achieved: Zamfara</t>
  </si>
  <si>
    <t>Achieved: Katsina</t>
  </si>
  <si>
    <t>Achieved: Yobe</t>
  </si>
  <si>
    <t>Achieved: Anambra</t>
  </si>
  <si>
    <t>Achieved: Niger</t>
  </si>
  <si>
    <t>Nature of Information:</t>
  </si>
  <si>
    <t>Source of Information:</t>
  </si>
  <si>
    <t>Collection of Information:</t>
  </si>
  <si>
    <t>Processing of information:</t>
  </si>
  <si>
    <t>Use of information:</t>
  </si>
  <si>
    <t>What the measures tell us</t>
  </si>
  <si>
    <t>What exactly is measured</t>
  </si>
  <si>
    <t>Which type of measure it is</t>
  </si>
  <si>
    <t>How it is measured</t>
  </si>
  <si>
    <t>How it is collected</t>
  </si>
  <si>
    <t xml:space="preserve">When it is collected </t>
  </si>
  <si>
    <t xml:space="preserve">Who collects it </t>
  </si>
  <si>
    <t>How/where it is stored</t>
  </si>
  <si>
    <t xml:space="preserve">How it is analysed </t>
  </si>
  <si>
    <t>What decision-making purpose it serves</t>
  </si>
  <si>
    <t>What communications purpose it serves</t>
  </si>
  <si>
    <t>guidance notes:</t>
  </si>
  <si>
    <t>we need to look at 'evaluation' and 'monitoring' separately</t>
  </si>
  <si>
    <t>what tool, framework or method is used to guide exactly what info to collect,  from who, where and how</t>
  </si>
  <si>
    <t>what events, activities or opportunities are used to collect the required info</t>
  </si>
  <si>
    <t>what time of the month, quarter or year is the info collected</t>
  </si>
  <si>
    <t>which member/s of the state, national and/or UK team are responsible for collecting the required info</t>
  </si>
  <si>
    <t>which documents contain the info collected and where they are kept (whether electronically and/or as hard copy)</t>
  </si>
  <si>
    <t>who analyses the results,  reflects on the implication, who do they share their analysis/reflection with, and for what reason</t>
  </si>
  <si>
    <t xml:space="preserve">how the analysis is used in developing objectives, setting targets, agreeing strategy/approach and/or planning activities </t>
  </si>
  <si>
    <t>how the analysis is used in promoting 'replication' and/or meeting SAVI's 'reporting' needs</t>
  </si>
  <si>
    <t>Evaluation of Results</t>
  </si>
  <si>
    <t xml:space="preserve">Replaning and restrategising, identification and development of case studies,   promote replication , strategic communication             </t>
  </si>
  <si>
    <t>Monitoring of Progress</t>
  </si>
  <si>
    <t>Identification and development of case studies, remediation, replaning, restrategising and/or reinforcements.</t>
  </si>
  <si>
    <t>IMEP</t>
  </si>
  <si>
    <t xml:space="preserve">STL and M&amp;EL                                   </t>
  </si>
  <si>
    <t>Annual data collection and analysis including reporting. Dec 2012, Dec 2013, Dec 2014 and Sept 2015.</t>
  </si>
  <si>
    <t xml:space="preserve">Review of SHoA Bill of proceedings including a check list responded to by the Gazette Office. </t>
  </si>
  <si>
    <t>SAVI mini V&amp;A index. Triangulated peer review by selected external independent oversight Oversight (sectoral representatives).</t>
  </si>
  <si>
    <t xml:space="preserve">Single Focal Group Discussion (FGDs) with a selection of local experts constituting Oversight (sectoral representatives) twice every year.         </t>
  </si>
  <si>
    <t xml:space="preserve">Single FGDs results are analysed by M&amp;EL adviser and M&amp;E result specialists and fed back to SAVI state teams and Oversight (sectoral representatives) for response and validation.              </t>
  </si>
  <si>
    <t xml:space="preserve"> Learning &amp; sharing, case studies, strategic communication targeting DFID Nigeria on key issues.</t>
  </si>
  <si>
    <t>Learning &amp; sharing, strategic communication targetingDFID UK, DFID Nigeria, Dev partners, State Government, MDAs and SHoA.</t>
  </si>
  <si>
    <t xml:space="preserve">Periodic data collection from the leadership of SHoA, SLP and the State Government. Also information collated by independent investigative reporter. The information collected is analysed and stored.                     </t>
  </si>
  <si>
    <t>The result is analysed by the technical team for the purpose of Progress Reporting, promoting replication and strategic communication.</t>
  </si>
  <si>
    <t>Periodic data collection  ( Reflection meetings, administration of monitoring tool, including analysis of media tracking results) from SHoA, SLP and partners and the State Government.</t>
  </si>
  <si>
    <t>Quarterly</t>
  </si>
  <si>
    <t>SPOs                               PA</t>
  </si>
  <si>
    <t>During strategic sessions, technical team analyse various reports of meetings with MDAs, SHoAs and so on where there are cases of headlines and also the analyse case study by investigative reporter to be shared with STL for Quality Assurance (QA) and  TAs and DFID for progress reporting.</t>
  </si>
  <si>
    <t>Partnership workplans, minute of partnership meetings, reports on reflection sessions. SAVI team internal assessment reports of PCA. Feedback on monitoring tool administered.</t>
  </si>
  <si>
    <t>Daily, weekly, monthly and quarterly</t>
  </si>
  <si>
    <t>Progress reporting,  strategic communication targeting government,  SLPs, SHoA and other IDPs and SAVI partners.</t>
  </si>
  <si>
    <t xml:space="preserve"> Learning &amp; sharing, strategic communication targeting partners, SLPs and SAVI team.</t>
  </si>
  <si>
    <t xml:space="preserve">Partner replication actitivities are analysed, and the results are kept in the Excel sheet and the results are documented in a post assessment report and feedback to the partners for workplanning. And to SAVI for progress reporting. </t>
  </si>
  <si>
    <t>Review of partnership workplans, partnership meetings, reflection sessions. SAVI team internal assessment of PCA. Administration of monitoring tool.</t>
  </si>
  <si>
    <t xml:space="preserve"> - STL                         -SPOs                                          - PA</t>
  </si>
  <si>
    <t>Result of investigative reporting, development of headlines and/or case studies. Partnership Capacity self Assessment. Through a semi guided, self-administered, question and answer sessions with selected SAVI supported Advocacy Partnerships.</t>
  </si>
  <si>
    <t>Case study for quarterly and bi-annually investigative reporter. Partnership Capacity self Assessment. Jan-Feb 2010, June-July 2012, June-July 2013, June-July 2014  and June-July 2015.</t>
  </si>
  <si>
    <t>Identification of remediation plan, progressive planning, restrategising and/or reinforcements.</t>
  </si>
  <si>
    <t xml:space="preserve"> Learning &amp; sharing, strategic communication targeting partners.</t>
  </si>
  <si>
    <t>Partnership meetings, workshop, SAVI team internal assessment of PCA &amp; OCA. Monitoring tool administration</t>
  </si>
  <si>
    <t>Reflection meetings, post workshop/event reports and responses to monitoring tool.</t>
  </si>
  <si>
    <t>Weekly, monthly and quarterly</t>
  </si>
  <si>
    <t xml:space="preserve">Team reflection meetings analyzes and collate information. It is shared with partners for planning and SAVI Abuja and State Teams for progress reporting purposes. </t>
  </si>
  <si>
    <t>Development of remediation plan, progressive planning, and reporting.</t>
  </si>
  <si>
    <t>Learning &amp; sharing, strategic communication targeting partners and SAVI team.</t>
  </si>
  <si>
    <t xml:space="preserve"> Learning &amp; sharing, strategic communication targeting partners and SAVI team.</t>
  </si>
  <si>
    <t>Partnership meetings, workshop, SAVI team internal assessment of PCA &amp; OCA. Monitoring tool administration. Partners workplan and reports.</t>
  </si>
  <si>
    <t xml:space="preserve">Team reflection meetings analyzes and collate information on Gender and Social Inclusion from partnership meetings and workshop reports. SAVI team internal assessment of PCA &amp; OCA. Responses from the monitoring tool administered, including review of partners workplan. It is shared with partners for planning and SAVI Abuja and State Teams for progress reporting purposes. </t>
  </si>
  <si>
    <t xml:space="preserve">Progressive planning and reporting. Development of remediation plan. </t>
  </si>
  <si>
    <t xml:space="preserve">Citizen's Survey of feedback on civic education </t>
  </si>
  <si>
    <t>Annually</t>
  </si>
  <si>
    <t xml:space="preserve">SPO2 </t>
  </si>
  <si>
    <t>Replaning and restrategising,  identification of new areas of intervention</t>
  </si>
  <si>
    <t>Learning &amp; sharing, strategic communication targeting DFID UK, DFID Nigeria, Dev partners, State Government, MDAs and SHoA.</t>
  </si>
  <si>
    <t>Partnership surveys, research or needs assessment. SAVI media tracking. SAVI team internal assessment of partners monitoring tool administration</t>
  </si>
  <si>
    <t xml:space="preserve">SAVI internal reflection meetings, partnership cross learning meetings, partner survey report review and assessment of media tracking and responses to monitoring tool administered. </t>
  </si>
  <si>
    <t xml:space="preserve">SAVI team reflects, analyzes and collate information. The results are feedback to partners for plannining purposes and to SAVI for progress reporting and lesson sharing.  </t>
  </si>
  <si>
    <t>Learning &amp; sharing, strategic communication targeting partners, IDPs,SLPs and SAVI team.</t>
  </si>
  <si>
    <t xml:space="preserve">Media surveys, V&amp;A platform reports, SAVI media tracking. SAVI team internal assessment of partners monitoring tool administration. </t>
  </si>
  <si>
    <t xml:space="preserve">SAVI internal reflection meetings, media partners cross learning meetings, partner survey report review and assessment of media tracking and responses to monitoring tool administered. </t>
  </si>
  <si>
    <t xml:space="preserve"> - SPO2                                       - PA</t>
  </si>
  <si>
    <t>Identification of remediation plan, progressive planning and reporting, restrategising and/or reinforcements.</t>
  </si>
  <si>
    <t xml:space="preserve"> Learning &amp; sharing, strategic communication targeting partners, SHoA,SLPs and SAVI team.</t>
  </si>
  <si>
    <t xml:space="preserve">Technical Reports, Review of minutes of meetings, Order of the day, Status of bill checklist, Hansards, Independent assessment of report of 6th and 7th assembly   </t>
  </si>
  <si>
    <t>During and post partnership activities or workshops, Reflection meetings with partners/House,  Media &amp; SHoA tracking report,</t>
  </si>
  <si>
    <t>Quarterly, Monthly, Weekly and Daily</t>
  </si>
  <si>
    <t>SPOs/PA</t>
  </si>
  <si>
    <t>Workplanning and re-strategising, remediation action plan</t>
  </si>
  <si>
    <t xml:space="preserve">Technical Reports, Review of minutes of meetings, Order of the day, Status of bill checklist, Hansards, results dairy, exchange visits report, Independent assessment of report of 6th and 7th assembly   </t>
  </si>
  <si>
    <t>Through feedback and/or demands from targeted strategic engagement and information sharing with SLPs, IDPs and key government institutions at state, national and in the UK.</t>
  </si>
  <si>
    <t xml:space="preserve">  - Quarterly                                                    </t>
  </si>
  <si>
    <t xml:space="preserve">STL                                     </t>
  </si>
  <si>
    <t xml:space="preserve">Register for all IDPs kept by the state office. Checklist of targeted communications materials.  Internal SAVI technical and/or activity report. </t>
  </si>
  <si>
    <t xml:space="preserve">Monthly  </t>
  </si>
  <si>
    <t>STL                      SPOs                      PA</t>
  </si>
  <si>
    <t xml:space="preserve">Review/analysis of feedback and/or demands from targeted strategic engagement and information sharing with SLPs, IDPs and key government institutions at state, national and in the UK. This is for updating and validating by national and international SAVI team.  </t>
  </si>
  <si>
    <t>Through feedback from strategic engagements and information sharing with SLPs, IDPs and key government institutions at state, national and in the UK.                         Through feed-backs at Knowlegde sharing and reflection workshops and technical report during these workshops</t>
  </si>
  <si>
    <t>6 monthly                        Yearly</t>
  </si>
  <si>
    <t>STL                             SPOs</t>
  </si>
  <si>
    <t xml:space="preserve">Review/analysis of feedback and/or demands from targeted strategic engagement and information sharing with SLPs, IDPs and key government institutions at state, national and in the UK. This is for updating and validating by national and international SAVI team.              </t>
  </si>
  <si>
    <t>Register for all IDPs kept by the state office. Checklist of targeted communications materials.  Internal SAVI technical and/or activity report.</t>
  </si>
  <si>
    <t xml:space="preserve">Feedback and/or additional demands from the SLP Coordination, Donor Coordination and State Steering Committee meetings.  Feed-backs during strategic engagements such as meetings, conferences and workshops, for lesson /cross learning, knowlegde sharing and/or replication of best practices.  </t>
  </si>
  <si>
    <t xml:space="preserve">Monthly and quarterly </t>
  </si>
  <si>
    <t>PROCESSES</t>
  </si>
  <si>
    <t>Process Monitoring</t>
  </si>
  <si>
    <t>ACTIVITIES</t>
  </si>
  <si>
    <t>Activity Monitoring</t>
  </si>
  <si>
    <t>INPUTS</t>
  </si>
  <si>
    <t>Budget, TA Days &amp; Others' Contributions</t>
  </si>
  <si>
    <t>Budget Monitoring</t>
  </si>
  <si>
    <t>Monitoring &amp; Evaluation Plan (Matrix)</t>
  </si>
  <si>
    <t>★ click here for indicator guidance</t>
  </si>
  <si>
    <t>early 2012 baseline &gt;&gt;&gt;</t>
  </si>
  <si>
    <t>early 2012 midline &gt;&gt;&gt;</t>
  </si>
  <si>
    <t>late 2011 (midterm) &gt;&gt;&gt;</t>
  </si>
  <si>
    <t>retrospective b/lines &amp; m/stones1</t>
  </si>
  <si>
    <t>% of partners</t>
  </si>
  <si>
    <t>% of citizens</t>
  </si>
  <si>
    <t>Supplement to annual partnership capacity self-assessments (CS-PCAs), prior to which org. capacity self-assessments (CS-OCAs) were used to establish a baseline.</t>
  </si>
  <si>
    <t>Extent of public understanding of the expected roles and responsibilities of civil society, the media, state houses of assembly, government and citizens in improving voice and accountability:
a). among SAVI's local partners,</t>
  </si>
  <si>
    <t>Level of quality of coverage of SAVI-related policy issues and govt budget and planning processes by SAVI supported media partners.</t>
  </si>
  <si>
    <t>tbc</t>
  </si>
  <si>
    <t>3.4 &gt; 2.7</t>
  </si>
  <si>
    <t>3.9 &gt; 3.7</t>
  </si>
  <si>
    <t>4.8 &gt; 4.6</t>
  </si>
  <si>
    <t>3.9 &gt; 3.5</t>
  </si>
  <si>
    <t>4.8 &gt; 4.5</t>
  </si>
  <si>
    <t>3.0 &gt; 2.4</t>
  </si>
  <si>
    <t>3.7 &gt; 3.4</t>
  </si>
  <si>
    <t>4.7 &gt; 4.5</t>
  </si>
  <si>
    <t>3.0 &gt; 2.5</t>
  </si>
  <si>
    <t>3.7 &gt; 3.5</t>
  </si>
  <si>
    <t>4.7 &gt; 4.4</t>
  </si>
  <si>
    <t>Achieved: Abuja</t>
  </si>
  <si>
    <t>Planned: Abuja</t>
  </si>
  <si>
    <t>Achieved: Adjusted</t>
  </si>
  <si>
    <t>NB. the targets highlighted in yellow have been adjusted based on use of a revised evaluation tool (i.e. new PCA in place of the old OCA)</t>
  </si>
  <si>
    <t>NB. the targets highlighted in yellow have been adjusted due on the delayed start of the scale-up in new states (originally scheduled for Sept 2012, still pending)</t>
  </si>
  <si>
    <t>34&gt;30</t>
  </si>
  <si>
    <t>partners</t>
  </si>
  <si>
    <t>citizens</t>
  </si>
  <si>
    <t>late 2013 baseline &gt;&gt;&gt;</t>
  </si>
  <si>
    <t>Improvements in public understanding of the expected roles and responsibilities of civil society, the media, state houses of assembly, government and citizens in improving voice and accountability:
a). among SAVI's local partners,</t>
  </si>
  <si>
    <t>Improvement in the quality of coverage of SAVI-related policy issues and govt budget and planning processes by SAVI supported media partners.</t>
  </si>
  <si>
    <t>23&gt;20</t>
  </si>
  <si>
    <t>?</t>
  </si>
  <si>
    <r>
      <rPr>
        <u/>
        <sz val="9"/>
        <rFont val="Arial"/>
        <family val="2"/>
      </rPr>
      <t>multiple (9) focal group discussions (FGDs)</t>
    </r>
    <r>
      <rPr>
        <sz val="9"/>
        <rFont val="Arial"/>
        <family val="2"/>
      </rPr>
      <t xml:space="preserve"> with local experts once every two years, triangulated with relevant documents.</t>
    </r>
  </si>
  <si>
    <r>
      <rPr>
        <u/>
        <sz val="9"/>
        <rFont val="Arial"/>
        <family val="2"/>
      </rPr>
      <t>multiple FGDs</t>
    </r>
    <r>
      <rPr>
        <sz val="9"/>
        <rFont val="Arial"/>
        <family val="2"/>
      </rPr>
      <t xml:space="preserve"> for inception: Feb-Mar 2010, midterm: Mar-April 2012, and end-of-programme: Sept-Oct 2014.</t>
    </r>
  </si>
  <si>
    <r>
      <rPr>
        <u/>
        <sz val="9"/>
        <rFont val="Arial"/>
        <family val="2"/>
      </rPr>
      <t>multiple FGDs</t>
    </r>
    <r>
      <rPr>
        <sz val="9"/>
        <rFont val="Arial"/>
        <family val="2"/>
      </rPr>
      <t xml:space="preserve"> by SAVI's  M&amp;EL Adviser, ST-TA and M&amp;E Results Specialist.</t>
    </r>
  </si>
  <si>
    <r>
      <t xml:space="preserve">results of </t>
    </r>
    <r>
      <rPr>
        <u/>
        <sz val="9"/>
        <rFont val="Arial"/>
        <family val="2"/>
      </rPr>
      <t>multiple FGDs</t>
    </r>
    <r>
      <rPr>
        <sz val="9"/>
        <rFont val="Arial"/>
        <family val="2"/>
      </rPr>
      <t xml:space="preserve"> are captured in Excel spreadsheets, while their triangulated analysis is captured in Governance V&amp;A Index reports. The report is stored  in the Indicator 1 folder, of the impact folder, under the SAVI Lagos 2012 Evidence folder.            </t>
    </r>
  </si>
  <si>
    <t xml:space="preserve">results of multiple FGDs are analysed by SAVI's  M&amp;E Adviser and M&amp;E Results Specialist, then triangulated before being fed back to state teams and Oversight (sectoral representatives) for validation and response </t>
  </si>
  <si>
    <t xml:space="preserve"> Learning &amp; sharing, strategic communication targetingDFID UK, DFID Nigeria, Dev partners, State Government, MDAs and SHoA.</t>
  </si>
  <si>
    <t>Citizens perception dialogue, votes &amp; Proceedings.                SAVI mini V&amp;A index report. Triangulated peer review by selected external independent Oversight (sectoral representatives).</t>
  </si>
  <si>
    <t>Single Focus Group Discussion (FGDs) with a selection of local experts constituting Oversight (sectoral representatives) twice every year.         Media trackings of key governance issues , tagets government officials in strategic positions,State Steering Committee (SSC) meeting</t>
  </si>
  <si>
    <t xml:space="preserve"> Single FGDs in Sept-Oct 2012, Mar-April 2013, Oct-Nov 2013, May-June 2014 and May-June 2015.                       </t>
  </si>
  <si>
    <t xml:space="preserve"> SAVI's  M&amp;E Adviser &amp; STL                        </t>
  </si>
  <si>
    <t xml:space="preserve">The results of single FGDs are captured in the monitoring report and  stored  in the Indicator 1 folder, of the impact folder, under the SAVI Lagos 2012 Evidence folder.                        </t>
  </si>
  <si>
    <t xml:space="preserve">Single FGDs results are analysed by M&amp;EL adviser and M&amp;E result specialists and fed back to SAVI state teams and Oversight (sectoral representatives) for response and validation.              review opinion poll,   -review and analysis of media coverage,      -review of citizens perception dialogue                                </t>
  </si>
  <si>
    <t xml:space="preserve">A representative sample survey of citizen's perception covering state context of rural, semi-urban,  and urban geographic settlements. Including representation of gender and the socially excluded as  integral part of the sample.            </t>
  </si>
  <si>
    <t>conducted once every two years: March-April 2010 baseline; March-April 2012 update; and March-April 2014 update.</t>
  </si>
  <si>
    <t xml:space="preserve"> The analysis and report is done by IMEP and the agreed report is stored  in the Indicator 2 folder, of the impact folder, under the SAVI Lagos 2012 Evidence folder.                      </t>
  </si>
  <si>
    <t>The results of the  Citizen's Perception Survey is analysed and fed back by IMEP to DFID and  SAVI national team for feedback.</t>
  </si>
  <si>
    <t xml:space="preserve"> - To promote replication                     - To promote strategic communication                -  To improve programme planning and restrategising.</t>
  </si>
  <si>
    <t xml:space="preserve"> - Strategic communication targeting DFID UK and Nigeria including other development partners and selected national or state government MDAs.                            - Lesson learning and sharing.</t>
  </si>
  <si>
    <t xml:space="preserve">The use of state technical groups (consisting of one representative from government, Legislature, SLPs, IDPs and SAVI STL) to validate partner's perception survey results including triangulating with bi-annual internal political economic analysis.                          </t>
  </si>
  <si>
    <t xml:space="preserve">A semi-guided interview tool to target a sample of citizen's group, by sectoral partnership.  Results are analysed and summarised into a report. Internal  Political Economy Analysis reports by SAVI team.   Both bi-annual reports of the mini-CPS and PEA are reviewed triangulated and validated by the state technical group.                              </t>
  </si>
  <si>
    <t xml:space="preserve">Conducted twice every year: May-Jun 2013, Dec-Jan, 2014, Sept-Oct 2015.                </t>
  </si>
  <si>
    <t xml:space="preserve">The results of single FGDs are captured in the monitoring report and  stored  in the Indicator 2 folder, of the impact folder, under the SAVI Lagos 2012 Evidence folder.            </t>
  </si>
  <si>
    <t xml:space="preserve">Review the mini-CPS reports then   triangulated with the PEA and validated by the state technical group.                 </t>
  </si>
  <si>
    <t>Learning &amp; sharing, case studies, strategic communication targeting DFID Nigeria on key issues.</t>
  </si>
  <si>
    <t>Annual development of State House of Assembly crib sheet including analysis and review of the sheet against intended SHoA legislative long term plans. Triangulated with Ministry of Justice reports/white paper on new Laws and Acts of the state.  review of progress of the implementation of State House of Assembly plans Organisational Capacity Assessment(OCA),   during technical process with the House or through formal or informal meetings with members of the House</t>
  </si>
  <si>
    <t xml:space="preserve"> -STL &amp; SHoA-RA                                          </t>
  </si>
  <si>
    <t xml:space="preserve">The gazetted laws are  stored  in the Indicator 3 folder, of the impact folder, under the SAVI Lagos 2012 Evidence folder.                              </t>
  </si>
  <si>
    <t>Review of OCA reports/ tool and SPOs with PA read through and shares with STL and SHoA for improvement/ inform direction of further engagements with the SHoA</t>
  </si>
  <si>
    <t>Trend monitoring, Replaning and re-strategising ,                 Replication</t>
  </si>
  <si>
    <t xml:space="preserve"> - Strategic communication targeting the other SHoAs                                  - Lesson sharing and learning.</t>
  </si>
  <si>
    <t xml:space="preserve">Periodic data collection meeting with the leadership of SHoA. Collection of updated State Government gazette from the Gazette Office. The information collected is reviewed and a progress report is written.                             </t>
  </si>
  <si>
    <t>Gazetted laws- Quaterly and for SHoA crib sheet and Ministry of Justice update report on Acts- Bi-annually.</t>
  </si>
  <si>
    <t>STL</t>
  </si>
  <si>
    <t xml:space="preserve">The gazetted laws are stored in the Indicator 3 folder, of the impact folder, under the SAVI Lagos 2012 Evidence folder.            .  </t>
  </si>
  <si>
    <t xml:space="preserve"> State team reflection meetings to inform internal programme and sharing with partners for re-prioritisation/reinforcement.</t>
  </si>
  <si>
    <r>
      <rPr>
        <u/>
        <sz val="9"/>
        <rFont val="Arial"/>
        <family val="2"/>
      </rPr>
      <t>multiple FGDs</t>
    </r>
    <r>
      <rPr>
        <sz val="9"/>
        <rFont val="Arial"/>
        <family val="2"/>
      </rPr>
      <t xml:space="preserve"> by SAVI's STL,  M&amp;EL Adviser, ST-TA and M&amp;E Results Specialist.</t>
    </r>
  </si>
  <si>
    <t xml:space="preserve">results of multiple FGDs are captured in Excel spreadsheets, while their triangulated analysis is captured in Governance V&amp;A Index reports. The report is stored  is stored  in the Indicator 1 folder, of the outcome folder, under the SAVI Lagos 2012 Evidence folder.            </t>
  </si>
  <si>
    <t xml:space="preserve"> SAVI's  STL, M&amp;E Adviser                    </t>
  </si>
  <si>
    <t xml:space="preserve">The results of single FGDs are captured in the Indicator 1 folder, of the outcome folder, under the SAVI Lagos 2012 Evidence folder.            </t>
  </si>
  <si>
    <t xml:space="preserve"> SAVI's  STL, M&amp;E Adviser .                     </t>
  </si>
  <si>
    <t xml:space="preserve">results of multiple FGDs are captured in Excel spreadsheets, while their triangulated analysis is captured in Governance V&amp;A Index reports. The report is stored  is stored  in the Indicator 2 folder, of the outcome folder, under the SAVI Lagos 2012 Evidence folder.    </t>
  </si>
  <si>
    <t xml:space="preserve"> Single FGDs in Sept-Oct 2012, Mar-April 2013, Oct-Nov 2013, May-June 2014 and May-June 2015.                         </t>
  </si>
  <si>
    <t xml:space="preserve">  SAVI's  STL, M&amp;E Adviser                    </t>
  </si>
  <si>
    <t xml:space="preserve">The results of single FGDs are captured in the Indicator 2 folder, of the outcome folder, under the SAVI Lagos 2012 Evidence folder.             </t>
  </si>
  <si>
    <t xml:space="preserve">yearly </t>
  </si>
  <si>
    <t>STL               Investigative reporter</t>
  </si>
  <si>
    <t xml:space="preserve">The report is stored  in  the Indicator 4 folder, of the outcome folder, under the SAVI Lagos 2012 Evidence folder.   .            </t>
  </si>
  <si>
    <t xml:space="preserve">LASHoA Status of bills checklist, SAVI's progress report and internally generated monitoring report. </t>
  </si>
  <si>
    <t xml:space="preserve">The results of single FGDs are captured in the Indicator 4 folder, of the outcome folder, under the SAVI Lagos 2012 Evidence folder.   .            </t>
  </si>
  <si>
    <t>Partnership Capacity self Assessment. Through a semi guided, self-administered, question and answer sessions with selected SAVI supported Advocacy Partnerships.</t>
  </si>
  <si>
    <t>Partnership Capacity self Assessment. Jan-Feb 2010, June-July 2012, June-July 2013, June-July 2014  and June-July 2015.</t>
  </si>
  <si>
    <t>Stored in Output 1, under Indicator 1.1 folder, of the SAVI Lagos 2012 Evidence folder on the drop box</t>
  </si>
  <si>
    <t xml:space="preserve">Partner programming capacity is analysed, and the results are kept in the Excel sheet and the results are documented in a post assessment report and feedback to the partners for workplanning. And to SAVI for progress reporting. </t>
  </si>
  <si>
    <t xml:space="preserve">Workplanning and restrategising. </t>
  </si>
  <si>
    <t xml:space="preserve">Analysis and collation of information through team reflection and constant review of workplans/minutes to inform partners strategy and SAVI workplan. </t>
  </si>
  <si>
    <t>Stored in Output 1 under Indicator 1.2 under Indicator 1 folder, of the SAVI Lagos 2012 Evidence folder on the drop box</t>
  </si>
  <si>
    <t xml:space="preserve">Partner dependency is analysed, and the results are kept in the Excel sheet and the results are documented in a post assessment report and feedback to the partners for workplanning. And to SAVI for progress reporting. </t>
  </si>
  <si>
    <t>SPOs                                          - PA</t>
  </si>
  <si>
    <t>Stored in Output 1, under  in Output 1.2, under Indicator 1 folder, of the SAVI Lagos 2012 Evidence folder on the drop box</t>
  </si>
  <si>
    <t>Stored in Output 1, under   Indicator 1.3 folder, of the SAVI Lagos 2012 Evidence folder on the drop box</t>
  </si>
  <si>
    <t>Workplanning and restrategising. Promoting replication.</t>
  </si>
  <si>
    <t xml:space="preserve">Progressive planning and reporting. Development of replication strategy. </t>
  </si>
  <si>
    <t>Partnership Capacity self Assessment. Through a semi guided, self-administered, question and answer sessions with selected SAVI supported budget and planning processes.</t>
  </si>
  <si>
    <t>Stored in Output 2, under Indicator 2.1 folder, of the SAVI Lagos 2012 Evidence folder on the drop box</t>
  </si>
  <si>
    <t>Stored in Output 2,, under Indicator 2.1 folder, of the SAVI Lagos 2012 Evidence folder on the drop box</t>
  </si>
  <si>
    <t>Stored in Output 2, under  Stored in Output 2.2, under Indicator 1 folder, of the SAVI Lagos 2012 Evidence folder on the drop box</t>
  </si>
  <si>
    <t>Stored in Output 2, under Indicator 2.2 folder, of the SAVI Lagos 2012 Evidence folder on the drop box</t>
  </si>
  <si>
    <t>Stored in Output 2, under Indicator 2.3 folder, of the SAVI Lagos 2012 Evidence folder on the drop box</t>
  </si>
  <si>
    <t>Stored in Output 2, under    Indicator 2.3 folder, of the SAVI Lagos 2012 Evidence folder on the drop box</t>
  </si>
  <si>
    <t>Single Partnership Capacity self Assessment with SAVI CS partnership every 1 year.</t>
  </si>
  <si>
    <t>Individual Partnership Capacity self Assessment midterm: June-July 2013, June-July 2014 and end-of-programme: June-July 2015.</t>
  </si>
  <si>
    <t xml:space="preserve"> - SPOs                                          - PA</t>
  </si>
  <si>
    <t>Stored in Output 3, under Indicator 3.1 folder, of the SAVI Lagos 2012 Evidence folder on the drop box</t>
  </si>
  <si>
    <t xml:space="preserve">Analysis of results of the Partnership Capacity self Assessment (PCA) are kept in the Excel sheet and the results are documented in a post assessment report </t>
  </si>
  <si>
    <t>Stored in Output 3, under  Indicator 3.1 folder, of the SAVI Lagos 2012 Evidence folder on the drop box</t>
  </si>
  <si>
    <t>Individual Partnership Capacity self Assessment FGDs midterm: June-July 2013, June-July 2014 and end-of-programme: June-July 2015.</t>
  </si>
  <si>
    <t xml:space="preserve"> - SPO1                                         - PA</t>
  </si>
  <si>
    <t>Stored in Output 3, under Indicator 3.2 folder, of the SAVI Lagos 2012 Evidence folder on the drop box</t>
  </si>
  <si>
    <t xml:space="preserve"> - SPO1                                          - PA</t>
  </si>
  <si>
    <t xml:space="preserve"> Stored in Output 3, under indicator 3.3 folder, of the SAVI Lagos 2012 Evidence folder on the drop box</t>
  </si>
  <si>
    <t>Review of survey results  by technical team and analysis are triangulated with IMEP's citizen's perception survey results and the results are kept in the survey report. The analysis are shared with partners for planning purpose and with SAVI Abuja team for progress reporting.</t>
  </si>
  <si>
    <t>Stored in Output 3, under  Indicator 3.3 folder, of the SAVI Lagos 2012 Evidence folder on the drop box</t>
  </si>
  <si>
    <t>Individual Media Capacity self Assessment with SAVI Media partnership every 1 year.</t>
  </si>
  <si>
    <t>Individual Media  Capacity self Assessment FGDs midterm: Oct-Nov. 2012,Oct-Nov 2013, Oct.-Nov 2014 and end-of-programme: Oct.-Nov 2015.</t>
  </si>
  <si>
    <t>Stored in Output 3, under  Indicator 3.4 folder, of the SAVI Lagos 2012 Evidence folder on the drop box</t>
  </si>
  <si>
    <t>Analysis of results of the Media Capacity self Assessment (MCA) are kept in the Excel sheet and the results are documented in a post assessment report.The results are feedback to partners for planning purpose.</t>
  </si>
  <si>
    <t>Stored in Output 3, under Indicator 3.4 folder, of the SAVI Lagos 2012 Evidence folder on the drop box</t>
  </si>
  <si>
    <t>State House of Assembly Organisational Capacity self Assessment. Through a semi guided, self-administered, question and answer sessions for SHoA members and staff.</t>
  </si>
  <si>
    <t>State House of Assembly (SHoA) Capacity self Assessment. Nov-Dec 2009, Feb-March 2012, Feb-March 2013, Feb.-March 2014  and Feb-March 2015.</t>
  </si>
  <si>
    <t>Stored in Output 4, under Indicator 4.1 folder, of the SAVI Lagos 2012 Evidence folder on the drop box</t>
  </si>
  <si>
    <t xml:space="preserve">Analysis of results are kept in the Excel sheet and the results are documented in a post assessment report and feedback to the SHoA members and staff for short and long term planning. And to SAVI for progress reporting. </t>
  </si>
  <si>
    <t>Through reflection meetings analyzing and collation of information to feed into; partner planning, progress reporting (E.g quarterly reporting, partner development strategizing etc)</t>
  </si>
  <si>
    <t>Stored in Output 4, under Indicator 4.2 folder, of the SAVI Lagos 2012 Evidence folder on the drop box</t>
  </si>
  <si>
    <t>Stored in Output 4, under Indicator 4.2 folder, of the SAVI Lagos 2012 Evidence folder on the drop boxg</t>
  </si>
  <si>
    <t>Stored in Output 4, under Indicator 4.3 folder, of the SAVI Lagos 2012 Evidence folder on the drop box</t>
  </si>
  <si>
    <t>Stored in Output 4, under Indicator 4.4 folder, of the SAVI Lagos 2012 Evidence folder on the drop box</t>
  </si>
  <si>
    <t>Stored in Output 4, under Indicator 4.5 folder, of the SAVI Lagos 2012 Evidence folder on the drop box</t>
  </si>
  <si>
    <t>Stored in Output 4, under  Indicator 4.5 folder, of the SAVI Lagos 2012 Evidence folder on the drop box</t>
  </si>
  <si>
    <t>Stored in ouput 5 under Indicator 5.1 folder, of the SAVI Lagos 2012 Evidence folder on the drop box</t>
  </si>
  <si>
    <t>Review/analysis of feedback and/or demands from targeted strategic engagement and information sharing with SLPs, IDPs and key government institutions at state, national and in the UK. This is for updating and validating by national and international SAVI team.</t>
  </si>
  <si>
    <t xml:space="preserve"> - Promotion of  replication                    - Building strategic partnership,                 -Reinenforcement of best practices to strenghten Community of Practice (COP) and re-strategising</t>
  </si>
  <si>
    <t xml:space="preserve"> -Strategic communication of SAVI approach with other  SLPs, State and National government, IDPs, DFIDN and DFID UK.                                       - Opportunities for cross learning and sharing.</t>
  </si>
  <si>
    <t xml:space="preserve"> Feedback and/or demands from the SLP Coordination, Donor Coordination and State Steering Committee meetings.  Feed-backs during strategic engagements such as meetings, conferences and workshops, for  lesson/cross learning, knowlegde sharing and/or replication of best practices.             </t>
  </si>
  <si>
    <t xml:space="preserve">SPOs/PA review the minutes of meetings and technical/activity reports and this is communicated to the STL for feedback and finalisation.         </t>
  </si>
  <si>
    <t xml:space="preserve">  Promotion of  replication                    - Building strategic partnership,                 -Reinenforcement of best practices to strenghten Community of Practice (COP) and re-strategising              </t>
  </si>
  <si>
    <t xml:space="preserve"> -Strategic communication of SAVI approach with other IDPs                                        - Opportunities for cross learning and sharing.</t>
  </si>
  <si>
    <t>Stored in ouput 5 under Indicator 5.2 folder, of the SAVI Lagos 2012 Evidence folder on the drop box</t>
  </si>
  <si>
    <t xml:space="preserve"> - Promote replication        - Planning and re-strategising</t>
  </si>
  <si>
    <t xml:space="preserve"> -strategic communication of SAVI approach with other IDPs                                        - Opportunities for cross learning and sharing.</t>
  </si>
  <si>
    <t xml:space="preserve">  -Promote replication        - Planning and re-strategising</t>
  </si>
  <si>
    <t>Assumptions Monitoring</t>
  </si>
  <si>
    <t>Activities Log &gt; Process Maps</t>
  </si>
  <si>
    <t>Process Maps &gt; Workplans</t>
  </si>
  <si>
    <t>1.7 &gt; 1.2</t>
  </si>
  <si>
    <t>1.7 &gt; 1.0</t>
  </si>
  <si>
    <t>2.1 &gt; 2.2</t>
  </si>
  <si>
    <t>3.5 &gt; 2.7</t>
  </si>
  <si>
    <t>3.5 &gt; 2.6</t>
  </si>
  <si>
    <t>2.2 &gt; 2.2</t>
  </si>
  <si>
    <t>3.25 &gt; 2.6</t>
  </si>
  <si>
    <t>2.2 &gt; 2.3</t>
  </si>
  <si>
    <t>3.5 &gt; 2.8</t>
  </si>
  <si>
    <t>Refer to SPARC Logframe</t>
  </si>
  <si>
    <t xml:space="preserve"> Criteria for Assessment / Scoring System:</t>
  </si>
  <si>
    <t>early 2013 baseline &gt;&gt;&gt;</t>
  </si>
  <si>
    <t>Achieved Replication Results</t>
  </si>
  <si>
    <t>Evidence of Attribution to SAVI</t>
  </si>
  <si>
    <t>Cumulative number of demonstrable changes in policy and implementation (behavioural change, policy change and change in practice) by state government in response to public demand where there is evidence of attribution to SAVI's approach, a number of which:</t>
  </si>
  <si>
    <t xml:space="preserve">b). are not directly attributable to SAVI support (result from replication of the approach by partners and others), and </t>
  </si>
  <si>
    <t>c). happen outside of SAVI states.</t>
  </si>
  <si>
    <t>50&gt;31</t>
  </si>
  <si>
    <t>a).</t>
  </si>
  <si>
    <t>b).</t>
  </si>
  <si>
    <t>c).</t>
  </si>
  <si>
    <t>early 2012 midline = 2.7 &gt;&gt;&gt;</t>
  </si>
  <si>
    <t>early 2012 midline = 2.6 &gt;&gt;&gt;</t>
  </si>
  <si>
    <t>early 2012 midline = 2.8 &gt;&gt;&gt;</t>
  </si>
  <si>
    <t>late 2011 (midterm) = 2.7 &gt;&gt;&gt;</t>
  </si>
  <si>
    <t>late 2011 (midterm) = 2.6 &gt;&gt;&gt;</t>
  </si>
  <si>
    <t>late 2011 (midterm) = 2.0 &gt;&gt;&gt;</t>
  </si>
  <si>
    <t>late 2011 (midterm) = 1.8 &gt;&gt;&gt;</t>
  </si>
  <si>
    <t>late 2011 (midterm) = 2.3 &gt;&gt;&gt;</t>
  </si>
  <si>
    <t>late 2011 (midterm) = 1.9 &gt;&gt;&gt;</t>
  </si>
  <si>
    <t>late 2011 (midterm) =1.9 &gt;&gt;&gt;</t>
  </si>
  <si>
    <t>late 2011 = 20, 15, 10, 5 &gt;&gt;&gt;</t>
  </si>
  <si>
    <t>late 2011 = 11, 6, 0, 0 &gt;&gt;&gt;</t>
  </si>
  <si>
    <t>late 2011 = 8, 8, 4, 12 &gt;&gt;&gt;</t>
  </si>
  <si>
    <t>late 2011 (midterm) = 1.6 &gt;&gt;&gt;</t>
  </si>
  <si>
    <t>late 2011 (midterm) = 16 &gt;&gt;&gt;</t>
  </si>
  <si>
    <t>Cumulative number of demonstrable changes in policy and implementation (behavioural change, policy change and change in practice) by state government in response to public demand where there is evidence of attribution to SAVI's approach, a proportion of which:</t>
  </si>
  <si>
    <t xml:space="preserve">b). are indirectly attributable to SAVI, and </t>
  </si>
  <si>
    <t>c). are outside of focal states.</t>
  </si>
  <si>
    <t>Output Indicator 5.3</t>
  </si>
  <si>
    <t>Cumulative number of firm commitments by other development partners (organisations) to replicate key aspects of SAVI and its local partners approaches.</t>
  </si>
  <si>
    <t>interest</t>
  </si>
  <si>
    <t>particip</t>
  </si>
  <si>
    <t>attempt</t>
  </si>
  <si>
    <t>roots</t>
  </si>
  <si>
    <t>trunk</t>
  </si>
  <si>
    <t>branch</t>
  </si>
  <si>
    <t>plan to</t>
  </si>
  <si>
    <t>Cumulative number of other development partners (individuals) accessing and taking-up relevant and useful lessons learnt by SAVI and its local partners.</t>
  </si>
  <si>
    <t>Efficiency: Enugu</t>
  </si>
  <si>
    <t>Efficiency: Jigawa</t>
  </si>
  <si>
    <t>Efficiency: Kaduna</t>
  </si>
  <si>
    <t>Efficiency: Kano</t>
  </si>
  <si>
    <t>Efficiency: Lagos</t>
  </si>
  <si>
    <t>Efficiency: Zamfara</t>
  </si>
  <si>
    <t>Efficiency: Katsina</t>
  </si>
  <si>
    <t>Efficiency: Yobe</t>
  </si>
  <si>
    <t>Efficiency: Anambra</t>
  </si>
  <si>
    <t>Efficiency: Niger</t>
  </si>
  <si>
    <t>Efficiency: Abuja</t>
  </si>
  <si>
    <t>Efficiency: Adjusted</t>
  </si>
  <si>
    <t>JFM</t>
  </si>
  <si>
    <t>AMJ</t>
  </si>
  <si>
    <t>JAS</t>
  </si>
  <si>
    <t>OND</t>
  </si>
  <si>
    <t>19th March 2010</t>
  </si>
  <si>
    <t>19th June 2011</t>
  </si>
  <si>
    <t>19th Oct 2012</t>
  </si>
  <si>
    <t>19th Oct 2013</t>
  </si>
  <si>
    <t>19th Dec 2014</t>
  </si>
  <si>
    <t>1st Aug 2008</t>
  </si>
  <si>
    <t>mob</t>
  </si>
  <si>
    <t>1st June</t>
  </si>
  <si>
    <t>1st Aug</t>
  </si>
  <si>
    <t>new indicator: post-2012 AR</t>
  </si>
  <si>
    <t>not disaggregated</t>
  </si>
  <si>
    <t>retrospective b/lines &amp; m/stone1</t>
  </si>
  <si>
    <t>not disaggregated (organisations)</t>
  </si>
  <si>
    <t>50 organisations</t>
  </si>
  <si>
    <t>75 org</t>
  </si>
  <si>
    <t>Planned: UK/Intl</t>
  </si>
  <si>
    <t>Achieved: UK/Intl</t>
  </si>
  <si>
    <t>SAVI Nigeria</t>
  </si>
  <si>
    <t>Level of strength of SAVI supported media partners in terms of their internal capacity, external relations and programming skills in support of local partners achievement of their objectives under all five Outputs.</t>
  </si>
  <si>
    <t>Efficiency: UK/Intl</t>
  </si>
  <si>
    <t>inc</t>
  </si>
  <si>
    <t>Depth of SAVI and its local partners’ learning/ approaches being taken up by other development partners (organisations).</t>
  </si>
  <si>
    <t>Depth of SAVI and its local partners’ learning/approaches being taken up by other development partners (organisations).</t>
  </si>
  <si>
    <t>Spend: Enugu</t>
  </si>
  <si>
    <t>Spend: Jigawa</t>
  </si>
  <si>
    <t>Spend: Kaduna</t>
  </si>
  <si>
    <t>Spend: Kano</t>
  </si>
  <si>
    <t>Spend: Lagos</t>
  </si>
  <si>
    <t>Spend: Zamfara</t>
  </si>
  <si>
    <t>Spend: Katsina</t>
  </si>
  <si>
    <t>Spend: Yobe</t>
  </si>
  <si>
    <t>Spend: Anambra</t>
  </si>
  <si>
    <t>Spend: Niger</t>
  </si>
  <si>
    <t>Spend: Abuja</t>
  </si>
  <si>
    <t>Spend: UK/Intl</t>
  </si>
  <si>
    <t>Spend: Adjusted</t>
  </si>
  <si>
    <t>Spend per Sub-Output (Indicator) per State</t>
  </si>
  <si>
    <t>ANALYSIS: Key Factors Affecting Efficiency</t>
  </si>
  <si>
    <t>actual</t>
  </si>
  <si>
    <t>Living Costs</t>
  </si>
  <si>
    <t>Management Costs</t>
  </si>
  <si>
    <t>BREAKDOWN of Total Expenditure</t>
  </si>
  <si>
    <t>insert text here</t>
  </si>
  <si>
    <t>19th Sept 2009</t>
  </si>
  <si>
    <t>no state activities</t>
  </si>
  <si>
    <t>all state activities were coded as 'programme activities'</t>
  </si>
  <si>
    <t>apportioned equally between 5 states and 5 outputs</t>
  </si>
  <si>
    <t>between 8 states</t>
  </si>
  <si>
    <t>apportioned equally between 8 states and 5 outputs</t>
  </si>
  <si>
    <t>between 10 states</t>
  </si>
  <si>
    <t>apportioned pro-rata between 10 states and equally between 5 outputs</t>
  </si>
  <si>
    <t>apportioned equally between 10 states and 5 outputs</t>
  </si>
  <si>
    <t>actual by state and by output (with outputs 1 &amp; 2 still merged) apportioned equally between sub-outputs</t>
  </si>
  <si>
    <t>actual by state and by output (1&amp;2 merged) apportioned equally between sub-outputs</t>
  </si>
  <si>
    <t>actual by state, apportioned equally between 5 outputs</t>
  </si>
  <si>
    <t>Office Operating Costs</t>
  </si>
  <si>
    <t>Programme Activities
(21%)</t>
  </si>
  <si>
    <t>Fees
(48%)</t>
  </si>
  <si>
    <t>State Activities
(18.5%)</t>
  </si>
  <si>
    <t>Programme Activities
(2.5%)</t>
  </si>
  <si>
    <t>STTA
(3.5%)</t>
  </si>
  <si>
    <t>LTTA (Abuja/UK-Based)
(19%)</t>
  </si>
  <si>
    <t>LTTA (State Level)
(25.5%)</t>
  </si>
  <si>
    <t>??%</t>
  </si>
  <si>
    <t>disaggregated by state, by output and by sub-output</t>
  </si>
  <si>
    <t>disaggregated by state only</t>
  </si>
  <si>
    <t>??% Confidence</t>
  </si>
  <si>
    <t>twig</t>
  </si>
  <si>
    <t>root</t>
  </si>
  <si>
    <t>Output Indicator 5.1a</t>
  </si>
  <si>
    <t>Output Indicator 5.1b</t>
  </si>
  <si>
    <t>Output Indicator 5.1c</t>
  </si>
  <si>
    <t>Output Indicator 5.1d</t>
  </si>
  <si>
    <t>Output Indicator 5.2a</t>
  </si>
  <si>
    <t>Output Indicator 5.2b</t>
  </si>
  <si>
    <t>Output Indicator 5.2c</t>
  </si>
  <si>
    <t>Output Indicator 5.2d</t>
  </si>
  <si>
    <t>Output Indicator 5.3a</t>
  </si>
  <si>
    <t>Output Indicator 5.3b</t>
  </si>
  <si>
    <t>Output Indicator 5.3c</t>
  </si>
  <si>
    <t>Output Indicator 5.3d</t>
  </si>
  <si>
    <t>indicator</t>
  </si>
  <si>
    <t>score weighting</t>
  </si>
  <si>
    <t>spend weighting</t>
  </si>
  <si>
    <t>WEIGHTINGS:</t>
  </si>
  <si>
    <t>level</t>
  </si>
  <si>
    <t>impact/outcome</t>
  </si>
  <si>
    <t>output</t>
  </si>
  <si>
    <t>permitting, facilitating, promoting and institutionalising combined (total)</t>
  </si>
  <si>
    <t>number, a), b), and c) combined (total)</t>
  </si>
  <si>
    <t>FR, PP, FoI and SC combined (average)</t>
  </si>
  <si>
    <t>partners &amp; citizens combined (average)</t>
  </si>
  <si>
    <t>committees &amp; houses combined (total)</t>
  </si>
  <si>
    <t>100% of total expenditure</t>
  </si>
  <si>
    <t>50% of total expenditure</t>
  </si>
  <si>
    <t>33% of total expenditure</t>
  </si>
  <si>
    <t>early                                                                 
2010</t>
  </si>
  <si>
    <t>Q2                                                                 
mid 2011</t>
  </si>
  <si>
    <t>Q3/4                                                                 
late 2012</t>
  </si>
  <si>
    <t xml:space="preserve"> Q4                                                                
late 2013</t>
  </si>
  <si>
    <t>Q3                                                                 
mid 2015</t>
  </si>
  <si>
    <t>this sheet this sheet presents the numerical formulae / calculations that automatically convert the targets and scores from the logframe and the database into traffic lights and arrows in the quarterly progress report</t>
  </si>
  <si>
    <t>All Other State Level Expenses
(19%)</t>
  </si>
  <si>
    <t>All Other Abuja/UK-Based Expenses
(13%)</t>
  </si>
  <si>
    <t>Impact Indicators 1-3</t>
  </si>
  <si>
    <t>Outcome Indicators 1-4</t>
  </si>
  <si>
    <t>Output Indicators 1.1-1.3</t>
  </si>
  <si>
    <t>Output Indicators 2.1-2.3</t>
  </si>
  <si>
    <t>Output Indicators 4.1-4.5</t>
  </si>
  <si>
    <t>Output Indicators 5.1-5.2</t>
  </si>
  <si>
    <t>Output Indicators 3.1-3.4</t>
  </si>
  <si>
    <t>2013 increment</t>
  </si>
  <si>
    <t>2012 increment</t>
  </si>
  <si>
    <t>2011 increment</t>
  </si>
  <si>
    <t>2013 composites</t>
  </si>
  <si>
    <t>output 5</t>
  </si>
  <si>
    <t>output 4</t>
  </si>
  <si>
    <t>output 3</t>
  </si>
  <si>
    <t>output 2</t>
  </si>
  <si>
    <t>output 1</t>
  </si>
  <si>
    <t>2012 composites</t>
  </si>
  <si>
    <t>2011 composites</t>
  </si>
  <si>
    <t>???</t>
  </si>
  <si>
    <t>ZKY vs SLP inception efficiency</t>
  </si>
  <si>
    <t>&gt; composite</t>
  </si>
  <si>
    <t>impact &amp; outcome</t>
  </si>
  <si>
    <t>ranking</t>
  </si>
  <si>
    <t>outcome 1</t>
  </si>
  <si>
    <t>weighted</t>
  </si>
  <si>
    <t>outcome 2</t>
  </si>
  <si>
    <t>Enugu</t>
  </si>
  <si>
    <t>Jigawa</t>
  </si>
  <si>
    <t>Kaduna</t>
  </si>
  <si>
    <t>Kano</t>
  </si>
  <si>
    <t>Lagos</t>
  </si>
  <si>
    <t>Zamfara</t>
  </si>
  <si>
    <t>Katsina</t>
  </si>
  <si>
    <t>Yobe</t>
  </si>
  <si>
    <t>-ve: loss of 50% of SAVI technical staff mid-year</t>
  </si>
  <si>
    <t>+ve political will of present govt to listen to citizens</t>
  </si>
  <si>
    <t>-ve: higher operating cost (travel, accommodation, etc)</t>
  </si>
  <si>
    <t>-ve: higher operating cost (travel, accommodation, etc), +ve: SW regional unity easing cross-state replication</t>
  </si>
  <si>
    <t xml:space="preserve">-ve: extra cost of team’s temp residence in Jigawa, +ve: physical absence enhancing partners independence </t>
  </si>
  <si>
    <t>-ve: resistance of present state executive to SHoA autonomy</t>
  </si>
  <si>
    <t xml:space="preserve">-ve: higher operating cost (travel, accommodation, etc), +ve: SW regional unity easing cross-state replication  </t>
  </si>
  <si>
    <t>+ve: receptiveness of present govt to donor support</t>
  </si>
  <si>
    <t>+ve: high presence of donors in Lagos (commercial capital)</t>
  </si>
  <si>
    <t>-ve: limited presence of donors in the state (insecurity)</t>
  </si>
  <si>
    <t>State Efficiency Ratios</t>
  </si>
  <si>
    <t>Composite State Efficiency Ratios</t>
  </si>
  <si>
    <t>3.0 &gt;&gt;&gt; 2.4</t>
  </si>
  <si>
    <t>2.9 &gt;&gt;&gt; 2.3</t>
  </si>
  <si>
    <t>3.4 &gt;&gt;&gt; 3.5</t>
  </si>
  <si>
    <t>3.4 &gt;&gt;&gt; 3.3</t>
  </si>
  <si>
    <t>1.8 &gt;&gt;&gt; 1.5</t>
  </si>
  <si>
    <t>3.5 &gt;&gt;&gt; 3.4</t>
  </si>
  <si>
    <t>1.7 &gt;&gt;&gt; 1.3</t>
  </si>
  <si>
    <t>31 &gt;&gt;&gt; 38</t>
  </si>
  <si>
    <t>3.4 &gt;&gt;&gt; 3.2</t>
  </si>
  <si>
    <t>1.6 &gt;&gt;&gt; 2.7</t>
  </si>
  <si>
    <t>35 &gt;&gt;&gt; 39</t>
  </si>
  <si>
    <t>3.9 &gt;&gt;&gt; 3.7</t>
  </si>
  <si>
    <t>3.1 &gt;&gt;&gt; 3.0</t>
  </si>
  <si>
    <t>2.5 &gt;&gt;&gt; 2.7</t>
  </si>
  <si>
    <t>3.3 &gt;&gt;&gt; 3.0</t>
  </si>
  <si>
    <t>2.6 &gt;&gt;&gt; 2.3</t>
  </si>
  <si>
    <t>2.9 &gt;&gt;&gt; 3.1</t>
  </si>
  <si>
    <t>2.9 &gt;&gt;&gt; 2.2</t>
  </si>
  <si>
    <t>63 &gt;&gt;&gt; 48</t>
  </si>
  <si>
    <t>46&gt;50</t>
  </si>
  <si>
    <t>65&gt;68</t>
  </si>
  <si>
    <t>O1</t>
  </si>
  <si>
    <t>O2</t>
  </si>
  <si>
    <t>O3</t>
  </si>
  <si>
    <t>O4</t>
  </si>
  <si>
    <t>O5</t>
  </si>
  <si>
    <t>Effectiveness: Enugu</t>
  </si>
  <si>
    <t>Effectiveness: Jigawa</t>
  </si>
  <si>
    <t>Effectiveness: Kaduna</t>
  </si>
  <si>
    <t>Effectiveness: Kano</t>
  </si>
  <si>
    <t>Effectiveness: Lagos</t>
  </si>
  <si>
    <t>Effectiveness: Zamfara</t>
  </si>
  <si>
    <t>Effectiveness: Katsina</t>
  </si>
  <si>
    <t>Effectiveness: Yobe</t>
  </si>
  <si>
    <t>Effectiveness: Anambra</t>
  </si>
  <si>
    <t>Effectiveness: Niger</t>
  </si>
  <si>
    <t>2013 redone</t>
  </si>
  <si>
    <t>25 &gt;&gt;&gt; 28</t>
  </si>
  <si>
    <t>maximum score:</t>
  </si>
  <si>
    <t>expected increment:</t>
  </si>
  <si>
    <t>planned: interest</t>
  </si>
  <si>
    <t>achieved: interest</t>
  </si>
  <si>
    <t>planned: participate</t>
  </si>
  <si>
    <t>achieved: participate</t>
  </si>
  <si>
    <t>planned: plan to</t>
  </si>
  <si>
    <t>achieved: plan to</t>
  </si>
  <si>
    <t>planned: attempt</t>
  </si>
  <si>
    <t>achieved: attempt</t>
  </si>
  <si>
    <t>planned: leaves</t>
  </si>
  <si>
    <t>achieved: leaves</t>
  </si>
  <si>
    <t>planned: branches</t>
  </si>
  <si>
    <t>achieved: branches</t>
  </si>
  <si>
    <t>planned: trunk</t>
  </si>
  <si>
    <t>achieved: trunk</t>
  </si>
  <si>
    <t>planned: roots</t>
  </si>
  <si>
    <t>achieved: roots</t>
  </si>
  <si>
    <t>All Other Quarters</t>
  </si>
  <si>
    <t>SLP AGG WORKINGS</t>
  </si>
  <si>
    <t>ZKY AGG WORKINGS</t>
  </si>
  <si>
    <t>8S AGG WORKINGS</t>
  </si>
  <si>
    <t>SUMMARY</t>
  </si>
  <si>
    <t>revised indicator: post-2012 AR</t>
  </si>
  <si>
    <r>
      <rPr>
        <sz val="9"/>
        <color theme="10"/>
        <rFont val="Zapf Dingbats"/>
      </rPr>
      <t xml:space="preserve">★ </t>
    </r>
    <r>
      <rPr>
        <i/>
        <sz val="9"/>
        <color theme="10"/>
        <rFont val="Arial"/>
        <family val="2"/>
      </rPr>
      <t>click here for guidance</t>
    </r>
  </si>
  <si>
    <r>
      <t>Source</t>
    </r>
    <r>
      <rPr>
        <i/>
        <sz val="9"/>
        <rFont val="Arial"/>
        <family val="2"/>
      </rPr>
      <t xml:space="preserve">                                                                                                                                                         late 2013 disaggregated score &gt;&gt;&gt; additional baselines </t>
    </r>
    <r>
      <rPr>
        <b/>
        <sz val="9"/>
        <rFont val="Arial"/>
        <family val="2"/>
      </rPr>
      <t xml:space="preserve"> </t>
    </r>
  </si>
  <si>
    <t>twigs</t>
  </si>
  <si>
    <t>late 2013 disaggr. baselines &gt;&gt;&gt;</t>
  </si>
  <si>
    <r>
      <t>Source</t>
    </r>
    <r>
      <rPr>
        <i/>
        <sz val="9"/>
        <rFont val="Arial"/>
        <family val="2"/>
      </rPr>
      <t xml:space="preserve">                                                                                                                                                         late 2013 disaggregated score (additional baselines) </t>
    </r>
    <r>
      <rPr>
        <b/>
        <sz val="9"/>
        <rFont val="Arial"/>
        <family val="2"/>
      </rPr>
      <t xml:space="preserve"> </t>
    </r>
  </si>
  <si>
    <t>Q1 only</t>
  </si>
  <si>
    <t>&lt;&lt;&lt; change the number in this cell to change the quarter under analysis</t>
  </si>
  <si>
    <t>individuals from 80 organisations</t>
  </si>
  <si>
    <t>35 independent commitments</t>
  </si>
  <si>
    <t>Replication Diary - Summary to Date</t>
  </si>
  <si>
    <t>From Inception to Date</t>
  </si>
  <si>
    <t>S/n</t>
  </si>
  <si>
    <t>Location of Evidence on Dropbox</t>
  </si>
  <si>
    <t>name</t>
  </si>
  <si>
    <t xml:space="preserve">folder name (specify year &amp; quarter)
</t>
  </si>
  <si>
    <t>brief description</t>
  </si>
  <si>
    <t>folder name</t>
  </si>
  <si>
    <t>Output Indicators 5.2 &amp; 5.3</t>
  </si>
  <si>
    <t>including …</t>
  </si>
  <si>
    <t>Nationally (Abuja)</t>
  </si>
  <si>
    <t>Internationally (UK/Intl)</t>
  </si>
  <si>
    <t>STAR &gt; budget for Media engagement and grant+cb and drilled down pea  (2013)</t>
  </si>
  <si>
    <t>CSSP &gt; minority application, drilled down pea to practical, results created tension &gt; inviting SAVI to jointly lead their MTR &gt; resulting recommendations (2013)</t>
  </si>
  <si>
    <t>ENCISS &gt; demand to demand and supply (2013)</t>
  </si>
  <si>
    <t>CSF &gt; questioning grant-making: put a hold on programme (2013)</t>
  </si>
  <si>
    <t>UNICEF &gt; constructive engagement with govt (more politically sensitive advocacy) (2013)</t>
  </si>
  <si>
    <t>CHRISTIAN AID &gt; SHoA and media engagement (2013)</t>
  </si>
  <si>
    <t>P/MNCH &gt; ANNUAL REVIEW RECOMMENDATIONS (2012)</t>
  </si>
  <si>
    <t>SPEAKERS/CT &gt; public policy dialogue (2012)</t>
  </si>
  <si>
    <t>SHELL &gt; RE-DESIGN OF DELTA COMMUNITY ENGAGEMENT STRATEGY (2012)</t>
  </si>
  <si>
    <t>DFID &gt; M4M P/MEMO (2012)</t>
  </si>
  <si>
    <t>DFID &gt; SAVI SCALE-UP B/CASE (2012)</t>
  </si>
  <si>
    <t>C4C (2010) - co-ordinated engagement of demand and supply side partners around key governance issues and processes identified through PE Analysis</t>
  </si>
  <si>
    <t xml:space="preserve">uptake' of lessons learnt to the level of 'participating' … through various cross-programme lesson sharing meetings, shared programme staff, shared DFID advisers, common reviewers … to the point of discussing possibilies of collaborative work … never materialised due to differences in approach and difficulties in aligning federal and state level partners </t>
  </si>
  <si>
    <t xml:space="preserve">uptake' of lessons learnt to the level of 'attempting to' … very similar programme philosophies and approaches in principle, though slightly different in practice in terms of programme delivery structure/system  </t>
  </si>
  <si>
    <t>interested?</t>
  </si>
  <si>
    <t>USAID-SACE (2011) - interested in all aspects of the programme: overall conception/design?</t>
  </si>
  <si>
    <t>uptake' of lessons learnt to the level of 'participating' … invited SAVI NTL to share learning on stakeholder/citizens engagement with key staff responsible for 'corporate social responsibility' in Nigeria</t>
  </si>
  <si>
    <t>VSO in Nigeria (2013) - interested in our issues based approach to policy advocacy &amp; monitoring (Output 1) in the Health and Education sectors</t>
  </si>
  <si>
    <t xml:space="preserve">uptake' of lessons learnt to the level of 'attempting to' ... as a result of SAVI's participation in and various contributions made during the first and second pan-African CS Learning Forum events in Ethiopia and Ghana respectively, concieved between SAVI, Renee and the then DFID Ghana Governance Adviser (Graham Gass),
</t>
  </si>
  <si>
    <t>uptake' of lessons learnt to the level of 'attempting to' ... as above</t>
  </si>
  <si>
    <t>uptake' of lessons learnt to the level of 'participating' ... as above</t>
  </si>
  <si>
    <t>CSF in DR Congo (2013) - interested in going beyond giving grants to CS to also providing capacity building support in policy advocacy and monitoring ('grants plus')</t>
  </si>
  <si>
    <t>GIZ in Zambia (2013) - interested in going beyond giving grants to CS to also providing capacity building support in policy advocacy and monitoring ('grants plus')</t>
  </si>
  <si>
    <t>uptake' of lessons learnt to the level of 'interested' ... through the above</t>
  </si>
  <si>
    <t>uptake' of lessons learnt to the level of participating' ... invited SAVI (Ishaya) to jointly lead (toegther with a representative from ESP in Nepal) the mid-term review of CSSP, during which SAVI was invited to make a presentation on our broad approach (relative to that of CSSP) at a meeting of the programme's donors, managers and partners</t>
  </si>
  <si>
    <t>DFID Ethiopia (2013) - interested in our broad approach to engagement and empowerment of citizens: facilitated partnerships approach</t>
  </si>
  <si>
    <t>Irish Aid in Ethiopia (2013) - interested in our broad approach to engagement and empowerment of citizens: facilitated partnerships approach</t>
  </si>
  <si>
    <t>DANIDA in Ethiopia (2013) - interested in our broad approach to engagement and empowerment of citizens: facilitated partnerships approach</t>
  </si>
  <si>
    <t>NORAID / Royal Norwegian Embassy in Ethiopia (2013) - interested in our broad approach to engagement and empowerment of citizens: facilitated partnerships approach</t>
  </si>
  <si>
    <t>DFID-UK Policy Division (2013) - interested in our approach to supporting partners to 'think and act politically' (PPE)</t>
  </si>
  <si>
    <t>DFID-Ghana Governance Advisers (Michael &amp; Rita?) (2013) - interested in our approach to supporting partners to 'think and act politically' (PPE)</t>
  </si>
  <si>
    <t>DFID-Yemen Governance Adviser (Fiona) (2013) - interested in our approach to supporting partners to 'think and act politically' (PPE)</t>
  </si>
  <si>
    <t>ESP in Nepal (2013) - interested in our broad approach to engagement and empowerment of citizens: facilitated partnerships approach</t>
  </si>
  <si>
    <t>uptake' of lessons learnt to the level of 'interested' … attempted to organise a cross-programme learning and sharing event with SAVI (which DFID Nepal would not approve funding for), but we found other ways to share lessons … through the CSSP MTR below, and through GRM's incorporation of IDL (Taylor Brown, Sam Gibson, etc) in 2014</t>
  </si>
  <si>
    <t>committed' to the level of 'facilitating', and to the 'depth' of 'roots (core values underpinning every aspect)'. ... followed by a brief description of the replication process - how SAVI influenced this particular development partner's commitment to the present level and depth.</t>
  </si>
  <si>
    <t>committed' to the level of 'promoting', and to the 'depth' of 'trunk' (core strategic aspects).</t>
  </si>
  <si>
    <t>committed' to the level of 'permitting', and to the 'depth' of 'branches' (whole practical aspects)</t>
  </si>
  <si>
    <t>committed' to the level of 'institutionalising', and to the 'depth' of 'trunk (core strategic aspects)</t>
  </si>
  <si>
    <t>committed' to the level of 'facilitating', and to the 'depth' of 'branches (whole practical aspects)</t>
  </si>
  <si>
    <t>committed' to the level of 'facilitating', and to the 'depth' of 'twigs' (practical tools and strategies)</t>
  </si>
  <si>
    <t>ENCISS in Sierra Leone (2012/13) - interested in going beyond giving grants to CS to also providing capacity building support in policy advocacy and monitoring ('grants plus'). Also interested in our approach to co-ordinated demand and supply side engagement with SPARC and other SLPs.</t>
  </si>
  <si>
    <t>STAR in Ghana (2012/13) - interested in going beyond giving grants to CS to also providing capacity building support in policy advocacy and monitoring ('grants plus'). Also interested in our approach to engagement and empowerment of the Media and use of PE Analysis</t>
  </si>
  <si>
    <t>DAP in Kenya (2012/13) - interested in going beyond giving grants to CS to also providing capacity building support in policy advocacy and monitoring ('grants plus'). Also interested in our approach to engagement and empowerment of the Media and use of PE Analysis</t>
  </si>
  <si>
    <t>CSSP in Ethiopia (2012/13) - interested in our use of PE Analysis: PPE</t>
  </si>
  <si>
    <t>DAP &gt; budget for Media engagement, practical pea, and more grant+cb  (2013)</t>
  </si>
  <si>
    <t>committed' to the level of 'promoting', and to the 'depth' of 'trunk' (core strategic aspects)</t>
  </si>
  <si>
    <t>committed' to the level of 'facilitating', and to the 'depth' of 'branches' (whole practical aspects) - how SAVI influenced this particular development partner's commitment to the present level and depth.</t>
  </si>
  <si>
    <t>committed' to the level of 'facilitating', and to the 'depth' of 'branches' (whole practical aspects)</t>
  </si>
  <si>
    <t>committed' to the level of 'facilitating', and to the 'depth' of 'branches' (whole practical aspects).</t>
  </si>
  <si>
    <t>Target (late 2014)</t>
  </si>
  <si>
    <t>mid 2014 baseline &gt;&gt;&gt;</t>
  </si>
  <si>
    <t>early 2014 baseline &gt;&gt;&gt;</t>
  </si>
  <si>
    <t>Year Achieved</t>
  </si>
  <si>
    <t>Sub   Category</t>
  </si>
  <si>
    <t>select year</t>
  </si>
  <si>
    <t>&gt;</t>
  </si>
  <si>
    <t>TOTAL</t>
  </si>
  <si>
    <t>select option</t>
  </si>
  <si>
    <t>5.1 LEVEL</t>
  </si>
  <si>
    <t>aware</t>
  </si>
  <si>
    <t>aware of the learning</t>
  </si>
  <si>
    <t>participating</t>
  </si>
  <si>
    <t>interested</t>
  </si>
  <si>
    <t>attempting</t>
  </si>
  <si>
    <t>planning</t>
  </si>
  <si>
    <r>
      <t>5.3 (</t>
    </r>
    <r>
      <rPr>
        <sz val="9"/>
        <rFont val="Arial"/>
        <family val="2"/>
      </rPr>
      <t>you can select more than one option if required)</t>
    </r>
  </si>
  <si>
    <t>5.2 LEVEL</t>
  </si>
  <si>
    <t>aware of  uptake</t>
  </si>
  <si>
    <t>permitting</t>
  </si>
  <si>
    <t>facilitating</t>
  </si>
  <si>
    <t>promoting</t>
  </si>
  <si>
    <t>institutional</t>
  </si>
  <si>
    <t>5.3 LEVEL</t>
  </si>
  <si>
    <t>leaves</t>
  </si>
  <si>
    <t>branches</t>
  </si>
  <si>
    <t>(a)
interested in the learning</t>
  </si>
  <si>
    <t>(b)
participating in the learning</t>
  </si>
  <si>
    <t>(c)
planning to take-up the learning</t>
  </si>
  <si>
    <t>(d)
attempting to take-up the learning</t>
  </si>
  <si>
    <t>(a)
permitting uptake</t>
  </si>
  <si>
    <t>(b)
facilitating uptake</t>
  </si>
  <si>
    <t>(c)
promoting uptake</t>
  </si>
  <si>
    <t>(d)
institutional-ising uptake</t>
  </si>
  <si>
    <r>
      <rPr>
        <b/>
        <sz val="9"/>
        <rFont val="Arial"/>
        <family val="2"/>
      </rPr>
      <t>leaves:</t>
    </r>
    <r>
      <rPr>
        <sz val="9"/>
        <rFont val="Arial"/>
        <family val="2"/>
      </rPr>
      <t xml:space="preserve">
minor/partial practical aspects</t>
    </r>
  </si>
  <si>
    <r>
      <t xml:space="preserve">(a)
</t>
    </r>
    <r>
      <rPr>
        <b/>
        <sz val="9"/>
        <rFont val="Arial"/>
        <family val="2"/>
      </rPr>
      <t>twigs:</t>
    </r>
    <r>
      <rPr>
        <sz val="9"/>
        <rFont val="Arial"/>
        <family val="2"/>
      </rPr>
      <t xml:space="preserve">
practical tools and strategies</t>
    </r>
  </si>
  <si>
    <r>
      <t xml:space="preserve">(b)
</t>
    </r>
    <r>
      <rPr>
        <b/>
        <sz val="9"/>
        <rFont val="Arial"/>
        <family val="2"/>
      </rPr>
      <t>branches:</t>
    </r>
    <r>
      <rPr>
        <sz val="9"/>
        <rFont val="Arial"/>
        <family val="2"/>
      </rPr>
      <t xml:space="preserve">
whole practical aspects</t>
    </r>
  </si>
  <si>
    <r>
      <t xml:space="preserve">(c)
</t>
    </r>
    <r>
      <rPr>
        <b/>
        <sz val="9"/>
        <rFont val="Arial"/>
        <family val="2"/>
      </rPr>
      <t>trunk:</t>
    </r>
    <r>
      <rPr>
        <sz val="9"/>
        <rFont val="Arial"/>
        <family val="2"/>
      </rPr>
      <t xml:space="preserve">
core strategic aspects</t>
    </r>
  </si>
  <si>
    <r>
      <t xml:space="preserve">(d)
</t>
    </r>
    <r>
      <rPr>
        <b/>
        <sz val="9"/>
        <rFont val="Arial"/>
        <family val="2"/>
      </rPr>
      <t>roots:</t>
    </r>
    <r>
      <rPr>
        <sz val="9"/>
        <rFont val="Arial"/>
        <family val="2"/>
      </rPr>
      <t xml:space="preserve">
core values underpinning every aspect</t>
    </r>
  </si>
  <si>
    <t>.</t>
  </si>
  <si>
    <t>&gt;&gt;&gt;&gt;&gt; insert the totals from here into the 'State Disagg LFx10' sheet</t>
  </si>
  <si>
    <t>30th Sep 2014</t>
  </si>
  <si>
    <t>July-sept 2014 - SAVI has also shared some of her learning with programme staff of CHAI.</t>
  </si>
  <si>
    <t>MNCH2 (2014) - ???</t>
  </si>
  <si>
    <t>V4C (2013/14)</t>
  </si>
  <si>
    <t>NTL picking many lessons on admin, finance and security management, from SAVI as a GRM managed programme, but also on HR, M&amp;E and KM towards understanding a replicating some core technical aspects of SAVI, on how to influence attitude and behaviour change - starting at home with programme staff, based on strengthening values and teamwork</t>
  </si>
  <si>
    <t>ACT in Tanzania (2013) - interested in going beyond giving grants to CS to also providing capacity building support in policy advocacy and monitoring ('grants plus') &gt;&gt;&gt; • Kate Dyer, Director, AcT, Tanzania (2014) learning on non grant approach to supporting V&amp;A</t>
  </si>
  <si>
    <t>• SAVI Mozambique presentation</t>
  </si>
  <si>
    <t>Tilitonse in Malawi (2013) - interested in going beyond giving grants to CS to also providing capacity building support in policy advocacy and monitoring ('grants plus') &gt;&gt;&gt; Mel Punton, Independent Impact Evaluation Team (IIEA), Tilitonse V&amp;A programme, Malawi  (2014) – shared information on how SAVI retrospectively captures results through the Results Evidence Sheet</t>
  </si>
  <si>
    <t xml:space="preserve">uptake' of lessons learnt to the level of 'participating' ... response from Policy Division to Wilf's suggestion that SAVI participates in and makes a presentation on the 1st SAVI think piece (Participatory PE Analysis) at the Governance Advisers 2013 Annual Conference / Retreat in Ethiopia ... in November 2013: Helen Derbyshire and Elizabeth Sara (Yobe STL) present SAVI at DFID Africa Governance retreat. HD also asked to present “external challenge” to DFID on empowerment and accountability programming. </t>
  </si>
  <si>
    <t>DFID agenda and SAVI presentation</t>
  </si>
  <si>
    <t xml:space="preserve">Various DFID Advisers (2013/14) - interested in applying learning from SAVI in other V&amp;A programme contexts </t>
  </si>
  <si>
    <t>• Extractives Early Market Engagement Event, Agenda</t>
  </si>
  <si>
    <t>Duncan Green of OXFAM (2013/14)</t>
  </si>
  <si>
    <t>• Duncan Green blog http://oxfamblogs.org/fp2p/thinking-and-working-politically-an-exciting-new-aid-initiative/</t>
  </si>
  <si>
    <t>David Hudson of DLP (2013/14) &gt;&gt;&gt; Heather Marquette and Jonathan Fisher of DLP (2014/15)</t>
  </si>
  <si>
    <t>Tom Carothers of Development Aid Confronts Politics (2013/14)</t>
  </si>
  <si>
    <t xml:space="preserve"> in December 2013 …Sent Think Piece to Tom Carothers (Development Aid Confronts Politics) Internal work on case studies, core Approach Papers and website</t>
  </si>
  <si>
    <t>Sue Unsworth &amp; Gareth Williams of Policy &amp; Practice (2014) &gt;&gt;&gt; William Kingsmill and Anna Patterson (2014)</t>
  </si>
  <si>
    <t>• October Gallery proposal for workshop on “Thinking and Working Politically”</t>
  </si>
  <si>
    <t>David Booth of ODI (2014) &gt;&gt;&gt; Vikki Chambers, Clare Cummings and Hamish Nixon (2014)</t>
  </si>
  <si>
    <t>Steve Russell (Dean of School of Dev studies) &amp; students of UEA (2014)</t>
  </si>
  <si>
    <t>New Governance Advisers (Wilf Mwamba &gt;&gt;&gt; Oliver Blake, Tia Raappana) in DFID Nigeria's Public Sector Reform Team (2014)</t>
  </si>
  <si>
    <t>Sumedh Rao of GSDRC (2014), learning in relation to social mobilisation in urban areas</t>
  </si>
  <si>
    <t>Brendan Halloran of TALEARN (2014)</t>
  </si>
  <si>
    <t xml:space="preserve">uptake' of lessons learnt to the level of 'participating' ... as a result of SAVI's participation in and various contributions made during the second pan-African CS Learning Forum event in Ghana - see final report
June 2014
• MASC International conference, Mozambique, V&amp;A programmes sharing lessons.  Informal discussions with Kate Dyer, Director of AcT Tanzania, and Joao Pereiro, Director of MASC, Mozambique on sharing lessons – strong interest in SAVI “no grant” and mentoring approach. On-going plans to share and document lessons from all 3 programmes. 
• Following these discussions, Renee Kantelberg, SAVI M&amp;E Adviser, won bids to lead teams for writing Strategic Business Case for next phase of AcT (July 2014), and MASC final review (with Helen in QA role) (October 2014). </t>
  </si>
  <si>
    <t xml:space="preserve">uptake' of lessons learnt to the level of 'participating' ... as above
April 2014
• Shared SAVI Results Evidence Sheet with Mel Punton from IIEA, Tilitonse, Malawi. This was subsequently adapted to form the IIEA Results Tracker for the Tilitonse programme. </t>
  </si>
  <si>
    <t>November 2013
DFID Governance conference. Discussions with advisers interested in learning lessons:
• Scott Caldwell, DFID Rwanda, wants to incorporate lessons into new V&amp;A programme; 
• Justine de Vila, DFID Extractives Adviser wants to incorporate lessons into new global V&amp;A programme on Transparency in Oil Sector
December 2013
• Draft Core Approach papers sent to Jonathan Atkinson, DFID Extractives team
• Correspondence with Scott Caldwell re. Rwanda V&amp;A programme design. Suggested Gareth Williams as lead consultant, able to draw on lessons from SAVI and Rwanda knowledge. This went ahead. 
February 2014
• Skype call with Jonathan Atkinson, DFID Extractives team – on V&amp;A lessons from SAVI
July 2014
• Invited to share learning from SAVI at DFID Extractives “Early Market Engagement” event in London – informally in group discussions</t>
  </si>
  <si>
    <t xml:space="preserve"> in December 2013: 
Duncan Green (Oxfam) blog about “Thinking and Working Politically” re. recent DLP conference.
• HD sent response to blog
• HD sent Think Piece to Duncan Green and David Hudson (DLP) ...
9th September. Duncan Green blog wholly focused on SAVI, drawing on information from first Think Piece. 
</t>
  </si>
  <si>
    <t>• Adrian Leftwich memorial conference agenda
• Email report back Adrian Leftwich conference</t>
  </si>
  <si>
    <t xml:space="preserve"> in january 2014 Email correspondence with Sue Unsworth and Gareth Williams, The Policy Practice. re. SAVI being a case study in the forthcoming “October Gallery” meeting. 
Triggered hastening of  internal work on case studies, core Approach Papers and website, to respond to this audiences interest/appetite
February 2014
18th Feb. HD co-presented SAVI with Gareth Williams, October Gallery sharing of case examples of Thinking and Working politically. First time to present SAVI to an external audience in context of development debates.
... 25th March. SAVI website (draft version) live – with 5 core Approach Papers, key tools and case studies, plus more internal work on new Results Evidence Sheet format and pilot testing to strengthen new and existing case studies.
November 2014
PolicyPractice leading a team contracted by DFID for the design of successor programmes to SPARC/SAVI/FEPAR/IMEP - a new suite of DFID-N Public Sector Accountability Programmes</t>
  </si>
  <si>
    <t>… 19th Feb. Email confirmation from David Booth that they would like to include SAVI as a case study in their “what works” research. Follow up correspondence, information sharing and phone calls ...
May 2014
Booth and Unsworth report on “politically smart, locally led development” published, based on October Gallery case studies, but omitting SAVI. Booth questions over how good an example SAVI is of being politically smart and locally led. But ODI research on SAVI going ahead.  
June 2014
June 9th-20th.  ODI research team, David Booth and Vikki Chambers, visiting SAVI. 
23rd Sept.  Agreement with David Booth to launch ODI research on SAVI and 2nd SAVI Think Piece together. 
26th Sept
SF meeting with second ODI reserach team, Vikki Chambers, Clare Cummings and Hamish Nixon on SAVI SPARC relationship, ahead of Nigeria visitfor SPARC, to position SPARC's approach within context of current debate on PDIA and “politically smart, locally led development” 
23rd October.  David Booth blog launching ODI research and 2nd SAVI Think piece on-line. 
23rd-24th October “ODI and Harvard joint workshop on “Doing Development Differently. SAVI one of featured case studies.</t>
  </si>
  <si>
    <t>… March 2014
21st March – lecture to masters students at University of East Anglia School of Development studies on SAVI</t>
  </si>
  <si>
    <t>Gradually, through Wilf, and direct interactions of SAVI Abuja Team with Tia &amp; Oliver during their 'induction' .... building up towards ... April 2014
April 8th DFID Nigeria Public Sector Reform Technical Planning meeting, London. Facilitated by Renee Kantelberg, SAVI. Sharing of lessons across DFID Nigeria PSR programmes. Much discussion of Problem Driven Iterative Adaptation (PDIA) and “isomorphic mimicry”. 
Served as trigger for Internal work on second Think Piece, focused on SAVI’s learning relating to “problem driven iterative adaptation” and “politically smart, locally led” approaches 
May-Sept 2014
Increasing receptiveness of Tia and Oliver to SAVI's approach, to the extent of full support for proposed successor programme, and full recognition of SAVI's (V&amp;A's) central role on Public Sector Reform programming &gt;&gt;&gt; new 'Public Sector Accountability' suite</t>
  </si>
  <si>
    <t>• Presentation, DFID governance conference 
• ToR for SAVI/SPARC2 business case design team 
• DFID presentations during design meetings in Bobo Street</t>
  </si>
  <si>
    <t>May 2014
• Request from Sumedh Rao, GSDRC, for information on how SAVI works, to respond to request from DFID Pakistan for ideas on social mobilisation in urban areas (he was a participant at the DFID Nigeria PSR technical Planning meeting in London)</t>
  </si>
  <si>
    <t xml:space="preserve"> 'August 2014
4th Aug. TALEARN webinar on SAVI ToC (at invitation of Brendan Halloran) – sharing with on-line community of practice on transparency and accountability. </t>
  </si>
  <si>
    <t>Matt Andrews of HARVARD (2014) &gt;&gt;&gt; others invited to the DDD workshop</t>
  </si>
  <si>
    <t>Various members of the LDP (2014)</t>
  </si>
  <si>
    <t>9th Sept. SAVI asked to make presentation sharing lessons at Law Development Partnership/ODI workshop on “politically smart, locally led justice programming”.</t>
  </si>
  <si>
    <t>Various members of the WB-GPF (2014)</t>
  </si>
  <si>
    <t xml:space="preserve">17th-19th Sept. World Bank Governance Partnership Facility (GPF) conference “New Directions in Governance”. Wilf invited to be respondant to Sue Unsworth’s presentation on “politically smart, locally led approaches.”, drawing on SAVI experience. </t>
  </si>
  <si>
    <t>Caterina Alari (+ Richard Jarvis and Chris Cooper) of National School of Governance International (2014)</t>
  </si>
  <si>
    <t>November 2014
NSGI leading a team contracted by DFIDto advise on 'transition/bridging' of existing DFID-N governance suite to a new suite of successor programmes to SPARC/SAVI/FEPAR/IMEP</t>
  </si>
  <si>
    <t>Dan Hymowitz, Africa Governance Initiative, Tony Blair Foundation (2014), info on core values approach to recruiting staff</t>
  </si>
  <si>
    <t>September 2014
• Shared information on SAVI’s use of Core Values in recruiting staff, with Dan Hymowitz of the African Governance Initiative, Tony Blair Foundation</t>
  </si>
  <si>
    <t>Nadim Matta, Rapid Results Initiative (2014), use of core values for recruitment</t>
  </si>
  <si>
    <t>October 2014
• Following up interest generated through “Doing Development Differently” shared information with:
o Nadim Matta, Rapid Results Initiative, re. use of core values in recruitment</t>
  </si>
  <si>
    <t>Dan Honig, Harvard University and consultant (2014), approach to competency based recruitment</t>
  </si>
  <si>
    <t>October 2014
• Following up interest generated through “Doing Development Differently” shared information with:
o Dan Honig, Harvard, with competency based recruitment – and Ciaran’s contact details</t>
  </si>
  <si>
    <t>Tom Gillhespy and Rosie Pinnington, Peace Direct (2014) info on M&amp;E focusing on attitude and behaviour change</t>
  </si>
  <si>
    <t>October 2014
• Following up interest generated through “Doing Development Differently” shared information with:
o Peace Direct on M&amp;E focusing on attitude and behaviour change</t>
  </si>
  <si>
    <t>committed' to the level of 'facilitating', and to the 'depth' of 'twigs' (practical tools and strategies). &gt;&gt;&gt; march 2014</t>
  </si>
  <si>
    <t>joint paper</t>
  </si>
  <si>
    <t>J4A</t>
  </si>
  <si>
    <t>Gender focus of access to justice CSOs ???</t>
  </si>
  <si>
    <t>Minutes of meetings with J4A and email trails of gender focus of access to justice CSOs ???</t>
  </si>
  <si>
    <t>GEMS3 ?</t>
  </si>
  <si>
    <t>GEMS3 senior mgt are fully aware and supportive of technical staff's new approach to engaging SHoA members, based on learning from SAVI ???</t>
  </si>
  <si>
    <t>ENABLE2 ?</t>
  </si>
  <si>
    <t>ACT &gt; more grants+CB (spreading foundation) (2013) &gt;&gt;&gt; into design of next phase of the programme (2104)</t>
  </si>
  <si>
    <t>committed' to the level of 'promoting', and to the 'depth' of 'trunk' (core strategic aspects) follow-up with Renee (strategic case) to find out how far this has been incorporated into design documents &gt;follow-up with ITAD now doing the business case</t>
  </si>
  <si>
    <t>IIEA, TILITONSE &gt; adaptation of SAVI RES for tracking results (2014)</t>
  </si>
  <si>
    <t>HD Shared SAVI Results Evidence Sheet with Mel Punton from IIEA, Tilitonse, Malawi. This was subsequently adapted to form the IIEA Results Tracker for the Tilitonse programme</t>
  </si>
  <si>
    <t>ODI &gt; promoting SAVI as a model of 'politically smart, locally led development'</t>
  </si>
  <si>
    <t>states only</t>
  </si>
  <si>
    <t>Output Indicators 5.1-5.3</t>
  </si>
  <si>
    <t>Year 2</t>
  </si>
  <si>
    <t>Year 3</t>
  </si>
  <si>
    <t>Year 4</t>
  </si>
  <si>
    <t>Year 5</t>
  </si>
  <si>
    <t>2013/14</t>
  </si>
  <si>
    <t>2012/13</t>
  </si>
  <si>
    <t>2011/12</t>
  </si>
  <si>
    <t>2010/11</t>
  </si>
  <si>
    <t>change in score and/or count</t>
  </si>
  <si>
    <t>weighted change in composite score and/or count</t>
  </si>
  <si>
    <t>Impact 1</t>
  </si>
  <si>
    <t>Impact 2</t>
  </si>
  <si>
    <t>Impact 3</t>
  </si>
  <si>
    <t>Outcome 1</t>
  </si>
  <si>
    <t>Outcome 2</t>
  </si>
  <si>
    <t>Outcome 3</t>
  </si>
  <si>
    <t>Outcome 4</t>
  </si>
  <si>
    <t>Output 1.1</t>
  </si>
  <si>
    <t>Output 1.2</t>
  </si>
  <si>
    <t>Output 1.3</t>
  </si>
  <si>
    <t>Output 2.1</t>
  </si>
  <si>
    <t>Output 2.2</t>
  </si>
  <si>
    <t>Output 2.3</t>
  </si>
  <si>
    <t>Output 3.1</t>
  </si>
  <si>
    <t>Output 3.2</t>
  </si>
  <si>
    <t>Output 3.3</t>
  </si>
  <si>
    <t>Output 3.4</t>
  </si>
  <si>
    <t>Output 4.1</t>
  </si>
  <si>
    <t>Output 4.2</t>
  </si>
  <si>
    <t>Output 4.3</t>
  </si>
  <si>
    <t>Output 4.4</t>
  </si>
  <si>
    <t>Output 4.5</t>
  </si>
  <si>
    <t>Output 5.1</t>
  </si>
  <si>
    <t>Output 5.2</t>
  </si>
  <si>
    <t>Output 5.3</t>
  </si>
  <si>
    <t>average</t>
  </si>
  <si>
    <t>VFM</t>
  </si>
  <si>
    <t>increment</t>
  </si>
  <si>
    <t>averages</t>
  </si>
  <si>
    <t>averages - states only</t>
  </si>
  <si>
    <t>averages - incl. abuja &amp; uk/intl</t>
  </si>
  <si>
    <t>weighted averages</t>
  </si>
  <si>
    <t>Output 1 Composite</t>
  </si>
  <si>
    <t>Output 2 Composite</t>
  </si>
  <si>
    <t>Output 3 Composite</t>
  </si>
  <si>
    <t>Output 4 Composite</t>
  </si>
  <si>
    <t>Output 5 Composite</t>
  </si>
  <si>
    <t>weighted averages - incl. abuja &amp; uk/intl</t>
  </si>
  <si>
    <t>weighted averages - states only</t>
  </si>
  <si>
    <t>5 quarters</t>
  </si>
  <si>
    <t>6 quarters</t>
  </si>
  <si>
    <t>4 quarters</t>
  </si>
  <si>
    <t>NB: differences in length of interval between evaluations</t>
  </si>
  <si>
    <t>incl. abuja &amp; uk/intl</t>
  </si>
  <si>
    <t>composites</t>
  </si>
  <si>
    <t>SLP average</t>
  </si>
  <si>
    <t>ZKY average</t>
  </si>
  <si>
    <t>scores &amp; ratios</t>
  </si>
  <si>
    <t>comp.averages</t>
  </si>
  <si>
    <t>inception + 1.5 years of implementation</t>
  </si>
  <si>
    <t>(2013) ZKY vs SLP comparison:</t>
  </si>
  <si>
    <t>(2014) efficiency vs effectiveness comparison:</t>
  </si>
  <si>
    <t>scores</t>
  </si>
  <si>
    <t>ratios</t>
  </si>
  <si>
    <t>selected equivalent outcome &amp; output indicators</t>
  </si>
  <si>
    <t>Outcome 1 (SHoA)</t>
  </si>
  <si>
    <t>Outcome 2 (CS)</t>
  </si>
  <si>
    <t>Outcome 3 (Media)</t>
  </si>
  <si>
    <t>+ve: high presence of sector/issue-based donor programmes</t>
  </si>
  <si>
    <t>-ve: loss of 50% of SAVI technical staff mid-2013</t>
  </si>
  <si>
    <t>-ve: higher operating cost (travel, accomm, etc)</t>
  </si>
  <si>
    <t>-ve: political distortion by national vice-presidency, -ve: loss of 50% of SAVI technical staff mid-2013</t>
  </si>
  <si>
    <t>-ve: loss of 75% of SAVI technical staff mid-2013</t>
  </si>
  <si>
    <t>-ve: higher operating cost (travel, accomm, etc), +ve: SW regional unity easing cross-State replication</t>
  </si>
  <si>
    <t xml:space="preserve">-ve: extra cost of official residence in Jigawa since 2012, +ve: official absence enhancing partners independence </t>
  </si>
  <si>
    <t>-ve: loss of 75% of SAVI technical staff mid-2013, -ve: realignment of political allegiance of members setting executive against legislature in 2013/14</t>
  </si>
  <si>
    <t>+ve: high presence of other donor programmes</t>
  </si>
  <si>
    <t>-ve: higher operating cost (travel, accomm, etc), +ve: high presence of donors and INGOs in Lagos (commercial capital)</t>
  </si>
  <si>
    <t>-ve: extra cost of official residence in Jigawa since 2012 (due to insecurity), -ve: limited presence of donors in the state since 2012 (due to insecurity)</t>
  </si>
  <si>
    <t>+ve: high presence of donors &amp; INGOs in Abuja (political capital) especially SLP national HQs and DFID-Nigeria HQ</t>
  </si>
  <si>
    <t>-ve: globally dispersed target dev programmes, +ve: good central co-ordination, communication and professional networks through DFID-UK, Development Think-Tanks &amp; Service Providers</t>
  </si>
  <si>
    <t>Impact &amp; Outcome Composite (All 6 Indexes)</t>
  </si>
  <si>
    <t>Impact &amp; Outcome Composite (4 G/Index Only)</t>
  </si>
  <si>
    <t>Anambra</t>
  </si>
  <si>
    <t>Niger</t>
  </si>
  <si>
    <t>Abuja</t>
  </si>
  <si>
    <t>UK/Intl</t>
  </si>
  <si>
    <t>trend of efficiency/effectiveness ratios</t>
  </si>
  <si>
    <t>spend to date</t>
  </si>
  <si>
    <t>score to date</t>
  </si>
  <si>
    <t>Year 1</t>
  </si>
  <si>
    <t>Outcome Composite</t>
  </si>
  <si>
    <t>Impact Composite</t>
  </si>
  <si>
    <t>Output 1</t>
  </si>
  <si>
    <t>Composite</t>
  </si>
  <si>
    <t>Output 2</t>
  </si>
  <si>
    <t>Output 3</t>
  </si>
  <si>
    <t>Output 4</t>
  </si>
  <si>
    <t>Output 5</t>
  </si>
  <si>
    <t>total count</t>
  </si>
  <si>
    <t>cost per result</t>
  </si>
  <si>
    <t>: Estimated 'unit cost' of reported results per state … although it's the quality (type, scope, scale, trend) of each individual result that matters, not the quantity of results per state</t>
  </si>
  <si>
    <t>average weighted averages for all 5 Outputs</t>
  </si>
  <si>
    <t>average weighted averages for first 6 indicators</t>
  </si>
  <si>
    <t>average weighted averages for 4 GI indicators</t>
  </si>
  <si>
    <t>average VFM efficiency for all 5 Outputs</t>
  </si>
  <si>
    <t>with</t>
  </si>
  <si>
    <t>without</t>
  </si>
  <si>
    <t>Outcome 4b</t>
  </si>
  <si>
    <t>SLP</t>
  </si>
  <si>
    <t>ZKY</t>
  </si>
  <si>
    <t xml:space="preserve"> Q4                                                                
late 2014</t>
  </si>
  <si>
    <r>
      <t xml:space="preserve">This NEW indicator measures how much of our learning/approach is being taken up by other development partners in terms of how deep, how significant, the learning or approach they have taken up is, and how likely therefore it is to contribute to SAVI’s Outcome: 'demonstrable changes' in policy and practice by government, but this time as a result of the ‘replication’ of our approach by other development partner organisations.
</t>
    </r>
    <r>
      <rPr>
        <u/>
        <sz val="9"/>
        <color theme="5" tint="-0.249977111117893"/>
        <rFont val="Arial"/>
        <family val="2"/>
      </rPr>
      <t>For each 'firm commitment' reported under Output Indicator 5.2, the depth of that commitment is assessed under this indicator, on a scale of 1 to 5, from shallow (not that significant) to deep (very significant).</t>
    </r>
    <r>
      <rPr>
        <sz val="9"/>
        <color theme="5" tint="-0.249977111117893"/>
        <rFont val="Arial"/>
        <family val="2"/>
      </rPr>
      <t xml:space="preserve">
There are many aspects of SAVI's learning/approach, some deeper than others. The key aspects for now are represented in the figure below. These may change over time, as other development partners’ needs change and SAVI learns more about its own way of working. Equating each aspect to a part of a tree helps us to categorise them in terms of how deep, how significant, they each are, relative to one another.
</t>
    </r>
  </si>
  <si>
    <r>
      <t xml:space="preserve">On a scale of 1 to 5, we measure whether an uptake (firm commitment) predominantly relates to:
1. </t>
    </r>
    <r>
      <rPr>
        <b/>
        <sz val="9"/>
        <color theme="5" tint="-0.249977111117893"/>
        <rFont val="Arial"/>
        <family val="2"/>
      </rPr>
      <t xml:space="preserve">Level One: </t>
    </r>
    <r>
      <rPr>
        <sz val="9"/>
        <color theme="5" tint="-0.249977111117893"/>
        <rFont val="Arial"/>
        <family val="2"/>
      </rPr>
      <t xml:space="preserve">One or more minor sub-aspects: very specific learning/approaches that constitute only a small (isolated) part of a key practical or structural aspect. (THE LEAVES). See example above on the SAVI knowledge tree. Examples could include – any key steps within any of the key stages of SAVI’s Theory of Change: e.g. under ‘glass half full’: PE analysis of the local context; mapping of CS groups, media houses; PE of the legislature; issues identification, analysis and prioritization; stakeholder analysis; public policy dialogue. E.g. under ‘house in order’: supporting partners to gather evidence through field-based data collection; supporting partners to develop targeted, evidence-based advocacy strategies; etc.
2. </t>
    </r>
    <r>
      <rPr>
        <b/>
        <sz val="9"/>
        <color theme="5" tint="-0.249977111117893"/>
        <rFont val="Arial"/>
        <family val="2"/>
      </rPr>
      <t>Level Two:</t>
    </r>
    <r>
      <rPr>
        <sz val="9"/>
        <color theme="5" tint="-0.249977111117893"/>
        <rFont val="Arial"/>
        <family val="2"/>
      </rPr>
      <t xml:space="preserve"> One or more major sub-aspects: specific learning/approaches that constitute a critical part of a key practical or structural aspect (THE SMALL BRANCHES &amp; TWIGS). Examples could include – any one of the key stages of SAVI’s Theory of Change: identifying the right issues and partners based on context analysis (glass half full), supporting partners to come together to establish loose networks, platforms or partnerships; supporting them to develop a common vision, mission &amp; objectives; supporting them to assess their own capacity development needs (use of PCA/OCA tools) and generate their own capacity development plans – long term strategic and operational plans (house in order); supporting them to strengthen their relationship with and accountability to citizens and their fellow peers; supporting them to partner with other demand side actors (i.e. in the media, CS, and the legislature - triangle); supporting them to establish constructive working relations with government (bridge); supporting successful partners to share their learning with others for replication and scale-up (wedge); supporting partners to build a critical mass of new ways of working with government (explosion), etc.
3. </t>
    </r>
    <r>
      <rPr>
        <b/>
        <sz val="9"/>
        <color theme="5" tint="-0.249977111117893"/>
        <rFont val="Arial"/>
        <family val="2"/>
      </rPr>
      <t>Level Three:</t>
    </r>
    <r>
      <rPr>
        <sz val="9"/>
        <color theme="5" tint="-0.249977111117893"/>
        <rFont val="Arial"/>
        <family val="2"/>
      </rPr>
      <t xml:space="preserve"> One or more of the practical aspects through which SAVI supports local partners or structural aspects through which SAVI manages this programme of support (THE MAIN BRANCHES). See description of each of the branches on the SAVI knowledge tree above.
4. </t>
    </r>
    <r>
      <rPr>
        <b/>
        <sz val="9"/>
        <color theme="5" tint="-0.249977111117893"/>
        <rFont val="Arial"/>
        <family val="2"/>
      </rPr>
      <t xml:space="preserve">Level Four: </t>
    </r>
    <r>
      <rPr>
        <sz val="9"/>
        <color theme="5" tint="-0.249977111117893"/>
        <rFont val="Arial"/>
        <family val="2"/>
      </rPr>
      <t xml:space="preserve">One or more of the core aspects that guide SAVI’s facilitation of the whole approach (THE TRUNK). These are specified on the trunk of the SAVI knowledge tree above.
5. </t>
    </r>
    <r>
      <rPr>
        <b/>
        <sz val="9"/>
        <color theme="5" tint="-0.249977111117893"/>
        <rFont val="Arial"/>
        <family val="2"/>
      </rPr>
      <t xml:space="preserve">Level Five: </t>
    </r>
    <r>
      <rPr>
        <sz val="9"/>
        <color theme="5" tint="-0.249977111117893"/>
        <rFont val="Arial"/>
        <family val="2"/>
      </rPr>
      <t>The whole approach, (or something very similar) based on the same core values/principles of sustainable and replicable development (THE ROOTS).
Out of these 5 levels, only the highest 4 are recorded/reported as results in the SAVI logframe.
Unlike Output Indicators 5.1 and 5.2, progress against this indicator may not be linear, progressing from level 1 to level 5 through each of the 3 levels in between. The nature of a commitment made by an organization may start at any level, and progress inwards or outwards to any other level. For example, an organization may adopt SAVI’s whole approach to the way it engages and empowers the media (A MAIN BRANCH) in principle before it applies this in practice through one or more major sub-aspects (THE SMALL BRANCHES &amp; TWIGS) and then onto minor aspects (THE LEAVES). Alternatively, it might progress the other way around (which is more common). It might even start from the ROOTS (which is rare, but still possible). Whichever direction it takes, the important thing is that process progresses both inwards and outwards – to both changes in attitude (rooted values and principles of our approach/learning) and behaviour (practical application of our approach/learning).</t>
    </r>
  </si>
  <si>
    <r>
      <rPr>
        <u/>
        <sz val="9"/>
        <color theme="5" tint="-0.249977111117893"/>
        <rFont val="Arial"/>
        <family val="2"/>
      </rPr>
      <t xml:space="preserve">For each 'firm commitment' reported under Output Indicator 5.2, the depth of that commitment is assessed using the scale of 1 to 5 above. </t>
    </r>
    <r>
      <rPr>
        <sz val="9"/>
        <color theme="5" tint="-0.249977111117893"/>
        <rFont val="Arial"/>
        <family val="2"/>
      </rPr>
      <t xml:space="preserve">Each SAVI team counts the total number of ‘firm commitments’ made by other development partner organisations that qualify at each level of depth, based on the above criteria for levels 1 to 5. Only levels 2 to 5 are considered. Level 1 (THE LEAVES) is not counted, though it is an important stage in the process of uptake. The count is either a 'yes' or a 'no' for each level – there are no half measures – a commitment either qualifies or doesn’t at each level, based on the SAVI team’s own judgement using the above criteria. Clear evidence must be provided to support each count at each level. All qualified examples are listed and evidenced in the Replication Diary of the M&amp;E Framework.
As the depth of a commitment by an organisation extends from one level to another, in either direction, or both, it can count at multiple levels (e.g. levels 2 &amp; 3, or levels 4 &amp; 5, or levels 3, 4 &amp; 5, or at all levels). It might also jump levels. Whatever the trajectory and combination, we recognise it and record it as and how it occurs.
The total count at each level is also 'cumulative': i.e. it is the total count from the beginning of the SAVI programme to date, and not just the count for the quarter or reporting period in question. As such, the total count at any level can never reduce from one quarter to the next, it can only increase, or remain the same. Even as the depth of a commitment changes, it continues to count under all previous depths recorded.
Please note, however, that the total count in any one level can never be more than the total number of ‘firm commitments’ counted under the lowest level (“permitted uptake”) for Output Indicator 5.2. So, if 7 ‘firm commitments’ are recorded under “permitted uptake” for Output Indicator 5.2, the maximum count under any of the levels (twig, branch, trunk, or roots) for Output Indicator 5.2 cannot exceed 7.
</t>
    </r>
    <r>
      <rPr>
        <u/>
        <sz val="9"/>
        <color theme="5" tint="-0.249977111117893"/>
        <rFont val="Arial"/>
        <family val="2"/>
      </rPr>
      <t>Primary Source:</t>
    </r>
    <r>
      <rPr>
        <sz val="9"/>
        <color theme="5" tint="-0.249977111117893"/>
        <rFont val="Arial"/>
        <family val="2"/>
      </rPr>
      <t xml:space="preserve"> The principle source of evidence for each result reported against this indicator is the SAVI team’s ‘replication diary’. This is presented together with the evidence for the results under Output Indicator 5.2. As part of the story (process) of how the result was achieved, the level of depth of a commitment should be stated, and qualified with some narrative detail.
In spite of the inherent challenges of gathering such information from other development partners, the narrative detail entered in these diaries under 5.3 referring to the depth of a 'firm commitment' needs also to be backed up with solid supporting evidence: i.e. a copy of any document qualifying the ‘depth’ reported.
</t>
    </r>
  </si>
  <si>
    <t xml:space="preserve">This indicator measures the quality of governance in Government within the state, at the level of both State and Local Government, in terms of its inclusiveness, responsiveness and transparency.
The focus of measurement is incremental change in these qualities, reflecting incremental changes in values, attitudes and behaviour in Government towards citizen’s rights and their own accountability to the citizenry.
Neither SAVI and its partners, nor the other SLPs and theirs, will be the only players or influences here. Many other factors and forces will also contribute to SAVI’s impact on this indicator. Thus, an important aspect of monitoring and evaluation here is not just the analysis of the changes observed but also the analysis of SAVI’s contribution towards them.
The primary purpose of this exercise is for the SAVI state team to reflect on their progress and performance, and to review their state programme (strategic plans) accordingly,  to improve their performance at outcome/impact level.
</t>
  </si>
  <si>
    <t xml:space="preserve">The level of accountability and responsiveness (or quality of governance) of Government is measured in respect of some (selected for the purpose of regular monitoring) or all (for annual evaluation) of the following 13 sub-indicators:
1. State Government representation of all citizens in MDA budget processes
2. State Government representation of all citizens in other MDA processes (e.g. policy formulation)
3. State Government representation of the needs of women
4. Local Government representation of all citizens
5. Local Government relationship with citizens
6. Autonomy of Civil Society from the State Government
7. Dialogue between the State Government and Civil Society
8. Dialogue between the Local Government and Civil Society
9. Legal rights of citizens to government information
10. Access to information on the State budget 
11. Inclusiveness of MDA budget processes
12. Scrutiny of the State budget process by SHoA
13. Transparency of procurement and contracts
</t>
  </si>
  <si>
    <t xml:space="preserve">Government is rated on a level of 1 to 5 on each sub-indicator. These levels are markers / scores, representing incremental changes in functionality (quality of governance) in the context of Government. Each level is defined as a possible response to a structured question for each sub-indicator, 1 being the lowest level and 5 the highest.
These questions and possible responses are contained in the Govt section of a 'governance index' (GI) specially designed for use in the context of State-level voice and accountability (V&amp;A). This index covers all 4 categories of agent: Government, SHoA, Civil Society, and the Media. Each category has its own separate section in the index.
Govt is rated by a range of independent local experts selected for this purpose whose knowledge and experience covers all 4 categories, in the form therefore of a 'peer review' through focal group discussions (FGDs). These can be facilitated by a member of the SAVI state team, national team or an independent consultant - depending on the degree of independence required at the time of use. Scores are arrived at for each sub-indicator when agreement is reached within the group based on the evidence presented. The results of the discussion and evidence are noted and summarised in the spreadsheets of the GI tool, and later cross-checked against key documents to arrive at a final score for each sub-indicator. Adjustments based on this document review are noted and justified. All 11 results are then aggregated into a single score for this indicator.
The exercise is conducted at the beginning (baseline), middle (midline) and end (endline) of the programme to evaluate its performance. A minimum of 3 FGDs with different groups of local experts are conducted for each category, the results of which are aggregated, to enhance objectivity. However, for six-monthly monitoring purposes, SAVI state teams conduct a single FGD with a selected group (constituting their 'state oversight structure') to assess progress on some or all sub-indicators.
</t>
  </si>
  <si>
    <t xml:space="preserve">This indicator measures the extent to which 'the general public' of the State from a wide range of social categories (based on age, gender, wealth, location, ethnicity, disability, etc.) are satisfied with their ability to voice their interests and channel their demands through various democratic channels (including the State House of Assembly, Civil Society and Media) towards making Government more accountable and responsive to the citizenry.
The focus of measurement is incremental change in these abilities, as a result of incremental changes in the functionality (or quality of governance) in the State House of Assembly, Civil Society and Media within the State.
Neither SAVI and its partners, nor the other SLPs and theirs, will be the only players or influences here. Many other factors and forces will also contribute to SAVI’s impact on this indicator. Thus, an important aspect of monitoring and evaluation here is not just the analysis of the changes observed but also the analysis of SAVI’s contribution towards them. However, this analysis is more easily done in the context of regular monitoring (by the SAVI state team) than through the present arrangements for periodic evaluation (by an independent survey team).
The primary purpose of this exercise is for the SAVI state team to reflect on their progress and performance, and to review their state programme (strategic plans) accordingly,  to improve their performance at outcome/impact level.
</t>
  </si>
  <si>
    <t xml:space="preserve">In establishing a baseline for this indicator, a wide range of sub-indicators (35 in total) were used (by NOI Polls) to measure the extent of citizen's satisfaction in respect of voice and accountability. Out of these, a selection (the 10 below) will be used (by IMEP) to evaluate progress for the remainder (midline and endline) of the programme:
1. Extent to which citizens go to their SHoA Member as their first or second choice when a big issue directly affects their community and they want to bring their opinion to the attention of people that matter.
2. Extent to which citizens go to a rep of a CS organisation as their first or second choice.
3. Extent to which citizens go to a rep of a Media organisation as their first or second choice.
4. Extent to which citizens go to their NASS Rep or Senator as their first or second choice.
5. Extent to which women in their community have the same chances as men to access to range of senior (influential decision-making) positions in society.
6. Frequency with which local businesswomen get the State Government to respond regarding issues that affect citizens or their community, compared to …
7. Frequency with which local businessmen get the State Government to respond regarding issues that affect citizens or their community.
8. Extent to which citizens consider themselves included when it comes to decision making in their community.
9. Extent to which radio and TV stations provide citizens with their main source of reliable information regarding big issues affecting their community.
10. Extent to which citizens think the media is able to influence the government when it comes to addressing a range of big issues that directly affect their community.
</t>
  </si>
  <si>
    <t xml:space="preserve">To derive scores from each category of question (sub-indicator) in the survey, individual responses by those surveyed are weighted as follows:
a) Very often = 5
b) Fairly often = 4
c) Average = 3
d) Fairly seldom = 2
e) Very seldom or not at all = 1.
The average score can then be calculated over all the responses for all 10 categories of question in the survey and rounded up or down to the nearest whole number.
The survey is conducted at the beginning (baseline), middle (midline) and end (endline) of the programme to evaluate its performance. A minimum of 500 interviews are held with a wide range of citizens of different social categories based on age, gender, wealth, location, ethnicity, disability, etc. Respondents are selected by random sampling within each social category by location, covering urban, semi-urban and rural populations. These interviews are facilitated by an independent survey team to enhance objectivity.
However, for six-monthly monitoring purposes, SAVI state teams conduct their own mini-survey - small-scale, 'quick and dirty', cost effective version - to assess progress on some or all category of question (sub-indicator). Ideally, a minimum of 50 interviews are held with a similar range of citizens of different social categories: urban, semi-urban and rural; men and women; the elderly and youth; able bodied and people with disability; etc. If not all questions, then a selection are used which focus on the sub-indicators which SAVI state teams have identified as the targets of their attention for the period being assessed.
</t>
  </si>
  <si>
    <t xml:space="preserve">This indicator measures the performance of the SHoA and State Government in establishing and operationalising key pieces of (nationally applicable) legislation that will lead to greater accountability and responsiveness of state and local government and improvement in citizen's satisfaction with their ability to claim rights and hold government to account through democratic channels.
The focus of measurement is incremental change in the  passage and implementation of these 4 pieces of key legislation, reflecting incremental changes in values, attitudes and behaviour in SHoA and Government towards citizen’s rights and their own accountability to the citizenry. All 4 contribute to the attainment of 'fiscal discipline' and thus more broadly to 'good governance' in the State.
Neither SAVI and its partners, nor the other SLPs and theirs, will be the only players or influences here. Many other factors and forces will also contribute to SAVI’s impact on this indicator. Thus, an important aspect of monitoring and evaluation here is not just the analysis of the changes observed but also the analysis of SAVI’s contribution towards them.
</t>
  </si>
  <si>
    <t xml:space="preserve">The 4 sub-indicators for this indicator are already defined by the narrative of the indicator as:
1. the Fiscal Responsibility Bill
2. the Public Procurement Bill
3. the Freedom of Information Bill
4. the House Service Commission Bill
In some states these bills are known by different names or served by different bills. For example, in Lagos the Public Financial Management Bill serves the same purpose as the Fiscal Responsibility Bill, while in Enugu the Legislative Staff Bill (now Law) serves the same purpose as the House Service Commission Bill.
</t>
  </si>
  <si>
    <r>
      <t xml:space="preserve">Progress on each sub-indicator is measured along a scale of 1 to 15, representing the key stages in the process of passage and implementation of such legislation:
1. Advocacy and conception of the necessary regulatory framework
2. Clean draft bill ready for transmission to the House
3. Bill sent to the House for consideration
4. Bill read the first time (1st Reading)
5. Bill read the second time (2nd Reading)
6. Bill committed to Committee for further consideration (Committee Stage)
7. Bill subjected to public input (Public Hearing)
8. Bill laid on the floor of the House (reported out of committee)
9. Consideration of the Committee of the whole (Clause by Clause consideration)
10. Third reading and final passage
11. Bill sent to the Governor for assent
12. Bill signed by the Governor and gazette
13. Budgetary provisions in the annual budget
14. Establishment of structures (board, office buildings and staffing)
15. Commencement of full implementation of provisions of the law by implementing MDAs
These stages are defined in such a way that tangible evidence of progress can provided by the SAVI state team, and rating / scores are both easy to make and to objectively verify. Where a stage has been partially but not completely  attained, to a significant degree, then a partial score (e.g. 8.5) between whole intervals is permissible.
</t>
    </r>
    <r>
      <rPr>
        <sz val="9"/>
        <color rgb="FFFF0000"/>
        <rFont val="Arial"/>
        <family val="2"/>
      </rPr>
      <t xml:space="preserve">NB. Based on the feedback from SAVI state teams and AR teams, some of these key stages need to be further qualified, broken down or re-defined to enhance measurement of progress. This can be found in the supplementary M&amp;E Guidance Note on 'Key Legislation Indicator 3'.
e.g. see this note for further information on implementation of FoI legislation, and further disaggregation of stages 1-3 and 13-15.
</t>
    </r>
  </si>
  <si>
    <t xml:space="preserve">This indicator measures the quality of governance in the State House of Assembly in terms of its accountability and democracy, reflecting its functionality as an agent of voice and accountability.
The focus of measurement is incremental change in these qualities, reflecting incremental changes in values, attitudes and behaviour in the House towards citizen’s rights and its own accountability to the citizenry.
SAVI and its partners will not be the only players or influences at this level. Other factors and forces will contribute to SAVI’s achievements against this indicator. Thus, an important aspect of monitoring and evaluation here is not just the analysis of the changes observed but also the analysis of SAVI’s contribution towards them.
The primary purpose of this exercise is for the SAVI state team to reflect on their progress and performance, and to review their state programme (strategic plans) accordingly,  to improve their performance at outcome/impact level.
</t>
  </si>
  <si>
    <t xml:space="preserve">The level of functionality (or quality of governance) of the House is measured in respect of some (selected for the purpose of regular monitoring) or all (for annual evaluation) of the following 11 sub-indicators:
1. Autonomy of SHoA from the State Executive
2. SHoA scrutiny of the annual budget presentation
3. Oversight by SHoA of budget implementation
4. Functioning of the SHoA committee on budget scrutiny
5. Functioning of SHoA Committees related to rules &amp; procedures
6. Understanding by constituents of the role of SHoA
7. Documentation &amp; recording of SHoA proceedings
8. Public scrutiny of the budget
9. Release of reports on public hearings
10. Effective SHoA relations with State-level Civil Society
11. Relations between Members of the SHoA and State-level Civil Society
</t>
  </si>
  <si>
    <t xml:space="preserve">The House is rated on a level of 1 to 5 on each sub-indicator. These levels are markers / scores, representing incremental changes in functionality (quality of governance) in the context of the House. Each level is defined as a possible response to a structured question for each sub-indicator, 1 being the lowest level and 5 the highest.
These questions and possible responses are contained in the SHoA section of a 'governance index' (GI) specially designed for use in the context of State-level voice and accountability (V&amp;A). This index covers all 4 categories of agent: Government, SHoA, Civil Society, and the Media. Each category has its own separate section in the index.
The House is rated by a range of independent local experts selected for this purpose whose knowledge and experience covers all 4 categories, in the form therefore of a 'peer review' through focal group discussions (FGDs). These can be facilitated by a member of the SAVI state team, national team or an independent consultant - depending on the degree of independence required at the time of use. Scores are arrived at for each sub-indicator when agreement is reached within the group based on the evidence presented. The results of the discussion and evidence are noted and summarised in the spreadsheets of the GI tool, and later cross-checked against key documents to arrive at a final score for each sub-indicator. Adjustments based on this document review are noted and justified. All 11 results are then aggregated into a single score for this indicator.
The exercise is conducted at the beginning (baseline), middle (midline) and end (endline) of the programme to evaluate its performance. A minimum of 3 FGDs with different groups of local experts are conducted for each category, the results of which are aggregated, to enhance  objectivity. However, for six-monthly monitoring purposes, SAVI state teams conduct a single FGD with a selected group (constituting their 'state oversight structure') to assess progress on some or all sub-indicators.
</t>
  </si>
  <si>
    <t xml:space="preserve">This indicator measures the quality of governance in Civil Society within the state in terms of their inclusiveness, responsiveness, transparency and capability, reflecting their functionality as agents of voice and accountability. It measures the extent to which Civil Society as a whole (not just SAVI-supported CS partners) provides space for citizens to have a voice and hold government to account, and facilitates their direct involvement in government decision-making processes.
The focus of measurement is incremental change in these qualities, reflecting incremental changes in values, attitudes and behaviour in Civil Society towards citizen’s rights and their own accountability to the citizenry. 
SAVI and its partners will not be the only players or influences at this level. Other factors and forces will contribute to SAVI’s achievements against this indicator. Thus, an important aspect of monitoring and evaluation here is not just the analysis of the changes observed but also the analysis of SAVI’s contribution towards them.
The primary purpose of this exercise is for the SAVI state team to reflect on their progress and performance, and to review their state programme (strategic plans) accordingly,  to improve their performance at outcome/impact level.
</t>
  </si>
  <si>
    <t xml:space="preserve">The level of functionality (or quality of governance) of Civil Society is measured in respect of some (selected for the purpose of regular monitoring) or all (for annual evaluation) of the following 10 sub-indicators:
1. Civil Society representation of the needs of the marginalised
2. Civil Society representation of the needs of the women
3. Effectiveness of Civil Society in responding to social concerns
4. Effectiveness of Civil Society advocacy work
5. Effectiveness of Civil Society informing and educating citizens on government performance
6. Effectiveness of Civil Society in policy monitoring and budget tracking
7. Effectiveness of Civil Society at lobbying the State Government
8. Effectiveness of Civil Society at lobbying the SHoA
9. Effectiveness of Civil Society work through the media
10. Civil Society mobilisation of resources and capacity
</t>
  </si>
  <si>
    <t xml:space="preserve">Civil Society is rated on a level of 1 to 5 on each sub-indicator. These levels are markers / scores, representing incremental changes in functionality (quality of governance) in the context of Civil Society. Each level is defined as a possible response to a structured question for each sub-indicator, 1 being the lowest level and 5 the highest.
These questions and possible responses are contained in the CS section of a 'governance index' (GI) specially designed for use in the context of State-level voice and accountability (V&amp;A). This index covers all 4 categories of agent: Government, SHoA, Civil Society, and the Media. Each category has its own separate section in the index.
CS is rated by a range of independent local experts selected for this purpose whose knowledge and experience covers all 4 categories, in the form therefore of a 'peer review' through focal group discussions (FGDs). These can be facilitated by a member of the SAVI state team, national team or an independent consultant - depending on the degree of independence required at the time of use. Scores are arrived at for each sub-indicator when agreement is reached within the group based on the evidence presented. The results of the discussion and evidence are noted and summarised in the spreadsheets of the GI tool, and later cross-checked against key documents to arrive at a final score for each sub-indicator. Adjustments based on this document review are noted and justified. All 10 results are then aggregated into a single score for this indicator.
The exercise is conducted at the beginning (baseline), middle (midline) and end (endline) of the programme to evaluate its performance. A minimum of 3 FGDs with different groups of local experts are conducted for each category, the results of which are aggregated, to enhance  objectivity. However, for six-monthly monitoring purposes, SAVI state teams conduct a single FGD with a selected group (constituting their 'state oversight structure') to assess progress on some or all sub-indicators.
</t>
  </si>
  <si>
    <t xml:space="preserve">This indicator measures the quality of governance in the Media within the state in terms of its inclusiveness, responsiveness, transparency and capability, reflecting its functionality as agents of voice and accountability. It measures the extent to which the Media as a whole (not just SAVI-supported Media partners) provides space for citizens to have a voice and hold government to account, and facilitates their direct involvement in government decision-making processes.
The focus of measurement is incremental change in these qualities, reflecting incremental changes in values, attitudes and behaviour in the Media towards citizen’s rights and their own accountability to the citizenry. 
SAVI and its partners will not be the only players or influences at this level. Other factors and forces will contribute to SAVI’s achievements against this indicator. Thus, an important aspect of monitoring and evaluation here is not just the analysis of the changes observed but also the analysis of SAVI’s contribution towards them.
The primary purpose of this exercise is for the SAVI state team to reflect on their progress and performance, and to review their state programme (strategic plans) accordingly,  to improve their performance at outcome/impact level.
</t>
  </si>
  <si>
    <t xml:space="preserve">The level of functionality (or quality of governance) of the Media is measured in respect of some (selected for the purpose of regular monitoring) or all (for annual evaluation) of the following 13 sub-indicators:
1. Legal guarantee of Media freedom of expression
2. Practice of Media freedom of expression.
3. Legally guaranteed &amp; unrestricted entry into Media Profession
4. Accessibility of Media to all citizens.
5. Quality of access to Media across geographic boundaries
6. Autonomy of Media from Government.
7. Accountability and non-corruptness of Media
8. Quality of balanced reporting by state/public &amp; private Media.
9. Media promotion of level playing field for society
10. Media professionalism, including practice reflecting ethics/standards.
11. Institutionalisation of equal opportunities in the Media through policies and recruitment systems
12. Practice of self-censorship in the Media 
13. Independence/non-interference in Media by the owners
</t>
  </si>
  <si>
    <t xml:space="preserve">The Media is rated on a level of 1 to 5 on each sub-indicator. These levels are markers / scores, representing incremental changes in functionality (quality of governance) in the context of the Media. Each level is defined as a possible response to a structured question for each sub-indicator, 1 being the lowest level and 5 the highest.
These questions and possible responses are contained in the Media section of a 'governance index' (GI) specially designed for use in the context of State-level voice and accountability (V&amp;A). This index covers all 4 categories of agent: Government, SHoA, Civil Society, and the Media. Each category has its own separate section in the index.
The Media is rated by a range of independent local experts selected for this purpose whose knowledge and experience covers all 4 categories, in the form therefore of a 'peer review' through focal group discussions (FGDs). These can be facilitated by a member of the SAVI state team, national team or an independent consultant - depending on the degree of independence required at the time of use. Scores are arrived at for each sub-indicator when agreement is reached within the group based on the evidence presented. The results of the discussion and evidence are noted and summarised in the spreadsheets of the GI tool, and later cross-checked against key documents to arrive at a final score for each sub-indicator. Adjustments based on this document review are noted and justified. All 11 results are then aggregated into a single score for this indicator.
The exercise is conducted at the beginning (baseline), middle (midline) and end (endline) of the programme to evaluate its performance. A minimum of 3 FGDs with different groups of local experts are conducted for each category, the results of which are aggregated, to enhance  objectivity. However, for six-monthly monitoring purposes, SAVI state teams conduct a single FGD with a selected group (constituting their 'state oversight structure') to assess progress on some or all sub-indicators.
</t>
  </si>
  <si>
    <t xml:space="preserve">This indicator measures the performance of the State House of Assembly, Civil Society and Media in influencing Government to make changes in policy and practice that will lead to improvements in citizens access to, use of and satisfaction with basic services, contributing to progress towards MDGs within the State. These changes serve as a clear demonstration of the improved functionality of the SHoA, Civil Society and Media in the State as agents of voice and accountability.
The focus of measurement is examples of change in policy and practice by Government in response to public demand, reflecting incremental changes in values, attitudes and behaviour in Government, SHoA, Civil Society and Media towards citizen’s rights and their own accountability to the citizenry by providing spaces for citizens to have a voice and hold government to account, and facilitating their direct involvement in government decision-making processes.
SAVI and its partners will not be the only players or influences at this level. Other factors and forces will contribute to SAVI’s achievements against this indicator. Thus, an important aspect of monitoring and evaluation here is not just the analysis of the changes observed but also the analysis of SAVI’s contribution towards them -  specifically, the contribution of SAVI's approach (through the key stages of SAVI's broad theory of change). This analysis assesses the contribution of each Output at each stage in the process of change that has lead to each result in retrospect, i.e. through 'outcome mapping'. Key steps taken by SAVI and its partners are identified and presented in the form of a structured case study, together with the evidence of their critical influence at each stage.
The primary purpose of this exercise is for the SAVI state team to reflect on their progress and performance, and to review their state programme (strategic plans) accordingly,  to improve their performance at outcome/impact level. The analysis presented in the case studies informs the team of the relevance of their own and their partners activities under each Output, and as such assesses the efficiency as well as the effectiveness of their overall programme.
</t>
  </si>
  <si>
    <r>
      <t xml:space="preserve">There are no sub-indicators for this outcome indicator in the formal sense. Observed 'demonstrable changes in policy and implementation' are not measured separately against any specific criteria, other than that they qualify as either:
• a demonstrable change in </t>
    </r>
    <r>
      <rPr>
        <b/>
        <sz val="9"/>
        <color theme="5" tint="-0.249977111117893"/>
        <rFont val="Arial"/>
        <family val="2"/>
      </rPr>
      <t>'behaviour'</t>
    </r>
    <r>
      <rPr>
        <sz val="9"/>
        <color theme="5" tint="-0.249977111117893"/>
        <rFont val="Arial"/>
        <family val="2"/>
      </rPr>
      <t xml:space="preserve"> - i.e. a one-off practical action by Government demonstrating a change in the way government works, of significance for SAVI,
• a demonstrable change in </t>
    </r>
    <r>
      <rPr>
        <b/>
        <sz val="9"/>
        <color theme="5" tint="-0.249977111117893"/>
        <rFont val="Arial"/>
        <family val="2"/>
      </rPr>
      <t>'policy'</t>
    </r>
    <r>
      <rPr>
        <sz val="9"/>
        <color theme="5" tint="-0.249977111117893"/>
        <rFont val="Arial"/>
        <family val="2"/>
      </rPr>
      <t xml:space="preserve"> - i.e. institutionalisation of a new or different way of working within Government, through relevant legislation or structural reforms, or ...
• a demonstrable change in </t>
    </r>
    <r>
      <rPr>
        <b/>
        <sz val="9"/>
        <color theme="5" tint="-0.249977111117893"/>
        <rFont val="Arial"/>
        <family val="2"/>
      </rPr>
      <t>'practice'</t>
    </r>
    <r>
      <rPr>
        <sz val="9"/>
        <color theme="5" tint="-0.249977111117893"/>
        <rFont val="Arial"/>
        <family val="2"/>
      </rPr>
      <t xml:space="preserve"> - i.e. repetitive or recurrent behavioural change within Government indicating the normalisation of a new or different way of working.
An important attribute of these changes for SAVI is whether the resulting policy and practice reflect the voice of women and other socially excluded groups. This too is measured. In the analysis, this will assess the contribution of SAVI's support to mainstreaming gender and social inclusion (G&amp;SI) into partners activities under all 5 Outputs.
Another important attribute for SAVI is whether these changes are a direct result of SAVI's support to local partners, or an indirect result: i.e. the knock-on effect of these partners support to or influence on others in SHoA, Civil Society and Media without SAVI support - commonly referred to as 'replication' or scaling-up', following on and learning from SAVI-supported 'demonstrations'. Also, the extent to which this replication is occurring in other States. Both of these attributes are also measured here.
These 3 key attributes are already defined by the narrative of the indicator in relation to the total cumulative number of demonstrable changes observed, as:
a). the proportion which reflect the voice of women and other socially excluded groups,
b). the proportion which are indirectly attributable to SAVI (classed as 'replication' rather than' demonstration'), and ...
c). the proportion which are observed outside of SAVI's focal States (as opposed to within the focal State).
</t>
    </r>
  </si>
  <si>
    <r>
      <t xml:space="preserve">The SAVI state team counts the total number of observed 'demonstrable changes in policy and implementation by state government in response to public demand' that qualify as such based on the broad criteria, regardless of whether they are changes in behaviour, policy or practice.
Each change (result) is then subjected to analysis by the state team, to assess whether or not they are attributable to SAVI's approach, using a structured case study format specially designed for this purpose. Evidence of the  influence of SAVI's approach must be provided.
Only those changes that also qualify on the basis of this analysis, with evidence, are recorded in the final count.
This number is 'cumulative': i.e. it is the total count from the beginning of the SAVI programme to date (and </t>
    </r>
    <r>
      <rPr>
        <u/>
        <sz val="9"/>
        <color theme="5" tint="-0.249977111117893"/>
        <rFont val="Arial"/>
        <family val="2"/>
      </rPr>
      <t>not</t>
    </r>
    <r>
      <rPr>
        <sz val="9"/>
        <color theme="5" tint="-0.249977111117893"/>
        <rFont val="Arial"/>
        <family val="2"/>
      </rPr>
      <t xml:space="preserve"> just the count for the quarter or reporting period in question).
Further analysis of each fully qualified change (result) is then conducted by the state team, to assess the extent to which each qualifies in terms of the 3 key attributes (a. b. and c.) defined as part of the indicator. This judgement is made by the state team, case by case, but needs to be backed up with clear evidence in each case study. 
Percentage figures are then given for each attribute. For example, if 4 out of the 5 fully qualified changes (results) significantly reflect the voice of women and other socially excluded groups, and 1 of these changes is outside the focal state, then the proportion (score) for a). would be 80%, while the proportion (score) for c). would be 20%. 
It should be noted that these proportions (scores for a. b. and c.) are </t>
    </r>
    <r>
      <rPr>
        <u/>
        <sz val="9"/>
        <color theme="5" tint="-0.249977111117893"/>
        <rFont val="Arial"/>
        <family val="2"/>
      </rPr>
      <t>completely</t>
    </r>
    <r>
      <rPr>
        <sz val="9"/>
        <color theme="5" tint="-0.249977111117893"/>
        <rFont val="Arial"/>
        <family val="2"/>
      </rPr>
      <t xml:space="preserve"> independent of each other.
</t>
    </r>
  </si>
  <si>
    <t xml:space="preserve">This indicator measures the capacity of SAVI-supported 'issue-based' civil society partnerships to support state citizens to demand better performance from government and hold government to account through sectoral and/or sub-sectoral policy advocacy and monitoring.
Their capacity is measured against a number of sub-indicators which define the key requirements for effective internal functioning of the partnership, the external relations its members need to have with key stakeholders and key players on both the demand and the supply side, and the core advocacy and monitoring skills they need to be able to effectively make use of their partnership and their external relations to achieve their primary objective - this being to demonstrate to others in civil society more effective, sustainable and replicable ways of influencing policy change by state government on issues of public priority. 
Their level of capacity against each sub-indicator is measures against the key stages of the process of change, from demonstration through to replication and critical mass of support, as defined by SAVI's broad theory of change.
</t>
  </si>
  <si>
    <r>
      <t>The level of strength of each 'issue-based' partnership is measured in respect of the following 18 sub-indicators:
Under</t>
    </r>
    <r>
      <rPr>
        <b/>
        <sz val="9"/>
        <color theme="5" tint="-0.249977111117893"/>
        <rFont val="Arial"/>
        <family val="2"/>
      </rPr>
      <t xml:space="preserve"> Internal Capacity</t>
    </r>
    <r>
      <rPr>
        <sz val="9"/>
        <color theme="5" tint="-0.249977111117893"/>
        <rFont val="Arial"/>
        <family val="2"/>
      </rPr>
      <t xml:space="preserve">:
1. Vision, objectives and strategic direction
2. Planning and coordination
3. Motivation, commitment and attitude
4. Skills, experience and knowledge (including capacity to learn and to relate with others)
5. Resourcefulness, initiative, innovation and creativity
6. Leadership (in the field of governance)
Under </t>
    </r>
    <r>
      <rPr>
        <b/>
        <sz val="9"/>
        <color theme="5" tint="-0.249977111117893"/>
        <rFont val="Arial"/>
        <family val="2"/>
      </rPr>
      <t>External Relations</t>
    </r>
    <r>
      <rPr>
        <sz val="9"/>
        <color theme="5" tint="-0.249977111117893"/>
        <rFont val="Arial"/>
        <family val="2"/>
      </rPr>
      <t>:
1. Strategic relationships: with others in CS within the State, across States and through CS Networks and Platforms
2. Strategic relationships: with Media
3. Strategic relationships: with SHoA
4. Strategic relationships: with Citizens
5. Strategic relationships: with Government, through MDAs, LGs and Facilities, and Executive Council
6. Strategic relationships: with Federal actors in Civil Society, Media, NASS and Government
Under</t>
    </r>
    <r>
      <rPr>
        <b/>
        <sz val="9"/>
        <color theme="5" tint="-0.249977111117893"/>
        <rFont val="Arial"/>
        <family val="2"/>
      </rPr>
      <t xml:space="preserve"> Programme Skills in Issue-Based Policy Advocacy &amp; Monitoring</t>
    </r>
    <r>
      <rPr>
        <sz val="9"/>
        <color theme="5" tint="-0.249977111117893"/>
        <rFont val="Arial"/>
        <family val="2"/>
      </rPr>
      <t xml:space="preserve">:
1. Understanding of issue - content and policy process
2. Partnership's approach to gender and social inclusion
3. Partnership's strategic approach to advocacy and monitoring        
4. External support from leadership in Civil Society, Media, SHoA and Government
5. Partnership's approach to reflection (depth) and shared learning (extent)
6. Strength of partnership's argument (technical content, convincing evidence and appreciation of the wider context)
</t>
    </r>
  </si>
  <si>
    <r>
      <t xml:space="preserve">Each partnership is rated on a level of 1 to 5 on each sub-indicator. Each level is defined by a narrative description of how the partnership should look or the what it should be able to achieve against each sub-indicator at each stage. 
These narratives are contained within a 'partnership capacity assessment' (PCA) tool which can be used by the SAVI state team to assess each partnership and/or by the members of the partnerships themselves, as a basis for self-assessment. This can be self-administered, facilitated or semi-guided by the SAVI state team. As far as possible, evidence should be provided or cited to justify each score. 
Out of the 5 scoring sections in the PCA tool only 3 are used to assess progress against this output indicator:
</t>
    </r>
    <r>
      <rPr>
        <b/>
        <sz val="9"/>
        <color theme="5" tint="-0.249977111117893"/>
        <rFont val="Arial"/>
        <family val="2"/>
      </rPr>
      <t xml:space="preserve">• 'internal'
• 'programme - policy advocacy' </t>
    </r>
    <r>
      <rPr>
        <sz val="9"/>
        <color theme="5" tint="-0.249977111117893"/>
        <rFont val="Arial"/>
        <family val="2"/>
      </rPr>
      <t>and</t>
    </r>
    <r>
      <rPr>
        <b/>
        <sz val="9"/>
        <color theme="5" tint="-0.249977111117893"/>
        <rFont val="Arial"/>
        <family val="2"/>
      </rPr>
      <t xml:space="preserve">
• 'external'</t>
    </r>
    <r>
      <rPr>
        <sz val="9"/>
        <color theme="5" tint="-0.249977111117893"/>
        <rFont val="Arial"/>
        <family val="2"/>
      </rPr>
      <t xml:space="preserve">.
In the course of scoring, take note of the following:
• Changes that have occurred, progress that has been made, compared with the last assessment
• Evidence that can be provided / cited to prove this
• Suggestions as to why this change has happened
• Implications for the partnership, for SAVI's support
• Recommendations of actions required.                                                                                                                                                                                                                                                                                                                                                                                                   
At the end of the exercise, scores for each sub-indicator in these 3 sections are aggregated into a single score for the partnership for this output indicator. This score is generated automatically in the final 'charts' sheet of the PCA tool.
The primary purpose of this assessment is for the partners to reflect on their progress and plan their next steps accordingly, to improve their performance against each sub-indicator. Also, for the SAVI state team to then plan how best to support these partners to achieve this improvement.
</t>
    </r>
  </si>
  <si>
    <t xml:space="preserve">This indicator measures the extent to which SAVI-supported 'issue-based' civil society partnerships are dependent on SAVI's support to carry out sectoral and/or sub-sectoral policy advocacy and monitoring.
Their independence / dependence is measured against a range of sub-indicators which define the key requirements for effective independent functioning of the partnership, to be able to sustain their activities/approach, build on their achievements and share them with others to facilitate their replication, by themselves, with or without the support of SAVI and other international development partners. As such this indicator measures their capacity to be financially resourceful (more cost effective and efficient), to pool and cost-share through the partnership, to leverage funds from locally available sources, to seek out and make use of other new/innovative sources of funding, to capitalise on their achievements (i.e. generate funds by demonstrating their worth/value through their successes / effectiveness), and to make use of the goodwill of local partners (especially the SHoA and Media), key players, stakeholders and beneficiaries (i.e. communities and citizens) through their in-kind and financial contributions. Dependency is not just about financial resources however. Thus, their capacity to be self-sustaining in other required resources is also measured under this indicator: i.e. the 'social capital' they need to broker key external relations; the 'intellectual capacity' they need to strategise, plan, implement, analyse and communicate effectively; and the 'material resources' they need to meet and to transport themselves to where they need to be to take action.
Their level of independence / dependence against each sub-indicator is measures against the key stages of the process of change, from demonstration through to replication and critical mass of support, as defined by SAVI's broad theory of change.
</t>
  </si>
  <si>
    <r>
      <t>The level of independence / dependence of each 'issue-based' partnership is measured in respect of the following 5 sub-indicators:
Under</t>
    </r>
    <r>
      <rPr>
        <b/>
        <sz val="9"/>
        <color theme="5" tint="-0.249977111117893"/>
        <rFont val="Arial"/>
        <family val="2"/>
      </rPr>
      <t xml:space="preserve"> Dependency of CS Partnership on SAVI</t>
    </r>
    <r>
      <rPr>
        <sz val="9"/>
        <color theme="5" tint="-0.249977111117893"/>
        <rFont val="Arial"/>
        <family val="2"/>
      </rPr>
      <t xml:space="preserve">:
1. Funding: use of SAVI's financial resources.
2. Time: use of SAVI's timeframe/lifespan.
3. Human Resources: use of SAVI's staff to provide skills, ideas, experience, knowledge, etc.
4. Brokerage: use of SAVI's strategic relationships to engage others.
5. Facilities: use of SAVI's office space, office equipment, office vehicles, etc.
</t>
    </r>
  </si>
  <si>
    <r>
      <t xml:space="preserve">Each partnership is rated on a level of 1 to 5 on each sub-indicator in the scoring section titled </t>
    </r>
    <r>
      <rPr>
        <b/>
        <sz val="9"/>
        <color theme="5" tint="-0.249977111117893"/>
        <rFont val="Arial"/>
        <family val="2"/>
      </rPr>
      <t>'Dependency'</t>
    </r>
    <r>
      <rPr>
        <sz val="9"/>
        <color theme="5" tint="-0.249977111117893"/>
        <rFont val="Arial"/>
        <family val="2"/>
      </rPr>
      <t xml:space="preserve">. Each level is defined by a narrative description of how the partnership should look or the what it should be able to achieve against each sub-indicator at each stage. 
These narratives are contained within a 'partnership capacity assessment' (PCA) tool which can be used by the SAVI state team to assess each partnership and/or by the members of the partnerships themselves, as a basis for self-assessment. This can be self-administered, facilitated or semi-guided by the SAVI state team. As far as possible, evidence should be provided or cited to justify each score.
In the course of scoring, take note of the following:
• Changes that have occurred, progress that has been made, compared with the last assessment
• Evidence that can be provided / cited to prove this
• Suggestions as to why this change has happened
• Implications for the partnership, for SAVI's support
• Recommendations of actions required.                                                                                                                                                                                                                                                                                                                                                                                                   
At the end of the exercise, scores for each sub-indicator in this section are aggregated into a single score for the partnership for this output indicator. This score is generated automatically in the final 'charts' sheet of the PCA tool.
The primary purpose of this assessment is for the partners to reflect on their progress and plan their next steps accordingly, to improve their performance against each sub-indicator. Also, for the SAVI state team to then plan how best to support these partners to achieve this improvement.
</t>
    </r>
  </si>
  <si>
    <t xml:space="preserve">This indicator measures the extent to which the approach being taken by SAVI-supported 'issue-based' civil society partnerships (demonstrating more effective, sustainable and replicable ways of influencing policy change by state government on issues of public priority) are being adopted, adapted and applied by others in civil society engaged in sectoral and/or sub-sectoral policy advocacy and monitoring on other issues or in other states.
This may be by the same partners working on another issue, or by a splinter group from an existing partnership working with other new partners on another issue, or by a completely new set of civil society organisations/groups working in partnership on another issue. This can be an issue within the same sector or in another sector, or it can be on the same issue or another issue in another state.
It measures the extent therefore of 'replication' of the demonstrated approach, both in terms of the number of new 'partnerships' emerging (i.e. partnerships between civil society organisations/groups, citizens, the Media, SHoA and government), and in terms of how much (i.e. how many key aspects) of the demonstrated approach they have adopted, adapted and applied to addressing another issue.
These 'key aspects' are defined in the context of SAVI's broad theory of change: they are the key broad steps that constitute the approach at each key stage. Replication can therefore be measured as 'weak', 'fair', 'good' or 'strong' depending on the number of key broad steps adopted, adapted and applied by each new emerging partnership.
</t>
  </si>
  <si>
    <r>
      <t xml:space="preserve">The key broad steps that constitute the demonstrated approach at each key stage (based on the learning to date from across all the SAVI-supported states) are:
Under </t>
    </r>
    <r>
      <rPr>
        <b/>
        <sz val="9"/>
        <color theme="5" tint="-0.249977111117893"/>
        <rFont val="Arial"/>
        <family val="2"/>
      </rPr>
      <t>Stage 1</t>
    </r>
    <r>
      <rPr>
        <sz val="9"/>
        <color theme="5" tint="-0.249977111117893"/>
        <rFont val="Arial"/>
        <family val="2"/>
      </rPr>
      <t xml:space="preserve"> (getting their house in order):
1. getting citizens on board to drive the process.
2. getting the right CS partners round the table.
3. getting the evidence to support citizens' demands.
4. getting the arguments and activities right - smart, well thought through, well framed and strategically planned.
Under</t>
    </r>
    <r>
      <rPr>
        <b/>
        <sz val="9"/>
        <color theme="5" tint="-0.249977111117893"/>
        <rFont val="Arial"/>
        <family val="2"/>
      </rPr>
      <t xml:space="preserve"> Stage 2</t>
    </r>
    <r>
      <rPr>
        <sz val="9"/>
        <color theme="5" tint="-0.249977111117893"/>
        <rFont val="Arial"/>
        <family val="2"/>
      </rPr>
      <t xml:space="preserve"> (building triangular demand-side relations):
1. building working relations with wider CS networks. 
2. building working relations with the Media.
3. building working relations with the SHoA.
4. re-enforcing citizens active role in the process.
Under </t>
    </r>
    <r>
      <rPr>
        <b/>
        <sz val="9"/>
        <color theme="5" tint="-0.249977111117893"/>
        <rFont val="Arial"/>
        <family val="2"/>
      </rPr>
      <t>Stage 3</t>
    </r>
    <r>
      <rPr>
        <sz val="9"/>
        <color theme="5" tint="-0.249977111117893"/>
        <rFont val="Arial"/>
        <family val="2"/>
      </rPr>
      <t xml:space="preserve"> (constructive engagement with govt):
1. presenting a common front between CS/Media/SHoA.
2. building working relations with key MDAs.
3. engaging the support of key Govt leaders/ExCo members.
4. channelling citizens' demand at all levels of govt (ExCo, MDAs and LG/facilities) simultaneously/strategically.
</t>
    </r>
  </si>
  <si>
    <r>
      <t xml:space="preserve">The SAVI state team counts the total number of new emerging civil society partnerships that qualify as 'partnerships' in the context of SAVI's Output 1: i.e. alliances between civil society organisations/groups, citizens, the Media, SHoA and government, engaged in issue-based policy advocacy and monitoring, that are adopting, adapting and applying the approaches demonstrated by SAVI-supported partnerships.
Each new emerging partnership is then assessed on how many key aspects of the demonstrated approach they have adopted, adapted and applied to address their policy issue:
any 1-2 = </t>
    </r>
    <r>
      <rPr>
        <b/>
        <sz val="9"/>
        <color theme="5" tint="-0.249977111117893"/>
        <rFont val="Arial"/>
        <family val="2"/>
      </rPr>
      <t>no</t>
    </r>
    <r>
      <rPr>
        <sz val="9"/>
        <color theme="5" tint="-0.249977111117893"/>
        <rFont val="Arial"/>
        <family val="2"/>
      </rPr>
      <t xml:space="preserve"> replication of the approach
any 3-4 = </t>
    </r>
    <r>
      <rPr>
        <b/>
        <sz val="9"/>
        <color theme="5" tint="-0.249977111117893"/>
        <rFont val="Arial"/>
        <family val="2"/>
      </rPr>
      <t>weak</t>
    </r>
    <r>
      <rPr>
        <sz val="9"/>
        <color theme="5" tint="-0.249977111117893"/>
        <rFont val="Arial"/>
        <family val="2"/>
      </rPr>
      <t xml:space="preserve"> replication of the approach
any 5-6 = </t>
    </r>
    <r>
      <rPr>
        <b/>
        <sz val="9"/>
        <color theme="5" tint="-0.249977111117893"/>
        <rFont val="Arial"/>
        <family val="2"/>
      </rPr>
      <t>fair</t>
    </r>
    <r>
      <rPr>
        <sz val="9"/>
        <color theme="5" tint="-0.249977111117893"/>
        <rFont val="Arial"/>
        <family val="2"/>
      </rPr>
      <t xml:space="preserve"> replication of the approach
any 7-8 = </t>
    </r>
    <r>
      <rPr>
        <b/>
        <sz val="9"/>
        <color theme="5" tint="-0.249977111117893"/>
        <rFont val="Arial"/>
        <family val="2"/>
      </rPr>
      <t>good</t>
    </r>
    <r>
      <rPr>
        <sz val="9"/>
        <color theme="5" tint="-0.249977111117893"/>
        <rFont val="Arial"/>
        <family val="2"/>
      </rPr>
      <t xml:space="preserve"> replication of the approach
any 9-10 = </t>
    </r>
    <r>
      <rPr>
        <b/>
        <sz val="9"/>
        <color theme="5" tint="-0.249977111117893"/>
        <rFont val="Arial"/>
        <family val="2"/>
      </rPr>
      <t>strong</t>
    </r>
    <r>
      <rPr>
        <sz val="9"/>
        <color theme="5" tint="-0.249977111117893"/>
        <rFont val="Arial"/>
        <family val="2"/>
      </rPr>
      <t xml:space="preserve"> replication of the approach
all 11-12 = </t>
    </r>
    <r>
      <rPr>
        <b/>
        <sz val="9"/>
        <color theme="5" tint="-0.249977111117893"/>
        <rFont val="Arial"/>
        <family val="2"/>
      </rPr>
      <t>complete</t>
    </r>
    <r>
      <rPr>
        <sz val="9"/>
        <color theme="5" tint="-0.249977111117893"/>
        <rFont val="Arial"/>
        <family val="2"/>
      </rPr>
      <t xml:space="preserve"> replication of the approach
Only those new emerging partnerships that initially qualify as 'partnerships' in the context of SAVI's Output 1, and that score more than 4 out of 12 on 'replication of the approach' (i.e. 'fair' or better) can then be counted as truly qualified to meet the requirements of this indicator.
All qualified examples are listed and evidenced in the Replication Diary of the M&amp;E Framework.
It may not be possible for the SAVI state team to make this assessment without consulting with members of existing Output 1 partnerships (and Output 3 platforms) who need to make this assessment for themselves. The primary purpose of this assessment is for SAVI's existing Output 1 (and Output 3) partners to reflect on the extent to which they are supporting replication of the approaches they are demonstrating to others in civil society, and to collectively plan how to improve on this. Also, for the SAVI state team to then plan how best to support their partners under either or both Outputs to achieve this improvement.</t>
    </r>
  </si>
  <si>
    <t xml:space="preserve">This indicator measures the capacity of SAVI-supported civil society partnerships leading on 'engagement of government budget and planning processes' to support state citizens to demand better performance from government and hold government to account through their involvement in these processes.
Their capacity is measured against a number of sub-indicators which define the key requirements for effective internal functioning of the partnership, the external relations its members need to have with key stakeholders and key players on both the demand and the supply side, and the core skills in engaging government budget and planning processes they need to be able to effectively make use of their partnership and their external relations to achieve their primary objective - this being to demonstrate to others in civil society more effective, sustainable and replicable ways of facilitating public involvement in government budget and planning processes. 
Their level of capacity against each sub-indicator is measured against the key stages of the process of change, from demonstration through to replication and critical mass of support, as defined by SAVI's broad theory of change.
</t>
  </si>
  <si>
    <t xml:space="preserve">The level of strength of each partnership leading on 'engagement of govt budget and planning processes' is measured in respect of the following 18 sub-indicators:
Under Internal Capacity:
1. Vision, objectives and strategic direction
2. Planning and coordination
3. Motivation, commitment and attitude
4. Skills, experience and knowledge (including capacity to learn and to relate with others)
5. Resourcefulness, initiative, innovation and creativity
6. Leadership (in the field of governance)
Under External Relations:
1. Strategic relationships: with others in CS within the State, across States and through CS Networks and Platforms
2. Strategic relationships: with Media
3. Strategic relationships: with SHoA
4. Strategic relationships: with Citizens
5. Strategic relationships: with Government, through MDAs, LGs and Facilities, and Executive Council
6. Strategic relationships: with Federal actors in Civil Society, Media, NASS and Government
Under Programme Skills in Facilitating Public Involvement in Govt Budget &amp; Planning Process:
1. Understanding of budget process - content and issues 
2. Partnership's approach to gender and social inclusion
3. Partnership's strategic approach to facilitating public involvement        
4. External support from leadership in Civil Society, Media, SHoA and Government
5. Partnership's approach to reflection (depth) and shared learning (extent)
6. Strength of partnership's argument (technical content, convincing evidence and appreciation of the wider context)
</t>
  </si>
  <si>
    <r>
      <t xml:space="preserve">Each partnership is rated on a level of 1 to 5 on each sub-indicator. Each level is defined by a narrative description of how the partnership should look or the what it should be able to achieve against each sub-indicator at each stage. 
These narratives are contained within a 'partnership capacity assessment' (PCA) tool which can be used by the SAVI state team to assess each partnership and/or by the members of the partnerships themselves, as a basis for self-assessment. This can be self-administered, facilitated or semi-guided by the SAVI state team. As far as possible, evidence should be provided or cited to justify each score. 
Out of the 5 scoring sections in the PCA tool only 3 are used to assess progress against this output indicator:
</t>
    </r>
    <r>
      <rPr>
        <b/>
        <sz val="9"/>
        <color theme="5" tint="-0.249977111117893"/>
        <rFont val="Arial"/>
        <family val="2"/>
      </rPr>
      <t xml:space="preserve">• 'internal'
• 'programme - budget process' </t>
    </r>
    <r>
      <rPr>
        <sz val="9"/>
        <color theme="5" tint="-0.249977111117893"/>
        <rFont val="Arial"/>
        <family val="2"/>
      </rPr>
      <t>and</t>
    </r>
    <r>
      <rPr>
        <b/>
        <sz val="9"/>
        <color theme="5" tint="-0.249977111117893"/>
        <rFont val="Arial"/>
        <family val="2"/>
      </rPr>
      <t xml:space="preserve">
• 'external'</t>
    </r>
    <r>
      <rPr>
        <sz val="9"/>
        <color theme="5" tint="-0.249977111117893"/>
        <rFont val="Arial"/>
        <family val="2"/>
      </rPr>
      <t xml:space="preserve">.
In the course of scoring, take note of the following:
• Changes that have occurred, progress that has been made, compared with the last assessment
• Evidence that can be provided / cited to prove this
• Suggestions as to why this change has happened
• Implications for the partnership, for SAVI's support
• Recommendations of actions required.
At the end of the exercise, scores for each sub-indicator in these 3 sections are aggregated into a single score for the partnership for this output indicator. This score is generated automatically in the final 'charts' sheet of the PCA tool.
The primary purpose of this assessment is for the partners to reflect on their progress and plan their next steps accordingly, to improve their performance against each sub-indicator. Also, for the SAVI state team to then plan how best to support these partners to achieve this improvement.
</t>
    </r>
  </si>
  <si>
    <t xml:space="preserve">This indicator measures the extent to which SAVI-supported civil society partnerships leading on 'engagement of government budget and planning processes' are dependent on SAVI's support to facilitate the involvement of state citizens, other civil society groups and other civil society partnership in these processes.
Their independence / dependence is measured against a range of sub-indicators which define the key requirements for effective independent functioning of the partnership, to be able to sustain their activities/approach, build on their achievements and share them with others to facilitate their replication, by themselves, with or without the support of SAVI and other international development partners. As such this indicator measures their capacity to be financially resourceful (more cost effective and efficient), to pool and cost-share through the partnership, to leverage funds from locally available sources, to seek out and make use of other new/innovative sources of funding, to capitalise on their achievements (i.e. generate funds by demonstrating their worth/value through their successes / effectiveness), and to make use of the goodwill of local partners (especially the SHoA and Media), key players, stakeholders and beneficiaries (i.e. communities and citizens) through their in-kind and financial contributions. Dependency is not just about financial resources however. Thus, their capacity to be self-sustaining in other required resources is also measured under this indicator: i.e. the 'social capital' they need to broker key external relations; the 'intellectual capacity' they need to strategise, plan, implement, analyse and communicate effectively; and the 'material resources' they need to meet and to transport themselves to where they need to be to take action.
Their level of independence / dependence against each sub-indicator is measures against the key stages of the process of change, from demonstration through to replication and critical mass of support, as defined by SAVI's broad theory of change.
</t>
  </si>
  <si>
    <r>
      <t>The level of independence / dependence of each partnership leading on 'engagement of govt budget and planning processes' is measured in respect of the following 5 sub-indicators:
Under</t>
    </r>
    <r>
      <rPr>
        <b/>
        <sz val="9"/>
        <color theme="5" tint="-0.249977111117893"/>
        <rFont val="Arial"/>
        <family val="2"/>
      </rPr>
      <t xml:space="preserve"> Dependency of CS Partnership on SAVI</t>
    </r>
    <r>
      <rPr>
        <sz val="9"/>
        <color theme="5" tint="-0.249977111117893"/>
        <rFont val="Arial"/>
        <family val="2"/>
      </rPr>
      <t xml:space="preserve">:
1. Funding: use of SAVI's financial resources.
2. Time: use of SAVI's timeframe/lifespan.
3. Human Resources: use of SAVI's staff to provide skills, ideas, experience, knowledge, etc.
4. Brokerage: use of SAVI's strategic relationships to engage others.
5. Facilities: use of SAVI's office space, office equipment, office vehicles, etc.
</t>
    </r>
  </si>
  <si>
    <r>
      <t xml:space="preserve">This indicator measures the extent to which SAVI-supported civil society partnerships leading on 'engagement of government budget and planning processes' extend their services to 'issue-based' civil society partnerships, both existing and emerging (under Output 1), and any other similar types of partnership or platform, enabling them to support citizens to engage in government budget and planning processes in more effective, sustainable and replicable ways.
It measures the extent therefore of 'replication' of the originally demonstrated approach, </t>
    </r>
    <r>
      <rPr>
        <u/>
        <sz val="9"/>
        <color theme="5" tint="-0.249977111117893"/>
        <rFont val="Arial"/>
        <family val="2"/>
      </rPr>
      <t>not</t>
    </r>
    <r>
      <rPr>
        <sz val="9"/>
        <color theme="5" tint="-0.249977111117893"/>
        <rFont val="Arial"/>
        <family val="2"/>
      </rPr>
      <t xml:space="preserve"> in terms of the number of new 'partnerships' emerging under Output 2 to facilitate public involvement in govt budget and planning processes, but in terms of the total number of old and new 'partnerships' under Output 1 (i.e. partnerships between civil society organisations/groups, citizens, the Media, SHoA and government) that SAVI's existing Output 2 partners provide support to. This support is what is being replicated: the same support that was originally provided to SAVI's Output 1 partners, being adapted and applied to newly emerging policy advocacy and monitoring civil society partnerships addressing other issues, and to other similar partnerships and platforms, both old and new.
It also therefore measures the extent of 'replication' in terms of how much (i.e. how many key aspects) of the originally demonstrated approach is being adapted and applied to other new/similar partnerships and platforms.
These 'key aspects' are defined in the context of SAVI's broad theory of change: they are the key broad steps that constitute the approach taken by SAVI's Output 2 partners to support SAVI's Output 1 partners at each key stage in the process. Replication can therefore be measured as 'weak', 'fair', 'good' or 'strong' depending on the number of key broad steps adapted and applied to each additional civil society partnership or platform.
</t>
    </r>
  </si>
  <si>
    <r>
      <t xml:space="preserve">The key broad steps that constitute the demonstrated approach at each key stage (based on the learning to date from across all the SAVI-supported states) are:
Under </t>
    </r>
    <r>
      <rPr>
        <b/>
        <sz val="9"/>
        <color theme="5" tint="-0.249977111117893"/>
        <rFont val="Arial"/>
        <family val="2"/>
      </rPr>
      <t>Stage 1</t>
    </r>
    <r>
      <rPr>
        <sz val="9"/>
        <color theme="5" tint="-0.249977111117893"/>
        <rFont val="Arial"/>
        <family val="2"/>
      </rPr>
      <t xml:space="preserve"> (getting their house in order):
1. demystifying the budget process to the public, to get citizens on board to drive the process of their involvement.
2. helping Output 1 partners to understand the budget process: holistically, broken into sectors, and then into location and quantity specific capital projects in key sectors.
3. helping Output 1 partners to gather evidence on budget performance (analysis and trends) in their own sectors.
4. helping Output 1 to develop arguments and activities that are smart, as well as linked and leveraging across sectors.
Under </t>
    </r>
    <r>
      <rPr>
        <b/>
        <sz val="9"/>
        <color theme="5" tint="-0.249977111117893"/>
        <rFont val="Arial"/>
        <family val="2"/>
      </rPr>
      <t>Stage 2</t>
    </r>
    <r>
      <rPr>
        <sz val="9"/>
        <color theme="5" tint="-0.249977111117893"/>
        <rFont val="Arial"/>
        <family val="2"/>
      </rPr>
      <t xml:space="preserve"> (building triangular demand-side relations):
1. building deeper understanding (demystification) of the budget process with wider CS networks, to broaden their horizons across sectors, and see it cross-sectorally. 
2. building deeper understanding (demystification) of the budget process with the Media, to get a handle/angle on it.
3. building deeper understanding (demystification) of the budget process with the SHoA, in terms of the need for and benefits of public involvement: more inclusive budgeting.
4. re-enforcing the links between citizens and their state level representatives in CS, SHoA and the Media on budget process, to strengthen the public legitimacy of their role.
Under </t>
    </r>
    <r>
      <rPr>
        <b/>
        <sz val="9"/>
        <color theme="5" tint="-0.249977111117893"/>
        <rFont val="Arial"/>
        <family val="2"/>
      </rPr>
      <t>Stage 3</t>
    </r>
    <r>
      <rPr>
        <sz val="9"/>
        <color theme="5" tint="-0.249977111117893"/>
        <rFont val="Arial"/>
        <family val="2"/>
      </rPr>
      <t xml:space="preserve"> (constructive engagement with govt):
1. building working relations with key central budget and planning MDAs and key Govt leaders/ExCo members.
2. building working relations between Output 1 partners and key MDAs on sectoral budget and planning.
3. collective action by CS/Media/SHoA to engage the state budget.
4. helping citizens to see what's in the state budget for them, in their specific locations, in a way that they can then track its implementation - and provide public feedback on budget/govt/contractors performance.
</t>
    </r>
  </si>
  <si>
    <r>
      <t xml:space="preserve">The SAVI state team counts the total number of old and new civil society partnerships and platforms supported by SAVI's Output 2 partners, enabling them to support citizens to engage in government budget and planning processes in more effective, sustainable and replicable ways.
Each partnership or platform is then assessed on how many key aspects of the originally demonstrated approach have adopted, adapted and applied to supporting them:
any 1-2 = </t>
    </r>
    <r>
      <rPr>
        <b/>
        <sz val="9"/>
        <color theme="5" tint="-0.249977111117893"/>
        <rFont val="Arial"/>
        <family val="2"/>
      </rPr>
      <t>no</t>
    </r>
    <r>
      <rPr>
        <sz val="9"/>
        <color theme="5" tint="-0.249977111117893"/>
        <rFont val="Arial"/>
        <family val="2"/>
      </rPr>
      <t xml:space="preserve"> replication of the approach
any 3-4 = </t>
    </r>
    <r>
      <rPr>
        <b/>
        <sz val="9"/>
        <color theme="5" tint="-0.249977111117893"/>
        <rFont val="Arial"/>
        <family val="2"/>
      </rPr>
      <t>weak</t>
    </r>
    <r>
      <rPr>
        <sz val="9"/>
        <color theme="5" tint="-0.249977111117893"/>
        <rFont val="Arial"/>
        <family val="2"/>
      </rPr>
      <t xml:space="preserve"> replication of the approach
any 5-6 = </t>
    </r>
    <r>
      <rPr>
        <b/>
        <sz val="9"/>
        <color theme="5" tint="-0.249977111117893"/>
        <rFont val="Arial"/>
        <family val="2"/>
      </rPr>
      <t>fair</t>
    </r>
    <r>
      <rPr>
        <sz val="9"/>
        <color theme="5" tint="-0.249977111117893"/>
        <rFont val="Arial"/>
        <family val="2"/>
      </rPr>
      <t xml:space="preserve"> replication of the approach
any 7-8 = </t>
    </r>
    <r>
      <rPr>
        <b/>
        <sz val="9"/>
        <color theme="5" tint="-0.249977111117893"/>
        <rFont val="Arial"/>
        <family val="2"/>
      </rPr>
      <t>good</t>
    </r>
    <r>
      <rPr>
        <sz val="9"/>
        <color theme="5" tint="-0.249977111117893"/>
        <rFont val="Arial"/>
        <family val="2"/>
      </rPr>
      <t xml:space="preserve"> replication of the approach
any 9-10 = </t>
    </r>
    <r>
      <rPr>
        <b/>
        <sz val="9"/>
        <color theme="5" tint="-0.249977111117893"/>
        <rFont val="Arial"/>
        <family val="2"/>
      </rPr>
      <t>strong</t>
    </r>
    <r>
      <rPr>
        <sz val="9"/>
        <color theme="5" tint="-0.249977111117893"/>
        <rFont val="Arial"/>
        <family val="2"/>
      </rPr>
      <t xml:space="preserve"> replication of the approach
all 11-12 = </t>
    </r>
    <r>
      <rPr>
        <b/>
        <sz val="9"/>
        <color theme="5" tint="-0.249977111117893"/>
        <rFont val="Arial"/>
        <family val="2"/>
      </rPr>
      <t>complete</t>
    </r>
    <r>
      <rPr>
        <sz val="9"/>
        <color theme="5" tint="-0.249977111117893"/>
        <rFont val="Arial"/>
        <family val="2"/>
      </rPr>
      <t xml:space="preserve"> replication of the approach
Only those partnerships and platforms, old and new, that  score more than 4 out of 12 on 'replication of the approach' (i.e. 'fair' or better) can then be counted as truly qualified to meet the requirements of this indicator.
All qualified examples are listed and evidenced in the Replication Diary of the M&amp;E Framework.
It may not be possible for the SAVI state team to make this assessment without consulting with members of their existing Output 2 partnerships (as well as those of the other partnerships and platforms they support) who need to make this assessment for themselves. The primary purpose of this assessment is for SAVI's existing Output 2 partners to reflect on the extent to which they are extending their services to others in civil society, and to collectively plan how to improve on this. Also, for the SAVI state team to then plan how best to support their Output 2 partners to achieve this improvement.
</t>
    </r>
  </si>
  <si>
    <t xml:space="preserve">This indicator measures the extent to which each civil society partnership or platform supported by SAVI (directly or indirectly) is being supported by the leadership of it's various members organisations/groups, as well as by the leadership of any other key stakeholders or key players they engage with on both the demand and the supply side. Like all four indicators under Output 3, the objective of this is to provide a more enabling environment for partners under Outputs 1, 2 and 4 to achieve their objectives, and to promote replication by others, towards the achievement of all four of SAVI's Outcome level indicators.
This support is a measure of the extent to which partners are effectively communicating and improving understanding of the benefits of such partnerships or platforms to their superiors, towards increasing their ownership, sustainability and replicability by the parent organisations/groups of their members, diminishing their dependence on SAVI support.
Support from their leadership can be provided in a number of ways. Those measured by this indicator are regarded as progressively building on each other, with 'permission' at the lowest level, and 'institutionalisation' at the highest.
The partnerships or platforms being counted here include those directly supported by SAVI state teams under all five Outputs (i.e. policy APs, budget APs, V&amp;A platforms, G&amp;SI platforms, Media platforms, DP platforms, etc.) which serve to demonstrate the approach, and those that have emerged in other sub-sectors, sectors and states which have based key aspects of their approach on that of SAVI-supported partnerships and platforms, regarded as 'replication'.
</t>
  </si>
  <si>
    <r>
      <t xml:space="preserve">Four distinct levels of 'support' are measured here:
</t>
    </r>
    <r>
      <rPr>
        <b/>
        <sz val="9"/>
        <color theme="5" tint="-0.249977111117893"/>
        <rFont val="Arial"/>
        <family val="2"/>
      </rPr>
      <t>'Permissive' support</t>
    </r>
    <r>
      <rPr>
        <sz val="9"/>
        <color theme="5" tint="-0.249977111117893"/>
        <rFont val="Arial"/>
        <family val="2"/>
      </rPr>
      <t xml:space="preserve">, which can be defined as: superiors not blocking their subordinates from participating in a civil society partnership or platform and its activities.
</t>
    </r>
    <r>
      <rPr>
        <b/>
        <sz val="9"/>
        <color theme="5" tint="-0.249977111117893"/>
        <rFont val="Arial"/>
        <family val="2"/>
      </rPr>
      <t>'Facilitative' support</t>
    </r>
    <r>
      <rPr>
        <sz val="9"/>
        <color theme="5" tint="-0.249977111117893"/>
        <rFont val="Arial"/>
        <family val="2"/>
      </rPr>
      <t xml:space="preserve">, which can be defined as: superiors providing in-kind / financial / logistical / technical / informational support to assist a civil society partnership or platform in conducting its affairs or carrying out its activities.
</t>
    </r>
    <r>
      <rPr>
        <b/>
        <sz val="9"/>
        <color theme="5" tint="-0.249977111117893"/>
        <rFont val="Arial"/>
        <family val="2"/>
      </rPr>
      <t>'Promotional' support</t>
    </r>
    <r>
      <rPr>
        <sz val="9"/>
        <color theme="5" tint="-0.249977111117893"/>
        <rFont val="Arial"/>
        <family val="2"/>
      </rPr>
      <t xml:space="preserve">, which can be defined as: superiors using their own name, voice or networks in public and private to promote the objectives and activities of a civil society partnership or platform.
</t>
    </r>
    <r>
      <rPr>
        <b/>
        <sz val="9"/>
        <color theme="5" tint="-0.249977111117893"/>
        <rFont val="Arial"/>
        <family val="2"/>
      </rPr>
      <t>'Institutional' support</t>
    </r>
    <r>
      <rPr>
        <sz val="9"/>
        <color theme="5" tint="-0.249977111117893"/>
        <rFont val="Arial"/>
        <family val="2"/>
      </rPr>
      <t xml:space="preserve">, which can be defined as: superiors providing a hub for communicating or sharing the learning / approaches of a civil society partnership or platform, and/or enshrining their own organisation/group's support for it in policy as well as practice, whether formally or informally, and whether in writing or through demonstrable actions.
These sub-indicators are comparable to the incremental levels of 1 to 5 in an OCA or PCA tool, where 'Awareness' of a partnership or platform by leadership would be a level 1, 'Permissive' support would be a level 2, 'Facilitative' support would be a level 3, and so on, up to 'Institutional' support which would be a level 5. However, a simple narrative description is used here in preference to a number/index, because this is possible.
</t>
    </r>
  </si>
  <si>
    <r>
      <t xml:space="preserve">Each SAVI-supported partnership or platform are rated on a level of 1 to 5 on a single sub-indicator. These levels are markers / scores, representing incremental changes in the level of leadership support (from 'awareness' through to 'institutional' support) they are getting from the majority (more than 50%) of the leadership of their various members organisations/groups and those of any other key stakeholders or key players they engage with. Each level is defined by a narrative description of how that leadership support should look or  what partners should be able to accomplish at that level. 
These narratives are contained within the partners respective 'partnership capacity assessment' (PCA) or 'organisational capacity assessment' (OCA) tool - as the final sub-indicator in the 'internal' section. This assessment can be self-administered, facilitated or semi-guided by the SAVI state team. As far as possible, some evidence should be provided or cited to justify the score / level reported.
The SAVI state team counts the total number of partnerships or platforms attaining each level (and </t>
    </r>
    <r>
      <rPr>
        <u/>
        <sz val="9"/>
        <color theme="5" tint="-0.249977111117893"/>
        <rFont val="Arial"/>
        <family val="2"/>
      </rPr>
      <t>not</t>
    </r>
    <r>
      <rPr>
        <sz val="9"/>
        <color theme="5" tint="-0.249977111117893"/>
        <rFont val="Arial"/>
        <family val="2"/>
      </rPr>
      <t xml:space="preserve"> the total number of leaders supporting the partnerships or platforms - as some state teams have mistakenly measured previously). This is therefore 'cumulative': partnerships / platforms are counted at every level they have attained, and not just the highest level they have reached: e.g. if a partnership is assessed to be on level 3 (facilitative support) it scores under level 1 (awareness), level 2 (permissive support) and level 3, not just level 3.
Ideally, this should be a self-assessment. Where this is not possible, the SAVI state team should not attempt to make this assessment 'internally' without prior consultation with members of the partnership or platform concerned (whether directly or indirectly).
The primary purpose of this assessment is for the partners to reflect on the level of support they receive from the leadership and collectively plan how to improve on this. Also, for the SAVI state team to then plan how best to support their partners to achieve this improvement.
</t>
    </r>
  </si>
  <si>
    <t xml:space="preserve">This indicator measures the extent to which the members of each civil society partnership or platform supported by SAVI (directly or indirectly) are including the voice of women and other socially excluded groups in the partnership/platform and through its activities. Like all four indicators under Output 3, the objective of this is to provide a more enabling environment for normally excluded groups to express their opinions, claim their rights and hold government to account  to achieve their own objectives under all five Outputs.
The inclusion of such voices is a measure of the extent to which partners are becoming generally more open and inclusive in the way they function/perform their civic duties. 
The voice of women and other socially excluded groups can be included in a number of ways. Those measured by this indicator are regarded as progressively building on each other, with 'permission' at the lowest level, and 'institutionalisation' at the highest.
The partnerships or platforms being counted here include those directly supported by SAVI state teams under all five Outputs (i.e. policy APs, budget APs, V&amp;A platforms, G&amp;SI platforms, Media platforms, SHoA, SHoA Committees, Dev Partner platforms, etc.) which serve to demonstrate the approach, and those that have emerged in other sub-sectors, sectors and states which have based key aspects of their approach on that of SAVI-supported partnerships and platforms, regarded as 'replication'.
</t>
  </si>
  <si>
    <r>
      <t xml:space="preserve">Four distinct levels of 'inclusion' are measured here:
</t>
    </r>
    <r>
      <rPr>
        <b/>
        <sz val="9"/>
        <color theme="5" tint="-0.249977111117893"/>
        <rFont val="Arial"/>
        <family val="2"/>
      </rPr>
      <t>'Permissive' inclusion</t>
    </r>
    <r>
      <rPr>
        <sz val="9"/>
        <color theme="5" tint="-0.249977111117893"/>
        <rFont val="Arial"/>
        <family val="2"/>
      </rPr>
      <t xml:space="preserve">, which can be defined as: members of a partnership or platform not blocking the voice of women and other socially excluded groups in the partnership/ platform and in its activities.
</t>
    </r>
    <r>
      <rPr>
        <b/>
        <sz val="9"/>
        <color theme="5" tint="-0.249977111117893"/>
        <rFont val="Arial"/>
        <family val="2"/>
      </rPr>
      <t>'Facilitative' inclusion</t>
    </r>
    <r>
      <rPr>
        <sz val="9"/>
        <color theme="5" tint="-0.249977111117893"/>
        <rFont val="Arial"/>
        <family val="2"/>
      </rPr>
      <t xml:space="preserve">, which can be defined as:  members of a partnership or platform providing in-kind / financial / logistical / technical / informational support to  women and other socially excluded groups to ensure their voice in included in the course of the partnership/platform conducting its affairs or carrying out its activities.
</t>
    </r>
    <r>
      <rPr>
        <b/>
        <sz val="9"/>
        <color theme="5" tint="-0.249977111117893"/>
        <rFont val="Arial"/>
        <family val="2"/>
      </rPr>
      <t>'Promotional' inclusion</t>
    </r>
    <r>
      <rPr>
        <sz val="9"/>
        <color theme="5" tint="-0.249977111117893"/>
        <rFont val="Arial"/>
        <family val="2"/>
      </rPr>
      <t xml:space="preserve">, which can be defined as: members of a partnership or platform using their own name, voice or networks in public and private to promote inclusion of the voice of women and other socially excluded groups in the objectives and activities of the partnership/platform.
</t>
    </r>
    <r>
      <rPr>
        <b/>
        <sz val="9"/>
        <color theme="5" tint="-0.249977111117893"/>
        <rFont val="Arial"/>
        <family val="2"/>
      </rPr>
      <t>'Institutional' inclusion</t>
    </r>
    <r>
      <rPr>
        <sz val="9"/>
        <color theme="5" tint="-0.249977111117893"/>
        <rFont val="Arial"/>
        <family val="2"/>
      </rPr>
      <t xml:space="preserve">, which can be defined as: members of a partnership or platform providing a hub for including the voice of women and other socially excluded groups as well as communicating or sharing the learning / approaches of a civil society partnership/platform on the inclusion of such voices. Also as members enshrining the inclusion of such voices in their own organisation/group's normal way of working, in policy as well as practice, whether formally or informally, and whether in writing or through demonstrable actions.
These sub-indicators are comparable to the incremental levels of 1 to 5 in an OCA or PCA tool, where 'Awareness' of the need to include the voice of women and other socially excluded groups among the members of a partnership or platform would be a level 1, 'Permissive' inclusion would be a level 2, 'Facilitative' inclusion would be a level 3, and so on, up to 'Institutional' inclusion which would be a level 5.
</t>
    </r>
  </si>
  <si>
    <t xml:space="preserve">Each SAVI-supported partnership or platform are rated on a level of 1 to 5 on a range of sub-indicators (5 in total) specific to their respective output / sub-output. These levels are markers / scores, representing incremental changes in the level of inclusiveness (from 'awareness' through to 'institutional' inclusion) of the voice of women and other socially excluded groups within the partnership or platform and through its activities. Each level is defined by a narrative description of how that inclusiveness should look or what partners should be able to accomplish at that level for each of the 5 sub-indicators. 
These narratives are contained within a gender and social inclusion (G&amp;SI) 'partnership capacity assessment' (PCA) or 'organisational capacity assessment' (OCA) supplementary tool. This assessment can be self-administered, or facilitated or semi-guided by the SAVI state team, but ideally it should be facilitated by Output 3 partners engaged in mainstreaming 'gender and social inclusion' into SAVI-supported partnerships, platforms and partnering organisations. As far as possible, some evidence should be provided or cited to justify the score / level reported.
The SAVI state team counts the total number of partnerships or platforms attaining each level. This is 'cumulative': partnerships / platforms are counted at every level they have attained, and not just the highest level they have reached: e.g. if a partnership is assessed to be on level 3 (facilitative inclusion) it scores under level 1 (awareness), level 2 (permissive inclusion) and level 3, not just level 3.
Ideally, this should be a self-assessment, facilitated by a partnership or platform of G&amp;SI partners under Output 3. Where this is not possible, the G&amp;SI partners (or in their absense the SAVI state team) should not attempt to make this assessment 'internally' without prior consultation with members of the partnership or platform concerned (whether directly or indirectly).
The primary purpose of this assessment is for the partners to reflect on the level of inclusion they provide for such voices and collectively plan how to improve on this. Also, for SAVI state teams to then plan how best to support their partners to achieve this improvement.
</t>
  </si>
  <si>
    <t xml:space="preserve">This indicator measures the performance of SAVI's Output 3 partners in providing 'civic education' relating to voice and accountability, towards improving communication, mutual understanding, mutual respect and collective responsibility between civil society, the media, state houses of assembly, government and citizens, to each play their part (i.e. fulfil their civic duty) in demanding better performance from government and holding government to account. 
Performance is measured on two levels:
(a). the extent of understanding among local partners (i.e. those directly supported by SAVI, under all 5 Outputs), resulting from SAVI-supported 'civic education' work.
(b). the extent of understanding among state citizens (or a sufficiently representative sample of them), resulting from SAVI-supported 'civic education' work.
</t>
  </si>
  <si>
    <t xml:space="preserve">In each SAVI-supported state, 'civic education' work is being carried out by different groups in different ways. In some states CS partnerships provide it, while in others it is provided by joint CS/Media/SHoA (V&amp;A) platforms or by individual Media houses. Some groups focus more on the use of town hall meetings or members' constituency offices, while others make use of interactive radio/TV programmes or online spaces provided by electronic 'social media'.
As such, each SAVI state team works with its own 'civic education' partners to develop their own tools to monitor and evaluate their own performance based on their own approach. In the interest of demonstrating local ownership, sustainability and replicability of their approach, these tools are designed to be simple, appropriate, cost-effective and timely, giving a 'quick and dirty' snapshot of the extent of understanding among local partners and state citizens. 
Initially, the type of questions asked and sub-indicators used for measuring levels of public understanding among partners and citizens thus varied considerably between states. Over time, building on partners learning and best practice, SAVI has developed a common tool to support 'civic education' partners to develop their own strategies and strengthen their approach in a standardised manner that allows  comparative analysis and aggregation across states.
NB. statistically robust, extensive, expensive public surveys are therefore not encouraged at this level. These are more appropriate for measuring Outcome level indicators, where the need for accuracy and objectivity is more critical.
</t>
  </si>
  <si>
    <t xml:space="preserve">Working with their 'civic education' partners, the SAVI state team estimates the percentage of (a) local partners, and (b) state citizens, with an acceptable level of understanding of 'the expected roles and responsibilities of civil society, the media, state houses of assembly, government and citizens in improving voice and accountability'. This is based on their own definition of what is an acceptable level for their own needs, and is calculated through whatever direct or indirect ('proxy') measures they have developed, appropriate to their means as well as to their needs.
A separate percentage score is given for each: (a) and (b):
3.3a. This assessment is carried out using the OCA/PCA tool (on the 'External' environment sheet) scoring each partnership and collating the score into an analysis tool (provided on the 3.3 summary sheet of the M&amp;E Framework) that automatically provides percentage of SAVI local partners level of understanding. It can be at the level of Aware, Permitting, Facilitating, Promoting or Institutlionalising. This percentage score is reported as the performance level of partners.
3.3b. This assessment is conducted by selected Media partners through their Civic Education Programmes' feedback system. A data collection and analysis tool is used by partners to collate iand analyse their feedback showing citizens level of understanding based on their respective sample. SAVI collects these completed sheets from the partners and enters all data into one analysis tool (provided on the 3.3 summary sheet of the M&amp;E Framework) to get the percentage of citizens level of understanding of 'the expected roles and responsibilities of civil society, the media, state houses of assembly, government and citizens in improving voice and accountability'.
The primary purpose of this assessment is for SAVI's partners receiving and providing 'civic education' to reflect on their own performance based on public feedback, and plan their next steps accordingly, to improve their performance against their own measures. Also, for the SAVI state team to then plan how best to support their partners to achieve this improvement.
</t>
  </si>
  <si>
    <t xml:space="preserve">This indicator measures the extent to which SAVI-supported Media partners are capable of supporting state citizens to demand better performance from government and hold government to account. As such it measures a wide range of attributes / capabilities of the Media that contribute to the quality of the public service they provide as agents of voice and accountability. If the Media's role is to inform, educate and entertain, then this indicator is primarily concerned with the first of these 3 functions.
Their capacity is measured against a number of sub-indicators which define the key requirements for effective internal functioning of the Media, the external relations its members need to have with key stakeholders and key players on both the demand and the supply side, and the core programme skills they need to be able to effectively harness their internal capacity and external relations to play their part in strengthening voice and accountability. And all of this is in the context of demonstrating more effective, sustainable and replicable ways of doing it.
• Quality of coverage: refers to provision of public spaces, platforms and mechanisms for diverse groups of citizens to better understand governance issues and processes, make their voices heard and hold their state level representatives and government to account; the provision of balanced, well-informed, evidence-based, constructive reporting and news coverage; other demonstrations of Media professionalism and independence ... all linking with or relating to SAVI-supported activities under Outputs 1 to 5: facilitating public involvement in policy, budget and planning processes.
Their level of capacity against each sub-indicator is measures against the key stages of the process of change, from demonstration through to replication and critical mass of support, as defined by SAVI's broad theory of change.
</t>
  </si>
  <si>
    <r>
      <t>The quality of coverage is measured in respect of the following 19 sub-indicators:
Under</t>
    </r>
    <r>
      <rPr>
        <b/>
        <sz val="9"/>
        <color theme="5" tint="-0.249977111117893"/>
        <rFont val="Arial"/>
        <family val="2"/>
      </rPr>
      <t xml:space="preserve"> Internal Capacity</t>
    </r>
    <r>
      <rPr>
        <sz val="9"/>
        <color theme="5" tint="-0.249977111117893"/>
        <rFont val="Arial"/>
        <family val="2"/>
      </rPr>
      <t xml:space="preserve">:
1. Editorial policy (shared vision, mission, values, beliefs)
2. Strategic plan for the organisation
3. Organisational management structure
4. Integrity: governance and leadership
5. Internal decision-making, communications systems
6. Human resources                                                                                                                                                                                                                                                                                                                7. Physical / technical resources (human, material, etc)                                                                                                                                                                                                   8. Incentives / motivation / commitment
Under </t>
    </r>
    <r>
      <rPr>
        <b/>
        <sz val="9"/>
        <color theme="5" tint="-0.249977111117893"/>
        <rFont val="Arial"/>
        <family val="2"/>
      </rPr>
      <t>External Relations</t>
    </r>
    <r>
      <rPr>
        <sz val="9"/>
        <color theme="5" tint="-0.249977111117893"/>
        <rFont val="Arial"/>
        <family val="2"/>
      </rPr>
      <t>:
1. Strategic relations with the public
2. Strategic relations with fellow-Media &amp; relevant professional bodies / platforms
3. Learning and sharing of best practice linked to promoting what works (generating and managing knowledge).
4. Persuasive and negotiation skills to promote Media profession including networking with broad CS  
5. Relationship with clients (sources of funds): government, commercial, etc, including regulatory bodies 
6. Rights focus                                                                                                                                                                                                                                                                                                             7. Analytical (and quality assurance) skills                                                                                                                                                                                                     
Under</t>
    </r>
    <r>
      <rPr>
        <b/>
        <sz val="9"/>
        <color theme="5" tint="-0.249977111117893"/>
        <rFont val="Arial"/>
        <family val="2"/>
      </rPr>
      <t xml:space="preserve"> Programme Skills</t>
    </r>
    <r>
      <rPr>
        <sz val="9"/>
        <color theme="5" tint="-0.249977111117893"/>
        <rFont val="Arial"/>
        <family val="2"/>
      </rPr>
      <t xml:space="preserve">:
1. Serial / sequential / strategic programme planning
2. Responsiveness to public needs / demands (inclusion, diversity, censorship, prioritisation, editorial independence)
3. Media programme evaluation / public feedback
4. Media advocacy, in-depth analysis and evidence based research, information sourcing (pro-active agenda setting) 
5. Gender equity and inclusive approaches (e.g.: disability; ethnic / religious minority; age, etc).
</t>
    </r>
  </si>
  <si>
    <t xml:space="preserve">SAVI-supported Media partners (collectively or individually) are rated on a level of 1 to 5 on each sub-indicator. These levels are markers / scores, representing incremental changes in the quality of coverage.
Each level is defined by a narrative description of how the Media should look or what it should be able to achieve against each sub-indicator at each stage. These narratives are contained within an 'organisational capacity assessment' (OCA) tool specially designed for Media, which can be used by the SAVI state team to assess the Media and/or by Media professionals in the State themselves, as a basis for self-assessment. This can be self-administered, facilitated or semi-guided by the SAVI state team. As far as possible, some evidence should be provided or cited to justify each score.
In the course of scoring, take note of the following:
• Changes that have occurred, progress that has been made, compared with the last assessment
• Evidence that can be provided / cited to prove this
• Suggestions as to why this change has happened
• Implications for the Media, for SAVI's support
• Recommendations of actions required.                                                                                                                                                                                                                                                                                                                                                                                                   
All 3 scoring sections in the Media-OCA tool are used to assess progress against this output indicator. At the end of the exercise, scores for each sub-indicator in each section are aggregated into a single score for the Media against the output indicator. This score is generated automatically in the final 'charts' sheet of the Media-OCA tool.
The primary purpose of this assessment is for Media professionals in the State to reflect on their progress and plan their next steps accordingly, to improve their performance against each sub-indicator. Also, for the SAVI state team to then plan how best to support these partners in the Media to achieve this improvement.
</t>
  </si>
  <si>
    <t xml:space="preserve">This indicator measures the extent to which the SHoA has established corporate systems for internal human resources development and management.
• These systems include: House development plans, House Service Commission (delinking SHoA staff from the office of the Head of Service), and other pronouncements, rules, regulations, procedures establishing independent human resource systems and independent financial resourcing.
• Quality of these systems: refers to the level to which they have been established and are operational, as well as the extent to which they meet professional standards and key principles of voice and accountability (e.g. to extent to which  recruitment processes are open, competitive, transparent, appropriate and non-discriminating, or promotion is based on competency, compliance to staff performance reviews and in line with procedure for promotion / dismissal).
</t>
  </si>
  <si>
    <r>
      <t>The quality of these systems is measured in respect of the following 4 sub-indicators:
Under</t>
    </r>
    <r>
      <rPr>
        <b/>
        <sz val="9"/>
        <color theme="5" tint="-0.249977111117893"/>
        <rFont val="Arial"/>
        <family val="2"/>
      </rPr>
      <t xml:space="preserve"> Internal SHoA Processes</t>
    </r>
    <r>
      <rPr>
        <sz val="9"/>
        <color theme="5" tint="-0.249977111117893"/>
        <rFont val="Arial"/>
        <family val="2"/>
      </rPr>
      <t xml:space="preserve">:
1. Long term plans for the development of the House 
2. Systems to improve human resource utilization
3. Physical resources that enhance the performance of the House
4. Technical resources that enhance the performance of the House (Good information and KM, Library facilities, LAN, PAS, Media equipment coverage)
</t>
    </r>
  </si>
  <si>
    <r>
      <t xml:space="preserve">The whole House is rated on a level of 1 to 5 on each of the last 4 sub-indicators in the scoring section titled </t>
    </r>
    <r>
      <rPr>
        <b/>
        <sz val="9"/>
        <color theme="5" tint="-0.249977111117893"/>
        <rFont val="Arial"/>
        <family val="2"/>
      </rPr>
      <t>'Internal'</t>
    </r>
    <r>
      <rPr>
        <sz val="9"/>
        <color theme="5" tint="-0.249977111117893"/>
        <rFont val="Arial"/>
        <family val="2"/>
      </rPr>
      <t xml:space="preserve">. These levels are markers / scores, representing incremental changes in the quality of these systems.
Each level is defined by a narrative description of how the House should look or the what it should be able to achieve against each sub-indicator at each stage. These narratives are contained within an 'organisational capacity assessment' (OCA) tool specially designed for SHoAs, which can be used by the SAVI state team to assess the House and/or by staff and members of the House themselves, as a basis for self-assessment. This can be self-administered, facilitated or semi-guided by the SAVI state team. As far as possible, some evidence should be provided or cited to justify each score.
In the course of scoring, take note of the following:
• Changes that have occurred, progress that has been made, compared with the last assessment
• Evidence that can be provided / cited to prove this
• Suggestions as to why this change has happened
• Implications for the House, for SAVI's support
• Recommendations of actions required.                                                                                                                                                                                                                                                                                                                                                                                                   
At the end of the exercise, scores for each sub-indicator are aggregated into a single score for the House against this output indicator. This score is generated automatically in the final 'charts' sheet of the SHoA-OCA tool.
The primary purpose of this assessment is for the staff and members of the House to reflect on their progress and plan their next steps accordingly, to improve their performance against each sub-indicator. Also, for the SAVI state team to then plan how best to support these partners in the House to achieve this improvement.
</t>
    </r>
  </si>
  <si>
    <t xml:space="preserve">This indicator measures the extent to which the SHoA has established corporate systems for the orientation of new Members on their roles and responsibilities as legislators and on the rules and procedures governing how they conduct themselves and their work in the House. It also measures the extent to which the SHoA has established  systems for ensuring their compliance with these.
• These systems include: induction, oversight procedures and application, rules and business, ethics and privileges committee.
• Quality of these systems: refers to the level to which they have been established and are operational, as well as the extent to which they meet professional standards and key principles of voice and accountability (e.g. their practical applicability, realism, appropriateness, enforceability, etc).
</t>
  </si>
  <si>
    <r>
      <t>The quality of these systems is measured in respect of the following 4 sub-indicators:
Under</t>
    </r>
    <r>
      <rPr>
        <b/>
        <sz val="9"/>
        <color theme="5" tint="-0.249977111117893"/>
        <rFont val="Arial"/>
        <family val="2"/>
      </rPr>
      <t xml:space="preserve"> Internal SHoA Processes</t>
    </r>
    <r>
      <rPr>
        <sz val="9"/>
        <color theme="5" tint="-0.249977111117893"/>
        <rFont val="Arial"/>
        <family val="2"/>
      </rPr>
      <t xml:space="preserve">:
1. Constitutional / Legal mandate and powers of the House
2. House standing rules
3. Institutional mechanism for enhancing internal understanding of the constitutional roles of the Legislature
4. Committee structure and management systems
</t>
    </r>
  </si>
  <si>
    <r>
      <t xml:space="preserve">The whole House is rated on a level of 1 to 5 on each of the first 4 sub-indicators in the scoring section titled </t>
    </r>
    <r>
      <rPr>
        <b/>
        <sz val="9"/>
        <color theme="5" tint="-0.249977111117893"/>
        <rFont val="Arial"/>
        <family val="2"/>
      </rPr>
      <t>'Internal</t>
    </r>
    <r>
      <rPr>
        <sz val="9"/>
        <color theme="5" tint="-0.249977111117893"/>
        <rFont val="Arial"/>
        <family val="2"/>
      </rPr>
      <t xml:space="preserve">'. These levels are markers / scores, representing incremental changes in the quality of these systems.
Each level is defined by a narrative description of how the House should look or the what it should be able to achieve against each sub-indicator at each stage. These narratives are contained within an 'organisational capacity assessment' (OCA) tool specially designed for SHoAs, which can be used by the SAVI state team to assess the House and/or by staff and members of the House themselves, as a basis for self-assessment. This can be self-administered, facilitated or semi-guided by the SAVI state team. As far as possible, some evidence should be provided or cited to justify each score.
In the course of scoring, take note of the following:
• Changes that have occurred, progress that has been made, compared with the last assessment
• Evidence that can be provided / cited to prove this
• Suggestions as to why this change has happened
• Implications for the House, for SAVI's support
• Recommendations of actions required.                                                                                                                                                                                                                                                                                                                                                                                                   
At the end of the exercise, scores for each sub-indicator are aggregated into a single score for the House against this output indicator. This score is generated automatically in the final 'charts' sheet of the SHoA-OCA tool.
The primary purpose of this assessment is for the staff and members of the House to reflect on their progress and plan their next steps accordingly, to improve their performance against each sub-indicator. Also, for the SAVI state team to then plan how best to support these partners in the House to achieve this improvement.
</t>
    </r>
  </si>
  <si>
    <t xml:space="preserve">This indicator measures the extent to which the SHoA has established corporate systems for transparency and public engagement, through public access to the workings of the House and to the Members - systems that enable Members to represent and respond to the interests of the general public, and particularly those of their constituencies.
• These systems include: the House website, Hansard, functional library, media office, civil society liaison office, public petition process, public hearings, constituency relations / offices / outreach programme, etc.
• Quality of these systems: refers to the level to which they have been established and are operational, as well as the extent to which they meet professional standards and key principles of voice and accountability (e.g. being timely,  informative, accessible, sensitive and responsive to diverse, marginalised or excluded groups, giving guidance on process / procedure, etc.).
</t>
  </si>
  <si>
    <r>
      <t xml:space="preserve">The quality of these systems is measured in respect of the following 7 sub-indicators:
Under </t>
    </r>
    <r>
      <rPr>
        <b/>
        <sz val="9"/>
        <color theme="5" tint="-0.249977111117893"/>
        <rFont val="Arial"/>
        <family val="2"/>
      </rPr>
      <t>External SHoA Relations</t>
    </r>
    <r>
      <rPr>
        <sz val="9"/>
        <color theme="5" tint="-0.249977111117893"/>
        <rFont val="Arial"/>
        <family val="2"/>
      </rPr>
      <t xml:space="preserve">:
1. Public access to House proceedings and committee work (transparency)
2. Constituency engagement (level of engagement with constituencies and constituents' understanding of the role of the House and representative) 
3. SHoA engagements with CS and Media
4. Information and knowledge management (documentation and sharing of information and learning)
5. Fundamental human rights, gender and social inclusion
6. System of engagement with other arms of government
7. SHoA engagement with the NASS and other SHoA
</t>
    </r>
  </si>
  <si>
    <r>
      <t xml:space="preserve">The whole House is rated on a level of 1 to 5 on each sub-indicator in the scoring section titled </t>
    </r>
    <r>
      <rPr>
        <b/>
        <sz val="9"/>
        <color theme="5" tint="-0.249977111117893"/>
        <rFont val="Arial"/>
        <family val="2"/>
      </rPr>
      <t>'External'</t>
    </r>
    <r>
      <rPr>
        <sz val="9"/>
        <color theme="5" tint="-0.249977111117893"/>
        <rFont val="Arial"/>
        <family val="2"/>
      </rPr>
      <t xml:space="preserve">. These levels are markers / scores, representing incremental changes in the quality of these systems.
Each level is defined by a narrative description of how the House should look or the what it should be able to achieve against each sub-indicator at each stage. These narratives are contained within an 'organisational capacity assessment' (OCA) tool specially designed for SHoAs, which can be used by the SAVI state team to assess the House and/or by staff and members of the House themselves, as a basis for self-assessment. This can be self-administered, facilitated or semi-guided by the SAVI state team. As far as possible, some evidence should be provided or cited to justify each score.
In the course of scoring, take note of the following:
• Changes that have occurred, progress that has been made, compared with the last assessment
• Evidence that can be provided / cited to prove this
• Suggestions as to why this change has happened
• Implications for the House, for SAVI's support
• Recommendations of actions required.                                                                                                                                                                                                                                                                                                                                                                                                   
At the end of the exercise, scores for each sub-indicator are aggregated into a single score for the House against this output indicator. This score is generated automatically in the final 'charts' sheet of the SHoA-OCA tool.
The primary purpose of this assessment is for the staff and members of the House to reflect on their progress and plan their next steps accordingly, to improve their performance against each sub-indicator. Also, for the SAVI state team to then plan how best to support these partners in the House to achieve this improvement.
</t>
    </r>
  </si>
  <si>
    <t xml:space="preserve">This indicator measures the extent to which the SHoA has established corporate systems for financial oversight, to enable the House to perform its oversight function.
• These systems include: Legislative Budget &amp; Research Office (LBRO), Committee Secretaries, Legislative Aides capable of supporting key House Committees (i.e. the Appropriations Committee, Public Accounts Committee and Finance Committee) and other systems that support these Committees to independently carry out their responsibilities and ensure that they are responsive to public priorities.
• Quality of these systems: refers to the level to which they have been established and are operational, as well as the extent to which they meet professional standards and key principles of voice and accountability (e.g. their timeliness, the availability and accessibility of information, the rigour of scrutiny, their awareness and responsiveness to issues of gender and social inclusion, etc).
</t>
  </si>
  <si>
    <r>
      <t xml:space="preserve">The quality of these systems is measured in respect of the following 10 sub-indicators:
Under </t>
    </r>
    <r>
      <rPr>
        <b/>
        <sz val="9"/>
        <color theme="5" tint="-0.249977111117893"/>
        <rFont val="Arial"/>
        <family val="2"/>
      </rPr>
      <t>SHoA Oversight Functions</t>
    </r>
    <r>
      <rPr>
        <sz val="9"/>
        <color theme="5" tint="-0.249977111117893"/>
        <rFont val="Arial"/>
        <family val="2"/>
      </rPr>
      <t xml:space="preserve">:
1. SHoA capacity for financial and audit analysis 
2. Scope of scrutinising annual and supplementary budget proposals
3. Procedures for approving the annual budget  
4. Monitoring of grants and other multilateral funds 
5. House procedures / role in approving in-year budget amendments / virement 
6. House procedures for scrutiny of auditor general reports
7. SHoA financial autonomy / internal budget scrutiny and management
8. Requests and review of regular in-year budget performance reports from MDAs
9. Monitoring compliance of state policies, laws and legislative instruments (motions and resolutions)
10. Tracking and validation of implementation of budgets at service delivery units (oversight)
</t>
    </r>
  </si>
  <si>
    <r>
      <t xml:space="preserve">The whole House is rated on a level of 1 to 5 on each sub-indicator in the scoring section titled </t>
    </r>
    <r>
      <rPr>
        <b/>
        <sz val="9"/>
        <color theme="5" tint="-0.249977111117893"/>
        <rFont val="Arial"/>
        <family val="2"/>
      </rPr>
      <t>'Oversight'</t>
    </r>
    <r>
      <rPr>
        <sz val="9"/>
        <color theme="5" tint="-0.249977111117893"/>
        <rFont val="Arial"/>
        <family val="2"/>
      </rPr>
      <t xml:space="preserve">. These levels are markers / scores, representing incremental changes in the quality of these systems.
Each level is defined by a narrative description of how the House should look or the what it should be able to achieve against each sub-indicator at each stage. These narratives are contained within an 'organisational capacity assessment' (OCA) tool specially designed for SHoAs, which can be used by the SAVI state team to assess the House and/or by staff and members of the House themselves, as a basis for self-assessment. This can be self-administered, facilitated or semi-guided by the SAVI state team. As far as possible, some evidence should be provided or cited to justify each score.
In the course of scoring, take note of the following:
• Changes that have occurred, progress that has been made, compared with the last assessment
• Evidence that can be provided / cited to prove this
• Suggestions as to why this change has happened
• Implications for the House, for SAVI's support
• Recommendations of actions required.                                                                                                                                                                                                                                                                                                                                                                                                   
At the end of the exercise, scores for each sub-indicator are aggregated into a single score for the House against this output indicator. This score is generated automatically in the final 'charts' sheet of the SHoA-OCA tool.
The primary purpose of this assessment is for the staff and members of the House to reflect on their progress and plan their next steps accordingly, to improve their performance against each sub-indicator. Also, for the SAVI state team to then plan how best to support these partners in the House to achieve this improvement.
</t>
    </r>
  </si>
  <si>
    <t xml:space="preserve">This indicator measures the extent to which the approaches being taken by SAVI's partners in the SHoA to improve systems of transparency, public engagement and financial oversight are being adopted, adapted &amp; applied by others in the same House and in other Houses in other states.
It measures the extent therefore of 'replication' of the approaches being demonstrated, and on two levels:
a). the extent of adoption, adaptation and application within the same House by other House Committees.
b). the extent of adoption, adaptation and application within other States by other State Houses.
This is measured both in terms of the total number of House Committees and State Houses that are replicating the demonstrated approaches, and in terms of how much (i.e. how many key aspects) of it they have adopted, adapted and applied towards improving their own systems.
These 'key aspects' are defined in the context of SAVI's broad theory of change: they are the key broad steps that constitute the approach under Output 4 at each key stage. Replication can therefore be measured as 'weak', 'fair', 'good' or 'strong' depending on the number of key broad steps adopted, adapted and applied by each additional House Committee or State House.
</t>
  </si>
  <si>
    <r>
      <t xml:space="preserve">The key broad steps that constitute the demonstrated approach at each key stage (based on the learning to date from across all the SAVI-supported states) are:
Under </t>
    </r>
    <r>
      <rPr>
        <b/>
        <sz val="9"/>
        <color theme="5" tint="-0.249977111117893"/>
        <rFont val="Arial"/>
        <family val="2"/>
      </rPr>
      <t>Stage 1</t>
    </r>
    <r>
      <rPr>
        <sz val="9"/>
        <color theme="5" tint="-0.249977111117893"/>
        <rFont val="Arial"/>
        <family val="2"/>
      </rPr>
      <t xml:space="preserve"> (getting their house in order):
1. fostering collective understanding &amp; appreciation within the House of its civic role/mandate/duty to the public.
2. working to increase the financial and administrative autonomy of the House from the Executive's control.
3. facilitating public access to the House, its members and its public proceedings: being open, transparent, inclusive.
4. engaging state budget and planning processes in pursuit of the interests of the members constituencies.
Under </t>
    </r>
    <r>
      <rPr>
        <b/>
        <sz val="9"/>
        <color theme="5" tint="-0.249977111117893"/>
        <rFont val="Arial"/>
        <family val="2"/>
      </rPr>
      <t>Stage 2</t>
    </r>
    <r>
      <rPr>
        <sz val="9"/>
        <color theme="5" tint="-0.249977111117893"/>
        <rFont val="Arial"/>
        <family val="2"/>
      </rPr>
      <t xml:space="preserve"> (building triangular demand-side relations):
1. building working relations with counterparts in other SHoAs, the NASS and central MDAs of state government.
2. building working relations with CS
3. building working relations with the Media
4. building relations with members constituencies
Under</t>
    </r>
    <r>
      <rPr>
        <b/>
        <sz val="9"/>
        <color theme="5" tint="-0.249977111117893"/>
        <rFont val="Arial"/>
        <family val="2"/>
      </rPr>
      <t xml:space="preserve"> Stage 3</t>
    </r>
    <r>
      <rPr>
        <sz val="9"/>
        <color theme="5" tint="-0.249977111117893"/>
        <rFont val="Arial"/>
        <family val="2"/>
      </rPr>
      <t xml:space="preserve"> (constructive engagement with govt):
1. facilitating public participation in policy formulation and monitoring, through public hearings, public petitions, etc
2. building working relations with sectoral MDAs on budget and planning to reflect/pursue constituency needs
3. working in partnership with citizens, CS, Media and key Govt MDAs to assess budget performance and influence future 'call circulars' in the interests of the public
4. challenging the Executive to allow the House to perform its public function and fulfil its mandate to the required level of professionalism.
</t>
    </r>
  </si>
  <si>
    <r>
      <t xml:space="preserve">The SAVI state team counts: a). the total number of House Committees within their own State House, including those originally demonstrating the approaches; and separately b). the total number of State Houses, including their own State House, that are actively improving their systems based on approaches originally demonstrated with SAVI's support.
Each additional House Committee and State House is then assessed on how many key aspects of the demonstrated approaches they have adopted, adapted and applied towards improving their own systems:
any 1-2 = no replication of the approach
any 3-4 = weak replication of the approach
any 5-6 = fair replication of the approach
any 7-8 = good replication of the approach
any 9-10 = strong replication of the approach
all 11-12 = complete replication of the approach
Only those House Committees and State Houses that  score more than 4 out of 12 on 'replication of the approach' (i.e. 'fair' or better) can then be counted as truly qualified to meet the requirements of this indicator.
This number is 'cumulative': i.e. it is the total count from the beginning of the SAVI programme to date (and </t>
    </r>
    <r>
      <rPr>
        <u/>
        <sz val="9"/>
        <color theme="5" tint="-0.249977111117893"/>
        <rFont val="Arial"/>
        <family val="2"/>
      </rPr>
      <t>not</t>
    </r>
    <r>
      <rPr>
        <sz val="9"/>
        <color theme="5" tint="-0.249977111117893"/>
        <rFont val="Arial"/>
        <family val="2"/>
      </rPr>
      <t xml:space="preserve"> just the count for the quarter or reporting period in question).
A separate score (total) is given for each: a) and b).
All qualified examples are listed and evidenced in the Replication Diary of the M&amp;E Framework.
It may not be possible for the SAVI state team to make this assessment without consulting their Output 4 partners in the SHoA. The primary purpose of this assessment is for these partners to reflect on the extent to which they are supporting replication of the approaches they are demonstrating to others within their own House and to Houses in other States, and to collectively plan how to improve on this. Also, for the SAVI state team to then plan how best to support their partners under Output 4 to achieve this improvement.
</t>
    </r>
  </si>
  <si>
    <r>
      <t xml:space="preserve">This indicator measures the extent to which SAVI has successfully shared its learning (i.e. key aspects of our approach), and that of its local partners in SHoA, CS and the Media, with other development partners facing similar development challenges. In view of SAVI’s higher-level objectives (Impact &amp; Super-Impact), the principle targets are therefore </t>
    </r>
    <r>
      <rPr>
        <u/>
        <sz val="9"/>
        <color theme="5" tint="-0.249977111117893"/>
        <rFont val="Arial"/>
        <family val="2"/>
      </rPr>
      <t>individuals</t>
    </r>
    <r>
      <rPr>
        <sz val="9"/>
        <color theme="5" tint="-0.249977111117893"/>
        <rFont val="Arial"/>
        <family val="2"/>
      </rPr>
      <t xml:space="preserve"> working in other development programmes/projects to strengthen voice and accountability in Nigeria.
Other 'development partners' in this context means </t>
    </r>
    <r>
      <rPr>
        <u/>
        <sz val="9"/>
        <color theme="5" tint="-0.249977111117893"/>
        <rFont val="Arial"/>
        <family val="2"/>
      </rPr>
      <t>individuals</t>
    </r>
    <r>
      <rPr>
        <sz val="9"/>
        <color theme="5" tint="-0.249977111117893"/>
        <rFont val="Arial"/>
        <family val="2"/>
      </rPr>
      <t xml:space="preserve"> working in a wide range of donor organisations, donor-funded programmes and projects, and governmental agencies that relate with donor programmes (all at state, national and international levels) that are supporting, developing or influencing programmes with voice/empowerment and accountability components. For example:
</t>
    </r>
    <r>
      <rPr>
        <u/>
        <sz val="9"/>
        <color theme="5" tint="-0.249977111117893"/>
        <rFont val="Arial"/>
        <family val="2"/>
      </rPr>
      <t>Advocacy Targets:</t>
    </r>
    <r>
      <rPr>
        <sz val="9"/>
        <color theme="5" tint="-0.249977111117893"/>
        <rFont val="Arial"/>
        <family val="2"/>
      </rPr>
      <t xml:space="preserve">
• other DFID-funded programmes in Nigeria: SPARC, ESSPIN, PATHS2, GEMS, J4A, C4C, ENABLE, PRRINN-MNCH, ENR, SuNMaP, PROPCOM+, M4D, V4C, etc, including IMEP. 
• development programmes and projects funded and/or managed by regional, national and international NGOs working in Nigeria: e.g. ActionAid, CDD, CISLAC, PLAC, HERFON, CSACEFA, Ford Foundation, MacArthur Foundation, Gates Foundation, etc.
• development programmes in Nigeria funded by other international donors: UNDP, UNICEF, World Bank, EU, USAID, NORAID, Save The Children, etc.
</t>
    </r>
    <r>
      <rPr>
        <u/>
        <sz val="9"/>
        <color theme="5" tint="-0.249977111117893"/>
        <rFont val="Arial"/>
        <family val="2"/>
      </rPr>
      <t>Key Influencers:</t>
    </r>
    <r>
      <rPr>
        <sz val="9"/>
        <color theme="5" tint="-0.249977111117893"/>
        <rFont val="Arial"/>
        <family val="2"/>
      </rPr>
      <t xml:space="preserve">
• development agencies and programmes funded by Nigerian States and by the Federal Government of Nigeria, including the National and State Planning Commissions and committees within the National and State Houses of Assembly.
• Media houses and programmes that debate development issues and the role of development partners in state and national development.
• DFID – key individuals/groups in DFID state offices, national office, and UK offices.
• service providers (e.g. GRM, ITAD, HTS, OPM, Cambridge Education, ASI, Coffey) and short-term inter/national TA employed in programme design and implementation.
• other international donors with programmes and projects in Nigeria: UNDP, UNICEF, World Bank, EU, USAID, NORAID, Save The Children, etc.
• academics and think-tanks shaping donors’, service providers’ and programme managers’ thinking and practice globally on citizen empowerment and accountability.
• DFID-funded and other donor-funded programmes in neighbouring countries and worldwide: again, primarily working on citizen empowerment and accountability.
</t>
    </r>
  </si>
  <si>
    <r>
      <rPr>
        <b/>
        <i/>
        <sz val="9"/>
        <color theme="5" tint="-0.249977111117893"/>
        <rFont val="Arial"/>
      </rPr>
      <t xml:space="preserve">Definition Continued: 
 </t>
    </r>
    <r>
      <rPr>
        <sz val="9"/>
        <color theme="5" tint="-0.249977111117893"/>
        <rFont val="Arial"/>
        <family val="2"/>
      </rPr>
      <t xml:space="preserve">Learning may be shared directly or indirectly, through SAVI state teams, the SAVI national team, SAVI consortium partners, or passed on by any of the above-mentioned targets. 
Success under this indicator means that our learning/approach has not just been </t>
    </r>
    <r>
      <rPr>
        <u/>
        <sz val="9"/>
        <color theme="5" tint="-0.249977111117893"/>
        <rFont val="Arial"/>
        <family val="2"/>
      </rPr>
      <t>shared</t>
    </r>
    <r>
      <rPr>
        <sz val="9"/>
        <color theme="5" tint="-0.249977111117893"/>
        <rFont val="Arial"/>
        <family val="2"/>
      </rPr>
      <t xml:space="preserve"> but has also been </t>
    </r>
    <r>
      <rPr>
        <u/>
        <sz val="9"/>
        <color theme="5" tint="-0.249977111117893"/>
        <rFont val="Arial"/>
        <family val="2"/>
      </rPr>
      <t>relevant</t>
    </r>
    <r>
      <rPr>
        <sz val="9"/>
        <color theme="5" tint="-0.249977111117893"/>
        <rFont val="Arial"/>
        <family val="2"/>
      </rPr>
      <t xml:space="preserve"> and </t>
    </r>
    <r>
      <rPr>
        <u/>
        <sz val="9"/>
        <color theme="5" tint="-0.249977111117893"/>
        <rFont val="Arial"/>
        <family val="2"/>
      </rPr>
      <t>useful</t>
    </r>
    <r>
      <rPr>
        <sz val="9"/>
        <color theme="5" tint="-0.249977111117893"/>
        <rFont val="Arial"/>
        <family val="2"/>
      </rPr>
      <t xml:space="preserve"> to another development partner, to the extent that an individual within a targeted organisation has adopted, adapted and applied a key aspect/s of the approach into their working practices. The emphasis of measurement here is therefore on the ‘uptake’ of the learning by targeted individuals (‘change champions’).
</t>
    </r>
    <r>
      <rPr>
        <b/>
        <i/>
        <sz val="9"/>
        <color theme="5" tint="-0.249977111117893"/>
        <rFont val="Arial"/>
      </rPr>
      <t xml:space="preserve">Sub-Indicators: 
</t>
    </r>
    <r>
      <rPr>
        <sz val="9"/>
        <color theme="5" tint="-0.249977111117893"/>
        <rFont val="Arial"/>
        <family val="2"/>
      </rPr>
      <t xml:space="preserve">Based on the key stages in the influencing process (defined at the beginning of Section 4 above), ‘uptake’ of our learning/approach by targeted individuals (potential ‘change champions’) can be measured on five distinct levels:
1. </t>
    </r>
    <r>
      <rPr>
        <b/>
        <sz val="9"/>
        <color theme="5" tint="-0.249977111117893"/>
        <rFont val="Arial"/>
        <family val="2"/>
      </rPr>
      <t>Individual awareness</t>
    </r>
    <r>
      <rPr>
        <sz val="9"/>
        <color theme="5" tint="-0.249977111117893"/>
        <rFont val="Arial"/>
        <family val="2"/>
      </rPr>
      <t xml:space="preserve"> – which can be defined as awareness of SAVI doing things differently by an individual in another organisation.
2.</t>
    </r>
    <r>
      <rPr>
        <b/>
        <sz val="9"/>
        <color theme="5" tint="-0.249977111117893"/>
        <rFont val="Arial"/>
        <family val="2"/>
      </rPr>
      <t xml:space="preserve"> Expression of interest </t>
    </r>
    <r>
      <rPr>
        <sz val="9"/>
        <color theme="5" tint="-0.249977111117893"/>
        <rFont val="Arial"/>
        <family val="2"/>
      </rPr>
      <t xml:space="preserve">– which can be defined as that individual expressing interest to learn more about how SAVI does things differently.
3. </t>
    </r>
    <r>
      <rPr>
        <b/>
        <sz val="9"/>
        <color theme="5" tint="-0.249977111117893"/>
        <rFont val="Arial"/>
        <family val="2"/>
      </rPr>
      <t xml:space="preserve">Active participation </t>
    </r>
    <r>
      <rPr>
        <sz val="9"/>
        <color theme="5" tint="-0.249977111117893"/>
        <rFont val="Arial"/>
        <family val="2"/>
      </rPr>
      <t xml:space="preserve">– which can be defined as that individual actively participating to learn more about how SAVI does things differently.
4. </t>
    </r>
    <r>
      <rPr>
        <b/>
        <sz val="9"/>
        <color theme="5" tint="-0.249977111117893"/>
        <rFont val="Arial"/>
        <family val="2"/>
      </rPr>
      <t>Plans to apply</t>
    </r>
    <r>
      <rPr>
        <sz val="9"/>
        <color theme="5" tint="-0.249977111117893"/>
        <rFont val="Arial"/>
        <family val="2"/>
      </rPr>
      <t xml:space="preserve"> – which can be defined as that individual making plans to apply the learning within their own organisation.
5. </t>
    </r>
    <r>
      <rPr>
        <b/>
        <sz val="9"/>
        <color theme="5" tint="-0.249977111117893"/>
        <rFont val="Arial"/>
        <family val="2"/>
      </rPr>
      <t>Attempts to apply</t>
    </r>
    <r>
      <rPr>
        <sz val="9"/>
        <color theme="5" tint="-0.249977111117893"/>
        <rFont val="Arial"/>
        <family val="2"/>
      </rPr>
      <t xml:space="preserve"> – which can be defined as that individual making attempts to apply the learning within their own organisation.
These sub-indicators are comparable to the incremental levels of 1 to 5 in an OCA or PCA tool, where 'awareness' would be level 1, 'expression of interest' would be level 2, 'active participation' would be level 3, and so on, up to 'attempts to apply' which would be level 5. The simple narrative description is used here in preference to a number/index because this is possible, whereas in the OCA or PCA it is not because the criteria are more complex.
</t>
    </r>
  </si>
  <si>
    <r>
      <rPr>
        <b/>
        <i/>
        <sz val="9"/>
        <color theme="5" tint="-0.249977111117893"/>
        <rFont val="Arial"/>
      </rPr>
      <t>Sub-Indicators Continued:</t>
    </r>
    <r>
      <rPr>
        <b/>
        <sz val="9"/>
        <color theme="5" tint="-0.249977111117893"/>
        <rFont val="Arial"/>
        <family val="2"/>
      </rPr>
      <t xml:space="preserve">
</t>
    </r>
    <r>
      <rPr>
        <sz val="9"/>
        <color theme="5" tint="-0.249977111117893"/>
        <rFont val="Arial"/>
        <family val="2"/>
      </rPr>
      <t xml:space="preserve">Progress is expected to be linear, progressing from level 1 to level 5 through each of the 3 levels in between. ‘Jumping' levels, e.g. progressing from level 2 to level 4 without achieving level 3, is possible but not advisable: for an individual to “plan to apply” learning without having had “active participation” in the process (whether through involvement in the activities of SAVI staff and their partners, or through inviting SAVI staff or partners to participate in their own activities) is less likely to result in a successful “attempt to apply” that learning than for an individual that has – experience is the best teacher. However, the process of uptake is not entirely within our controls. Thus, if an individual does jump a level, we should still recognise this and record it as a result.
</t>
    </r>
    <r>
      <rPr>
        <i/>
        <sz val="9"/>
        <color theme="5" tint="-0.249977111117893"/>
        <rFont val="Arial"/>
      </rPr>
      <t xml:space="preserve">
</t>
    </r>
    <r>
      <rPr>
        <b/>
        <i/>
        <sz val="9"/>
        <color theme="5" tint="-0.249977111117893"/>
        <rFont val="Arial"/>
      </rPr>
      <t>Criteria for Assessment / Scoring System:</t>
    </r>
    <r>
      <rPr>
        <b/>
        <sz val="9"/>
        <color theme="5" tint="-0.249977111117893"/>
        <rFont val="Arial"/>
        <family val="2"/>
      </rPr>
      <t xml:space="preserve">
</t>
    </r>
    <r>
      <rPr>
        <sz val="9"/>
        <color theme="5" tint="-0.249977111117893"/>
        <rFont val="Arial"/>
        <family val="2"/>
      </rPr>
      <t xml:space="preserve">Each SAVI team counts the total number of individuals (working in development partner organisations) that qualify at each level, based on the above criteria. Only levels 2 to 5 are considered. Level 1 does not constitute ‘uptake’ of our learning/approach, though it is an important stage in the process. The count is either a 'yes' or a 'no' for each level – there are no half measures – an uptake of learning either qualifies or doesn’t, based on the SAVI team’s own judgement using the above criteria. Clear evidence must be provided to support each count. This total number is 'cumulative': i.e. it is the total count from the beginning of the SAVI programme to date, and not just the count for the quarter or reporting period in question. All qualified examples are listed and evidenced in the Replication Diary of the M&amp;E Framework.
The primary purpose of this evidence-based count (and that of Indicator 5.2 below) is for each SAVI team to reflect on their progress against this indicator and plan their next steps accordingly, to improve on their performance. Also, to draw out lessons from this process, of what approaches to sharing lessons learnt with other development partners work, what don't, and why. This may be through reflection within a SAVI state team or component team, or cross-state and cross component reflection, or through cross-programme reflection with other development partners. Such reflections serve as a key source of evidence for this indicator.
</t>
    </r>
    <r>
      <rPr>
        <u/>
        <sz val="9"/>
        <color theme="5" tint="-0.249977111117893"/>
        <rFont val="Arial"/>
        <family val="2"/>
      </rPr>
      <t>Primary Source:</t>
    </r>
    <r>
      <rPr>
        <sz val="9"/>
        <color theme="5" tint="-0.249977111117893"/>
        <rFont val="Arial"/>
        <family val="2"/>
      </rPr>
      <t xml:space="preserve"> Given the inherent challenges of gathering information from other development partners on this indicator, the principle source of evidence for each result reported is the SAVI team’s ‘replication diary’. This so-called diary captures both the result (stage of replication) and, very importantly, the story (process) of how the result was achieved: how SAVI staff and/or partners were able to influence the process of uptake by individuals working in other development partner organisations (i.e. evidence of attribution to SAVI). 
</t>
    </r>
  </si>
  <si>
    <r>
      <t xml:space="preserve">This indicator measures the extent to which SAVI's support to ‘other development partners to access relevant and useful lessons learnt by SAVI’ have a demonstrable influence on the way they work as individuals within their own organisation, at least in terms of </t>
    </r>
    <r>
      <rPr>
        <u/>
        <sz val="9"/>
        <color theme="5" tint="-0.249977111117893"/>
        <rFont val="Arial"/>
        <family val="2"/>
      </rPr>
      <t>how they intend to or attempt to</t>
    </r>
    <r>
      <rPr>
        <sz val="9"/>
        <color theme="5" tint="-0.249977111117893"/>
        <rFont val="Arial"/>
        <family val="2"/>
      </rPr>
      <t xml:space="preserve"> strengthen voice/empowerment and accountability. SAVI cannot be held directly responsible for how well they fulfil their intention or plans – i.e. whether they 'replicate' or 'scale-up' the approach effectively. This is determined by many factors that are outside of SAVI’s control. SAVI does not train, coach or mentor other development partners the way it does its own staff and local programme partners. The limit of SAVI's influence on other development partners is to raise their awareness and support their uptake of our learning/approach – i.e. adoption, adaptation and application, but not impact.
The focus of measurement here is evidence of other development partner organisations' acknowledgement, and ultimately their conviction, that </t>
    </r>
    <r>
      <rPr>
        <u/>
        <sz val="9"/>
        <color theme="5" tint="-0.249977111117893"/>
        <rFont val="Arial"/>
        <family val="2"/>
      </rPr>
      <t>things need to be done differently</t>
    </r>
    <r>
      <rPr>
        <sz val="9"/>
        <color theme="5" tint="-0.249977111117893"/>
        <rFont val="Arial"/>
        <family val="2"/>
      </rPr>
      <t xml:space="preserve"> for them to take a more sustainable and replicable approach to strengthening and voice/ empowerment and accountability. Success under this indicator means that individuals in other development partner organisations are increasingly being supported by their own organisations to apply a key aspect/s of our learning/approach. The emphasis of measurement here is therefore on ‘uptake’ by the organisation.
Progress under this indicator is seen as a continuation of the progress recorded under Output Indicator 5.1. Our understanding of how our learning/approach is taken up by other organisations is that this usually stems first from update by individuals. These two indicators could be taken together, therefore, as a scale of 1 to 10.
</t>
    </r>
    <r>
      <rPr>
        <b/>
        <i/>
        <sz val="9"/>
        <color theme="5" tint="-0.249977111117893"/>
        <rFont val="Arial"/>
      </rPr>
      <t>Sub-Indicators Continued:</t>
    </r>
    <r>
      <rPr>
        <sz val="9"/>
        <color theme="5" tint="-0.249977111117893"/>
        <rFont val="Arial"/>
        <family val="2"/>
      </rPr>
      <t xml:space="preserve">
… or any comparable examples that constitute a 'policy' statement of intent by any other development partner organisation. It should be noted from this list that SAVI places as much if not more emphasis on the targeting of new programmes as of existing programmes. It should also be noted from this list that 'activity reports' by and 'email correspondence' with individuals working in other development partner organisations do not constitute ‘firm commitments’ in the context of this indicator.
</t>
    </r>
  </si>
  <si>
    <r>
      <t xml:space="preserve">Based on the key stages in the influencing process (defined at the beginning of Section 4 above), ‘uptake’ of our learning/approach by targeted organisations (through ‘change champions’) can be measured on five distinct levels:
1. </t>
    </r>
    <r>
      <rPr>
        <b/>
        <sz val="9"/>
        <color theme="5" tint="-0.249977111117893"/>
        <rFont val="Arial"/>
        <family val="2"/>
      </rPr>
      <t>Organisational awareness</t>
    </r>
    <r>
      <rPr>
        <sz val="9"/>
        <color theme="5" tint="-0.249977111117893"/>
        <rFont val="Arial"/>
        <family val="2"/>
      </rPr>
      <t xml:space="preserve"> – which can be defined as awareness of individuals doing things differently within their own organisation.
2. </t>
    </r>
    <r>
      <rPr>
        <b/>
        <sz val="9"/>
        <color theme="5" tint="-0.249977111117893"/>
        <rFont val="Arial"/>
        <family val="2"/>
      </rPr>
      <t>‘Permitted’ uptake</t>
    </r>
    <r>
      <rPr>
        <sz val="9"/>
        <color theme="5" tint="-0.249977111117893"/>
        <rFont val="Arial"/>
        <family val="2"/>
      </rPr>
      <t xml:space="preserve"> – which can be defined as individuals being given permission to do things differently in their organisation.
3. </t>
    </r>
    <r>
      <rPr>
        <b/>
        <sz val="9"/>
        <color theme="5" tint="-0.249977111117893"/>
        <rFont val="Arial"/>
        <family val="2"/>
      </rPr>
      <t xml:space="preserve">'Facilitated' uptake </t>
    </r>
    <r>
      <rPr>
        <sz val="9"/>
        <color theme="5" tint="-0.249977111117893"/>
        <rFont val="Arial"/>
        <family val="2"/>
      </rPr>
      <t xml:space="preserve">– which can be defined as individuals being facilitated to do things differently in their organisation (i.e. given support by other individuals: additional human, financial, technical resources).
4. </t>
    </r>
    <r>
      <rPr>
        <b/>
        <sz val="9"/>
        <color theme="5" tint="-0.249977111117893"/>
        <rFont val="Arial"/>
        <family val="2"/>
      </rPr>
      <t xml:space="preserve">'Promoted' uptake </t>
    </r>
    <r>
      <rPr>
        <sz val="9"/>
        <color theme="5" tint="-0.249977111117893"/>
        <rFont val="Arial"/>
        <family val="2"/>
      </rPr>
      <t>– which can be defined as promotion of the things individuals are doing differently within their organisation.
5.</t>
    </r>
    <r>
      <rPr>
        <b/>
        <sz val="9"/>
        <color theme="5" tint="-0.249977111117893"/>
        <rFont val="Arial"/>
        <family val="2"/>
      </rPr>
      <t xml:space="preserve"> 'Institutionalised' uptake</t>
    </r>
    <r>
      <rPr>
        <sz val="9"/>
        <color theme="5" tint="-0.249977111117893"/>
        <rFont val="Arial"/>
        <family val="2"/>
      </rPr>
      <t xml:space="preserve"> – which can be defined as institutionalisation of the things that individual is doing differently within their organisation (i.e. informally or formally it becomes a normal way of working).
These sub-indicators are comparable to the incremental levels of 1 to 5 in an OCA or PCA tool, where 'Awareness' would be level 1, 'Permitted' uptake would be level 2, 'Facilitated' uptake would be level 3, and so on, up to 'Institutionalised' uptake which would be level 5. The simple narrative description is used here in preference to a number/index because this is possible, whereas in the OCA or PCA it is not because the criteria are more complex.
The fifth and final level (ultimate key stage) of the influencing process can be characterised by 'firm commitments' that constitute a 'policy' statement of intent – conscious attempts to ‘institutionalise’ the learning/approach emanating from SAVI – of the following types:
• the actions of a significant number of individuals within another development partner organisation, demonstrating a collective commitment to apply the learning/approach
• strategic approach papers and programme workplans 
• position papers influencing programme policy debate and/or programme design
• business cases for new programmes / programme extensions
• concept notes for new programmes
• project memoranda for new programmes
• programme inception reports outlining future strategic direction
• key programme documentation: quarterly and annual reports
• annual review reports and recommendations
</t>
    </r>
  </si>
  <si>
    <r>
      <rPr>
        <b/>
        <i/>
        <sz val="9"/>
        <color theme="5" tint="-0.249977111117893"/>
        <rFont val="Arial"/>
      </rPr>
      <t xml:space="preserve">Sub-Indicators Continued:
</t>
    </r>
    <r>
      <rPr>
        <sz val="9"/>
        <color theme="5" tint="-0.249977111117893"/>
        <rFont val="Arial"/>
        <family val="2"/>
      </rPr>
      <t xml:space="preserve">In the same way as Output Indicator 5.1 above, progress against this indicator is expected to be linear, progressing from level 1 to level 5 through each of the 3 levels in between. ‘Jumping' levels, e.g. progressing from level 2 to level 4 without achieving level 3, is possible but not advisable: for an organisation to “promote uptake” within their own organization to other units/teams (and possibly then also to other organisations) without having first “facilitated uptake” by supporting some staff in their own organization to try it out, and learn how it works best in their own context, is less likely to result in a successful “institutionalisation” – adaptation to their own needs and strengths and constraints is very important. However, the process of organizational uptake is beyond our controls. Thus, if an organisation does jump a level, we should still recognise this and record it as a result.
</t>
    </r>
    <r>
      <rPr>
        <b/>
        <i/>
        <sz val="9"/>
        <color theme="5" tint="-0.249977111117893"/>
        <rFont val="Arial"/>
      </rPr>
      <t xml:space="preserve">Criteria for Assessment / Scoring System:
</t>
    </r>
    <r>
      <rPr>
        <sz val="9"/>
        <color theme="5" tint="-0.249977111117893"/>
        <rFont val="Arial"/>
        <family val="2"/>
      </rPr>
      <t xml:space="preserve">Each SAVI team counts the total number of ‘firm commitments’ made by other development partner organisations that qualify at each level, based on the above criteria. Only levels 2 to 5 are considered. Level 1 does not constitute a firm commitment, though it is an important stage in the process of uptake. The count is either a 'yes' or a 'no' for each level – there are no half measures – a commitment either qualifies or doesn’t, based on the SAVI team’s own judgement using the above criteria. Clear evidence must be provided to support each count at each level. All qualified examples are listed and evidenced in the Replication Diary of the M&amp;E Framework.
As the level of commitment by an organisation increases, it counts at multiple levels (i.e. at level 2, or levels 2 &amp; 3, or levels 2, 3 &amp; 4, or levels 2, 3, 4 &amp; 5 – assuming that no level has been jumped by the organisation). This total count at each level is also 'cumulative': i.e. it is the total count from the beginning of the SAVI programme to date, and not just the count for the quarter or reporting period in question.
</t>
    </r>
    <r>
      <rPr>
        <u/>
        <sz val="9"/>
        <color theme="5" tint="-0.249977111117893"/>
        <rFont val="Arial"/>
        <family val="2"/>
      </rPr>
      <t>Primary Source:</t>
    </r>
    <r>
      <rPr>
        <sz val="9"/>
        <color theme="5" tint="-0.249977111117893"/>
        <rFont val="Arial"/>
        <family val="2"/>
      </rPr>
      <t xml:space="preserve"> As for Output Indicator 5.1, the principle source of evidence for each result reported against this indicator is the SAVI team’s ‘replication diary’. This so-called diary captures both the result (stage of replication) and, very importantly, the story (process) of how the result was achieved: how SAVI staff and/or partners were able to influence the process of uptake within other development organisations (i.e. evidence of attribution to SAVI). In spite of the inherent challenges of gathering such information from other development partners, any entry in these diaries under 5.2 referring to a 'firm commitment' needs to be backed up with solid supporting evidence: i.e. a copy of the document containing the ‘policy’ statement.
</t>
    </r>
  </si>
  <si>
    <t>ABUJA WORKINGS</t>
  </si>
  <si>
    <t>UK/INTL WORKINGS</t>
  </si>
  <si>
    <t>Output 5 - including Abuja &amp; UK/Intl</t>
  </si>
  <si>
    <t>Output 5 - excluding Abuja &amp; UK/Intl</t>
  </si>
  <si>
    <t>Outcome</t>
  </si>
  <si>
    <t>Impact</t>
  </si>
  <si>
    <t>this sheet presents an annual summary of 'replication events/results' recorded against Output 5 indicators by the abuja-based SAVI national team and the UK-based SAVI international team - the national team collates this quarterly, specifying both teams' results (as and when they are achieved), together with a brief description of the process (as evidence of attribution) and categorisation of results (by sub-indicator) - note: this sheet was included in the framework at the request of IMEP to support state team's provision of 'evidence of change' and 'evidence of attribution'.</t>
  </si>
  <si>
    <t xml:space="preserve">Notes on Meeting with ENABLE 2 Acting NTL + Email trail between ENABLE 2 &amp; SAVI in Re NGOs and CSOs in Kaduna State + notes of meeting with ENABLE2 Media &amp; M&amp;E leads &gt;&gt;&gt; ENABLE2 inception report??? And business case for implementation ??? &gt;&gt;&gt; (2015) </t>
  </si>
  <si>
    <t>(2015) email correspondence with DFID (Wilf &amp; Tia), FEPAR (Ben &amp; Saghar) &amp; SPARC (Mark &amp; Hadiza), plus meeting agendas, handouts, notes and powerpoint presentations.</t>
  </si>
  <si>
    <t>Hadiza will try to get ENABLE2 LF and WP&amp;B from Helen Bassey</t>
  </si>
  <si>
    <t>SPARC (2009 onwards) - co-ordinated engagement of demand and supply side partners around key governance issues and processes identified through PE Analysis</t>
  </si>
  <si>
    <t>ESSPIN (2009 onwards) - co-ordinated engagement of demand and supply side partners around key governance issues and processes identified through PE Analysis</t>
  </si>
  <si>
    <t>DFID-N (since inception in 2008, onwards) - co-ordinated engagement of demand and supply side partners around key governance issues and processes identified through PE Analysis</t>
  </si>
  <si>
    <t>uptake' of lessons learnt to the level of 'attempting to' … factor into their own strategies and plans for joint action at national and state level</t>
  </si>
  <si>
    <t>uptake' of lessons learnt to the level of 'participating' … through involvement in successive ARs of SAVI since 2010, participating individuals convinced through state visits from talking to staff &amp; partners &gt;&gt;&gt; during the 2013 AR, participating individuals suggested inviting SAVI staff to explain our participatory M&amp;E approach and tools to NPC staff - they are yet to organise, suggesting the timing wasn't quite right then</t>
  </si>
  <si>
    <t>NPC (2010 onwards) - co-ordinated engagement of demand and supply side partners around key governance issues and processes identified through PE Analysis</t>
  </si>
  <si>
    <t>ENABLE (2010 onwards) - interested in our planned approach to engagement and empowerment of the Media</t>
  </si>
  <si>
    <t>PRRINN-MNCH (2011 onwards) - co-ordinated engagement of demand and supply side partners around key governance issues and processes identified through PE Analysis</t>
  </si>
  <si>
    <t xml:space="preserve">uptake' of lessons learnt to the level of 'participating' … repeatedly consulted SAVI NTL during design phase of their programme </t>
  </si>
  <si>
    <t>uptake' of lessons learnt to the level of 'attempting to' … requested SPARC &amp; SAVI support in PRRINN-MNCH states to strengthen governance around principle programme issues, jointly facilitated state scoping studies and state PE updates in 2011, invited SAVI and SPARC seniro manamagement to participate in their annual strategic planning workshops in 2011 and 2012, and in their ARs in 2012 and 2013</t>
  </si>
  <si>
    <t>interested? … through meetings and correspondence with SAVI NTL</t>
  </si>
  <si>
    <t>HPI : Health Partners International (2012) - interested in ?</t>
  </si>
  <si>
    <t>WF : Westminster Foundation (2012) - interested in our approach to engagement and empowerment of SHoAs</t>
  </si>
  <si>
    <t>SCT : Speakers Corner Trust (2012 onwards) interested in partnering with SAVI to conduct state level public policy dialogue &gt;&gt;&gt; piloted in Jigawa, then Lagos, then other states, picking up key learning from SAVI along the way</t>
  </si>
  <si>
    <t>uptake' of lessons learnt to the level of 'attempting to' … apply the learning they gained from several jointly planned and jointly facilitated 'public policy debates', first piloted in Jigawa in ???? 2012, extended to Lagos in ??? and then to other states 'up until March 2014???  &gt;&gt;&gt; since these pilots, SCT have demonstrated a change of attitude, in now planning to work with known partners/citizens on ground to facilitate PPD, rather than just turnng up in a state and hand-picking them on the day - they have seen the value of using such partners (exisiting capacity on ground in each state), from the quaility of the PPDs they conducted with SAVI supported partners.</t>
  </si>
  <si>
    <t>SHELL (2011) - interested in our broad approach to engagement and empowerment of citizens: ToC and partnership model</t>
  </si>
  <si>
    <t>MDG-CGS : Conditional Grant Scheme for LGAs (2012) - interested in our broad approach to engagement and empowerment of citizens: ToC and partnership model</t>
  </si>
  <si>
    <t>uptake' of lessons learnt to the level of 'participating' … invited SAVI NTL to share learning on stakeholder/citizens engagement with newly recruited field staff of this FGoN initiative (national workshop in Enugu in ??? 2012), prior to their posting in LGAs across Nigeria.</t>
  </si>
  <si>
    <t>CA : Christain Aid (2013 onwards) - co-ordination of short-route( community/LG level) and long-route (state level) accountability work: collaboration between SAVI and CA's 'Voices to People' (V2P) Programme in Anambra.</t>
  </si>
  <si>
    <t>uptake' of lessons learnt to the level of 'attempting to' … DFID Adviser (Wilf) and SAVI NTL pushing and brokering the collaboration in 2013 at the national levle, during inception of SAVI Anambra programmes. SAVI State Team working out the practical details, arrangements, division of roles and responsibilities and sharing of learning with V2P staff and partners &gt;&gt;&gt;  after some teething troubles, mutually supportive working relations were established and functional in 2014, yielding early results</t>
  </si>
  <si>
    <t>GH-SS : Girl Hub - Safe Spaces (2013) - interested in our broad approach to engagement and empowerment of citizens: in particular in 'constituency engagement' approach ?</t>
  </si>
  <si>
    <t>UN-DGDP : Democratic Governance Development Programme (2013) - collaberation at state level on Constitutional Review process</t>
  </si>
  <si>
    <t>uptake' of lessons learnt to the level of 'participating' … through collaberation with SAVI and SPARC on promoting 'fiscal responsbility' and 'public procurement' legislation at state level - planning and participation in a national stakeholders meeting in Abuja in ???? 2013</t>
  </si>
  <si>
    <t>World Bank (2013 onwards) - interested in our approach to citizens engagement through public policy dialogue on key governance issues</t>
  </si>
  <si>
    <t>uptake' of lessons learnt to the level of 'participating' … through collaberation with SAVI and SPARC on promoting 'fiscal responsbility' and 'public procurement' legislation at state level - planning and participation in a national stakeholders meeting in Abuja in ???? 2013 … also through Rajan Soni's consultation with SAVI DTL-T &amp; National TAs on this for the World Bank in ??? 2013 &gt;&gt;&gt; and now through Kathy Bains in 2014/15: DFID-funded technical lead of institutionalising PDIA approach in WB in Nigeria: consulted with SAVI NTL, DTL-T, Helen &amp; Wilf in Nov 2014 (WB office) and again in Jan 2015 (SAVI office) on established a pool of "PDIA-savvy" TA for WB to use as ST-TA on WB projects in Nigeria earmarked by Kathy for 'pilot' work - agreed to work with DFID (SAVI &amp; SPARC) and ODI (David Booth) and Harvard (Matt Andrews) to jointly 'grow' and establish the pool in the course of 2014 - longer-term thinking and planning.</t>
  </si>
  <si>
    <t xml:space="preserve">uptake' of lessons learnt to the level of 'interested' …mostly through informal consultation with SAVI NTL </t>
  </si>
  <si>
    <t>uptake' of lessons learnt to the level of 'attempting to' … through joint funding arrangement brokered by DFID to support conduct of OBI in several Nigerian States … after several meetings with SAVI &amp; SPARC in 2013, they were persuaded to agree to common advocacy approach, eventually, but reluctant/resistent at first. This they have maintained in subsequent years of engagement on the same matter (OBI)</t>
  </si>
  <si>
    <t>YB : 'Your Budgit' website managers (2013) - interested in collaboration with DFID / SAVI to engage state partners for generation and publicisation of state budget information</t>
  </si>
  <si>
    <t>uptake' of lessons learnt to the level of 'participating' … made various consultations with DFID, SAVI National TA, and SAVI Lagos State Team … not sure of ultimate outcome? &gt;&gt;&gt; eventually provided with financial support directly from DFID (Wilf) ???</t>
  </si>
  <si>
    <t>RTK : 'Rights To Know' initiative (2013) - interested in ?</t>
  </si>
  <si>
    <t>APPR : Association for Promotion of Parliamentary Relations (2013) - interested in ?</t>
  </si>
  <si>
    <t>J4A (2013 onwards) - repeatedly interested in various aspects of SAVI's approach, particularly CS and SHoA engagement and empowerment, also on engagement of CS in promoting G&amp;SI</t>
  </si>
  <si>
    <t>uptake' of lessons learnt to the level of 'attempting' … initially through informal and formal consultation between J4A and SAVI NTLs (even through they opted in the end for a 'grant-making' approach rather than a 'facilitated partnership' approach) &gt;&gt;&gt; then through J4A's recruitment of 2 former SAVI staff (Intl CS Adviser and STL Kano) to manage their 'gender component': gender focus of access to justice CSOs &gt;&gt;&gt; and their subsequent engagement of SAVI-supported G&amp;SI partners in selected states for pilot activity ... and with this, various other learning from SAVI</t>
  </si>
  <si>
    <t>GEMS3 (2013 onwards) - following-up interest in our CS engagement and empowerment approach</t>
  </si>
  <si>
    <t>uptake' of lessons learnt to the level of 'attempting' … through GEMS3 management participating in SLP Meetings in October 2013 and picking up learning on SAVI's approach on CS partnership facilitation, to utilise in their engagements with CS partners &gt;&gt;&gt; in 2014 GEMS3 national staff have also adopted the approach of engaging members of SHoA in the SAVI way to support their promotion of a Tax Harmonization Bill</t>
  </si>
  <si>
    <t>uptake' of lessons learnt to the level of 'attempting' … through NSRP management participating in SLP Meetings in October 2013 and picking up learning on SAVI's approach on CS partnership facilitation, to utilise in their engagements with CS partners &gt;&gt;&gt; in Feb-April 2014 SAVI national TA shared some of our approaches to policy advocacy with NSRP consultant and Kaduna State programme officer &gt;&gt;&gt; in Jan 2015 NSRP Media lead (Laure) organised a meeting with various DFID programmes in NSRP office to identify state level partners for their programme to work with on 'voter education' - i.e. to build on existing capacity already built by  other programmes ... not sure whether they have gone beyond gathering knowledge of how SAVI works to using this in the way they work ???</t>
  </si>
  <si>
    <t>UNICEF on OBI : Open Budget Index (2013 onwards) - collaborated with SAVI &amp; SPARC on strategic use of OBI findings in state level advocacy: constructive engagement of govt by CS, rather than the usual 'naming and shaming' approach</t>
  </si>
  <si>
    <t>UNICEF on G&amp;SI (2014) - picking lessons from our approach to promoting G&amp;SI</t>
  </si>
  <si>
    <t>SCUK : Save the Children UK in Nigeria (2014) - picking lessons from our approach to promoting G&amp;SI</t>
  </si>
  <si>
    <t>STEER - a project of SCUK in Nigeria (2014) - interested in how SAVI collaborates with local actors and other development partners</t>
  </si>
  <si>
    <t>Q2 Feb-April 2014 - preliminary discussions with SCUK-N and UNICEF have led to sharing of lessons on efficient promotion of rights of women and vulnerable persons &gt;&gt;&gt; in ??? 2014 SCUK-N included this in their plans for ??? &gt;&gt;&gt; in ??? 2014 SC's lead Advocacy Adviser (former SAVI staff: SPO Kaduna) and Media Adviser consulted with SAVI on their CS and Media engagement strategy for pushing the President to sign the new National Health Bill - initially looking for SAVI to participate/facilitate as part of a joint donor planning group, but accepting the need to work more with and through SAVI supported Media and CS at federal level.</t>
  </si>
  <si>
    <t>Q2 Feb-April 2014 - preliminary discussions with Save the Children in Nigeria and UNICEF have led to sharing of lessons on efficient promotion of rights of women and vulnerable persons &gt;&gt;&gt; not sure of any uptake ???</t>
  </si>
  <si>
    <t>Q3 May-July 2014 - SAVI staff met with staff of the System Transformed for Empowered Actions and Enabling Responses for Vulnerable Children and their Families (STEER) Project of Save the Children UK in Nigeria, to share how SAVI works. STEER staff indicated interest in further learning on how to enhance collaboration (coordination) with other state actors and development partners in the state. Further meetings have been lined up with STEER and SCUK &gt;&gt;&gt; not sure what happened next?</t>
  </si>
  <si>
    <t>ENABLE2 (2014 onwards) - incorporating learning from SAVI into their inception thinking and planning, and looking to partner with SAVI on media development in selected states &gt;&gt;&gt; cross referencing with SAVI state teams to identify and engage common Media partners (Houses) in selected states for synergistic support.</t>
  </si>
  <si>
    <t>Q4 Aug-Oct 2014 - the Acting NTL and consultant of ENABLE2 took up learning on the SAVI way of working with CS, Media and the SHoA on policy advocacy issues for responsiveness and accountability. Acting NTL now making use of SAVI CS and media list to plan engagement. &gt;&gt;&gt; during same period, ENABLE2's national Media Adviser (Helen Bassey) and M&amp;E/KM Adviser (Destiny ???) consulted with key members of SAVI's national TA team (in SAVI office) on their plans for collaboration on media development work (ENABLE2: marketing and business dev; SAVI: civic education and advocacy programme dev) in selected states with common media partners - after which we shared research and plans. Helen acknowledged to Hadiza (SAVI's lead Media Adviser) that picked a lot of useful advice from SAVI Media strategy documents and built aspects into their own strategic proposals and plans for ENABLE2's Media Output, submitted for DFID  approval towards the end of 2014. &gt;&gt;&gt; Q1 Nov 2014 to Jan 2015 - Helen liaised with SAVI state teams in Kano and Kaduna through Hadiza to cross reference ENABLE2's proposed Media partners with those of SAVI, and to find out what support SAVI had given them to date, to ensure complementary (not duplication) of support. In Kano ENABLE2 has begun engagement with Pyramid FM and Freedom Radio, and in Kaduna Freedom Radio, Liberty FM and are considering also engaging KSMC/KSTV.</t>
  </si>
  <si>
    <t>FEPAR (2014 onwards) - approach to national advocacy, empowering CS, reducing donor-led approach … and now (2015) collaborating on joint transition of federal work to a successor 'demand-side' programme (SAVI2)</t>
  </si>
  <si>
    <t>DDiN2 : Deepening Democracy in Nigeria - Phase 2 (2013 onwards) - interested in our approach to civic education &gt;&gt;&gt; now (2015) also in our participatory M&amp;E approach and tools</t>
  </si>
  <si>
    <t>uptake' of lessons learnt to the level of 'planning to' … invited SAVI NTL to collaborate in co-ordination of DFID-funded activity relating to preparations for and monitoring of national elections &gt;&gt;&gt; in 2014 DDiN2 mgt showed interest in SAVI and SPARC's approach to gathering and using political intelligence (continuous PE analysis) as a basis for activity planning - DFID incorporated this into DDiN's planning processes for election-related activities &gt;&gt;&gt; in late 2014 / early 2015 the new DDiN2 Co-ordinator (former SAVI FPM) consulted with SAVI's MEL Adviser about the possibility of adapting SAVI's M&amp;E framework for use in DDiN2. DDiN2's lead M&amp;E consultant also consulted with SAVI DTL-T on the same issue, but expressed broader concerns about a major mis-match of approach of DDiN2 ("severe lack of programme staff" and "unaccountable granting of  CSOs" directly, and indirectly through national CSOs) with that of SAVI.</t>
  </si>
  <si>
    <t>CHAI (2014) ???</t>
  </si>
  <si>
    <t>BC-AC : 'Active Citizens' programme managed by British Council (2014) - incorporating learning from various development programmes into the take-off of a new 'citizen-focussed' VA&amp;/E&amp;A programme.</t>
  </si>
  <si>
    <t>IRI : International Republican Institute (2014) - learning to take the back seat and allow CS to represent themselves.</t>
  </si>
  <si>
    <t>UNDP (2013) - interested in our approach to citizens engagement through public policy dialogue on key governance issues &gt;&gt;&gt; (2014) particularly the strength of the traingular relationship between CS, Media &amp; SHoA.</t>
  </si>
  <si>
    <t>uptake' of lessons learnt to the level of 'participating' … through collaberation with SAVI and SPARC on promoting 'fiscal responsbility' and 'public procurement' legislation at state level - planning and participation in a national stakeholders meeting in Abuja in ???? 2013 &gt;&gt;&gt; (2014) in the course of SAVI's participation in meetings organised by DDiN2, in which the UNDP were also represented, the UNDP reps amplified the importance of "CS taking the lead" (not the donors), not being too directive about what CS should do, and limit the role of UNDP to one of capacity building of CS, on the issue of using Freedom of Information legislation to target INEC on 'transparency of process and results' towards "violence-free elections". They also took SAVI's advice that this should be a joint venture between CS and Media in the first instance, pre-elections, and a tripartite venture between CS, Media and SHoA post-elections. UNDP rep agreed to adopt this as their stratgey and used it as the basis of subsequent action plans.</t>
  </si>
  <si>
    <t>EU-SIGN : Supporting Immunisation Governence in Nigeria (this is the new successor programme to EU-SRIP) (2015) - influencing KM systems thru Kemi</t>
  </si>
  <si>
    <t>Q4 Aug-Oct 2014 - over the course of several interactions between SAVI's FPM (Rommy) and members of the NBA, two in Lokoja and one in Abuja, he has managed to pursuade them to take a more reconcilliatory, less attacking, approach to challenging government on various judicial issue - with a visible change in the focus and tone of press releases over the past quarter. On the issue of 'electoral justice', the NBA also took the advice of  engaging CS to participate in the process of appointment of electoral tribunal judges, to make the process of their selection more transparent and accountable.</t>
  </si>
  <si>
    <t>NDI : National Democracy Institute (2015) - ??? Through Rommy and DDiN ???</t>
  </si>
  <si>
    <t xml:space="preserve">Steve Terravecchia &amp; Lisa Williams, Zambia V&amp;A (2014) Re. thinking and working politically
</t>
  </si>
  <si>
    <t xml:space="preserve">Kathy Bain, World Bank (2014) Re. learning lessons and sharing contacts on PDIA approaches
</t>
  </si>
  <si>
    <t xml:space="preserve">Zack Brisson &amp; Nonso Jideofor, Reboot (2014) Re. sharing lessons on PDIA
</t>
  </si>
  <si>
    <t xml:space="preserve">Jonathan Fox, GSDRC/Professor (2015) Re. SAVI’s approach to M&amp;E
</t>
  </si>
  <si>
    <t>WB &gt; piloting PDIA approach on selected WB projects in Nigeria with SAVI TA support</t>
  </si>
  <si>
    <t xml:space="preserve">17th November: Helen, Kevin, Steve &amp; Wilf attended meeting at World Bank, Abuja, called by Kathy Bain (following up contact made at Harvard conference) to discuss lesson sharing from SAVI to World Bank PDIA pilot programme in Nigeria. </t>
  </si>
  <si>
    <t>17th November: Helen, Kevin, Steve Meeting in Abuja (Sheraton) with Zack Brisson and Nonso Jideofor from ReBoot (following up contact made at Harvard)</t>
  </si>
  <si>
    <t xml:space="preserve">September 2014
8th Sept. Sent final draft of 2nd Think Piece to Matt Andrews at Harvard. 
23rd-24th October “ODI and Harvard joint workshop on “Doing Development Differently. SAVI one of featured case studies.
10th-21st November. while Helen was in Abuja, Draft Doing Development Differently manifesto shared for comment, published online shortly after, various SAVI staff were among the first 100 to sign up (during TGM).
</t>
  </si>
  <si>
    <t>WB/HARVARD &gt; promoting SAVI as a model of 'problem driven iterative adaptation' (2014)</t>
  </si>
  <si>
    <t>First Think Piece cited as key reading on “Thinking and working politically” in new GSDRC topic guide</t>
  </si>
  <si>
    <t xml:space="preserve">GSDRC &gt; promoting SAVI as a model of 'thinking and working politically' (2014) </t>
  </si>
  <si>
    <t>First Think Piece added to Global Partnership for Social Accountability Knowledge Platform</t>
  </si>
  <si>
    <t xml:space="preserve">GPSA &gt; promoting SAVI as a model of 'thinking and working politically' (2014) </t>
  </si>
  <si>
    <t>SAVI cited as one of 4 boxed examples in World Bank paper on politically smart, locally led justice programming: learning from other sectors</t>
  </si>
  <si>
    <t>WB &gt; promoting SAVI as a model of 'politically smart, locally led development' (2014)</t>
  </si>
  <si>
    <t>2nd SAVI Think Piece cited on USAID Nigeria Facebook Page</t>
  </si>
  <si>
    <t>USAID Nigeria &gt; promoting SAVI as a model of 'problem driven iterative adaptation' and 'politically smart, locally led development' (2014)</t>
  </si>
  <si>
    <t xml:space="preserve">2nd SAVI Think Piece in Local First monthly newsletter (Peace Direct) </t>
  </si>
  <si>
    <t>Peace Direct  &gt; promoting SAVI as a model of 'problem driven iterative adaptation' and 'politically smart, locally led development' (2014)</t>
  </si>
  <si>
    <t xml:space="preserve">Dec 11th October Gallery workshop on M&amp;E for Adaptive programming. Attended by Steve, Julian and Helen. SAVI presentation </t>
  </si>
  <si>
    <t>Taylor Brown, Gareth Williams and the various members of the October Gallery - UK think-tank facilitiated by IDL &amp; Policy Practice (2014)</t>
  </si>
  <si>
    <t>Dec 12th 2014: Email from Tam O’Neill connecting Helen with Steve Terravecchia from the DFID funded Zambia V&amp;A programme, and Lisa Williams, senior Governance fellow at USAID helping them with “thinking and working politically”</t>
  </si>
  <si>
    <t>January 2015: 2nd Think Piece and ODI paper on SAVI sent to Jonathan Fox, key thinker on V&amp;A. Quick response asking for more information on SAVI’s approach to M&amp;E</t>
  </si>
  <si>
    <t xml:space="preserve"> in December 2013: 
Duncan Green (Oxfam) blog about “Thinking and Working Politically” re. recent DLP conference.
• HD sent response to blog
• HD sent Think Piece to Duncan Green and David Hudson (DLP) ...
... as a result of which HD was invited by DLP to Adrian Leftwich Memorial Conference “The Primacy of Politics: Engaging with the Political Dynamics of Development Assistance”  ... in January 2014 (24th Jan). HD attended Adrian Leftwich Memorial Conference. Introduced self to:
• David Booth, ODI – raised issue of whether SAVI may be interested in being researched by ODI. Suggested SAVI should participate in forthcoming “October Gallery” Thinking and Working Politically meeting as case study. 
• Duncan Green.  Gave hard copy of Think Piece. 
• David Hudson, DLP
May 2014: Emails to Heather Marquette and Jonathan Fisher of DLP on their paper “Donors doing Political economy analysis”.  Sent SAVI Think Piece and Participatory Polit Econ Approach Paper. Asked SAVI to participate in next phase of their research. Likely early 2015.
26th Nov 2014: Communication from Heather Marquette, Head of DLP, re. ICAI Anti-Corruption Report, concerned about potential negative implications for SAVI.
Jan 2014 Further correspondence with Jonathan Fisher and Heather Marquette, DLP, to pin down date for their research on SAVI</t>
  </si>
  <si>
    <t>Inclusion of Discussion Paper: “The SAVI Programme in Nigeria: towards politically smart, locally-led development” in ODI’s flagship programme on the politics of service delivery, shaping policy on development ... 'New Directions in Governance' ... published online on 14th October: http://www.odi.org/publications/8876-politically-smart-nigeria 
early Feb 2015: SAVI cited as key example in new ODI paper on Adaptive Development: Improving Services for the Poor. In connection with this, ODI re-posted Helen on YouTube talking about SAVI</t>
  </si>
  <si>
    <t>SAVI talking-head (Helen on YouTube) published and external communications materials referenced on Doing Development Differently site</t>
  </si>
  <si>
    <t>3.1 &gt; 3.3</t>
  </si>
  <si>
    <t>2.9 (no change)</t>
  </si>
  <si>
    <t>2014 = ?</t>
  </si>
  <si>
    <t>late 2014 achieved = 3.3</t>
  </si>
  <si>
    <t>late 2014 achieved = 3.0</t>
  </si>
  <si>
    <t>late 2014 achieved = ?</t>
  </si>
  <si>
    <t>2.3 &gt; 2.8</t>
  </si>
  <si>
    <t>1.4 &gt; 2.5</t>
  </si>
  <si>
    <t>1.9 (no change)</t>
  </si>
  <si>
    <t>late 2014 achieved = 2.9</t>
  </si>
  <si>
    <t>3.6 (no change)</t>
  </si>
  <si>
    <t>2.7 (no change)</t>
  </si>
  <si>
    <t>late 2014 achieved = 3.5</t>
  </si>
  <si>
    <t>3.5 &gt; 4.1</t>
  </si>
  <si>
    <t>2.3 &gt; 2.9</t>
  </si>
  <si>
    <t>late 2014 achieved = 4.1</t>
  </si>
  <si>
    <t>late 2014 achieved = 3.2</t>
  </si>
  <si>
    <t>3.6 &gt; 3.8</t>
  </si>
  <si>
    <t>3.2 (no change)</t>
  </si>
  <si>
    <t>3.3 &gt; 3.5</t>
  </si>
  <si>
    <t>late 2014 achieved = 3.7</t>
  </si>
  <si>
    <t>late 2014 achieved = 3.4</t>
  </si>
  <si>
    <t>3.7 &gt; 4.1</t>
  </si>
  <si>
    <t>2.5 &gt; 2.8</t>
  </si>
  <si>
    <t>3.9 &gt; 4.1</t>
  </si>
  <si>
    <t>2.4 &gt; 2.8</t>
  </si>
  <si>
    <t>late 2014 achieved = 4.0</t>
  </si>
  <si>
    <t>3.7 (no change)</t>
  </si>
  <si>
    <t>1.5 (no change)</t>
  </si>
  <si>
    <t>2.6 &gt; 3.3</t>
  </si>
  <si>
    <t>late 2014 achieved = 3.9</t>
  </si>
  <si>
    <t>2.4 &gt; 3.1</t>
  </si>
  <si>
    <t>1.4 (no change)</t>
  </si>
  <si>
    <t>late 2014 achieved = 3.8</t>
  </si>
  <si>
    <t>late 2014 achieved = 3.6</t>
  </si>
  <si>
    <t>2.8 &gt; 3.2</t>
  </si>
  <si>
    <t>4.1 (no change)</t>
  </si>
  <si>
    <t>late 2014 achieved = 4.3</t>
  </si>
  <si>
    <t>3.0 &gt; 3.5</t>
  </si>
  <si>
    <t>2.5 &gt; 3.4</t>
  </si>
  <si>
    <t>2.1 (no change)</t>
  </si>
  <si>
    <t>3.0 &gt; 4.2</t>
  </si>
  <si>
    <t>2.8 &gt; 3.8</t>
  </si>
  <si>
    <t>3.0 (no change)</t>
  </si>
  <si>
    <t>3.0 &gt; 3.1</t>
  </si>
  <si>
    <t>2.5 &gt; 3.2</t>
  </si>
  <si>
    <t>3.0 &gt; 3.4</t>
  </si>
  <si>
    <t>1.8 (no change)</t>
  </si>
  <si>
    <t>7 &gt; 9</t>
  </si>
  <si>
    <t>15 (no chng)</t>
  </si>
  <si>
    <t>5 &gt; 6</t>
  </si>
  <si>
    <t>3 &gt; 8</t>
  </si>
  <si>
    <t>14 (no chng)</t>
  </si>
  <si>
    <t>13 (no chng)</t>
  </si>
  <si>
    <t>50&gt;93</t>
  </si>
  <si>
    <t>25&gt;43</t>
  </si>
  <si>
    <t>15&gt;31</t>
  </si>
  <si>
    <t>8 (no chng)</t>
  </si>
  <si>
    <t>30 &gt; 54</t>
  </si>
  <si>
    <t>50 &gt; 54</t>
  </si>
  <si>
    <t>late 2014 achieved = 61</t>
  </si>
  <si>
    <t>late 2014 achieved = 59</t>
  </si>
  <si>
    <t>2014 = 7</t>
  </si>
  <si>
    <t>2014 = 11</t>
  </si>
  <si>
    <t>2014 = 13</t>
  </si>
  <si>
    <t>2014 = 14</t>
  </si>
  <si>
    <t>2014 = 6</t>
  </si>
  <si>
    <t>2014 = 5</t>
  </si>
  <si>
    <t>2014 = 12</t>
  </si>
  <si>
    <t>2014 = 89</t>
  </si>
  <si>
    <t>2014 = 38</t>
  </si>
  <si>
    <t>2014 = 27</t>
  </si>
  <si>
    <t>2014 = 3</t>
  </si>
  <si>
    <t>2014 = 80</t>
  </si>
  <si>
    <t>2014 = 71</t>
  </si>
  <si>
    <t>2014 = 50</t>
  </si>
  <si>
    <t>2014 = 64</t>
  </si>
  <si>
    <t>2014 = 45</t>
  </si>
  <si>
    <t>50&gt;70</t>
  </si>
  <si>
    <t>40&gt;47</t>
  </si>
  <si>
    <t>60&gt;78</t>
  </si>
  <si>
    <t>35&gt;43</t>
  </si>
  <si>
    <t>2014 = 74</t>
  </si>
  <si>
    <t>late 2014 = 83</t>
  </si>
  <si>
    <t>late 2014 = 74</t>
  </si>
  <si>
    <t>late 2014 = ?</t>
  </si>
  <si>
    <t>late 2014 = 81</t>
  </si>
  <si>
    <t>late 2014 = 71</t>
  </si>
  <si>
    <t>75 &gt; 77</t>
  </si>
  <si>
    <t>75 (no change)</t>
  </si>
  <si>
    <t>59 (no change)</t>
  </si>
  <si>
    <t>50 (no change)</t>
  </si>
  <si>
    <t>43 &gt; 69</t>
  </si>
  <si>
    <t>late 2014 = 67</t>
  </si>
  <si>
    <t>late 2014 = 38</t>
  </si>
  <si>
    <t>60 &gt; 73</t>
  </si>
  <si>
    <t>25 &gt; 39</t>
  </si>
  <si>
    <t>150 &gt; 169</t>
  </si>
  <si>
    <t>80 &gt; 97</t>
  </si>
  <si>
    <t>50 &gt; 63</t>
  </si>
  <si>
    <t>40 &gt; 52</t>
  </si>
  <si>
    <t>25 &gt; 35</t>
  </si>
  <si>
    <t>50 &gt; 73</t>
  </si>
  <si>
    <t>40 &gt; 50</t>
  </si>
  <si>
    <t>15 &gt; 23</t>
  </si>
  <si>
    <t>5 &gt; 8</t>
  </si>
  <si>
    <t>2014 = 183</t>
  </si>
  <si>
    <t>2014 = 110</t>
  </si>
  <si>
    <t>2014 = 60</t>
  </si>
  <si>
    <t>2014 = 67</t>
  </si>
  <si>
    <t>2014 = 37</t>
  </si>
  <si>
    <t>2014 = 56</t>
  </si>
  <si>
    <t>2014 = 43</t>
  </si>
  <si>
    <t>2014 = 25</t>
  </si>
  <si>
    <t>GENESIS</t>
  </si>
  <si>
    <t>• the others are SAVI's Strategic Planning Framework, Financial Management Framework, Operational Management Framework and Knowledge Management &amp; Communications Framework (under development)</t>
  </si>
  <si>
    <t>• the content of these frameworks is nothing new, for the most part, as they build on and integrate a number of separate frameworks that have evolved on SAVI over the last 4 years</t>
  </si>
  <si>
    <t>• it also includes a number of other relatively new separate supporting frameworks, each of which serves to present or capture key information required for effective monitoring, evaluation and learning as well as reporting</t>
  </si>
  <si>
    <t>• similar frameworks developed by individual state teams have been taken into account, but standardisation across all states has meant not all aspects are accommodated</t>
  </si>
  <si>
    <t>• the resulting overarching Monitoring &amp; Evaluation (M&amp;E) framework will continue to undergo further development with use and any future changes in monitoring and reporting requirements.</t>
  </si>
  <si>
    <t>DEVELOPMENT</t>
  </si>
  <si>
    <t>version 1: July-Sept 2012</t>
  </si>
  <si>
    <t>research, development and state level pilot testing (by national TA) throughout Q3 of 2012</t>
  </si>
  <si>
    <t>version 2: Sept-Nov 2012</t>
  </si>
  <si>
    <t>trial use by state teams, for capturing the output of state level strategic planning (supported by national TA) during Q4 of 2012</t>
  </si>
  <si>
    <t>version 3: Nov-Dec 2012</t>
  </si>
  <si>
    <t>review, update and amendment (by national TA), building on the learning from trial use (by state teams) during Q4 of 2012, in preparation for Q1 of 2013</t>
  </si>
  <si>
    <t>version 4: Jan 2014</t>
  </si>
  <si>
    <t>review, update and amendment (by national TA), building on the learning from a full year in use (by state teams) during 2013, in preparation for Q1 of 2014</t>
  </si>
  <si>
    <t>version 5: Jan 2015</t>
  </si>
  <si>
    <t>review, update and amendment (by national TA), building on the learning from a second year in use (by state teams) during 2014, in preparation for Q1 of 2015</t>
  </si>
  <si>
    <t>LOGIC</t>
  </si>
  <si>
    <t>each framework relates to a central programme management cycle … a cycle of learning … learning by doing:</t>
  </si>
  <si>
    <t>• this 'SP framework' covers the lower right hand side of the programme management cycle</t>
  </si>
  <si>
    <t>• the 'M&amp;E framework' conversely covers the upper left hand side of the programme management cycle</t>
  </si>
  <si>
    <t>• the 'FM framework' constitutes an inner circle of financial planning, monitoring, reporting and VfM analysis, guided by financial management policy and procedures, integrated into the programme's 'operations manual'</t>
  </si>
  <si>
    <t>• the 'OM framework' constitutes another inner circle of administrative and logistical policy and procedures, also covering procurement, contracts and security, forming the basis of the programme's 'operations manual'</t>
  </si>
  <si>
    <t>• the 'KM&amp;C framework' consists of an internal dimension, shown here crossing the circles (internal 'knowledge management'), and an external dimension, not shown here (SAVI's 'external communications strategy').</t>
  </si>
  <si>
    <t>COMPONENTS</t>
  </si>
  <si>
    <t>this sheet presents the basic logical framework for the programme - each state team inserts the baselines, milestones and targets for their own state.</t>
  </si>
  <si>
    <t>this sheet presents the numerical formulae / calculations that automatically convert the targets and scores from the logframe and the database into traffic lights and arrows in the quarterly progress report.</t>
  </si>
  <si>
    <t>this sheet presents the performance of the state team to date against each indicator and sub-indicator in the logframe in the form of graphs - to support 'trend analysis' of progress to date and future 'target setting'.</t>
  </si>
  <si>
    <t>this sheet presents definitive guidance on each indicator - precisely what each one measures and the agreed scoring criteria - to support collective understanding and standardise assessment by each state team.</t>
  </si>
  <si>
    <t>this sheet presents the state team's plan of action for data collection, processing and use for monitoring and evaluation purposes - each state team develops its own M&amp;E plan for each indicator based on general programme requirements, guidance and advice.</t>
  </si>
  <si>
    <t>this sheet presents a breakdown of all 'replication events/results' recorded to date against key 'replication' indicators - each state team specifies their results (as and when they are achieved), together with a brief description of the process (as evidence of attribution) and categorisation of results (by sub-indicator) - note: this sheet was included in the framework at the request of IMEP to support state team's provision of 'evidence of change' and 'evidence of attribution'.</t>
  </si>
  <si>
    <t>• this framework is an extension of one of 5 inter-locking overarching programme management frameworks conceived and developed by SAVI for use within SAVI across the entire programme - this is the programme level equivalent of SAVI's state level Monitoring &amp; Evaluation Framework</t>
  </si>
  <si>
    <t>• this particular framework for M&amp;E integrates the most recent versions of the programme logframe, indicator reference sheets, M&amp;E plan, and replication diary, as well as workings sheets and VFM analysis sheets</t>
  </si>
  <si>
    <t>• these too have evolved on SAVI over the last 3-4 years, in response to the need to formalise and standardise the process of monitoring and reporting against the SAVI logframe and theory of change</t>
  </si>
  <si>
    <t>• all SAVI staff at state and national level have been involved in the development of these frameworks, in the course of their conceptualisation, trial use, periodic review and updating</t>
  </si>
  <si>
    <t>LF for 2014 AR</t>
  </si>
  <si>
    <r>
      <t xml:space="preserve">reference </t>
    </r>
    <r>
      <rPr>
        <b/>
        <sz val="10"/>
        <color rgb="FFFF0000"/>
        <rFont val="Arial"/>
      </rPr>
      <t>(hidden)</t>
    </r>
  </si>
  <si>
    <r>
      <t xml:space="preserve">M&amp;E plan </t>
    </r>
    <r>
      <rPr>
        <b/>
        <sz val="10"/>
        <color rgb="FFFF0000"/>
        <rFont val="Arial"/>
      </rPr>
      <t>(hidden)</t>
    </r>
  </si>
  <si>
    <r>
      <t xml:space="preserve">graphics </t>
    </r>
    <r>
      <rPr>
        <b/>
        <sz val="10"/>
        <color rgb="FFFF0000"/>
        <rFont val="Arial"/>
      </rPr>
      <t>(hidden)</t>
    </r>
  </si>
  <si>
    <r>
      <t xml:space="preserve">LF for CA4 BC </t>
    </r>
    <r>
      <rPr>
        <b/>
        <sz val="10"/>
        <color rgb="FFFF0000"/>
        <rFont val="Arial"/>
      </rPr>
      <t>(hidden)</t>
    </r>
  </si>
  <si>
    <r>
      <t xml:space="preserve">LF for 2012 AR </t>
    </r>
    <r>
      <rPr>
        <b/>
        <sz val="10"/>
        <color rgb="FFFF0000"/>
        <rFont val="Arial"/>
      </rPr>
      <t>(hidden)</t>
    </r>
  </si>
  <si>
    <r>
      <t>LF for 2013 AR</t>
    </r>
    <r>
      <rPr>
        <b/>
        <sz val="10"/>
        <color rgb="FFFF0000"/>
        <rFont val="Arial"/>
      </rPr>
      <t xml:space="preserve"> (hidden)</t>
    </r>
  </si>
  <si>
    <t>LF for 2014 AR (2014 adapted)</t>
  </si>
  <si>
    <r>
      <t xml:space="preserve">State Agg LFx3 (2014) </t>
    </r>
    <r>
      <rPr>
        <b/>
        <sz val="10"/>
        <color rgb="FFFF0000"/>
        <rFont val="Arial"/>
      </rPr>
      <t>(hidden)</t>
    </r>
  </si>
  <si>
    <r>
      <t xml:space="preserve">State DisAgg LFx10 (2014) </t>
    </r>
    <r>
      <rPr>
        <b/>
        <sz val="10"/>
        <color rgb="FFFF0000"/>
        <rFont val="Arial"/>
      </rPr>
      <t>(hidden)</t>
    </r>
  </si>
  <si>
    <t>LF for 2015 AR (2015 adjusted)</t>
  </si>
  <si>
    <t>State Agg LFx3 (2015)</t>
  </si>
  <si>
    <t>State DisAgg LFx10 (2015)</t>
  </si>
  <si>
    <t>LF-Enugu</t>
  </si>
  <si>
    <t>LF-Jigawa</t>
  </si>
  <si>
    <t>LF-Kaduna</t>
  </si>
  <si>
    <t>LF-Kano</t>
  </si>
  <si>
    <t>LF-Lagos</t>
  </si>
  <si>
    <t>LFZamfara</t>
  </si>
  <si>
    <t>LF-Katsina</t>
  </si>
  <si>
    <t>LF-Yobe</t>
  </si>
  <si>
    <t>LF-Anambra</t>
  </si>
  <si>
    <t>LF-Niger</t>
  </si>
  <si>
    <t>Enugu workings</t>
  </si>
  <si>
    <t>Jigawa workings</t>
  </si>
  <si>
    <t>Kaduna workings</t>
  </si>
  <si>
    <t>Kano workings</t>
  </si>
  <si>
    <t>Lagos workings</t>
  </si>
  <si>
    <t>Zamfara workings</t>
  </si>
  <si>
    <t>Katsina workings</t>
  </si>
  <si>
    <t>Yobe workings</t>
  </si>
  <si>
    <t>Anambra workings</t>
  </si>
  <si>
    <t>Niger workings</t>
  </si>
  <si>
    <t>SLP States AggWorkings</t>
  </si>
  <si>
    <t>ZKY States AggWorkings</t>
  </si>
  <si>
    <t>A&amp;N States AggWorkings</t>
  </si>
  <si>
    <t>10 States AggWorkings</t>
  </si>
  <si>
    <t>Nat-Intl Replication Diary</t>
  </si>
  <si>
    <t>Abuja workings</t>
  </si>
  <si>
    <t>UK-Intl workings</t>
  </si>
  <si>
    <t>10 States + AbujaUK AggWorkings</t>
  </si>
  <si>
    <t>Spend</t>
  </si>
  <si>
    <t>State Efficiency Ratios (2014)</t>
  </si>
  <si>
    <t>Composites (2014)</t>
  </si>
  <si>
    <r>
      <t xml:space="preserve">LF for 2014 AR (original) </t>
    </r>
    <r>
      <rPr>
        <b/>
        <sz val="10"/>
        <color rgb="FFFF0000"/>
        <rFont val="Arial"/>
      </rPr>
      <t>(hidden)</t>
    </r>
  </si>
  <si>
    <t>70&gt;84</t>
  </si>
  <si>
    <t>45&gt;64</t>
  </si>
  <si>
    <t>75 &gt; 90</t>
  </si>
  <si>
    <t>40 &gt; 56</t>
  </si>
  <si>
    <t>10 &gt; 17</t>
  </si>
  <si>
    <t>FEPAR &gt; APPROACH TO 'EXTERNAL ACCOUNTABILITY' (2014 &amp; 2015)</t>
  </si>
  <si>
    <t>In April/May 2014 FEPAR, V4C &amp; SAVI agreed to come together to take a joint approach to engaging the National Conference to influence their position on key programme-related issues. After several attempts, the FEPAR team were pursuaded not to represent CS, but to broker relations between their CS partners and Confab members to achieve the same objective - in line with SAVI's advocated approach. This was the beginning of FEPAR's reconsideration of their whole approach to demand-side engagement - what they call 'external accountability' (EA). From Dec 2014 to date, the FEPAR team have made a number of firm commitments to learn more from SAVI and revise their approach on EA accordingly, with adaptation to the federal level environment. This included an attempt in Feb/March 2015 to recruit (poach) SAVI lead national TA on Advocacy &amp; Empowerment Strategy to facilitate this for them on full-time basis. Mutual agreement was eventually reached in May 2015 on a more condusive 'learning and sharing' arrangement between the two programmes.</t>
  </si>
  <si>
    <t>Minutes of meetings, email trails, FEPAR strategic plans, position papers, and presentations</t>
  </si>
  <si>
    <t>Q4 Aug-Oct 2014 - FEPAR lead on co-ordination of an approach between FEPAR, SPARC, SAVI and V4C to influencing the National Confab: they initially proposed that the programmes make their own submissions on behalf of CS, accepted constructive criticism on this from SAVI's Fed team, and eventually turned their approach around to facilitating CS submissions &gt;&gt;&gt; Q1 Nov 2014 to Jan 2015 - SAVI mgt and natl TAs have had various meetings with FEPAR, some facilitated by DFID, others jointly initiated by FEPAR, SAVI &amp; SPARC, to peer review FEPAR's plans for federal level issue-based work ("taking a PDIA approach") and to share relevant learning to date from SAVI's facilitaition of state level issue-based work ("taking a broad-based TWP/PSLL/PDIA/DoC/SD approach) &gt;&gt;&gt; Q2 Feb-March 2015 - FEPAR continue to attend meetings and make plans to work with SAVI and SPARC to transition to successor programme (thanks to continuing pressure / encouragement from DFID and NSGI), and have made plans to 'implant' SAVI national TA (Ishaya) into their core team to review and revise their approach to 'external accountability' - condusive modalities were agreed in early May, and preparations made.</t>
  </si>
  <si>
    <t>committed' to the level of 'institutionalising', and to the 'depth' of 'twigs' and  'branches' (whole practical aspects) &gt;&gt;&gt; now the 'trunk' with Participatory PE approach - engaging their own staff and partners in the process (not just political scientists as ST-TA)</t>
  </si>
  <si>
    <t>SPARC &gt; budget process and citizens participation + SHoA role (2012) &gt;&gt;&gt; reinforced in 2014 in joint paper &gt;&gt;&gt; further reinforced in  joint approach to PE analysis, to implementation of FoI legislation and plans to transition to successor programmes (2015)</t>
  </si>
  <si>
    <t>PATHS2 (2009 onwards) - co-ordinated engagement of demand and supply side partners around key governance issues and processes identified through PE Analysis &gt;&gt;&gt; second attempt: to institutionalise SAVI's approach in engagement of new programme partners in Lagos and Enugu (2015)</t>
  </si>
  <si>
    <t>PATHS2 &gt; MTR REPORT RECOMMENDATIONS (2012) &gt;&gt;&gt; ENGAGEMENT &amp; EMPOWERMENT APPROACH (2015)</t>
  </si>
  <si>
    <t>committed' to the level of 'permitting', and to the 'depth' of 'branches' (whole practical aspects) &gt;&gt;&gt; In April 2015 PATHS2 recruited (poached) SAVI's lead national TA on KM&amp;C as a full-time Programme Manager &amp; Communications Specialist to help them adapt and institutionalise various aspects of SAVI's approach into their own systems for strategic planning, implementation, M&amp;E, KM&amp;C of their approach to engagement and empowerment of new programme (health sector public/private partnership) partners</t>
  </si>
  <si>
    <t>11 (no chng)</t>
  </si>
  <si>
    <t>2.8 &gt; 3.0</t>
  </si>
  <si>
    <t>4.0 (no change)</t>
  </si>
  <si>
    <t>20 (no chng)</t>
  </si>
  <si>
    <t>25 (no chng)</t>
  </si>
  <si>
    <t>mid 2014 baseline (a) &gt;&gt;&gt;</t>
  </si>
  <si>
    <t>and early 2015 baseline (b) &gt;&gt;&gt;</t>
  </si>
  <si>
    <t>early 2015 baseline &gt;&gt;&gt;</t>
  </si>
  <si>
    <t>0.9 &gt; 1.6 (new anambra b/line)</t>
  </si>
  <si>
    <t>0.9 &gt; 1.9 (new anambra b/line)</t>
  </si>
  <si>
    <t>41 &gt; 79 (n.a.b.)</t>
  </si>
  <si>
    <t>uptake' of lessons learnt to the level of 'attempting to' … factor into their own strategies and plans for joint action at national and state level &gt;&gt;&gt; since PATHS2 was scaled back (after the take-off of MNCH2) to 2 years extension in Lagos and Enugu only, they have recognised and admitted that their partner engagement approach has not been sustainable or replicable, and sought technical advice from SAVI in April 2015 to better understand and so adapt our approach to engagement and empowerment of partners with this new opportunity: a lot of repeating the advice from previous years, with the benefit of hindsight, but more receptiveness on the part of the PATHS2 management team this time around.</t>
  </si>
  <si>
    <t>uptake' of lessons learnt to the level of 'attempting to' … factor into their own strategies and plans for joint action at national and state level &gt;&gt;&gt; for long there has been little technical interaction at the national level, until a recent invitation to SAVI to attend an ESSPIN national workshop on the findings of their recent 'conflict, violence and education' study. in seeking to influence state government responses, SAVI advised ESSPIN to facilitate SUBEB members involved in the study and SAVI CS 'education' partners in Jigawa, Kadana and Kano to jointly lobby their SHoAs (present the study findings and implications to their House) for onward action. SAVI needs to follow-up to see if this advice was taken forward at state level.</t>
  </si>
  <si>
    <t>ESSPIN &gt; from media use to media development (2012) &gt;&gt;&gt; ? from direct lobbying of SHoA to supporting state level partners (SUBUB and CS) to lobby (2015) ?</t>
  </si>
  <si>
    <t>committed' to the level of 'facilitating', and to the 'depth' of 'branches (whole practical aspects) &gt;&gt;&gt; ? more of the same in 2015, if they act on advice given on how to use the findings of their recent 'conflict, violence and education' study to influence state government responses ?</t>
  </si>
  <si>
    <t>uptake' of lessons learnt to the level of 'attempting to' … incorporate into the design of new programmes, including successor to SAVI … ongoing</t>
  </si>
  <si>
    <t>DFID &gt; SAVI SUCCESSOR B/CASE (2014/15)</t>
  </si>
  <si>
    <t>DFID have sought and been given approval to contract PP to pull together a business case for the design of successor programme to SAVI, as part of  a new suite of DFID-N Public Sector Accountability Programmes, building on the combined work of SPARC/SAVI/FEPAR/IMEP. Many of the broader ToC/approach lessons from SAVI are being incorporated into the design, with promotional support from DFID Governance Advisers (Wilf and Tia) and independent consultants (Policy Practice), with broader justification from Matt Andrews' PDIA and David Booth's PSLL work. &gt;&gt;&gt; this process in ongoing, further reinforced through the work of the NGSI in supporting the transition to successor programmes, and through the work of ODI supporting DFID/WB in Nigeria to consider the design implications of 'adaptive programming' for their exisiting and future portfolio of service delivery projects/programmes.</t>
  </si>
  <si>
    <t>through Kathy Bains in 2014/15: DFID-funded technical lead of institutionalising PDIA approach in WB in Nigeria: consulted with SAVI NTL, DTL-T, Helen &amp; Wilf in Nov 2014 (WB office) and again in Jan 2015 (SAVI office) on established a pool of "PDIA-savvy" TA for WB to use as ST-TA on WB projects in Nigeria earmarked by Kathy for 'pilot' work - agreed to work with DFID (SAVI &amp; SPARC) and ODI (David Booth) and Harvard (Matt Andrews) to jointly 'grow' and establish the pool in the course of 2014 - longer-term thinking and planning. &gt;&gt;&gt; resulted in ODI facilitated DDD event in Abuja in early May 2015 for WB and DFID project and programme managers/advisers, through which they got a better understanding of SAVI's approach, linked SAVI national TA with WB project managers, and made various commitments to engage the techncial support of SAVI staff (past and present) and partners on 3 of their pilot projects (Urban Water, MNCH and Kogi-Agric Land Dev). Through this, Kathy and her team in the WB are indirectly supporting Wilf and his colleagues to promote this link between service delivery and governance/social accountability within DFID Nigeria ... contributing to the 'enabling environment' for sharing SAVI learning / approach and adoption of more sustainable and replicable approaches in WB and DFID</t>
  </si>
  <si>
    <t>In April 2015 Dan Joyce, a Political Adviser of the US Embassy in Nigeria, showed interest in how SAVI had managed to facilitate united partnership between various PWD groups and individuals around a common issue (inclusive electoral process) - given how difficult most DPs find it to work with and bring together PWD groups in Nigeria. This interest was expressed during an event organised by PEACE Initiative, supported by NSRP, on promoting violence-free elections.</t>
  </si>
  <si>
    <t>US Embassy (2015) &gt;&gt;&gt; with potential influence on USAID programmes in Nigeria</t>
  </si>
  <si>
    <t>ENABLE2 senior mgt have accepted the inclusion of proposal to partner with SAVI on media development in the business case for their implementation phase ??? &gt;&gt;&gt; Jan 2015 - is hopefully being reflected in their programme workplan and budget for their media dev Output. &gt;&gt;&gt; April 2015 yet to kick off ... SAVI needs to follow-up to see how they're developing their 'marketing stratgey' for media development in new ENABLE states (Katsina)</t>
  </si>
  <si>
    <t>NSRP (2013 onwards) - following up interest in our CS engagement and empowerment approach … now (2015) targetting SAVI-supported partners already engaged in 'civic education' for 'voter education' support, and continuing to invite SAVI to key events to share learning / approach with their partners</t>
  </si>
  <si>
    <t>After hearing about SAVI's support to various PWD groups to promote 'inclusive electoral process', an EU representative reported that all EU programmes were now creating space for PWD representation in their programmes ??? This report was made during an event organised by PEACE Initiative, supported by NSRP, on promoting violence-free elections. ... need to check whether this has any connection with SAVI supported PWD activities ???</t>
  </si>
  <si>
    <t>M4D (2013 onwards) - occasionally interested in our CS engagement and empowerment approach … more so now (2015) under new senior management … interested in SAVI's approach to PE analysis and CS engagement and empowerment</t>
  </si>
  <si>
    <t>uptake' of lessons learnt to the level of 'participating' … despite SAVI senior management's technical advice to GRM on the design of M4D (pre-inception), very little of SAVI's learning was taken up by the M4D NTL and his team in 2012/13 (during their inception) &gt;&gt;&gt; renewed interest was expressed through M4D management's participation in SLP Meetings in October 2013, picking up some learning on SAVI's approach on CS partnership facilitation, to utilise in their engagements with CS partners, but again without much impact (persisting with a visible public profile approach for the programme and 'grant-making' approach for supporting partners rather than a 'facilitated partnership' approach) &gt;&gt;&gt; with the change of NTL and appointment of a DTL for M4D in 2014, renewed interest has again been expressed in SAVI's approach by M4D's senior management - nevertheless they seem to be struggling to change the way the programme works, given the precedence set with staff and partners. &gt;&gt;&gt; various NTL meetings (organised by DFID and GRM) and the recent ARs of M4D and SAVI have pushed these programmes closer together and  garnered interest in shared learning, including through collaborative work: e.g. post-election PE Analysis and facilitation of State/LG linkages.</t>
  </si>
  <si>
    <t xml:space="preserve">??? 2014 - expressed interest in our approach to CS engagement and sent various materials during their mobilisation/take-off period ??? … but not much feedback since &gt;&gt;&gt; mostly collaborating on 'security' and admin - picking learning from SAVI as a GRM managed programme &gt;&gt;&gt; despite interest and agreements reached at various NTL meetings (organised by DFID and GRM) for more cross-programme learning and collaberation, invitations have not been honoured by MNCH2 management. </t>
  </si>
  <si>
    <t>Q4 Aug-Oct 2014 - In Sept the FPO (Ben) had a meeting with the Director of Partnership for British Council and he expressed their desire and willingness to learn from the SAVI approach for engagement in their work on active citizens in some Northern State Universities which includes those of Kano and Kaduna. Follow-up email correspondence resulted in SAVI national staff being invited to share SAVI's approach and learning at a BC-organised workshop for the Active Citizens programme in Abuja, along with other invited development partners &gt;&gt;&gt; Q1 Nov-Jan 2015 - Workshop held on 11-12 Dec, Ishaya, Hadiza, Rommy attended and presented as planned - to much appreciation and follow-up requests from University participants for further information from SAVI staff &gt;&gt;&gt; attempts to link them up with state level partners in Kano, Kaduna and Plateau were deferred because of lack of clarity on the precise nature of the work planned by the programme.</t>
  </si>
  <si>
    <t>Q4 Aug-Oct 2014 - throughout Sept &amp; Oct the FPO (Ben) attended various planning meetings with CS partners and development partners involved in propmoting an 'inclusive electoral process' building on the initiative of the Lagos PWD AP. Among them were IRI. &gt;&gt;&gt; Q1 Nov-Jan 2015 - When it came to the main meeting (a 'validation workshop') between these partners and INEC in Abuja on 13/14 Nov, IRI representatives were not happy about the arrangements for the first day's proceedings - following SAVI advice the CS partners were to lead the delegation and all the development partners were to take a back seat. IRI reps were used to leading such delegations and speaking with Govt on behalf of such CS partners. However, on seeing how much of a success the meeting was, by the response of INEC, because of this arrangement, they subsequently conceeded, showing appreciation and endorsed the same arrangement for the next day's meeting - a small but significant change in attitide and behaviour among IRI's representatives. &gt;&gt;&gt; Q2 2015: continued to participate and actively support PWD partners during follow-up meeting  in Lagos to develop advocacy materials and finalise the process report.</t>
  </si>
  <si>
    <t>Rwanda CSSP design team: Scott Caldwell (DFID), Gareth Williams (PP), and management team lead by Craig Matherson &amp; Joanne Clarke (GRM) and Phanindra Adhikary (NTL) (2014/15)</t>
  </si>
  <si>
    <t>2014: design of new DFID CS Support Programme in Rwanda based on learning / approach of SAVI, through former DFID Adviser to SAVI and present DFID-IMEP Lead Reviewer of SAVI; GRM's technical bidding proposal incorporated learning from SAVI - especially on 'do no harm' approach to use of grants &gt;&gt;&gt; 16-17th April 2015 GRM organised a meeting between SAVI (Kevin, Steve, Helen) and the proposed NTL (Phanindra) to share key learning from SAVI on programme management in preparation for take-off and inception of the new programme</t>
  </si>
  <si>
    <t>Rwanda CSSP &gt; designed by DFID based on key aspects of SAVI approach</t>
  </si>
  <si>
    <t>Approved Business Case and successful Bidding Proposal for Rwanda CSSP (frequently referred to as "SAVI Rwanda") both commit this new programme to adapting key aspects of SAVI's approach / learning</t>
  </si>
  <si>
    <t>January 2015: 2nd Think piece and ODI paper sent to Global Partnership for Social Accountability, suggesting, in response to their call, SAVI as a possible case study for their May conference &gt;&gt;&gt; February 2015: Jigawa PMP case study selected for use at the conference: Jibrin invited to present (Adam &amp; Helen to also attend in support and for networking) &gt;&gt;&gt; 12-13th May 2015: SAVI presented PMP case study</t>
  </si>
  <si>
    <t>Ghazia Aslam and ??? at GPSA (2015)</t>
  </si>
  <si>
    <t>any lessons shared and taken-up by anyone at the conference ???</t>
  </si>
  <si>
    <t>NBA : Nigerian Bar Association (2014/15)</t>
  </si>
  <si>
    <t>ECOWAS (2014/15) - making their internal KM (reflection and reporting) systems more inclusive and learning oriented</t>
  </si>
  <si>
    <t xml:space="preserve">through Halilu (former Media Development Specialist on SAVI) who left SAVI mid 2014 to take up a long-planned appointment with ECOWAS in Abuja. Through his role and team he has transformed the internal reporting system of the various 'directorates' to the 'headquarters' from one that was conducted by external consultants (compiling progress &amp; impact reports) to one that directorate staff now take full responsibility for and benefit from the learning from, supported by the headquarters with a simple structured reporting template: progressive staff have taken to it; others have resisted, since ECOWAS is still a 'supra civil service' rather than a DP. </t>
  </si>
  <si>
    <t>through Kemi (former Results Communications Specialist on SAVI) who worked part-time on SAVI in 2014, during which time she also worked part-time for EU-SIGN. Through her role she …</t>
  </si>
  <si>
    <t>EU in Nigeria (2015) ???</t>
  </si>
  <si>
    <t>MASC in Mozambique (2013) - interested in going beyond giving grants to CS to also providing capacity building support in policy advocacy and monitoring ('grants plus'). also interested in drawing lessons from SAVI's funding approach for establishing an alternative funding arrangement for MASC post 2014. &gt;&gt;&gt; 
Joao Pereira, Director, MASC Mozambique (2014) learning on non grant approach to supporting V&amp;A &gt;&gt;&gt; (2015) attempting to draw on SAVI learning to take a PPE approach</t>
  </si>
  <si>
    <t>MASC &gt; not just CSOs, NOW WIDER stakeholders, and more grant+cb (2013) &gt;&gt;&gt; into the (2014) final evaluation and (2015) attempt to develop a PPE approach</t>
  </si>
  <si>
    <t>committed' to the level of 'promoting', and to the 'depth' of 'trunk' (core strategic aspects) &gt;&gt;&gt; follow-up with Renee to find out how far this has been incorporated into final evaluation and ideas for planning stage of the foundation &gt; to be QAed by Sam Gibson (IDL/GRM) and Helen &gt;&gt;&gt; developed a ToR for Ishaya to participate in a team to help MASC develop participatory PE approach for the programme</t>
  </si>
  <si>
    <t>uptake' of lessons learnt to the level of 'participating' ... as above, plus invited SAVI (Helen &amp; Renee) to present its 'funding approach' to donors and stakeholders in Mozambique in 2014 … triggering wider interest: see additional results in 2014 below ...
June 2014
• MASC International conference, Mozambique, V&amp;A programmes sharing lessons.  Informal discussions with Kate Dyer, Director of AcT Tanzania, and Joao Pereiro, Director of MASC, Mozambique on sharing lessons – strong interest in SAVI “no grant” and mentoring approach. On-going plans to share and document lessons from all 3 programmes. 
• Following these discussions, Renee Kantelberg, SAVI M&amp;E Adviser, won bids to lead teams for writing Strategic Business Case for next phase of AcT (July 2014), and MASC final review (with Helen in QA role) (October 2014). 
Dec 2014: Helen – QA role in MASC Mozambique Final Evaluation – substantial inputs including sharing insights from SAVI and linking MASC into “Doing Development Differently” agenda 
March/April 2015: Invited Ishaya to provide a ST-TA input toegther with Fletcher Tembo (ODI research associate) and others on developing Participatory PE Approach within MASC</t>
  </si>
  <si>
    <t>Fletcher Tembo : Director, Mwananchi Citizen Engagement: consultancy, research, and learning &amp; ODI Research Associate (2015)</t>
  </si>
  <si>
    <t>Jamie Faustino (Asia Foundation) and ??? at DDD Manilla (2015)</t>
  </si>
  <si>
    <t>planned: twigs</t>
  </si>
  <si>
    <t>achieved: twigs</t>
  </si>
  <si>
    <t>since the CSLF in Kenya in 2012, Fletcher has been picking aspects of SAVI's learning / approach and promoting them through his TA role on various programmes, including MASC (Mozambique) and Tilitonse (Malawi) and especially through the Mwananchi Citizen Engagement Platform - Mwananchi is a dynamic platform that explores and discusses how to support ordinary citizens to hold their governments accountable and improve the delivery of public services, based on rules that work (citizen led, issue driven, context specific, etc = DDD) … Ishaya will follow-up and find out more while they are working in Mozambique together</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</si>
</sst>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1" formatCode="_-* #,##0_-;\-* #,##0_-;_-* &quot;-&quot;_-;_-@_-"/>
    <numFmt numFmtId="43" formatCode="_-* #,##0.00_-;\-* #,##0.00_-;_-* &quot;-&quot;??_-;_-@_-"/>
    <numFmt numFmtId="164" formatCode="0.0"/>
    <numFmt numFmtId="165" formatCode="0.0%"/>
    <numFmt numFmtId="166" formatCode="_-* #,##0_-;\-* #,##0_-;_-* &quot;-&quot;??_-;_-@_-"/>
    <numFmt numFmtId="167" formatCode="0;[Red]0"/>
    <numFmt numFmtId="168" formatCode="_-* #,##0.0_-;\-* #,##0.0_-;_-* &quot;-&quot;_-;_-@_-"/>
  </numFmts>
  <fonts count="66">
    <font>
      <sz val="10"/>
      <name val="Arial"/>
    </font>
    <font>
      <b/>
      <sz val="9"/>
      <name val="Arial"/>
      <family val="2"/>
    </font>
    <font>
      <sz val="9"/>
      <name val="Arial"/>
      <family val="2"/>
    </font>
    <font>
      <i/>
      <sz val="9"/>
      <name val="Arial"/>
      <family val="2"/>
    </font>
    <font>
      <sz val="11"/>
      <name val="Arial"/>
      <family val="2"/>
    </font>
    <font>
      <b/>
      <sz val="11"/>
      <name val="Arial"/>
      <family val="2"/>
    </font>
    <font>
      <i/>
      <sz val="11"/>
      <name val="Arial"/>
      <family val="2"/>
    </font>
    <font>
      <b/>
      <i/>
      <sz val="9"/>
      <name val="Arial"/>
      <family val="2"/>
    </font>
    <font>
      <sz val="10"/>
      <name val="Zapf Dingbats"/>
    </font>
    <font>
      <sz val="12"/>
      <name val="Arial"/>
      <family val="2"/>
    </font>
    <font>
      <i/>
      <sz val="10"/>
      <name val="Arial"/>
      <family val="2"/>
    </font>
    <font>
      <sz val="10"/>
      <name val="Arial"/>
      <family val="2"/>
    </font>
    <font>
      <u/>
      <sz val="9"/>
      <name val="Arial"/>
      <family val="2"/>
    </font>
    <font>
      <b/>
      <sz val="9"/>
      <color indexed="81"/>
      <name val="Arial"/>
      <family val="2"/>
    </font>
    <font>
      <sz val="9"/>
      <color indexed="81"/>
      <name val="Arial"/>
      <family val="2"/>
    </font>
    <font>
      <sz val="11"/>
      <color indexed="8"/>
      <name val="Calibri"/>
      <family val="2"/>
    </font>
    <font>
      <u/>
      <sz val="10"/>
      <color theme="10"/>
      <name val="Arial"/>
      <family val="2"/>
    </font>
    <font>
      <sz val="11"/>
      <color rgb="FFFFFF00"/>
      <name val="Arial"/>
      <family val="2"/>
    </font>
    <font>
      <b/>
      <sz val="11"/>
      <color rgb="FFFFFF00"/>
      <name val="Arial"/>
      <family val="2"/>
    </font>
    <font>
      <i/>
      <sz val="11"/>
      <color rgb="FFFFFF00"/>
      <name val="Arial"/>
      <family val="2"/>
    </font>
    <font>
      <i/>
      <sz val="11"/>
      <color theme="0" tint="-0.34998626667073579"/>
      <name val="Arial"/>
      <family val="2"/>
    </font>
    <font>
      <b/>
      <sz val="12"/>
      <color rgb="FF78B400"/>
      <name val="Arial"/>
      <family val="2"/>
    </font>
    <font>
      <b/>
      <sz val="12"/>
      <color theme="0"/>
      <name val="Arial"/>
      <family val="2"/>
    </font>
    <font>
      <sz val="9"/>
      <color theme="0" tint="-0.249977111117893"/>
      <name val="Arial"/>
      <family val="2"/>
    </font>
    <font>
      <sz val="9"/>
      <color rgb="FF0000FF"/>
      <name val="Arial"/>
      <family val="2"/>
    </font>
    <font>
      <sz val="9"/>
      <color rgb="FFFF0000"/>
      <name val="Arial"/>
      <family val="2"/>
    </font>
    <font>
      <sz val="9"/>
      <color theme="0" tint="-0.499984740745262"/>
      <name val="Arial"/>
      <family val="2"/>
    </font>
    <font>
      <i/>
      <sz val="11"/>
      <color rgb="FF78B400"/>
      <name val="Arial"/>
      <family val="2"/>
    </font>
    <font>
      <u/>
      <sz val="10"/>
      <color theme="11"/>
      <name val="Arial"/>
      <family val="2"/>
    </font>
    <font>
      <sz val="9"/>
      <color theme="5" tint="-0.249977111117893"/>
      <name val="Arial"/>
      <family val="2"/>
    </font>
    <font>
      <b/>
      <sz val="9"/>
      <color theme="5" tint="-0.249977111117893"/>
      <name val="Arial"/>
      <family val="2"/>
    </font>
    <font>
      <u/>
      <sz val="9"/>
      <color theme="5" tint="-0.249977111117893"/>
      <name val="Arial"/>
      <family val="2"/>
    </font>
    <font>
      <b/>
      <sz val="9"/>
      <name val="Arial Narrow"/>
      <family val="2"/>
    </font>
    <font>
      <i/>
      <sz val="9"/>
      <color rgb="FFFF0000"/>
      <name val="Arial"/>
      <family val="2"/>
    </font>
    <font>
      <sz val="9"/>
      <color theme="6" tint="-0.249977111117893"/>
      <name val="Arial"/>
      <family val="2"/>
    </font>
    <font>
      <sz val="9"/>
      <color theme="8" tint="-0.249977111117893"/>
      <name val="Arial"/>
      <family val="2"/>
    </font>
    <font>
      <sz val="10"/>
      <color theme="6" tint="-0.249977111117893"/>
      <name val="Arial"/>
      <family val="2"/>
    </font>
    <font>
      <b/>
      <sz val="9"/>
      <color theme="6" tint="-0.249977111117893"/>
      <name val="Arial"/>
      <family val="2"/>
    </font>
    <font>
      <b/>
      <sz val="9"/>
      <color theme="6"/>
      <name val="Arial"/>
      <family val="2"/>
    </font>
    <font>
      <sz val="10"/>
      <color theme="6"/>
      <name val="Arial"/>
      <family val="2"/>
    </font>
    <font>
      <sz val="9"/>
      <color theme="6"/>
      <name val="Arial"/>
      <family val="2"/>
    </font>
    <font>
      <sz val="9"/>
      <color rgb="FF3366FF"/>
      <name val="Arial"/>
      <family val="2"/>
    </font>
    <font>
      <sz val="11"/>
      <color theme="1"/>
      <name val="Calibri"/>
      <family val="2"/>
      <scheme val="minor"/>
    </font>
    <font>
      <b/>
      <sz val="10"/>
      <name val="Arial"/>
      <family val="2"/>
    </font>
    <font>
      <sz val="11"/>
      <name val="Calibri"/>
      <family val="2"/>
    </font>
    <font>
      <sz val="9"/>
      <color theme="0"/>
      <name val="Arial"/>
      <family val="2"/>
    </font>
    <font>
      <sz val="11"/>
      <name val="Wingdings"/>
      <charset val="2"/>
    </font>
    <font>
      <sz val="11"/>
      <color rgb="FFFF0000"/>
      <name val="Arial"/>
      <family val="2"/>
    </font>
    <font>
      <b/>
      <sz val="11"/>
      <color theme="0"/>
      <name val="Arial"/>
      <family val="2"/>
    </font>
    <font>
      <b/>
      <sz val="11"/>
      <color rgb="FF3366FF"/>
      <name val="Arial"/>
      <family val="2"/>
    </font>
    <font>
      <sz val="11"/>
      <color rgb="FF3366FF"/>
      <name val="Arial"/>
      <family val="2"/>
    </font>
    <font>
      <b/>
      <sz val="11"/>
      <color rgb="FF0070C0"/>
      <name val="Arial"/>
      <family val="2"/>
    </font>
    <font>
      <sz val="10"/>
      <color rgb="FFFF0000"/>
      <name val="Arial"/>
      <family val="2"/>
    </font>
    <font>
      <sz val="10"/>
      <color theme="10"/>
      <name val="Arial"/>
      <family val="2"/>
    </font>
    <font>
      <sz val="9"/>
      <color theme="10"/>
      <name val="Zapf Dingbats"/>
    </font>
    <font>
      <i/>
      <sz val="9"/>
      <color theme="10"/>
      <name val="Arial"/>
      <family val="2"/>
    </font>
    <font>
      <sz val="9"/>
      <color theme="10"/>
      <name val="Arial"/>
      <family val="2"/>
    </font>
    <font>
      <b/>
      <i/>
      <sz val="9"/>
      <color indexed="81"/>
      <name val="Arial"/>
    </font>
    <font>
      <i/>
      <sz val="11"/>
      <color rgb="FFFF0000"/>
      <name val="Calibri"/>
      <scheme val="minor"/>
    </font>
    <font>
      <b/>
      <sz val="10"/>
      <color rgb="FFFF0000"/>
      <name val="Arial"/>
    </font>
    <font>
      <b/>
      <i/>
      <sz val="9"/>
      <color theme="5" tint="-0.249977111117893"/>
      <name val="Arial"/>
    </font>
    <font>
      <i/>
      <sz val="9"/>
      <color theme="5" tint="-0.249977111117893"/>
      <name val="Arial"/>
    </font>
    <font>
      <sz val="10"/>
      <color theme="0"/>
      <name val="Arial"/>
    </font>
    <font>
      <i/>
      <sz val="10"/>
      <color theme="0" tint="-0.249977111117893"/>
      <name val="Arial"/>
      <family val="2"/>
    </font>
    <font>
      <i/>
      <sz val="10"/>
      <color rgb="FF3366FF"/>
      <name val="Arial"/>
    </font>
    <font>
      <i/>
      <sz val="9"/>
      <color rgb="FFFFFF00"/>
      <name val="Arial"/>
    </font>
  </fonts>
  <fills count="70">
    <fill>
      <patternFill patternType="none"/>
    </fill>
    <fill>
      <patternFill patternType="gray125"/>
    </fill>
    <fill>
      <patternFill patternType="solid">
        <fgColor indexed="44"/>
        <bgColor indexed="64"/>
      </patternFill>
    </fill>
    <fill>
      <patternFill patternType="solid">
        <fgColor indexed="43"/>
        <bgColor indexed="64"/>
      </patternFill>
    </fill>
    <fill>
      <patternFill patternType="solid">
        <fgColor indexed="47"/>
        <bgColor indexed="64"/>
      </patternFill>
    </fill>
    <fill>
      <patternFill patternType="solid">
        <fgColor indexed="42"/>
        <bgColor indexed="64"/>
      </patternFill>
    </fill>
    <fill>
      <patternFill patternType="solid">
        <fgColor indexed="9"/>
        <bgColor indexed="64"/>
      </patternFill>
    </fill>
    <fill>
      <patternFill patternType="solid">
        <fgColor indexed="22"/>
        <bgColor indexed="64"/>
      </patternFill>
    </fill>
    <fill>
      <patternFill patternType="solid">
        <fgColor indexed="55"/>
        <bgColor indexed="64"/>
      </patternFill>
    </fill>
    <fill>
      <patternFill patternType="solid">
        <fgColor rgb="FF99CCFF"/>
        <bgColor indexed="64"/>
      </patternFill>
    </fill>
    <fill>
      <patternFill patternType="solid">
        <fgColor rgb="FFCCFFCC"/>
        <bgColor indexed="64"/>
      </patternFill>
    </fill>
    <fill>
      <patternFill patternType="solid">
        <fgColor rgb="FFFFCC99"/>
        <bgColor indexed="64"/>
      </patternFill>
    </fill>
    <fill>
      <patternFill patternType="solid">
        <fgColor rgb="FFFFFF99"/>
        <bgColor rgb="FF000000"/>
      </patternFill>
    </fill>
    <fill>
      <patternFill patternType="solid">
        <fgColor rgb="FFFFFF00"/>
        <bgColor indexed="64"/>
      </patternFill>
    </fill>
    <fill>
      <patternFill patternType="solid">
        <fgColor theme="0" tint="-0.249977111117893"/>
        <bgColor indexed="64"/>
      </patternFill>
    </fill>
    <fill>
      <patternFill patternType="solid">
        <fgColor rgb="FF00B050"/>
        <bgColor indexed="64"/>
      </patternFill>
    </fill>
    <fill>
      <patternFill patternType="solid">
        <fgColor rgb="FFFFC905"/>
        <bgColor indexed="64"/>
      </patternFill>
    </fill>
    <fill>
      <patternFill patternType="solid">
        <fgColor rgb="FFFF0000"/>
        <bgColor indexed="64"/>
      </patternFill>
    </fill>
    <fill>
      <patternFill patternType="solid">
        <fgColor theme="0" tint="-0.499984740745262"/>
        <bgColor indexed="64"/>
      </patternFill>
    </fill>
    <fill>
      <patternFill patternType="solid">
        <fgColor theme="1" tint="0.34998626667073579"/>
        <bgColor indexed="64"/>
      </patternFill>
    </fill>
    <fill>
      <patternFill patternType="solid">
        <fgColor rgb="FF75B000"/>
        <bgColor indexed="64"/>
      </patternFill>
    </fill>
    <fill>
      <patternFill patternType="solid">
        <fgColor rgb="FF99CCFF"/>
        <bgColor rgb="FF000000"/>
      </patternFill>
    </fill>
    <fill>
      <patternFill patternType="solid">
        <fgColor theme="9" tint="0.79998168889431442"/>
        <bgColor indexed="64"/>
      </patternFill>
    </fill>
    <fill>
      <patternFill patternType="solid">
        <fgColor theme="9" tint="0.39997558519241921"/>
        <bgColor indexed="64"/>
      </patternFill>
    </fill>
    <fill>
      <patternFill patternType="solid">
        <fgColor rgb="FFC0B1A5"/>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rgb="FFFFFF99"/>
        <bgColor indexed="64"/>
      </patternFill>
    </fill>
    <fill>
      <patternFill patternType="solid">
        <fgColor theme="4" tint="0.79998168889431442"/>
        <bgColor indexed="64"/>
      </patternFill>
    </fill>
    <fill>
      <patternFill patternType="solid">
        <fgColor rgb="FFFDE9D9"/>
        <bgColor indexed="64"/>
      </patternFill>
    </fill>
    <fill>
      <patternFill patternType="solid">
        <fgColor rgb="FFC0C0C0"/>
        <bgColor rgb="FF000000"/>
      </patternFill>
    </fill>
    <fill>
      <patternFill patternType="solid">
        <fgColor rgb="FFC0B1A5"/>
        <bgColor rgb="FF000000"/>
      </patternFill>
    </fill>
    <fill>
      <patternFill patternType="solid">
        <fgColor theme="9" tint="0.59999389629810485"/>
        <bgColor indexed="64"/>
      </patternFill>
    </fill>
    <fill>
      <patternFill patternType="solid">
        <fgColor rgb="FFFFFFFF"/>
        <bgColor rgb="FF000000"/>
      </patternFill>
    </fill>
    <fill>
      <patternFill patternType="solid">
        <fgColor rgb="FFCCFFCC"/>
        <bgColor rgb="FF000000"/>
      </patternFill>
    </fill>
    <fill>
      <patternFill patternType="solid">
        <fgColor rgb="FF02FF1B"/>
        <bgColor indexed="64"/>
      </patternFill>
    </fill>
    <fill>
      <patternFill patternType="solid">
        <fgColor rgb="FFFFFF00"/>
        <bgColor rgb="FF000000"/>
      </patternFill>
    </fill>
    <fill>
      <patternFill patternType="solid">
        <fgColor rgb="FF03FF15"/>
        <bgColor indexed="64"/>
      </patternFill>
    </fill>
    <fill>
      <patternFill patternType="solid">
        <fgColor rgb="FF05FF32"/>
        <bgColor indexed="64"/>
      </patternFill>
    </fill>
    <fill>
      <patternFill patternType="solid">
        <fgColor theme="8" tint="0.39997558519241921"/>
        <bgColor indexed="64"/>
      </patternFill>
    </fill>
    <fill>
      <patternFill patternType="solid">
        <fgColor theme="0" tint="-0.249977111117893"/>
        <bgColor rgb="FF000000"/>
      </patternFill>
    </fill>
    <fill>
      <patternFill patternType="solid">
        <fgColor theme="0" tint="-0.34998626667073579"/>
        <bgColor indexed="64"/>
      </patternFill>
    </fill>
    <fill>
      <patternFill patternType="solid">
        <fgColor rgb="FF3366FF"/>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8" tint="0.39997558519241921"/>
        <bgColor rgb="FF000000"/>
      </patternFill>
    </fill>
    <fill>
      <patternFill patternType="solid">
        <fgColor rgb="FFFDE9D9"/>
        <bgColor rgb="FF000000"/>
      </patternFill>
    </fill>
    <fill>
      <patternFill patternType="solid">
        <fgColor theme="0" tint="-0.14999847407452621"/>
        <bgColor indexed="64"/>
      </patternFill>
    </fill>
    <fill>
      <patternFill patternType="solid">
        <fgColor rgb="FFFFCC99"/>
        <bgColor rgb="FF000000"/>
      </patternFill>
    </fill>
    <fill>
      <patternFill patternType="solid">
        <fgColor rgb="FF969696"/>
        <bgColor rgb="FF000000"/>
      </patternFill>
    </fill>
    <fill>
      <patternFill patternType="solid">
        <fgColor rgb="FF89FF06"/>
        <bgColor indexed="64"/>
      </patternFill>
    </fill>
    <fill>
      <patternFill patternType="solid">
        <fgColor rgb="FF87FF03"/>
        <bgColor indexed="64"/>
      </patternFill>
    </fill>
    <fill>
      <patternFill patternType="solid">
        <fgColor rgb="FFFFE001"/>
        <bgColor indexed="64"/>
      </patternFill>
    </fill>
    <fill>
      <patternFill patternType="solid">
        <fgColor rgb="FF87FF03"/>
        <bgColor rgb="FF000000"/>
      </patternFill>
    </fill>
    <fill>
      <patternFill patternType="solid">
        <fgColor rgb="FFFFD802"/>
        <bgColor indexed="64"/>
      </patternFill>
    </fill>
    <fill>
      <patternFill patternType="solid">
        <fgColor rgb="FF84FF03"/>
        <bgColor indexed="64"/>
      </patternFill>
    </fill>
    <fill>
      <patternFill patternType="solid">
        <fgColor rgb="FFFFE702"/>
        <bgColor indexed="64"/>
      </patternFill>
    </fill>
    <fill>
      <patternFill patternType="solid">
        <fgColor rgb="FFFFE303"/>
        <bgColor indexed="64"/>
      </patternFill>
    </fill>
    <fill>
      <patternFill patternType="solid">
        <fgColor rgb="FFFFDE03"/>
        <bgColor indexed="64"/>
      </patternFill>
    </fill>
    <fill>
      <patternFill patternType="solid">
        <fgColor rgb="FFFFE105"/>
        <bgColor indexed="64"/>
      </patternFill>
    </fill>
    <fill>
      <patternFill patternType="solid">
        <fgColor rgb="FF86FF06"/>
        <bgColor indexed="64"/>
      </patternFill>
    </fill>
    <fill>
      <patternFill patternType="solid">
        <fgColor rgb="FFFFE200"/>
        <bgColor indexed="64"/>
      </patternFill>
    </fill>
    <fill>
      <patternFill patternType="solid">
        <fgColor rgb="FF86FF0C"/>
        <bgColor indexed="64"/>
      </patternFill>
    </fill>
    <fill>
      <patternFill patternType="solid">
        <fgColor rgb="FF84FF03"/>
        <bgColor rgb="FF000000"/>
      </patternFill>
    </fill>
    <fill>
      <patternFill patternType="solid">
        <fgColor rgb="FFEEFFB7"/>
        <bgColor indexed="64"/>
      </patternFill>
    </fill>
    <fill>
      <patternFill patternType="solid">
        <fgColor rgb="FFFFE702"/>
        <bgColor rgb="FF000000"/>
      </patternFill>
    </fill>
  </fills>
  <borders count="76">
    <border>
      <left/>
      <right/>
      <top/>
      <bottom/>
      <diagonal/>
    </border>
    <border>
      <left style="medium">
        <color auto="1"/>
      </left>
      <right style="medium">
        <color auto="1"/>
      </right>
      <top style="medium">
        <color auto="1"/>
      </top>
      <bottom style="medium">
        <color auto="1"/>
      </bottom>
      <diagonal/>
    </border>
    <border>
      <left/>
      <right style="medium">
        <color auto="1"/>
      </right>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medium">
        <color auto="1"/>
      </bottom>
      <diagonal/>
    </border>
    <border>
      <left/>
      <right style="medium">
        <color auto="1"/>
      </right>
      <top/>
      <bottom/>
      <diagonal/>
    </border>
    <border>
      <left style="medium">
        <color auto="1"/>
      </left>
      <right style="medium">
        <color auto="1"/>
      </right>
      <top style="medium">
        <color auto="1"/>
      </top>
      <bottom/>
      <diagonal/>
    </border>
    <border>
      <left style="medium">
        <color auto="1"/>
      </left>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auto="1"/>
      </right>
      <top/>
      <bottom/>
      <diagonal/>
    </border>
    <border>
      <left style="medium">
        <color auto="1"/>
      </left>
      <right/>
      <top style="medium">
        <color auto="1"/>
      </top>
      <bottom/>
      <diagonal/>
    </border>
    <border>
      <left style="medium">
        <color auto="1"/>
      </left>
      <right/>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right style="medium">
        <color auto="1"/>
      </right>
      <top style="medium">
        <color auto="1"/>
      </top>
      <bottom/>
      <diagonal/>
    </border>
    <border>
      <left/>
      <right/>
      <top style="medium">
        <color auto="1"/>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medium">
        <color auto="1"/>
      </left>
      <right style="thin">
        <color theme="0" tint="-0.249977111117893"/>
      </right>
      <top style="medium">
        <color auto="1"/>
      </top>
      <bottom style="medium">
        <color auto="1"/>
      </bottom>
      <diagonal/>
    </border>
    <border>
      <left style="thin">
        <color theme="0" tint="-0.249977111117893"/>
      </left>
      <right style="thin">
        <color theme="0" tint="-0.249977111117893"/>
      </right>
      <top style="medium">
        <color auto="1"/>
      </top>
      <bottom style="medium">
        <color auto="1"/>
      </bottom>
      <diagonal/>
    </border>
    <border>
      <left style="thin">
        <color theme="0" tint="-0.249977111117893"/>
      </left>
      <right style="medium">
        <color auto="1"/>
      </right>
      <top style="medium">
        <color auto="1"/>
      </top>
      <bottom style="medium">
        <color auto="1"/>
      </bottom>
      <diagonal/>
    </border>
    <border>
      <left style="thin">
        <color theme="0" tint="-0.249977111117893"/>
      </left>
      <right style="thin">
        <color theme="0" tint="-0.249977111117893"/>
      </right>
      <top/>
      <bottom style="thin">
        <color theme="0" tint="-0.249977111117893"/>
      </bottom>
      <diagonal/>
    </border>
    <border>
      <left style="medium">
        <color auto="1"/>
      </left>
      <right style="medium">
        <color auto="1"/>
      </right>
      <top style="medium">
        <color auto="1"/>
      </top>
      <bottom style="medium">
        <color theme="0"/>
      </bottom>
      <diagonal/>
    </border>
    <border>
      <left style="medium">
        <color auto="1"/>
      </left>
      <right style="medium">
        <color auto="1"/>
      </right>
      <top style="medium">
        <color theme="0"/>
      </top>
      <bottom style="medium">
        <color theme="0"/>
      </bottom>
      <diagonal/>
    </border>
    <border>
      <left style="medium">
        <color auto="1"/>
      </left>
      <right style="medium">
        <color auto="1"/>
      </right>
      <top style="medium">
        <color theme="0"/>
      </top>
      <bottom style="medium">
        <color auto="1"/>
      </bottom>
      <diagonal/>
    </border>
    <border>
      <left style="thin">
        <color theme="0" tint="-0.249977111117893"/>
      </left>
      <right style="thin">
        <color theme="0" tint="-0.249977111117893"/>
      </right>
      <top/>
      <bottom/>
      <diagonal/>
    </border>
    <border>
      <left style="medium">
        <color rgb="FF000000"/>
      </left>
      <right/>
      <top style="medium">
        <color auto="1"/>
      </top>
      <bottom style="medium">
        <color auto="1"/>
      </bottom>
      <diagonal/>
    </border>
    <border>
      <left/>
      <right style="medium">
        <color rgb="FF000000"/>
      </right>
      <top style="medium">
        <color auto="1"/>
      </top>
      <bottom style="medium">
        <color auto="1"/>
      </bottom>
      <diagonal/>
    </border>
    <border>
      <left style="thin">
        <color theme="0" tint="-0.249977111117893"/>
      </left>
      <right/>
      <top style="medium">
        <color auto="1"/>
      </top>
      <bottom style="medium">
        <color auto="1"/>
      </bottom>
      <diagonal/>
    </border>
    <border>
      <left style="medium">
        <color auto="1"/>
      </left>
      <right style="thin">
        <color theme="0" tint="-0.249977111117893"/>
      </right>
      <top style="thin">
        <color theme="0" tint="-0.249977111117893"/>
      </top>
      <bottom style="thin">
        <color theme="0" tint="-0.249977111117893"/>
      </bottom>
      <diagonal/>
    </border>
    <border>
      <left style="medium">
        <color auto="1"/>
      </left>
      <right style="thin">
        <color theme="0" tint="-0.249977111117893"/>
      </right>
      <top style="thin">
        <color theme="0" tint="-0.249977111117893"/>
      </top>
      <bottom style="medium">
        <color auto="1"/>
      </bottom>
      <diagonal/>
    </border>
    <border>
      <left style="medium">
        <color auto="1"/>
      </left>
      <right style="thin">
        <color theme="0" tint="-0.249977111117893"/>
      </right>
      <top style="medium">
        <color auto="1"/>
      </top>
      <bottom style="thin">
        <color theme="0" tint="-0.249977111117893"/>
      </bottom>
      <diagonal/>
    </border>
    <border>
      <left style="thin">
        <color theme="0" tint="-0.249977111117893"/>
      </left>
      <right style="medium">
        <color auto="1"/>
      </right>
      <top style="medium">
        <color auto="1"/>
      </top>
      <bottom style="thin">
        <color theme="0" tint="-0.249977111117893"/>
      </bottom>
      <diagonal/>
    </border>
    <border>
      <left style="thin">
        <color theme="0" tint="-0.249977111117893"/>
      </left>
      <right style="medium">
        <color auto="1"/>
      </right>
      <top style="thin">
        <color theme="0" tint="-0.249977111117893"/>
      </top>
      <bottom style="thin">
        <color theme="0" tint="-0.249977111117893"/>
      </bottom>
      <diagonal/>
    </border>
    <border>
      <left style="thin">
        <color theme="0" tint="-0.249977111117893"/>
      </left>
      <right style="medium">
        <color auto="1"/>
      </right>
      <top style="thin">
        <color theme="0" tint="-0.249977111117893"/>
      </top>
      <bottom style="medium">
        <color auto="1"/>
      </bottom>
      <diagonal/>
    </border>
    <border>
      <left style="medium">
        <color auto="1"/>
      </left>
      <right style="thin">
        <color theme="0" tint="-0.249977111117893"/>
      </right>
      <top/>
      <bottom style="thin">
        <color theme="0" tint="-0.249977111117893"/>
      </bottom>
      <diagonal/>
    </border>
    <border>
      <left style="thin">
        <color theme="0" tint="-0.249977111117893"/>
      </left>
      <right style="medium">
        <color auto="1"/>
      </right>
      <top/>
      <bottom style="thin">
        <color theme="0" tint="-0.249977111117893"/>
      </bottom>
      <diagonal/>
    </border>
    <border>
      <left/>
      <right style="thin">
        <color auto="1"/>
      </right>
      <top style="medium">
        <color auto="1"/>
      </top>
      <bottom style="medium">
        <color auto="1"/>
      </bottom>
      <diagonal/>
    </border>
    <border>
      <left style="medium">
        <color rgb="FFBEFF5A"/>
      </left>
      <right style="medium">
        <color rgb="FFBEFF5A"/>
      </right>
      <top style="medium">
        <color rgb="FFBEFF5A"/>
      </top>
      <bottom style="medium">
        <color rgb="FFBEFF5A"/>
      </bottom>
      <diagonal/>
    </border>
    <border>
      <left style="thin">
        <color auto="1"/>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theme="0" tint="-0.249977111117893"/>
      </left>
      <right/>
      <top/>
      <bottom style="thin">
        <color theme="0" tint="-0.249977111117893"/>
      </bottom>
      <diagonal/>
    </border>
    <border>
      <left/>
      <right/>
      <top/>
      <bottom style="thin">
        <color theme="0" tint="-0.249977111117893"/>
      </bottom>
      <diagonal/>
    </border>
    <border>
      <left style="medium">
        <color auto="1"/>
      </left>
      <right style="medium">
        <color auto="1"/>
      </right>
      <top/>
      <bottom style="medium">
        <color rgb="FF000000"/>
      </bottom>
      <diagonal/>
    </border>
    <border>
      <left/>
      <right style="medium">
        <color rgb="FF000000"/>
      </right>
      <top style="medium">
        <color auto="1"/>
      </top>
      <bottom/>
      <diagonal/>
    </border>
    <border>
      <left style="medium">
        <color auto="1"/>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auto="1"/>
      </left>
      <right style="medium">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s>
  <cellStyleXfs count="2016">
    <xf numFmtId="0" fontId="0" fillId="0" borderId="0"/>
    <xf numFmtId="43" fontId="11" fillId="0" borderId="0" applyFont="0" applyFill="0" applyBorder="0" applyAlignment="0" applyProtection="0"/>
    <xf numFmtId="43" fontId="15"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1" fillId="0" borderId="0"/>
    <xf numFmtId="37" fontId="11"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2" fillId="0" borderId="0"/>
    <xf numFmtId="0" fontId="16" fillId="0" borderId="0" applyNumberFormat="0" applyFill="0" applyBorder="0" applyAlignment="0" applyProtection="0"/>
    <xf numFmtId="0" fontId="11" fillId="0" borderId="0"/>
    <xf numFmtId="0" fontId="11" fillId="0" borderId="0"/>
    <xf numFmtId="43" fontId="11"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43" fontId="11"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cellStyleXfs>
  <cellXfs count="1428">
    <xf numFmtId="0" fontId="0" fillId="0" borderId="0" xfId="0"/>
    <xf numFmtId="0" fontId="1" fillId="9" borderId="1" xfId="0" applyFont="1" applyFill="1" applyBorder="1" applyAlignment="1">
      <alignment horizontal="left" vertical="center" wrapText="1"/>
    </xf>
    <xf numFmtId="0" fontId="2" fillId="0" borderId="2" xfId="0" applyFont="1" applyBorder="1" applyAlignment="1" applyProtection="1">
      <alignment horizontal="left" vertical="center" wrapText="1"/>
      <protection locked="0"/>
    </xf>
    <xf numFmtId="0" fontId="1" fillId="3" borderId="1" xfId="0" applyFont="1" applyFill="1" applyBorder="1" applyAlignment="1" applyProtection="1">
      <alignment horizontal="left" vertical="center" wrapText="1"/>
    </xf>
    <xf numFmtId="0" fontId="0" fillId="0" borderId="0" xfId="0" applyFont="1" applyAlignment="1" applyProtection="1">
      <alignment horizontal="left" vertical="center"/>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vertical="center" wrapText="1"/>
    </xf>
    <xf numFmtId="0" fontId="1" fillId="2" borderId="1" xfId="0" applyFont="1" applyFill="1" applyBorder="1" applyAlignment="1" applyProtection="1">
      <alignment horizontal="left" vertical="center" wrapText="1"/>
    </xf>
    <xf numFmtId="0" fontId="1" fillId="3" borderId="3" xfId="0" applyFont="1" applyFill="1" applyBorder="1" applyAlignment="1" applyProtection="1">
      <alignment vertical="center" wrapText="1"/>
    </xf>
    <xf numFmtId="0" fontId="1" fillId="0" borderId="1" xfId="0" applyFont="1" applyBorder="1" applyAlignment="1" applyProtection="1">
      <alignment vertical="center" wrapText="1"/>
    </xf>
    <xf numFmtId="0" fontId="1" fillId="0" borderId="4" xfId="0" applyFont="1" applyBorder="1" applyAlignment="1" applyProtection="1">
      <alignment vertical="center" wrapText="1"/>
    </xf>
    <xf numFmtId="0" fontId="1" fillId="3" borderId="2" xfId="0" applyFont="1" applyFill="1" applyBorder="1" applyAlignment="1" applyProtection="1">
      <alignment horizontal="left" vertical="center" wrapText="1"/>
    </xf>
    <xf numFmtId="0" fontId="7" fillId="3" borderId="2" xfId="0" applyFont="1" applyFill="1" applyBorder="1" applyAlignment="1" applyProtection="1">
      <alignment vertical="center" wrapText="1"/>
    </xf>
    <xf numFmtId="0" fontId="1" fillId="0" borderId="1" xfId="0" applyFont="1" applyBorder="1" applyAlignment="1" applyProtection="1">
      <alignment vertical="top" wrapText="1"/>
    </xf>
    <xf numFmtId="0" fontId="7" fillId="0" borderId="0" xfId="0" applyFont="1" applyFill="1" applyBorder="1" applyAlignment="1" applyProtection="1">
      <alignment vertical="center" wrapText="1"/>
    </xf>
    <xf numFmtId="0" fontId="1" fillId="9" borderId="1" xfId="0" applyFont="1" applyFill="1" applyBorder="1" applyAlignment="1" applyProtection="1">
      <alignment horizontal="left" vertical="center" wrapText="1"/>
    </xf>
    <xf numFmtId="0" fontId="1" fillId="4" borderId="3" xfId="0" applyFont="1" applyFill="1" applyBorder="1" applyAlignment="1" applyProtection="1">
      <alignment horizontal="left" vertical="center" wrapText="1"/>
    </xf>
    <xf numFmtId="0" fontId="1" fillId="10" borderId="2" xfId="0" applyFont="1" applyFill="1" applyBorder="1" applyAlignment="1" applyProtection="1">
      <alignment horizontal="left" vertical="center" wrapText="1"/>
    </xf>
    <xf numFmtId="0" fontId="2" fillId="0" borderId="2" xfId="0" applyFont="1" applyBorder="1" applyAlignment="1" applyProtection="1">
      <alignment horizontal="left" vertical="center" wrapText="1"/>
    </xf>
    <xf numFmtId="0" fontId="1" fillId="11" borderId="3" xfId="0" applyFont="1" applyFill="1" applyBorder="1" applyAlignment="1" applyProtection="1">
      <alignment horizontal="left" vertical="center" wrapText="1"/>
    </xf>
    <xf numFmtId="0" fontId="1" fillId="10" borderId="2" xfId="0" applyFont="1" applyFill="1" applyBorder="1" applyAlignment="1" applyProtection="1">
      <alignment horizontal="center" vertical="center" wrapText="1"/>
    </xf>
    <xf numFmtId="0" fontId="1" fillId="0" borderId="5" xfId="0" applyFont="1" applyFill="1" applyBorder="1" applyAlignment="1" applyProtection="1">
      <alignment horizontal="left" vertical="center" wrapText="1"/>
    </xf>
    <xf numFmtId="0" fontId="1" fillId="0" borderId="5" xfId="0" applyFont="1" applyFill="1" applyBorder="1" applyAlignment="1" applyProtection="1">
      <alignment vertical="center" wrapText="1"/>
    </xf>
    <xf numFmtId="0" fontId="1" fillId="0" borderId="6" xfId="0" applyFont="1" applyBorder="1" applyAlignment="1" applyProtection="1">
      <alignment vertical="center" wrapText="1"/>
    </xf>
    <xf numFmtId="0" fontId="1" fillId="4" borderId="2" xfId="0" applyFont="1" applyFill="1" applyBorder="1" applyAlignment="1" applyProtection="1">
      <alignment horizontal="left" vertical="center" wrapText="1"/>
    </xf>
    <xf numFmtId="0" fontId="2" fillId="6" borderId="4" xfId="0" applyFont="1" applyFill="1" applyBorder="1" applyAlignment="1" applyProtection="1">
      <alignment horizontal="left" vertical="center" wrapText="1"/>
    </xf>
    <xf numFmtId="0" fontId="1" fillId="0" borderId="7" xfId="0" applyFont="1" applyBorder="1" applyAlignment="1" applyProtection="1">
      <alignment vertical="center" wrapText="1"/>
    </xf>
    <xf numFmtId="0" fontId="1" fillId="0" borderId="0" xfId="0" applyFont="1" applyAlignment="1" applyProtection="1">
      <alignment vertical="center"/>
    </xf>
    <xf numFmtId="0" fontId="3" fillId="3" borderId="2" xfId="0" applyFont="1" applyFill="1" applyBorder="1" applyAlignment="1" applyProtection="1">
      <alignment vertical="center" wrapText="1"/>
    </xf>
    <xf numFmtId="0" fontId="2" fillId="0" borderId="0" xfId="0" applyFont="1" applyAlignment="1" applyProtection="1">
      <alignment horizontal="left" vertical="center" wrapText="1"/>
    </xf>
    <xf numFmtId="0" fontId="1" fillId="12" borderId="1" xfId="0" applyFont="1" applyFill="1" applyBorder="1" applyAlignment="1" applyProtection="1">
      <alignment horizontal="left" vertical="center" wrapText="1"/>
    </xf>
    <xf numFmtId="0" fontId="2" fillId="0" borderId="0" xfId="0" applyFont="1" applyBorder="1" applyAlignment="1" applyProtection="1">
      <alignment horizontal="left" vertical="center"/>
    </xf>
    <xf numFmtId="0" fontId="2" fillId="0" borderId="0" xfId="0" applyFont="1" applyBorder="1" applyAlignment="1" applyProtection="1">
      <alignment horizontal="left" vertical="center" wrapText="1"/>
    </xf>
    <xf numFmtId="0" fontId="1" fillId="11" borderId="1" xfId="0" applyFont="1" applyFill="1" applyBorder="1" applyAlignment="1" applyProtection="1">
      <alignment horizontal="left" vertical="center" wrapText="1"/>
    </xf>
    <xf numFmtId="0" fontId="2" fillId="0" borderId="1" xfId="0" applyFont="1" applyBorder="1" applyAlignment="1" applyProtection="1">
      <alignment horizontal="left" vertical="top" wrapText="1"/>
      <protection locked="0"/>
    </xf>
    <xf numFmtId="0" fontId="2" fillId="0" borderId="1" xfId="0" applyFont="1" applyFill="1" applyBorder="1" applyAlignment="1" applyProtection="1">
      <alignment horizontal="left" vertical="top" wrapText="1"/>
      <protection locked="0"/>
    </xf>
    <xf numFmtId="0" fontId="0" fillId="0" borderId="0" xfId="0" applyAlignment="1" applyProtection="1">
      <alignment wrapText="1"/>
    </xf>
    <xf numFmtId="0" fontId="2" fillId="0" borderId="8" xfId="0" applyFont="1" applyBorder="1" applyAlignment="1" applyProtection="1">
      <alignment horizontal="left" vertical="center" wrapText="1"/>
    </xf>
    <xf numFmtId="0" fontId="4" fillId="0" borderId="0" xfId="0" applyFont="1" applyBorder="1" applyAlignment="1" applyProtection="1">
      <alignment vertical="top"/>
    </xf>
    <xf numFmtId="0" fontId="5" fillId="0" borderId="0" xfId="0" applyFont="1" applyBorder="1" applyAlignment="1" applyProtection="1">
      <alignment vertical="top"/>
    </xf>
    <xf numFmtId="0" fontId="5" fillId="0" borderId="0" xfId="0" applyFont="1" applyBorder="1" applyAlignment="1" applyProtection="1">
      <alignment horizontal="center" vertical="top"/>
    </xf>
    <xf numFmtId="0" fontId="5" fillId="0" borderId="23" xfId="0" applyFont="1" applyBorder="1" applyAlignment="1" applyProtection="1">
      <alignment vertical="top"/>
    </xf>
    <xf numFmtId="0" fontId="4" fillId="0" borderId="23" xfId="0" applyFont="1" applyBorder="1" applyAlignment="1" applyProtection="1">
      <alignment vertical="top"/>
    </xf>
    <xf numFmtId="164" fontId="4" fillId="13" borderId="23" xfId="0" applyNumberFormat="1" applyFont="1" applyFill="1" applyBorder="1" applyAlignment="1" applyProtection="1">
      <alignment horizontal="center" vertical="top"/>
    </xf>
    <xf numFmtId="164" fontId="4" fillId="10" borderId="23" xfId="0" applyNumberFormat="1" applyFont="1" applyFill="1" applyBorder="1" applyAlignment="1" applyProtection="1">
      <alignment horizontal="center" vertical="top"/>
    </xf>
    <xf numFmtId="0" fontId="5" fillId="0" borderId="23" xfId="0" applyFont="1" applyFill="1" applyBorder="1" applyAlignment="1" applyProtection="1">
      <alignment vertical="top"/>
    </xf>
    <xf numFmtId="0" fontId="4" fillId="0" borderId="23" xfId="0" applyFont="1" applyFill="1" applyBorder="1" applyAlignment="1" applyProtection="1">
      <alignment vertical="top"/>
    </xf>
    <xf numFmtId="164" fontId="4" fillId="14" borderId="23" xfId="0" applyNumberFormat="1" applyFont="1" applyFill="1" applyBorder="1" applyAlignment="1" applyProtection="1">
      <alignment horizontal="center" vertical="top"/>
    </xf>
    <xf numFmtId="164" fontId="4" fillId="0" borderId="23" xfId="0" applyNumberFormat="1" applyFont="1" applyFill="1" applyBorder="1" applyAlignment="1" applyProtection="1">
      <alignment horizontal="center" vertical="top"/>
    </xf>
    <xf numFmtId="0" fontId="4" fillId="0" borderId="0" xfId="0" applyFont="1" applyFill="1" applyBorder="1" applyAlignment="1" applyProtection="1">
      <alignment vertical="top"/>
    </xf>
    <xf numFmtId="1" fontId="4" fillId="13" borderId="23" xfId="0" applyNumberFormat="1" applyFont="1" applyFill="1" applyBorder="1" applyAlignment="1" applyProtection="1">
      <alignment horizontal="center" vertical="top"/>
    </xf>
    <xf numFmtId="1" fontId="4" fillId="10" borderId="23" xfId="0" applyNumberFormat="1" applyFont="1" applyFill="1" applyBorder="1" applyAlignment="1" applyProtection="1">
      <alignment horizontal="center" vertical="top"/>
    </xf>
    <xf numFmtId="1" fontId="4" fillId="14" borderId="23" xfId="0" applyNumberFormat="1" applyFont="1" applyFill="1" applyBorder="1" applyAlignment="1" applyProtection="1">
      <alignment horizontal="center" vertical="top"/>
    </xf>
    <xf numFmtId="1" fontId="4" fillId="0" borderId="23" xfId="0" applyNumberFormat="1" applyFont="1" applyFill="1" applyBorder="1" applyAlignment="1" applyProtection="1">
      <alignment horizontal="center" vertical="top"/>
    </xf>
    <xf numFmtId="0" fontId="4" fillId="0" borderId="0" xfId="0" applyFont="1" applyBorder="1" applyAlignment="1" applyProtection="1">
      <alignment horizontal="center" vertical="top"/>
    </xf>
    <xf numFmtId="0" fontId="6" fillId="0" borderId="0" xfId="0" applyFont="1" applyBorder="1" applyAlignment="1" applyProtection="1">
      <alignment horizontal="right" vertical="top"/>
    </xf>
    <xf numFmtId="0" fontId="18" fillId="19" borderId="23" xfId="0" applyFont="1" applyFill="1" applyBorder="1" applyAlignment="1" applyProtection="1">
      <alignment horizontal="center" vertical="top"/>
    </xf>
    <xf numFmtId="0" fontId="18" fillId="19" borderId="0" xfId="0" applyFont="1" applyFill="1" applyBorder="1" applyAlignment="1" applyProtection="1">
      <alignment vertical="top"/>
    </xf>
    <xf numFmtId="0" fontId="19" fillId="14" borderId="0" xfId="0" applyFont="1" applyFill="1" applyBorder="1" applyAlignment="1" applyProtection="1">
      <alignment vertical="top"/>
    </xf>
    <xf numFmtId="0" fontId="20" fillId="0" borderId="0" xfId="0" applyFont="1" applyFill="1" applyBorder="1" applyAlignment="1" applyProtection="1">
      <alignment horizontal="right" vertical="top"/>
    </xf>
    <xf numFmtId="0" fontId="21" fillId="0" borderId="24" xfId="0" applyFont="1" applyBorder="1" applyAlignment="1">
      <alignment horizontal="left" vertical="center"/>
    </xf>
    <xf numFmtId="0" fontId="9" fillId="0" borderId="0" xfId="0" applyFont="1" applyAlignment="1">
      <alignment horizontal="left" vertical="center"/>
    </xf>
    <xf numFmtId="0" fontId="22" fillId="20" borderId="0" xfId="0" applyFont="1" applyFill="1" applyBorder="1" applyAlignment="1">
      <alignment horizontal="left" vertical="center" wrapText="1"/>
    </xf>
    <xf numFmtId="0" fontId="1" fillId="21" borderId="1" xfId="0" applyFont="1" applyFill="1" applyBorder="1" applyAlignment="1">
      <alignment horizontal="left" vertical="center" wrapText="1"/>
    </xf>
    <xf numFmtId="0" fontId="22" fillId="20" borderId="9" xfId="0" applyFont="1" applyFill="1" applyBorder="1" applyAlignment="1" applyProtection="1">
      <alignment horizontal="left" vertical="center" wrapText="1"/>
    </xf>
    <xf numFmtId="0" fontId="22" fillId="20" borderId="10" xfId="0" applyFont="1" applyFill="1" applyBorder="1" applyAlignment="1" applyProtection="1">
      <alignment horizontal="left" vertical="center"/>
    </xf>
    <xf numFmtId="0" fontId="22" fillId="20" borderId="3" xfId="0" applyFont="1" applyFill="1" applyBorder="1" applyAlignment="1" applyProtection="1">
      <alignment horizontal="left" vertical="center"/>
    </xf>
    <xf numFmtId="0" fontId="9" fillId="0" borderId="0" xfId="0" applyFont="1" applyAlignment="1" applyProtection="1">
      <alignment horizontal="left" vertical="center"/>
    </xf>
    <xf numFmtId="1" fontId="2" fillId="0" borderId="1" xfId="0" applyNumberFormat="1" applyFont="1" applyFill="1" applyBorder="1" applyAlignment="1" applyProtection="1">
      <alignment horizontal="left" vertical="center" wrapText="1"/>
    </xf>
    <xf numFmtId="164" fontId="4" fillId="22" borderId="23" xfId="0" applyNumberFormat="1" applyFont="1" applyFill="1" applyBorder="1" applyAlignment="1" applyProtection="1">
      <alignment horizontal="center" vertical="top"/>
    </xf>
    <xf numFmtId="1" fontId="4" fillId="22" borderId="23" xfId="0" applyNumberFormat="1" applyFont="1" applyFill="1" applyBorder="1" applyAlignment="1" applyProtection="1">
      <alignment horizontal="center" vertical="top"/>
    </xf>
    <xf numFmtId="1" fontId="4" fillId="14" borderId="25" xfId="0" applyNumberFormat="1" applyFont="1" applyFill="1" applyBorder="1" applyAlignment="1" applyProtection="1">
      <alignment horizontal="center" vertical="top"/>
    </xf>
    <xf numFmtId="1" fontId="4" fillId="22" borderId="26" xfId="0" applyNumberFormat="1" applyFont="1" applyFill="1" applyBorder="1" applyAlignment="1" applyProtection="1">
      <alignment horizontal="center" vertical="top"/>
    </xf>
    <xf numFmtId="1" fontId="4" fillId="10" borderId="27" xfId="0" applyNumberFormat="1" applyFont="1" applyFill="1" applyBorder="1" applyAlignment="1" applyProtection="1">
      <alignment horizontal="center" vertical="top"/>
    </xf>
    <xf numFmtId="1" fontId="4" fillId="13" borderId="27" xfId="0" applyNumberFormat="1" applyFont="1" applyFill="1" applyBorder="1" applyAlignment="1" applyProtection="1">
      <alignment horizontal="center" vertical="top"/>
    </xf>
    <xf numFmtId="1" fontId="4" fillId="0" borderId="31" xfId="0" applyNumberFormat="1" applyFont="1" applyFill="1" applyBorder="1" applyAlignment="1" applyProtection="1">
      <alignment horizontal="center" vertical="top"/>
    </xf>
    <xf numFmtId="1" fontId="4" fillId="22" borderId="11" xfId="0" applyNumberFormat="1" applyFont="1" applyFill="1" applyBorder="1" applyAlignment="1" applyProtection="1">
      <alignment horizontal="center" vertical="top"/>
      <protection locked="0"/>
    </xf>
    <xf numFmtId="1" fontId="4" fillId="22" borderId="12" xfId="0" applyNumberFormat="1" applyFont="1" applyFill="1" applyBorder="1" applyAlignment="1" applyProtection="1">
      <alignment horizontal="center" vertical="top"/>
      <protection locked="0"/>
    </xf>
    <xf numFmtId="1" fontId="4" fillId="22" borderId="13" xfId="0" applyNumberFormat="1" applyFont="1" applyFill="1" applyBorder="1" applyAlignment="1" applyProtection="1">
      <alignment horizontal="center" vertical="top"/>
      <protection locked="0"/>
    </xf>
    <xf numFmtId="164" fontId="4" fillId="14" borderId="25" xfId="0" applyNumberFormat="1" applyFont="1" applyFill="1" applyBorder="1" applyAlignment="1" applyProtection="1">
      <alignment horizontal="center" vertical="top"/>
    </xf>
    <xf numFmtId="164" fontId="4" fillId="22" borderId="26" xfId="0" applyNumberFormat="1" applyFont="1" applyFill="1" applyBorder="1" applyAlignment="1" applyProtection="1">
      <alignment horizontal="center" vertical="top"/>
    </xf>
    <xf numFmtId="164" fontId="4" fillId="10" borderId="27" xfId="0" applyNumberFormat="1" applyFont="1" applyFill="1" applyBorder="1" applyAlignment="1" applyProtection="1">
      <alignment horizontal="center" vertical="top"/>
    </xf>
    <xf numFmtId="164" fontId="4" fillId="13" borderId="27" xfId="0" applyNumberFormat="1" applyFont="1" applyFill="1" applyBorder="1" applyAlignment="1" applyProtection="1">
      <alignment horizontal="center" vertical="top"/>
    </xf>
    <xf numFmtId="164" fontId="4" fillId="0" borderId="31" xfId="0" applyNumberFormat="1" applyFont="1" applyFill="1" applyBorder="1" applyAlignment="1" applyProtection="1">
      <alignment horizontal="center" vertical="top"/>
    </xf>
    <xf numFmtId="164" fontId="4" fillId="22" borderId="11" xfId="0" applyNumberFormat="1" applyFont="1" applyFill="1" applyBorder="1" applyAlignment="1" applyProtection="1">
      <alignment horizontal="center" vertical="top"/>
      <protection locked="0"/>
    </xf>
    <xf numFmtId="164" fontId="4" fillId="22" borderId="12" xfId="0" applyNumberFormat="1" applyFont="1" applyFill="1" applyBorder="1" applyAlignment="1" applyProtection="1">
      <alignment horizontal="center" vertical="top"/>
      <protection locked="0"/>
    </xf>
    <xf numFmtId="164" fontId="4" fillId="22" borderId="13" xfId="0" applyNumberFormat="1" applyFont="1" applyFill="1" applyBorder="1" applyAlignment="1" applyProtection="1">
      <alignment horizontal="center" vertical="top"/>
      <protection locked="0"/>
    </xf>
    <xf numFmtId="1" fontId="2" fillId="13" borderId="1" xfId="0" applyNumberFormat="1" applyFont="1" applyFill="1" applyBorder="1" applyAlignment="1" applyProtection="1">
      <alignment horizontal="left" vertical="center" wrapText="1"/>
    </xf>
    <xf numFmtId="164" fontId="2" fillId="13" borderId="1" xfId="0" applyNumberFormat="1" applyFont="1" applyFill="1" applyBorder="1" applyAlignment="1" applyProtection="1">
      <alignment horizontal="left" vertical="center" wrapText="1"/>
    </xf>
    <xf numFmtId="164" fontId="2" fillId="0" borderId="1" xfId="0" applyNumberFormat="1" applyFont="1" applyFill="1" applyBorder="1" applyAlignment="1" applyProtection="1">
      <alignment horizontal="left" vertical="center" wrapText="1"/>
    </xf>
    <xf numFmtId="0" fontId="1" fillId="0" borderId="2" xfId="0" applyFont="1" applyBorder="1" applyAlignment="1" applyProtection="1">
      <alignment vertical="center" wrapText="1"/>
    </xf>
    <xf numFmtId="0" fontId="1" fillId="0" borderId="3" xfId="0" applyFont="1" applyBorder="1" applyAlignment="1" applyProtection="1">
      <alignment vertical="center" wrapText="1"/>
    </xf>
    <xf numFmtId="0" fontId="1" fillId="3" borderId="6" xfId="0" applyFont="1" applyFill="1" applyBorder="1" applyAlignment="1" applyProtection="1">
      <alignment horizontal="left" vertical="center" wrapText="1"/>
    </xf>
    <xf numFmtId="0" fontId="2" fillId="6" borderId="14" xfId="0" applyFont="1" applyFill="1" applyBorder="1" applyAlignment="1" applyProtection="1">
      <alignment horizontal="left" vertical="top" wrapText="1"/>
    </xf>
    <xf numFmtId="0" fontId="2" fillId="6" borderId="4" xfId="0" applyFont="1" applyFill="1" applyBorder="1" applyAlignment="1" applyProtection="1">
      <alignment horizontal="left" vertical="top" wrapText="1"/>
    </xf>
    <xf numFmtId="0" fontId="1" fillId="2" borderId="7" xfId="0" applyFont="1" applyFill="1" applyBorder="1" applyAlignment="1" applyProtection="1">
      <alignment horizontal="left" vertical="center" wrapText="1"/>
    </xf>
    <xf numFmtId="0" fontId="1" fillId="2" borderId="4" xfId="0" applyFont="1" applyFill="1" applyBorder="1" applyAlignment="1" applyProtection="1">
      <alignment horizontal="left" vertical="center" wrapText="1"/>
    </xf>
    <xf numFmtId="0" fontId="1" fillId="3" borderId="3" xfId="0" applyFont="1" applyFill="1" applyBorder="1" applyAlignment="1" applyProtection="1">
      <alignment horizontal="left" vertical="center" wrapText="1"/>
    </xf>
    <xf numFmtId="0" fontId="1" fillId="0" borderId="4" xfId="0" applyFont="1" applyBorder="1" applyAlignment="1" applyProtection="1">
      <alignment vertical="center" wrapText="1"/>
      <protection locked="0"/>
    </xf>
    <xf numFmtId="0" fontId="1" fillId="0" borderId="14" xfId="0" applyFont="1" applyBorder="1" applyAlignment="1" applyProtection="1">
      <alignment vertical="center" wrapText="1"/>
    </xf>
    <xf numFmtId="0" fontId="1" fillId="22" borderId="1" xfId="0" applyFont="1" applyFill="1" applyBorder="1" applyAlignment="1" applyProtection="1">
      <alignment vertical="center" wrapText="1"/>
    </xf>
    <xf numFmtId="0" fontId="2" fillId="0" borderId="2" xfId="0" applyFont="1" applyBorder="1" applyAlignment="1" applyProtection="1">
      <alignment horizontal="left" vertical="top" wrapText="1"/>
    </xf>
    <xf numFmtId="0" fontId="1" fillId="22" borderId="4" xfId="0" applyFont="1" applyFill="1" applyBorder="1" applyAlignment="1" applyProtection="1">
      <alignment vertical="center" wrapText="1"/>
    </xf>
    <xf numFmtId="0" fontId="1" fillId="22" borderId="2" xfId="0" applyFont="1" applyFill="1" applyBorder="1" applyAlignment="1" applyProtection="1">
      <alignment vertical="center" wrapText="1"/>
    </xf>
    <xf numFmtId="1" fontId="2" fillId="0" borderId="2" xfId="0" applyNumberFormat="1" applyFont="1" applyBorder="1" applyAlignment="1" applyProtection="1">
      <alignment horizontal="left" vertical="center" wrapText="1"/>
    </xf>
    <xf numFmtId="1" fontId="2" fillId="22" borderId="2" xfId="0" applyNumberFormat="1" applyFont="1" applyFill="1" applyBorder="1" applyAlignment="1" applyProtection="1">
      <alignment horizontal="left" vertical="center" wrapText="1"/>
    </xf>
    <xf numFmtId="1" fontId="2" fillId="23" borderId="1" xfId="0" applyNumberFormat="1" applyFont="1" applyFill="1" applyBorder="1" applyAlignment="1" applyProtection="1">
      <alignment horizontal="left" vertical="center" wrapText="1"/>
    </xf>
    <xf numFmtId="1" fontId="2" fillId="24" borderId="9" xfId="0" applyNumberFormat="1" applyFont="1" applyFill="1" applyBorder="1" applyAlignment="1" applyProtection="1">
      <alignment horizontal="left" vertical="center" wrapText="1"/>
    </xf>
    <xf numFmtId="1" fontId="2" fillId="24" borderId="10" xfId="0" applyNumberFormat="1" applyFont="1" applyFill="1" applyBorder="1" applyAlignment="1" applyProtection="1">
      <alignment horizontal="left" vertical="center" wrapText="1"/>
    </xf>
    <xf numFmtId="1" fontId="2" fillId="24" borderId="3" xfId="0" applyNumberFormat="1" applyFont="1" applyFill="1" applyBorder="1" applyAlignment="1" applyProtection="1">
      <alignment horizontal="left" vertical="center" wrapText="1"/>
    </xf>
    <xf numFmtId="0" fontId="2" fillId="6" borderId="7" xfId="0" applyFont="1" applyFill="1" applyBorder="1" applyAlignment="1" applyProtection="1">
      <alignment horizontal="left" vertical="top" wrapText="1"/>
    </xf>
    <xf numFmtId="0" fontId="2" fillId="0" borderId="7" xfId="0" applyFont="1" applyFill="1" applyBorder="1" applyAlignment="1" applyProtection="1">
      <alignment horizontal="left" vertical="top" wrapText="1"/>
    </xf>
    <xf numFmtId="0" fontId="2" fillId="0" borderId="4" xfId="0" applyFont="1" applyBorder="1" applyAlignment="1" applyProtection="1">
      <alignment horizontal="left" vertical="top" wrapText="1"/>
      <protection locked="0"/>
    </xf>
    <xf numFmtId="1" fontId="2" fillId="0" borderId="2" xfId="0" applyNumberFormat="1" applyFont="1" applyBorder="1" applyAlignment="1" applyProtection="1">
      <alignment horizontal="left" vertical="center" wrapText="1"/>
      <protection locked="0"/>
    </xf>
    <xf numFmtId="164" fontId="23" fillId="25" borderId="2" xfId="0" applyNumberFormat="1" applyFont="1" applyFill="1" applyBorder="1" applyAlignment="1" applyProtection="1">
      <alignment horizontal="left" vertical="center" wrapText="1"/>
      <protection locked="0"/>
    </xf>
    <xf numFmtId="0" fontId="3" fillId="0" borderId="5" xfId="0" applyFont="1" applyFill="1" applyBorder="1" applyAlignment="1" applyProtection="1">
      <alignment horizontal="left" vertical="center"/>
    </xf>
    <xf numFmtId="0" fontId="2" fillId="13" borderId="2" xfId="0" applyFont="1" applyFill="1" applyBorder="1" applyAlignment="1" applyProtection="1">
      <alignment horizontal="left" vertical="center" wrapText="1"/>
      <protection locked="0"/>
    </xf>
    <xf numFmtId="1" fontId="2" fillId="22" borderId="2" xfId="0" applyNumberFormat="1" applyFont="1" applyFill="1" applyBorder="1" applyAlignment="1" applyProtection="1">
      <alignment horizontal="left" vertical="center" wrapText="1"/>
      <protection locked="0"/>
    </xf>
    <xf numFmtId="164" fontId="2" fillId="0" borderId="2" xfId="0" applyNumberFormat="1" applyFont="1" applyBorder="1" applyAlignment="1" applyProtection="1">
      <alignment horizontal="left" vertical="center" wrapText="1"/>
    </xf>
    <xf numFmtId="0" fontId="22" fillId="20" borderId="0" xfId="0" applyFont="1" applyFill="1" applyBorder="1" applyAlignment="1" applyProtection="1">
      <alignment horizontal="left" vertical="center" wrapText="1"/>
    </xf>
    <xf numFmtId="0" fontId="21" fillId="0" borderId="24" xfId="0" applyFont="1" applyBorder="1" applyAlignment="1" applyProtection="1">
      <alignment horizontal="left" vertical="center"/>
    </xf>
    <xf numFmtId="0" fontId="2" fillId="0" borderId="0" xfId="0" applyFont="1" applyAlignment="1" applyProtection="1">
      <alignment horizontal="left" vertical="center"/>
    </xf>
    <xf numFmtId="0" fontId="2" fillId="0" borderId="0" xfId="0" applyFont="1" applyAlignment="1" applyProtection="1">
      <alignment horizontal="left" vertical="top"/>
    </xf>
    <xf numFmtId="0" fontId="1" fillId="26" borderId="1" xfId="0" applyFont="1" applyFill="1" applyBorder="1" applyAlignment="1" applyProtection="1">
      <alignment horizontal="left" vertical="center" wrapText="1"/>
    </xf>
    <xf numFmtId="0" fontId="1" fillId="26" borderId="15" xfId="0" applyFont="1" applyFill="1" applyBorder="1" applyAlignment="1" applyProtection="1">
      <alignment horizontal="left" vertical="center" wrapText="1"/>
    </xf>
    <xf numFmtId="0" fontId="3" fillId="26" borderId="1" xfId="0" applyFont="1" applyFill="1" applyBorder="1" applyAlignment="1" applyProtection="1">
      <alignment horizontal="left" vertical="top" wrapText="1"/>
    </xf>
    <xf numFmtId="0" fontId="1" fillId="3" borderId="1" xfId="0" applyFont="1" applyFill="1" applyBorder="1" applyAlignment="1" applyProtection="1">
      <alignment horizontal="left" vertical="top" wrapText="1"/>
    </xf>
    <xf numFmtId="0" fontId="1" fillId="26" borderId="1" xfId="0" applyFont="1" applyFill="1" applyBorder="1" applyAlignment="1" applyProtection="1">
      <alignment horizontal="left" vertical="top" wrapText="1"/>
    </xf>
    <xf numFmtId="0" fontId="2" fillId="0" borderId="1" xfId="0" applyFont="1" applyBorder="1" applyAlignment="1" applyProtection="1">
      <alignment horizontal="left" vertical="top" wrapText="1"/>
    </xf>
    <xf numFmtId="0" fontId="1" fillId="12" borderId="1" xfId="0" applyFont="1" applyFill="1" applyBorder="1" applyAlignment="1" applyProtection="1">
      <alignment horizontal="left" vertical="top" wrapText="1"/>
    </xf>
    <xf numFmtId="0" fontId="2" fillId="0" borderId="32" xfId="0" applyFont="1" applyFill="1" applyBorder="1" applyAlignment="1" applyProtection="1">
      <alignment horizontal="left" vertical="top" wrapText="1"/>
    </xf>
    <xf numFmtId="0" fontId="2" fillId="0" borderId="33" xfId="0" applyFont="1" applyFill="1" applyBorder="1" applyAlignment="1" applyProtection="1">
      <alignment horizontal="left" vertical="top" wrapText="1"/>
    </xf>
    <xf numFmtId="0" fontId="2" fillId="0" borderId="34" xfId="0" applyFont="1" applyFill="1" applyBorder="1" applyAlignment="1" applyProtection="1">
      <alignment horizontal="left" vertical="top" wrapText="1"/>
    </xf>
    <xf numFmtId="0" fontId="2" fillId="0" borderId="0" xfId="0" applyFont="1" applyAlignment="1" applyProtection="1">
      <alignment vertical="top" wrapText="1"/>
      <protection locked="0"/>
    </xf>
    <xf numFmtId="0" fontId="2" fillId="0" borderId="32" xfId="0" applyFont="1" applyBorder="1" applyAlignment="1" applyProtection="1">
      <alignment horizontal="left" vertical="top" wrapText="1"/>
    </xf>
    <xf numFmtId="0" fontId="2" fillId="6" borderId="32" xfId="0" applyFont="1" applyFill="1" applyBorder="1" applyAlignment="1" applyProtection="1">
      <alignment horizontal="left" vertical="top" wrapText="1"/>
    </xf>
    <xf numFmtId="0" fontId="1" fillId="3" borderId="7" xfId="0" applyFont="1" applyFill="1" applyBorder="1" applyAlignment="1" applyProtection="1">
      <alignment horizontal="left" vertical="center" wrapText="1"/>
    </xf>
    <xf numFmtId="0" fontId="2" fillId="0" borderId="3" xfId="0" applyFont="1" applyBorder="1" applyAlignment="1" applyProtection="1">
      <alignment horizontal="left" vertical="top" wrapText="1"/>
      <protection locked="0"/>
    </xf>
    <xf numFmtId="0" fontId="2" fillId="0" borderId="8" xfId="0" applyFont="1" applyBorder="1" applyAlignment="1" applyProtection="1">
      <alignment horizontal="left" vertical="center"/>
    </xf>
    <xf numFmtId="0" fontId="1" fillId="11" borderId="1" xfId="0" applyFont="1" applyFill="1" applyBorder="1" applyAlignment="1" applyProtection="1">
      <alignment horizontal="left" vertical="top" wrapText="1"/>
    </xf>
    <xf numFmtId="0" fontId="2" fillId="0" borderId="1" xfId="0" applyFont="1" applyBorder="1" applyAlignment="1" applyProtection="1">
      <alignment horizontal="left" vertical="top"/>
    </xf>
    <xf numFmtId="0" fontId="1" fillId="10" borderId="1" xfId="0" applyFont="1" applyFill="1" applyBorder="1" applyAlignment="1" applyProtection="1">
      <alignment horizontal="left" vertical="center"/>
    </xf>
    <xf numFmtId="0" fontId="1" fillId="10" borderId="1" xfId="0" applyFont="1" applyFill="1" applyBorder="1" applyAlignment="1" applyProtection="1">
      <alignment horizontal="left" vertical="center" wrapText="1"/>
    </xf>
    <xf numFmtId="0" fontId="1" fillId="10" borderId="1" xfId="0" applyFont="1" applyFill="1" applyBorder="1" applyAlignment="1" applyProtection="1">
      <alignment horizontal="left" vertical="top" wrapText="1"/>
    </xf>
    <xf numFmtId="0" fontId="2" fillId="6" borderId="1" xfId="0" applyFont="1" applyFill="1" applyBorder="1" applyAlignment="1" applyProtection="1">
      <alignment horizontal="left" vertical="top" wrapText="1"/>
    </xf>
    <xf numFmtId="0" fontId="1" fillId="0" borderId="1" xfId="0" applyFont="1" applyFill="1" applyBorder="1" applyAlignment="1" applyProtection="1">
      <alignment horizontal="left" vertical="top" wrapText="1"/>
    </xf>
    <xf numFmtId="0" fontId="2" fillId="0" borderId="0" xfId="0" applyFont="1" applyBorder="1" applyAlignment="1" applyProtection="1">
      <alignment horizontal="left" vertical="top"/>
    </xf>
    <xf numFmtId="0" fontId="2" fillId="0" borderId="6" xfId="0" applyFont="1" applyBorder="1" applyAlignment="1" applyProtection="1">
      <alignment horizontal="left" vertical="center"/>
    </xf>
    <xf numFmtId="3" fontId="2" fillId="0" borderId="1" xfId="0" applyNumberFormat="1" applyFont="1" applyBorder="1" applyAlignment="1" applyProtection="1">
      <alignment horizontal="left" vertical="top" wrapText="1"/>
    </xf>
    <xf numFmtId="1" fontId="2" fillId="0" borderId="1" xfId="0" applyNumberFormat="1" applyFont="1" applyBorder="1" applyAlignment="1" applyProtection="1">
      <alignment horizontal="left" vertical="top" wrapText="1"/>
    </xf>
    <xf numFmtId="1" fontId="2" fillId="0" borderId="2" xfId="0" applyNumberFormat="1" applyFont="1" applyFill="1" applyBorder="1" applyAlignment="1" applyProtection="1">
      <alignment horizontal="left" vertical="center" wrapText="1"/>
    </xf>
    <xf numFmtId="0" fontId="2" fillId="0" borderId="7" xfId="0" applyFont="1" applyBorder="1" applyAlignment="1" applyProtection="1">
      <alignment horizontal="left" vertical="top" wrapText="1"/>
    </xf>
    <xf numFmtId="0" fontId="2" fillId="0" borderId="14" xfId="0" applyFont="1" applyBorder="1" applyAlignment="1" applyProtection="1">
      <alignment horizontal="left" vertical="top" wrapText="1"/>
    </xf>
    <xf numFmtId="0" fontId="2" fillId="0" borderId="4" xfId="0" applyFont="1" applyBorder="1" applyAlignment="1" applyProtection="1">
      <alignment horizontal="left" vertical="top" wrapText="1"/>
    </xf>
    <xf numFmtId="0" fontId="2" fillId="0" borderId="1" xfId="0" applyFont="1" applyFill="1" applyBorder="1" applyAlignment="1" applyProtection="1">
      <alignment horizontal="left" vertical="top" wrapText="1"/>
    </xf>
    <xf numFmtId="0" fontId="1" fillId="27" borderId="1" xfId="0" applyFont="1" applyFill="1" applyBorder="1" applyAlignment="1" applyProtection="1">
      <alignment horizontal="center" vertical="center" wrapText="1"/>
    </xf>
    <xf numFmtId="0" fontId="2" fillId="27" borderId="1" xfId="0" applyFont="1" applyFill="1" applyBorder="1" applyAlignment="1" applyProtection="1">
      <alignment horizontal="left" vertical="top" wrapText="1"/>
    </xf>
    <xf numFmtId="0" fontId="2" fillId="0" borderId="0" xfId="0" applyFont="1" applyBorder="1" applyAlignment="1" applyProtection="1">
      <alignment horizontal="left" vertical="top" wrapText="1"/>
    </xf>
    <xf numFmtId="0" fontId="2" fillId="0" borderId="2" xfId="0" applyFont="1" applyFill="1" applyBorder="1" applyAlignment="1" applyProtection="1">
      <alignment horizontal="left" vertical="center" wrapText="1"/>
      <protection locked="0"/>
    </xf>
    <xf numFmtId="1" fontId="2" fillId="13" borderId="2" xfId="0" applyNumberFormat="1" applyFont="1" applyFill="1" applyBorder="1" applyAlignment="1" applyProtection="1">
      <alignment horizontal="left" vertical="center" wrapText="1"/>
    </xf>
    <xf numFmtId="0" fontId="21" fillId="0" borderId="0" xfId="0" applyFont="1" applyBorder="1" applyAlignment="1" applyProtection="1">
      <alignment horizontal="left" vertical="center"/>
    </xf>
    <xf numFmtId="0" fontId="2" fillId="0" borderId="0" xfId="0" applyFont="1" applyAlignment="1" applyProtection="1">
      <alignment horizontal="center" vertical="top"/>
    </xf>
    <xf numFmtId="0" fontId="1" fillId="22" borderId="1" xfId="0" applyFont="1" applyFill="1" applyBorder="1" applyAlignment="1" applyProtection="1">
      <alignment horizontal="left" vertical="center" wrapText="1"/>
    </xf>
    <xf numFmtId="0" fontId="24" fillId="3" borderId="1" xfId="3" applyFont="1" applyFill="1" applyBorder="1" applyAlignment="1" applyProtection="1">
      <alignment horizontal="left" vertical="top" wrapText="1"/>
    </xf>
    <xf numFmtId="0" fontId="2" fillId="0" borderId="35" xfId="0" applyFont="1" applyBorder="1" applyAlignment="1" applyProtection="1">
      <alignment horizontal="left" vertical="center"/>
    </xf>
    <xf numFmtId="0" fontId="2" fillId="0" borderId="0" xfId="0" applyFont="1" applyBorder="1" applyAlignment="1" applyProtection="1">
      <alignment horizontal="center" vertical="top"/>
    </xf>
    <xf numFmtId="0" fontId="2" fillId="13" borderId="2" xfId="0" applyFont="1" applyFill="1" applyBorder="1" applyAlignment="1" applyProtection="1">
      <alignment horizontal="left" vertical="center" wrapText="1"/>
      <protection locked="0"/>
    </xf>
    <xf numFmtId="0" fontId="2" fillId="0" borderId="1" xfId="0" applyFont="1" applyBorder="1" applyAlignment="1" applyProtection="1">
      <alignment horizontal="left" vertical="top" wrapText="1"/>
    </xf>
    <xf numFmtId="0" fontId="2" fillId="0" borderId="1" xfId="0" applyFont="1" applyFill="1" applyBorder="1" applyAlignment="1" applyProtection="1">
      <alignment horizontal="left" vertical="top" wrapText="1"/>
    </xf>
    <xf numFmtId="0" fontId="2" fillId="35" borderId="14" xfId="0" applyFont="1" applyFill="1" applyBorder="1" applyAlignment="1">
      <alignment horizontal="left" vertical="top" wrapText="1"/>
    </xf>
    <xf numFmtId="0" fontId="2" fillId="6" borderId="14" xfId="0" applyFont="1" applyFill="1" applyBorder="1" applyAlignment="1" applyProtection="1">
      <alignment horizontal="left" vertical="top" wrapText="1"/>
    </xf>
    <xf numFmtId="0" fontId="2" fillId="6" borderId="4" xfId="0" applyFont="1" applyFill="1" applyBorder="1" applyAlignment="1" applyProtection="1">
      <alignment horizontal="left" vertical="top" wrapText="1"/>
    </xf>
    <xf numFmtId="0" fontId="1" fillId="3" borderId="3" xfId="0" applyFont="1" applyFill="1" applyBorder="1" applyAlignment="1" applyProtection="1">
      <alignment horizontal="left" vertical="center" wrapText="1"/>
    </xf>
    <xf numFmtId="0" fontId="1" fillId="2" borderId="7" xfId="0" applyFont="1" applyFill="1" applyBorder="1" applyAlignment="1" applyProtection="1">
      <alignment horizontal="left" vertical="center" wrapText="1"/>
    </xf>
    <xf numFmtId="0" fontId="1" fillId="2" borderId="4" xfId="0" applyFont="1" applyFill="1" applyBorder="1" applyAlignment="1" applyProtection="1">
      <alignment horizontal="left" vertical="center" wrapText="1"/>
    </xf>
    <xf numFmtId="0" fontId="2" fillId="35" borderId="14" xfId="0" applyFont="1" applyFill="1" applyBorder="1" applyAlignment="1">
      <alignment horizontal="left" vertical="top" wrapText="1"/>
    </xf>
    <xf numFmtId="0" fontId="2" fillId="35" borderId="4" xfId="0" applyFont="1" applyFill="1" applyBorder="1" applyAlignment="1">
      <alignment horizontal="left" vertical="top" wrapText="1"/>
    </xf>
    <xf numFmtId="0" fontId="29" fillId="27" borderId="1" xfId="0" applyFont="1" applyFill="1" applyBorder="1" applyAlignment="1" applyProtection="1">
      <alignment horizontal="left" vertical="top" wrapText="1"/>
    </xf>
    <xf numFmtId="0" fontId="29" fillId="0" borderId="1" xfId="0" applyFont="1" applyBorder="1" applyAlignment="1" applyProtection="1">
      <alignment horizontal="left" vertical="top" wrapText="1"/>
    </xf>
    <xf numFmtId="0" fontId="30" fillId="12" borderId="1" xfId="0" applyFont="1" applyFill="1" applyBorder="1" applyAlignment="1" applyProtection="1">
      <alignment horizontal="left" vertical="center" wrapText="1"/>
    </xf>
    <xf numFmtId="0" fontId="30" fillId="3"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top" wrapText="1"/>
    </xf>
    <xf numFmtId="0" fontId="1" fillId="2" borderId="4" xfId="0" applyFont="1" applyFill="1" applyBorder="1" applyAlignment="1" applyProtection="1">
      <alignment horizontal="left" vertical="center" wrapText="1"/>
    </xf>
    <xf numFmtId="0" fontId="2" fillId="38" borderId="14" xfId="0" applyFont="1" applyFill="1" applyBorder="1" applyAlignment="1">
      <alignment horizontal="left" vertical="top" wrapText="1"/>
    </xf>
    <xf numFmtId="0" fontId="2" fillId="38" borderId="4" xfId="0" applyFont="1" applyFill="1" applyBorder="1" applyAlignment="1">
      <alignment horizontal="left" vertical="top" wrapText="1"/>
    </xf>
    <xf numFmtId="1" fontId="2" fillId="0" borderId="1" xfId="0" applyNumberFormat="1" applyFont="1" applyBorder="1" applyAlignment="1" applyProtection="1">
      <alignment horizontal="left" vertical="center" wrapText="1"/>
    </xf>
    <xf numFmtId="1" fontId="2" fillId="22" borderId="1" xfId="0" applyNumberFormat="1" applyFont="1" applyFill="1" applyBorder="1" applyAlignment="1" applyProtection="1">
      <alignment horizontal="left" vertical="center" wrapText="1"/>
    </xf>
    <xf numFmtId="0" fontId="1" fillId="0" borderId="3" xfId="0" applyFont="1" applyFill="1" applyBorder="1" applyAlignment="1" applyProtection="1">
      <alignment vertical="center" wrapText="1"/>
    </xf>
    <xf numFmtId="1" fontId="2" fillId="22" borderId="1" xfId="0" applyNumberFormat="1" applyFont="1" applyFill="1" applyBorder="1" applyAlignment="1" applyProtection="1">
      <alignment horizontal="left" vertical="center" wrapText="1"/>
      <protection locked="0"/>
    </xf>
    <xf numFmtId="1" fontId="2" fillId="40" borderId="1" xfId="0" applyNumberFormat="1" applyFont="1" applyFill="1" applyBorder="1" applyAlignment="1" applyProtection="1">
      <alignment horizontal="left" vertical="center" wrapText="1"/>
      <protection locked="0"/>
    </xf>
    <xf numFmtId="0" fontId="1" fillId="3" borderId="3" xfId="0" applyFont="1" applyFill="1" applyBorder="1" applyAlignment="1" applyProtection="1">
      <alignment horizontal="left" vertical="center" wrapText="1"/>
    </xf>
    <xf numFmtId="0" fontId="1" fillId="2" borderId="7" xfId="0" applyFont="1" applyFill="1" applyBorder="1" applyAlignment="1" applyProtection="1">
      <alignment horizontal="left" vertical="center" wrapText="1"/>
    </xf>
    <xf numFmtId="0" fontId="1" fillId="2" borderId="4" xfId="0" applyFont="1" applyFill="1" applyBorder="1" applyAlignment="1" applyProtection="1">
      <alignment horizontal="left" vertical="center" wrapText="1"/>
    </xf>
    <xf numFmtId="0" fontId="1" fillId="0" borderId="21" xfId="0" applyFont="1" applyBorder="1" applyAlignment="1" applyProtection="1">
      <alignment vertical="center" wrapText="1"/>
    </xf>
    <xf numFmtId="0" fontId="1" fillId="26" borderId="1" xfId="0" applyFont="1" applyFill="1" applyBorder="1" applyAlignment="1" applyProtection="1">
      <alignment vertical="center" wrapText="1"/>
    </xf>
    <xf numFmtId="164" fontId="2" fillId="0" borderId="9" xfId="0" applyNumberFormat="1" applyFont="1" applyBorder="1" applyAlignment="1" applyProtection="1">
      <alignment vertical="center" wrapText="1"/>
    </xf>
    <xf numFmtId="164" fontId="2" fillId="0" borderId="10" xfId="0" applyNumberFormat="1" applyFont="1" applyBorder="1" applyAlignment="1" applyProtection="1">
      <alignment vertical="center" wrapText="1"/>
    </xf>
    <xf numFmtId="164" fontId="2" fillId="0" borderId="3" xfId="0" applyNumberFormat="1" applyFont="1" applyBorder="1" applyAlignment="1" applyProtection="1">
      <alignment vertical="center" wrapText="1"/>
    </xf>
    <xf numFmtId="1" fontId="3" fillId="32" borderId="9" xfId="0" applyNumberFormat="1" applyFont="1" applyFill="1" applyBorder="1" applyAlignment="1" applyProtection="1">
      <alignment vertical="center" wrapText="1"/>
    </xf>
    <xf numFmtId="1" fontId="3" fillId="32" borderId="10" xfId="0" applyNumberFormat="1" applyFont="1" applyFill="1" applyBorder="1" applyAlignment="1" applyProtection="1">
      <alignment vertical="center" wrapText="1"/>
    </xf>
    <xf numFmtId="1" fontId="3" fillId="32" borderId="3" xfId="0" applyNumberFormat="1" applyFont="1" applyFill="1" applyBorder="1" applyAlignment="1" applyProtection="1">
      <alignment vertical="center" wrapText="1"/>
    </xf>
    <xf numFmtId="164" fontId="2" fillId="7" borderId="9" xfId="0" applyNumberFormat="1" applyFont="1" applyFill="1" applyBorder="1" applyAlignment="1" applyProtection="1">
      <alignment vertical="center" wrapText="1"/>
    </xf>
    <xf numFmtId="164" fontId="2" fillId="7" borderId="10" xfId="0" applyNumberFormat="1" applyFont="1" applyFill="1" applyBorder="1" applyAlignment="1" applyProtection="1">
      <alignment vertical="center" wrapText="1"/>
    </xf>
    <xf numFmtId="164" fontId="2" fillId="7" borderId="3" xfId="0" applyNumberFormat="1" applyFont="1" applyFill="1" applyBorder="1" applyAlignment="1" applyProtection="1">
      <alignment vertical="center" wrapText="1"/>
    </xf>
    <xf numFmtId="0" fontId="3" fillId="32" borderId="9" xfId="0" applyFont="1" applyFill="1" applyBorder="1" applyAlignment="1" applyProtection="1">
      <alignment vertical="center" wrapText="1"/>
    </xf>
    <xf numFmtId="0" fontId="3" fillId="32" borderId="10" xfId="0" applyFont="1" applyFill="1" applyBorder="1" applyAlignment="1" applyProtection="1">
      <alignment vertical="center" wrapText="1"/>
    </xf>
    <xf numFmtId="164" fontId="3" fillId="41" borderId="10" xfId="0" applyNumberFormat="1" applyFont="1" applyFill="1" applyBorder="1" applyAlignment="1" applyProtection="1">
      <alignment vertical="center" wrapText="1"/>
    </xf>
    <xf numFmtId="164" fontId="3" fillId="41" borderId="3" xfId="0" applyNumberFormat="1" applyFont="1" applyFill="1" applyBorder="1" applyAlignment="1" applyProtection="1">
      <alignment vertical="center" wrapText="1"/>
    </xf>
    <xf numFmtId="164" fontId="2" fillId="26" borderId="9" xfId="0" applyNumberFormat="1" applyFont="1" applyFill="1" applyBorder="1" applyAlignment="1" applyProtection="1">
      <alignment vertical="center" wrapText="1"/>
    </xf>
    <xf numFmtId="164" fontId="2" fillId="41" borderId="9" xfId="0" applyNumberFormat="1" applyFont="1" applyFill="1" applyBorder="1" applyAlignment="1" applyProtection="1">
      <alignment vertical="center" wrapText="1"/>
    </xf>
    <xf numFmtId="164" fontId="2" fillId="41" borderId="10" xfId="0" applyNumberFormat="1" applyFont="1" applyFill="1" applyBorder="1" applyAlignment="1" applyProtection="1">
      <alignment vertical="center" wrapText="1"/>
    </xf>
    <xf numFmtId="164" fontId="2" fillId="41" borderId="3" xfId="0" applyNumberFormat="1" applyFont="1" applyFill="1" applyBorder="1" applyAlignment="1" applyProtection="1">
      <alignment vertical="center" wrapText="1"/>
    </xf>
    <xf numFmtId="0" fontId="1" fillId="0" borderId="0" xfId="0" applyFont="1" applyFill="1" applyBorder="1" applyAlignment="1" applyProtection="1">
      <alignment horizontal="center" vertical="center" wrapText="1"/>
    </xf>
    <xf numFmtId="164" fontId="2" fillId="26" borderId="30" xfId="0" applyNumberFormat="1" applyFont="1" applyFill="1" applyBorder="1" applyAlignment="1" applyProtection="1">
      <alignment vertical="center" wrapText="1"/>
    </xf>
    <xf numFmtId="0" fontId="3" fillId="32" borderId="5" xfId="0" applyFont="1" applyFill="1" applyBorder="1" applyAlignment="1" applyProtection="1">
      <alignment vertical="center" wrapText="1"/>
    </xf>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1" fontId="3" fillId="32" borderId="3" xfId="0" applyNumberFormat="1" applyFont="1" applyFill="1" applyBorder="1" applyAlignment="1" applyProtection="1">
      <alignment horizontal="right" vertical="center"/>
    </xf>
    <xf numFmtId="0" fontId="1" fillId="36" borderId="2" xfId="0" applyFont="1" applyFill="1" applyBorder="1" applyAlignment="1">
      <alignment horizontal="left" vertical="center" wrapText="1"/>
    </xf>
    <xf numFmtId="0" fontId="32" fillId="36" borderId="2" xfId="0" applyFont="1" applyFill="1" applyBorder="1" applyAlignment="1">
      <alignment horizontal="left" vertical="center" wrapText="1"/>
    </xf>
    <xf numFmtId="1" fontId="2" fillId="13" borderId="2" xfId="0" applyNumberFormat="1" applyFont="1" applyFill="1" applyBorder="1" applyAlignment="1" applyProtection="1">
      <alignment horizontal="left" vertical="center" wrapText="1"/>
      <protection locked="0"/>
    </xf>
    <xf numFmtId="164" fontId="2" fillId="0" borderId="3" xfId="0" applyNumberFormat="1" applyFont="1" applyBorder="1" applyAlignment="1" applyProtection="1">
      <alignment horizontal="left" vertical="center" wrapText="1"/>
    </xf>
    <xf numFmtId="0" fontId="1" fillId="7" borderId="3" xfId="0" applyFont="1" applyFill="1" applyBorder="1" applyAlignment="1" applyProtection="1">
      <alignment horizontal="left" vertical="center" wrapText="1"/>
    </xf>
    <xf numFmtId="0" fontId="1" fillId="2" borderId="7" xfId="0" applyFont="1" applyFill="1" applyBorder="1" applyAlignment="1" applyProtection="1">
      <alignment horizontal="left" vertical="center" wrapText="1"/>
    </xf>
    <xf numFmtId="0" fontId="1" fillId="2" borderId="4" xfId="0" applyFont="1" applyFill="1" applyBorder="1" applyAlignment="1" applyProtection="1">
      <alignment horizontal="left" vertical="center" wrapText="1"/>
    </xf>
    <xf numFmtId="0" fontId="1" fillId="8" borderId="21" xfId="0" applyFont="1" applyFill="1" applyBorder="1" applyAlignment="1" applyProtection="1">
      <alignment horizontal="left" vertical="center" wrapText="1"/>
    </xf>
    <xf numFmtId="0" fontId="1" fillId="8" borderId="2" xfId="0" applyFont="1" applyFill="1" applyBorder="1" applyAlignment="1" applyProtection="1">
      <alignment horizontal="left" vertical="center" wrapText="1"/>
    </xf>
    <xf numFmtId="1" fontId="2" fillId="24" borderId="9" xfId="0" applyNumberFormat="1" applyFont="1" applyFill="1" applyBorder="1" applyAlignment="1" applyProtection="1">
      <alignment horizontal="left" vertical="center" wrapText="1"/>
    </xf>
    <xf numFmtId="1" fontId="2" fillId="24" borderId="10" xfId="0" applyNumberFormat="1" applyFont="1" applyFill="1" applyBorder="1" applyAlignment="1" applyProtection="1">
      <alignment horizontal="left" vertical="center" wrapText="1"/>
    </xf>
    <xf numFmtId="1" fontId="2" fillId="24" borderId="3" xfId="0" applyNumberFormat="1" applyFont="1" applyFill="1" applyBorder="1" applyAlignment="1" applyProtection="1">
      <alignment horizontal="left" vertical="center" wrapText="1"/>
    </xf>
    <xf numFmtId="0" fontId="1" fillId="2" borderId="1" xfId="0" applyFont="1" applyFill="1" applyBorder="1" applyAlignment="1" applyProtection="1">
      <alignment horizontal="left" vertical="center" wrapText="1"/>
    </xf>
    <xf numFmtId="0" fontId="1" fillId="27" borderId="2" xfId="0" applyFont="1" applyFill="1" applyBorder="1" applyAlignment="1" applyProtection="1">
      <alignment vertical="center" wrapText="1"/>
    </xf>
    <xf numFmtId="164" fontId="2" fillId="27" borderId="10" xfId="0" applyNumberFormat="1" applyFont="1" applyFill="1" applyBorder="1" applyAlignment="1" applyProtection="1">
      <alignment vertical="center" wrapText="1"/>
    </xf>
    <xf numFmtId="164" fontId="2" fillId="27" borderId="3" xfId="0" applyNumberFormat="1" applyFont="1" applyFill="1" applyBorder="1" applyAlignment="1" applyProtection="1">
      <alignment vertical="center" wrapText="1"/>
    </xf>
    <xf numFmtId="164" fontId="2" fillId="27" borderId="9" xfId="0" applyNumberFormat="1" applyFont="1" applyFill="1" applyBorder="1" applyAlignment="1" applyProtection="1">
      <alignment vertical="center" wrapText="1"/>
    </xf>
    <xf numFmtId="0" fontId="1" fillId="27" borderId="1" xfId="0" applyFont="1" applyFill="1" applyBorder="1" applyAlignment="1" applyProtection="1">
      <alignment vertical="center" wrapText="1"/>
    </xf>
    <xf numFmtId="0" fontId="1" fillId="27" borderId="3" xfId="0" applyFont="1" applyFill="1" applyBorder="1" applyAlignment="1" applyProtection="1">
      <alignment vertical="center" wrapText="1"/>
    </xf>
    <xf numFmtId="0" fontId="1" fillId="27" borderId="4" xfId="0" applyFont="1" applyFill="1" applyBorder="1" applyAlignment="1" applyProtection="1">
      <alignment vertical="center" wrapText="1"/>
    </xf>
    <xf numFmtId="1" fontId="2" fillId="0" borderId="2" xfId="0" applyNumberFormat="1" applyFont="1" applyFill="1" applyBorder="1" applyAlignment="1" applyProtection="1">
      <alignment horizontal="left" vertical="center" wrapText="1"/>
      <protection locked="0"/>
    </xf>
    <xf numFmtId="0" fontId="2" fillId="0" borderId="14" xfId="0" applyFont="1" applyFill="1" applyBorder="1" applyAlignment="1">
      <alignment horizontal="left" vertical="top" wrapText="1"/>
    </xf>
    <xf numFmtId="0" fontId="2" fillId="0" borderId="4" xfId="0" applyFont="1" applyFill="1" applyBorder="1" applyAlignment="1">
      <alignment horizontal="left" vertical="top" wrapText="1"/>
    </xf>
    <xf numFmtId="164" fontId="2" fillId="0" borderId="10" xfId="0" applyNumberFormat="1" applyFont="1" applyBorder="1" applyAlignment="1" applyProtection="1">
      <alignment horizontal="center" vertical="center" wrapText="1"/>
    </xf>
    <xf numFmtId="1" fontId="3" fillId="32" borderId="9" xfId="0" applyNumberFormat="1" applyFont="1" applyFill="1" applyBorder="1" applyAlignment="1" applyProtection="1">
      <alignment horizontal="right" vertical="center"/>
    </xf>
    <xf numFmtId="164" fontId="2" fillId="0" borderId="9" xfId="0" applyNumberFormat="1" applyFont="1" applyBorder="1" applyAlignment="1" applyProtection="1">
      <alignment horizontal="center" vertical="center" wrapText="1"/>
    </xf>
    <xf numFmtId="164" fontId="2" fillId="0" borderId="3" xfId="0" applyNumberFormat="1" applyFont="1" applyBorder="1" applyAlignment="1" applyProtection="1">
      <alignment horizontal="center" vertical="center" wrapText="1"/>
    </xf>
    <xf numFmtId="164" fontId="3" fillId="45" borderId="10" xfId="0" applyNumberFormat="1" applyFont="1" applyFill="1" applyBorder="1" applyAlignment="1" applyProtection="1">
      <alignment vertical="center" wrapText="1"/>
    </xf>
    <xf numFmtId="164" fontId="3" fillId="45" borderId="3" xfId="0" applyNumberFormat="1" applyFont="1" applyFill="1" applyBorder="1" applyAlignment="1" applyProtection="1">
      <alignment vertical="center" wrapText="1"/>
    </xf>
    <xf numFmtId="164" fontId="2" fillId="45" borderId="9" xfId="0" applyNumberFormat="1" applyFont="1" applyFill="1" applyBorder="1" applyAlignment="1" applyProtection="1">
      <alignment vertical="center" wrapText="1"/>
    </xf>
    <xf numFmtId="164" fontId="2" fillId="45" borderId="10" xfId="0" applyNumberFormat="1" applyFont="1" applyFill="1" applyBorder="1" applyAlignment="1" applyProtection="1">
      <alignment vertical="center" wrapText="1"/>
    </xf>
    <xf numFmtId="164" fontId="2" fillId="45" borderId="3" xfId="0" applyNumberFormat="1" applyFont="1" applyFill="1" applyBorder="1" applyAlignment="1" applyProtection="1">
      <alignment vertical="center" wrapText="1"/>
    </xf>
    <xf numFmtId="0" fontId="1" fillId="46" borderId="1" xfId="0" applyFont="1" applyFill="1" applyBorder="1" applyAlignment="1" applyProtection="1">
      <alignment vertical="center" wrapText="1"/>
    </xf>
    <xf numFmtId="164" fontId="25" fillId="0" borderId="10" xfId="0" applyNumberFormat="1" applyFont="1" applyBorder="1" applyAlignment="1" applyProtection="1">
      <alignment horizontal="center" vertical="center" wrapText="1"/>
    </xf>
    <xf numFmtId="164" fontId="25" fillId="0" borderId="9" xfId="0" applyNumberFormat="1" applyFont="1" applyBorder="1" applyAlignment="1" applyProtection="1">
      <alignment vertical="center" wrapText="1"/>
    </xf>
    <xf numFmtId="164" fontId="25" fillId="0" borderId="10" xfId="0" applyNumberFormat="1" applyFont="1" applyBorder="1" applyAlignment="1" applyProtection="1">
      <alignment vertical="center" wrapText="1"/>
    </xf>
    <xf numFmtId="164" fontId="25" fillId="0" borderId="3" xfId="0" applyNumberFormat="1" applyFont="1" applyBorder="1" applyAlignment="1" applyProtection="1">
      <alignment vertical="center" wrapText="1"/>
    </xf>
    <xf numFmtId="1" fontId="33" fillId="32" borderId="3" xfId="0" applyNumberFormat="1" applyFont="1" applyFill="1" applyBorder="1" applyAlignment="1" applyProtection="1">
      <alignment horizontal="right" vertical="center"/>
    </xf>
    <xf numFmtId="1" fontId="33" fillId="32" borderId="9" xfId="0" applyNumberFormat="1" applyFont="1" applyFill="1" applyBorder="1" applyAlignment="1" applyProtection="1">
      <alignment horizontal="right" vertical="center"/>
    </xf>
    <xf numFmtId="0" fontId="1" fillId="41" borderId="1" xfId="0" applyFont="1" applyFill="1" applyBorder="1" applyAlignment="1" applyProtection="1">
      <alignment horizontal="left" vertical="center" wrapText="1"/>
    </xf>
    <xf numFmtId="0" fontId="2" fillId="0" borderId="0" xfId="0" applyFont="1" applyAlignment="1" applyProtection="1">
      <alignment horizontal="left" vertical="top" wrapText="1"/>
    </xf>
    <xf numFmtId="0" fontId="2" fillId="46" borderId="22" xfId="0" applyFont="1" applyFill="1" applyBorder="1" applyAlignment="1" applyProtection="1">
      <alignment horizontal="left" vertical="top" wrapText="1"/>
    </xf>
    <xf numFmtId="0" fontId="2" fillId="46" borderId="5" xfId="0" applyFont="1" applyFill="1" applyBorder="1" applyAlignment="1" applyProtection="1">
      <alignment horizontal="left" vertical="top" wrapText="1"/>
    </xf>
    <xf numFmtId="0" fontId="2" fillId="46" borderId="0" xfId="0" applyFont="1" applyFill="1" applyBorder="1" applyAlignment="1" applyProtection="1">
      <alignment horizontal="left" vertical="top" wrapText="1"/>
    </xf>
    <xf numFmtId="0" fontId="1" fillId="0" borderId="0" xfId="0" applyFont="1" applyFill="1" applyBorder="1" applyAlignment="1" applyProtection="1">
      <alignment horizontal="right" vertical="center"/>
    </xf>
    <xf numFmtId="0" fontId="9" fillId="0" borderId="0" xfId="0" applyFont="1" applyAlignment="1" applyProtection="1">
      <alignment horizontal="center" vertical="center"/>
    </xf>
    <xf numFmtId="0" fontId="0" fillId="0" borderId="0" xfId="0" applyFont="1" applyAlignment="1" applyProtection="1">
      <alignment horizontal="center" vertical="center"/>
    </xf>
    <xf numFmtId="164" fontId="2" fillId="0" borderId="0" xfId="0" applyNumberFormat="1" applyFont="1" applyBorder="1" applyAlignment="1" applyProtection="1">
      <alignment vertical="center" wrapText="1"/>
    </xf>
    <xf numFmtId="0" fontId="38" fillId="0" borderId="0" xfId="0" applyFont="1" applyFill="1" applyBorder="1" applyAlignment="1" applyProtection="1">
      <alignment horizontal="left" vertical="center"/>
    </xf>
    <xf numFmtId="0" fontId="39" fillId="0" borderId="0" xfId="0" applyFont="1" applyAlignment="1" applyProtection="1">
      <alignment horizontal="left" vertical="center"/>
    </xf>
    <xf numFmtId="0" fontId="39" fillId="0" borderId="0" xfId="0" applyFont="1" applyAlignment="1" applyProtection="1">
      <alignment horizontal="right" vertical="center"/>
    </xf>
    <xf numFmtId="0" fontId="37" fillId="0" borderId="0" xfId="0" applyFont="1" applyFill="1" applyBorder="1" applyAlignment="1" applyProtection="1">
      <alignment horizontal="left" vertical="center"/>
    </xf>
    <xf numFmtId="0" fontId="38" fillId="0" borderId="0" xfId="0" applyFont="1" applyFill="1" applyBorder="1" applyAlignment="1" applyProtection="1">
      <alignment horizontal="center" vertical="center" wrapText="1"/>
    </xf>
    <xf numFmtId="165" fontId="40" fillId="0" borderId="0" xfId="0" applyNumberFormat="1" applyFont="1" applyAlignment="1" applyProtection="1">
      <alignment horizontal="center" vertical="center" wrapText="1"/>
    </xf>
    <xf numFmtId="0" fontId="40" fillId="0" borderId="0" xfId="0" applyFont="1" applyAlignment="1" applyProtection="1">
      <alignment horizontal="left" vertical="top"/>
    </xf>
    <xf numFmtId="0" fontId="2" fillId="6" borderId="14" xfId="0" applyFont="1" applyFill="1" applyBorder="1" applyAlignment="1" applyProtection="1">
      <alignment horizontal="left" vertical="top" wrapText="1"/>
    </xf>
    <xf numFmtId="0" fontId="1" fillId="3" borderId="3" xfId="0" applyFont="1" applyFill="1" applyBorder="1" applyAlignment="1" applyProtection="1">
      <alignment horizontal="left" vertical="center" wrapText="1"/>
    </xf>
    <xf numFmtId="0" fontId="1" fillId="2" borderId="7" xfId="0" applyFont="1" applyFill="1" applyBorder="1" applyAlignment="1" applyProtection="1">
      <alignment horizontal="left" vertical="center" wrapText="1"/>
    </xf>
    <xf numFmtId="0" fontId="1" fillId="2" borderId="1" xfId="0" applyFont="1" applyFill="1" applyBorder="1" applyAlignment="1" applyProtection="1">
      <alignment horizontal="left" vertical="center" wrapText="1"/>
    </xf>
    <xf numFmtId="1" fontId="2" fillId="26" borderId="9" xfId="0" applyNumberFormat="1" applyFont="1" applyFill="1" applyBorder="1" applyAlignment="1" applyProtection="1">
      <alignment vertical="center" wrapText="1"/>
    </xf>
    <xf numFmtId="1" fontId="2" fillId="26" borderId="29" xfId="0" applyNumberFormat="1" applyFont="1" applyFill="1" applyBorder="1" applyAlignment="1" applyProtection="1">
      <alignment vertical="center" wrapText="1"/>
    </xf>
    <xf numFmtId="1" fontId="2" fillId="26" borderId="38" xfId="0" applyNumberFormat="1" applyFont="1" applyFill="1" applyBorder="1" applyAlignment="1" applyProtection="1">
      <alignment vertical="center" wrapText="1"/>
    </xf>
    <xf numFmtId="1" fontId="2" fillId="26" borderId="30" xfId="0" applyNumberFormat="1" applyFont="1" applyFill="1" applyBorder="1" applyAlignment="1" applyProtection="1">
      <alignment vertical="center" wrapText="1"/>
    </xf>
    <xf numFmtId="1" fontId="2" fillId="41" borderId="9" xfId="0" applyNumberFormat="1" applyFont="1" applyFill="1" applyBorder="1" applyAlignment="1" applyProtection="1">
      <alignment vertical="center" wrapText="1"/>
    </xf>
    <xf numFmtId="1" fontId="2" fillId="41" borderId="10" xfId="0" applyNumberFormat="1" applyFont="1" applyFill="1" applyBorder="1" applyAlignment="1" applyProtection="1">
      <alignment vertical="center" wrapText="1"/>
    </xf>
    <xf numFmtId="1" fontId="2" fillId="41" borderId="3" xfId="0" applyNumberFormat="1" applyFont="1" applyFill="1" applyBorder="1" applyAlignment="1" applyProtection="1">
      <alignment vertical="center" wrapText="1"/>
    </xf>
    <xf numFmtId="0" fontId="2" fillId="26" borderId="39" xfId="0" applyFont="1" applyFill="1" applyBorder="1" applyAlignment="1" applyProtection="1">
      <alignment vertical="top"/>
    </xf>
    <xf numFmtId="0" fontId="2" fillId="26" borderId="40" xfId="0" applyFont="1" applyFill="1" applyBorder="1" applyAlignment="1" applyProtection="1">
      <alignment vertical="top"/>
    </xf>
    <xf numFmtId="0" fontId="2" fillId="26" borderId="39" xfId="0" applyFont="1" applyFill="1" applyBorder="1" applyAlignment="1" applyProtection="1">
      <alignment horizontal="left" vertical="center"/>
    </xf>
    <xf numFmtId="0" fontId="1" fillId="41" borderId="28" xfId="0" applyFont="1" applyFill="1" applyBorder="1" applyAlignment="1" applyProtection="1">
      <alignment horizontal="left" vertical="center"/>
    </xf>
    <xf numFmtId="0" fontId="1" fillId="41" borderId="30" xfId="0" applyFont="1" applyFill="1" applyBorder="1" applyAlignment="1" applyProtection="1">
      <alignment vertical="center"/>
    </xf>
    <xf numFmtId="0" fontId="1" fillId="48" borderId="45" xfId="0" applyFont="1" applyFill="1" applyBorder="1" applyAlignment="1" applyProtection="1">
      <alignment horizontal="left" vertical="center"/>
    </xf>
    <xf numFmtId="0" fontId="1" fillId="48" borderId="46" xfId="0" applyFont="1" applyFill="1" applyBorder="1" applyAlignment="1" applyProtection="1">
      <alignment horizontal="right" vertical="center"/>
    </xf>
    <xf numFmtId="0" fontId="1" fillId="48" borderId="41" xfId="0" applyFont="1" applyFill="1" applyBorder="1" applyAlignment="1" applyProtection="1">
      <alignment horizontal="left" vertical="center"/>
    </xf>
    <xf numFmtId="0" fontId="1" fillId="48" borderId="42" xfId="0" applyFont="1" applyFill="1" applyBorder="1" applyAlignment="1" applyProtection="1">
      <alignment horizontal="right" vertical="center"/>
    </xf>
    <xf numFmtId="0" fontId="2" fillId="26" borderId="40" xfId="0" applyFont="1" applyFill="1" applyBorder="1" applyAlignment="1" applyProtection="1">
      <alignment horizontal="left" vertical="center"/>
    </xf>
    <xf numFmtId="0" fontId="2" fillId="26" borderId="44" xfId="0" applyFont="1" applyFill="1" applyBorder="1" applyAlignment="1" applyProtection="1">
      <alignment vertical="center"/>
    </xf>
    <xf numFmtId="0" fontId="35" fillId="0" borderId="1" xfId="0" applyFont="1" applyBorder="1" applyAlignment="1" applyProtection="1">
      <alignment horizontal="left" vertical="center"/>
      <protection locked="0"/>
    </xf>
    <xf numFmtId="0" fontId="25" fillId="26" borderId="43" xfId="0" applyFont="1" applyFill="1" applyBorder="1" applyAlignment="1" applyProtection="1">
      <alignment vertical="top"/>
      <protection locked="0"/>
    </xf>
    <xf numFmtId="0" fontId="25" fillId="26" borderId="44" xfId="0" applyFont="1" applyFill="1" applyBorder="1" applyAlignment="1" applyProtection="1">
      <alignment vertical="top"/>
      <protection locked="0"/>
    </xf>
    <xf numFmtId="0" fontId="2" fillId="6" borderId="14" xfId="0" applyFont="1" applyFill="1" applyBorder="1" applyAlignment="1" applyProtection="1">
      <alignment horizontal="left" vertical="top" wrapText="1"/>
    </xf>
    <xf numFmtId="0" fontId="1" fillId="3" borderId="3" xfId="0" applyFont="1" applyFill="1" applyBorder="1" applyAlignment="1" applyProtection="1">
      <alignment horizontal="left" vertical="center" wrapText="1"/>
    </xf>
    <xf numFmtId="0" fontId="1" fillId="2" borderId="7" xfId="0" applyFont="1" applyFill="1" applyBorder="1" applyAlignment="1" applyProtection="1">
      <alignment horizontal="left" vertical="center" wrapText="1"/>
    </xf>
    <xf numFmtId="0" fontId="1" fillId="2" borderId="1" xfId="0" applyFont="1" applyFill="1" applyBorder="1" applyAlignment="1" applyProtection="1">
      <alignment horizontal="left" vertical="center" wrapText="1"/>
    </xf>
    <xf numFmtId="0" fontId="1" fillId="47" borderId="15" xfId="0" applyFont="1" applyFill="1" applyBorder="1" applyAlignment="1" applyProtection="1">
      <alignment horizontal="left" vertical="top" wrapText="1"/>
    </xf>
    <xf numFmtId="0" fontId="3" fillId="46" borderId="21" xfId="0" applyFont="1" applyFill="1" applyBorder="1" applyAlignment="1" applyProtection="1">
      <alignment horizontal="left" vertical="top" wrapText="1"/>
    </xf>
    <xf numFmtId="0" fontId="3" fillId="46" borderId="2" xfId="0" applyFont="1" applyFill="1" applyBorder="1" applyAlignment="1" applyProtection="1">
      <alignment horizontal="left" vertical="top" wrapText="1"/>
    </xf>
    <xf numFmtId="0" fontId="34" fillId="0" borderId="2" xfId="0" applyFont="1" applyBorder="1" applyAlignment="1" applyProtection="1">
      <alignment horizontal="center" vertical="top" wrapText="1"/>
    </xf>
    <xf numFmtId="0" fontId="34" fillId="0" borderId="21" xfId="0" applyFont="1" applyBorder="1" applyAlignment="1" applyProtection="1">
      <alignment horizontal="center" vertical="top" wrapText="1"/>
    </xf>
    <xf numFmtId="164" fontId="3" fillId="45" borderId="10" xfId="0" applyNumberFormat="1" applyFont="1" applyFill="1" applyBorder="1" applyAlignment="1" applyProtection="1">
      <alignment vertical="center" wrapText="1"/>
      <protection locked="0"/>
    </xf>
    <xf numFmtId="164" fontId="3" fillId="45" borderId="3" xfId="0" applyNumberFormat="1" applyFont="1" applyFill="1" applyBorder="1" applyAlignment="1" applyProtection="1">
      <alignment vertical="center" wrapText="1"/>
      <protection locked="0"/>
    </xf>
    <xf numFmtId="164" fontId="2" fillId="45" borderId="9" xfId="0" applyNumberFormat="1" applyFont="1" applyFill="1" applyBorder="1" applyAlignment="1" applyProtection="1">
      <alignment vertical="center" wrapText="1"/>
      <protection locked="0"/>
    </xf>
    <xf numFmtId="164" fontId="2" fillId="45" borderId="10" xfId="0" applyNumberFormat="1" applyFont="1" applyFill="1" applyBorder="1" applyAlignment="1" applyProtection="1">
      <alignment vertical="center" wrapText="1"/>
      <protection locked="0"/>
    </xf>
    <xf numFmtId="164" fontId="2" fillId="45" borderId="3" xfId="0" applyNumberFormat="1" applyFont="1" applyFill="1" applyBorder="1" applyAlignment="1" applyProtection="1">
      <alignment vertical="center" wrapText="1"/>
      <protection locked="0"/>
    </xf>
    <xf numFmtId="164" fontId="2" fillId="0" borderId="10" xfId="0" applyNumberFormat="1" applyFont="1" applyBorder="1" applyAlignment="1" applyProtection="1">
      <alignment horizontal="center" vertical="center" wrapText="1"/>
      <protection locked="0"/>
    </xf>
    <xf numFmtId="164" fontId="2" fillId="0" borderId="3" xfId="0" applyNumberFormat="1" applyFont="1" applyBorder="1" applyAlignment="1" applyProtection="1">
      <alignment horizontal="center" vertical="center" wrapText="1"/>
      <protection locked="0"/>
    </xf>
    <xf numFmtId="164" fontId="2" fillId="0" borderId="9" xfId="0" applyNumberFormat="1" applyFont="1" applyBorder="1" applyAlignment="1" applyProtection="1">
      <alignment vertical="center" wrapText="1"/>
      <protection locked="0"/>
    </xf>
    <xf numFmtId="164" fontId="2" fillId="0" borderId="10" xfId="0" applyNumberFormat="1" applyFont="1" applyBorder="1" applyAlignment="1" applyProtection="1">
      <alignment vertical="center" wrapText="1"/>
      <protection locked="0"/>
    </xf>
    <xf numFmtId="164" fontId="2" fillId="0" borderId="3" xfId="0" applyNumberFormat="1" applyFont="1" applyBorder="1" applyAlignment="1" applyProtection="1">
      <alignment vertical="center" wrapText="1"/>
      <protection locked="0"/>
    </xf>
    <xf numFmtId="164" fontId="2" fillId="7" borderId="9" xfId="0" applyNumberFormat="1" applyFont="1" applyFill="1" applyBorder="1" applyAlignment="1" applyProtection="1">
      <alignment vertical="center" wrapText="1"/>
      <protection locked="0"/>
    </xf>
    <xf numFmtId="1" fontId="3" fillId="32" borderId="9" xfId="0" applyNumberFormat="1" applyFont="1" applyFill="1" applyBorder="1" applyAlignment="1" applyProtection="1">
      <alignment vertical="center" wrapText="1"/>
      <protection locked="0"/>
    </xf>
    <xf numFmtId="1" fontId="3" fillId="32" borderId="3" xfId="0" applyNumberFormat="1" applyFont="1" applyFill="1" applyBorder="1" applyAlignment="1" applyProtection="1">
      <alignment horizontal="right" vertical="center"/>
      <protection locked="0"/>
    </xf>
    <xf numFmtId="164" fontId="2" fillId="7" borderId="10" xfId="0" applyNumberFormat="1" applyFont="1" applyFill="1" applyBorder="1" applyAlignment="1" applyProtection="1">
      <alignment vertical="center" wrapText="1"/>
      <protection locked="0"/>
    </xf>
    <xf numFmtId="164" fontId="2" fillId="7" borderId="3" xfId="0" applyNumberFormat="1" applyFont="1" applyFill="1" applyBorder="1" applyAlignment="1" applyProtection="1">
      <alignment vertical="center" wrapText="1"/>
      <protection locked="0"/>
    </xf>
    <xf numFmtId="0" fontId="3" fillId="32" borderId="9" xfId="0" applyFont="1" applyFill="1" applyBorder="1" applyAlignment="1" applyProtection="1">
      <alignment vertical="center" wrapText="1"/>
      <protection locked="0"/>
    </xf>
    <xf numFmtId="0" fontId="3" fillId="32" borderId="5" xfId="0" applyFont="1" applyFill="1" applyBorder="1" applyAlignment="1" applyProtection="1">
      <alignment vertical="center" wrapText="1"/>
      <protection locked="0"/>
    </xf>
    <xf numFmtId="0" fontId="3" fillId="32" borderId="10" xfId="0" applyFont="1" applyFill="1" applyBorder="1" applyAlignment="1" applyProtection="1">
      <alignment vertical="center" wrapText="1"/>
      <protection locked="0"/>
    </xf>
    <xf numFmtId="1" fontId="3" fillId="32" borderId="9" xfId="0" applyNumberFormat="1" applyFont="1" applyFill="1" applyBorder="1" applyAlignment="1" applyProtection="1">
      <alignment horizontal="right" vertical="center"/>
      <protection locked="0"/>
    </xf>
    <xf numFmtId="164" fontId="2" fillId="27" borderId="10" xfId="0" applyNumberFormat="1" applyFont="1" applyFill="1" applyBorder="1" applyAlignment="1" applyProtection="1">
      <alignment vertical="center" wrapText="1"/>
      <protection locked="0"/>
    </xf>
    <xf numFmtId="164" fontId="2" fillId="27" borderId="3" xfId="0" applyNumberFormat="1" applyFont="1" applyFill="1" applyBorder="1" applyAlignment="1" applyProtection="1">
      <alignment vertical="center" wrapText="1"/>
      <protection locked="0"/>
    </xf>
    <xf numFmtId="164" fontId="2" fillId="27" borderId="9" xfId="0" applyNumberFormat="1" applyFont="1" applyFill="1" applyBorder="1" applyAlignment="1" applyProtection="1">
      <alignment vertical="center" wrapText="1"/>
      <protection locked="0"/>
    </xf>
    <xf numFmtId="164" fontId="2" fillId="45" borderId="9" xfId="0" applyNumberFormat="1" applyFont="1" applyFill="1" applyBorder="1" applyAlignment="1" applyProtection="1">
      <alignment vertical="center"/>
    </xf>
    <xf numFmtId="0" fontId="2" fillId="26" borderId="43" xfId="0" applyFont="1" applyFill="1" applyBorder="1" applyAlignment="1" applyProtection="1">
      <alignment vertical="top"/>
    </xf>
    <xf numFmtId="0" fontId="25" fillId="26" borderId="43" xfId="0" applyFont="1" applyFill="1" applyBorder="1" applyAlignment="1" applyProtection="1">
      <alignment vertical="top"/>
    </xf>
    <xf numFmtId="164" fontId="2" fillId="49" borderId="9" xfId="0" applyNumberFormat="1" applyFont="1" applyFill="1" applyBorder="1" applyAlignment="1">
      <alignment vertical="center"/>
    </xf>
    <xf numFmtId="0" fontId="41" fillId="26" borderId="43" xfId="0" applyFont="1" applyFill="1" applyBorder="1" applyAlignment="1" applyProtection="1">
      <alignment vertical="top"/>
      <protection locked="0"/>
    </xf>
    <xf numFmtId="166" fontId="41" fillId="26" borderId="43" xfId="1" applyNumberFormat="1" applyFont="1" applyFill="1" applyBorder="1" applyAlignment="1" applyProtection="1">
      <alignment vertical="top"/>
      <protection locked="0"/>
    </xf>
    <xf numFmtId="0" fontId="4" fillId="0" borderId="0" xfId="5" applyFont="1" applyBorder="1" applyAlignment="1" applyProtection="1">
      <alignment vertical="top"/>
    </xf>
    <xf numFmtId="0" fontId="18" fillId="19" borderId="23" xfId="5" applyFont="1" applyFill="1" applyBorder="1" applyAlignment="1" applyProtection="1">
      <alignment horizontal="center" vertical="top" wrapText="1"/>
    </xf>
    <xf numFmtId="0" fontId="18" fillId="19" borderId="23" xfId="5" applyFont="1" applyFill="1" applyBorder="1" applyAlignment="1" applyProtection="1">
      <alignment horizontal="center" vertical="top"/>
    </xf>
    <xf numFmtId="0" fontId="5" fillId="0" borderId="0" xfId="5" applyFont="1" applyBorder="1" applyAlignment="1" applyProtection="1">
      <alignment vertical="top"/>
    </xf>
    <xf numFmtId="164" fontId="4" fillId="10" borderId="23" xfId="5" applyNumberFormat="1" applyFont="1" applyFill="1" applyBorder="1" applyAlignment="1" applyProtection="1">
      <alignment horizontal="center" vertical="top"/>
    </xf>
    <xf numFmtId="0" fontId="4" fillId="0" borderId="0" xfId="5" applyFont="1" applyFill="1" applyBorder="1" applyAlignment="1" applyProtection="1">
      <alignment vertical="top"/>
    </xf>
    <xf numFmtId="164" fontId="4" fillId="22" borderId="23" xfId="5" applyNumberFormat="1" applyFont="1" applyFill="1" applyBorder="1" applyAlignment="1" applyProtection="1">
      <alignment horizontal="center" vertical="top"/>
    </xf>
    <xf numFmtId="2" fontId="4" fillId="0" borderId="48" xfId="362" applyNumberFormat="1" applyFont="1" applyFill="1" applyBorder="1" applyAlignment="1" applyProtection="1">
      <alignment horizontal="center" vertical="center" wrapText="1"/>
    </xf>
    <xf numFmtId="0" fontId="4" fillId="0" borderId="0" xfId="5" applyFont="1" applyFill="1" applyBorder="1" applyAlignment="1" applyProtection="1">
      <alignment horizontal="center" vertical="top"/>
    </xf>
    <xf numFmtId="167" fontId="4" fillId="0" borderId="0" xfId="5" applyNumberFormat="1" applyFont="1" applyFill="1" applyBorder="1" applyAlignment="1" applyProtection="1">
      <alignment horizontal="center" vertical="top"/>
    </xf>
    <xf numFmtId="1" fontId="4" fillId="0" borderId="0" xfId="5" applyNumberFormat="1" applyFont="1" applyFill="1" applyBorder="1" applyAlignment="1" applyProtection="1">
      <alignment vertical="top"/>
    </xf>
    <xf numFmtId="1" fontId="4" fillId="0" borderId="0" xfId="5" applyNumberFormat="1" applyFont="1" applyBorder="1" applyAlignment="1" applyProtection="1">
      <alignment vertical="top"/>
    </xf>
    <xf numFmtId="0" fontId="1" fillId="2" borderId="7" xfId="0" applyFont="1" applyFill="1" applyBorder="1" applyAlignment="1" applyProtection="1">
      <alignment horizontal="left" vertical="center" wrapText="1"/>
    </xf>
    <xf numFmtId="0" fontId="1" fillId="2" borderId="1" xfId="0" applyFont="1" applyFill="1" applyBorder="1" applyAlignment="1" applyProtection="1">
      <alignment horizontal="left" vertical="center" wrapText="1"/>
    </xf>
    <xf numFmtId="0" fontId="1" fillId="3" borderId="3" xfId="0" applyFont="1" applyFill="1" applyBorder="1" applyAlignment="1" applyProtection="1">
      <alignment horizontal="left" vertical="center" wrapText="1"/>
    </xf>
    <xf numFmtId="0" fontId="9" fillId="0" borderId="0" xfId="0" applyFont="1" applyAlignment="1" applyProtection="1">
      <alignment horizontal="right" vertical="center"/>
    </xf>
    <xf numFmtId="0" fontId="0" fillId="0" borderId="0" xfId="0" applyFont="1" applyAlignment="1" applyProtection="1">
      <alignment horizontal="right" vertical="center"/>
    </xf>
    <xf numFmtId="0" fontId="43" fillId="0" borderId="0" xfId="0" applyFont="1" applyAlignment="1" applyProtection="1">
      <alignment horizontal="right" vertical="center"/>
    </xf>
    <xf numFmtId="164" fontId="0" fillId="0" borderId="0" xfId="0" applyNumberFormat="1" applyAlignment="1">
      <alignment horizontal="right" vertical="center"/>
    </xf>
    <xf numFmtId="164" fontId="0" fillId="0" borderId="0" xfId="0" applyNumberFormat="1" applyFont="1" applyAlignment="1" applyProtection="1">
      <alignment horizontal="right" vertical="center"/>
    </xf>
    <xf numFmtId="0" fontId="2" fillId="0" borderId="0" xfId="0" applyFont="1" applyAlignment="1" applyProtection="1">
      <alignment horizontal="right" vertical="center"/>
    </xf>
    <xf numFmtId="2" fontId="0" fillId="0" borderId="0" xfId="0" applyNumberFormat="1" applyFont="1" applyAlignment="1" applyProtection="1">
      <alignment horizontal="right" vertical="center"/>
    </xf>
    <xf numFmtId="0" fontId="0" fillId="0" borderId="0" xfId="0" applyAlignment="1">
      <alignment horizontal="right" vertical="center"/>
    </xf>
    <xf numFmtId="0" fontId="43" fillId="0" borderId="0" xfId="0" applyFont="1" applyAlignment="1" applyProtection="1">
      <alignment horizontal="left" vertical="center"/>
    </xf>
    <xf numFmtId="0" fontId="0" fillId="0" borderId="0" xfId="0" applyFill="1" applyAlignment="1">
      <alignment horizontal="right" vertical="center"/>
    </xf>
    <xf numFmtId="164" fontId="0" fillId="0" borderId="49" xfId="0" applyNumberFormat="1" applyFont="1" applyBorder="1" applyAlignment="1" applyProtection="1">
      <alignment horizontal="right" vertical="center"/>
    </xf>
    <xf numFmtId="164" fontId="0" fillId="0" borderId="50" xfId="0" applyNumberFormat="1" applyFont="1" applyBorder="1" applyAlignment="1" applyProtection="1">
      <alignment horizontal="right" vertical="center"/>
    </xf>
    <xf numFmtId="164" fontId="0" fillId="0" borderId="51" xfId="0" applyNumberFormat="1" applyFont="1" applyBorder="1" applyAlignment="1" applyProtection="1">
      <alignment horizontal="right" vertical="center"/>
    </xf>
    <xf numFmtId="164" fontId="0" fillId="0" borderId="52" xfId="0" applyNumberFormat="1" applyFont="1" applyBorder="1" applyAlignment="1" applyProtection="1">
      <alignment horizontal="right" vertical="center"/>
    </xf>
    <xf numFmtId="164" fontId="0" fillId="0" borderId="53" xfId="0" applyNumberFormat="1" applyFont="1" applyBorder="1" applyAlignment="1" applyProtection="1">
      <alignment horizontal="right" vertical="center"/>
    </xf>
    <xf numFmtId="164" fontId="0" fillId="0" borderId="54" xfId="0" applyNumberFormat="1" applyFont="1" applyBorder="1" applyAlignment="1" applyProtection="1">
      <alignment horizontal="right" vertical="center"/>
    </xf>
    <xf numFmtId="164" fontId="0" fillId="0" borderId="55" xfId="0" applyNumberFormat="1" applyFont="1" applyBorder="1" applyAlignment="1" applyProtection="1">
      <alignment horizontal="right" vertical="center"/>
    </xf>
    <xf numFmtId="164" fontId="0" fillId="0" borderId="56" xfId="0" applyNumberFormat="1" applyFont="1" applyBorder="1" applyAlignment="1" applyProtection="1">
      <alignment horizontal="right" vertical="center"/>
    </xf>
    <xf numFmtId="164" fontId="0" fillId="0" borderId="57" xfId="0" applyNumberFormat="1" applyFont="1" applyBorder="1" applyAlignment="1" applyProtection="1">
      <alignment horizontal="right" vertical="center"/>
    </xf>
    <xf numFmtId="164" fontId="0" fillId="0" borderId="49" xfId="0" applyNumberFormat="1" applyFont="1" applyFill="1" applyBorder="1" applyAlignment="1" applyProtection="1">
      <alignment horizontal="right" vertical="center"/>
    </xf>
    <xf numFmtId="164" fontId="0" fillId="0" borderId="50" xfId="0" applyNumberFormat="1" applyFont="1" applyFill="1" applyBorder="1" applyAlignment="1" applyProtection="1">
      <alignment horizontal="right" vertical="center"/>
    </xf>
    <xf numFmtId="164" fontId="0" fillId="0" borderId="51" xfId="0" applyNumberFormat="1" applyFont="1" applyFill="1" applyBorder="1" applyAlignment="1" applyProtection="1">
      <alignment horizontal="right" vertical="center"/>
    </xf>
    <xf numFmtId="164" fontId="0" fillId="0" borderId="52" xfId="0" applyNumberFormat="1" applyFont="1" applyFill="1" applyBorder="1" applyAlignment="1" applyProtection="1">
      <alignment horizontal="right" vertical="center"/>
    </xf>
    <xf numFmtId="164" fontId="0" fillId="0" borderId="53" xfId="0" applyNumberFormat="1" applyFont="1" applyFill="1" applyBorder="1" applyAlignment="1" applyProtection="1">
      <alignment horizontal="right" vertical="center"/>
    </xf>
    <xf numFmtId="164" fontId="0" fillId="0" borderId="54" xfId="0" applyNumberFormat="1" applyFont="1" applyFill="1" applyBorder="1" applyAlignment="1" applyProtection="1">
      <alignment horizontal="right" vertical="center"/>
    </xf>
    <xf numFmtId="164" fontId="0" fillId="0" borderId="55" xfId="0" applyNumberFormat="1" applyFont="1" applyFill="1" applyBorder="1" applyAlignment="1" applyProtection="1">
      <alignment horizontal="right" vertical="center"/>
    </xf>
    <xf numFmtId="164" fontId="0" fillId="0" borderId="56" xfId="0" applyNumberFormat="1" applyFont="1" applyFill="1" applyBorder="1" applyAlignment="1" applyProtection="1">
      <alignment horizontal="right" vertical="center"/>
    </xf>
    <xf numFmtId="164" fontId="0" fillId="0" borderId="57" xfId="0" applyNumberFormat="1" applyFont="1" applyFill="1" applyBorder="1" applyAlignment="1" applyProtection="1">
      <alignment horizontal="right" vertical="center"/>
    </xf>
    <xf numFmtId="1" fontId="0" fillId="0" borderId="0" xfId="0" applyNumberFormat="1" applyFont="1" applyAlignment="1" applyProtection="1">
      <alignment horizontal="right" vertical="center"/>
    </xf>
    <xf numFmtId="1" fontId="0" fillId="0" borderId="58" xfId="0" applyNumberFormat="1" applyFont="1" applyBorder="1" applyAlignment="1" applyProtection="1">
      <alignment horizontal="right" vertical="center"/>
    </xf>
    <xf numFmtId="1" fontId="0" fillId="0" borderId="59" xfId="0" applyNumberFormat="1" applyFont="1" applyBorder="1" applyAlignment="1" applyProtection="1">
      <alignment horizontal="right" vertical="center"/>
    </xf>
    <xf numFmtId="1" fontId="0" fillId="0" borderId="60" xfId="0" applyNumberFormat="1" applyFont="1" applyBorder="1" applyAlignment="1" applyProtection="1">
      <alignment horizontal="right" vertical="center"/>
    </xf>
    <xf numFmtId="0" fontId="0" fillId="0" borderId="0" xfId="0" applyFont="1" applyAlignment="1">
      <alignment horizontal="right" vertical="center"/>
    </xf>
    <xf numFmtId="1" fontId="0" fillId="26" borderId="38" xfId="0" applyNumberFormat="1" applyFont="1" applyFill="1" applyBorder="1" applyAlignment="1" applyProtection="1">
      <alignment vertical="center" wrapText="1"/>
    </xf>
    <xf numFmtId="164" fontId="0" fillId="0" borderId="0" xfId="0" applyNumberFormat="1" applyFont="1" applyFill="1" applyBorder="1" applyAlignment="1" applyProtection="1">
      <alignment vertical="center" wrapText="1"/>
    </xf>
    <xf numFmtId="1" fontId="0" fillId="26" borderId="29" xfId="0" applyNumberFormat="1" applyFont="1" applyFill="1" applyBorder="1" applyAlignment="1" applyProtection="1">
      <alignment vertical="center" wrapText="1"/>
    </xf>
    <xf numFmtId="164" fontId="0" fillId="0" borderId="58" xfId="0" applyNumberFormat="1" applyFont="1" applyBorder="1" applyAlignment="1" applyProtection="1">
      <alignment horizontal="right" vertical="center"/>
    </xf>
    <xf numFmtId="164" fontId="0" fillId="0" borderId="59" xfId="0" applyNumberFormat="1" applyFont="1" applyBorder="1" applyAlignment="1" applyProtection="1">
      <alignment horizontal="right" vertical="center"/>
    </xf>
    <xf numFmtId="164" fontId="0" fillId="0" borderId="60" xfId="0" applyNumberFormat="1" applyFont="1" applyBorder="1" applyAlignment="1" applyProtection="1">
      <alignment horizontal="right" vertical="center"/>
    </xf>
    <xf numFmtId="164" fontId="0" fillId="0" borderId="58" xfId="0" applyNumberFormat="1" applyFont="1" applyFill="1" applyBorder="1" applyAlignment="1" applyProtection="1">
      <alignment horizontal="right" vertical="center"/>
    </xf>
    <xf numFmtId="164" fontId="0" fillId="0" borderId="59" xfId="0" applyNumberFormat="1" applyFont="1" applyFill="1" applyBorder="1" applyAlignment="1" applyProtection="1">
      <alignment horizontal="right" vertical="center"/>
    </xf>
    <xf numFmtId="164" fontId="0" fillId="0" borderId="60" xfId="0" applyNumberFormat="1" applyFont="1" applyFill="1" applyBorder="1" applyAlignment="1" applyProtection="1">
      <alignment horizontal="right" vertical="center"/>
    </xf>
    <xf numFmtId="0" fontId="0" fillId="0" borderId="0" xfId="0" applyFont="1" applyBorder="1" applyAlignment="1">
      <alignment horizontal="right" vertical="center" wrapText="1"/>
    </xf>
    <xf numFmtId="0" fontId="0" fillId="51" borderId="0" xfId="0" applyFont="1" applyFill="1" applyAlignment="1" applyProtection="1">
      <alignment horizontal="right" vertical="center"/>
    </xf>
    <xf numFmtId="1" fontId="0" fillId="25" borderId="0" xfId="0" applyNumberFormat="1" applyFont="1" applyFill="1" applyAlignment="1" applyProtection="1">
      <alignment horizontal="right" vertical="center"/>
    </xf>
    <xf numFmtId="0" fontId="0" fillId="25" borderId="0" xfId="0" applyFont="1" applyFill="1" applyAlignment="1" applyProtection="1">
      <alignment horizontal="right" vertical="center"/>
    </xf>
    <xf numFmtId="1" fontId="0" fillId="51" borderId="0" xfId="0" applyNumberFormat="1" applyFont="1" applyFill="1" applyAlignment="1" applyProtection="1">
      <alignment horizontal="right" vertical="center"/>
    </xf>
    <xf numFmtId="2" fontId="0" fillId="0" borderId="0" xfId="0" applyNumberFormat="1" applyFont="1" applyBorder="1" applyAlignment="1">
      <alignment horizontal="right" vertical="center" wrapText="1"/>
    </xf>
    <xf numFmtId="1" fontId="0" fillId="0" borderId="0" xfId="0" applyNumberFormat="1" applyFont="1" applyBorder="1" applyAlignment="1">
      <alignment horizontal="right" vertical="center" wrapText="1"/>
    </xf>
    <xf numFmtId="2" fontId="0" fillId="51" borderId="0" xfId="0" applyNumberFormat="1" applyFont="1" applyFill="1" applyBorder="1" applyAlignment="1">
      <alignment horizontal="right" vertical="center" wrapText="1"/>
    </xf>
    <xf numFmtId="1" fontId="0" fillId="51" borderId="0" xfId="0" applyNumberFormat="1" applyFont="1" applyFill="1" applyBorder="1" applyAlignment="1">
      <alignment horizontal="right" vertical="center" wrapText="1"/>
    </xf>
    <xf numFmtId="2" fontId="0" fillId="25" borderId="0" xfId="0" applyNumberFormat="1" applyFont="1" applyFill="1" applyBorder="1" applyAlignment="1">
      <alignment horizontal="right" vertical="center" wrapText="1"/>
    </xf>
    <xf numFmtId="1" fontId="0" fillId="25" borderId="0" xfId="0" applyNumberFormat="1" applyFont="1" applyFill="1" applyBorder="1" applyAlignment="1">
      <alignment horizontal="right" vertical="center" wrapText="1"/>
    </xf>
    <xf numFmtId="0" fontId="0" fillId="0" borderId="0" xfId="0" applyFont="1" applyBorder="1" applyAlignment="1" applyProtection="1">
      <alignment horizontal="left" vertical="center"/>
    </xf>
    <xf numFmtId="0" fontId="0" fillId="0" borderId="0" xfId="0" applyFont="1" applyBorder="1" applyAlignment="1">
      <alignment horizontal="right" vertical="center"/>
    </xf>
    <xf numFmtId="0" fontId="0" fillId="51" borderId="0" xfId="0" applyFont="1" applyFill="1" applyBorder="1" applyAlignment="1">
      <alignment horizontal="right" vertical="center" wrapText="1"/>
    </xf>
    <xf numFmtId="0" fontId="0" fillId="25" borderId="0" xfId="0" applyFont="1" applyFill="1" applyBorder="1" applyAlignment="1">
      <alignment horizontal="right" vertical="center" wrapText="1"/>
    </xf>
    <xf numFmtId="0" fontId="0" fillId="51" borderId="0" xfId="0" applyFont="1" applyFill="1" applyBorder="1" applyAlignment="1">
      <alignment horizontal="right" vertical="center"/>
    </xf>
    <xf numFmtId="0" fontId="0" fillId="25" borderId="0" xfId="0" applyFont="1" applyFill="1" applyBorder="1" applyAlignment="1">
      <alignment horizontal="right" vertical="center"/>
    </xf>
    <xf numFmtId="0" fontId="0" fillId="0" borderId="0" xfId="0" applyFont="1" applyBorder="1" applyAlignment="1" applyProtection="1">
      <alignment horizontal="right" vertical="center"/>
    </xf>
    <xf numFmtId="49" fontId="35" fillId="0" borderId="1" xfId="0" applyNumberFormat="1" applyFont="1" applyBorder="1" applyAlignment="1" applyProtection="1">
      <alignment horizontal="left" vertical="center"/>
      <protection locked="0"/>
    </xf>
    <xf numFmtId="164" fontId="44" fillId="0" borderId="0" xfId="0" applyNumberFormat="1" applyFont="1" applyBorder="1" applyAlignment="1">
      <alignment horizontal="right" vertical="center" wrapText="1"/>
    </xf>
    <xf numFmtId="164" fontId="44" fillId="0" borderId="0" xfId="0" applyNumberFormat="1" applyFont="1" applyBorder="1" applyAlignment="1">
      <alignment horizontal="right" vertical="center"/>
    </xf>
    <xf numFmtId="1" fontId="43" fillId="0" borderId="0" xfId="0" applyNumberFormat="1" applyFont="1" applyAlignment="1" applyProtection="1">
      <alignment horizontal="right" vertical="center"/>
    </xf>
    <xf numFmtId="2" fontId="43" fillId="0" borderId="0" xfId="0" applyNumberFormat="1" applyFont="1" applyAlignment="1" applyProtection="1">
      <alignment horizontal="right" vertical="center"/>
    </xf>
    <xf numFmtId="2" fontId="0" fillId="0" borderId="0" xfId="0" applyNumberFormat="1" applyFont="1" applyAlignment="1" applyProtection="1">
      <alignment horizontal="left" vertical="center"/>
    </xf>
    <xf numFmtId="0" fontId="0" fillId="0" borderId="0" xfId="0" applyAlignment="1">
      <alignment horizontal="left" vertical="center"/>
    </xf>
    <xf numFmtId="1" fontId="45" fillId="44" borderId="2" xfId="0" applyNumberFormat="1" applyFont="1" applyFill="1" applyBorder="1" applyAlignment="1" applyProtection="1">
      <alignment horizontal="left" vertical="center" wrapText="1"/>
    </xf>
    <xf numFmtId="0" fontId="18" fillId="19" borderId="23"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164" fontId="4" fillId="0" borderId="0" xfId="0" applyNumberFormat="1" applyFont="1" applyBorder="1" applyAlignment="1" applyProtection="1">
      <alignment vertical="top"/>
    </xf>
    <xf numFmtId="164" fontId="4" fillId="0" borderId="0" xfId="0" applyNumberFormat="1" applyFont="1" applyFill="1" applyBorder="1" applyAlignment="1" applyProtection="1">
      <alignment vertical="top"/>
    </xf>
    <xf numFmtId="164" fontId="46" fillId="0" borderId="31" xfId="0" applyNumberFormat="1" applyFont="1" applyFill="1" applyBorder="1" applyAlignment="1" applyProtection="1">
      <alignment horizontal="center" vertical="top" wrapText="1"/>
    </xf>
    <xf numFmtId="164" fontId="4" fillId="50" borderId="12" xfId="0" applyNumberFormat="1" applyFont="1" applyFill="1" applyBorder="1" applyAlignment="1" applyProtection="1">
      <alignment horizontal="center" vertical="top"/>
      <protection locked="0"/>
    </xf>
    <xf numFmtId="164" fontId="4" fillId="50" borderId="47" xfId="0" applyNumberFormat="1" applyFont="1" applyFill="1" applyBorder="1" applyAlignment="1" applyProtection="1">
      <alignment horizontal="center" vertical="top"/>
      <protection locked="0"/>
    </xf>
    <xf numFmtId="1" fontId="4" fillId="50" borderId="12" xfId="0" applyNumberFormat="1" applyFont="1" applyFill="1" applyBorder="1" applyAlignment="1" applyProtection="1">
      <alignment horizontal="center" vertical="top"/>
      <protection locked="0"/>
    </xf>
    <xf numFmtId="1" fontId="4" fillId="50" borderId="47" xfId="0" applyNumberFormat="1" applyFont="1" applyFill="1" applyBorder="1" applyAlignment="1" applyProtection="1">
      <alignment horizontal="center" vertical="top"/>
      <protection locked="0"/>
    </xf>
    <xf numFmtId="1" fontId="46" fillId="0" borderId="31" xfId="0" applyNumberFormat="1" applyFont="1" applyFill="1" applyBorder="1" applyAlignment="1" applyProtection="1">
      <alignment horizontal="center" vertical="top" wrapText="1"/>
    </xf>
    <xf numFmtId="1" fontId="46" fillId="0" borderId="23" xfId="0" applyNumberFormat="1" applyFont="1" applyFill="1" applyBorder="1" applyAlignment="1" applyProtection="1">
      <alignment horizontal="center" vertical="top" wrapText="1"/>
    </xf>
    <xf numFmtId="0" fontId="47" fillId="0" borderId="0" xfId="0" applyFont="1" applyFill="1" applyBorder="1" applyAlignment="1" applyProtection="1">
      <alignment vertical="top"/>
    </xf>
    <xf numFmtId="164" fontId="47" fillId="0" borderId="0" xfId="0" applyNumberFormat="1" applyFont="1" applyFill="1" applyBorder="1" applyAlignment="1" applyProtection="1">
      <alignment vertical="top"/>
    </xf>
    <xf numFmtId="0" fontId="46" fillId="15" borderId="0" xfId="0" applyFont="1" applyFill="1" applyBorder="1" applyAlignment="1" applyProtection="1">
      <alignment horizontal="center" vertical="top" wrapText="1"/>
    </xf>
    <xf numFmtId="0" fontId="46" fillId="16" borderId="0" xfId="0" applyFont="1" applyFill="1" applyBorder="1" applyAlignment="1" applyProtection="1">
      <alignment horizontal="center" vertical="top" wrapText="1"/>
    </xf>
    <xf numFmtId="0" fontId="46" fillId="17" borderId="0" xfId="0" applyFont="1" applyFill="1" applyBorder="1" applyAlignment="1" applyProtection="1">
      <alignment horizontal="center" vertical="top" wrapText="1"/>
    </xf>
    <xf numFmtId="0" fontId="46" fillId="0" borderId="0" xfId="0" applyFont="1" applyBorder="1" applyAlignment="1" applyProtection="1">
      <alignment horizontal="center" vertical="top"/>
    </xf>
    <xf numFmtId="0" fontId="46" fillId="0" borderId="0" xfId="0" applyFont="1" applyFill="1" applyBorder="1" applyAlignment="1" applyProtection="1">
      <alignment horizontal="center" vertical="top" wrapText="1"/>
    </xf>
    <xf numFmtId="164" fontId="4" fillId="22" borderId="11" xfId="0" applyNumberFormat="1" applyFont="1" applyFill="1" applyBorder="1" applyAlignment="1" applyProtection="1">
      <alignment horizontal="center" vertical="top"/>
    </xf>
    <xf numFmtId="164" fontId="4" fillId="22" borderId="12" xfId="0" applyNumberFormat="1" applyFont="1" applyFill="1" applyBorder="1" applyAlignment="1" applyProtection="1">
      <alignment horizontal="center" vertical="top"/>
    </xf>
    <xf numFmtId="164" fontId="4" fillId="22" borderId="13" xfId="0" applyNumberFormat="1" applyFont="1" applyFill="1" applyBorder="1" applyAlignment="1" applyProtection="1">
      <alignment horizontal="center" vertical="top"/>
    </xf>
    <xf numFmtId="164" fontId="4" fillId="50" borderId="12" xfId="0" applyNumberFormat="1" applyFont="1" applyFill="1" applyBorder="1" applyAlignment="1" applyProtection="1">
      <alignment horizontal="center" vertical="top"/>
    </xf>
    <xf numFmtId="164" fontId="4" fillId="50" borderId="47" xfId="0" applyNumberFormat="1" applyFont="1" applyFill="1" applyBorder="1" applyAlignment="1" applyProtection="1">
      <alignment horizontal="center" vertical="top"/>
    </xf>
    <xf numFmtId="1" fontId="4" fillId="22" borderId="11" xfId="0" applyNumberFormat="1" applyFont="1" applyFill="1" applyBorder="1" applyAlignment="1" applyProtection="1">
      <alignment horizontal="center" vertical="top"/>
    </xf>
    <xf numFmtId="1" fontId="4" fillId="22" borderId="12" xfId="0" applyNumberFormat="1" applyFont="1" applyFill="1" applyBorder="1" applyAlignment="1" applyProtection="1">
      <alignment horizontal="center" vertical="top"/>
    </xf>
    <xf numFmtId="1" fontId="4" fillId="50" borderId="12" xfId="0" applyNumberFormat="1" applyFont="1" applyFill="1" applyBorder="1" applyAlignment="1" applyProtection="1">
      <alignment horizontal="center" vertical="top"/>
    </xf>
    <xf numFmtId="1" fontId="4" fillId="50" borderId="47" xfId="0" applyNumberFormat="1" applyFont="1" applyFill="1" applyBorder="1" applyAlignment="1" applyProtection="1">
      <alignment horizontal="center" vertical="top"/>
    </xf>
    <xf numFmtId="1" fontId="4" fillId="22" borderId="13" xfId="0" applyNumberFormat="1" applyFont="1" applyFill="1" applyBorder="1" applyAlignment="1" applyProtection="1">
      <alignment horizontal="center" vertical="top"/>
    </xf>
    <xf numFmtId="0" fontId="18" fillId="19" borderId="31" xfId="5" applyFont="1" applyFill="1" applyBorder="1" applyAlignment="1" applyProtection="1">
      <alignment horizontal="center" vertical="top"/>
    </xf>
    <xf numFmtId="0" fontId="5" fillId="0" borderId="0" xfId="5" applyFont="1" applyBorder="1" applyAlignment="1" applyProtection="1">
      <alignment horizontal="center" vertical="top" wrapText="1"/>
    </xf>
    <xf numFmtId="0" fontId="49" fillId="0" borderId="0" xfId="5" applyFont="1" applyBorder="1" applyAlignment="1" applyProtection="1">
      <alignment horizontal="center" vertical="top"/>
    </xf>
    <xf numFmtId="0" fontId="50" fillId="0" borderId="0" xfId="5" applyFont="1" applyBorder="1" applyAlignment="1" applyProtection="1">
      <alignment vertical="top"/>
    </xf>
    <xf numFmtId="164" fontId="4" fillId="13" borderId="23" xfId="5" applyNumberFormat="1" applyFont="1" applyFill="1" applyBorder="1" applyAlignment="1" applyProtection="1">
      <alignment horizontal="center" vertical="top"/>
    </xf>
    <xf numFmtId="1" fontId="4" fillId="13" borderId="23" xfId="5" applyNumberFormat="1" applyFont="1" applyFill="1" applyBorder="1" applyAlignment="1" applyProtection="1">
      <alignment horizontal="center" vertical="top"/>
    </xf>
    <xf numFmtId="1" fontId="4" fillId="22" borderId="23" xfId="5" applyNumberFormat="1" applyFont="1" applyFill="1" applyBorder="1" applyAlignment="1" applyProtection="1">
      <alignment horizontal="center" vertical="top"/>
    </xf>
    <xf numFmtId="1" fontId="4" fillId="10" borderId="23" xfId="5" applyNumberFormat="1" applyFont="1" applyFill="1" applyBorder="1" applyAlignment="1" applyProtection="1">
      <alignment horizontal="center" vertical="top"/>
    </xf>
    <xf numFmtId="1" fontId="4" fillId="0" borderId="0" xfId="5" applyNumberFormat="1" applyFont="1" applyFill="1" applyBorder="1" applyAlignment="1" applyProtection="1">
      <alignment horizontal="center" vertical="top"/>
    </xf>
    <xf numFmtId="1" fontId="4" fillId="0" borderId="0" xfId="0" applyNumberFormat="1" applyFont="1" applyBorder="1" applyAlignment="1" applyProtection="1">
      <alignment horizontal="center" vertical="top"/>
    </xf>
    <xf numFmtId="0" fontId="49" fillId="0" borderId="0" xfId="0" applyFont="1" applyBorder="1" applyAlignment="1" applyProtection="1">
      <alignment horizontal="center" vertical="top"/>
    </xf>
    <xf numFmtId="164" fontId="4" fillId="51" borderId="0" xfId="0" applyNumberFormat="1" applyFont="1" applyFill="1" applyBorder="1" applyAlignment="1" applyProtection="1">
      <alignment vertical="top"/>
    </xf>
    <xf numFmtId="0" fontId="51" fillId="0" borderId="0" xfId="0" applyFont="1" applyBorder="1" applyAlignment="1" applyProtection="1">
      <alignment horizontal="center" vertical="top"/>
    </xf>
    <xf numFmtId="0" fontId="17" fillId="18" borderId="23" xfId="0" applyFont="1" applyFill="1" applyBorder="1" applyAlignment="1" applyProtection="1">
      <alignment horizontal="center" vertical="top"/>
    </xf>
    <xf numFmtId="2" fontId="4" fillId="10" borderId="23" xfId="5" applyNumberFormat="1" applyFont="1" applyFill="1" applyBorder="1" applyAlignment="1" applyProtection="1">
      <alignment horizontal="center" vertical="top"/>
    </xf>
    <xf numFmtId="2" fontId="4" fillId="22" borderId="23" xfId="5" applyNumberFormat="1" applyFont="1" applyFill="1" applyBorder="1" applyAlignment="1" applyProtection="1">
      <alignment horizontal="center" vertical="top"/>
    </xf>
    <xf numFmtId="2" fontId="4" fillId="13" borderId="23" xfId="5" applyNumberFormat="1" applyFont="1" applyFill="1" applyBorder="1" applyAlignment="1" applyProtection="1">
      <alignment horizontal="center" vertical="top"/>
    </xf>
    <xf numFmtId="0" fontId="17" fillId="18" borderId="23" xfId="0" applyFont="1" applyFill="1" applyBorder="1" applyAlignment="1" applyProtection="1">
      <alignment horizontal="center" vertical="top"/>
    </xf>
    <xf numFmtId="0" fontId="48" fillId="44" borderId="1" xfId="5" applyFont="1" applyFill="1" applyBorder="1" applyAlignment="1" applyProtection="1">
      <alignment horizontal="center" vertical="top"/>
      <protection locked="0"/>
    </xf>
    <xf numFmtId="0" fontId="2" fillId="6" borderId="4" xfId="0" applyFont="1" applyFill="1" applyBorder="1" applyAlignment="1" applyProtection="1">
      <alignment horizontal="left" vertical="top" wrapText="1"/>
    </xf>
    <xf numFmtId="0" fontId="2" fillId="6" borderId="14" xfId="0" applyFont="1" applyFill="1" applyBorder="1" applyAlignment="1" applyProtection="1">
      <alignment horizontal="left" vertical="top" wrapText="1"/>
    </xf>
    <xf numFmtId="0" fontId="1" fillId="2" borderId="7" xfId="0" applyFont="1" applyFill="1" applyBorder="1" applyAlignment="1" applyProtection="1">
      <alignment horizontal="left" vertical="center" wrapText="1"/>
    </xf>
    <xf numFmtId="0" fontId="1" fillId="2" borderId="4" xfId="0" applyFont="1" applyFill="1" applyBorder="1" applyAlignment="1" applyProtection="1">
      <alignment horizontal="left" vertical="center" wrapText="1"/>
    </xf>
    <xf numFmtId="0" fontId="2" fillId="35" borderId="14" xfId="0" applyFont="1" applyFill="1" applyBorder="1" applyAlignment="1">
      <alignment horizontal="left" vertical="top" wrapText="1"/>
    </xf>
    <xf numFmtId="0" fontId="1" fillId="2" borderId="1" xfId="0" applyFont="1" applyFill="1" applyBorder="1" applyAlignment="1" applyProtection="1">
      <alignment horizontal="left" vertical="center" wrapText="1"/>
    </xf>
    <xf numFmtId="0" fontId="1" fillId="3" borderId="3" xfId="0" applyFont="1" applyFill="1" applyBorder="1" applyAlignment="1" applyProtection="1">
      <alignment horizontal="left" vertical="center" wrapText="1"/>
    </xf>
    <xf numFmtId="0" fontId="1" fillId="21" borderId="7" xfId="0" applyFont="1" applyFill="1" applyBorder="1" applyAlignment="1" applyProtection="1">
      <alignment horizontal="left" vertical="center" wrapText="1"/>
    </xf>
    <xf numFmtId="0" fontId="1" fillId="12" borderId="3" xfId="0" applyFont="1" applyFill="1" applyBorder="1" applyAlignment="1" applyProtection="1">
      <alignment horizontal="left" vertical="center" wrapText="1"/>
    </xf>
    <xf numFmtId="0" fontId="1" fillId="12" borderId="3" xfId="0" applyFont="1" applyFill="1" applyBorder="1" applyAlignment="1" applyProtection="1">
      <alignment vertical="center" wrapText="1"/>
    </xf>
    <xf numFmtId="0" fontId="1" fillId="52" borderId="3" xfId="0" applyFont="1" applyFill="1" applyBorder="1" applyAlignment="1" applyProtection="1">
      <alignment horizontal="left" vertical="center" wrapText="1"/>
    </xf>
    <xf numFmtId="0" fontId="32" fillId="36" borderId="2" xfId="0" applyFont="1" applyFill="1" applyBorder="1" applyAlignment="1" applyProtection="1">
      <alignment horizontal="left" vertical="center" wrapText="1"/>
    </xf>
    <xf numFmtId="0" fontId="1" fillId="12" borderId="2" xfId="0" applyFont="1" applyFill="1" applyBorder="1" applyAlignment="1" applyProtection="1">
      <alignment horizontal="left" vertical="center" wrapText="1"/>
    </xf>
    <xf numFmtId="0" fontId="7" fillId="12" borderId="2" xfId="0" applyFont="1" applyFill="1" applyBorder="1" applyAlignment="1" applyProtection="1">
      <alignment vertical="center" wrapText="1"/>
    </xf>
    <xf numFmtId="0" fontId="1" fillId="36" borderId="2" xfId="0" applyFont="1" applyFill="1" applyBorder="1" applyAlignment="1" applyProtection="1">
      <alignment horizontal="left" vertical="center" wrapText="1"/>
    </xf>
    <xf numFmtId="0" fontId="1" fillId="21" borderId="4" xfId="0" applyFont="1" applyFill="1" applyBorder="1" applyAlignment="1" applyProtection="1">
      <alignment horizontal="left" vertical="center" wrapText="1"/>
    </xf>
    <xf numFmtId="0" fontId="2" fillId="35" borderId="4" xfId="0" applyFont="1" applyFill="1" applyBorder="1" applyAlignment="1" applyProtection="1">
      <alignment horizontal="left" vertical="center" wrapText="1"/>
    </xf>
    <xf numFmtId="0" fontId="20" fillId="0" borderId="0" xfId="0" applyFont="1" applyFill="1" applyBorder="1" applyAlignment="1" applyProtection="1">
      <alignment horizontal="left" vertical="top"/>
    </xf>
    <xf numFmtId="0" fontId="2" fillId="6" borderId="14" xfId="0" applyFont="1" applyFill="1" applyBorder="1" applyAlignment="1" applyProtection="1">
      <alignment horizontal="left" vertical="top" wrapText="1"/>
    </xf>
    <xf numFmtId="0" fontId="2" fillId="6" borderId="4" xfId="0" applyFont="1" applyFill="1" applyBorder="1" applyAlignment="1" applyProtection="1">
      <alignment horizontal="left" vertical="top" wrapText="1"/>
    </xf>
    <xf numFmtId="0" fontId="1" fillId="2" borderId="1" xfId="0" applyFont="1" applyFill="1" applyBorder="1" applyAlignment="1" applyProtection="1">
      <alignment horizontal="left" vertical="center" wrapText="1"/>
    </xf>
    <xf numFmtId="0" fontId="0" fillId="0" borderId="0" xfId="0" applyBorder="1" applyAlignment="1">
      <alignment vertical="top" wrapText="1"/>
    </xf>
    <xf numFmtId="0" fontId="1" fillId="22" borderId="1" xfId="0" applyFont="1" applyFill="1" applyBorder="1" applyAlignment="1" applyProtection="1">
      <alignment horizontal="center" vertical="center" wrapText="1"/>
    </xf>
    <xf numFmtId="0" fontId="2" fillId="22" borderId="7" xfId="0" applyFont="1" applyFill="1" applyBorder="1" applyAlignment="1" applyProtection="1">
      <alignment horizontal="left" vertical="top" wrapText="1"/>
    </xf>
    <xf numFmtId="0" fontId="2" fillId="22" borderId="4" xfId="0" applyFont="1" applyFill="1" applyBorder="1" applyAlignment="1" applyProtection="1">
      <alignment horizontal="left" vertical="top" wrapText="1"/>
    </xf>
    <xf numFmtId="1" fontId="2" fillId="54" borderId="1" xfId="0" applyNumberFormat="1" applyFont="1" applyFill="1" applyBorder="1" applyAlignment="1" applyProtection="1">
      <alignment horizontal="left" vertical="center" wrapText="1"/>
      <protection locked="0"/>
    </xf>
    <xf numFmtId="0" fontId="2" fillId="22" borderId="14" xfId="0" applyFont="1" applyFill="1" applyBorder="1" applyAlignment="1" applyProtection="1">
      <alignment horizontal="left" vertical="top" wrapText="1"/>
    </xf>
    <xf numFmtId="0" fontId="2" fillId="0" borderId="59" xfId="0" applyFont="1" applyBorder="1" applyAlignment="1" applyProtection="1">
      <alignment vertical="top" wrapText="1"/>
      <protection locked="0"/>
    </xf>
    <xf numFmtId="0" fontId="2" fillId="0" borderId="60" xfId="0" applyFont="1" applyBorder="1" applyAlignment="1" applyProtection="1">
      <alignment horizontal="left" vertical="top" wrapText="1"/>
      <protection locked="0"/>
    </xf>
    <xf numFmtId="0" fontId="2" fillId="0" borderId="58" xfId="0" applyFont="1" applyBorder="1" applyAlignment="1" applyProtection="1">
      <alignment horizontal="left" vertical="top" wrapText="1"/>
      <protection locked="0"/>
    </xf>
    <xf numFmtId="0" fontId="2" fillId="0" borderId="59" xfId="0" applyFont="1" applyBorder="1" applyAlignment="1" applyProtection="1">
      <alignment horizontal="left" vertical="top" wrapText="1"/>
      <protection locked="0"/>
    </xf>
    <xf numFmtId="0" fontId="1" fillId="22" borderId="14" xfId="0" applyFont="1" applyFill="1" applyBorder="1" applyAlignment="1" applyProtection="1">
      <alignment horizontal="left" vertical="top" wrapText="1"/>
    </xf>
    <xf numFmtId="0" fontId="1" fillId="22" borderId="14" xfId="0" applyFont="1" applyFill="1" applyBorder="1" applyAlignment="1" applyProtection="1">
      <alignment horizontal="center" vertical="top" wrapText="1"/>
    </xf>
    <xf numFmtId="0" fontId="2" fillId="0" borderId="58" xfId="0" quotePrefix="1" applyFont="1" applyBorder="1" applyAlignment="1" applyProtection="1">
      <alignment horizontal="left" vertical="top" wrapText="1"/>
      <protection locked="0"/>
    </xf>
    <xf numFmtId="0" fontId="1" fillId="22" borderId="14" xfId="0" applyFont="1" applyFill="1" applyBorder="1" applyAlignment="1" applyProtection="1">
      <alignment horizontal="center" vertical="center" wrapText="1"/>
    </xf>
    <xf numFmtId="0" fontId="2" fillId="0" borderId="59" xfId="0" quotePrefix="1" applyFont="1" applyBorder="1" applyAlignment="1" applyProtection="1">
      <alignment horizontal="left" vertical="top" wrapText="1"/>
      <protection locked="0"/>
    </xf>
    <xf numFmtId="0" fontId="2" fillId="6" borderId="14" xfId="0" applyFont="1" applyFill="1" applyBorder="1" applyAlignment="1" applyProtection="1">
      <alignment horizontal="left" vertical="top" wrapText="1"/>
    </xf>
    <xf numFmtId="0" fontId="2" fillId="6" borderId="4" xfId="0" applyFont="1" applyFill="1" applyBorder="1" applyAlignment="1" applyProtection="1">
      <alignment horizontal="left" vertical="top" wrapText="1"/>
    </xf>
    <xf numFmtId="164" fontId="2" fillId="0" borderId="3" xfId="0" applyNumberFormat="1" applyFont="1" applyBorder="1" applyAlignment="1" applyProtection="1">
      <alignment horizontal="left" vertical="center" wrapText="1"/>
    </xf>
    <xf numFmtId="0" fontId="2" fillId="35" borderId="14" xfId="0" applyFont="1" applyFill="1" applyBorder="1" applyAlignment="1">
      <alignment horizontal="left" vertical="top" wrapText="1"/>
    </xf>
    <xf numFmtId="0" fontId="1" fillId="7" borderId="3" xfId="0" applyFont="1" applyFill="1" applyBorder="1" applyAlignment="1" applyProtection="1">
      <alignment horizontal="left" vertical="center" wrapText="1"/>
    </xf>
    <xf numFmtId="0" fontId="1" fillId="2" borderId="7" xfId="0" applyFont="1" applyFill="1" applyBorder="1" applyAlignment="1" applyProtection="1">
      <alignment horizontal="left" vertical="center" wrapText="1"/>
    </xf>
    <xf numFmtId="0" fontId="1" fillId="2" borderId="4" xfId="0" applyFont="1" applyFill="1" applyBorder="1" applyAlignment="1" applyProtection="1">
      <alignment horizontal="left" vertical="center" wrapText="1"/>
    </xf>
    <xf numFmtId="0" fontId="1" fillId="8" borderId="21" xfId="0" applyFont="1" applyFill="1" applyBorder="1" applyAlignment="1" applyProtection="1">
      <alignment horizontal="left" vertical="center" wrapText="1"/>
    </xf>
    <xf numFmtId="0" fontId="1" fillId="8" borderId="2" xfId="0" applyFont="1" applyFill="1" applyBorder="1" applyAlignment="1" applyProtection="1">
      <alignment horizontal="left" vertical="center" wrapText="1"/>
    </xf>
    <xf numFmtId="1" fontId="2" fillId="24" borderId="9" xfId="0" applyNumberFormat="1" applyFont="1" applyFill="1" applyBorder="1" applyAlignment="1" applyProtection="1">
      <alignment horizontal="left" vertical="center" wrapText="1"/>
    </xf>
    <xf numFmtId="1" fontId="2" fillId="24" borderId="10" xfId="0" applyNumberFormat="1" applyFont="1" applyFill="1" applyBorder="1" applyAlignment="1" applyProtection="1">
      <alignment horizontal="left" vertical="center" wrapText="1"/>
    </xf>
    <xf numFmtId="1" fontId="2" fillId="24" borderId="3" xfId="0" applyNumberFormat="1" applyFont="1" applyFill="1" applyBorder="1" applyAlignment="1" applyProtection="1">
      <alignment horizontal="left" vertical="center" wrapText="1"/>
    </xf>
    <xf numFmtId="0" fontId="1" fillId="2" borderId="1" xfId="0" applyFont="1" applyFill="1" applyBorder="1" applyAlignment="1" applyProtection="1">
      <alignment horizontal="left" vertical="center" wrapText="1"/>
    </xf>
    <xf numFmtId="0" fontId="1" fillId="3" borderId="3" xfId="0" applyFont="1" applyFill="1" applyBorder="1" applyAlignment="1" applyProtection="1">
      <alignment horizontal="left" vertical="center" wrapText="1"/>
    </xf>
    <xf numFmtId="164" fontId="2" fillId="0" borderId="2" xfId="0" applyNumberFormat="1" applyFont="1" applyFill="1" applyBorder="1" applyAlignment="1" applyProtection="1">
      <alignment horizontal="left" vertical="center" wrapText="1"/>
    </xf>
    <xf numFmtId="0" fontId="2" fillId="6" borderId="14" xfId="0" applyFont="1" applyFill="1" applyBorder="1" applyAlignment="1" applyProtection="1">
      <alignment horizontal="left" vertical="top" wrapText="1"/>
    </xf>
    <xf numFmtId="0" fontId="2" fillId="6" borderId="4" xfId="0" applyFont="1" applyFill="1" applyBorder="1" applyAlignment="1" applyProtection="1">
      <alignment horizontal="left" vertical="top" wrapText="1"/>
    </xf>
    <xf numFmtId="0" fontId="2" fillId="35" borderId="14" xfId="0" applyFont="1" applyFill="1" applyBorder="1" applyAlignment="1">
      <alignment horizontal="left" vertical="top" wrapText="1"/>
    </xf>
    <xf numFmtId="0" fontId="1" fillId="2" borderId="7" xfId="0" applyFont="1" applyFill="1" applyBorder="1" applyAlignment="1" applyProtection="1">
      <alignment horizontal="left" vertical="center" wrapText="1"/>
    </xf>
    <xf numFmtId="0" fontId="1" fillId="2" borderId="4" xfId="0" applyFont="1" applyFill="1" applyBorder="1" applyAlignment="1" applyProtection="1">
      <alignment horizontal="left" vertical="center" wrapText="1"/>
    </xf>
    <xf numFmtId="0" fontId="1" fillId="2" borderId="1" xfId="0" applyFont="1" applyFill="1" applyBorder="1" applyAlignment="1" applyProtection="1">
      <alignment horizontal="left" vertical="center" wrapText="1"/>
    </xf>
    <xf numFmtId="0" fontId="1" fillId="3" borderId="3" xfId="0" applyFont="1" applyFill="1" applyBorder="1" applyAlignment="1" applyProtection="1">
      <alignment horizontal="left" vertical="center" wrapText="1"/>
    </xf>
    <xf numFmtId="164" fontId="2" fillId="22" borderId="2" xfId="0" applyNumberFormat="1" applyFont="1" applyFill="1" applyBorder="1" applyAlignment="1" applyProtection="1">
      <alignment horizontal="left" vertical="center" wrapText="1"/>
    </xf>
    <xf numFmtId="0" fontId="2" fillId="0" borderId="59" xfId="0" applyFont="1" applyBorder="1" applyAlignment="1" applyProtection="1">
      <alignment horizontal="center" vertical="center" wrapText="1"/>
      <protection locked="0"/>
    </xf>
    <xf numFmtId="0" fontId="1" fillId="3" borderId="1" xfId="3" applyFont="1" applyFill="1" applyBorder="1" applyAlignment="1" applyProtection="1">
      <alignment horizontal="center" vertical="top" wrapText="1"/>
    </xf>
    <xf numFmtId="0" fontId="1" fillId="0" borderId="0" xfId="0" applyFont="1" applyBorder="1" applyAlignment="1" applyProtection="1">
      <alignment horizontal="center" vertical="center"/>
    </xf>
    <xf numFmtId="0" fontId="45" fillId="0" borderId="0" xfId="0" applyFont="1" applyAlignment="1" applyProtection="1">
      <alignment vertical="center"/>
    </xf>
    <xf numFmtId="0" fontId="1" fillId="3" borderId="1" xfId="3" applyFont="1" applyFill="1" applyBorder="1" applyAlignment="1" applyProtection="1">
      <alignment horizontal="center" vertical="center" wrapText="1"/>
    </xf>
    <xf numFmtId="0" fontId="2" fillId="3" borderId="58" xfId="3" applyFont="1" applyFill="1" applyBorder="1" applyAlignment="1" applyProtection="1">
      <alignment horizontal="center" vertical="center" wrapText="1"/>
    </xf>
    <xf numFmtId="1" fontId="0" fillId="22" borderId="52" xfId="0" applyNumberFormat="1" applyFill="1" applyBorder="1" applyAlignment="1" applyProtection="1">
      <alignment horizontal="center" vertical="center"/>
    </xf>
    <xf numFmtId="0" fontId="2" fillId="10" borderId="59" xfId="3" applyFont="1" applyFill="1" applyBorder="1" applyAlignment="1" applyProtection="1">
      <alignment horizontal="center" vertical="center" wrapText="1"/>
    </xf>
    <xf numFmtId="1" fontId="0" fillId="22" borderId="54" xfId="0" applyNumberFormat="1" applyFill="1" applyBorder="1" applyAlignment="1" applyProtection="1">
      <alignment horizontal="center" vertical="center"/>
    </xf>
    <xf numFmtId="0" fontId="2" fillId="10" borderId="60" xfId="3" applyFont="1" applyFill="1" applyBorder="1" applyAlignment="1" applyProtection="1">
      <alignment horizontal="center" vertical="center" wrapText="1"/>
    </xf>
    <xf numFmtId="1" fontId="0" fillId="22" borderId="57" xfId="0" applyNumberFormat="1" applyFill="1" applyBorder="1" applyAlignment="1" applyProtection="1">
      <alignment horizontal="center" vertical="center"/>
    </xf>
    <xf numFmtId="0" fontId="2" fillId="0" borderId="0" xfId="0" applyFont="1" applyAlignment="1" applyProtection="1">
      <alignment vertical="center"/>
    </xf>
    <xf numFmtId="0" fontId="2" fillId="0" borderId="60" xfId="0" applyFont="1" applyBorder="1" applyAlignment="1" applyProtection="1">
      <alignment horizontal="center" vertical="center" wrapText="1"/>
      <protection locked="0"/>
    </xf>
    <xf numFmtId="0" fontId="2" fillId="0" borderId="58" xfId="0" applyFont="1" applyBorder="1" applyAlignment="1" applyProtection="1">
      <alignment horizontal="center" vertical="center" wrapText="1"/>
      <protection locked="0"/>
    </xf>
    <xf numFmtId="1" fontId="0" fillId="22" borderId="58" xfId="0" applyNumberFormat="1" applyFill="1" applyBorder="1" applyAlignment="1" applyProtection="1">
      <alignment horizontal="center" vertical="center"/>
    </xf>
    <xf numFmtId="1" fontId="0" fillId="22" borderId="59" xfId="0" applyNumberFormat="1" applyFill="1" applyBorder="1" applyAlignment="1" applyProtection="1">
      <alignment horizontal="center" vertical="center"/>
    </xf>
    <xf numFmtId="1" fontId="0" fillId="22" borderId="60" xfId="0" applyNumberFormat="1" applyFill="1" applyBorder="1" applyAlignment="1" applyProtection="1">
      <alignment horizontal="center" vertical="center"/>
    </xf>
    <xf numFmtId="0" fontId="1" fillId="0" borderId="58" xfId="0" applyFont="1" applyBorder="1" applyAlignment="1" applyProtection="1">
      <alignment horizontal="center" vertical="top" wrapText="1"/>
    </xf>
    <xf numFmtId="0" fontId="1" fillId="0" borderId="59" xfId="0" applyFont="1" applyBorder="1" applyAlignment="1" applyProtection="1">
      <alignment horizontal="center" vertical="top" wrapText="1"/>
    </xf>
    <xf numFmtId="0" fontId="1" fillId="0" borderId="60" xfId="0" applyFont="1" applyBorder="1" applyAlignment="1" applyProtection="1">
      <alignment horizontal="center" vertical="top" wrapText="1"/>
    </xf>
    <xf numFmtId="0" fontId="1" fillId="0" borderId="68" xfId="0" applyFont="1" applyBorder="1" applyAlignment="1" applyProtection="1">
      <alignment horizontal="center" vertical="top" wrapText="1"/>
    </xf>
    <xf numFmtId="0" fontId="2" fillId="29" borderId="58" xfId="3" applyFont="1" applyFill="1" applyBorder="1" applyAlignment="1" applyProtection="1">
      <alignment horizontal="center" vertical="center" wrapText="1"/>
    </xf>
    <xf numFmtId="0" fontId="45" fillId="0" borderId="0" xfId="0" applyFont="1" applyAlignment="1" applyProtection="1">
      <alignment horizontal="left" vertical="center"/>
    </xf>
    <xf numFmtId="0" fontId="1" fillId="29" borderId="14" xfId="0" applyFont="1" applyFill="1" applyBorder="1" applyAlignment="1" applyProtection="1">
      <alignment horizontal="center" vertical="center" wrapText="1"/>
    </xf>
    <xf numFmtId="0" fontId="1" fillId="29" borderId="1" xfId="0" applyFont="1" applyFill="1" applyBorder="1" applyAlignment="1" applyProtection="1">
      <alignment horizontal="center" vertical="center" wrapText="1"/>
    </xf>
    <xf numFmtId="1" fontId="0" fillId="22" borderId="69" xfId="0" applyNumberFormat="1" applyFill="1" applyBorder="1" applyAlignment="1" applyProtection="1">
      <alignment horizontal="center" vertical="center"/>
    </xf>
    <xf numFmtId="0" fontId="1" fillId="4" borderId="1" xfId="0" applyFont="1" applyFill="1" applyBorder="1" applyAlignment="1" applyProtection="1">
      <alignment horizontal="left" vertical="center" wrapText="1"/>
    </xf>
    <xf numFmtId="1" fontId="2" fillId="26" borderId="1" xfId="0" applyNumberFormat="1" applyFont="1" applyFill="1" applyBorder="1" applyAlignment="1" applyProtection="1">
      <alignment horizontal="left" vertical="center" wrapText="1"/>
    </xf>
    <xf numFmtId="1" fontId="2" fillId="34" borderId="1" xfId="0" applyNumberFormat="1" applyFont="1" applyFill="1" applyBorder="1" applyAlignment="1" applyProtection="1">
      <alignment horizontal="left" vertical="center" wrapText="1"/>
    </xf>
    <xf numFmtId="166" fontId="2" fillId="46" borderId="29" xfId="1" applyNumberFormat="1" applyFont="1" applyFill="1" applyBorder="1" applyAlignment="1" applyProtection="1">
      <alignment horizontal="right" vertical="center" wrapText="1"/>
    </xf>
    <xf numFmtId="164" fontId="2" fillId="46" borderId="9" xfId="0" applyNumberFormat="1" applyFont="1" applyFill="1" applyBorder="1" applyAlignment="1" applyProtection="1">
      <alignment horizontal="right" vertical="center" wrapText="1"/>
    </xf>
    <xf numFmtId="164" fontId="2" fillId="46" borderId="29" xfId="0" applyNumberFormat="1" applyFont="1" applyFill="1" applyBorder="1" applyAlignment="1" applyProtection="1">
      <alignment horizontal="right" vertical="center" wrapText="1"/>
    </xf>
    <xf numFmtId="164" fontId="2" fillId="46" borderId="38" xfId="0" applyNumberFormat="1" applyFont="1" applyFill="1" applyBorder="1" applyAlignment="1" applyProtection="1">
      <alignment horizontal="right" vertical="center" wrapText="1"/>
    </xf>
    <xf numFmtId="164" fontId="2" fillId="46" borderId="30" xfId="0" applyNumberFormat="1" applyFont="1" applyFill="1" applyBorder="1" applyAlignment="1" applyProtection="1">
      <alignment horizontal="right" vertical="center" wrapText="1"/>
    </xf>
    <xf numFmtId="164" fontId="2" fillId="45" borderId="9" xfId="0" applyNumberFormat="1" applyFont="1" applyFill="1" applyBorder="1" applyAlignment="1" applyProtection="1">
      <alignment horizontal="right" vertical="center" wrapText="1"/>
    </xf>
    <xf numFmtId="164" fontId="2" fillId="45" borderId="10" xfId="0" applyNumberFormat="1" applyFont="1" applyFill="1" applyBorder="1" applyAlignment="1" applyProtection="1">
      <alignment horizontal="right" vertical="center" wrapText="1"/>
    </xf>
    <xf numFmtId="164" fontId="2" fillId="45" borderId="3" xfId="0" applyNumberFormat="1" applyFont="1" applyFill="1" applyBorder="1" applyAlignment="1" applyProtection="1">
      <alignment horizontal="right" vertical="center" wrapText="1"/>
    </xf>
    <xf numFmtId="166" fontId="2" fillId="46" borderId="9" xfId="1" applyNumberFormat="1" applyFont="1" applyFill="1" applyBorder="1" applyAlignment="1" applyProtection="1">
      <alignment horizontal="right" vertical="center" wrapText="1"/>
    </xf>
    <xf numFmtId="166" fontId="2" fillId="46" borderId="38" xfId="1" applyNumberFormat="1" applyFont="1" applyFill="1" applyBorder="1" applyAlignment="1" applyProtection="1">
      <alignment horizontal="right" vertical="center" wrapText="1"/>
    </xf>
    <xf numFmtId="166" fontId="2" fillId="46" borderId="30" xfId="1" applyNumberFormat="1" applyFont="1" applyFill="1" applyBorder="1" applyAlignment="1" applyProtection="1">
      <alignment horizontal="right" vertical="center" wrapText="1"/>
    </xf>
    <xf numFmtId="166" fontId="2" fillId="45" borderId="9" xfId="1" applyNumberFormat="1" applyFont="1" applyFill="1" applyBorder="1" applyAlignment="1" applyProtection="1">
      <alignment horizontal="right" vertical="center" wrapText="1"/>
    </xf>
    <xf numFmtId="166" fontId="2" fillId="45" borderId="10" xfId="1" applyNumberFormat="1" applyFont="1" applyFill="1" applyBorder="1" applyAlignment="1" applyProtection="1">
      <alignment horizontal="right" vertical="center" wrapText="1"/>
    </xf>
    <xf numFmtId="166" fontId="2" fillId="45" borderId="3" xfId="1" applyNumberFormat="1" applyFont="1" applyFill="1" applyBorder="1" applyAlignment="1" applyProtection="1">
      <alignment horizontal="right" vertical="center" wrapText="1"/>
    </xf>
    <xf numFmtId="166" fontId="2" fillId="46" borderId="9" xfId="366" applyNumberFormat="1" applyFont="1" applyFill="1" applyBorder="1" applyAlignment="1" applyProtection="1">
      <alignment horizontal="right" vertical="center" wrapText="1"/>
      <protection locked="0"/>
    </xf>
    <xf numFmtId="166" fontId="2" fillId="46" borderId="29" xfId="366" applyNumberFormat="1" applyFont="1" applyFill="1" applyBorder="1" applyAlignment="1" applyProtection="1">
      <alignment horizontal="right" vertical="center" wrapText="1"/>
      <protection locked="0"/>
    </xf>
    <xf numFmtId="166" fontId="2" fillId="46" borderId="38" xfId="366" applyNumberFormat="1" applyFont="1" applyFill="1" applyBorder="1" applyAlignment="1" applyProtection="1">
      <alignment horizontal="right" vertical="center" wrapText="1"/>
      <protection locked="0"/>
    </xf>
    <xf numFmtId="166" fontId="2" fillId="46" borderId="30" xfId="366" applyNumberFormat="1" applyFont="1" applyFill="1" applyBorder="1" applyAlignment="1" applyProtection="1">
      <alignment horizontal="right" vertical="center" wrapText="1"/>
      <protection locked="0"/>
    </xf>
    <xf numFmtId="166" fontId="2" fillId="45" borderId="9" xfId="366" applyNumberFormat="1" applyFont="1" applyFill="1" applyBorder="1" applyAlignment="1" applyProtection="1">
      <alignment horizontal="right" vertical="center" wrapText="1"/>
      <protection locked="0"/>
    </xf>
    <xf numFmtId="166" fontId="2" fillId="45" borderId="10" xfId="366" applyNumberFormat="1" applyFont="1" applyFill="1" applyBorder="1" applyAlignment="1" applyProtection="1">
      <alignment horizontal="right" vertical="center" wrapText="1"/>
      <protection locked="0"/>
    </xf>
    <xf numFmtId="166" fontId="2" fillId="45" borderId="3" xfId="366" applyNumberFormat="1" applyFont="1" applyFill="1" applyBorder="1" applyAlignment="1" applyProtection="1">
      <alignment horizontal="right" vertical="center" wrapText="1"/>
      <protection locked="0"/>
    </xf>
    <xf numFmtId="0" fontId="2" fillId="6" borderId="14" xfId="0" applyFont="1" applyFill="1" applyBorder="1" applyAlignment="1" applyProtection="1">
      <alignment horizontal="left" vertical="top" wrapText="1"/>
    </xf>
    <xf numFmtId="0" fontId="35" fillId="0" borderId="0" xfId="0" applyFont="1" applyBorder="1" applyAlignment="1" applyProtection="1">
      <alignment horizontal="left" vertical="center"/>
      <protection locked="0"/>
    </xf>
    <xf numFmtId="49" fontId="35" fillId="0" borderId="0" xfId="0" applyNumberFormat="1" applyFont="1" applyBorder="1" applyAlignment="1" applyProtection="1">
      <alignment horizontal="left" vertical="center"/>
      <protection locked="0"/>
    </xf>
    <xf numFmtId="0" fontId="43" fillId="0" borderId="0" xfId="0" applyFont="1" applyAlignment="1" applyProtection="1">
      <alignment horizontal="center" vertical="center"/>
    </xf>
    <xf numFmtId="0" fontId="43" fillId="0" borderId="0" xfId="0" applyFont="1" applyAlignment="1" applyProtection="1">
      <alignment horizontal="center" vertical="center"/>
    </xf>
    <xf numFmtId="1" fontId="0" fillId="0" borderId="49" xfId="0" applyNumberFormat="1" applyFont="1" applyBorder="1" applyAlignment="1" applyProtection="1">
      <alignment horizontal="right" vertical="center"/>
    </xf>
    <xf numFmtId="1" fontId="0" fillId="0" borderId="50" xfId="0" applyNumberFormat="1" applyFont="1" applyBorder="1" applyAlignment="1" applyProtection="1">
      <alignment horizontal="right" vertical="center"/>
    </xf>
    <xf numFmtId="1" fontId="0" fillId="0" borderId="51" xfId="0" applyNumberFormat="1" applyFont="1" applyBorder="1" applyAlignment="1" applyProtection="1">
      <alignment horizontal="right" vertical="center"/>
    </xf>
    <xf numFmtId="1" fontId="0" fillId="0" borderId="52" xfId="0" applyNumberFormat="1" applyFont="1" applyBorder="1" applyAlignment="1" applyProtection="1">
      <alignment horizontal="right" vertical="center"/>
    </xf>
    <xf numFmtId="1" fontId="0" fillId="0" borderId="53" xfId="0" applyNumberFormat="1" applyFont="1" applyBorder="1" applyAlignment="1" applyProtection="1">
      <alignment horizontal="right" vertical="center"/>
    </xf>
    <xf numFmtId="1" fontId="0" fillId="0" borderId="54" xfId="0" applyNumberFormat="1" applyFont="1" applyBorder="1" applyAlignment="1" applyProtection="1">
      <alignment horizontal="right" vertical="center"/>
    </xf>
    <xf numFmtId="1" fontId="0" fillId="0" borderId="55" xfId="0" applyNumberFormat="1" applyFont="1" applyBorder="1" applyAlignment="1" applyProtection="1">
      <alignment horizontal="right" vertical="center"/>
    </xf>
    <xf numFmtId="1" fontId="0" fillId="0" borderId="56" xfId="0" applyNumberFormat="1" applyFont="1" applyBorder="1" applyAlignment="1" applyProtection="1">
      <alignment horizontal="right" vertical="center"/>
    </xf>
    <xf numFmtId="1" fontId="0" fillId="0" borderId="57" xfId="0" applyNumberFormat="1" applyFont="1" applyBorder="1" applyAlignment="1" applyProtection="1">
      <alignment horizontal="right" vertical="center"/>
    </xf>
    <xf numFmtId="164" fontId="0" fillId="0" borderId="70" xfId="0" applyNumberFormat="1" applyFont="1" applyBorder="1" applyAlignment="1" applyProtection="1">
      <alignment horizontal="right" vertical="center"/>
    </xf>
    <xf numFmtId="164" fontId="0" fillId="0" borderId="71" xfId="0" applyNumberFormat="1" applyFont="1" applyBorder="1" applyAlignment="1" applyProtection="1">
      <alignment horizontal="right" vertical="center"/>
    </xf>
    <xf numFmtId="1" fontId="0" fillId="0" borderId="72" xfId="0" applyNumberFormat="1" applyFont="1" applyBorder="1" applyAlignment="1" applyProtection="1">
      <alignment horizontal="right" vertical="center"/>
    </xf>
    <xf numFmtId="0" fontId="0" fillId="0" borderId="15" xfId="0" applyFont="1" applyBorder="1" applyAlignment="1" applyProtection="1">
      <alignment horizontal="right" vertical="center"/>
    </xf>
    <xf numFmtId="2" fontId="0" fillId="0" borderId="22" xfId="0" applyNumberFormat="1" applyFont="1" applyBorder="1" applyAlignment="1" applyProtection="1">
      <alignment horizontal="right" vertical="center"/>
    </xf>
    <xf numFmtId="0" fontId="0" fillId="0" borderId="22" xfId="0" applyFont="1" applyBorder="1" applyAlignment="1" applyProtection="1">
      <alignment horizontal="right" vertical="center"/>
    </xf>
    <xf numFmtId="2" fontId="0" fillId="0" borderId="21" xfId="0" applyNumberFormat="1" applyFont="1" applyBorder="1" applyAlignment="1" applyProtection="1">
      <alignment horizontal="right" vertical="center"/>
    </xf>
    <xf numFmtId="1" fontId="0" fillId="0" borderId="16" xfId="0" applyNumberFormat="1" applyFont="1" applyBorder="1" applyAlignment="1" applyProtection="1">
      <alignment horizontal="right" vertical="center"/>
    </xf>
    <xf numFmtId="1" fontId="0" fillId="0" borderId="5" xfId="0" applyNumberFormat="1" applyFont="1" applyBorder="1" applyAlignment="1" applyProtection="1">
      <alignment horizontal="right" vertical="center"/>
    </xf>
    <xf numFmtId="1" fontId="0" fillId="0" borderId="2" xfId="0" applyNumberFormat="1" applyFont="1" applyBorder="1" applyAlignment="1" applyProtection="1">
      <alignment horizontal="right" vertical="center"/>
    </xf>
    <xf numFmtId="1" fontId="0" fillId="0" borderId="0" xfId="0" applyNumberFormat="1" applyFont="1" applyBorder="1" applyAlignment="1" applyProtection="1">
      <alignment horizontal="right" vertical="center"/>
    </xf>
    <xf numFmtId="2" fontId="0" fillId="0" borderId="15" xfId="0" applyNumberFormat="1" applyFont="1" applyBorder="1" applyAlignment="1" applyProtection="1">
      <alignment horizontal="right" vertical="center"/>
    </xf>
    <xf numFmtId="164" fontId="0" fillId="0" borderId="15" xfId="0" applyNumberFormat="1" applyFont="1" applyBorder="1" applyAlignment="1" applyProtection="1">
      <alignment horizontal="right" vertical="center"/>
    </xf>
    <xf numFmtId="164" fontId="0" fillId="0" borderId="22" xfId="0" applyNumberFormat="1" applyFont="1" applyBorder="1" applyAlignment="1" applyProtection="1">
      <alignment horizontal="right" vertical="center"/>
    </xf>
    <xf numFmtId="164" fontId="0" fillId="0" borderId="21" xfId="0" applyNumberFormat="1" applyFont="1" applyBorder="1" applyAlignment="1" applyProtection="1">
      <alignment horizontal="right" vertical="center"/>
    </xf>
    <xf numFmtId="2" fontId="0" fillId="0" borderId="15" xfId="0" applyNumberFormat="1" applyFont="1" applyFill="1" applyBorder="1" applyAlignment="1" applyProtection="1">
      <alignment horizontal="right" vertical="center"/>
    </xf>
    <xf numFmtId="2" fontId="0" fillId="0" borderId="22" xfId="0" applyNumberFormat="1" applyFont="1" applyFill="1" applyBorder="1" applyAlignment="1" applyProtection="1">
      <alignment horizontal="right" vertical="center"/>
    </xf>
    <xf numFmtId="2" fontId="0" fillId="0" borderId="21" xfId="0" applyNumberFormat="1" applyFont="1" applyFill="1" applyBorder="1" applyAlignment="1" applyProtection="1">
      <alignment horizontal="right" vertical="center"/>
    </xf>
    <xf numFmtId="1" fontId="0" fillId="26" borderId="16" xfId="0" applyNumberFormat="1" applyFont="1" applyFill="1" applyBorder="1" applyAlignment="1" applyProtection="1">
      <alignment horizontal="right" vertical="center"/>
    </xf>
    <xf numFmtId="1" fontId="0" fillId="26" borderId="5" xfId="0" applyNumberFormat="1" applyFont="1" applyFill="1" applyBorder="1" applyAlignment="1" applyProtection="1">
      <alignment horizontal="right" vertical="center"/>
    </xf>
    <xf numFmtId="1" fontId="0" fillId="26" borderId="2" xfId="0" applyNumberFormat="1" applyFont="1" applyFill="1" applyBorder="1" applyAlignment="1" applyProtection="1">
      <alignment horizontal="right" vertical="center"/>
    </xf>
    <xf numFmtId="164" fontId="0" fillId="0" borderId="72" xfId="0" applyNumberFormat="1" applyFont="1" applyBorder="1" applyAlignment="1" applyProtection="1">
      <alignment horizontal="right" vertical="center"/>
    </xf>
    <xf numFmtId="164" fontId="0" fillId="10" borderId="50" xfId="0" applyNumberFormat="1" applyFont="1" applyFill="1" applyBorder="1" applyAlignment="1" applyProtection="1">
      <alignment horizontal="right" vertical="center"/>
    </xf>
    <xf numFmtId="164" fontId="0" fillId="10" borderId="51" xfId="0" applyNumberFormat="1" applyFont="1" applyFill="1" applyBorder="1" applyAlignment="1" applyProtection="1">
      <alignment horizontal="right" vertical="center"/>
    </xf>
    <xf numFmtId="1" fontId="0" fillId="10" borderId="52" xfId="0" applyNumberFormat="1" applyFont="1" applyFill="1" applyBorder="1" applyAlignment="1" applyProtection="1">
      <alignment horizontal="right" vertical="center"/>
    </xf>
    <xf numFmtId="164" fontId="0" fillId="10" borderId="55" xfId="0" applyNumberFormat="1" applyFont="1" applyFill="1" applyBorder="1" applyAlignment="1" applyProtection="1">
      <alignment horizontal="right" vertical="center"/>
    </xf>
    <xf numFmtId="164" fontId="0" fillId="10" borderId="56" xfId="0" applyNumberFormat="1" applyFont="1" applyFill="1" applyBorder="1" applyAlignment="1" applyProtection="1">
      <alignment horizontal="right" vertical="center"/>
    </xf>
    <xf numFmtId="1" fontId="0" fillId="10" borderId="57" xfId="0" applyNumberFormat="1" applyFont="1" applyFill="1" applyBorder="1" applyAlignment="1" applyProtection="1">
      <alignment horizontal="right" vertical="center"/>
    </xf>
    <xf numFmtId="164" fontId="0" fillId="10" borderId="52" xfId="0" applyNumberFormat="1" applyFont="1" applyFill="1" applyBorder="1" applyAlignment="1" applyProtection="1">
      <alignment horizontal="right" vertical="center"/>
    </xf>
    <xf numFmtId="164" fontId="0" fillId="10" borderId="57" xfId="0" applyNumberFormat="1" applyFont="1" applyFill="1" applyBorder="1" applyAlignment="1" applyProtection="1">
      <alignment horizontal="right" vertical="center"/>
    </xf>
    <xf numFmtId="164" fontId="0" fillId="10" borderId="15" xfId="0" applyNumberFormat="1" applyFont="1" applyFill="1" applyBorder="1" applyAlignment="1" applyProtection="1">
      <alignment horizontal="right" vertical="center"/>
    </xf>
    <xf numFmtId="164" fontId="0" fillId="10" borderId="22" xfId="0" applyNumberFormat="1" applyFont="1" applyFill="1" applyBorder="1" applyAlignment="1" applyProtection="1">
      <alignment horizontal="right" vertical="center"/>
    </xf>
    <xf numFmtId="164" fontId="0" fillId="10" borderId="21" xfId="0" applyNumberFormat="1" applyFont="1" applyFill="1" applyBorder="1" applyAlignment="1" applyProtection="1">
      <alignment horizontal="right" vertical="center"/>
    </xf>
    <xf numFmtId="2" fontId="0" fillId="10" borderId="15" xfId="0" applyNumberFormat="1" applyFont="1" applyFill="1" applyBorder="1" applyAlignment="1" applyProtection="1">
      <alignment horizontal="right" vertical="center"/>
    </xf>
    <xf numFmtId="2" fontId="0" fillId="10" borderId="22" xfId="0" applyNumberFormat="1" applyFont="1" applyFill="1" applyBorder="1" applyAlignment="1" applyProtection="1">
      <alignment horizontal="right" vertical="center"/>
    </xf>
    <xf numFmtId="2" fontId="0" fillId="10" borderId="21" xfId="0" applyNumberFormat="1" applyFont="1" applyFill="1" applyBorder="1" applyAlignment="1" applyProtection="1">
      <alignment horizontal="right" vertical="center"/>
    </xf>
    <xf numFmtId="1" fontId="0" fillId="0" borderId="15" xfId="0" applyNumberFormat="1" applyFont="1" applyBorder="1" applyAlignment="1" applyProtection="1">
      <alignment horizontal="right" vertical="center"/>
    </xf>
    <xf numFmtId="1" fontId="0" fillId="0" borderId="22" xfId="0" applyNumberFormat="1" applyFont="1" applyBorder="1" applyAlignment="1" applyProtection="1">
      <alignment horizontal="right" vertical="center"/>
    </xf>
    <xf numFmtId="1" fontId="0" fillId="0" borderId="21" xfId="0" applyNumberFormat="1" applyFont="1" applyBorder="1" applyAlignment="1" applyProtection="1">
      <alignment horizontal="right" vertical="center"/>
    </xf>
    <xf numFmtId="1" fontId="0" fillId="0" borderId="8" xfId="0" applyNumberFormat="1" applyFont="1" applyBorder="1" applyAlignment="1" applyProtection="1">
      <alignment horizontal="right" vertical="center"/>
    </xf>
    <xf numFmtId="1" fontId="0" fillId="0" borderId="6" xfId="0" applyNumberFormat="1" applyFont="1" applyBorder="1" applyAlignment="1" applyProtection="1">
      <alignment horizontal="right" vertical="center"/>
    </xf>
    <xf numFmtId="164" fontId="0" fillId="0" borderId="15" xfId="0" applyNumberFormat="1" applyFont="1" applyBorder="1" applyAlignment="1">
      <alignment horizontal="right" vertical="center" wrapText="1"/>
    </xf>
    <xf numFmtId="0" fontId="0" fillId="0" borderId="21" xfId="0" applyFont="1" applyBorder="1" applyAlignment="1" applyProtection="1">
      <alignment horizontal="right" vertical="center"/>
    </xf>
    <xf numFmtId="164" fontId="0" fillId="0" borderId="8" xfId="0" applyNumberFormat="1" applyFont="1" applyBorder="1" applyAlignment="1">
      <alignment horizontal="right" vertical="center" wrapText="1"/>
    </xf>
    <xf numFmtId="0" fontId="0" fillId="0" borderId="6" xfId="0" applyFont="1" applyBorder="1" applyAlignment="1" applyProtection="1">
      <alignment horizontal="right" vertical="center"/>
    </xf>
    <xf numFmtId="164" fontId="0" fillId="0" borderId="16" xfId="0" applyNumberFormat="1" applyFont="1" applyBorder="1" applyAlignment="1">
      <alignment horizontal="right" vertical="center" wrapText="1"/>
    </xf>
    <xf numFmtId="0" fontId="0" fillId="0" borderId="2" xfId="0" applyFont="1" applyBorder="1" applyAlignment="1" applyProtection="1">
      <alignment horizontal="right" vertical="center"/>
    </xf>
    <xf numFmtId="2" fontId="0" fillId="0" borderId="8" xfId="0" applyNumberFormat="1" applyFont="1" applyBorder="1" applyAlignment="1" applyProtection="1">
      <alignment horizontal="right" vertical="center"/>
    </xf>
    <xf numFmtId="2" fontId="0" fillId="0" borderId="16" xfId="0" applyNumberFormat="1" applyFont="1" applyBorder="1" applyAlignment="1" applyProtection="1">
      <alignment horizontal="right" vertical="center"/>
    </xf>
    <xf numFmtId="1" fontId="0" fillId="26" borderId="22" xfId="0" applyNumberFormat="1" applyFont="1" applyFill="1" applyBorder="1" applyAlignment="1" applyProtection="1">
      <alignment horizontal="right" vertical="center"/>
    </xf>
    <xf numFmtId="1" fontId="0" fillId="26" borderId="0" xfId="0" applyNumberFormat="1" applyFont="1" applyFill="1" applyBorder="1" applyAlignment="1" applyProtection="1">
      <alignment horizontal="right" vertical="center"/>
    </xf>
    <xf numFmtId="1" fontId="0" fillId="26" borderId="22" xfId="0" applyNumberFormat="1" applyFont="1" applyFill="1" applyBorder="1" applyAlignment="1">
      <alignment horizontal="right" vertical="center" wrapText="1"/>
    </xf>
    <xf numFmtId="1" fontId="0" fillId="26" borderId="0" xfId="0" applyNumberFormat="1" applyFont="1" applyFill="1" applyBorder="1" applyAlignment="1">
      <alignment horizontal="right" vertical="center" wrapText="1"/>
    </xf>
    <xf numFmtId="1" fontId="0" fillId="26" borderId="5" xfId="0" applyNumberFormat="1" applyFont="1" applyFill="1" applyBorder="1" applyAlignment="1">
      <alignment horizontal="right" vertical="center" wrapText="1"/>
    </xf>
    <xf numFmtId="1" fontId="43" fillId="26" borderId="9" xfId="0" applyNumberFormat="1" applyFont="1" applyFill="1" applyBorder="1" applyAlignment="1" applyProtection="1">
      <alignment horizontal="right" vertical="center"/>
    </xf>
    <xf numFmtId="1" fontId="43" fillId="26" borderId="10" xfId="0" applyNumberFormat="1" applyFont="1" applyFill="1" applyBorder="1" applyAlignment="1" applyProtection="1">
      <alignment horizontal="right" vertical="center"/>
    </xf>
    <xf numFmtId="1" fontId="43" fillId="26" borderId="3" xfId="0" applyNumberFormat="1" applyFont="1" applyFill="1" applyBorder="1" applyAlignment="1" applyProtection="1">
      <alignment horizontal="right" vertical="center"/>
    </xf>
    <xf numFmtId="1" fontId="0" fillId="0" borderId="15" xfId="0" applyNumberFormat="1" applyFont="1" applyFill="1" applyBorder="1" applyAlignment="1" applyProtection="1">
      <alignment horizontal="right" vertical="center"/>
    </xf>
    <xf numFmtId="1" fontId="0" fillId="0" borderId="22" xfId="0" applyNumberFormat="1" applyFont="1" applyFill="1" applyBorder="1" applyAlignment="1" applyProtection="1">
      <alignment horizontal="right" vertical="center"/>
    </xf>
    <xf numFmtId="1" fontId="0" fillId="0" borderId="21" xfId="0" applyNumberFormat="1" applyFont="1" applyFill="1" applyBorder="1" applyAlignment="1" applyProtection="1">
      <alignment horizontal="right" vertical="center"/>
    </xf>
    <xf numFmtId="1" fontId="0" fillId="0" borderId="16" xfId="0" applyNumberFormat="1" applyFont="1" applyFill="1" applyBorder="1" applyAlignment="1" applyProtection="1">
      <alignment horizontal="right" vertical="center"/>
    </xf>
    <xf numFmtId="1" fontId="0" fillId="0" borderId="5" xfId="0" applyNumberFormat="1" applyFont="1" applyFill="1" applyBorder="1" applyAlignment="1" applyProtection="1">
      <alignment horizontal="right" vertical="center"/>
    </xf>
    <xf numFmtId="1" fontId="0" fillId="0" borderId="2" xfId="0" applyNumberFormat="1" applyFont="1" applyFill="1" applyBorder="1" applyAlignment="1" applyProtection="1">
      <alignment horizontal="right" vertical="center"/>
    </xf>
    <xf numFmtId="41" fontId="0" fillId="0" borderId="15" xfId="0" applyNumberFormat="1" applyFont="1" applyBorder="1" applyAlignment="1" applyProtection="1">
      <alignment horizontal="right" vertical="center"/>
    </xf>
    <xf numFmtId="41" fontId="0" fillId="0" borderId="22" xfId="0" applyNumberFormat="1" applyFont="1" applyBorder="1" applyAlignment="1" applyProtection="1">
      <alignment horizontal="right" vertical="center"/>
    </xf>
    <xf numFmtId="41" fontId="0" fillId="0" borderId="21" xfId="0" applyNumberFormat="1" applyFont="1" applyBorder="1" applyAlignment="1" applyProtection="1">
      <alignment horizontal="right" vertical="center"/>
    </xf>
    <xf numFmtId="41" fontId="0" fillId="0" borderId="0" xfId="0" applyNumberFormat="1" applyFont="1" applyBorder="1" applyAlignment="1" applyProtection="1">
      <alignment horizontal="right" vertical="center"/>
    </xf>
    <xf numFmtId="41" fontId="0" fillId="0" borderId="8" xfId="0" applyNumberFormat="1" applyFont="1" applyBorder="1" applyAlignment="1" applyProtection="1">
      <alignment horizontal="right" vertical="center"/>
    </xf>
    <xf numFmtId="41" fontId="0" fillId="0" borderId="6" xfId="0" applyNumberFormat="1" applyFont="1" applyBorder="1" applyAlignment="1" applyProtection="1">
      <alignment horizontal="right" vertical="center"/>
    </xf>
    <xf numFmtId="41" fontId="0" fillId="0" borderId="16" xfId="0" applyNumberFormat="1" applyFont="1" applyBorder="1" applyAlignment="1" applyProtection="1">
      <alignment horizontal="right" vertical="center"/>
    </xf>
    <xf numFmtId="41" fontId="0" fillId="0" borderId="5" xfId="0" applyNumberFormat="1" applyFont="1" applyBorder="1" applyAlignment="1" applyProtection="1">
      <alignment horizontal="right" vertical="center"/>
    </xf>
    <xf numFmtId="41" fontId="0" fillId="0" borderId="2" xfId="0" applyNumberFormat="1" applyFont="1" applyBorder="1" applyAlignment="1" applyProtection="1">
      <alignment horizontal="right" vertical="center"/>
    </xf>
    <xf numFmtId="41" fontId="43" fillId="46" borderId="15" xfId="0" applyNumberFormat="1" applyFont="1" applyFill="1" applyBorder="1" applyAlignment="1" applyProtection="1">
      <alignment horizontal="right" vertical="center"/>
    </xf>
    <xf numFmtId="41" fontId="43" fillId="46" borderId="22" xfId="0" applyNumberFormat="1" applyFont="1" applyFill="1" applyBorder="1" applyAlignment="1" applyProtection="1">
      <alignment horizontal="right" vertical="center"/>
    </xf>
    <xf numFmtId="41" fontId="43" fillId="46" borderId="21" xfId="0" applyNumberFormat="1" applyFont="1" applyFill="1" applyBorder="1" applyAlignment="1" applyProtection="1">
      <alignment horizontal="right" vertical="center"/>
    </xf>
    <xf numFmtId="168" fontId="0" fillId="0" borderId="8" xfId="0" applyNumberFormat="1" applyFont="1" applyBorder="1" applyAlignment="1" applyProtection="1">
      <alignment horizontal="right" vertical="center"/>
    </xf>
    <xf numFmtId="168" fontId="0" fillId="0" borderId="15" xfId="0" applyNumberFormat="1" applyFont="1" applyBorder="1" applyAlignment="1" applyProtection="1">
      <alignment horizontal="right" vertical="center"/>
    </xf>
    <xf numFmtId="168" fontId="0" fillId="0" borderId="0" xfId="0" applyNumberFormat="1" applyFont="1" applyBorder="1" applyAlignment="1" applyProtection="1">
      <alignment horizontal="right" vertical="center"/>
    </xf>
    <xf numFmtId="168" fontId="0" fillId="0" borderId="6" xfId="0" applyNumberFormat="1" applyFont="1" applyBorder="1" applyAlignment="1" applyProtection="1">
      <alignment horizontal="right" vertical="center"/>
    </xf>
    <xf numFmtId="168" fontId="0" fillId="0" borderId="16" xfId="0" applyNumberFormat="1" applyFont="1" applyBorder="1" applyAlignment="1" applyProtection="1">
      <alignment horizontal="right" vertical="center"/>
    </xf>
    <xf numFmtId="168" fontId="0" fillId="0" borderId="5" xfId="0" applyNumberFormat="1" applyFont="1" applyBorder="1" applyAlignment="1" applyProtection="1">
      <alignment horizontal="right" vertical="center"/>
    </xf>
    <xf numFmtId="168" fontId="0" fillId="0" borderId="2" xfId="0" applyNumberFormat="1" applyFont="1" applyBorder="1" applyAlignment="1" applyProtection="1">
      <alignment horizontal="right" vertical="center"/>
    </xf>
    <xf numFmtId="168" fontId="43" fillId="10" borderId="9" xfId="0" applyNumberFormat="1" applyFont="1" applyFill="1" applyBorder="1" applyAlignment="1" applyProtection="1">
      <alignment horizontal="right" vertical="center"/>
    </xf>
    <xf numFmtId="168" fontId="43" fillId="10" borderId="10" xfId="0" applyNumberFormat="1" applyFont="1" applyFill="1" applyBorder="1" applyAlignment="1" applyProtection="1">
      <alignment horizontal="right" vertical="center"/>
    </xf>
    <xf numFmtId="168" fontId="43" fillId="10" borderId="3" xfId="0" applyNumberFormat="1" applyFont="1" applyFill="1" applyBorder="1" applyAlignment="1" applyProtection="1">
      <alignment horizontal="right" vertical="center"/>
    </xf>
    <xf numFmtId="168" fontId="0" fillId="0" borderId="22" xfId="0" applyNumberFormat="1" applyFont="1" applyBorder="1" applyAlignment="1" applyProtection="1">
      <alignment horizontal="right" vertical="center"/>
    </xf>
    <xf numFmtId="168" fontId="0" fillId="0" borderId="21" xfId="0" applyNumberFormat="1" applyFont="1" applyBorder="1" applyAlignment="1" applyProtection="1">
      <alignment horizontal="right" vertical="center"/>
    </xf>
    <xf numFmtId="0" fontId="43" fillId="0" borderId="0" xfId="0" applyFont="1" applyAlignment="1" applyProtection="1">
      <alignment horizontal="center" vertical="center"/>
    </xf>
    <xf numFmtId="168" fontId="43" fillId="10" borderId="15" xfId="0" applyNumberFormat="1" applyFont="1" applyFill="1" applyBorder="1" applyAlignment="1" applyProtection="1">
      <alignment horizontal="right" vertical="center"/>
    </xf>
    <xf numFmtId="168" fontId="43" fillId="10" borderId="22" xfId="0" applyNumberFormat="1" applyFont="1" applyFill="1" applyBorder="1" applyAlignment="1" applyProtection="1">
      <alignment horizontal="right" vertical="center"/>
    </xf>
    <xf numFmtId="168" fontId="43" fillId="10" borderId="21" xfId="0" applyNumberFormat="1" applyFont="1" applyFill="1" applyBorder="1" applyAlignment="1" applyProtection="1">
      <alignment horizontal="right" vertical="center"/>
    </xf>
    <xf numFmtId="168" fontId="0" fillId="13" borderId="21" xfId="0" applyNumberFormat="1" applyFont="1" applyFill="1" applyBorder="1" applyAlignment="1" applyProtection="1">
      <alignment horizontal="right" vertical="center"/>
    </xf>
    <xf numFmtId="166" fontId="0" fillId="0" borderId="15" xfId="0" applyNumberFormat="1" applyFont="1" applyBorder="1" applyAlignment="1" applyProtection="1">
      <alignment horizontal="right" vertical="center"/>
    </xf>
    <xf numFmtId="166" fontId="0" fillId="0" borderId="21" xfId="1" applyNumberFormat="1" applyFont="1" applyBorder="1" applyAlignment="1" applyProtection="1">
      <alignment horizontal="right" vertical="center"/>
    </xf>
    <xf numFmtId="166" fontId="0" fillId="0" borderId="8" xfId="0" applyNumberFormat="1" applyFont="1" applyBorder="1" applyAlignment="1" applyProtection="1">
      <alignment horizontal="right" vertical="center"/>
    </xf>
    <xf numFmtId="166" fontId="0" fillId="0" borderId="6" xfId="1" applyNumberFormat="1" applyFont="1" applyBorder="1" applyAlignment="1" applyProtection="1">
      <alignment horizontal="right" vertical="center"/>
    </xf>
    <xf numFmtId="1" fontId="0" fillId="0" borderId="22" xfId="0" applyNumberFormat="1" applyFont="1" applyBorder="1" applyAlignment="1" applyProtection="1">
      <alignment horizontal="center" vertical="center"/>
    </xf>
    <xf numFmtId="1" fontId="0" fillId="0" borderId="0" xfId="0" applyNumberFormat="1" applyFont="1" applyBorder="1" applyAlignment="1" applyProtection="1">
      <alignment horizontal="center" vertical="center"/>
    </xf>
    <xf numFmtId="0" fontId="0" fillId="0" borderId="0" xfId="0" applyFont="1" applyFill="1" applyAlignment="1" applyProtection="1">
      <alignment horizontal="right" vertical="center"/>
    </xf>
    <xf numFmtId="0" fontId="0" fillId="0" borderId="0" xfId="0" applyFont="1" applyFill="1" applyAlignment="1" applyProtection="1">
      <alignment horizontal="left" vertical="center"/>
    </xf>
    <xf numFmtId="166" fontId="43" fillId="46" borderId="9" xfId="0" applyNumberFormat="1" applyFont="1" applyFill="1" applyBorder="1" applyAlignment="1" applyProtection="1">
      <alignment horizontal="left" vertical="center"/>
    </xf>
    <xf numFmtId="1" fontId="43" fillId="10" borderId="10" xfId="0" applyNumberFormat="1" applyFont="1" applyFill="1" applyBorder="1" applyAlignment="1" applyProtection="1">
      <alignment horizontal="center" vertical="center"/>
    </xf>
    <xf numFmtId="166" fontId="43" fillId="46" borderId="3" xfId="0" applyNumberFormat="1" applyFont="1" applyFill="1" applyBorder="1" applyAlignment="1" applyProtection="1">
      <alignment horizontal="left" vertical="center"/>
    </xf>
    <xf numFmtId="164" fontId="0" fillId="0" borderId="21" xfId="0" applyNumberFormat="1" applyFont="1" applyFill="1" applyBorder="1" applyAlignment="1" applyProtection="1">
      <alignment horizontal="right" vertical="center"/>
    </xf>
    <xf numFmtId="1" fontId="0" fillId="41" borderId="16" xfId="0" applyNumberFormat="1" applyFont="1" applyFill="1" applyBorder="1" applyAlignment="1" applyProtection="1">
      <alignment horizontal="right" vertical="center"/>
    </xf>
    <xf numFmtId="1" fontId="0" fillId="41" borderId="5" xfId="0" applyNumberFormat="1" applyFont="1" applyFill="1" applyBorder="1" applyAlignment="1" applyProtection="1">
      <alignment horizontal="right" vertical="center"/>
    </xf>
    <xf numFmtId="1" fontId="0" fillId="41" borderId="2" xfId="0" applyNumberFormat="1" applyFont="1" applyFill="1" applyBorder="1" applyAlignment="1" applyProtection="1">
      <alignment horizontal="right" vertical="center"/>
    </xf>
    <xf numFmtId="2" fontId="0" fillId="0" borderId="0" xfId="0" applyNumberFormat="1" applyFont="1" applyAlignment="1" applyProtection="1">
      <alignment horizontal="center" vertical="center"/>
    </xf>
    <xf numFmtId="1" fontId="0" fillId="0" borderId="0" xfId="0" applyNumberFormat="1" applyFont="1" applyAlignment="1" applyProtection="1">
      <alignment horizontal="center" vertical="center"/>
    </xf>
    <xf numFmtId="1" fontId="0" fillId="41" borderId="50" xfId="0" applyNumberFormat="1" applyFont="1" applyFill="1" applyBorder="1" applyAlignment="1" applyProtection="1">
      <alignment horizontal="right" vertical="center"/>
    </xf>
    <xf numFmtId="1" fontId="0" fillId="41" borderId="51" xfId="0" applyNumberFormat="1" applyFont="1" applyFill="1" applyBorder="1" applyAlignment="1" applyProtection="1">
      <alignment horizontal="right" vertical="center"/>
    </xf>
    <xf numFmtId="1" fontId="0" fillId="41" borderId="52" xfId="0" applyNumberFormat="1" applyFont="1" applyFill="1" applyBorder="1" applyAlignment="1" applyProtection="1">
      <alignment horizontal="right" vertical="center"/>
    </xf>
    <xf numFmtId="1" fontId="0" fillId="41" borderId="53" xfId="0" applyNumberFormat="1" applyFont="1" applyFill="1" applyBorder="1" applyAlignment="1" applyProtection="1">
      <alignment horizontal="right" vertical="center"/>
    </xf>
    <xf numFmtId="1" fontId="0" fillId="41" borderId="49" xfId="0" applyNumberFormat="1" applyFont="1" applyFill="1" applyBorder="1" applyAlignment="1" applyProtection="1">
      <alignment horizontal="right" vertical="center"/>
    </xf>
    <xf numFmtId="1" fontId="0" fillId="41" borderId="54" xfId="0" applyNumberFormat="1" applyFont="1" applyFill="1" applyBorder="1" applyAlignment="1" applyProtection="1">
      <alignment horizontal="right" vertical="center"/>
    </xf>
    <xf numFmtId="9" fontId="0" fillId="0" borderId="21" xfId="0" applyNumberFormat="1" applyFont="1" applyBorder="1" applyAlignment="1" applyProtection="1">
      <alignment horizontal="center" vertical="center"/>
    </xf>
    <xf numFmtId="9" fontId="0" fillId="0" borderId="6" xfId="0" applyNumberFormat="1" applyFont="1" applyBorder="1" applyAlignment="1" applyProtection="1">
      <alignment horizontal="center" vertical="center"/>
    </xf>
    <xf numFmtId="9" fontId="0" fillId="0" borderId="2" xfId="0" applyNumberFormat="1" applyFont="1" applyBorder="1" applyAlignment="1" applyProtection="1">
      <alignment horizontal="center" vertical="center"/>
    </xf>
    <xf numFmtId="9" fontId="0" fillId="0" borderId="15" xfId="0" applyNumberFormat="1" applyFont="1" applyBorder="1" applyAlignment="1" applyProtection="1">
      <alignment horizontal="center" vertical="center"/>
    </xf>
    <xf numFmtId="9" fontId="0" fillId="0" borderId="8" xfId="0" applyNumberFormat="1" applyFont="1" applyBorder="1" applyAlignment="1" applyProtection="1">
      <alignment horizontal="center" vertical="center"/>
    </xf>
    <xf numFmtId="9" fontId="0" fillId="0" borderId="16" xfId="0" applyNumberFormat="1" applyFont="1" applyBorder="1" applyAlignment="1" applyProtection="1">
      <alignment horizontal="center" vertical="center"/>
    </xf>
    <xf numFmtId="9" fontId="43" fillId="10" borderId="9" xfId="0" applyNumberFormat="1" applyFont="1" applyFill="1" applyBorder="1" applyAlignment="1" applyProtection="1">
      <alignment horizontal="center" vertical="center"/>
    </xf>
    <xf numFmtId="9" fontId="43" fillId="10" borderId="3" xfId="0" applyNumberFormat="1" applyFont="1" applyFill="1" applyBorder="1" applyAlignment="1" applyProtection="1">
      <alignment horizontal="center" vertical="center"/>
    </xf>
    <xf numFmtId="164" fontId="0" fillId="0" borderId="73" xfId="0" applyNumberFormat="1" applyFont="1" applyBorder="1" applyAlignment="1" applyProtection="1">
      <alignment horizontal="right" vertical="center"/>
    </xf>
    <xf numFmtId="164" fontId="0" fillId="0" borderId="69" xfId="0" applyNumberFormat="1" applyFont="1" applyBorder="1" applyAlignment="1" applyProtection="1">
      <alignment horizontal="right" vertical="center"/>
    </xf>
    <xf numFmtId="0" fontId="59" fillId="0" borderId="0" xfId="0" applyFont="1" applyAlignment="1" applyProtection="1">
      <alignment horizontal="center" vertical="center"/>
    </xf>
    <xf numFmtId="0" fontId="52" fillId="0" borderId="0" xfId="0" applyFont="1" applyAlignment="1" applyProtection="1">
      <alignment horizontal="left" vertical="center"/>
    </xf>
    <xf numFmtId="0" fontId="52" fillId="0" borderId="0" xfId="0" applyFont="1" applyAlignment="1" applyProtection="1">
      <alignment horizontal="right" vertical="center"/>
    </xf>
    <xf numFmtId="0" fontId="52" fillId="0" borderId="0" xfId="0" applyFont="1" applyAlignment="1">
      <alignment horizontal="left" vertical="center"/>
    </xf>
    <xf numFmtId="1" fontId="52" fillId="26" borderId="58" xfId="0" applyNumberFormat="1" applyFont="1" applyFill="1" applyBorder="1" applyAlignment="1" applyProtection="1">
      <alignment vertical="center" wrapText="1"/>
    </xf>
    <xf numFmtId="1" fontId="52" fillId="26" borderId="58" xfId="0" applyNumberFormat="1" applyFont="1" applyFill="1" applyBorder="1" applyAlignment="1" applyProtection="1">
      <alignment horizontal="right" vertical="center"/>
    </xf>
    <xf numFmtId="1" fontId="52" fillId="26" borderId="59" xfId="0" applyNumberFormat="1" applyFont="1" applyFill="1" applyBorder="1" applyAlignment="1" applyProtection="1">
      <alignment vertical="center" wrapText="1"/>
    </xf>
    <xf numFmtId="1" fontId="52" fillId="26" borderId="59" xfId="0" applyNumberFormat="1" applyFont="1" applyFill="1" applyBorder="1" applyAlignment="1" applyProtection="1">
      <alignment horizontal="right" vertical="center"/>
    </xf>
    <xf numFmtId="1" fontId="52" fillId="0" borderId="0" xfId="0" applyNumberFormat="1" applyFont="1" applyAlignment="1" applyProtection="1">
      <alignment horizontal="left" vertical="center"/>
    </xf>
    <xf numFmtId="1" fontId="52" fillId="26" borderId="60" xfId="0" applyNumberFormat="1" applyFont="1" applyFill="1" applyBorder="1" applyAlignment="1" applyProtection="1">
      <alignment vertical="center" wrapText="1"/>
    </xf>
    <xf numFmtId="1" fontId="52" fillId="26" borderId="60" xfId="0" applyNumberFormat="1" applyFont="1" applyFill="1" applyBorder="1" applyAlignment="1" applyProtection="1">
      <alignment horizontal="right" vertical="center"/>
    </xf>
    <xf numFmtId="164" fontId="52" fillId="0" borderId="58" xfId="0" applyNumberFormat="1" applyFont="1" applyFill="1" applyBorder="1" applyAlignment="1" applyProtection="1">
      <alignment vertical="center" wrapText="1"/>
    </xf>
    <xf numFmtId="164" fontId="52" fillId="0" borderId="58" xfId="0" applyNumberFormat="1" applyFont="1" applyBorder="1" applyAlignment="1" applyProtection="1">
      <alignment horizontal="right" vertical="center"/>
    </xf>
    <xf numFmtId="164" fontId="52" fillId="0" borderId="59" xfId="0" applyNumberFormat="1" applyFont="1" applyFill="1" applyBorder="1" applyAlignment="1" applyProtection="1">
      <alignment vertical="center" wrapText="1"/>
    </xf>
    <xf numFmtId="164" fontId="52" fillId="0" borderId="59" xfId="0" applyNumberFormat="1" applyFont="1" applyBorder="1" applyAlignment="1" applyProtection="1">
      <alignment horizontal="right" vertical="center"/>
    </xf>
    <xf numFmtId="2" fontId="52" fillId="0" borderId="0" xfId="0" applyNumberFormat="1" applyFont="1" applyAlignment="1" applyProtection="1">
      <alignment horizontal="left" vertical="center"/>
    </xf>
    <xf numFmtId="164" fontId="52" fillId="0" borderId="60" xfId="0" applyNumberFormat="1" applyFont="1" applyFill="1" applyBorder="1" applyAlignment="1" applyProtection="1">
      <alignment vertical="center" wrapText="1"/>
    </xf>
    <xf numFmtId="164" fontId="52" fillId="0" borderId="60" xfId="0" applyNumberFormat="1" applyFont="1" applyBorder="1" applyAlignment="1" applyProtection="1">
      <alignment horizontal="right" vertical="center"/>
    </xf>
    <xf numFmtId="164" fontId="52" fillId="0" borderId="58" xfId="0" applyNumberFormat="1" applyFont="1" applyFill="1" applyBorder="1" applyAlignment="1" applyProtection="1">
      <alignment horizontal="right" vertical="center"/>
    </xf>
    <xf numFmtId="164" fontId="52" fillId="0" borderId="59" xfId="0" applyNumberFormat="1" applyFont="1" applyFill="1" applyBorder="1" applyAlignment="1" applyProtection="1">
      <alignment horizontal="right" vertical="center"/>
    </xf>
    <xf numFmtId="164" fontId="52" fillId="0" borderId="60" xfId="0" applyNumberFormat="1" applyFont="1" applyFill="1" applyBorder="1" applyAlignment="1" applyProtection="1">
      <alignment horizontal="right" vertical="center"/>
    </xf>
    <xf numFmtId="0" fontId="25" fillId="0" borderId="0" xfId="0" applyFont="1" applyAlignment="1" applyProtection="1">
      <alignment horizontal="left" vertical="center"/>
    </xf>
    <xf numFmtId="1" fontId="0" fillId="41" borderId="70" xfId="0" applyNumberFormat="1" applyFont="1" applyFill="1" applyBorder="1" applyAlignment="1" applyProtection="1">
      <alignment horizontal="right" vertical="center"/>
    </xf>
    <xf numFmtId="1" fontId="0" fillId="41" borderId="71" xfId="0" applyNumberFormat="1" applyFont="1" applyFill="1" applyBorder="1" applyAlignment="1" applyProtection="1">
      <alignment horizontal="right" vertical="center"/>
    </xf>
    <xf numFmtId="1" fontId="0" fillId="41" borderId="72" xfId="0" applyNumberFormat="1" applyFont="1" applyFill="1" applyBorder="1" applyAlignment="1" applyProtection="1">
      <alignment horizontal="right" vertical="center"/>
    </xf>
    <xf numFmtId="2" fontId="0" fillId="0" borderId="50" xfId="0" applyNumberFormat="1" applyFont="1" applyBorder="1" applyAlignment="1" applyProtection="1">
      <alignment horizontal="right" vertical="center"/>
    </xf>
    <xf numFmtId="2" fontId="0" fillId="0" borderId="51" xfId="0" applyNumberFormat="1" applyFont="1" applyBorder="1" applyAlignment="1" applyProtection="1">
      <alignment horizontal="right" vertical="center"/>
    </xf>
    <xf numFmtId="2" fontId="0" fillId="0" borderId="52" xfId="0" applyNumberFormat="1" applyFont="1" applyBorder="1" applyAlignment="1" applyProtection="1">
      <alignment horizontal="right" vertical="center"/>
    </xf>
    <xf numFmtId="2" fontId="0" fillId="0" borderId="53" xfId="0" applyNumberFormat="1" applyFont="1" applyBorder="1" applyAlignment="1" applyProtection="1">
      <alignment horizontal="right" vertical="center"/>
    </xf>
    <xf numFmtId="2" fontId="0" fillId="0" borderId="49" xfId="0" applyNumberFormat="1" applyFont="1" applyBorder="1" applyAlignment="1" applyProtection="1">
      <alignment horizontal="right" vertical="center"/>
    </xf>
    <xf numFmtId="2" fontId="0" fillId="0" borderId="54" xfId="0" applyNumberFormat="1" applyFont="1" applyBorder="1" applyAlignment="1" applyProtection="1">
      <alignment horizontal="right" vertical="center"/>
    </xf>
    <xf numFmtId="2" fontId="0" fillId="0" borderId="55" xfId="0" applyNumberFormat="1" applyFont="1" applyBorder="1" applyAlignment="1" applyProtection="1">
      <alignment horizontal="right" vertical="center"/>
    </xf>
    <xf numFmtId="2" fontId="0" fillId="0" borderId="56" xfId="0" applyNumberFormat="1" applyFont="1" applyBorder="1" applyAlignment="1" applyProtection="1">
      <alignment horizontal="right" vertical="center"/>
    </xf>
    <xf numFmtId="2" fontId="0" fillId="0" borderId="57" xfId="0" applyNumberFormat="1" applyFont="1" applyBorder="1" applyAlignment="1" applyProtection="1">
      <alignment horizontal="right" vertical="center"/>
    </xf>
    <xf numFmtId="164" fontId="0" fillId="0" borderId="0" xfId="0" applyNumberFormat="1" applyFont="1" applyAlignment="1" applyProtection="1">
      <alignment horizontal="left" vertical="center"/>
    </xf>
    <xf numFmtId="41" fontId="0" fillId="0" borderId="0" xfId="0" applyNumberFormat="1" applyFont="1" applyAlignment="1" applyProtection="1">
      <alignment horizontal="left" vertical="center"/>
    </xf>
    <xf numFmtId="168" fontId="0" fillId="0" borderId="0" xfId="0" applyNumberFormat="1" applyFont="1" applyAlignment="1" applyProtection="1">
      <alignment horizontal="left" vertical="center"/>
    </xf>
    <xf numFmtId="0" fontId="17" fillId="18" borderId="23" xfId="0" applyFont="1" applyFill="1" applyBorder="1" applyAlignment="1" applyProtection="1">
      <alignment horizontal="center" vertical="top"/>
    </xf>
    <xf numFmtId="0" fontId="29" fillId="27" borderId="1" xfId="0" applyFont="1" applyFill="1" applyBorder="1" applyAlignment="1" applyProtection="1">
      <alignment horizontal="left" vertical="top" wrapText="1"/>
      <protection locked="0"/>
    </xf>
    <xf numFmtId="0" fontId="29" fillId="0" borderId="1" xfId="0" applyFont="1" applyFill="1" applyBorder="1" applyAlignment="1" applyProtection="1">
      <alignment horizontal="left" vertical="top" wrapText="1"/>
      <protection locked="0"/>
    </xf>
    <xf numFmtId="0" fontId="29" fillId="0" borderId="1" xfId="0" applyNumberFormat="1" applyFont="1" applyFill="1" applyBorder="1" applyAlignment="1" applyProtection="1">
      <alignment horizontal="left" vertical="top" wrapText="1"/>
      <protection locked="0"/>
    </xf>
    <xf numFmtId="0" fontId="29" fillId="0" borderId="1" xfId="0" applyFont="1" applyBorder="1" applyAlignment="1" applyProtection="1">
      <alignment horizontal="left" vertical="top" wrapText="1"/>
      <protection locked="0"/>
    </xf>
    <xf numFmtId="0" fontId="17" fillId="18" borderId="23" xfId="0" applyFont="1" applyFill="1" applyBorder="1" applyAlignment="1" applyProtection="1">
      <alignment horizontal="center" vertical="top"/>
    </xf>
    <xf numFmtId="1" fontId="4" fillId="43" borderId="23" xfId="0" applyNumberFormat="1" applyFont="1" applyFill="1" applyBorder="1" applyAlignment="1" applyProtection="1">
      <alignment horizontal="center" vertical="top"/>
    </xf>
    <xf numFmtId="1" fontId="4" fillId="50" borderId="1" xfId="0" applyNumberFormat="1" applyFont="1" applyFill="1" applyBorder="1" applyAlignment="1" applyProtection="1">
      <alignment horizontal="center" vertical="top"/>
      <protection locked="0"/>
    </xf>
    <xf numFmtId="0" fontId="5" fillId="0" borderId="0" xfId="0" applyFont="1" applyAlignment="1">
      <alignment vertical="top"/>
    </xf>
    <xf numFmtId="0" fontId="2" fillId="25" borderId="59" xfId="0" applyFont="1" applyFill="1" applyBorder="1" applyAlignment="1" applyProtection="1">
      <alignment vertical="top" wrapText="1"/>
      <protection locked="0"/>
    </xf>
    <xf numFmtId="0" fontId="2" fillId="25" borderId="59" xfId="0" applyFont="1" applyFill="1" applyBorder="1" applyAlignment="1" applyProtection="1">
      <alignment horizontal="left" vertical="top" wrapText="1"/>
      <protection locked="0"/>
    </xf>
    <xf numFmtId="0" fontId="2" fillId="25" borderId="59" xfId="0" applyFont="1" applyFill="1" applyBorder="1" applyAlignment="1" applyProtection="1">
      <alignment horizontal="center" vertical="center" wrapText="1"/>
      <protection locked="0"/>
    </xf>
    <xf numFmtId="0" fontId="2" fillId="25" borderId="59" xfId="0" quotePrefix="1" applyFont="1" applyFill="1" applyBorder="1" applyAlignment="1" applyProtection="1">
      <alignment horizontal="left" vertical="top" wrapText="1"/>
      <protection locked="0"/>
    </xf>
    <xf numFmtId="0" fontId="2" fillId="6" borderId="4" xfId="0" applyFont="1" applyFill="1" applyBorder="1" applyAlignment="1" applyProtection="1">
      <alignment horizontal="left" vertical="top" wrapText="1"/>
    </xf>
    <xf numFmtId="0" fontId="2" fillId="6" borderId="14" xfId="0" applyFont="1" applyFill="1" applyBorder="1" applyAlignment="1" applyProtection="1">
      <alignment horizontal="left" vertical="top" wrapText="1"/>
    </xf>
    <xf numFmtId="0" fontId="1" fillId="2" borderId="7" xfId="0" applyFont="1" applyFill="1" applyBorder="1" applyAlignment="1" applyProtection="1">
      <alignment horizontal="left" vertical="center" wrapText="1"/>
    </xf>
    <xf numFmtId="0" fontId="1" fillId="2" borderId="4" xfId="0" applyFont="1" applyFill="1" applyBorder="1" applyAlignment="1" applyProtection="1">
      <alignment horizontal="left" vertical="center" wrapText="1"/>
    </xf>
    <xf numFmtId="0" fontId="1" fillId="7" borderId="3" xfId="0" applyFont="1" applyFill="1" applyBorder="1" applyAlignment="1" applyProtection="1">
      <alignment horizontal="left" vertical="center" wrapText="1"/>
    </xf>
    <xf numFmtId="0" fontId="1" fillId="8" borderId="21" xfId="0" applyFont="1" applyFill="1" applyBorder="1" applyAlignment="1" applyProtection="1">
      <alignment horizontal="left" vertical="center" wrapText="1"/>
    </xf>
    <xf numFmtId="0" fontId="1" fillId="8" borderId="2" xfId="0" applyFont="1" applyFill="1" applyBorder="1" applyAlignment="1" applyProtection="1">
      <alignment horizontal="left" vertical="center" wrapText="1"/>
    </xf>
    <xf numFmtId="164" fontId="2" fillId="0" borderId="3" xfId="0" applyNumberFormat="1" applyFont="1" applyBorder="1" applyAlignment="1" applyProtection="1">
      <alignment horizontal="left" vertical="center" wrapText="1"/>
    </xf>
    <xf numFmtId="0" fontId="2" fillId="35" borderId="14" xfId="0" applyFont="1" applyFill="1" applyBorder="1" applyAlignment="1">
      <alignment horizontal="left" vertical="top" wrapText="1"/>
    </xf>
    <xf numFmtId="0" fontId="1" fillId="2" borderId="1" xfId="0" applyFont="1" applyFill="1" applyBorder="1" applyAlignment="1" applyProtection="1">
      <alignment horizontal="left" vertical="center" wrapText="1"/>
    </xf>
    <xf numFmtId="0" fontId="1" fillId="3" borderId="3" xfId="0" applyFont="1" applyFill="1" applyBorder="1" applyAlignment="1" applyProtection="1">
      <alignment horizontal="left" vertical="center" wrapText="1"/>
    </xf>
    <xf numFmtId="0" fontId="2" fillId="56" borderId="2" xfId="0" applyFont="1" applyFill="1" applyBorder="1" applyAlignment="1" applyProtection="1">
      <alignment horizontal="left" vertical="center" wrapText="1"/>
    </xf>
    <xf numFmtId="0" fontId="2" fillId="58" borderId="2" xfId="0" applyFont="1" applyFill="1" applyBorder="1" applyAlignment="1" applyProtection="1">
      <alignment horizontal="left" vertical="center" wrapText="1"/>
    </xf>
    <xf numFmtId="1" fontId="2" fillId="56" borderId="2" xfId="0" applyNumberFormat="1" applyFont="1" applyFill="1" applyBorder="1" applyAlignment="1" applyProtection="1">
      <alignment horizontal="left" vertical="center" wrapText="1"/>
    </xf>
    <xf numFmtId="1" fontId="2" fillId="51" borderId="2" xfId="0" applyNumberFormat="1" applyFont="1" applyFill="1" applyBorder="1" applyAlignment="1" applyProtection="1">
      <alignment horizontal="left" vertical="center" wrapText="1"/>
    </xf>
    <xf numFmtId="0" fontId="2" fillId="60" borderId="2" xfId="0" applyFont="1" applyFill="1" applyBorder="1" applyAlignment="1" applyProtection="1">
      <alignment horizontal="left" vertical="center" wrapText="1"/>
      <protection locked="0"/>
    </xf>
    <xf numFmtId="0" fontId="2" fillId="59" borderId="2" xfId="0" applyFont="1" applyFill="1" applyBorder="1" applyAlignment="1" applyProtection="1">
      <alignment horizontal="left" vertical="center" wrapText="1"/>
      <protection locked="0"/>
    </xf>
    <xf numFmtId="1" fontId="2" fillId="59" borderId="2" xfId="0" applyNumberFormat="1" applyFont="1" applyFill="1" applyBorder="1" applyAlignment="1" applyProtection="1">
      <alignment horizontal="left" vertical="center" wrapText="1"/>
      <protection locked="0"/>
    </xf>
    <xf numFmtId="1" fontId="2" fillId="51" borderId="2" xfId="0" applyNumberFormat="1" applyFont="1" applyFill="1" applyBorder="1" applyAlignment="1" applyProtection="1">
      <alignment horizontal="left" vertical="center" wrapText="1"/>
      <protection locked="0"/>
    </xf>
    <xf numFmtId="0" fontId="2" fillId="59" borderId="2" xfId="0" applyFont="1" applyFill="1" applyBorder="1" applyAlignment="1" applyProtection="1">
      <alignment horizontal="left" vertical="center" wrapText="1"/>
    </xf>
    <xf numFmtId="0" fontId="2" fillId="61" borderId="2" xfId="0" applyFont="1" applyFill="1" applyBorder="1" applyAlignment="1" applyProtection="1">
      <alignment horizontal="left" vertical="center" wrapText="1"/>
    </xf>
    <xf numFmtId="1" fontId="2" fillId="61" borderId="2" xfId="0" applyNumberFormat="1" applyFont="1" applyFill="1" applyBorder="1" applyAlignment="1" applyProtection="1">
      <alignment horizontal="left" vertical="center" wrapText="1"/>
    </xf>
    <xf numFmtId="1" fontId="2" fillId="59" borderId="2" xfId="0" applyNumberFormat="1" applyFont="1" applyFill="1" applyBorder="1" applyAlignment="1" applyProtection="1">
      <alignment horizontal="left" vertical="center" wrapText="1"/>
    </xf>
    <xf numFmtId="0" fontId="2" fillId="55" borderId="2" xfId="0" applyFont="1" applyFill="1" applyBorder="1" applyAlignment="1" applyProtection="1">
      <alignment horizontal="left" vertical="center" wrapText="1"/>
    </xf>
    <xf numFmtId="0" fontId="2" fillId="63" borderId="2" xfId="0" applyFont="1" applyFill="1" applyBorder="1" applyAlignment="1" applyProtection="1">
      <alignment horizontal="left" vertical="center" wrapText="1"/>
    </xf>
    <xf numFmtId="0" fontId="2" fillId="64" borderId="2" xfId="0" applyFont="1" applyFill="1" applyBorder="1" applyAlignment="1" applyProtection="1">
      <alignment horizontal="left" vertical="center" wrapText="1"/>
    </xf>
    <xf numFmtId="1" fontId="2" fillId="64" borderId="2" xfId="0" applyNumberFormat="1" applyFont="1" applyFill="1" applyBorder="1" applyAlignment="1" applyProtection="1">
      <alignment horizontal="left" vertical="center" wrapText="1"/>
    </xf>
    <xf numFmtId="0" fontId="2" fillId="65" borderId="2" xfId="0" applyFont="1" applyFill="1" applyBorder="1" applyAlignment="1" applyProtection="1">
      <alignment horizontal="left" vertical="center" wrapText="1"/>
    </xf>
    <xf numFmtId="1" fontId="2" fillId="65" borderId="2" xfId="0" applyNumberFormat="1" applyFont="1" applyFill="1" applyBorder="1" applyAlignment="1" applyProtection="1">
      <alignment horizontal="left" vertical="center" wrapText="1"/>
    </xf>
    <xf numFmtId="0" fontId="2" fillId="62" borderId="2" xfId="0" applyFont="1" applyFill="1" applyBorder="1" applyAlignment="1" applyProtection="1">
      <alignment horizontal="left" vertical="center" wrapText="1"/>
    </xf>
    <xf numFmtId="1" fontId="2" fillId="62" borderId="2" xfId="0" applyNumberFormat="1" applyFont="1" applyFill="1" applyBorder="1" applyAlignment="1" applyProtection="1">
      <alignment horizontal="left" vertical="center" wrapText="1"/>
    </xf>
    <xf numFmtId="1" fontId="2" fillId="55" borderId="2" xfId="0" applyNumberFormat="1" applyFont="1" applyFill="1" applyBorder="1" applyAlignment="1" applyProtection="1">
      <alignment horizontal="left" vertical="center" wrapText="1"/>
    </xf>
    <xf numFmtId="1" fontId="25" fillId="0" borderId="2" xfId="0" applyNumberFormat="1" applyFont="1" applyBorder="1" applyAlignment="1" applyProtection="1">
      <alignment horizontal="left" vertical="center" wrapText="1"/>
    </xf>
    <xf numFmtId="1" fontId="25" fillId="59" borderId="2" xfId="0" applyNumberFormat="1" applyFont="1" applyFill="1" applyBorder="1" applyAlignment="1" applyProtection="1">
      <alignment horizontal="left" vertical="center" wrapText="1"/>
    </xf>
    <xf numFmtId="1" fontId="2" fillId="59" borderId="1" xfId="0" applyNumberFormat="1" applyFont="1" applyFill="1" applyBorder="1" applyAlignment="1" applyProtection="1">
      <alignment horizontal="left" vertical="center" wrapText="1"/>
    </xf>
    <xf numFmtId="1" fontId="25" fillId="59" borderId="1" xfId="0" applyNumberFormat="1" applyFont="1" applyFill="1" applyBorder="1" applyAlignment="1" applyProtection="1">
      <alignment horizontal="left" vertical="center" wrapText="1"/>
    </xf>
    <xf numFmtId="1" fontId="25" fillId="59" borderId="2" xfId="0" applyNumberFormat="1" applyFont="1" applyFill="1" applyBorder="1" applyAlignment="1" applyProtection="1">
      <alignment horizontal="left" vertical="center" wrapText="1"/>
      <protection locked="0"/>
    </xf>
    <xf numFmtId="0" fontId="43" fillId="68" borderId="49" xfId="5" applyFont="1" applyFill="1" applyBorder="1" applyAlignment="1" applyProtection="1">
      <alignment vertical="top" wrapText="1"/>
    </xf>
    <xf numFmtId="0" fontId="11" fillId="0" borderId="0" xfId="5" applyAlignment="1" applyProtection="1">
      <alignment vertical="top" wrapText="1"/>
    </xf>
    <xf numFmtId="0" fontId="11" fillId="0" borderId="0" xfId="5" applyAlignment="1" applyProtection="1">
      <alignment wrapText="1"/>
    </xf>
    <xf numFmtId="0" fontId="62" fillId="0" borderId="0" xfId="0" applyFont="1" applyAlignment="1">
      <alignment vertical="top"/>
    </xf>
    <xf numFmtId="0" fontId="0" fillId="0" borderId="0" xfId="5" applyFont="1" applyAlignment="1" applyProtection="1">
      <alignment wrapText="1"/>
    </xf>
    <xf numFmtId="0" fontId="0" fillId="0" borderId="0" xfId="5" applyFont="1" applyAlignment="1" applyProtection="1">
      <alignment vertical="top" wrapText="1"/>
    </xf>
    <xf numFmtId="0" fontId="0" fillId="0" borderId="0" xfId="0" applyFont="1" applyAlignment="1" applyProtection="1">
      <alignment vertical="top" wrapText="1"/>
    </xf>
    <xf numFmtId="0" fontId="10" fillId="0" borderId="0" xfId="0" applyFont="1" applyAlignment="1" applyProtection="1">
      <alignment vertical="top" wrapText="1"/>
    </xf>
    <xf numFmtId="0" fontId="43" fillId="0" borderId="0" xfId="5" applyFont="1" applyAlignment="1" applyProtection="1">
      <alignment vertical="top" wrapText="1"/>
    </xf>
    <xf numFmtId="0" fontId="11" fillId="0" borderId="0" xfId="5" applyProtection="1"/>
    <xf numFmtId="0" fontId="52" fillId="0" borderId="0" xfId="5" applyFont="1" applyProtection="1"/>
    <xf numFmtId="0" fontId="52" fillId="0" borderId="0" xfId="0" applyFont="1" applyProtection="1"/>
    <xf numFmtId="0" fontId="22" fillId="20" borderId="0" xfId="5" applyFont="1" applyFill="1" applyBorder="1" applyAlignment="1" applyProtection="1">
      <alignment vertical="center" wrapText="1"/>
      <protection locked="0"/>
    </xf>
    <xf numFmtId="0" fontId="63" fillId="0" borderId="0" xfId="5" applyFont="1" applyAlignment="1" applyProtection="1">
      <alignment vertical="top" wrapText="1"/>
    </xf>
    <xf numFmtId="0" fontId="62" fillId="0" borderId="0" xfId="0" applyFont="1" applyAlignment="1">
      <alignment horizontal="left" vertical="top"/>
    </xf>
    <xf numFmtId="0" fontId="0" fillId="0" borderId="0" xfId="0" applyProtection="1"/>
    <xf numFmtId="0" fontId="0" fillId="0" borderId="0" xfId="5" applyFont="1" applyProtection="1"/>
    <xf numFmtId="0" fontId="10" fillId="0" borderId="0" xfId="5" applyFont="1" applyProtection="1"/>
    <xf numFmtId="0" fontId="64" fillId="0" borderId="0" xfId="5" applyFont="1" applyAlignment="1" applyProtection="1">
      <alignment vertical="top" wrapText="1"/>
    </xf>
    <xf numFmtId="1" fontId="41" fillId="22" borderId="2" xfId="0" applyNumberFormat="1" applyFont="1" applyFill="1" applyBorder="1" applyAlignment="1" applyProtection="1">
      <alignment horizontal="left" vertical="center" wrapText="1"/>
    </xf>
    <xf numFmtId="0" fontId="2" fillId="69" borderId="2" xfId="0" applyFont="1" applyFill="1" applyBorder="1" applyAlignment="1">
      <alignment horizontal="left" vertical="center" wrapText="1"/>
    </xf>
    <xf numFmtId="0" fontId="2" fillId="0" borderId="2" xfId="0" applyFont="1" applyFill="1" applyBorder="1" applyAlignment="1" applyProtection="1">
      <alignment horizontal="left" vertical="center" wrapText="1"/>
    </xf>
    <xf numFmtId="1" fontId="47" fillId="22" borderId="23" xfId="0" applyNumberFormat="1" applyFont="1" applyFill="1" applyBorder="1" applyAlignment="1" applyProtection="1">
      <alignment horizontal="center" vertical="top"/>
    </xf>
    <xf numFmtId="0" fontId="2" fillId="13" borderId="2" xfId="0" applyFont="1" applyFill="1" applyBorder="1" applyAlignment="1" applyProtection="1">
      <alignment horizontal="left" vertical="center" wrapText="1"/>
    </xf>
    <xf numFmtId="0" fontId="2" fillId="38" borderId="2" xfId="0" applyFont="1" applyFill="1" applyBorder="1" applyAlignment="1">
      <alignment horizontal="left" vertical="center" wrapText="1"/>
    </xf>
    <xf numFmtId="1" fontId="25" fillId="13" borderId="2" xfId="0" applyNumberFormat="1" applyFont="1" applyFill="1" applyBorder="1" applyAlignment="1" applyProtection="1">
      <alignment horizontal="left" vertical="center" wrapText="1"/>
    </xf>
    <xf numFmtId="164" fontId="47" fillId="10" borderId="23" xfId="0" applyNumberFormat="1" applyFont="1" applyFill="1" applyBorder="1" applyAlignment="1" applyProtection="1">
      <alignment horizontal="center" vertical="top"/>
    </xf>
    <xf numFmtId="164" fontId="47" fillId="13" borderId="23" xfId="0" applyNumberFormat="1" applyFont="1" applyFill="1" applyBorder="1" applyAlignment="1" applyProtection="1">
      <alignment horizontal="center" vertical="top"/>
    </xf>
    <xf numFmtId="1" fontId="47" fillId="10" borderId="23" xfId="0" applyNumberFormat="1" applyFont="1" applyFill="1" applyBorder="1" applyAlignment="1" applyProtection="1">
      <alignment horizontal="center" vertical="top"/>
    </xf>
    <xf numFmtId="1" fontId="47" fillId="13" borderId="23" xfId="0" applyNumberFormat="1" applyFont="1" applyFill="1" applyBorder="1" applyAlignment="1" applyProtection="1">
      <alignment horizontal="center" vertical="top"/>
    </xf>
    <xf numFmtId="0" fontId="2" fillId="0" borderId="59" xfId="0" applyFont="1" applyFill="1" applyBorder="1" applyAlignment="1" applyProtection="1">
      <alignment vertical="top" wrapText="1"/>
      <protection locked="0"/>
    </xf>
    <xf numFmtId="0" fontId="2" fillId="0" borderId="59" xfId="0" applyFont="1" applyFill="1" applyBorder="1" applyAlignment="1" applyProtection="1">
      <alignment horizontal="left" vertical="top" wrapText="1"/>
      <protection locked="0"/>
    </xf>
    <xf numFmtId="0" fontId="2" fillId="0" borderId="59" xfId="0" quotePrefix="1" applyFont="1" applyFill="1" applyBorder="1" applyAlignment="1" applyProtection="1">
      <alignment horizontal="left" vertical="top" wrapText="1"/>
      <protection locked="0"/>
    </xf>
    <xf numFmtId="0" fontId="2" fillId="0" borderId="59" xfId="0" applyFont="1" applyFill="1" applyBorder="1" applyAlignment="1" applyProtection="1">
      <alignment horizontal="center" vertical="center" wrapText="1"/>
      <protection locked="0"/>
    </xf>
    <xf numFmtId="0" fontId="25" fillId="0" borderId="59" xfId="0" applyFont="1" applyFill="1" applyBorder="1" applyAlignment="1" applyProtection="1">
      <alignment vertical="top" wrapText="1"/>
      <protection locked="0"/>
    </xf>
    <xf numFmtId="0" fontId="25" fillId="0" borderId="59" xfId="0" applyFont="1" applyFill="1" applyBorder="1" applyAlignment="1" applyProtection="1">
      <alignment horizontal="left" vertical="top" wrapText="1"/>
      <protection locked="0"/>
    </xf>
    <xf numFmtId="0" fontId="25" fillId="0" borderId="59" xfId="0" quotePrefix="1" applyFont="1" applyFill="1" applyBorder="1" applyAlignment="1" applyProtection="1">
      <alignment vertical="top" wrapText="1"/>
      <protection locked="0"/>
    </xf>
    <xf numFmtId="0" fontId="25" fillId="0" borderId="59" xfId="0" quotePrefix="1" applyFont="1" applyFill="1" applyBorder="1" applyAlignment="1" applyProtection="1">
      <alignment horizontal="left" vertical="top" wrapText="1"/>
      <protection locked="0"/>
    </xf>
    <xf numFmtId="0" fontId="25" fillId="0" borderId="59" xfId="0" applyFont="1" applyFill="1" applyBorder="1" applyAlignment="1" applyProtection="1">
      <alignment horizontal="center" vertical="center" wrapText="1"/>
      <protection locked="0"/>
    </xf>
    <xf numFmtId="0" fontId="2" fillId="0" borderId="59" xfId="0" quotePrefix="1" applyFont="1" applyFill="1" applyBorder="1" applyAlignment="1" applyProtection="1">
      <alignment vertical="top" wrapText="1"/>
      <protection locked="0"/>
    </xf>
    <xf numFmtId="0" fontId="2" fillId="0" borderId="60" xfId="0" applyFont="1" applyFill="1" applyBorder="1" applyAlignment="1" applyProtection="1">
      <alignment vertical="top" wrapText="1"/>
      <protection locked="0"/>
    </xf>
    <xf numFmtId="0" fontId="2" fillId="0" borderId="60" xfId="0" applyFont="1" applyFill="1" applyBorder="1" applyAlignment="1" applyProtection="1">
      <alignment horizontal="left" vertical="top" wrapText="1"/>
      <protection locked="0"/>
    </xf>
    <xf numFmtId="0" fontId="2" fillId="0" borderId="60" xfId="0" applyFont="1" applyFill="1" applyBorder="1" applyAlignment="1" applyProtection="1">
      <alignment horizontal="center" vertical="center" wrapText="1"/>
      <protection locked="0"/>
    </xf>
    <xf numFmtId="0" fontId="2" fillId="25" borderId="58" xfId="0" applyFont="1" applyFill="1" applyBorder="1" applyAlignment="1" applyProtection="1">
      <alignment horizontal="left" vertical="top" wrapText="1"/>
      <protection locked="0"/>
    </xf>
    <xf numFmtId="0" fontId="2" fillId="25" borderId="58" xfId="0" quotePrefix="1" applyFont="1" applyFill="1" applyBorder="1" applyAlignment="1" applyProtection="1">
      <alignment horizontal="left" vertical="top" wrapText="1"/>
      <protection locked="0"/>
    </xf>
    <xf numFmtId="0" fontId="2" fillId="25" borderId="68" xfId="0" applyFont="1" applyFill="1" applyBorder="1" applyAlignment="1" applyProtection="1">
      <alignment horizontal="center" vertical="center" wrapText="1"/>
      <protection locked="0"/>
    </xf>
    <xf numFmtId="0" fontId="2" fillId="25" borderId="60" xfId="0" applyFont="1" applyFill="1" applyBorder="1" applyAlignment="1" applyProtection="1">
      <alignment horizontal="left" vertical="top" wrapText="1"/>
      <protection locked="0"/>
    </xf>
    <xf numFmtId="0" fontId="2" fillId="25" borderId="60" xfId="0" applyFont="1" applyFill="1" applyBorder="1" applyAlignment="1" applyProtection="1">
      <alignment horizontal="center" vertical="center" wrapText="1"/>
      <protection locked="0"/>
    </xf>
    <xf numFmtId="0" fontId="25" fillId="25" borderId="59" xfId="0" applyFont="1" applyFill="1" applyBorder="1" applyAlignment="1" applyProtection="1">
      <alignment vertical="top" wrapText="1"/>
      <protection locked="0"/>
    </xf>
    <xf numFmtId="0" fontId="25" fillId="25" borderId="59" xfId="0" applyFont="1" applyFill="1" applyBorder="1" applyAlignment="1" applyProtection="1">
      <alignment horizontal="left" vertical="top" wrapText="1"/>
      <protection locked="0"/>
    </xf>
    <xf numFmtId="0" fontId="25" fillId="25" borderId="59" xfId="0" applyFont="1" applyFill="1" applyBorder="1" applyAlignment="1" applyProtection="1">
      <alignment horizontal="center" vertical="center" wrapText="1"/>
      <protection locked="0"/>
    </xf>
    <xf numFmtId="0" fontId="4" fillId="0" borderId="74" xfId="0" applyFont="1" applyBorder="1" applyAlignment="1">
      <alignment vertical="top"/>
    </xf>
    <xf numFmtId="0" fontId="4" fillId="0" borderId="75" xfId="0" applyFont="1" applyBorder="1" applyAlignment="1">
      <alignment vertical="top"/>
    </xf>
    <xf numFmtId="0" fontId="0" fillId="0" borderId="0" xfId="5" applyFont="1" applyAlignment="1" applyProtection="1">
      <alignment vertical="top" wrapText="1"/>
    </xf>
    <xf numFmtId="0" fontId="11" fillId="0" borderId="0" xfId="5" applyFont="1" applyAlignment="1" applyProtection="1">
      <alignment vertical="top" wrapText="1"/>
    </xf>
    <xf numFmtId="0" fontId="2" fillId="0" borderId="7" xfId="0" applyFont="1" applyBorder="1" applyAlignment="1" applyProtection="1">
      <alignment horizontal="left" vertical="top" wrapText="1"/>
      <protection locked="0"/>
    </xf>
    <xf numFmtId="0" fontId="2" fillId="0" borderId="14" xfId="0" applyFont="1" applyBorder="1" applyAlignment="1" applyProtection="1">
      <alignment horizontal="left" vertical="top" wrapText="1"/>
      <protection locked="0"/>
    </xf>
    <xf numFmtId="0" fontId="2" fillId="0" borderId="4" xfId="0" applyFont="1" applyBorder="1" applyAlignment="1" applyProtection="1">
      <alignment horizontal="left" vertical="top" wrapText="1"/>
      <protection locked="0"/>
    </xf>
    <xf numFmtId="0" fontId="1" fillId="26" borderId="17" xfId="0" applyFont="1" applyFill="1" applyBorder="1" applyAlignment="1" applyProtection="1">
      <alignment horizontal="center" vertical="center" wrapText="1"/>
    </xf>
    <xf numFmtId="0" fontId="1" fillId="26" borderId="18" xfId="0" applyFont="1" applyFill="1" applyBorder="1" applyAlignment="1" applyProtection="1">
      <alignment horizontal="center" vertical="center" wrapText="1"/>
    </xf>
    <xf numFmtId="0" fontId="1" fillId="26" borderId="19" xfId="0" applyFont="1" applyFill="1" applyBorder="1" applyAlignment="1" applyProtection="1">
      <alignment horizontal="center" vertical="center" wrapText="1"/>
    </xf>
    <xf numFmtId="0" fontId="1" fillId="26" borderId="20" xfId="0" applyFont="1" applyFill="1" applyBorder="1" applyAlignment="1" applyProtection="1">
      <alignment horizontal="center" vertical="center" wrapText="1"/>
    </xf>
    <xf numFmtId="0" fontId="1" fillId="26" borderId="15" xfId="0" applyFont="1" applyFill="1" applyBorder="1" applyAlignment="1" applyProtection="1">
      <alignment horizontal="center" vertical="center" wrapText="1"/>
    </xf>
    <xf numFmtId="0" fontId="1" fillId="26" borderId="21" xfId="0" applyFont="1" applyFill="1" applyBorder="1" applyAlignment="1" applyProtection="1">
      <alignment horizontal="center" vertical="center" wrapText="1"/>
    </xf>
    <xf numFmtId="0" fontId="1" fillId="26" borderId="9" xfId="0" applyFont="1" applyFill="1" applyBorder="1" applyAlignment="1" applyProtection="1">
      <alignment horizontal="right" vertical="center" wrapText="1"/>
    </xf>
    <xf numFmtId="0" fontId="1" fillId="26" borderId="3" xfId="0" applyFont="1" applyFill="1" applyBorder="1" applyAlignment="1" applyProtection="1">
      <alignment horizontal="right" vertical="center" wrapText="1"/>
    </xf>
    <xf numFmtId="0" fontId="2" fillId="6" borderId="1" xfId="0" applyFont="1" applyFill="1" applyBorder="1" applyAlignment="1" applyProtection="1">
      <alignment horizontal="left" vertical="top" wrapText="1"/>
    </xf>
    <xf numFmtId="0" fontId="2" fillId="0" borderId="1" xfId="0" applyFont="1" applyBorder="1" applyAlignment="1" applyProtection="1">
      <alignment horizontal="left" vertical="top" wrapText="1"/>
    </xf>
    <xf numFmtId="0" fontId="2" fillId="6" borderId="7" xfId="0" applyFont="1" applyFill="1" applyBorder="1" applyAlignment="1" applyProtection="1">
      <alignment horizontal="left" vertical="top" wrapText="1"/>
    </xf>
    <xf numFmtId="0" fontId="2" fillId="6" borderId="4" xfId="0" applyFont="1" applyFill="1" applyBorder="1" applyAlignment="1" applyProtection="1">
      <alignment horizontal="left" vertical="top" wrapText="1"/>
    </xf>
    <xf numFmtId="0" fontId="1" fillId="26" borderId="7" xfId="0" applyFont="1" applyFill="1" applyBorder="1" applyAlignment="1" applyProtection="1">
      <alignment horizontal="left" vertical="top" wrapText="1"/>
    </xf>
    <xf numFmtId="0" fontId="1" fillId="26" borderId="14" xfId="0" applyFont="1" applyFill="1" applyBorder="1" applyAlignment="1" applyProtection="1">
      <alignment horizontal="left" vertical="top" wrapText="1"/>
    </xf>
    <xf numFmtId="0" fontId="1" fillId="26" borderId="4" xfId="0" applyFont="1" applyFill="1" applyBorder="1" applyAlignment="1" applyProtection="1">
      <alignment horizontal="left" vertical="top" wrapText="1"/>
    </xf>
    <xf numFmtId="0" fontId="2" fillId="0" borderId="7" xfId="0" applyFont="1" applyFill="1" applyBorder="1" applyAlignment="1" applyProtection="1">
      <alignment horizontal="left" vertical="top" wrapText="1"/>
    </xf>
    <xf numFmtId="0" fontId="2" fillId="0" borderId="14" xfId="0" applyFont="1" applyFill="1" applyBorder="1" applyAlignment="1" applyProtection="1">
      <alignment horizontal="left" vertical="top" wrapText="1"/>
    </xf>
    <xf numFmtId="0" fontId="2" fillId="0" borderId="4" xfId="0" applyFont="1" applyFill="1" applyBorder="1" applyAlignment="1" applyProtection="1">
      <alignment horizontal="left" vertical="top" wrapText="1"/>
    </xf>
    <xf numFmtId="0" fontId="2" fillId="0" borderId="7" xfId="0" applyFont="1" applyFill="1" applyBorder="1" applyAlignment="1" applyProtection="1">
      <alignment horizontal="left" vertical="top" wrapText="1"/>
      <protection locked="0"/>
    </xf>
    <xf numFmtId="0" fontId="2" fillId="0" borderId="14" xfId="0" applyFont="1" applyFill="1" applyBorder="1" applyAlignment="1" applyProtection="1">
      <alignment horizontal="left" vertical="top" wrapText="1"/>
      <protection locked="0"/>
    </xf>
    <xf numFmtId="0" fontId="2" fillId="0" borderId="4" xfId="0" applyFont="1" applyFill="1" applyBorder="1" applyAlignment="1" applyProtection="1">
      <alignment horizontal="left" vertical="top" wrapText="1"/>
      <protection locked="0"/>
    </xf>
    <xf numFmtId="0" fontId="2" fillId="0" borderId="7" xfId="0" applyFont="1" applyBorder="1" applyAlignment="1" applyProtection="1">
      <alignment horizontal="left" vertical="top" wrapText="1"/>
    </xf>
    <xf numFmtId="0" fontId="2" fillId="0" borderId="14" xfId="0" applyFont="1" applyBorder="1" applyAlignment="1" applyProtection="1">
      <alignment horizontal="left" vertical="top" wrapText="1"/>
    </xf>
    <xf numFmtId="0" fontId="2" fillId="0" borderId="4" xfId="0" applyFont="1" applyBorder="1" applyAlignment="1" applyProtection="1">
      <alignment horizontal="left" vertical="top" wrapText="1"/>
    </xf>
    <xf numFmtId="0" fontId="2" fillId="0" borderId="1" xfId="0" applyFont="1" applyFill="1" applyBorder="1" applyAlignment="1" applyProtection="1">
      <alignment horizontal="left" vertical="top" wrapText="1"/>
    </xf>
    <xf numFmtId="3" fontId="2" fillId="0" borderId="7" xfId="0" applyNumberFormat="1" applyFont="1" applyFill="1" applyBorder="1" applyAlignment="1" applyProtection="1">
      <alignment horizontal="left" vertical="top" wrapText="1"/>
    </xf>
    <xf numFmtId="0" fontId="2" fillId="0" borderId="4" xfId="0" applyFont="1" applyBorder="1" applyAlignment="1" applyProtection="1">
      <alignment horizontal="left" vertical="top"/>
    </xf>
    <xf numFmtId="0" fontId="2" fillId="6" borderId="14" xfId="0" applyFont="1" applyFill="1" applyBorder="1" applyAlignment="1" applyProtection="1">
      <alignment horizontal="left" vertical="top" wrapText="1"/>
    </xf>
    <xf numFmtId="0" fontId="2" fillId="0" borderId="1" xfId="0" applyFont="1" applyFill="1" applyBorder="1" applyAlignment="1" applyProtection="1">
      <alignment horizontal="left" vertical="top"/>
    </xf>
    <xf numFmtId="3" fontId="2" fillId="6" borderId="7" xfId="0" applyNumberFormat="1" applyFont="1" applyFill="1" applyBorder="1" applyAlignment="1" applyProtection="1">
      <alignment horizontal="left" vertical="top" wrapText="1"/>
    </xf>
    <xf numFmtId="0" fontId="29" fillId="0" borderId="7" xfId="0" applyFont="1" applyFill="1" applyBorder="1" applyAlignment="1" applyProtection="1">
      <alignment horizontal="left" vertical="top" wrapText="1"/>
      <protection locked="0"/>
    </xf>
    <xf numFmtId="0" fontId="29" fillId="0" borderId="14" xfId="0" applyFont="1" applyFill="1" applyBorder="1" applyAlignment="1" applyProtection="1">
      <alignment horizontal="left" vertical="top" wrapText="1"/>
      <protection locked="0"/>
    </xf>
    <xf numFmtId="0" fontId="29" fillId="0" borderId="4" xfId="0" applyFont="1" applyFill="1" applyBorder="1" applyAlignment="1" applyProtection="1">
      <alignment horizontal="left" vertical="top" wrapText="1"/>
      <protection locked="0"/>
    </xf>
    <xf numFmtId="0" fontId="29" fillId="27" borderId="7" xfId="0" applyFont="1" applyFill="1" applyBorder="1" applyAlignment="1" applyProtection="1">
      <alignment horizontal="left" vertical="top" wrapText="1"/>
      <protection locked="0"/>
    </xf>
    <xf numFmtId="0" fontId="29" fillId="27" borderId="14" xfId="0" applyFont="1" applyFill="1" applyBorder="1" applyAlignment="1" applyProtection="1">
      <alignment horizontal="left" vertical="top" wrapText="1"/>
      <protection locked="0"/>
    </xf>
    <xf numFmtId="0" fontId="29" fillId="27" borderId="4" xfId="0" applyFont="1" applyFill="1" applyBorder="1" applyAlignment="1" applyProtection="1">
      <alignment horizontal="left" vertical="top" wrapText="1"/>
      <protection locked="0"/>
    </xf>
    <xf numFmtId="0" fontId="29" fillId="0" borderId="7" xfId="0" applyFont="1" applyBorder="1" applyAlignment="1" applyProtection="1">
      <alignment horizontal="left" vertical="top" wrapText="1"/>
      <protection locked="0"/>
    </xf>
    <xf numFmtId="0" fontId="29" fillId="0" borderId="4" xfId="0" applyFont="1" applyBorder="1" applyAlignment="1" applyProtection="1">
      <alignment horizontal="left" vertical="top" wrapText="1"/>
      <protection locked="0"/>
    </xf>
    <xf numFmtId="0" fontId="1" fillId="27" borderId="9" xfId="0" applyFont="1" applyFill="1" applyBorder="1" applyAlignment="1" applyProtection="1">
      <alignment horizontal="center" vertical="center" wrapText="1"/>
    </xf>
    <xf numFmtId="0" fontId="1" fillId="27" borderId="10" xfId="0" applyFont="1" applyFill="1" applyBorder="1" applyAlignment="1" applyProtection="1">
      <alignment horizontal="center" vertical="center" wrapText="1"/>
    </xf>
    <xf numFmtId="0" fontId="1" fillId="27" borderId="3" xfId="0" applyFont="1" applyFill="1" applyBorder="1" applyAlignment="1" applyProtection="1">
      <alignment horizontal="center" vertical="center" wrapText="1"/>
    </xf>
    <xf numFmtId="0" fontId="2" fillId="27" borderId="7" xfId="0" applyFont="1" applyFill="1" applyBorder="1" applyAlignment="1" applyProtection="1">
      <alignment horizontal="left" vertical="top" wrapText="1"/>
    </xf>
    <xf numFmtId="0" fontId="2" fillId="27" borderId="14" xfId="0" applyFont="1" applyFill="1" applyBorder="1" applyAlignment="1" applyProtection="1">
      <alignment horizontal="left" vertical="top" wrapText="1"/>
    </xf>
    <xf numFmtId="0" fontId="2" fillId="27" borderId="4" xfId="0" applyFont="1" applyFill="1" applyBorder="1" applyAlignment="1" applyProtection="1">
      <alignment horizontal="left" vertical="top" wrapText="1"/>
    </xf>
    <xf numFmtId="0" fontId="1" fillId="27" borderId="7" xfId="0" applyFont="1" applyFill="1" applyBorder="1" applyAlignment="1" applyProtection="1">
      <alignment horizontal="left" vertical="center" wrapText="1"/>
    </xf>
    <xf numFmtId="0" fontId="1" fillId="27" borderId="4" xfId="0" applyFont="1" applyFill="1" applyBorder="1" applyAlignment="1" applyProtection="1">
      <alignment horizontal="left" vertical="center" wrapText="1"/>
    </xf>
    <xf numFmtId="0" fontId="1" fillId="27" borderId="15" xfId="0" applyFont="1" applyFill="1" applyBorder="1" applyAlignment="1" applyProtection="1">
      <alignment horizontal="left" vertical="center" wrapText="1"/>
    </xf>
    <xf numFmtId="0" fontId="1" fillId="27" borderId="16" xfId="0" applyFont="1" applyFill="1" applyBorder="1" applyAlignment="1" applyProtection="1">
      <alignment horizontal="left" vertical="center" wrapText="1"/>
    </xf>
    <xf numFmtId="0" fontId="1" fillId="2" borderId="7" xfId="0" applyFont="1" applyFill="1" applyBorder="1" applyAlignment="1" applyProtection="1">
      <alignment horizontal="left" vertical="center" wrapText="1"/>
    </xf>
    <xf numFmtId="0" fontId="1" fillId="2" borderId="4" xfId="0" applyFont="1" applyFill="1" applyBorder="1" applyAlignment="1" applyProtection="1">
      <alignment horizontal="left" vertical="center" wrapText="1"/>
    </xf>
    <xf numFmtId="0" fontId="1" fillId="7" borderId="9" xfId="0" applyFont="1" applyFill="1" applyBorder="1" applyAlignment="1" applyProtection="1">
      <alignment horizontal="left" vertical="center" wrapText="1"/>
    </xf>
    <xf numFmtId="0" fontId="1" fillId="7" borderId="3" xfId="0" applyFont="1" applyFill="1" applyBorder="1" applyAlignment="1" applyProtection="1">
      <alignment horizontal="left" vertical="center" wrapText="1"/>
    </xf>
    <xf numFmtId="0" fontId="1" fillId="8" borderId="15" xfId="0" applyFont="1" applyFill="1" applyBorder="1" applyAlignment="1" applyProtection="1">
      <alignment horizontal="left" vertical="center" wrapText="1"/>
    </xf>
    <xf numFmtId="0" fontId="1" fillId="8" borderId="22" xfId="0" applyFont="1" applyFill="1" applyBorder="1" applyAlignment="1" applyProtection="1">
      <alignment horizontal="left" vertical="center" wrapText="1"/>
    </xf>
    <xf numFmtId="0" fontId="1" fillId="8" borderId="21" xfId="0" applyFont="1" applyFill="1" applyBorder="1" applyAlignment="1" applyProtection="1">
      <alignment horizontal="left" vertical="center" wrapText="1"/>
    </xf>
    <xf numFmtId="0" fontId="1" fillId="8" borderId="16" xfId="0" applyFont="1" applyFill="1" applyBorder="1" applyAlignment="1" applyProtection="1">
      <alignment horizontal="left" vertical="center" wrapText="1"/>
    </xf>
    <xf numFmtId="0" fontId="1" fillId="8" borderId="5" xfId="0" applyFont="1" applyFill="1" applyBorder="1" applyAlignment="1" applyProtection="1">
      <alignment horizontal="left" vertical="center" wrapText="1"/>
    </xf>
    <xf numFmtId="0" fontId="1" fillId="8" borderId="2" xfId="0" applyFont="1" applyFill="1" applyBorder="1" applyAlignment="1" applyProtection="1">
      <alignment horizontal="left" vertical="center" wrapText="1"/>
    </xf>
    <xf numFmtId="0" fontId="1" fillId="0" borderId="9" xfId="0" applyFont="1" applyBorder="1" applyAlignment="1" applyProtection="1">
      <alignment horizontal="left" vertical="center" wrapText="1"/>
    </xf>
    <xf numFmtId="0" fontId="1" fillId="0" borderId="3" xfId="0" applyFont="1" applyBorder="1" applyAlignment="1" applyProtection="1">
      <alignment horizontal="left" vertical="center" wrapText="1"/>
    </xf>
    <xf numFmtId="0" fontId="1" fillId="7" borderId="10" xfId="0" applyFont="1" applyFill="1" applyBorder="1" applyAlignment="1" applyProtection="1">
      <alignment horizontal="left" vertical="center" wrapText="1"/>
    </xf>
    <xf numFmtId="3" fontId="2" fillId="0" borderId="9" xfId="1" applyNumberFormat="1" applyFont="1" applyBorder="1" applyAlignment="1" applyProtection="1">
      <alignment horizontal="left" vertical="center" wrapText="1"/>
    </xf>
    <xf numFmtId="3" fontId="2" fillId="0" borderId="3" xfId="1" applyNumberFormat="1" applyFont="1" applyBorder="1" applyAlignment="1" applyProtection="1">
      <alignment horizontal="left" vertical="center" wrapText="1"/>
    </xf>
    <xf numFmtId="3" fontId="2" fillId="0" borderId="10" xfId="1" applyNumberFormat="1" applyFont="1" applyBorder="1" applyAlignment="1" applyProtection="1">
      <alignment horizontal="left" vertical="center" wrapText="1"/>
    </xf>
    <xf numFmtId="0" fontId="3" fillId="27" borderId="7" xfId="3" applyFont="1" applyFill="1" applyBorder="1" applyAlignment="1" applyProtection="1">
      <alignment vertical="center" wrapText="1"/>
    </xf>
    <xf numFmtId="0" fontId="3" fillId="27" borderId="4" xfId="3" applyFont="1" applyFill="1" applyBorder="1" applyAlignment="1" applyProtection="1">
      <alignment vertical="center" wrapText="1"/>
    </xf>
    <xf numFmtId="1" fontId="2" fillId="0" borderId="9" xfId="0" applyNumberFormat="1" applyFont="1" applyBorder="1" applyAlignment="1" applyProtection="1">
      <alignment horizontal="left" vertical="center" wrapText="1"/>
    </xf>
    <xf numFmtId="1" fontId="2" fillId="0" borderId="10" xfId="0" applyNumberFormat="1" applyFont="1" applyBorder="1" applyAlignment="1" applyProtection="1">
      <alignment horizontal="left" vertical="center" wrapText="1"/>
    </xf>
    <xf numFmtId="1" fontId="2" fillId="0" borderId="3" xfId="0" applyNumberFormat="1" applyFont="1" applyBorder="1" applyAlignment="1" applyProtection="1">
      <alignment horizontal="left" vertical="center" wrapText="1"/>
    </xf>
    <xf numFmtId="0" fontId="1" fillId="5" borderId="9" xfId="0" applyFont="1" applyFill="1" applyBorder="1" applyAlignment="1" applyProtection="1">
      <alignment horizontal="left" vertical="center" wrapText="1"/>
    </xf>
    <xf numFmtId="0" fontId="1" fillId="5" borderId="10" xfId="0" applyFont="1" applyFill="1" applyBorder="1" applyAlignment="1" applyProtection="1">
      <alignment horizontal="left" vertical="center" wrapText="1"/>
    </xf>
    <xf numFmtId="0" fontId="1" fillId="5" borderId="3" xfId="0" applyFont="1" applyFill="1" applyBorder="1" applyAlignment="1" applyProtection="1">
      <alignment horizontal="left" vertical="center" wrapText="1"/>
    </xf>
    <xf numFmtId="0" fontId="2" fillId="0" borderId="9" xfId="0" applyFont="1" applyBorder="1" applyAlignment="1" applyProtection="1">
      <alignment horizontal="left" vertical="top" wrapText="1"/>
    </xf>
    <xf numFmtId="0" fontId="2" fillId="0" borderId="10" xfId="0" applyFont="1" applyBorder="1" applyAlignment="1" applyProtection="1">
      <alignment horizontal="left" vertical="top" wrapText="1"/>
    </xf>
    <xf numFmtId="0" fontId="2" fillId="0" borderId="3" xfId="0" applyFont="1" applyBorder="1" applyAlignment="1" applyProtection="1">
      <alignment horizontal="left" vertical="top" wrapText="1"/>
    </xf>
    <xf numFmtId="0" fontId="3" fillId="32" borderId="9" xfId="0" applyFont="1" applyFill="1" applyBorder="1" applyAlignment="1" applyProtection="1">
      <alignment horizontal="left" vertical="center" wrapText="1"/>
    </xf>
    <xf numFmtId="0" fontId="3" fillId="32" borderId="10" xfId="0" applyFont="1" applyFill="1" applyBorder="1" applyAlignment="1" applyProtection="1">
      <alignment horizontal="left" vertical="center" wrapText="1"/>
    </xf>
    <xf numFmtId="0" fontId="3" fillId="32" borderId="3" xfId="0" applyFont="1" applyFill="1" applyBorder="1" applyAlignment="1" applyProtection="1">
      <alignment horizontal="left" vertical="center" wrapText="1"/>
    </xf>
    <xf numFmtId="0" fontId="3" fillId="7" borderId="9" xfId="0" applyFont="1" applyFill="1" applyBorder="1" applyAlignment="1" applyProtection="1">
      <alignment horizontal="left" vertical="center" wrapText="1"/>
    </xf>
    <xf numFmtId="0" fontId="3" fillId="7" borderId="10" xfId="0" applyFont="1" applyFill="1" applyBorder="1" applyAlignment="1" applyProtection="1">
      <alignment horizontal="left" vertical="center" wrapText="1"/>
    </xf>
    <xf numFmtId="0" fontId="3" fillId="7" borderId="3" xfId="0" applyFont="1" applyFill="1" applyBorder="1" applyAlignment="1" applyProtection="1">
      <alignment horizontal="left" vertical="center" wrapText="1"/>
    </xf>
    <xf numFmtId="1" fontId="2" fillId="0" borderId="9" xfId="0" applyNumberFormat="1" applyFont="1" applyFill="1" applyBorder="1" applyAlignment="1" applyProtection="1">
      <alignment horizontal="left" vertical="center" wrapText="1"/>
    </xf>
    <xf numFmtId="1" fontId="2" fillId="0" borderId="10" xfId="0" applyNumberFormat="1" applyFont="1" applyFill="1" applyBorder="1" applyAlignment="1" applyProtection="1">
      <alignment horizontal="left" vertical="center" wrapText="1"/>
    </xf>
    <xf numFmtId="1" fontId="2" fillId="0" borderId="3" xfId="0" applyNumberFormat="1" applyFont="1" applyFill="1" applyBorder="1" applyAlignment="1" applyProtection="1">
      <alignment horizontal="left" vertical="center" wrapText="1"/>
    </xf>
    <xf numFmtId="164" fontId="2" fillId="0" borderId="9" xfId="0" applyNumberFormat="1" applyFont="1" applyBorder="1" applyAlignment="1" applyProtection="1">
      <alignment horizontal="left" vertical="center" wrapText="1"/>
    </xf>
    <xf numFmtId="164" fontId="2" fillId="0" borderId="10" xfId="0" applyNumberFormat="1" applyFont="1" applyBorder="1" applyAlignment="1" applyProtection="1">
      <alignment horizontal="left" vertical="center" wrapText="1"/>
    </xf>
    <xf numFmtId="164" fontId="2" fillId="0" borderId="3" xfId="0" applyNumberFormat="1" applyFont="1" applyBorder="1" applyAlignment="1" applyProtection="1">
      <alignment horizontal="left" vertical="center" wrapText="1"/>
    </xf>
    <xf numFmtId="1" fontId="2" fillId="7" borderId="9" xfId="0" applyNumberFormat="1" applyFont="1" applyFill="1" applyBorder="1" applyAlignment="1" applyProtection="1">
      <alignment horizontal="left" vertical="center" wrapText="1"/>
    </xf>
    <xf numFmtId="1" fontId="2" fillId="7" borderId="10" xfId="0" applyNumberFormat="1" applyFont="1" applyFill="1" applyBorder="1" applyAlignment="1" applyProtection="1">
      <alignment horizontal="left" vertical="center" wrapText="1"/>
    </xf>
    <xf numFmtId="1" fontId="2" fillId="7" borderId="3" xfId="0" applyNumberFormat="1" applyFont="1" applyFill="1" applyBorder="1" applyAlignment="1" applyProtection="1">
      <alignment horizontal="left" vertical="center" wrapText="1"/>
    </xf>
    <xf numFmtId="1" fontId="2" fillId="13" borderId="9" xfId="0" applyNumberFormat="1" applyFont="1" applyFill="1" applyBorder="1" applyAlignment="1" applyProtection="1">
      <alignment horizontal="left" vertical="center" wrapText="1"/>
    </xf>
    <xf numFmtId="1" fontId="2" fillId="13" borderId="10" xfId="0" applyNumberFormat="1" applyFont="1" applyFill="1" applyBorder="1" applyAlignment="1" applyProtection="1">
      <alignment horizontal="left" vertical="center" wrapText="1"/>
    </xf>
    <xf numFmtId="1" fontId="2" fillId="13" borderId="3" xfId="0" applyNumberFormat="1" applyFont="1" applyFill="1" applyBorder="1" applyAlignment="1" applyProtection="1">
      <alignment horizontal="left" vertical="center" wrapText="1"/>
    </xf>
    <xf numFmtId="0" fontId="2" fillId="0" borderId="9" xfId="0" applyFont="1" applyBorder="1" applyAlignment="1" applyProtection="1">
      <alignment horizontal="left" vertical="center" wrapText="1"/>
    </xf>
    <xf numFmtId="0" fontId="2" fillId="0" borderId="3" xfId="0" applyFont="1" applyBorder="1" applyAlignment="1" applyProtection="1">
      <alignment horizontal="left" vertical="center" wrapText="1"/>
    </xf>
    <xf numFmtId="0" fontId="2" fillId="0" borderId="3" xfId="0" applyFont="1" applyFill="1" applyBorder="1" applyAlignment="1" applyProtection="1">
      <alignment horizontal="left" vertical="center" wrapText="1"/>
    </xf>
    <xf numFmtId="0" fontId="2" fillId="0" borderId="9" xfId="0" applyFont="1" applyFill="1" applyBorder="1" applyAlignment="1" applyProtection="1">
      <alignment horizontal="left" vertical="center" wrapText="1"/>
    </xf>
    <xf numFmtId="0" fontId="1" fillId="10" borderId="9" xfId="0" applyFont="1" applyFill="1" applyBorder="1" applyAlignment="1" applyProtection="1">
      <alignment horizontal="left" vertical="center" wrapText="1"/>
    </xf>
    <xf numFmtId="0" fontId="1" fillId="10" borderId="3" xfId="0" applyFont="1" applyFill="1" applyBorder="1" applyAlignment="1" applyProtection="1">
      <alignment horizontal="left" vertical="center" wrapText="1"/>
    </xf>
    <xf numFmtId="164" fontId="2" fillId="7" borderId="9" xfId="0" applyNumberFormat="1" applyFont="1" applyFill="1" applyBorder="1" applyAlignment="1" applyProtection="1">
      <alignment horizontal="left" vertical="center" wrapText="1"/>
    </xf>
    <xf numFmtId="164" fontId="2" fillId="7" borderId="10" xfId="0" applyNumberFormat="1" applyFont="1" applyFill="1" applyBorder="1" applyAlignment="1" applyProtection="1">
      <alignment horizontal="left" vertical="center" wrapText="1"/>
    </xf>
    <xf numFmtId="164" fontId="2" fillId="7" borderId="3" xfId="0" applyNumberFormat="1" applyFont="1" applyFill="1" applyBorder="1" applyAlignment="1" applyProtection="1">
      <alignment horizontal="left" vertical="center" wrapText="1"/>
    </xf>
    <xf numFmtId="2" fontId="2" fillId="0" borderId="9" xfId="0" applyNumberFormat="1" applyFont="1" applyBorder="1" applyAlignment="1" applyProtection="1">
      <alignment horizontal="left" vertical="center" wrapText="1"/>
    </xf>
    <xf numFmtId="2" fontId="2" fillId="0" borderId="10" xfId="0" applyNumberFormat="1" applyFont="1" applyBorder="1" applyAlignment="1" applyProtection="1">
      <alignment horizontal="left" vertical="center" wrapText="1"/>
    </xf>
    <xf numFmtId="2" fontId="2" fillId="0" borderId="3" xfId="0" applyNumberFormat="1" applyFont="1" applyBorder="1" applyAlignment="1" applyProtection="1">
      <alignment horizontal="left" vertical="center" wrapText="1"/>
    </xf>
    <xf numFmtId="164" fontId="2" fillId="0" borderId="9" xfId="0" applyNumberFormat="1" applyFont="1" applyFill="1" applyBorder="1" applyAlignment="1" applyProtection="1">
      <alignment horizontal="left" vertical="center" wrapText="1"/>
    </xf>
    <xf numFmtId="164" fontId="2" fillId="0" borderId="10" xfId="0" applyNumberFormat="1" applyFont="1" applyFill="1" applyBorder="1" applyAlignment="1" applyProtection="1">
      <alignment horizontal="left" vertical="center" wrapText="1"/>
    </xf>
    <xf numFmtId="164" fontId="2" fillId="0" borderId="3" xfId="0" applyNumberFormat="1" applyFont="1" applyFill="1" applyBorder="1" applyAlignment="1" applyProtection="1">
      <alignment horizontal="left" vertical="center" wrapText="1"/>
    </xf>
    <xf numFmtId="0" fontId="3" fillId="32" borderId="9" xfId="0" applyFont="1" applyFill="1" applyBorder="1" applyAlignment="1" applyProtection="1">
      <alignment horizontal="right" vertical="center" wrapText="1"/>
    </xf>
    <xf numFmtId="0" fontId="3" fillId="32" borderId="10" xfId="0" applyFont="1" applyFill="1" applyBorder="1" applyAlignment="1" applyProtection="1">
      <alignment horizontal="right" vertical="center" wrapText="1"/>
    </xf>
    <xf numFmtId="0" fontId="3" fillId="32" borderId="3" xfId="0" applyFont="1" applyFill="1" applyBorder="1" applyAlignment="1" applyProtection="1">
      <alignment horizontal="right" vertical="center" wrapText="1"/>
    </xf>
    <xf numFmtId="0" fontId="2" fillId="0" borderId="10" xfId="0" applyFont="1" applyBorder="1" applyAlignment="1" applyProtection="1">
      <alignment horizontal="left" vertical="center" wrapText="1"/>
    </xf>
    <xf numFmtId="0" fontId="2" fillId="0" borderId="10" xfId="0" applyFont="1" applyFill="1" applyBorder="1" applyAlignment="1" applyProtection="1">
      <alignment horizontal="left" vertical="center" wrapText="1"/>
    </xf>
    <xf numFmtId="0" fontId="2" fillId="30" borderId="8" xfId="0" applyFont="1" applyFill="1" applyBorder="1" applyAlignment="1" applyProtection="1">
      <alignment horizontal="left" vertical="top" wrapText="1"/>
    </xf>
    <xf numFmtId="164" fontId="2" fillId="7" borderId="9" xfId="0" applyNumberFormat="1" applyFont="1" applyFill="1" applyBorder="1" applyAlignment="1" applyProtection="1">
      <alignment horizontal="right" vertical="center" wrapText="1"/>
    </xf>
    <xf numFmtId="164" fontId="2" fillId="7" borderId="10" xfId="0" applyNumberFormat="1" applyFont="1" applyFill="1" applyBorder="1" applyAlignment="1" applyProtection="1">
      <alignment horizontal="right" vertical="center" wrapText="1"/>
    </xf>
    <xf numFmtId="164" fontId="2" fillId="7" borderId="3" xfId="0" applyNumberFormat="1" applyFont="1" applyFill="1" applyBorder="1" applyAlignment="1" applyProtection="1">
      <alignment horizontal="right" vertical="center" wrapText="1"/>
    </xf>
    <xf numFmtId="3" fontId="2" fillId="0" borderId="9" xfId="0" applyNumberFormat="1" applyFont="1" applyBorder="1" applyAlignment="1" applyProtection="1">
      <alignment horizontal="left" vertical="center" wrapText="1"/>
    </xf>
    <xf numFmtId="3" fontId="2" fillId="0" borderId="3" xfId="0" applyNumberFormat="1" applyFont="1" applyBorder="1" applyAlignment="1" applyProtection="1">
      <alignment horizontal="left" vertical="center" wrapText="1"/>
    </xf>
    <xf numFmtId="3" fontId="2" fillId="0" borderId="10" xfId="0" applyNumberFormat="1" applyFont="1" applyBorder="1" applyAlignment="1" applyProtection="1">
      <alignment horizontal="left" vertical="center" wrapText="1"/>
    </xf>
    <xf numFmtId="0" fontId="2" fillId="35" borderId="7" xfId="0" applyFont="1" applyFill="1" applyBorder="1" applyAlignment="1">
      <alignment horizontal="left" vertical="top" wrapText="1"/>
    </xf>
    <xf numFmtId="0" fontId="2" fillId="35" borderId="14" xfId="0" applyFont="1" applyFill="1" applyBorder="1" applyAlignment="1">
      <alignment horizontal="left" vertical="top" wrapText="1"/>
    </xf>
    <xf numFmtId="0" fontId="0" fillId="0" borderId="14" xfId="0" applyFont="1" applyBorder="1" applyAlignment="1" applyProtection="1">
      <alignment horizontal="left" vertical="center"/>
    </xf>
    <xf numFmtId="0" fontId="0" fillId="0" borderId="4" xfId="0" applyFont="1" applyBorder="1" applyAlignment="1" applyProtection="1">
      <alignment horizontal="left" vertical="center"/>
    </xf>
    <xf numFmtId="0" fontId="2" fillId="30" borderId="16" xfId="0" applyFont="1" applyFill="1" applyBorder="1" applyAlignment="1" applyProtection="1">
      <alignment horizontal="left" vertical="top" wrapText="1"/>
    </xf>
    <xf numFmtId="0" fontId="2" fillId="0" borderId="9" xfId="0" applyFont="1" applyBorder="1" applyAlignment="1" applyProtection="1">
      <alignment horizontal="left" vertical="top"/>
    </xf>
    <xf numFmtId="0" fontId="2" fillId="0" borderId="10" xfId="0" applyFont="1" applyBorder="1" applyAlignment="1" applyProtection="1">
      <alignment horizontal="left" vertical="top"/>
    </xf>
    <xf numFmtId="0" fontId="2" fillId="0" borderId="3" xfId="0" applyFont="1" applyBorder="1" applyAlignment="1" applyProtection="1">
      <alignment horizontal="left" vertical="top"/>
    </xf>
    <xf numFmtId="0" fontId="2" fillId="7" borderId="9" xfId="0" applyFont="1" applyFill="1" applyBorder="1" applyAlignment="1" applyProtection="1">
      <alignment horizontal="left" vertical="center" wrapText="1"/>
    </xf>
    <xf numFmtId="0" fontId="2" fillId="7" borderId="10" xfId="0" applyFont="1" applyFill="1" applyBorder="1" applyAlignment="1" applyProtection="1">
      <alignment horizontal="left" vertical="center" wrapText="1"/>
    </xf>
    <xf numFmtId="0" fontId="2" fillId="7" borderId="3" xfId="0" applyFont="1" applyFill="1" applyBorder="1" applyAlignment="1" applyProtection="1">
      <alignment horizontal="left" vertical="center" wrapText="1"/>
    </xf>
    <xf numFmtId="0" fontId="1" fillId="5" borderId="15" xfId="0" applyFont="1" applyFill="1" applyBorder="1" applyAlignment="1" applyProtection="1">
      <alignment horizontal="left" vertical="center" wrapText="1"/>
    </xf>
    <xf numFmtId="0" fontId="1" fillId="5" borderId="22" xfId="0" applyFont="1" applyFill="1" applyBorder="1" applyAlignment="1" applyProtection="1">
      <alignment horizontal="left" vertical="center" wrapText="1"/>
    </xf>
    <xf numFmtId="0" fontId="1" fillId="8" borderId="7" xfId="0" applyFont="1" applyFill="1" applyBorder="1" applyAlignment="1" applyProtection="1">
      <alignment horizontal="left" vertical="top" wrapText="1"/>
    </xf>
    <xf numFmtId="0" fontId="1" fillId="8" borderId="14" xfId="0" applyFont="1" applyFill="1" applyBorder="1" applyAlignment="1" applyProtection="1">
      <alignment horizontal="left" vertical="top" wrapText="1"/>
    </xf>
    <xf numFmtId="0" fontId="1" fillId="8" borderId="4" xfId="0" applyFont="1" applyFill="1" applyBorder="1" applyAlignment="1" applyProtection="1">
      <alignment horizontal="left" vertical="top" wrapText="1"/>
    </xf>
    <xf numFmtId="0" fontId="1" fillId="0" borderId="10" xfId="0" applyFont="1" applyBorder="1" applyAlignment="1" applyProtection="1">
      <alignment horizontal="left" vertical="center" wrapText="1"/>
    </xf>
    <xf numFmtId="1" fontId="2" fillId="22" borderId="9" xfId="0" applyNumberFormat="1" applyFont="1" applyFill="1" applyBorder="1" applyAlignment="1" applyProtection="1">
      <alignment horizontal="left" vertical="center" wrapText="1"/>
      <protection locked="0"/>
    </xf>
    <xf numFmtId="1" fontId="2" fillId="22" borderId="10" xfId="0" applyNumberFormat="1" applyFont="1" applyFill="1" applyBorder="1" applyAlignment="1" applyProtection="1">
      <alignment horizontal="left" vertical="center" wrapText="1"/>
      <protection locked="0"/>
    </xf>
    <xf numFmtId="1" fontId="2" fillId="22" borderId="3" xfId="0" applyNumberFormat="1" applyFont="1" applyFill="1" applyBorder="1" applyAlignment="1" applyProtection="1">
      <alignment horizontal="left" vertical="center" wrapText="1"/>
      <protection locked="0"/>
    </xf>
    <xf numFmtId="0" fontId="3" fillId="27" borderId="7" xfId="0" applyFont="1" applyFill="1" applyBorder="1" applyAlignment="1">
      <alignment vertical="center" wrapText="1"/>
    </xf>
    <xf numFmtId="0" fontId="3" fillId="27" borderId="4" xfId="0" applyFont="1" applyFill="1" applyBorder="1" applyAlignment="1">
      <alignment vertical="center" wrapText="1"/>
    </xf>
    <xf numFmtId="1" fontId="2" fillId="0" borderId="9" xfId="0" applyNumberFormat="1" applyFont="1" applyBorder="1" applyAlignment="1" applyProtection="1">
      <alignment horizontal="left" vertical="center" wrapText="1"/>
      <protection locked="0"/>
    </xf>
    <xf numFmtId="1" fontId="2" fillId="0" borderId="10" xfId="0" applyNumberFormat="1" applyFont="1" applyBorder="1" applyAlignment="1" applyProtection="1">
      <alignment horizontal="left" vertical="center" wrapText="1"/>
      <protection locked="0"/>
    </xf>
    <xf numFmtId="1" fontId="2" fillId="0" borderId="3" xfId="0" applyNumberFormat="1" applyFont="1" applyBorder="1" applyAlignment="1" applyProtection="1">
      <alignment horizontal="left" vertical="center" wrapText="1"/>
      <protection locked="0"/>
    </xf>
    <xf numFmtId="1" fontId="3" fillId="33" borderId="9" xfId="0" applyNumberFormat="1" applyFont="1" applyFill="1" applyBorder="1" applyAlignment="1" applyProtection="1">
      <alignment horizontal="left" vertical="center" wrapText="1"/>
    </xf>
    <xf numFmtId="1" fontId="3" fillId="33" borderId="10" xfId="0" applyNumberFormat="1" applyFont="1" applyFill="1" applyBorder="1" applyAlignment="1" applyProtection="1">
      <alignment horizontal="left" vertical="center" wrapText="1"/>
    </xf>
    <xf numFmtId="1" fontId="3" fillId="33" borderId="3" xfId="0" applyNumberFormat="1" applyFont="1" applyFill="1" applyBorder="1" applyAlignment="1" applyProtection="1">
      <alignment horizontal="left" vertical="center" wrapText="1"/>
    </xf>
    <xf numFmtId="0" fontId="2" fillId="0" borderId="9"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164" fontId="3" fillId="24" borderId="9" xfId="0" applyNumberFormat="1" applyFont="1" applyFill="1" applyBorder="1" applyAlignment="1" applyProtection="1">
      <alignment horizontal="right" vertical="center" wrapText="1"/>
    </xf>
    <xf numFmtId="164" fontId="3" fillId="24" borderId="10" xfId="0" applyNumberFormat="1" applyFont="1" applyFill="1" applyBorder="1" applyAlignment="1" applyProtection="1">
      <alignment horizontal="right" vertical="center" wrapText="1"/>
    </xf>
    <xf numFmtId="164" fontId="3" fillId="24" borderId="3" xfId="0" applyNumberFormat="1" applyFont="1" applyFill="1" applyBorder="1" applyAlignment="1" applyProtection="1">
      <alignment horizontal="right" vertical="center" wrapText="1"/>
    </xf>
    <xf numFmtId="0" fontId="3" fillId="33" borderId="9" xfId="0" applyFont="1" applyFill="1" applyBorder="1" applyAlignment="1" applyProtection="1">
      <alignment horizontal="left" vertical="center" wrapText="1"/>
    </xf>
    <xf numFmtId="0" fontId="3" fillId="33" borderId="10" xfId="0" applyFont="1" applyFill="1" applyBorder="1" applyAlignment="1" applyProtection="1">
      <alignment horizontal="left" vertical="center" wrapText="1"/>
    </xf>
    <xf numFmtId="0" fontId="3" fillId="33" borderId="3" xfId="0" applyFont="1" applyFill="1" applyBorder="1" applyAlignment="1" applyProtection="1">
      <alignment horizontal="left" vertical="center" wrapText="1"/>
    </xf>
    <xf numFmtId="164" fontId="2" fillId="0" borderId="9" xfId="0" applyNumberFormat="1" applyFont="1" applyBorder="1" applyAlignment="1" applyProtection="1">
      <alignment horizontal="left" vertical="center" wrapText="1"/>
      <protection locked="0"/>
    </xf>
    <xf numFmtId="164" fontId="2" fillId="0" borderId="10" xfId="0" applyNumberFormat="1" applyFont="1" applyBorder="1" applyAlignment="1" applyProtection="1">
      <alignment horizontal="left" vertical="center" wrapText="1"/>
      <protection locked="0"/>
    </xf>
    <xf numFmtId="164" fontId="2" fillId="0" borderId="3" xfId="0" applyNumberFormat="1" applyFont="1" applyBorder="1" applyAlignment="1" applyProtection="1">
      <alignment horizontal="left" vertical="center" wrapText="1"/>
      <protection locked="0"/>
    </xf>
    <xf numFmtId="164" fontId="2" fillId="24" borderId="9" xfId="0" applyNumberFormat="1" applyFont="1" applyFill="1" applyBorder="1" applyAlignment="1" applyProtection="1">
      <alignment horizontal="left" vertical="center" wrapText="1"/>
    </xf>
    <xf numFmtId="164" fontId="2" fillId="24" borderId="10" xfId="0" applyNumberFormat="1" applyFont="1" applyFill="1" applyBorder="1" applyAlignment="1" applyProtection="1">
      <alignment horizontal="left" vertical="center" wrapText="1"/>
    </xf>
    <xf numFmtId="164" fontId="2" fillId="24" borderId="3" xfId="0" applyNumberFormat="1" applyFont="1" applyFill="1" applyBorder="1" applyAlignment="1" applyProtection="1">
      <alignment horizontal="left" vertical="center" wrapText="1"/>
    </xf>
    <xf numFmtId="164" fontId="2" fillId="22" borderId="9" xfId="0" applyNumberFormat="1" applyFont="1" applyFill="1" applyBorder="1" applyAlignment="1" applyProtection="1">
      <alignment horizontal="left" vertical="center" wrapText="1"/>
      <protection locked="0"/>
    </xf>
    <xf numFmtId="164" fontId="2" fillId="22" borderId="10" xfId="0" applyNumberFormat="1" applyFont="1" applyFill="1" applyBorder="1" applyAlignment="1" applyProtection="1">
      <alignment horizontal="left" vertical="center" wrapText="1"/>
      <protection locked="0"/>
    </xf>
    <xf numFmtId="164" fontId="2" fillId="22" borderId="3" xfId="0" applyNumberFormat="1" applyFont="1" applyFill="1" applyBorder="1" applyAlignment="1" applyProtection="1">
      <alignment horizontal="left" vertical="center" wrapText="1"/>
      <protection locked="0"/>
    </xf>
    <xf numFmtId="164" fontId="23" fillId="25" borderId="9" xfId="0" applyNumberFormat="1" applyFont="1" applyFill="1" applyBorder="1" applyAlignment="1" applyProtection="1">
      <alignment horizontal="left" vertical="center" wrapText="1"/>
      <protection locked="0"/>
    </xf>
    <xf numFmtId="164" fontId="23" fillId="25" borderId="10" xfId="0" applyNumberFormat="1" applyFont="1" applyFill="1" applyBorder="1" applyAlignment="1" applyProtection="1">
      <alignment horizontal="left" vertical="center" wrapText="1"/>
      <protection locked="0"/>
    </xf>
    <xf numFmtId="164" fontId="23" fillId="25" borderId="3" xfId="0" applyNumberFormat="1" applyFont="1" applyFill="1" applyBorder="1" applyAlignment="1" applyProtection="1">
      <alignment horizontal="left" vertical="center" wrapText="1"/>
      <protection locked="0"/>
    </xf>
    <xf numFmtId="164" fontId="26" fillId="25" borderId="9" xfId="0" applyNumberFormat="1" applyFont="1" applyFill="1" applyBorder="1" applyAlignment="1" applyProtection="1">
      <alignment horizontal="left" vertical="center" wrapText="1"/>
    </xf>
    <xf numFmtId="164" fontId="26" fillId="25" borderId="10" xfId="0" applyNumberFormat="1" applyFont="1" applyFill="1" applyBorder="1" applyAlignment="1" applyProtection="1">
      <alignment horizontal="left" vertical="center" wrapText="1"/>
    </xf>
    <xf numFmtId="164" fontId="26" fillId="25" borderId="3" xfId="0" applyNumberFormat="1" applyFont="1" applyFill="1" applyBorder="1" applyAlignment="1" applyProtection="1">
      <alignment horizontal="left" vertical="center" wrapText="1"/>
    </xf>
    <xf numFmtId="164" fontId="26" fillId="25" borderId="9" xfId="0" applyNumberFormat="1" applyFont="1" applyFill="1" applyBorder="1" applyAlignment="1" applyProtection="1">
      <alignment horizontal="left" vertical="center" wrapText="1"/>
      <protection locked="0"/>
    </xf>
    <xf numFmtId="164" fontId="26" fillId="25" borderId="10" xfId="0" applyNumberFormat="1" applyFont="1" applyFill="1" applyBorder="1" applyAlignment="1" applyProtection="1">
      <alignment horizontal="left" vertical="center" wrapText="1"/>
      <protection locked="0"/>
    </xf>
    <xf numFmtId="164" fontId="26" fillId="25" borderId="3" xfId="0" applyNumberFormat="1" applyFont="1" applyFill="1" applyBorder="1" applyAlignment="1" applyProtection="1">
      <alignment horizontal="left" vertical="center" wrapText="1"/>
      <protection locked="0"/>
    </xf>
    <xf numFmtId="1" fontId="26" fillId="25" borderId="9" xfId="0" applyNumberFormat="1" applyFont="1" applyFill="1" applyBorder="1" applyAlignment="1" applyProtection="1">
      <alignment horizontal="left" vertical="center" wrapText="1"/>
    </xf>
    <xf numFmtId="0" fontId="26" fillId="25" borderId="3" xfId="0" applyFont="1" applyFill="1" applyBorder="1" applyAlignment="1" applyProtection="1">
      <alignment horizontal="left" vertical="center" wrapText="1"/>
    </xf>
    <xf numFmtId="0" fontId="26" fillId="25" borderId="9" xfId="0" applyFont="1" applyFill="1" applyBorder="1" applyAlignment="1" applyProtection="1">
      <alignment horizontal="left" vertical="center" wrapText="1"/>
      <protection locked="0"/>
    </xf>
    <xf numFmtId="0" fontId="26" fillId="25" borderId="3" xfId="0" applyFont="1" applyFill="1" applyBorder="1" applyAlignment="1" applyProtection="1">
      <alignment horizontal="left" vertical="center" wrapText="1"/>
      <protection locked="0"/>
    </xf>
    <xf numFmtId="164" fontId="2" fillId="13" borderId="9" xfId="0" applyNumberFormat="1" applyFont="1" applyFill="1" applyBorder="1" applyAlignment="1" applyProtection="1">
      <alignment horizontal="left" vertical="center" wrapText="1"/>
      <protection locked="0"/>
    </xf>
    <xf numFmtId="164" fontId="2" fillId="13" borderId="10" xfId="0" applyNumberFormat="1" applyFont="1" applyFill="1" applyBorder="1" applyAlignment="1" applyProtection="1">
      <alignment horizontal="left" vertical="center" wrapText="1"/>
      <protection locked="0"/>
    </xf>
    <xf numFmtId="164" fontId="2" fillId="13" borderId="3" xfId="0" applyNumberFormat="1" applyFont="1" applyFill="1" applyBorder="1" applyAlignment="1" applyProtection="1">
      <alignment horizontal="left" vertical="center" wrapText="1"/>
      <protection locked="0"/>
    </xf>
    <xf numFmtId="2" fontId="2" fillId="0" borderId="9" xfId="0" applyNumberFormat="1" applyFont="1" applyBorder="1" applyAlignment="1" applyProtection="1">
      <alignment horizontal="left" vertical="center" wrapText="1"/>
      <protection locked="0"/>
    </xf>
    <xf numFmtId="2" fontId="2" fillId="0" borderId="10" xfId="0" applyNumberFormat="1" applyFont="1" applyBorder="1" applyAlignment="1" applyProtection="1">
      <alignment horizontal="left" vertical="center" wrapText="1"/>
      <protection locked="0"/>
    </xf>
    <xf numFmtId="2" fontId="2" fillId="0" borderId="3" xfId="0" applyNumberFormat="1" applyFont="1" applyBorder="1" applyAlignment="1" applyProtection="1">
      <alignment horizontal="left" vertical="center" wrapText="1"/>
      <protection locked="0"/>
    </xf>
    <xf numFmtId="1" fontId="3" fillId="24" borderId="9" xfId="0" applyNumberFormat="1" applyFont="1" applyFill="1" applyBorder="1" applyAlignment="1" applyProtection="1">
      <alignment horizontal="right" vertical="center" wrapText="1"/>
    </xf>
    <xf numFmtId="1" fontId="3" fillId="24" borderId="10" xfId="0" applyNumberFormat="1" applyFont="1" applyFill="1" applyBorder="1" applyAlignment="1" applyProtection="1">
      <alignment horizontal="right" vertical="center" wrapText="1"/>
    </xf>
    <xf numFmtId="1" fontId="3" fillId="24" borderId="3" xfId="0" applyNumberFormat="1" applyFont="1" applyFill="1" applyBorder="1" applyAlignment="1" applyProtection="1">
      <alignment horizontal="right" vertical="center" wrapText="1"/>
    </xf>
    <xf numFmtId="164" fontId="3" fillId="33" borderId="9" xfId="0" applyNumberFormat="1" applyFont="1" applyFill="1" applyBorder="1" applyAlignment="1" applyProtection="1">
      <alignment horizontal="right" vertical="center" wrapText="1"/>
    </xf>
    <xf numFmtId="164" fontId="3" fillId="33" borderId="10" xfId="0" applyNumberFormat="1" applyFont="1" applyFill="1" applyBorder="1" applyAlignment="1" applyProtection="1">
      <alignment horizontal="right" vertical="center" wrapText="1"/>
    </xf>
    <xf numFmtId="164" fontId="3" fillId="33" borderId="3" xfId="0" applyNumberFormat="1" applyFont="1" applyFill="1" applyBorder="1" applyAlignment="1" applyProtection="1">
      <alignment horizontal="right" vertical="center" wrapText="1"/>
    </xf>
    <xf numFmtId="164" fontId="3" fillId="32" borderId="9" xfId="0" applyNumberFormat="1" applyFont="1" applyFill="1" applyBorder="1" applyAlignment="1" applyProtection="1">
      <alignment horizontal="right" vertical="center" wrapText="1"/>
    </xf>
    <xf numFmtId="164" fontId="3" fillId="32" borderId="10" xfId="0" applyNumberFormat="1" applyFont="1" applyFill="1" applyBorder="1" applyAlignment="1" applyProtection="1">
      <alignment horizontal="right" vertical="center" wrapText="1"/>
    </xf>
    <xf numFmtId="164" fontId="3" fillId="32" borderId="3" xfId="0" applyNumberFormat="1" applyFont="1" applyFill="1" applyBorder="1" applyAlignment="1" applyProtection="1">
      <alignment horizontal="right" vertical="center" wrapText="1"/>
    </xf>
    <xf numFmtId="1" fontId="3" fillId="32" borderId="9" xfId="0" applyNumberFormat="1" applyFont="1" applyFill="1" applyBorder="1" applyAlignment="1" applyProtection="1">
      <alignment horizontal="right" vertical="center" wrapText="1"/>
    </xf>
    <xf numFmtId="1" fontId="3" fillId="32" borderId="10" xfId="0" applyNumberFormat="1" applyFont="1" applyFill="1" applyBorder="1" applyAlignment="1" applyProtection="1">
      <alignment horizontal="right" vertical="center" wrapText="1"/>
    </xf>
    <xf numFmtId="1" fontId="3" fillId="32" borderId="3" xfId="0" applyNumberFormat="1" applyFont="1" applyFill="1" applyBorder="1" applyAlignment="1" applyProtection="1">
      <alignment horizontal="right" vertical="center" wrapText="1"/>
    </xf>
    <xf numFmtId="1" fontId="2" fillId="24" borderId="9" xfId="0" applyNumberFormat="1" applyFont="1" applyFill="1" applyBorder="1" applyAlignment="1" applyProtection="1">
      <alignment horizontal="left" vertical="center" wrapText="1"/>
    </xf>
    <xf numFmtId="1" fontId="2" fillId="24" borderId="10" xfId="0" applyNumberFormat="1" applyFont="1" applyFill="1" applyBorder="1" applyAlignment="1" applyProtection="1">
      <alignment horizontal="left" vertical="center" wrapText="1"/>
    </xf>
    <xf numFmtId="1" fontId="2" fillId="24" borderId="3" xfId="0" applyNumberFormat="1" applyFont="1" applyFill="1" applyBorder="1" applyAlignment="1" applyProtection="1">
      <alignment horizontal="left" vertical="center" wrapText="1"/>
    </xf>
    <xf numFmtId="0" fontId="3" fillId="32" borderId="9" xfId="0" applyFont="1" applyFill="1" applyBorder="1" applyAlignment="1" applyProtection="1">
      <alignment horizontal="right" vertical="center"/>
    </xf>
    <xf numFmtId="0" fontId="3" fillId="32" borderId="10" xfId="0" applyFont="1" applyFill="1" applyBorder="1" applyAlignment="1" applyProtection="1">
      <alignment horizontal="right" vertical="center"/>
    </xf>
    <xf numFmtId="0" fontId="3" fillId="32" borderId="3" xfId="0" applyFont="1" applyFill="1" applyBorder="1" applyAlignment="1" applyProtection="1">
      <alignment horizontal="right" vertical="center"/>
    </xf>
    <xf numFmtId="0" fontId="1" fillId="2" borderId="1" xfId="0" applyFont="1" applyFill="1" applyBorder="1" applyAlignment="1" applyProtection="1">
      <alignment horizontal="left" vertical="center" wrapText="1"/>
    </xf>
    <xf numFmtId="1" fontId="3" fillId="42" borderId="9" xfId="0" applyNumberFormat="1" applyFont="1" applyFill="1" applyBorder="1" applyAlignment="1">
      <alignment horizontal="left" vertical="center" wrapText="1"/>
    </xf>
    <xf numFmtId="1" fontId="3" fillId="42" borderId="10" xfId="0" applyNumberFormat="1" applyFont="1" applyFill="1" applyBorder="1" applyAlignment="1">
      <alignment horizontal="left" vertical="center" wrapText="1"/>
    </xf>
    <xf numFmtId="1" fontId="3" fillId="42" borderId="37" xfId="0" applyNumberFormat="1" applyFont="1" applyFill="1" applyBorder="1" applyAlignment="1">
      <alignment horizontal="left" vertical="center" wrapText="1"/>
    </xf>
    <xf numFmtId="1" fontId="3" fillId="42" borderId="36" xfId="0" applyNumberFormat="1" applyFont="1" applyFill="1" applyBorder="1" applyAlignment="1">
      <alignment horizontal="left" vertical="center" wrapText="1"/>
    </xf>
    <xf numFmtId="0" fontId="32" fillId="36" borderId="9" xfId="0" applyFont="1" applyFill="1" applyBorder="1" applyAlignment="1">
      <alignment horizontal="center" vertical="center" wrapText="1"/>
    </xf>
    <xf numFmtId="0" fontId="32" fillId="36" borderId="10" xfId="0" applyFont="1" applyFill="1" applyBorder="1" applyAlignment="1">
      <alignment horizontal="center" vertical="center" wrapText="1"/>
    </xf>
    <xf numFmtId="0" fontId="32" fillId="36" borderId="3" xfId="0" applyFont="1" applyFill="1" applyBorder="1" applyAlignment="1">
      <alignment horizontal="center" vertical="center" wrapText="1"/>
    </xf>
    <xf numFmtId="1" fontId="2" fillId="22" borderId="36" xfId="0" applyNumberFormat="1" applyFont="1" applyFill="1" applyBorder="1" applyAlignment="1" applyProtection="1">
      <alignment horizontal="left" vertical="center" wrapText="1"/>
      <protection locked="0"/>
    </xf>
    <xf numFmtId="0" fontId="2" fillId="13" borderId="7" xfId="0" applyFont="1" applyFill="1" applyBorder="1" applyAlignment="1" applyProtection="1">
      <alignment horizontal="left" vertical="top" wrapText="1"/>
    </xf>
    <xf numFmtId="0" fontId="2" fillId="13" borderId="14" xfId="0" applyFont="1" applyFill="1" applyBorder="1" applyAlignment="1" applyProtection="1">
      <alignment horizontal="left" vertical="top" wrapText="1"/>
    </xf>
    <xf numFmtId="0" fontId="2" fillId="13" borderId="4" xfId="0" applyFont="1" applyFill="1" applyBorder="1" applyAlignment="1" applyProtection="1">
      <alignment horizontal="left" vertical="top" wrapText="1"/>
    </xf>
    <xf numFmtId="0" fontId="2" fillId="13" borderId="7" xfId="0" applyFont="1" applyFill="1" applyBorder="1" applyAlignment="1" applyProtection="1">
      <alignment vertical="top" wrapText="1"/>
    </xf>
    <xf numFmtId="0" fontId="2" fillId="13" borderId="14" xfId="0" applyFont="1" applyFill="1" applyBorder="1" applyAlignment="1" applyProtection="1">
      <alignment vertical="top" wrapText="1"/>
    </xf>
    <xf numFmtId="0" fontId="2" fillId="13" borderId="4" xfId="0" applyFont="1" applyFill="1" applyBorder="1" applyAlignment="1" applyProtection="1">
      <alignment vertical="top" wrapText="1"/>
    </xf>
    <xf numFmtId="0" fontId="2" fillId="13" borderId="9" xfId="0" applyFont="1" applyFill="1" applyBorder="1" applyAlignment="1" applyProtection="1">
      <alignment horizontal="left" vertical="center" wrapText="1"/>
      <protection locked="0"/>
    </xf>
    <xf numFmtId="0" fontId="2" fillId="13" borderId="3" xfId="0" applyFont="1" applyFill="1" applyBorder="1" applyAlignment="1" applyProtection="1">
      <alignment horizontal="left" vertical="center" wrapText="1"/>
      <protection locked="0"/>
    </xf>
    <xf numFmtId="1" fontId="2" fillId="0" borderId="9" xfId="0" applyNumberFormat="1" applyFont="1" applyFill="1" applyBorder="1" applyAlignment="1" applyProtection="1">
      <alignment horizontal="left" vertical="center" wrapText="1"/>
      <protection locked="0"/>
    </xf>
    <xf numFmtId="1" fontId="2" fillId="0" borderId="3" xfId="0" applyNumberFormat="1" applyFont="1" applyFill="1" applyBorder="1" applyAlignment="1" applyProtection="1">
      <alignment horizontal="left" vertical="center" wrapText="1"/>
      <protection locked="0"/>
    </xf>
    <xf numFmtId="164" fontId="2" fillId="34" borderId="9" xfId="0" applyNumberFormat="1" applyFont="1" applyFill="1" applyBorder="1" applyAlignment="1" applyProtection="1">
      <alignment horizontal="left" vertical="center" wrapText="1"/>
      <protection locked="0"/>
    </xf>
    <xf numFmtId="164" fontId="2" fillId="34" borderId="10" xfId="0" applyNumberFormat="1" applyFont="1" applyFill="1" applyBorder="1" applyAlignment="1" applyProtection="1">
      <alignment horizontal="left" vertical="center" wrapText="1"/>
      <protection locked="0"/>
    </xf>
    <xf numFmtId="164" fontId="2" fillId="34" borderId="3" xfId="0" applyNumberFormat="1" applyFont="1" applyFill="1" applyBorder="1" applyAlignment="1" applyProtection="1">
      <alignment horizontal="left" vertical="center" wrapText="1"/>
      <protection locked="0"/>
    </xf>
    <xf numFmtId="164" fontId="2" fillId="39" borderId="9" xfId="0" applyNumberFormat="1" applyFont="1" applyFill="1" applyBorder="1" applyAlignment="1" applyProtection="1">
      <alignment horizontal="left" vertical="center" wrapText="1"/>
      <protection locked="0"/>
    </xf>
    <xf numFmtId="164" fontId="2" fillId="39" borderId="10" xfId="0" applyNumberFormat="1" applyFont="1" applyFill="1" applyBorder="1" applyAlignment="1" applyProtection="1">
      <alignment horizontal="left" vertical="center" wrapText="1"/>
      <protection locked="0"/>
    </xf>
    <xf numFmtId="164" fontId="2" fillId="39" borderId="3" xfId="0" applyNumberFormat="1" applyFont="1" applyFill="1" applyBorder="1" applyAlignment="1" applyProtection="1">
      <alignment horizontal="left" vertical="center" wrapText="1"/>
      <protection locked="0"/>
    </xf>
    <xf numFmtId="164" fontId="2" fillId="39" borderId="9" xfId="0" applyNumberFormat="1" applyFont="1" applyFill="1" applyBorder="1" applyAlignment="1" applyProtection="1">
      <alignment horizontal="left" vertical="center" wrapText="1"/>
    </xf>
    <xf numFmtId="164" fontId="2" fillId="39" borderId="10" xfId="0" applyNumberFormat="1" applyFont="1" applyFill="1" applyBorder="1" applyAlignment="1" applyProtection="1">
      <alignment horizontal="left" vertical="center" wrapText="1"/>
    </xf>
    <xf numFmtId="164" fontId="2" fillId="39" borderId="3" xfId="0" applyNumberFormat="1" applyFont="1" applyFill="1" applyBorder="1" applyAlignment="1" applyProtection="1">
      <alignment horizontal="left" vertical="center" wrapText="1"/>
    </xf>
    <xf numFmtId="1" fontId="45" fillId="44" borderId="9" xfId="0" applyNumberFormat="1" applyFont="1" applyFill="1" applyBorder="1" applyAlignment="1" applyProtection="1">
      <alignment horizontal="left" vertical="center" wrapText="1"/>
      <protection locked="0"/>
    </xf>
    <xf numFmtId="1" fontId="45" fillId="44" borderId="3" xfId="0" applyNumberFormat="1" applyFont="1" applyFill="1" applyBorder="1" applyAlignment="1" applyProtection="1">
      <alignment horizontal="left" vertical="center" wrapText="1"/>
      <protection locked="0"/>
    </xf>
    <xf numFmtId="1" fontId="45" fillId="44" borderId="9" xfId="0" applyNumberFormat="1" applyFont="1" applyFill="1" applyBorder="1" applyAlignment="1" applyProtection="1">
      <alignment horizontal="left" vertical="center" wrapText="1"/>
    </xf>
    <xf numFmtId="1" fontId="45" fillId="44" borderId="3" xfId="0" applyNumberFormat="1" applyFont="1" applyFill="1" applyBorder="1" applyAlignment="1" applyProtection="1">
      <alignment horizontal="left" vertical="center" wrapText="1"/>
    </xf>
    <xf numFmtId="1" fontId="2" fillId="39" borderId="9" xfId="0" applyNumberFormat="1" applyFont="1" applyFill="1" applyBorder="1" applyAlignment="1" applyProtection="1">
      <alignment horizontal="left" vertical="center" wrapText="1"/>
      <protection locked="0"/>
    </xf>
    <xf numFmtId="1" fontId="2" fillId="39" borderId="3" xfId="0" applyNumberFormat="1" applyFont="1" applyFill="1" applyBorder="1" applyAlignment="1" applyProtection="1">
      <alignment horizontal="left" vertical="center" wrapText="1"/>
      <protection locked="0"/>
    </xf>
    <xf numFmtId="164" fontId="2" fillId="0" borderId="9" xfId="0" applyNumberFormat="1" applyFont="1" applyFill="1" applyBorder="1" applyAlignment="1" applyProtection="1">
      <alignment horizontal="left" vertical="center" wrapText="1"/>
      <protection locked="0"/>
    </xf>
    <xf numFmtId="164" fontId="2" fillId="0" borderId="10" xfId="0" applyNumberFormat="1" applyFont="1" applyFill="1" applyBorder="1" applyAlignment="1" applyProtection="1">
      <alignment horizontal="left" vertical="center" wrapText="1"/>
      <protection locked="0"/>
    </xf>
    <xf numFmtId="164" fontId="2" fillId="0" borderId="3" xfId="0" applyNumberFormat="1" applyFont="1" applyFill="1" applyBorder="1" applyAlignment="1" applyProtection="1">
      <alignment horizontal="left" vertical="center" wrapText="1"/>
      <protection locked="0"/>
    </xf>
    <xf numFmtId="164" fontId="2" fillId="37" borderId="9" xfId="0" applyNumberFormat="1" applyFont="1" applyFill="1" applyBorder="1" applyAlignment="1" applyProtection="1">
      <alignment horizontal="left" vertical="center" wrapText="1"/>
      <protection locked="0"/>
    </xf>
    <xf numFmtId="164" fontId="2" fillId="37" borderId="10" xfId="0" applyNumberFormat="1" applyFont="1" applyFill="1" applyBorder="1" applyAlignment="1" applyProtection="1">
      <alignment horizontal="left" vertical="center" wrapText="1"/>
      <protection locked="0"/>
    </xf>
    <xf numFmtId="164" fontId="2" fillId="37" borderId="3" xfId="0" applyNumberFormat="1" applyFont="1" applyFill="1" applyBorder="1" applyAlignment="1" applyProtection="1">
      <alignment horizontal="left" vertical="center" wrapText="1"/>
      <protection locked="0"/>
    </xf>
    <xf numFmtId="164" fontId="2" fillId="17" borderId="9" xfId="0" applyNumberFormat="1" applyFont="1" applyFill="1" applyBorder="1" applyAlignment="1" applyProtection="1">
      <alignment horizontal="left" vertical="center" wrapText="1"/>
      <protection locked="0"/>
    </xf>
    <xf numFmtId="164" fontId="2" fillId="17" borderId="10" xfId="0" applyNumberFormat="1" applyFont="1" applyFill="1" applyBorder="1" applyAlignment="1" applyProtection="1">
      <alignment horizontal="left" vertical="center" wrapText="1"/>
      <protection locked="0"/>
    </xf>
    <xf numFmtId="164" fontId="2" fillId="17" borderId="3" xfId="0" applyNumberFormat="1" applyFont="1" applyFill="1" applyBorder="1" applyAlignment="1" applyProtection="1">
      <alignment horizontal="left" vertical="center" wrapText="1"/>
      <protection locked="0"/>
    </xf>
    <xf numFmtId="1" fontId="2" fillId="40" borderId="9" xfId="0" applyNumberFormat="1" applyFont="1" applyFill="1" applyBorder="1" applyAlignment="1" applyProtection="1">
      <alignment horizontal="left" vertical="center" wrapText="1"/>
      <protection locked="0"/>
    </xf>
    <xf numFmtId="1" fontId="2" fillId="40" borderId="10" xfId="0" applyNumberFormat="1" applyFont="1" applyFill="1" applyBorder="1" applyAlignment="1" applyProtection="1">
      <alignment horizontal="left" vertical="center" wrapText="1"/>
      <protection locked="0"/>
    </xf>
    <xf numFmtId="1" fontId="2" fillId="40" borderId="3" xfId="0" applyNumberFormat="1" applyFont="1" applyFill="1" applyBorder="1" applyAlignment="1" applyProtection="1">
      <alignment horizontal="left" vertical="center" wrapText="1"/>
      <protection locked="0"/>
    </xf>
    <xf numFmtId="1" fontId="2" fillId="22" borderId="9" xfId="0" applyNumberFormat="1" applyFont="1" applyFill="1" applyBorder="1" applyAlignment="1">
      <alignment horizontal="left" vertical="center" wrapText="1"/>
    </xf>
    <xf numFmtId="1" fontId="2" fillId="22" borderId="10" xfId="0" applyNumberFormat="1" applyFont="1" applyFill="1" applyBorder="1" applyAlignment="1">
      <alignment horizontal="left" vertical="center" wrapText="1"/>
    </xf>
    <xf numFmtId="1" fontId="2" fillId="22" borderId="37" xfId="0" applyNumberFormat="1" applyFont="1" applyFill="1" applyBorder="1" applyAlignment="1">
      <alignment horizontal="left" vertical="center" wrapText="1"/>
    </xf>
    <xf numFmtId="164" fontId="3" fillId="43" borderId="9" xfId="0" applyNumberFormat="1" applyFont="1" applyFill="1" applyBorder="1" applyAlignment="1" applyProtection="1">
      <alignment horizontal="right" vertical="center" wrapText="1"/>
    </xf>
    <xf numFmtId="164" fontId="3" fillId="43" borderId="10" xfId="0" applyNumberFormat="1" applyFont="1" applyFill="1" applyBorder="1" applyAlignment="1" applyProtection="1">
      <alignment horizontal="right" vertical="center" wrapText="1"/>
    </xf>
    <xf numFmtId="164" fontId="3" fillId="43" borderId="3" xfId="0" applyNumberFormat="1" applyFont="1" applyFill="1" applyBorder="1" applyAlignment="1" applyProtection="1">
      <alignment horizontal="right" vertical="center" wrapText="1"/>
    </xf>
    <xf numFmtId="0" fontId="2" fillId="30" borderId="15" xfId="0" applyFont="1" applyFill="1" applyBorder="1" applyAlignment="1" applyProtection="1">
      <alignment horizontal="left" vertical="top" wrapText="1"/>
    </xf>
    <xf numFmtId="0" fontId="2" fillId="30" borderId="21" xfId="0" applyFont="1" applyFill="1" applyBorder="1" applyAlignment="1" applyProtection="1">
      <alignment horizontal="left" vertical="top" wrapText="1"/>
    </xf>
    <xf numFmtId="0" fontId="1" fillId="3" borderId="9" xfId="0" applyFont="1" applyFill="1" applyBorder="1" applyAlignment="1" applyProtection="1">
      <alignment horizontal="left" vertical="center" wrapText="1"/>
    </xf>
    <xf numFmtId="0" fontId="1" fillId="3" borderId="3" xfId="0" applyFont="1" applyFill="1" applyBorder="1" applyAlignment="1" applyProtection="1">
      <alignment horizontal="left" vertical="center" wrapText="1"/>
    </xf>
    <xf numFmtId="0" fontId="2" fillId="28" borderId="9" xfId="0" applyFont="1" applyFill="1" applyBorder="1" applyAlignment="1" applyProtection="1">
      <alignment horizontal="left" vertical="top" wrapText="1"/>
    </xf>
    <xf numFmtId="0" fontId="2" fillId="28" borderId="3" xfId="0" applyFont="1" applyFill="1" applyBorder="1" applyAlignment="1" applyProtection="1">
      <alignment horizontal="left" vertical="top" wrapText="1"/>
    </xf>
    <xf numFmtId="0" fontId="1" fillId="29" borderId="9" xfId="0" applyFont="1" applyFill="1" applyBorder="1" applyAlignment="1" applyProtection="1">
      <alignment horizontal="left" vertical="center" wrapText="1"/>
    </xf>
    <xf numFmtId="0" fontId="1" fillId="29" borderId="3" xfId="0" applyFont="1" applyFill="1" applyBorder="1" applyAlignment="1" applyProtection="1">
      <alignment horizontal="left" vertical="center" wrapText="1"/>
    </xf>
    <xf numFmtId="0" fontId="2" fillId="30" borderId="9" xfId="0" applyFont="1" applyFill="1" applyBorder="1" applyAlignment="1" applyProtection="1">
      <alignment horizontal="left" vertical="top" wrapText="1"/>
    </xf>
    <xf numFmtId="0" fontId="2" fillId="30" borderId="3" xfId="0" applyFont="1" applyFill="1" applyBorder="1" applyAlignment="1" applyProtection="1">
      <alignment horizontal="left" vertical="top" wrapText="1"/>
    </xf>
    <xf numFmtId="0" fontId="2" fillId="30" borderId="2" xfId="0" applyFont="1" applyFill="1" applyBorder="1" applyAlignment="1" applyProtection="1">
      <alignment horizontal="left" vertical="top" wrapText="1"/>
    </xf>
    <xf numFmtId="0" fontId="1" fillId="3" borderId="9" xfId="0" applyNumberFormat="1" applyFont="1" applyFill="1" applyBorder="1" applyAlignment="1" applyProtection="1">
      <alignment horizontal="left" vertical="center" wrapText="1"/>
    </xf>
    <xf numFmtId="0" fontId="1" fillId="31" borderId="3" xfId="0" applyNumberFormat="1" applyFont="1" applyFill="1" applyBorder="1" applyAlignment="1" applyProtection="1">
      <alignment horizontal="left" vertical="center" wrapText="1"/>
    </xf>
    <xf numFmtId="0" fontId="2" fillId="28" borderId="16" xfId="0" applyFont="1" applyFill="1" applyBorder="1" applyAlignment="1" applyProtection="1">
      <alignment horizontal="left" vertical="top" wrapText="1"/>
    </xf>
    <xf numFmtId="0" fontId="2" fillId="28" borderId="2" xfId="0" applyFont="1" applyFill="1" applyBorder="1" applyAlignment="1" applyProtection="1">
      <alignment horizontal="left" vertical="top" wrapText="1"/>
    </xf>
    <xf numFmtId="0" fontId="2" fillId="30" borderId="6" xfId="0" applyFont="1" applyFill="1" applyBorder="1" applyAlignment="1" applyProtection="1">
      <alignment horizontal="left" vertical="top" wrapText="1"/>
    </xf>
    <xf numFmtId="0" fontId="2" fillId="28" borderId="15" xfId="0" applyFont="1" applyFill="1" applyBorder="1" applyAlignment="1" applyProtection="1">
      <alignment horizontal="left" vertical="top" wrapText="1"/>
    </xf>
    <xf numFmtId="0" fontId="2" fillId="28" borderId="21" xfId="0" applyFont="1" applyFill="1" applyBorder="1" applyAlignment="1" applyProtection="1">
      <alignment horizontal="left" vertical="top" wrapText="1"/>
    </xf>
    <xf numFmtId="0" fontId="2" fillId="28" borderId="8" xfId="0" applyFont="1" applyFill="1" applyBorder="1" applyAlignment="1" applyProtection="1">
      <alignment horizontal="left" vertical="top" wrapText="1"/>
    </xf>
    <xf numFmtId="0" fontId="2" fillId="28" borderId="6" xfId="0" applyFont="1" applyFill="1" applyBorder="1" applyAlignment="1" applyProtection="1">
      <alignment horizontal="left" vertical="top" wrapText="1"/>
    </xf>
    <xf numFmtId="0" fontId="2" fillId="0" borderId="7" xfId="0" applyFont="1" applyFill="1" applyBorder="1" applyAlignment="1" applyProtection="1">
      <alignment vertical="top" wrapText="1"/>
    </xf>
    <xf numFmtId="0" fontId="2" fillId="0" borderId="14" xfId="0" applyFont="1" applyFill="1" applyBorder="1" applyAlignment="1" applyProtection="1">
      <alignment vertical="top" wrapText="1"/>
    </xf>
    <xf numFmtId="0" fontId="2" fillId="0" borderId="4" xfId="0" applyFont="1" applyFill="1" applyBorder="1" applyAlignment="1" applyProtection="1">
      <alignment vertical="top" wrapText="1"/>
    </xf>
    <xf numFmtId="1" fontId="2" fillId="54" borderId="9" xfId="0" applyNumberFormat="1" applyFont="1" applyFill="1" applyBorder="1" applyAlignment="1" applyProtection="1">
      <alignment horizontal="left" vertical="center" wrapText="1"/>
      <protection locked="0"/>
    </xf>
    <xf numFmtId="1" fontId="2" fillId="54" borderId="10" xfId="0" applyNumberFormat="1" applyFont="1" applyFill="1" applyBorder="1" applyAlignment="1" applyProtection="1">
      <alignment horizontal="left" vertical="center" wrapText="1"/>
      <protection locked="0"/>
    </xf>
    <xf numFmtId="1" fontId="2" fillId="54" borderId="3" xfId="0" applyNumberFormat="1" applyFont="1" applyFill="1" applyBorder="1" applyAlignment="1" applyProtection="1">
      <alignment horizontal="left" vertical="center" wrapText="1"/>
      <protection locked="0"/>
    </xf>
    <xf numFmtId="0" fontId="2" fillId="0" borderId="9" xfId="0" applyFont="1" applyFill="1" applyBorder="1" applyAlignment="1" applyProtection="1">
      <alignment horizontal="left" vertical="center" wrapText="1"/>
      <protection locked="0"/>
    </xf>
    <xf numFmtId="0" fontId="2" fillId="0" borderId="3" xfId="0" applyFont="1" applyFill="1" applyBorder="1" applyAlignment="1" applyProtection="1">
      <alignment horizontal="left" vertical="center" wrapText="1"/>
      <protection locked="0"/>
    </xf>
    <xf numFmtId="1" fontId="2" fillId="22" borderId="9" xfId="0" applyNumberFormat="1" applyFont="1" applyFill="1" applyBorder="1" applyAlignment="1" applyProtection="1">
      <alignment horizontal="left" vertical="center" wrapText="1"/>
    </xf>
    <xf numFmtId="1" fontId="2" fillId="22" borderId="3" xfId="0" applyNumberFormat="1" applyFont="1" applyFill="1" applyBorder="1" applyAlignment="1" applyProtection="1">
      <alignment horizontal="left" vertical="center" wrapText="1"/>
    </xf>
    <xf numFmtId="0" fontId="3" fillId="27" borderId="7" xfId="0" applyFont="1" applyFill="1" applyBorder="1" applyAlignment="1" applyProtection="1">
      <alignment vertical="center" wrapText="1"/>
    </xf>
    <xf numFmtId="0" fontId="3" fillId="27" borderId="4" xfId="0" applyFont="1" applyFill="1" applyBorder="1" applyAlignment="1" applyProtection="1">
      <alignment vertical="center" wrapText="1"/>
    </xf>
    <xf numFmtId="0" fontId="1" fillId="13" borderId="9" xfId="0" applyFont="1" applyFill="1" applyBorder="1" applyAlignment="1" applyProtection="1">
      <alignment horizontal="left" vertical="center" wrapText="1"/>
    </xf>
    <xf numFmtId="0" fontId="1" fillId="13" borderId="10" xfId="0" applyFont="1" applyFill="1" applyBorder="1" applyAlignment="1" applyProtection="1">
      <alignment horizontal="left" vertical="center" wrapText="1"/>
    </xf>
    <xf numFmtId="0" fontId="1" fillId="13" borderId="3" xfId="0" applyFont="1" applyFill="1" applyBorder="1" applyAlignment="1" applyProtection="1">
      <alignment horizontal="left" vertical="center" wrapText="1"/>
    </xf>
    <xf numFmtId="164" fontId="2" fillId="22" borderId="9" xfId="0" applyNumberFormat="1" applyFont="1" applyFill="1" applyBorder="1" applyAlignment="1" applyProtection="1">
      <alignment horizontal="left" vertical="center" wrapText="1"/>
    </xf>
    <xf numFmtId="164" fontId="2" fillId="22" borderId="10" xfId="0" applyNumberFormat="1" applyFont="1" applyFill="1" applyBorder="1" applyAlignment="1" applyProtection="1">
      <alignment horizontal="left" vertical="center" wrapText="1"/>
    </xf>
    <xf numFmtId="164" fontId="2" fillId="22" borderId="3" xfId="0" applyNumberFormat="1" applyFont="1" applyFill="1" applyBorder="1" applyAlignment="1" applyProtection="1">
      <alignment horizontal="left" vertical="center" wrapText="1"/>
    </xf>
    <xf numFmtId="0" fontId="3" fillId="32" borderId="36" xfId="0" applyFont="1" applyFill="1" applyBorder="1" applyAlignment="1">
      <alignment horizontal="right" vertical="center"/>
    </xf>
    <xf numFmtId="0" fontId="3" fillId="32" borderId="10" xfId="0" applyFont="1" applyFill="1" applyBorder="1" applyAlignment="1">
      <alignment horizontal="right" vertical="center"/>
    </xf>
    <xf numFmtId="0" fontId="3" fillId="32" borderId="3" xfId="0" applyFont="1" applyFill="1" applyBorder="1" applyAlignment="1">
      <alignment horizontal="right" vertical="center"/>
    </xf>
    <xf numFmtId="164" fontId="3" fillId="32" borderId="9" xfId="0" applyNumberFormat="1" applyFont="1" applyFill="1" applyBorder="1" applyAlignment="1">
      <alignment horizontal="right" vertical="center" wrapText="1"/>
    </xf>
    <xf numFmtId="164" fontId="3" fillId="32" borderId="10" xfId="0" applyNumberFormat="1" applyFont="1" applyFill="1" applyBorder="1" applyAlignment="1">
      <alignment horizontal="right" vertical="center" wrapText="1"/>
    </xf>
    <xf numFmtId="164" fontId="3" fillId="32" borderId="37" xfId="0" applyNumberFormat="1" applyFont="1" applyFill="1" applyBorder="1" applyAlignment="1">
      <alignment horizontal="right" vertical="center" wrapText="1"/>
    </xf>
    <xf numFmtId="1" fontId="2" fillId="22" borderId="10" xfId="0" applyNumberFormat="1" applyFont="1" applyFill="1" applyBorder="1" applyAlignment="1" applyProtection="1">
      <alignment horizontal="left" vertical="center" wrapText="1"/>
    </xf>
    <xf numFmtId="0" fontId="32" fillId="36" borderId="37" xfId="0" applyFont="1" applyFill="1" applyBorder="1" applyAlignment="1">
      <alignment horizontal="center" vertical="center" wrapText="1"/>
    </xf>
    <xf numFmtId="0" fontId="32" fillId="36" borderId="36" xfId="0" applyFont="1" applyFill="1" applyBorder="1" applyAlignment="1">
      <alignment horizontal="center" vertical="center" wrapText="1"/>
    </xf>
    <xf numFmtId="2" fontId="2" fillId="0" borderId="9" xfId="0" applyNumberFormat="1" applyFont="1" applyFill="1" applyBorder="1" applyAlignment="1" applyProtection="1">
      <alignment horizontal="left" vertical="center" wrapText="1"/>
    </xf>
    <xf numFmtId="2" fontId="2" fillId="0" borderId="10" xfId="0" applyNumberFormat="1" applyFont="1" applyFill="1" applyBorder="1" applyAlignment="1" applyProtection="1">
      <alignment horizontal="left" vertical="center" wrapText="1"/>
    </xf>
    <xf numFmtId="2" fontId="2" fillId="0" borderId="3" xfId="0" applyNumberFormat="1" applyFont="1" applyFill="1" applyBorder="1" applyAlignment="1" applyProtection="1">
      <alignment horizontal="left" vertical="center" wrapText="1"/>
    </xf>
    <xf numFmtId="164" fontId="2" fillId="7" borderId="9" xfId="0" applyNumberFormat="1" applyFont="1" applyFill="1" applyBorder="1" applyAlignment="1" applyProtection="1">
      <alignment horizontal="right" vertical="center"/>
    </xf>
    <xf numFmtId="164" fontId="2" fillId="7" borderId="10" xfId="0" applyNumberFormat="1" applyFont="1" applyFill="1" applyBorder="1" applyAlignment="1" applyProtection="1">
      <alignment horizontal="right" vertical="center"/>
    </xf>
    <xf numFmtId="164" fontId="2" fillId="7" borderId="3" xfId="0" applyNumberFormat="1" applyFont="1" applyFill="1" applyBorder="1" applyAlignment="1" applyProtection="1">
      <alignment horizontal="right" vertical="center"/>
    </xf>
    <xf numFmtId="0" fontId="2" fillId="35" borderId="4" xfId="0" applyFont="1" applyFill="1" applyBorder="1" applyAlignment="1">
      <alignment horizontal="left" vertical="top" wrapText="1"/>
    </xf>
    <xf numFmtId="1" fontId="3" fillId="32" borderId="9" xfId="0" applyNumberFormat="1" applyFont="1" applyFill="1" applyBorder="1" applyAlignment="1" applyProtection="1">
      <alignment horizontal="left" vertical="center" wrapText="1"/>
    </xf>
    <xf numFmtId="1" fontId="3" fillId="32" borderId="10" xfId="0" applyNumberFormat="1" applyFont="1" applyFill="1" applyBorder="1" applyAlignment="1" applyProtection="1">
      <alignment horizontal="left" vertical="center" wrapText="1"/>
    </xf>
    <xf numFmtId="1" fontId="3" fillId="32" borderId="3" xfId="0" applyNumberFormat="1" applyFont="1" applyFill="1" applyBorder="1" applyAlignment="1" applyProtection="1">
      <alignment horizontal="left" vertical="center" wrapText="1"/>
    </xf>
    <xf numFmtId="0" fontId="2" fillId="22" borderId="9" xfId="0" applyFont="1" applyFill="1" applyBorder="1" applyAlignment="1" applyProtection="1">
      <alignment horizontal="left" vertical="center" wrapText="1"/>
    </xf>
    <xf numFmtId="0" fontId="2" fillId="22" borderId="3" xfId="0" applyFont="1" applyFill="1" applyBorder="1" applyAlignment="1" applyProtection="1">
      <alignment horizontal="left" vertical="center" wrapText="1"/>
    </xf>
    <xf numFmtId="164" fontId="3" fillId="32" borderId="9" xfId="0" applyNumberFormat="1" applyFont="1" applyFill="1" applyBorder="1" applyAlignment="1" applyProtection="1">
      <alignment horizontal="left" vertical="center" wrapText="1"/>
    </xf>
    <xf numFmtId="164" fontId="3" fillId="32" borderId="10" xfId="0" applyNumberFormat="1" applyFont="1" applyFill="1" applyBorder="1" applyAlignment="1" applyProtection="1">
      <alignment horizontal="left" vertical="center" wrapText="1"/>
    </xf>
    <xf numFmtId="164" fontId="3" fillId="32" borderId="3" xfId="0" applyNumberFormat="1" applyFont="1" applyFill="1" applyBorder="1" applyAlignment="1" applyProtection="1">
      <alignment horizontal="left" vertical="center" wrapText="1"/>
    </xf>
    <xf numFmtId="1" fontId="2" fillId="26" borderId="9" xfId="0" applyNumberFormat="1" applyFont="1" applyFill="1" applyBorder="1" applyAlignment="1" applyProtection="1">
      <alignment horizontal="left" vertical="center" wrapText="1"/>
    </xf>
    <xf numFmtId="1" fontId="2" fillId="26" borderId="10" xfId="0" applyNumberFormat="1" applyFont="1" applyFill="1" applyBorder="1" applyAlignment="1" applyProtection="1">
      <alignment horizontal="left" vertical="center" wrapText="1"/>
    </xf>
    <xf numFmtId="1" fontId="2" fillId="26" borderId="3" xfId="0" applyNumberFormat="1" applyFont="1" applyFill="1" applyBorder="1" applyAlignment="1" applyProtection="1">
      <alignment horizontal="left" vertical="center" wrapText="1"/>
    </xf>
    <xf numFmtId="1" fontId="2" fillId="34" borderId="9" xfId="0" applyNumberFormat="1" applyFont="1" applyFill="1" applyBorder="1" applyAlignment="1" applyProtection="1">
      <alignment horizontal="left" vertical="center" wrapText="1"/>
    </xf>
    <xf numFmtId="1" fontId="2" fillId="34" borderId="10" xfId="0" applyNumberFormat="1" applyFont="1" applyFill="1" applyBorder="1" applyAlignment="1" applyProtection="1">
      <alignment horizontal="left" vertical="center" wrapText="1"/>
    </xf>
    <xf numFmtId="1" fontId="2" fillId="34" borderId="3" xfId="0" applyNumberFormat="1" applyFont="1" applyFill="1" applyBorder="1" applyAlignment="1" applyProtection="1">
      <alignment horizontal="left" vertical="center" wrapText="1"/>
    </xf>
    <xf numFmtId="1" fontId="26" fillId="25" borderId="9" xfId="0" applyNumberFormat="1" applyFont="1" applyFill="1" applyBorder="1" applyAlignment="1" applyProtection="1">
      <alignment horizontal="left" vertical="center" wrapText="1"/>
      <protection locked="0"/>
    </xf>
    <xf numFmtId="1" fontId="41" fillId="22" borderId="9" xfId="0" applyNumberFormat="1" applyFont="1" applyFill="1" applyBorder="1" applyAlignment="1" applyProtection="1">
      <alignment horizontal="left" vertical="center" wrapText="1"/>
    </xf>
    <xf numFmtId="1" fontId="41" fillId="22" borderId="3" xfId="0" applyNumberFormat="1" applyFont="1" applyFill="1" applyBorder="1" applyAlignment="1" applyProtection="1">
      <alignment horizontal="left" vertical="center" wrapText="1"/>
    </xf>
    <xf numFmtId="0" fontId="25" fillId="59" borderId="9" xfId="0" applyFont="1" applyFill="1" applyBorder="1" applyAlignment="1" applyProtection="1">
      <alignment horizontal="left" vertical="center" wrapText="1"/>
    </xf>
    <xf numFmtId="0" fontId="25" fillId="59" borderId="3" xfId="0" applyFont="1" applyFill="1" applyBorder="1" applyAlignment="1" applyProtection="1">
      <alignment horizontal="left" vertical="center" wrapText="1"/>
    </xf>
    <xf numFmtId="164" fontId="41" fillId="22" borderId="9" xfId="0" applyNumberFormat="1" applyFont="1" applyFill="1" applyBorder="1" applyAlignment="1" applyProtection="1">
      <alignment horizontal="left" vertical="center" wrapText="1"/>
    </xf>
    <xf numFmtId="164" fontId="41" fillId="22" borderId="10" xfId="0" applyNumberFormat="1" applyFont="1" applyFill="1" applyBorder="1" applyAlignment="1" applyProtection="1">
      <alignment horizontal="left" vertical="center" wrapText="1"/>
    </xf>
    <xf numFmtId="164" fontId="41" fillId="22" borderId="3" xfId="0" applyNumberFormat="1" applyFont="1" applyFill="1" applyBorder="1" applyAlignment="1" applyProtection="1">
      <alignment horizontal="left" vertical="center" wrapText="1"/>
    </xf>
    <xf numFmtId="164" fontId="2" fillId="59" borderId="9" xfId="0" applyNumberFormat="1" applyFont="1" applyFill="1" applyBorder="1" applyAlignment="1" applyProtection="1">
      <alignment horizontal="left" vertical="center" wrapText="1"/>
    </xf>
    <xf numFmtId="164" fontId="2" fillId="59" borderId="10" xfId="0" applyNumberFormat="1" applyFont="1" applyFill="1" applyBorder="1" applyAlignment="1" applyProtection="1">
      <alignment horizontal="left" vertical="center" wrapText="1"/>
    </xf>
    <xf numFmtId="164" fontId="2" fillId="59" borderId="3" xfId="0" applyNumberFormat="1" applyFont="1" applyFill="1" applyBorder="1" applyAlignment="1" applyProtection="1">
      <alignment horizontal="left" vertical="center" wrapText="1"/>
    </xf>
    <xf numFmtId="164" fontId="2" fillId="0" borderId="9" xfId="0" applyNumberFormat="1" applyFont="1" applyBorder="1" applyAlignment="1">
      <alignment horizontal="left" vertical="center" wrapText="1"/>
    </xf>
    <xf numFmtId="164" fontId="2" fillId="0" borderId="10" xfId="0" applyNumberFormat="1" applyFont="1" applyBorder="1" applyAlignment="1">
      <alignment horizontal="left" vertical="center" wrapText="1"/>
    </xf>
    <xf numFmtId="164" fontId="2" fillId="0" borderId="3" xfId="0" applyNumberFormat="1" applyFont="1" applyBorder="1" applyAlignment="1">
      <alignment horizontal="left" vertical="center" wrapText="1"/>
    </xf>
    <xf numFmtId="164" fontId="25" fillId="59" borderId="9" xfId="0" applyNumberFormat="1" applyFont="1" applyFill="1" applyBorder="1" applyAlignment="1" applyProtection="1">
      <alignment horizontal="left" vertical="center" wrapText="1"/>
    </xf>
    <xf numFmtId="164" fontId="25" fillId="59" borderId="10" xfId="0" applyNumberFormat="1" applyFont="1" applyFill="1" applyBorder="1" applyAlignment="1" applyProtection="1">
      <alignment horizontal="left" vertical="center" wrapText="1"/>
    </xf>
    <xf numFmtId="164" fontId="25" fillId="59" borderId="3" xfId="0" applyNumberFormat="1" applyFont="1" applyFill="1" applyBorder="1" applyAlignment="1" applyProtection="1">
      <alignment horizontal="left" vertical="center" wrapText="1"/>
    </xf>
    <xf numFmtId="164" fontId="25" fillId="0" borderId="9" xfId="0" applyNumberFormat="1" applyFont="1" applyBorder="1" applyAlignment="1">
      <alignment horizontal="left" vertical="center" wrapText="1"/>
    </xf>
    <xf numFmtId="164" fontId="25" fillId="0" borderId="10" xfId="0" applyNumberFormat="1" applyFont="1" applyBorder="1" applyAlignment="1">
      <alignment horizontal="left" vertical="center" wrapText="1"/>
    </xf>
    <xf numFmtId="164" fontId="25" fillId="0" borderId="3" xfId="0" applyNumberFormat="1" applyFont="1" applyBorder="1" applyAlignment="1">
      <alignment horizontal="left" vertical="center" wrapText="1"/>
    </xf>
    <xf numFmtId="0" fontId="2" fillId="13" borderId="3" xfId="0" applyFont="1" applyFill="1" applyBorder="1" applyAlignment="1" applyProtection="1">
      <alignment horizontal="left" vertical="center" wrapText="1"/>
    </xf>
    <xf numFmtId="1" fontId="2" fillId="59" borderId="9" xfId="0" applyNumberFormat="1" applyFont="1" applyFill="1" applyBorder="1" applyAlignment="1" applyProtection="1">
      <alignment horizontal="left" vertical="center" wrapText="1"/>
    </xf>
    <xf numFmtId="1" fontId="2" fillId="59" borderId="3" xfId="0" applyNumberFormat="1" applyFont="1" applyFill="1" applyBorder="1" applyAlignment="1" applyProtection="1">
      <alignment horizontal="left" vertical="center" wrapText="1"/>
    </xf>
    <xf numFmtId="1" fontId="25" fillId="0" borderId="9" xfId="0" applyNumberFormat="1" applyFont="1" applyFill="1" applyBorder="1" applyAlignment="1" applyProtection="1">
      <alignment horizontal="left" vertical="center" wrapText="1"/>
    </xf>
    <xf numFmtId="1" fontId="25" fillId="0" borderId="3" xfId="0" applyNumberFormat="1" applyFont="1" applyFill="1" applyBorder="1" applyAlignment="1" applyProtection="1">
      <alignment horizontal="left" vertical="center" wrapText="1"/>
    </xf>
    <xf numFmtId="164" fontId="25" fillId="13" borderId="9" xfId="0" applyNumberFormat="1" applyFont="1" applyFill="1" applyBorder="1" applyAlignment="1" applyProtection="1">
      <alignment horizontal="left" vertical="center" wrapText="1"/>
    </xf>
    <xf numFmtId="164" fontId="25" fillId="13" borderId="10" xfId="0" applyNumberFormat="1" applyFont="1" applyFill="1" applyBorder="1" applyAlignment="1" applyProtection="1">
      <alignment horizontal="left" vertical="center" wrapText="1"/>
    </xf>
    <xf numFmtId="164" fontId="25" fillId="13" borderId="3" xfId="0" applyNumberFormat="1" applyFont="1" applyFill="1" applyBorder="1" applyAlignment="1" applyProtection="1">
      <alignment horizontal="left" vertical="center" wrapText="1"/>
    </xf>
    <xf numFmtId="1" fontId="41" fillId="22" borderId="10" xfId="0" applyNumberFormat="1" applyFont="1" applyFill="1" applyBorder="1" applyAlignment="1" applyProtection="1">
      <alignment horizontal="left" vertical="center" wrapText="1"/>
    </xf>
    <xf numFmtId="164" fontId="2" fillId="13" borderId="9" xfId="0" applyNumberFormat="1" applyFont="1" applyFill="1" applyBorder="1" applyAlignment="1" applyProtection="1">
      <alignment horizontal="left" vertical="center" wrapText="1"/>
    </xf>
    <xf numFmtId="164" fontId="2" fillId="13" borderId="10" xfId="0" applyNumberFormat="1" applyFont="1" applyFill="1" applyBorder="1" applyAlignment="1" applyProtection="1">
      <alignment horizontal="left" vertical="center" wrapText="1"/>
    </xf>
    <xf numFmtId="164" fontId="2" fillId="13" borderId="3" xfId="0" applyNumberFormat="1" applyFont="1" applyFill="1" applyBorder="1" applyAlignment="1" applyProtection="1">
      <alignment horizontal="left" vertical="center" wrapText="1"/>
    </xf>
    <xf numFmtId="164" fontId="25" fillId="0" borderId="9" xfId="0" applyNumberFormat="1" applyFont="1" applyBorder="1" applyAlignment="1" applyProtection="1">
      <alignment horizontal="left" vertical="center" wrapText="1"/>
    </xf>
    <xf numFmtId="164" fontId="25" fillId="0" borderId="10" xfId="0" applyNumberFormat="1" applyFont="1" applyBorder="1" applyAlignment="1" applyProtection="1">
      <alignment horizontal="left" vertical="center" wrapText="1"/>
    </xf>
    <xf numFmtId="164" fontId="25" fillId="0" borderId="3" xfId="0" applyNumberFormat="1" applyFont="1" applyBorder="1" applyAlignment="1" applyProtection="1">
      <alignment horizontal="left" vertical="center" wrapText="1"/>
    </xf>
    <xf numFmtId="0" fontId="32" fillId="36" borderId="9" xfId="0" applyFont="1" applyFill="1" applyBorder="1" applyAlignment="1" applyProtection="1">
      <alignment horizontal="center" vertical="center" wrapText="1"/>
    </xf>
    <xf numFmtId="0" fontId="32" fillId="36" borderId="10" xfId="0" applyFont="1" applyFill="1" applyBorder="1" applyAlignment="1" applyProtection="1">
      <alignment horizontal="center" vertical="center" wrapText="1"/>
    </xf>
    <xf numFmtId="0" fontId="32" fillId="36" borderId="3" xfId="0" applyFont="1" applyFill="1" applyBorder="1" applyAlignment="1" applyProtection="1">
      <alignment horizontal="center" vertical="center" wrapText="1"/>
    </xf>
    <xf numFmtId="0" fontId="1" fillId="21" borderId="7" xfId="0" applyFont="1" applyFill="1" applyBorder="1" applyAlignment="1" applyProtection="1">
      <alignment horizontal="left" vertical="center" wrapText="1"/>
    </xf>
    <xf numFmtId="0" fontId="1" fillId="21" borderId="63" xfId="0" applyFont="1" applyFill="1" applyBorder="1" applyAlignment="1" applyProtection="1">
      <alignment horizontal="left" vertical="center" wrapText="1"/>
    </xf>
    <xf numFmtId="0" fontId="1" fillId="32" borderId="9" xfId="0" applyFont="1" applyFill="1" applyBorder="1" applyAlignment="1" applyProtection="1">
      <alignment horizontal="left" vertical="center" wrapText="1"/>
    </xf>
    <xf numFmtId="0" fontId="1" fillId="32" borderId="3" xfId="0" applyFont="1" applyFill="1" applyBorder="1" applyAlignment="1" applyProtection="1">
      <alignment horizontal="left" vertical="center" wrapText="1"/>
    </xf>
    <xf numFmtId="0" fontId="1" fillId="53" borderId="15" xfId="0" applyFont="1" applyFill="1" applyBorder="1" applyAlignment="1" applyProtection="1">
      <alignment horizontal="left" vertical="center" wrapText="1"/>
    </xf>
    <xf numFmtId="0" fontId="1" fillId="53" borderId="22" xfId="0" applyFont="1" applyFill="1" applyBorder="1" applyAlignment="1" applyProtection="1">
      <alignment horizontal="left" vertical="center" wrapText="1"/>
    </xf>
    <xf numFmtId="0" fontId="1" fillId="53" borderId="64" xfId="0" applyFont="1" applyFill="1" applyBorder="1" applyAlignment="1" applyProtection="1">
      <alignment horizontal="left" vertical="center" wrapText="1"/>
    </xf>
    <xf numFmtId="0" fontId="1" fillId="53" borderId="65" xfId="0" applyFont="1" applyFill="1" applyBorder="1" applyAlignment="1" applyProtection="1">
      <alignment horizontal="left" vertical="center" wrapText="1"/>
    </xf>
    <xf numFmtId="0" fontId="1" fillId="53" borderId="66" xfId="0" applyFont="1" applyFill="1" applyBorder="1" applyAlignment="1" applyProtection="1">
      <alignment horizontal="left" vertical="center" wrapText="1"/>
    </xf>
    <xf numFmtId="0" fontId="1" fillId="53" borderId="67" xfId="0" applyFont="1" applyFill="1" applyBorder="1" applyAlignment="1" applyProtection="1">
      <alignment horizontal="left" vertical="center" wrapText="1"/>
    </xf>
    <xf numFmtId="0" fontId="56" fillId="27" borderId="7" xfId="3" applyFont="1" applyFill="1" applyBorder="1" applyAlignment="1" applyProtection="1">
      <alignment vertical="center" wrapText="1"/>
      <protection locked="0"/>
    </xf>
    <xf numFmtId="0" fontId="16" fillId="27" borderId="4" xfId="3" applyFill="1" applyBorder="1" applyAlignment="1" applyProtection="1">
      <alignment vertical="center" wrapText="1"/>
      <protection locked="0"/>
    </xf>
    <xf numFmtId="0" fontId="1" fillId="36" borderId="9" xfId="0" applyFont="1" applyFill="1" applyBorder="1" applyAlignment="1" applyProtection="1">
      <alignment horizontal="left" vertical="center" wrapText="1"/>
    </xf>
    <xf numFmtId="0" fontId="1" fillId="36" borderId="10" xfId="0" applyFont="1" applyFill="1" applyBorder="1" applyAlignment="1" applyProtection="1">
      <alignment horizontal="left" vertical="center" wrapText="1"/>
    </xf>
    <xf numFmtId="0" fontId="1" fillId="36" borderId="37" xfId="0" applyFont="1" applyFill="1" applyBorder="1" applyAlignment="1" applyProtection="1">
      <alignment horizontal="left" vertical="center" wrapText="1"/>
    </xf>
    <xf numFmtId="0" fontId="2" fillId="0" borderId="37" xfId="0" applyFont="1" applyBorder="1" applyAlignment="1" applyProtection="1">
      <alignment horizontal="left" vertical="top" wrapText="1"/>
    </xf>
    <xf numFmtId="0" fontId="1" fillId="21" borderId="4" xfId="0" applyFont="1" applyFill="1" applyBorder="1" applyAlignment="1" applyProtection="1">
      <alignment horizontal="left" vertical="center" wrapText="1"/>
    </xf>
    <xf numFmtId="0" fontId="1" fillId="32" borderId="10" xfId="0" applyFont="1" applyFill="1" applyBorder="1" applyAlignment="1" applyProtection="1">
      <alignment horizontal="left" vertical="center" wrapText="1"/>
    </xf>
    <xf numFmtId="0" fontId="1" fillId="32" borderId="37" xfId="0" applyFont="1" applyFill="1" applyBorder="1" applyAlignment="1" applyProtection="1">
      <alignment horizontal="left" vertical="center" wrapText="1"/>
    </xf>
    <xf numFmtId="0" fontId="1" fillId="32" borderId="36" xfId="0" applyFont="1" applyFill="1" applyBorder="1" applyAlignment="1" applyProtection="1">
      <alignment horizontal="left" vertical="center" wrapText="1"/>
    </xf>
    <xf numFmtId="3" fontId="2" fillId="0" borderId="37" xfId="0" applyNumberFormat="1" applyFont="1" applyBorder="1" applyAlignment="1" applyProtection="1">
      <alignment horizontal="left" vertical="center" wrapText="1"/>
    </xf>
    <xf numFmtId="3" fontId="2" fillId="0" borderId="36" xfId="0" applyNumberFormat="1" applyFont="1" applyBorder="1" applyAlignment="1" applyProtection="1">
      <alignment horizontal="left" vertical="center" wrapText="1"/>
    </xf>
    <xf numFmtId="0" fontId="1" fillId="36" borderId="36" xfId="0" applyFont="1" applyFill="1" applyBorder="1" applyAlignment="1" applyProtection="1">
      <alignment horizontal="left" vertical="center" wrapText="1"/>
    </xf>
    <xf numFmtId="1" fontId="3" fillId="42" borderId="9" xfId="0" applyNumberFormat="1" applyFont="1" applyFill="1" applyBorder="1" applyAlignment="1" applyProtection="1">
      <alignment horizontal="left" vertical="center" wrapText="1"/>
    </xf>
    <xf numFmtId="1" fontId="3" fillId="42" borderId="10" xfId="0" applyNumberFormat="1" applyFont="1" applyFill="1" applyBorder="1" applyAlignment="1" applyProtection="1">
      <alignment horizontal="left" vertical="center" wrapText="1"/>
    </xf>
    <xf numFmtId="1" fontId="3" fillId="42" borderId="37" xfId="0" applyNumberFormat="1" applyFont="1" applyFill="1" applyBorder="1" applyAlignment="1" applyProtection="1">
      <alignment horizontal="left" vertical="center" wrapText="1"/>
    </xf>
    <xf numFmtId="0" fontId="53" fillId="27" borderId="7" xfId="3" applyFont="1" applyFill="1" applyBorder="1" applyAlignment="1" applyProtection="1">
      <alignment vertical="center" wrapText="1"/>
      <protection locked="0"/>
    </xf>
    <xf numFmtId="0" fontId="53" fillId="27" borderId="4" xfId="3" applyFont="1" applyFill="1" applyBorder="1" applyAlignment="1" applyProtection="1">
      <alignment vertical="center" wrapText="1"/>
      <protection locked="0"/>
    </xf>
    <xf numFmtId="0" fontId="1" fillId="36" borderId="3" xfId="0" applyFont="1" applyFill="1" applyBorder="1" applyAlignment="1" applyProtection="1">
      <alignment horizontal="left" vertical="center" wrapText="1"/>
    </xf>
    <xf numFmtId="1" fontId="2" fillId="0" borderId="36" xfId="0" applyNumberFormat="1" applyFont="1" applyFill="1" applyBorder="1" applyAlignment="1" applyProtection="1">
      <alignment horizontal="left" vertical="center" wrapText="1"/>
    </xf>
    <xf numFmtId="1" fontId="2" fillId="0" borderId="37" xfId="0" applyNumberFormat="1" applyFont="1" applyFill="1" applyBorder="1" applyAlignment="1" applyProtection="1">
      <alignment horizontal="left" vertical="center" wrapText="1"/>
    </xf>
    <xf numFmtId="0" fontId="2" fillId="0" borderId="63" xfId="0" applyFont="1" applyFill="1" applyBorder="1" applyAlignment="1" applyProtection="1">
      <alignment horizontal="left" vertical="top" wrapText="1"/>
    </xf>
    <xf numFmtId="1" fontId="3" fillId="42" borderId="36" xfId="0" applyNumberFormat="1" applyFont="1" applyFill="1" applyBorder="1" applyAlignment="1" applyProtection="1">
      <alignment horizontal="left" vertical="center" wrapText="1"/>
    </xf>
    <xf numFmtId="1" fontId="2" fillId="0" borderId="36" xfId="0" applyNumberFormat="1" applyFont="1" applyBorder="1" applyAlignment="1" applyProtection="1">
      <alignment horizontal="left" vertical="center" wrapText="1"/>
    </xf>
    <xf numFmtId="0" fontId="16" fillId="27" borderId="7" xfId="3" applyFill="1" applyBorder="1" applyAlignment="1" applyProtection="1">
      <alignment vertical="center" wrapText="1"/>
      <protection locked="0"/>
    </xf>
    <xf numFmtId="0" fontId="2" fillId="35" borderId="7" xfId="0" applyFont="1" applyFill="1" applyBorder="1" applyAlignment="1" applyProtection="1">
      <alignment horizontal="left" vertical="top" wrapText="1"/>
    </xf>
    <xf numFmtId="0" fontId="2" fillId="35" borderId="14" xfId="0" applyFont="1" applyFill="1" applyBorder="1" applyAlignment="1" applyProtection="1">
      <alignment horizontal="left" vertical="top" wrapText="1"/>
    </xf>
    <xf numFmtId="0" fontId="2" fillId="35" borderId="63" xfId="0" applyFont="1" applyFill="1" applyBorder="1" applyAlignment="1" applyProtection="1">
      <alignment horizontal="left" vertical="top" wrapText="1"/>
    </xf>
    <xf numFmtId="0" fontId="1" fillId="0" borderId="9" xfId="0" applyFont="1" applyBorder="1" applyAlignment="1" applyProtection="1">
      <alignment horizontal="left" vertical="center" wrapText="1"/>
      <protection locked="0"/>
    </xf>
    <xf numFmtId="0" fontId="1" fillId="0" borderId="3" xfId="0" applyFont="1" applyBorder="1" applyAlignment="1" applyProtection="1">
      <alignment horizontal="left" vertical="center" wrapText="1"/>
      <protection locked="0"/>
    </xf>
    <xf numFmtId="0" fontId="3" fillId="27" borderId="7" xfId="3" applyFont="1" applyFill="1" applyBorder="1" applyAlignment="1" applyProtection="1">
      <alignment vertical="center" wrapText="1"/>
      <protection locked="0"/>
    </xf>
    <xf numFmtId="0" fontId="3" fillId="27" borderId="4" xfId="3" applyFont="1" applyFill="1" applyBorder="1" applyAlignment="1" applyProtection="1">
      <alignment vertical="center" wrapText="1"/>
      <protection locked="0"/>
    </xf>
    <xf numFmtId="0" fontId="2" fillId="55" borderId="9" xfId="0" applyFont="1" applyFill="1" applyBorder="1" applyAlignment="1" applyProtection="1">
      <alignment horizontal="left" vertical="center" wrapText="1"/>
    </xf>
    <xf numFmtId="0" fontId="2" fillId="55" borderId="3" xfId="0" applyFont="1" applyFill="1" applyBorder="1" applyAlignment="1" applyProtection="1">
      <alignment horizontal="left" vertical="center" wrapText="1"/>
    </xf>
    <xf numFmtId="164" fontId="2" fillId="55" borderId="9" xfId="0" applyNumberFormat="1" applyFont="1" applyFill="1" applyBorder="1" applyAlignment="1" applyProtection="1">
      <alignment horizontal="left" vertical="center" wrapText="1"/>
    </xf>
    <xf numFmtId="164" fontId="2" fillId="55" borderId="10" xfId="0" applyNumberFormat="1" applyFont="1" applyFill="1" applyBorder="1" applyAlignment="1" applyProtection="1">
      <alignment horizontal="left" vertical="center" wrapText="1"/>
    </xf>
    <xf numFmtId="164" fontId="2" fillId="55" borderId="3" xfId="0" applyNumberFormat="1" applyFont="1" applyFill="1" applyBorder="1" applyAlignment="1" applyProtection="1">
      <alignment horizontal="left" vertical="center" wrapText="1"/>
    </xf>
    <xf numFmtId="164" fontId="3" fillId="7" borderId="9" xfId="0" applyNumberFormat="1" applyFont="1" applyFill="1" applyBorder="1" applyAlignment="1" applyProtection="1">
      <alignment horizontal="right" vertical="center" wrapText="1"/>
    </xf>
    <xf numFmtId="164" fontId="3" fillId="7" borderId="10" xfId="0" applyNumberFormat="1" applyFont="1" applyFill="1" applyBorder="1" applyAlignment="1" applyProtection="1">
      <alignment horizontal="right" vertical="center" wrapText="1"/>
    </xf>
    <xf numFmtId="164" fontId="3" fillId="7" borderId="3" xfId="0" applyNumberFormat="1" applyFont="1" applyFill="1" applyBorder="1" applyAlignment="1" applyProtection="1">
      <alignment horizontal="right" vertical="center" wrapText="1"/>
    </xf>
    <xf numFmtId="164" fontId="2" fillId="56" borderId="9" xfId="0" applyNumberFormat="1" applyFont="1" applyFill="1" applyBorder="1" applyAlignment="1" applyProtection="1">
      <alignment horizontal="left" vertical="center" wrapText="1"/>
    </xf>
    <xf numFmtId="164" fontId="2" fillId="56" borderId="10" xfId="0" applyNumberFormat="1" applyFont="1" applyFill="1" applyBorder="1" applyAlignment="1" applyProtection="1">
      <alignment horizontal="left" vertical="center" wrapText="1"/>
    </xf>
    <xf numFmtId="164" fontId="2" fillId="56" borderId="3" xfId="0" applyNumberFormat="1" applyFont="1" applyFill="1" applyBorder="1" applyAlignment="1" applyProtection="1">
      <alignment horizontal="left" vertical="center" wrapText="1"/>
    </xf>
    <xf numFmtId="0" fontId="2" fillId="56" borderId="9" xfId="0" applyFont="1" applyFill="1" applyBorder="1" applyAlignment="1" applyProtection="1">
      <alignment horizontal="left" vertical="center" wrapText="1"/>
    </xf>
    <xf numFmtId="0" fontId="2" fillId="56" borderId="3" xfId="0" applyFont="1" applyFill="1" applyBorder="1" applyAlignment="1" applyProtection="1">
      <alignment horizontal="left" vertical="center" wrapText="1"/>
    </xf>
    <xf numFmtId="0" fontId="2" fillId="55" borderId="10" xfId="0" applyFont="1" applyFill="1" applyBorder="1" applyAlignment="1" applyProtection="1">
      <alignment horizontal="left" vertical="center" wrapText="1"/>
    </xf>
    <xf numFmtId="3" fontId="1" fillId="0" borderId="9" xfId="0" applyNumberFormat="1" applyFont="1" applyBorder="1" applyAlignment="1" applyProtection="1">
      <alignment horizontal="left" vertical="center" wrapText="1"/>
    </xf>
    <xf numFmtId="164" fontId="2" fillId="57" borderId="9" xfId="0" applyNumberFormat="1" applyFont="1" applyFill="1" applyBorder="1" applyAlignment="1">
      <alignment horizontal="left" vertical="center" wrapText="1"/>
    </xf>
    <xf numFmtId="164" fontId="2" fillId="57" borderId="10" xfId="0" applyNumberFormat="1" applyFont="1" applyFill="1" applyBorder="1" applyAlignment="1">
      <alignment horizontal="left" vertical="center" wrapText="1"/>
    </xf>
    <xf numFmtId="164" fontId="2" fillId="57" borderId="3" xfId="0" applyNumberFormat="1" applyFont="1" applyFill="1" applyBorder="1" applyAlignment="1">
      <alignment horizontal="left" vertical="center" wrapText="1"/>
    </xf>
    <xf numFmtId="49" fontId="3" fillId="27" borderId="7" xfId="3" applyNumberFormat="1" applyFont="1" applyFill="1" applyBorder="1" applyAlignment="1" applyProtection="1">
      <alignment vertical="center" wrapText="1"/>
      <protection locked="0"/>
    </xf>
    <xf numFmtId="49" fontId="3" fillId="27" borderId="4" xfId="3" applyNumberFormat="1" applyFont="1" applyFill="1" applyBorder="1" applyAlignment="1" applyProtection="1">
      <alignment vertical="center" wrapText="1"/>
      <protection locked="0"/>
    </xf>
    <xf numFmtId="1" fontId="2" fillId="0" borderId="10" xfId="0" applyNumberFormat="1" applyFont="1" applyFill="1" applyBorder="1" applyAlignment="1" applyProtection="1">
      <alignment horizontal="left" vertical="center" wrapText="1"/>
      <protection locked="0"/>
    </xf>
    <xf numFmtId="0" fontId="2" fillId="59" borderId="9" xfId="0" applyFont="1" applyFill="1" applyBorder="1" applyAlignment="1" applyProtection="1">
      <alignment horizontal="left" vertical="center" wrapText="1"/>
      <protection locked="0"/>
    </xf>
    <xf numFmtId="0" fontId="2" fillId="59" borderId="3" xfId="0" applyFont="1" applyFill="1" applyBorder="1" applyAlignment="1" applyProtection="1">
      <alignment horizontal="left" vertical="center" wrapText="1"/>
      <protection locked="0"/>
    </xf>
    <xf numFmtId="164" fontId="2" fillId="59" borderId="9" xfId="0" applyNumberFormat="1" applyFont="1" applyFill="1" applyBorder="1" applyAlignment="1" applyProtection="1">
      <alignment horizontal="left" vertical="center" wrapText="1"/>
      <protection locked="0"/>
    </xf>
    <xf numFmtId="164" fontId="2" fillId="59" borderId="10" xfId="0" applyNumberFormat="1" applyFont="1" applyFill="1" applyBorder="1" applyAlignment="1" applyProtection="1">
      <alignment horizontal="left" vertical="center" wrapText="1"/>
      <protection locked="0"/>
    </xf>
    <xf numFmtId="164" fontId="2" fillId="59" borderId="3" xfId="0" applyNumberFormat="1" applyFont="1" applyFill="1" applyBorder="1" applyAlignment="1" applyProtection="1">
      <alignment horizontal="left" vertical="center" wrapText="1"/>
      <protection locked="0"/>
    </xf>
    <xf numFmtId="0" fontId="2" fillId="60" borderId="9" xfId="0" applyFont="1" applyFill="1" applyBorder="1" applyAlignment="1" applyProtection="1">
      <alignment horizontal="left" vertical="center" wrapText="1"/>
      <protection locked="0"/>
    </xf>
    <xf numFmtId="0" fontId="2" fillId="60" borderId="3" xfId="0" applyFont="1" applyFill="1" applyBorder="1" applyAlignment="1" applyProtection="1">
      <alignment horizontal="left" vertical="center" wrapText="1"/>
      <protection locked="0"/>
    </xf>
    <xf numFmtId="0" fontId="2" fillId="59" borderId="10" xfId="0" applyFont="1" applyFill="1" applyBorder="1" applyAlignment="1" applyProtection="1">
      <alignment horizontal="left" vertical="center" wrapText="1"/>
      <protection locked="0"/>
    </xf>
    <xf numFmtId="0" fontId="2" fillId="0" borderId="10" xfId="0" applyFont="1" applyBorder="1" applyAlignment="1" applyProtection="1">
      <alignment horizontal="left" vertical="center" wrapText="1"/>
      <protection locked="0"/>
    </xf>
    <xf numFmtId="0" fontId="2" fillId="59" borderId="9" xfId="0" applyFont="1" applyFill="1" applyBorder="1" applyAlignment="1" applyProtection="1">
      <alignment horizontal="left" vertical="center" wrapText="1"/>
    </xf>
    <xf numFmtId="0" fontId="2" fillId="59" borderId="3" xfId="0" applyFont="1" applyFill="1" applyBorder="1" applyAlignment="1" applyProtection="1">
      <alignment horizontal="left" vertical="center" wrapText="1"/>
    </xf>
    <xf numFmtId="164" fontId="2" fillId="60" borderId="9" xfId="0" applyNumberFormat="1" applyFont="1" applyFill="1" applyBorder="1" applyAlignment="1" applyProtection="1">
      <alignment horizontal="left" vertical="center" wrapText="1"/>
    </xf>
    <xf numFmtId="164" fontId="2" fillId="60" borderId="10" xfId="0" applyNumberFormat="1" applyFont="1" applyFill="1" applyBorder="1" applyAlignment="1" applyProtection="1">
      <alignment horizontal="left" vertical="center" wrapText="1"/>
    </xf>
    <xf numFmtId="164" fontId="2" fillId="60" borderId="3" xfId="0" applyNumberFormat="1" applyFont="1" applyFill="1" applyBorder="1" applyAlignment="1" applyProtection="1">
      <alignment horizontal="left" vertical="center" wrapText="1"/>
    </xf>
    <xf numFmtId="0" fontId="56" fillId="27" borderId="7" xfId="3" applyFont="1" applyFill="1" applyBorder="1" applyAlignment="1" applyProtection="1">
      <alignment vertical="center" wrapText="1"/>
    </xf>
    <xf numFmtId="0" fontId="16" fillId="27" borderId="4" xfId="3" applyFill="1" applyBorder="1" applyAlignment="1" applyProtection="1">
      <alignment vertical="center" wrapText="1"/>
    </xf>
    <xf numFmtId="0" fontId="53" fillId="27" borderId="7" xfId="3" applyFont="1" applyFill="1" applyBorder="1" applyAlignment="1" applyProtection="1">
      <alignment vertical="center" wrapText="1"/>
    </xf>
    <xf numFmtId="0" fontId="53" fillId="27" borderId="4" xfId="3" applyFont="1" applyFill="1" applyBorder="1" applyAlignment="1" applyProtection="1">
      <alignment vertical="center" wrapText="1"/>
    </xf>
    <xf numFmtId="0" fontId="16" fillId="27" borderId="7" xfId="3" applyFill="1" applyBorder="1" applyAlignment="1" applyProtection="1">
      <alignment vertical="center" wrapText="1"/>
    </xf>
    <xf numFmtId="0" fontId="2" fillId="61" borderId="9" xfId="0" applyFont="1" applyFill="1" applyBorder="1" applyAlignment="1" applyProtection="1">
      <alignment horizontal="left" vertical="center" wrapText="1"/>
    </xf>
    <xf numFmtId="0" fontId="2" fillId="61" borderId="3" xfId="0" applyFont="1" applyFill="1" applyBorder="1" applyAlignment="1" applyProtection="1">
      <alignment horizontal="left" vertical="center" wrapText="1"/>
    </xf>
    <xf numFmtId="0" fontId="2" fillId="59" borderId="10" xfId="0" applyFont="1" applyFill="1" applyBorder="1" applyAlignment="1" applyProtection="1">
      <alignment horizontal="left" vertical="center" wrapText="1"/>
    </xf>
    <xf numFmtId="164" fontId="2" fillId="61" borderId="9" xfId="0" applyNumberFormat="1" applyFont="1" applyFill="1" applyBorder="1" applyAlignment="1" applyProtection="1">
      <alignment horizontal="left" vertical="center" wrapText="1"/>
    </xf>
    <xf numFmtId="164" fontId="2" fillId="61" borderId="10" xfId="0" applyNumberFormat="1" applyFont="1" applyFill="1" applyBorder="1" applyAlignment="1" applyProtection="1">
      <alignment horizontal="left" vertical="center" wrapText="1"/>
    </xf>
    <xf numFmtId="164" fontId="2" fillId="61" borderId="3" xfId="0" applyNumberFormat="1" applyFont="1" applyFill="1" applyBorder="1" applyAlignment="1" applyProtection="1">
      <alignment horizontal="left" vertical="center" wrapText="1"/>
    </xf>
    <xf numFmtId="0" fontId="2" fillId="62" borderId="9" xfId="0" applyFont="1" applyFill="1" applyBorder="1" applyAlignment="1" applyProtection="1">
      <alignment horizontal="left" vertical="center" wrapText="1"/>
    </xf>
    <xf numFmtId="0" fontId="2" fillId="62" borderId="10" xfId="0" applyFont="1" applyFill="1" applyBorder="1" applyAlignment="1" applyProtection="1">
      <alignment horizontal="left" vertical="center" wrapText="1"/>
    </xf>
    <xf numFmtId="0" fontId="2" fillId="62" borderId="3" xfId="0" applyFont="1" applyFill="1" applyBorder="1" applyAlignment="1" applyProtection="1">
      <alignment horizontal="left" vertical="center" wrapText="1"/>
    </xf>
    <xf numFmtId="1" fontId="2" fillId="55" borderId="9" xfId="0" applyNumberFormat="1" applyFont="1" applyFill="1" applyBorder="1" applyAlignment="1" applyProtection="1">
      <alignment horizontal="left" vertical="center" wrapText="1"/>
    </xf>
    <xf numFmtId="0" fontId="2" fillId="63" borderId="9" xfId="0" applyFont="1" applyFill="1" applyBorder="1" applyAlignment="1" applyProtection="1">
      <alignment horizontal="left" vertical="center" wrapText="1"/>
      <protection locked="0"/>
    </xf>
    <xf numFmtId="0" fontId="2" fillId="63" borderId="10" xfId="0" applyFont="1" applyFill="1" applyBorder="1" applyAlignment="1" applyProtection="1">
      <alignment horizontal="left" vertical="center" wrapText="1"/>
      <protection locked="0"/>
    </xf>
    <xf numFmtId="0" fontId="2" fillId="63" borderId="3" xfId="0" applyFont="1" applyFill="1" applyBorder="1" applyAlignment="1" applyProtection="1">
      <alignment horizontal="left" vertical="center" wrapText="1"/>
      <protection locked="0"/>
    </xf>
    <xf numFmtId="164" fontId="2" fillId="63" borderId="9" xfId="0" applyNumberFormat="1" applyFont="1" applyFill="1" applyBorder="1" applyAlignment="1" applyProtection="1">
      <alignment horizontal="left" vertical="center" wrapText="1"/>
    </xf>
    <xf numFmtId="164" fontId="2" fillId="63" borderId="10" xfId="0" applyNumberFormat="1" applyFont="1" applyFill="1" applyBorder="1" applyAlignment="1" applyProtection="1">
      <alignment horizontal="left" vertical="center" wrapText="1"/>
    </xf>
    <xf numFmtId="164" fontId="2" fillId="63" borderId="3" xfId="0" applyNumberFormat="1" applyFont="1" applyFill="1" applyBorder="1" applyAlignment="1" applyProtection="1">
      <alignment horizontal="left" vertical="center" wrapText="1"/>
    </xf>
    <xf numFmtId="0" fontId="3" fillId="32" borderId="9" xfId="0" applyFont="1" applyFill="1" applyBorder="1" applyAlignment="1">
      <alignment horizontal="right" vertical="center" wrapText="1"/>
    </xf>
    <xf numFmtId="0" fontId="3" fillId="32" borderId="10" xfId="0" applyFont="1" applyFill="1" applyBorder="1" applyAlignment="1">
      <alignment horizontal="right" vertical="center" wrapText="1"/>
    </xf>
    <xf numFmtId="0" fontId="3" fillId="32" borderId="37" xfId="0" applyFont="1" applyFill="1" applyBorder="1" applyAlignment="1">
      <alignment horizontal="right" vertical="center" wrapText="1"/>
    </xf>
    <xf numFmtId="0" fontId="3" fillId="32" borderId="3" xfId="0" applyFont="1" applyFill="1" applyBorder="1" applyAlignment="1">
      <alignment horizontal="right" vertical="center" wrapText="1"/>
    </xf>
    <xf numFmtId="164" fontId="2" fillId="67" borderId="9" xfId="0" applyNumberFormat="1" applyFont="1" applyFill="1" applyBorder="1" applyAlignment="1">
      <alignment horizontal="left" vertical="center" wrapText="1"/>
    </xf>
    <xf numFmtId="164" fontId="2" fillId="67" borderId="10" xfId="0" applyNumberFormat="1" applyFont="1" applyFill="1" applyBorder="1" applyAlignment="1">
      <alignment horizontal="left" vertical="center" wrapText="1"/>
    </xf>
    <xf numFmtId="164" fontId="2" fillId="67" borderId="3" xfId="0" applyNumberFormat="1" applyFont="1" applyFill="1" applyBorder="1" applyAlignment="1">
      <alignment horizontal="left" vertical="center" wrapText="1"/>
    </xf>
    <xf numFmtId="0" fontId="2" fillId="64" borderId="9" xfId="0" applyFont="1" applyFill="1" applyBorder="1" applyAlignment="1" applyProtection="1">
      <alignment horizontal="left" vertical="center" wrapText="1"/>
    </xf>
    <xf numFmtId="0" fontId="2" fillId="64" borderId="3" xfId="0" applyFont="1" applyFill="1" applyBorder="1" applyAlignment="1" applyProtection="1">
      <alignment horizontal="left" vertical="center" wrapText="1"/>
    </xf>
    <xf numFmtId="164" fontId="2" fillId="64" borderId="9" xfId="0" applyNumberFormat="1" applyFont="1" applyFill="1" applyBorder="1" applyAlignment="1" applyProtection="1">
      <alignment horizontal="left" vertical="center" wrapText="1"/>
    </xf>
    <xf numFmtId="164" fontId="2" fillId="64" borderId="10" xfId="0" applyNumberFormat="1" applyFont="1" applyFill="1" applyBorder="1" applyAlignment="1" applyProtection="1">
      <alignment horizontal="left" vertical="center" wrapText="1"/>
    </xf>
    <xf numFmtId="164" fontId="2" fillId="64" borderId="3" xfId="0" applyNumberFormat="1" applyFont="1" applyFill="1" applyBorder="1" applyAlignment="1" applyProtection="1">
      <alignment horizontal="left" vertical="center" wrapText="1"/>
    </xf>
    <xf numFmtId="164" fontId="2" fillId="32" borderId="9" xfId="0" applyNumberFormat="1" applyFont="1" applyFill="1" applyBorder="1" applyAlignment="1">
      <alignment horizontal="left" vertical="center" wrapText="1"/>
    </xf>
    <xf numFmtId="164" fontId="2" fillId="32" borderId="10" xfId="0" applyNumberFormat="1" applyFont="1" applyFill="1" applyBorder="1" applyAlignment="1">
      <alignment horizontal="left" vertical="center" wrapText="1"/>
    </xf>
    <xf numFmtId="164" fontId="2" fillId="32" borderId="37" xfId="0" applyNumberFormat="1" applyFont="1" applyFill="1" applyBorder="1" applyAlignment="1">
      <alignment horizontal="left" vertical="center" wrapText="1"/>
    </xf>
    <xf numFmtId="164" fontId="2" fillId="32" borderId="36" xfId="0" applyNumberFormat="1" applyFont="1" applyFill="1" applyBorder="1" applyAlignment="1">
      <alignment horizontal="left" vertical="center" wrapText="1"/>
    </xf>
    <xf numFmtId="164" fontId="2" fillId="32" borderId="3" xfId="0" applyNumberFormat="1" applyFont="1" applyFill="1" applyBorder="1" applyAlignment="1">
      <alignment horizontal="left" vertical="center" wrapText="1"/>
    </xf>
    <xf numFmtId="0" fontId="2" fillId="13" borderId="9" xfId="0" applyFont="1" applyFill="1" applyBorder="1" applyAlignment="1" applyProtection="1">
      <alignment horizontal="left" vertical="center" wrapText="1"/>
    </xf>
    <xf numFmtId="0" fontId="65" fillId="32" borderId="9" xfId="0" applyFont="1" applyFill="1" applyBorder="1" applyAlignment="1" applyProtection="1">
      <alignment horizontal="right" vertical="center" wrapText="1"/>
    </xf>
    <xf numFmtId="0" fontId="65" fillId="32" borderId="10" xfId="0" applyFont="1" applyFill="1" applyBorder="1" applyAlignment="1" applyProtection="1">
      <alignment horizontal="right" vertical="center" wrapText="1"/>
    </xf>
    <xf numFmtId="0" fontId="65" fillId="32" borderId="3" xfId="0" applyFont="1" applyFill="1" applyBorder="1" applyAlignment="1" applyProtection="1">
      <alignment horizontal="right" vertical="center" wrapText="1"/>
    </xf>
    <xf numFmtId="0" fontId="3" fillId="32" borderId="36" xfId="0" applyFont="1" applyFill="1" applyBorder="1" applyAlignment="1">
      <alignment horizontal="right" vertical="center" wrapText="1"/>
    </xf>
    <xf numFmtId="164" fontId="2" fillId="32" borderId="9" xfId="0" applyNumberFormat="1" applyFont="1" applyFill="1" applyBorder="1" applyAlignment="1" applyProtection="1">
      <alignment horizontal="left" vertical="center" wrapText="1"/>
    </xf>
    <xf numFmtId="164" fontId="2" fillId="32" borderId="10" xfId="0" applyNumberFormat="1" applyFont="1" applyFill="1" applyBorder="1" applyAlignment="1" applyProtection="1">
      <alignment horizontal="left" vertical="center" wrapText="1"/>
    </xf>
    <xf numFmtId="164" fontId="2" fillId="32" borderId="37" xfId="0" applyNumberFormat="1" applyFont="1" applyFill="1" applyBorder="1" applyAlignment="1" applyProtection="1">
      <alignment horizontal="left" vertical="center" wrapText="1"/>
    </xf>
    <xf numFmtId="164" fontId="2" fillId="32" borderId="36" xfId="0" applyNumberFormat="1" applyFont="1" applyFill="1" applyBorder="1" applyAlignment="1" applyProtection="1">
      <alignment horizontal="left" vertical="center" wrapText="1"/>
    </xf>
    <xf numFmtId="164" fontId="2" fillId="32" borderId="3" xfId="0" applyNumberFormat="1" applyFont="1" applyFill="1" applyBorder="1" applyAlignment="1" applyProtection="1">
      <alignment horizontal="left" vertical="center" wrapText="1"/>
    </xf>
    <xf numFmtId="0" fontId="2" fillId="65" borderId="9" xfId="0" applyFont="1" applyFill="1" applyBorder="1" applyAlignment="1" applyProtection="1">
      <alignment horizontal="left" vertical="center" wrapText="1"/>
    </xf>
    <xf numFmtId="0" fontId="2" fillId="65" borderId="3" xfId="0" applyFont="1" applyFill="1" applyBorder="1" applyAlignment="1" applyProtection="1">
      <alignment horizontal="left" vertical="center" wrapText="1"/>
    </xf>
    <xf numFmtId="0" fontId="3" fillId="32" borderId="36" xfId="0" applyFont="1" applyFill="1" applyBorder="1" applyAlignment="1" applyProtection="1">
      <alignment horizontal="right" vertical="center" wrapText="1"/>
    </xf>
    <xf numFmtId="164" fontId="2" fillId="66" borderId="9" xfId="0" applyNumberFormat="1" applyFont="1" applyFill="1" applyBorder="1" applyAlignment="1" applyProtection="1">
      <alignment horizontal="left" vertical="center" wrapText="1"/>
    </xf>
    <xf numFmtId="164" fontId="2" fillId="66" borderId="10" xfId="0" applyNumberFormat="1" applyFont="1" applyFill="1" applyBorder="1" applyAlignment="1" applyProtection="1">
      <alignment horizontal="left" vertical="center" wrapText="1"/>
    </xf>
    <xf numFmtId="164" fontId="2" fillId="66" borderId="3" xfId="0" applyNumberFormat="1" applyFont="1" applyFill="1" applyBorder="1" applyAlignment="1" applyProtection="1">
      <alignment horizontal="left" vertical="center" wrapText="1"/>
    </xf>
    <xf numFmtId="0" fontId="2" fillId="65" borderId="10" xfId="0" applyFont="1" applyFill="1" applyBorder="1" applyAlignment="1" applyProtection="1">
      <alignment horizontal="left" vertical="center" wrapText="1"/>
    </xf>
    <xf numFmtId="0" fontId="3" fillId="32" borderId="37" xfId="0" applyFont="1" applyFill="1" applyBorder="1" applyAlignment="1" applyProtection="1">
      <alignment horizontal="right" vertical="center" wrapText="1"/>
    </xf>
    <xf numFmtId="0" fontId="17" fillId="18" borderId="61" xfId="0" applyFont="1" applyFill="1" applyBorder="1" applyAlignment="1" applyProtection="1">
      <alignment horizontal="center" vertical="top"/>
    </xf>
    <xf numFmtId="0" fontId="17" fillId="18" borderId="62" xfId="0" applyFont="1" applyFill="1" applyBorder="1" applyAlignment="1" applyProtection="1">
      <alignment horizontal="center" vertical="top"/>
    </xf>
    <xf numFmtId="0" fontId="17" fillId="14" borderId="25" xfId="0" applyFont="1" applyFill="1" applyBorder="1" applyAlignment="1" applyProtection="1">
      <alignment horizontal="center" vertical="top"/>
    </xf>
    <xf numFmtId="0" fontId="17" fillId="14" borderId="24" xfId="0" applyFont="1" applyFill="1" applyBorder="1" applyAlignment="1" applyProtection="1">
      <alignment horizontal="center" vertical="top"/>
    </xf>
    <xf numFmtId="0" fontId="17" fillId="14" borderId="26" xfId="0" applyFont="1" applyFill="1" applyBorder="1" applyAlignment="1" applyProtection="1">
      <alignment horizontal="center" vertical="top"/>
    </xf>
    <xf numFmtId="0" fontId="27" fillId="0" borderId="0" xfId="5" applyFont="1" applyAlignment="1" applyProtection="1">
      <alignment vertical="top" wrapText="1"/>
    </xf>
    <xf numFmtId="0" fontId="17" fillId="14" borderId="23" xfId="0" applyFont="1" applyFill="1" applyBorder="1" applyAlignment="1" applyProtection="1">
      <alignment horizontal="center" vertical="top"/>
    </xf>
    <xf numFmtId="0" fontId="17" fillId="18" borderId="23" xfId="0" applyFont="1" applyFill="1" applyBorder="1" applyAlignment="1" applyProtection="1">
      <alignment horizontal="center" vertical="top"/>
    </xf>
    <xf numFmtId="0" fontId="17" fillId="18" borderId="25" xfId="0" applyFont="1" applyFill="1" applyBorder="1" applyAlignment="1" applyProtection="1">
      <alignment horizontal="center" vertical="top"/>
    </xf>
    <xf numFmtId="0" fontId="17" fillId="18" borderId="24" xfId="0" applyFont="1" applyFill="1" applyBorder="1" applyAlignment="1" applyProtection="1">
      <alignment horizontal="center" vertical="top"/>
    </xf>
    <xf numFmtId="0" fontId="17" fillId="18" borderId="26" xfId="0" applyFont="1" applyFill="1" applyBorder="1" applyAlignment="1" applyProtection="1">
      <alignment horizontal="center" vertical="top"/>
    </xf>
    <xf numFmtId="0" fontId="58" fillId="0" borderId="8" xfId="0" applyFont="1" applyBorder="1" applyAlignment="1" applyProtection="1">
      <alignment horizontal="center" vertical="center" wrapText="1"/>
    </xf>
    <xf numFmtId="0" fontId="58" fillId="0" borderId="0" xfId="0" applyFont="1" applyBorder="1" applyAlignment="1" applyProtection="1">
      <alignment horizontal="center" vertical="center" wrapText="1"/>
    </xf>
    <xf numFmtId="0" fontId="27" fillId="0" borderId="0" xfId="5" applyFont="1" applyBorder="1" applyAlignment="1">
      <alignment vertical="top" wrapText="1"/>
    </xf>
    <xf numFmtId="0" fontId="0" fillId="0" borderId="0" xfId="0" applyBorder="1" applyAlignment="1">
      <alignment vertical="top" wrapText="1"/>
    </xf>
    <xf numFmtId="0" fontId="1" fillId="22" borderId="9" xfId="0" applyFont="1" applyFill="1" applyBorder="1" applyAlignment="1" applyProtection="1">
      <alignment horizontal="center" vertical="center" wrapText="1"/>
    </xf>
    <xf numFmtId="0" fontId="1" fillId="22" borderId="10" xfId="0" applyFont="1" applyFill="1" applyBorder="1" applyAlignment="1" applyProtection="1">
      <alignment horizontal="center" vertical="center" wrapText="1"/>
    </xf>
    <xf numFmtId="0" fontId="1" fillId="22" borderId="3" xfId="0" applyFont="1" applyFill="1" applyBorder="1" applyAlignment="1" applyProtection="1">
      <alignment horizontal="center" vertical="center" wrapText="1"/>
    </xf>
    <xf numFmtId="0" fontId="1" fillId="3" borderId="9" xfId="3" applyFont="1" applyFill="1" applyBorder="1" applyAlignment="1" applyProtection="1">
      <alignment horizontal="center" vertical="top" wrapText="1"/>
    </xf>
    <xf numFmtId="0" fontId="1" fillId="3" borderId="10" xfId="3" applyFont="1" applyFill="1" applyBorder="1" applyAlignment="1" applyProtection="1">
      <alignment horizontal="center" vertical="top" wrapText="1"/>
    </xf>
    <xf numFmtId="0" fontId="1" fillId="3" borderId="3" xfId="3" applyFont="1" applyFill="1" applyBorder="1" applyAlignment="1" applyProtection="1">
      <alignment horizontal="center" vertical="top" wrapText="1"/>
    </xf>
    <xf numFmtId="0" fontId="1" fillId="5" borderId="9" xfId="0" applyFont="1" applyFill="1" applyBorder="1" applyAlignment="1" applyProtection="1">
      <alignment horizontal="center" vertical="center" wrapText="1"/>
    </xf>
    <xf numFmtId="0" fontId="1" fillId="5" borderId="10" xfId="0" applyFont="1" applyFill="1" applyBorder="1" applyAlignment="1" applyProtection="1">
      <alignment horizontal="center" vertical="center" wrapText="1"/>
    </xf>
    <xf numFmtId="0" fontId="1" fillId="5" borderId="3" xfId="0" applyFont="1" applyFill="1" applyBorder="1" applyAlignment="1" applyProtection="1">
      <alignment horizontal="center" vertical="center" wrapText="1"/>
    </xf>
    <xf numFmtId="0" fontId="2" fillId="30" borderId="14" xfId="0" applyFont="1" applyFill="1" applyBorder="1" applyAlignment="1" applyProtection="1">
      <alignment horizontal="left" vertical="top" wrapText="1"/>
    </xf>
    <xf numFmtId="0" fontId="2" fillId="30" borderId="4" xfId="0" applyFont="1" applyFill="1" applyBorder="1" applyAlignment="1" applyProtection="1">
      <alignment horizontal="left" vertical="top" wrapText="1"/>
    </xf>
    <xf numFmtId="0" fontId="1" fillId="10" borderId="9" xfId="0" applyFont="1" applyFill="1" applyBorder="1" applyAlignment="1" applyProtection="1">
      <alignment horizontal="center" vertical="center" wrapText="1"/>
    </xf>
    <xf numFmtId="0" fontId="1" fillId="10" borderId="3" xfId="0" applyFont="1" applyFill="1" applyBorder="1" applyAlignment="1" applyProtection="1">
      <alignment horizontal="center" vertical="center" wrapText="1"/>
    </xf>
    <xf numFmtId="0" fontId="1" fillId="10" borderId="9" xfId="0" applyFont="1" applyFill="1" applyBorder="1" applyAlignment="1" applyProtection="1">
      <alignment horizontal="left" vertical="center"/>
    </xf>
    <xf numFmtId="0" fontId="1" fillId="10" borderId="10" xfId="0" applyFont="1" applyFill="1" applyBorder="1" applyAlignment="1" applyProtection="1">
      <alignment horizontal="left" vertical="center"/>
    </xf>
    <xf numFmtId="0" fontId="1" fillId="10" borderId="3" xfId="0" applyFont="1" applyFill="1" applyBorder="1" applyAlignment="1" applyProtection="1">
      <alignment horizontal="left" vertical="center"/>
    </xf>
    <xf numFmtId="0" fontId="2" fillId="6" borderId="8" xfId="0" applyFont="1" applyFill="1" applyBorder="1" applyAlignment="1" applyProtection="1">
      <alignment horizontal="left" vertical="top" wrapText="1"/>
    </xf>
    <xf numFmtId="0" fontId="2" fillId="6" borderId="16" xfId="0" applyFont="1" applyFill="1" applyBorder="1" applyAlignment="1" applyProtection="1">
      <alignment horizontal="left" vertical="top" wrapText="1"/>
    </xf>
    <xf numFmtId="0" fontId="2" fillId="35" borderId="4" xfId="0" applyFont="1" applyFill="1" applyBorder="1" applyAlignment="1" applyProtection="1">
      <alignment horizontal="left" vertical="top" wrapText="1"/>
    </xf>
    <xf numFmtId="0" fontId="2" fillId="6" borderId="7" xfId="0" applyFont="1" applyFill="1" applyBorder="1" applyAlignment="1" applyProtection="1">
      <alignment vertical="top" wrapText="1"/>
    </xf>
    <xf numFmtId="0" fontId="2" fillId="6" borderId="14" xfId="0" applyFont="1" applyFill="1" applyBorder="1" applyAlignment="1" applyProtection="1">
      <alignment vertical="top" wrapText="1"/>
    </xf>
    <xf numFmtId="0" fontId="2" fillId="6" borderId="4" xfId="0" applyFont="1" applyFill="1" applyBorder="1" applyAlignment="1" applyProtection="1">
      <alignment vertical="top" wrapText="1"/>
    </xf>
    <xf numFmtId="0" fontId="1" fillId="47" borderId="15" xfId="0" applyFont="1" applyFill="1" applyBorder="1" applyAlignment="1" applyProtection="1">
      <alignment horizontal="left" vertical="top" wrapText="1"/>
    </xf>
    <xf numFmtId="0" fontId="1" fillId="47" borderId="8" xfId="0" applyFont="1" applyFill="1" applyBorder="1" applyAlignment="1" applyProtection="1">
      <alignment horizontal="left" vertical="top" wrapText="1"/>
    </xf>
    <xf numFmtId="0" fontId="1" fillId="47" borderId="16" xfId="0" applyFont="1" applyFill="1" applyBorder="1" applyAlignment="1" applyProtection="1">
      <alignment horizontal="left" vertical="top" wrapText="1"/>
    </xf>
    <xf numFmtId="0" fontId="3" fillId="46" borderId="21" xfId="0" applyFont="1" applyFill="1" applyBorder="1" applyAlignment="1" applyProtection="1">
      <alignment horizontal="left" vertical="top" wrapText="1"/>
    </xf>
    <xf numFmtId="0" fontId="3" fillId="46" borderId="6" xfId="0" applyFont="1" applyFill="1" applyBorder="1" applyAlignment="1" applyProtection="1">
      <alignment horizontal="left" vertical="top" wrapText="1"/>
    </xf>
    <xf numFmtId="0" fontId="3" fillId="46" borderId="2" xfId="0" applyFont="1" applyFill="1" applyBorder="1" applyAlignment="1" applyProtection="1">
      <alignment horizontal="left" vertical="top" wrapText="1"/>
    </xf>
    <xf numFmtId="0" fontId="34" fillId="0" borderId="16" xfId="0" applyFont="1" applyBorder="1" applyAlignment="1" applyProtection="1">
      <alignment horizontal="center" vertical="top" wrapText="1"/>
    </xf>
    <xf numFmtId="0" fontId="34" fillId="0" borderId="2" xfId="0" applyFont="1" applyBorder="1" applyAlignment="1" applyProtection="1">
      <alignment horizontal="center" vertical="top" wrapText="1"/>
    </xf>
    <xf numFmtId="0" fontId="34" fillId="0" borderId="15" xfId="0" applyFont="1" applyBorder="1" applyAlignment="1" applyProtection="1">
      <alignment horizontal="center" vertical="top" wrapText="1"/>
    </xf>
    <xf numFmtId="0" fontId="34" fillId="0" borderId="21" xfId="0" applyFont="1" applyBorder="1" applyAlignment="1" applyProtection="1">
      <alignment horizontal="center" vertical="top" wrapText="1"/>
    </xf>
    <xf numFmtId="165" fontId="40" fillId="46" borderId="8" xfId="0" applyNumberFormat="1" applyFont="1" applyFill="1" applyBorder="1" applyAlignment="1" applyProtection="1">
      <alignment horizontal="center" vertical="center" wrapText="1"/>
    </xf>
    <xf numFmtId="165" fontId="39" fillId="46" borderId="8" xfId="0" applyNumberFormat="1" applyFont="1" applyFill="1" applyBorder="1" applyAlignment="1">
      <alignment horizontal="center" vertical="center" wrapText="1"/>
    </xf>
    <xf numFmtId="165" fontId="40" fillId="0" borderId="8" xfId="0" applyNumberFormat="1" applyFont="1" applyBorder="1" applyAlignment="1" applyProtection="1">
      <alignment horizontal="center" vertical="center" wrapText="1"/>
    </xf>
    <xf numFmtId="165" fontId="39" fillId="0" borderId="8" xfId="0" applyNumberFormat="1" applyFont="1" applyBorder="1" applyAlignment="1">
      <alignment horizontal="center" vertical="center" wrapText="1"/>
    </xf>
    <xf numFmtId="0" fontId="34" fillId="0" borderId="22" xfId="0" applyFont="1" applyBorder="1" applyAlignment="1" applyProtection="1">
      <alignment horizontal="center" vertical="top" wrapText="1"/>
    </xf>
    <xf numFmtId="0" fontId="34" fillId="0" borderId="16" xfId="0" applyFont="1" applyFill="1" applyBorder="1" applyAlignment="1" applyProtection="1">
      <alignment horizontal="center" vertical="top" wrapText="1"/>
    </xf>
    <xf numFmtId="0" fontId="34" fillId="0" borderId="2" xfId="0" applyFont="1" applyFill="1" applyBorder="1" applyAlignment="1" applyProtection="1">
      <alignment horizontal="center" vertical="top" wrapText="1"/>
    </xf>
    <xf numFmtId="0" fontId="34" fillId="0" borderId="5" xfId="0" applyFont="1" applyBorder="1" applyAlignment="1" applyProtection="1">
      <alignment horizontal="center" vertical="top" wrapText="1"/>
    </xf>
    <xf numFmtId="0" fontId="34" fillId="0" borderId="8" xfId="0" applyFont="1" applyBorder="1" applyAlignment="1" applyProtection="1">
      <alignment horizontal="center" vertical="top" wrapText="1"/>
    </xf>
    <xf numFmtId="0" fontId="34" fillId="0" borderId="6" xfId="0" applyFont="1" applyBorder="1" applyAlignment="1" applyProtection="1">
      <alignment horizontal="center" vertical="top" wrapText="1"/>
    </xf>
    <xf numFmtId="0" fontId="34" fillId="0" borderId="0" xfId="0" applyFont="1" applyBorder="1" applyAlignment="1" applyProtection="1">
      <alignment horizontal="center" vertical="top" wrapText="1"/>
    </xf>
    <xf numFmtId="0" fontId="34" fillId="0" borderId="8" xfId="0" applyFont="1" applyFill="1" applyBorder="1" applyAlignment="1" applyProtection="1">
      <alignment horizontal="center" vertical="top" wrapText="1"/>
    </xf>
    <xf numFmtId="0" fontId="34" fillId="0" borderId="6" xfId="0" applyFont="1" applyFill="1" applyBorder="1" applyAlignment="1" applyProtection="1">
      <alignment horizontal="center" vertical="top" wrapText="1"/>
    </xf>
    <xf numFmtId="0" fontId="34" fillId="0" borderId="15" xfId="0" applyFont="1" applyFill="1" applyBorder="1" applyAlignment="1" applyProtection="1">
      <alignment horizontal="center" vertical="top" wrapText="1"/>
    </xf>
    <xf numFmtId="0" fontId="34" fillId="0" borderId="21" xfId="0" applyFont="1" applyFill="1" applyBorder="1" applyAlignment="1" applyProtection="1">
      <alignment horizontal="center" vertical="top" wrapText="1"/>
    </xf>
    <xf numFmtId="0" fontId="1" fillId="45" borderId="9" xfId="0" applyFont="1" applyFill="1" applyBorder="1" applyAlignment="1" applyProtection="1">
      <alignment horizontal="left" vertical="top" wrapText="1"/>
    </xf>
    <xf numFmtId="0" fontId="1" fillId="45" borderId="10" xfId="0" applyFont="1" applyFill="1" applyBorder="1" applyAlignment="1" applyProtection="1">
      <alignment horizontal="left" vertical="top" wrapText="1"/>
    </xf>
    <xf numFmtId="0" fontId="1" fillId="45" borderId="3" xfId="0" applyFont="1" applyFill="1" applyBorder="1" applyAlignment="1" applyProtection="1">
      <alignment horizontal="left" vertical="top" wrapText="1"/>
    </xf>
    <xf numFmtId="0" fontId="34" fillId="46" borderId="9" xfId="0" applyFont="1" applyFill="1" applyBorder="1" applyAlignment="1" applyProtection="1">
      <alignment horizontal="center" vertical="top" wrapText="1"/>
    </xf>
    <xf numFmtId="0" fontId="36" fillId="46" borderId="3" xfId="0" applyFont="1" applyFill="1" applyBorder="1" applyAlignment="1">
      <alignment horizontal="center" vertical="top" wrapText="1"/>
    </xf>
    <xf numFmtId="0" fontId="36" fillId="46" borderId="10" xfId="0" applyFont="1" applyFill="1" applyBorder="1" applyAlignment="1">
      <alignment horizontal="center" vertical="top" wrapText="1"/>
    </xf>
    <xf numFmtId="0" fontId="43" fillId="0" borderId="0" xfId="0" applyFont="1" applyAlignment="1">
      <alignment horizontal="center" vertical="center"/>
    </xf>
    <xf numFmtId="0" fontId="0" fillId="0" borderId="8" xfId="0" applyBorder="1" applyAlignment="1">
      <alignment horizontal="center" vertical="top" wrapText="1"/>
    </xf>
    <xf numFmtId="0" fontId="0" fillId="0" borderId="6" xfId="0" applyBorder="1" applyAlignment="1">
      <alignment horizontal="center" vertical="top" wrapText="1"/>
    </xf>
    <xf numFmtId="0" fontId="0" fillId="0" borderId="16" xfId="0" applyBorder="1" applyAlignment="1">
      <alignment horizontal="center" vertical="top" wrapText="1"/>
    </xf>
    <xf numFmtId="0" fontId="0" fillId="0" borderId="2" xfId="0" applyBorder="1" applyAlignment="1">
      <alignment horizontal="center" vertical="top" wrapText="1"/>
    </xf>
    <xf numFmtId="0" fontId="0" fillId="0" borderId="0" xfId="0" applyBorder="1" applyAlignment="1">
      <alignment horizontal="center" vertical="top" wrapText="1"/>
    </xf>
    <xf numFmtId="0" fontId="0" fillId="0" borderId="5" xfId="0" applyBorder="1" applyAlignment="1">
      <alignment horizontal="center" vertical="top" wrapText="1"/>
    </xf>
    <xf numFmtId="0" fontId="43" fillId="0" borderId="0" xfId="0" applyFont="1" applyAlignment="1" applyProtection="1">
      <alignment horizontal="center" vertical="center"/>
    </xf>
    <xf numFmtId="0" fontId="59" fillId="0" borderId="0" xfId="0" applyFont="1" applyAlignment="1" applyProtection="1">
      <alignment horizontal="center" vertical="center"/>
    </xf>
  </cellXfs>
  <cellStyles count="2016">
    <cellStyle name="Comma" xfId="1" builtinId="3"/>
    <cellStyle name="Comma 2" xfId="892"/>
    <cellStyle name="Comma 2_2011-10-19 Commercial RAMP FINAL" xfId="366"/>
    <cellStyle name="Comma 3 2" xfId="2"/>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Followed Hyperlink" xfId="100" builtinId="9" hidden="1"/>
    <cellStyle name="Followed Hyperlink" xfId="101" builtinId="9" hidden="1"/>
    <cellStyle name="Followed Hyperlink" xfId="102" builtinId="9" hidden="1"/>
    <cellStyle name="Followed Hyperlink" xfId="103" builtinId="9" hidden="1"/>
    <cellStyle name="Followed Hyperlink" xfId="104" builtinId="9" hidden="1"/>
    <cellStyle name="Followed Hyperlink" xfId="105" builtinId="9" hidden="1"/>
    <cellStyle name="Followed Hyperlink" xfId="106" builtinId="9" hidden="1"/>
    <cellStyle name="Followed Hyperlink" xfId="107" builtinId="9" hidden="1"/>
    <cellStyle name="Followed Hyperlink" xfId="108" builtinId="9" hidden="1"/>
    <cellStyle name="Followed Hyperlink" xfId="109" builtinId="9" hidden="1"/>
    <cellStyle name="Followed Hyperlink" xfId="110" builtinId="9" hidden="1"/>
    <cellStyle name="Followed Hyperlink" xfId="111" builtinId="9" hidden="1"/>
    <cellStyle name="Followed Hyperlink" xfId="112" builtinId="9" hidden="1"/>
    <cellStyle name="Followed Hyperlink" xfId="113" builtinId="9" hidden="1"/>
    <cellStyle name="Followed Hyperlink" xfId="114" builtinId="9" hidden="1"/>
    <cellStyle name="Followed Hyperlink" xfId="115" builtinId="9" hidden="1"/>
    <cellStyle name="Followed Hyperlink" xfId="116" builtinId="9" hidden="1"/>
    <cellStyle name="Followed Hyperlink" xfId="117" builtinId="9" hidden="1"/>
    <cellStyle name="Followed Hyperlink" xfId="118" builtinId="9" hidden="1"/>
    <cellStyle name="Followed Hyperlink" xfId="119" builtinId="9" hidden="1"/>
    <cellStyle name="Followed Hyperlink" xfId="120" builtinId="9" hidden="1"/>
    <cellStyle name="Followed Hyperlink" xfId="121" builtinId="9" hidden="1"/>
    <cellStyle name="Followed Hyperlink" xfId="122" builtinId="9" hidden="1"/>
    <cellStyle name="Followed Hyperlink" xfId="123" builtinId="9" hidden="1"/>
    <cellStyle name="Followed Hyperlink" xfId="124" builtinId="9" hidden="1"/>
    <cellStyle name="Followed Hyperlink" xfId="125" builtinId="9" hidden="1"/>
    <cellStyle name="Followed Hyperlink" xfId="126" builtinId="9" hidden="1"/>
    <cellStyle name="Followed Hyperlink" xfId="127" builtinId="9" hidden="1"/>
    <cellStyle name="Followed Hyperlink" xfId="128" builtinId="9" hidden="1"/>
    <cellStyle name="Followed Hyperlink" xfId="129" builtinId="9" hidden="1"/>
    <cellStyle name="Followed Hyperlink" xfId="130" builtinId="9" hidden="1"/>
    <cellStyle name="Followed Hyperlink" xfId="131" builtinId="9" hidden="1"/>
    <cellStyle name="Followed Hyperlink" xfId="132" builtinId="9" hidden="1"/>
    <cellStyle name="Followed Hyperlink" xfId="133" builtinId="9" hidden="1"/>
    <cellStyle name="Followed Hyperlink" xfId="134" builtinId="9" hidden="1"/>
    <cellStyle name="Followed Hyperlink" xfId="135" builtinId="9" hidden="1"/>
    <cellStyle name="Followed Hyperlink" xfId="136" builtinId="9" hidden="1"/>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0" builtinId="9" hidden="1"/>
    <cellStyle name="Followed Hyperlink" xfId="781" builtinId="9" hidden="1"/>
    <cellStyle name="Followed Hyperlink" xfId="782" builtinId="9" hidden="1"/>
    <cellStyle name="Followed Hyperlink" xfId="783" builtinId="9" hidden="1"/>
    <cellStyle name="Followed Hyperlink" xfId="784" builtinId="9" hidden="1"/>
    <cellStyle name="Followed Hyperlink" xfId="785" builtinId="9" hidden="1"/>
    <cellStyle name="Followed Hyperlink" xfId="786" builtinId="9" hidden="1"/>
    <cellStyle name="Followed Hyperlink" xfId="787" builtinId="9" hidden="1"/>
    <cellStyle name="Followed Hyperlink" xfId="788" builtinId="9" hidden="1"/>
    <cellStyle name="Followed Hyperlink" xfId="789" builtinId="9" hidden="1"/>
    <cellStyle name="Followed Hyperlink" xfId="790" builtinId="9" hidden="1"/>
    <cellStyle name="Followed Hyperlink" xfId="791" builtinId="9" hidden="1"/>
    <cellStyle name="Followed Hyperlink" xfId="792" builtinId="9" hidden="1"/>
    <cellStyle name="Followed Hyperlink" xfId="793" builtinId="9" hidden="1"/>
    <cellStyle name="Followed Hyperlink" xfId="794" builtinId="9" hidden="1"/>
    <cellStyle name="Followed Hyperlink" xfId="795" builtinId="9" hidden="1"/>
    <cellStyle name="Followed Hyperlink" xfId="796" builtinId="9" hidden="1"/>
    <cellStyle name="Followed Hyperlink" xfId="797" builtinId="9" hidden="1"/>
    <cellStyle name="Followed Hyperlink" xfId="798" builtinId="9" hidden="1"/>
    <cellStyle name="Followed Hyperlink" xfId="799" builtinId="9" hidden="1"/>
    <cellStyle name="Followed Hyperlink" xfId="800" builtinId="9" hidden="1"/>
    <cellStyle name="Followed Hyperlink" xfId="801" builtinId="9" hidden="1"/>
    <cellStyle name="Followed Hyperlink" xfId="802" builtinId="9" hidden="1"/>
    <cellStyle name="Followed Hyperlink" xfId="803" builtinId="9" hidden="1"/>
    <cellStyle name="Followed Hyperlink" xfId="804" builtinId="9" hidden="1"/>
    <cellStyle name="Followed Hyperlink" xfId="805" builtinId="9" hidden="1"/>
    <cellStyle name="Followed Hyperlink" xfId="806" builtinId="9" hidden="1"/>
    <cellStyle name="Followed Hyperlink" xfId="807" builtinId="9" hidden="1"/>
    <cellStyle name="Followed Hyperlink" xfId="808" builtinId="9" hidden="1"/>
    <cellStyle name="Followed Hyperlink" xfId="809" builtinId="9" hidden="1"/>
    <cellStyle name="Followed Hyperlink" xfId="810" builtinId="9" hidden="1"/>
    <cellStyle name="Followed Hyperlink" xfId="811" builtinId="9" hidden="1"/>
    <cellStyle name="Followed Hyperlink" xfId="812" builtinId="9" hidden="1"/>
    <cellStyle name="Followed Hyperlink" xfId="813" builtinId="9" hidden="1"/>
    <cellStyle name="Followed Hyperlink" xfId="814" builtinId="9" hidden="1"/>
    <cellStyle name="Followed Hyperlink" xfId="815" builtinId="9" hidden="1"/>
    <cellStyle name="Followed Hyperlink" xfId="816" builtinId="9" hidden="1"/>
    <cellStyle name="Followed Hyperlink" xfId="817" builtinId="9" hidden="1"/>
    <cellStyle name="Followed Hyperlink" xfId="818" builtinId="9" hidden="1"/>
    <cellStyle name="Followed Hyperlink" xfId="819" builtinId="9" hidden="1"/>
    <cellStyle name="Followed Hyperlink" xfId="820" builtinId="9" hidden="1"/>
    <cellStyle name="Followed Hyperlink" xfId="821" builtinId="9" hidden="1"/>
    <cellStyle name="Followed Hyperlink" xfId="822" builtinId="9" hidden="1"/>
    <cellStyle name="Followed Hyperlink" xfId="823" builtinId="9" hidden="1"/>
    <cellStyle name="Followed Hyperlink" xfId="824" builtinId="9" hidden="1"/>
    <cellStyle name="Followed Hyperlink" xfId="825" builtinId="9" hidden="1"/>
    <cellStyle name="Followed Hyperlink" xfId="826" builtinId="9" hidden="1"/>
    <cellStyle name="Followed Hyperlink" xfId="827" builtinId="9" hidden="1"/>
    <cellStyle name="Followed Hyperlink" xfId="828" builtinId="9" hidden="1"/>
    <cellStyle name="Followed Hyperlink" xfId="829" builtinId="9" hidden="1"/>
    <cellStyle name="Followed Hyperlink" xfId="830" builtinId="9" hidden="1"/>
    <cellStyle name="Followed Hyperlink" xfId="831" builtinId="9" hidden="1"/>
    <cellStyle name="Followed Hyperlink" xfId="832" builtinId="9" hidden="1"/>
    <cellStyle name="Followed Hyperlink" xfId="833" builtinId="9" hidden="1"/>
    <cellStyle name="Followed Hyperlink" xfId="834" builtinId="9" hidden="1"/>
    <cellStyle name="Followed Hyperlink" xfId="835" builtinId="9" hidden="1"/>
    <cellStyle name="Followed Hyperlink" xfId="836" builtinId="9" hidden="1"/>
    <cellStyle name="Followed Hyperlink" xfId="837" builtinId="9" hidden="1"/>
    <cellStyle name="Followed Hyperlink" xfId="838" builtinId="9" hidden="1"/>
    <cellStyle name="Followed Hyperlink" xfId="839" builtinId="9" hidden="1"/>
    <cellStyle name="Followed Hyperlink" xfId="840" builtinId="9" hidden="1"/>
    <cellStyle name="Followed Hyperlink" xfId="841" builtinId="9" hidden="1"/>
    <cellStyle name="Followed Hyperlink" xfId="842" builtinId="9" hidden="1"/>
    <cellStyle name="Followed Hyperlink" xfId="843" builtinId="9" hidden="1"/>
    <cellStyle name="Followed Hyperlink" xfId="844" builtinId="9" hidden="1"/>
    <cellStyle name="Followed Hyperlink" xfId="845" builtinId="9" hidden="1"/>
    <cellStyle name="Followed Hyperlink" xfId="846" builtinId="9" hidden="1"/>
    <cellStyle name="Followed Hyperlink" xfId="847" builtinId="9" hidden="1"/>
    <cellStyle name="Followed Hyperlink" xfId="848" builtinId="9" hidden="1"/>
    <cellStyle name="Followed Hyperlink" xfId="849" builtinId="9" hidden="1"/>
    <cellStyle name="Followed Hyperlink" xfId="850" builtinId="9" hidden="1"/>
    <cellStyle name="Followed Hyperlink" xfId="851" builtinId="9" hidden="1"/>
    <cellStyle name="Followed Hyperlink" xfId="852" builtinId="9" hidden="1"/>
    <cellStyle name="Followed Hyperlink" xfId="853" builtinId="9" hidden="1"/>
    <cellStyle name="Followed Hyperlink" xfId="854" builtinId="9" hidden="1"/>
    <cellStyle name="Followed Hyperlink" xfId="855" builtinId="9" hidden="1"/>
    <cellStyle name="Followed Hyperlink" xfId="856" builtinId="9" hidden="1"/>
    <cellStyle name="Followed Hyperlink" xfId="857" builtinId="9" hidden="1"/>
    <cellStyle name="Followed Hyperlink" xfId="858" builtinId="9" hidden="1"/>
    <cellStyle name="Followed Hyperlink" xfId="859" builtinId="9" hidden="1"/>
    <cellStyle name="Followed Hyperlink" xfId="860" builtinId="9" hidden="1"/>
    <cellStyle name="Followed Hyperlink" xfId="861" builtinId="9" hidden="1"/>
    <cellStyle name="Followed Hyperlink" xfId="862" builtinId="9" hidden="1"/>
    <cellStyle name="Followed Hyperlink" xfId="863" builtinId="9" hidden="1"/>
    <cellStyle name="Followed Hyperlink" xfId="864" builtinId="9" hidden="1"/>
    <cellStyle name="Followed Hyperlink" xfId="865" builtinId="9" hidden="1"/>
    <cellStyle name="Followed Hyperlink" xfId="866" builtinId="9" hidden="1"/>
    <cellStyle name="Followed Hyperlink" xfId="867" builtinId="9" hidden="1"/>
    <cellStyle name="Followed Hyperlink" xfId="868" builtinId="9" hidden="1"/>
    <cellStyle name="Followed Hyperlink" xfId="869" builtinId="9" hidden="1"/>
    <cellStyle name="Followed Hyperlink" xfId="870" builtinId="9" hidden="1"/>
    <cellStyle name="Followed Hyperlink" xfId="871" builtinId="9" hidden="1"/>
    <cellStyle name="Followed Hyperlink" xfId="872" builtinId="9" hidden="1"/>
    <cellStyle name="Followed Hyperlink" xfId="873" builtinId="9" hidden="1"/>
    <cellStyle name="Followed Hyperlink" xfId="874" builtinId="9" hidden="1"/>
    <cellStyle name="Followed Hyperlink" xfId="875" builtinId="9" hidden="1"/>
    <cellStyle name="Followed Hyperlink" xfId="876" builtinId="9" hidden="1"/>
    <cellStyle name="Followed Hyperlink" xfId="877" builtinId="9" hidden="1"/>
    <cellStyle name="Followed Hyperlink" xfId="878" builtinId="9" hidden="1"/>
    <cellStyle name="Followed Hyperlink" xfId="879" builtinId="9" hidden="1"/>
    <cellStyle name="Followed Hyperlink" xfId="880" builtinId="9" hidden="1"/>
    <cellStyle name="Followed Hyperlink" xfId="881" builtinId="9" hidden="1"/>
    <cellStyle name="Followed Hyperlink" xfId="882" builtinId="9" hidden="1"/>
    <cellStyle name="Followed Hyperlink" xfId="883" builtinId="9" hidden="1"/>
    <cellStyle name="Followed Hyperlink" xfId="884" builtinId="9" hidden="1"/>
    <cellStyle name="Followed Hyperlink" xfId="885" builtinId="9" hidden="1"/>
    <cellStyle name="Followed Hyperlink" xfId="886" builtinId="9" hidden="1"/>
    <cellStyle name="Followed Hyperlink" xfId="887" builtinId="9" hidden="1"/>
    <cellStyle name="Followed Hyperlink" xfId="888" builtinId="9" hidden="1"/>
    <cellStyle name="Followed Hyperlink" xfId="889" builtinId="9" hidden="1"/>
    <cellStyle name="Followed Hyperlink" xfId="890" builtinId="9" hidden="1"/>
    <cellStyle name="Followed Hyperlink" xfId="891" builtinId="9" hidden="1"/>
    <cellStyle name="Followed Hyperlink" xfId="893" builtinId="9" hidden="1"/>
    <cellStyle name="Followed Hyperlink" xfId="894" builtinId="9" hidden="1"/>
    <cellStyle name="Followed Hyperlink" xfId="895" builtinId="9" hidden="1"/>
    <cellStyle name="Followed Hyperlink" xfId="896" builtinId="9" hidden="1"/>
    <cellStyle name="Followed Hyperlink" xfId="897" builtinId="9" hidden="1"/>
    <cellStyle name="Followed Hyperlink" xfId="898" builtinId="9" hidden="1"/>
    <cellStyle name="Followed Hyperlink" xfId="899" builtinId="9" hidden="1"/>
    <cellStyle name="Followed Hyperlink" xfId="900" builtinId="9" hidden="1"/>
    <cellStyle name="Followed Hyperlink" xfId="901" builtinId="9" hidden="1"/>
    <cellStyle name="Followed Hyperlink" xfId="902" builtinId="9" hidden="1"/>
    <cellStyle name="Followed Hyperlink" xfId="903" builtinId="9" hidden="1"/>
    <cellStyle name="Followed Hyperlink" xfId="904" builtinId="9" hidden="1"/>
    <cellStyle name="Followed Hyperlink" xfId="905" builtinId="9" hidden="1"/>
    <cellStyle name="Followed Hyperlink" xfId="906" builtinId="9" hidden="1"/>
    <cellStyle name="Followed Hyperlink" xfId="907" builtinId="9" hidden="1"/>
    <cellStyle name="Followed Hyperlink" xfId="908" builtinId="9" hidden="1"/>
    <cellStyle name="Followed Hyperlink" xfId="909" builtinId="9" hidden="1"/>
    <cellStyle name="Followed Hyperlink" xfId="910" builtinId="9" hidden="1"/>
    <cellStyle name="Followed Hyperlink" xfId="911" builtinId="9" hidden="1"/>
    <cellStyle name="Followed Hyperlink" xfId="912" builtinId="9" hidden="1"/>
    <cellStyle name="Followed Hyperlink" xfId="913" builtinId="9" hidden="1"/>
    <cellStyle name="Followed Hyperlink" xfId="914" builtinId="9" hidden="1"/>
    <cellStyle name="Followed Hyperlink" xfId="915" builtinId="9" hidden="1"/>
    <cellStyle name="Followed Hyperlink" xfId="916" builtinId="9" hidden="1"/>
    <cellStyle name="Followed Hyperlink" xfId="917" builtinId="9" hidden="1"/>
    <cellStyle name="Followed Hyperlink" xfId="918" builtinId="9" hidden="1"/>
    <cellStyle name="Followed Hyperlink" xfId="919" builtinId="9" hidden="1"/>
    <cellStyle name="Followed Hyperlink" xfId="920" builtinId="9" hidden="1"/>
    <cellStyle name="Followed Hyperlink" xfId="921" builtinId="9" hidden="1"/>
    <cellStyle name="Followed Hyperlink" xfId="922" builtinId="9" hidden="1"/>
    <cellStyle name="Followed Hyperlink" xfId="923" builtinId="9" hidden="1"/>
    <cellStyle name="Followed Hyperlink" xfId="924" builtinId="9" hidden="1"/>
    <cellStyle name="Followed Hyperlink" xfId="925" builtinId="9" hidden="1"/>
    <cellStyle name="Followed Hyperlink" xfId="926" builtinId="9" hidden="1"/>
    <cellStyle name="Followed Hyperlink" xfId="927" builtinId="9" hidden="1"/>
    <cellStyle name="Followed Hyperlink" xfId="928" builtinId="9" hidden="1"/>
    <cellStyle name="Followed Hyperlink" xfId="929" builtinId="9" hidden="1"/>
    <cellStyle name="Followed Hyperlink" xfId="930" builtinId="9" hidden="1"/>
    <cellStyle name="Followed Hyperlink" xfId="931" builtinId="9" hidden="1"/>
    <cellStyle name="Followed Hyperlink" xfId="932" builtinId="9" hidden="1"/>
    <cellStyle name="Followed Hyperlink" xfId="933" builtinId="9" hidden="1"/>
    <cellStyle name="Followed Hyperlink" xfId="934" builtinId="9" hidden="1"/>
    <cellStyle name="Followed Hyperlink" xfId="935" builtinId="9" hidden="1"/>
    <cellStyle name="Followed Hyperlink" xfId="936" builtinId="9" hidden="1"/>
    <cellStyle name="Followed Hyperlink" xfId="937" builtinId="9" hidden="1"/>
    <cellStyle name="Followed Hyperlink" xfId="938" builtinId="9" hidden="1"/>
    <cellStyle name="Followed Hyperlink" xfId="939" builtinId="9" hidden="1"/>
    <cellStyle name="Followed Hyperlink" xfId="940" builtinId="9" hidden="1"/>
    <cellStyle name="Followed Hyperlink" xfId="941" builtinId="9" hidden="1"/>
    <cellStyle name="Followed Hyperlink" xfId="942" builtinId="9" hidden="1"/>
    <cellStyle name="Followed Hyperlink" xfId="943" builtinId="9" hidden="1"/>
    <cellStyle name="Followed Hyperlink" xfId="944" builtinId="9" hidden="1"/>
    <cellStyle name="Followed Hyperlink" xfId="945" builtinId="9" hidden="1"/>
    <cellStyle name="Followed Hyperlink" xfId="946" builtinId="9" hidden="1"/>
    <cellStyle name="Followed Hyperlink" xfId="947" builtinId="9" hidden="1"/>
    <cellStyle name="Followed Hyperlink" xfId="948" builtinId="9" hidden="1"/>
    <cellStyle name="Followed Hyperlink" xfId="949" builtinId="9" hidden="1"/>
    <cellStyle name="Followed Hyperlink" xfId="950" builtinId="9" hidden="1"/>
    <cellStyle name="Followed Hyperlink" xfId="951" builtinId="9" hidden="1"/>
    <cellStyle name="Followed Hyperlink" xfId="952" builtinId="9" hidden="1"/>
    <cellStyle name="Followed Hyperlink" xfId="953" builtinId="9" hidden="1"/>
    <cellStyle name="Followed Hyperlink" xfId="954" builtinId="9" hidden="1"/>
    <cellStyle name="Followed Hyperlink" xfId="955" builtinId="9" hidden="1"/>
    <cellStyle name="Followed Hyperlink" xfId="956" builtinId="9" hidden="1"/>
    <cellStyle name="Followed Hyperlink" xfId="957" builtinId="9" hidden="1"/>
    <cellStyle name="Followed Hyperlink" xfId="958" builtinId="9" hidden="1"/>
    <cellStyle name="Followed Hyperlink" xfId="959" builtinId="9" hidden="1"/>
    <cellStyle name="Followed Hyperlink" xfId="960" builtinId="9" hidden="1"/>
    <cellStyle name="Followed Hyperlink" xfId="961" builtinId="9" hidden="1"/>
    <cellStyle name="Followed Hyperlink" xfId="962" builtinId="9" hidden="1"/>
    <cellStyle name="Followed Hyperlink" xfId="963" builtinId="9" hidden="1"/>
    <cellStyle name="Followed Hyperlink" xfId="964" builtinId="9" hidden="1"/>
    <cellStyle name="Followed Hyperlink" xfId="965" builtinId="9" hidden="1"/>
    <cellStyle name="Followed Hyperlink" xfId="966" builtinId="9" hidden="1"/>
    <cellStyle name="Followed Hyperlink" xfId="967" builtinId="9" hidden="1"/>
    <cellStyle name="Followed Hyperlink" xfId="968" builtinId="9" hidden="1"/>
    <cellStyle name="Followed Hyperlink" xfId="969" builtinId="9" hidden="1"/>
    <cellStyle name="Followed Hyperlink" xfId="970" builtinId="9" hidden="1"/>
    <cellStyle name="Followed Hyperlink" xfId="971" builtinId="9" hidden="1"/>
    <cellStyle name="Followed Hyperlink" xfId="972" builtinId="9" hidden="1"/>
    <cellStyle name="Followed Hyperlink" xfId="973" builtinId="9" hidden="1"/>
    <cellStyle name="Followed Hyperlink" xfId="974" builtinId="9" hidden="1"/>
    <cellStyle name="Followed Hyperlink" xfId="975" builtinId="9" hidden="1"/>
    <cellStyle name="Followed Hyperlink" xfId="976" builtinId="9" hidden="1"/>
    <cellStyle name="Followed Hyperlink" xfId="977" builtinId="9" hidden="1"/>
    <cellStyle name="Followed Hyperlink" xfId="978" builtinId="9" hidden="1"/>
    <cellStyle name="Followed Hyperlink" xfId="979" builtinId="9" hidden="1"/>
    <cellStyle name="Followed Hyperlink" xfId="980" builtinId="9" hidden="1"/>
    <cellStyle name="Followed Hyperlink" xfId="981" builtinId="9" hidden="1"/>
    <cellStyle name="Followed Hyperlink" xfId="982" builtinId="9" hidden="1"/>
    <cellStyle name="Followed Hyperlink" xfId="983" builtinId="9" hidden="1"/>
    <cellStyle name="Followed Hyperlink" xfId="984" builtinId="9" hidden="1"/>
    <cellStyle name="Followed Hyperlink" xfId="985" builtinId="9" hidden="1"/>
    <cellStyle name="Followed Hyperlink" xfId="986" builtinId="9" hidden="1"/>
    <cellStyle name="Followed Hyperlink" xfId="987" builtinId="9" hidden="1"/>
    <cellStyle name="Followed Hyperlink" xfId="988" builtinId="9" hidden="1"/>
    <cellStyle name="Followed Hyperlink" xfId="989" builtinId="9" hidden="1"/>
    <cellStyle name="Followed Hyperlink" xfId="990" builtinId="9" hidden="1"/>
    <cellStyle name="Followed Hyperlink" xfId="991" builtinId="9" hidden="1"/>
    <cellStyle name="Followed Hyperlink" xfId="992" builtinId="9" hidden="1"/>
    <cellStyle name="Followed Hyperlink" xfId="993" builtinId="9" hidden="1"/>
    <cellStyle name="Followed Hyperlink" xfId="994" builtinId="9" hidden="1"/>
    <cellStyle name="Followed Hyperlink" xfId="995" builtinId="9" hidden="1"/>
    <cellStyle name="Followed Hyperlink" xfId="996" builtinId="9" hidden="1"/>
    <cellStyle name="Followed Hyperlink" xfId="997" builtinId="9" hidden="1"/>
    <cellStyle name="Followed Hyperlink" xfId="998" builtinId="9" hidden="1"/>
    <cellStyle name="Followed Hyperlink" xfId="999" builtinId="9" hidden="1"/>
    <cellStyle name="Followed Hyperlink" xfId="1000" builtinId="9" hidden="1"/>
    <cellStyle name="Followed Hyperlink" xfId="1001" builtinId="9" hidden="1"/>
    <cellStyle name="Followed Hyperlink" xfId="1002" builtinId="9" hidden="1"/>
    <cellStyle name="Followed Hyperlink" xfId="1003" builtinId="9" hidden="1"/>
    <cellStyle name="Followed Hyperlink" xfId="1004" builtinId="9" hidden="1"/>
    <cellStyle name="Followed Hyperlink" xfId="1005" builtinId="9" hidden="1"/>
    <cellStyle name="Followed Hyperlink" xfId="1006" builtinId="9" hidden="1"/>
    <cellStyle name="Followed Hyperlink" xfId="1007" builtinId="9" hidden="1"/>
    <cellStyle name="Followed Hyperlink" xfId="1008" builtinId="9" hidden="1"/>
    <cellStyle name="Followed Hyperlink" xfId="1009" builtinId="9" hidden="1"/>
    <cellStyle name="Followed Hyperlink" xfId="1010" builtinId="9" hidden="1"/>
    <cellStyle name="Followed Hyperlink" xfId="1011" builtinId="9" hidden="1"/>
    <cellStyle name="Followed Hyperlink" xfId="1012" builtinId="9" hidden="1"/>
    <cellStyle name="Followed Hyperlink" xfId="1013" builtinId="9" hidden="1"/>
    <cellStyle name="Followed Hyperlink" xfId="1014" builtinId="9" hidden="1"/>
    <cellStyle name="Followed Hyperlink" xfId="1015" builtinId="9" hidden="1"/>
    <cellStyle name="Followed Hyperlink" xfId="1016" builtinId="9" hidden="1"/>
    <cellStyle name="Followed Hyperlink" xfId="1017" builtinId="9" hidden="1"/>
    <cellStyle name="Followed Hyperlink" xfId="1018" builtinId="9" hidden="1"/>
    <cellStyle name="Followed Hyperlink" xfId="1019" builtinId="9" hidden="1"/>
    <cellStyle name="Followed Hyperlink" xfId="1020" builtinId="9" hidden="1"/>
    <cellStyle name="Followed Hyperlink" xfId="1021" builtinId="9" hidden="1"/>
    <cellStyle name="Followed Hyperlink" xfId="1022" builtinId="9" hidden="1"/>
    <cellStyle name="Followed Hyperlink" xfId="1023" builtinId="9" hidden="1"/>
    <cellStyle name="Followed Hyperlink" xfId="1024" builtinId="9" hidden="1"/>
    <cellStyle name="Followed Hyperlink" xfId="1025" builtinId="9" hidden="1"/>
    <cellStyle name="Followed Hyperlink" xfId="1026" builtinId="9" hidden="1"/>
    <cellStyle name="Followed Hyperlink" xfId="1027" builtinId="9" hidden="1"/>
    <cellStyle name="Followed Hyperlink" xfId="1028" builtinId="9" hidden="1"/>
    <cellStyle name="Followed Hyperlink" xfId="1029" builtinId="9" hidden="1"/>
    <cellStyle name="Followed Hyperlink" xfId="1030" builtinId="9" hidden="1"/>
    <cellStyle name="Followed Hyperlink" xfId="1031" builtinId="9" hidden="1"/>
    <cellStyle name="Followed Hyperlink" xfId="1032" builtinId="9" hidden="1"/>
    <cellStyle name="Followed Hyperlink" xfId="1033" builtinId="9" hidden="1"/>
    <cellStyle name="Followed Hyperlink" xfId="1034" builtinId="9" hidden="1"/>
    <cellStyle name="Followed Hyperlink" xfId="1035" builtinId="9" hidden="1"/>
    <cellStyle name="Followed Hyperlink" xfId="1036" builtinId="9" hidden="1"/>
    <cellStyle name="Followed Hyperlink" xfId="1037" builtinId="9" hidden="1"/>
    <cellStyle name="Followed Hyperlink" xfId="1038" builtinId="9" hidden="1"/>
    <cellStyle name="Followed Hyperlink" xfId="1039" builtinId="9" hidden="1"/>
    <cellStyle name="Followed Hyperlink" xfId="1040" builtinId="9" hidden="1"/>
    <cellStyle name="Followed Hyperlink" xfId="1041" builtinId="9" hidden="1"/>
    <cellStyle name="Followed Hyperlink" xfId="1042" builtinId="9" hidden="1"/>
    <cellStyle name="Followed Hyperlink" xfId="1043" builtinId="9" hidden="1"/>
    <cellStyle name="Followed Hyperlink" xfId="1044" builtinId="9" hidden="1"/>
    <cellStyle name="Followed Hyperlink" xfId="1045" builtinId="9" hidden="1"/>
    <cellStyle name="Followed Hyperlink" xfId="1046" builtinId="9" hidden="1"/>
    <cellStyle name="Followed Hyperlink" xfId="1047" builtinId="9" hidden="1"/>
    <cellStyle name="Followed Hyperlink" xfId="1048" builtinId="9" hidden="1"/>
    <cellStyle name="Followed Hyperlink" xfId="1049" builtinId="9" hidden="1"/>
    <cellStyle name="Followed Hyperlink" xfId="1050" builtinId="9" hidden="1"/>
    <cellStyle name="Followed Hyperlink" xfId="1051" builtinId="9" hidden="1"/>
    <cellStyle name="Followed Hyperlink" xfId="1052" builtinId="9" hidden="1"/>
    <cellStyle name="Followed Hyperlink" xfId="1053" builtinId="9" hidden="1"/>
    <cellStyle name="Followed Hyperlink" xfId="1054" builtinId="9" hidden="1"/>
    <cellStyle name="Followed Hyperlink" xfId="1055" builtinId="9" hidden="1"/>
    <cellStyle name="Followed Hyperlink" xfId="1056" builtinId="9" hidden="1"/>
    <cellStyle name="Followed Hyperlink" xfId="1057" builtinId="9" hidden="1"/>
    <cellStyle name="Followed Hyperlink" xfId="1058" builtinId="9" hidden="1"/>
    <cellStyle name="Followed Hyperlink" xfId="1059" builtinId="9" hidden="1"/>
    <cellStyle name="Followed Hyperlink" xfId="1060" builtinId="9" hidden="1"/>
    <cellStyle name="Followed Hyperlink" xfId="1061" builtinId="9" hidden="1"/>
    <cellStyle name="Followed Hyperlink" xfId="1062" builtinId="9" hidden="1"/>
    <cellStyle name="Followed Hyperlink" xfId="1063" builtinId="9" hidden="1"/>
    <cellStyle name="Followed Hyperlink" xfId="1064" builtinId="9" hidden="1"/>
    <cellStyle name="Followed Hyperlink" xfId="1065" builtinId="9" hidden="1"/>
    <cellStyle name="Followed Hyperlink" xfId="1066" builtinId="9" hidden="1"/>
    <cellStyle name="Followed Hyperlink" xfId="1067" builtinId="9" hidden="1"/>
    <cellStyle name="Followed Hyperlink" xfId="1068" builtinId="9" hidden="1"/>
    <cellStyle name="Followed Hyperlink" xfId="1069" builtinId="9" hidden="1"/>
    <cellStyle name="Followed Hyperlink" xfId="1070" builtinId="9" hidden="1"/>
    <cellStyle name="Followed Hyperlink" xfId="1071" builtinId="9" hidden="1"/>
    <cellStyle name="Followed Hyperlink" xfId="1072" builtinId="9" hidden="1"/>
    <cellStyle name="Followed Hyperlink" xfId="1073" builtinId="9" hidden="1"/>
    <cellStyle name="Followed Hyperlink" xfId="1074" builtinId="9" hidden="1"/>
    <cellStyle name="Followed Hyperlink" xfId="1075" builtinId="9" hidden="1"/>
    <cellStyle name="Followed Hyperlink" xfId="1076" builtinId="9" hidden="1"/>
    <cellStyle name="Followed Hyperlink" xfId="1077" builtinId="9" hidden="1"/>
    <cellStyle name="Followed Hyperlink" xfId="1078" builtinId="9" hidden="1"/>
    <cellStyle name="Followed Hyperlink" xfId="1079" builtinId="9" hidden="1"/>
    <cellStyle name="Followed Hyperlink" xfId="1080" builtinId="9" hidden="1"/>
    <cellStyle name="Followed Hyperlink" xfId="1081" builtinId="9" hidden="1"/>
    <cellStyle name="Followed Hyperlink" xfId="1082" builtinId="9" hidden="1"/>
    <cellStyle name="Followed Hyperlink" xfId="1083" builtinId="9" hidden="1"/>
    <cellStyle name="Followed Hyperlink" xfId="1084" builtinId="9" hidden="1"/>
    <cellStyle name="Followed Hyperlink" xfId="1085" builtinId="9" hidden="1"/>
    <cellStyle name="Followed Hyperlink" xfId="1086" builtinId="9" hidden="1"/>
    <cellStyle name="Followed Hyperlink" xfId="1087" builtinId="9" hidden="1"/>
    <cellStyle name="Followed Hyperlink" xfId="1088" builtinId="9" hidden="1"/>
    <cellStyle name="Followed Hyperlink" xfId="1089" builtinId="9" hidden="1"/>
    <cellStyle name="Followed Hyperlink" xfId="1090" builtinId="9" hidden="1"/>
    <cellStyle name="Followed Hyperlink" xfId="1091" builtinId="9" hidden="1"/>
    <cellStyle name="Followed Hyperlink" xfId="1092" builtinId="9" hidden="1"/>
    <cellStyle name="Followed Hyperlink" xfId="1093" builtinId="9" hidden="1"/>
    <cellStyle name="Followed Hyperlink" xfId="1094" builtinId="9" hidden="1"/>
    <cellStyle name="Followed Hyperlink" xfId="1095" builtinId="9" hidden="1"/>
    <cellStyle name="Followed Hyperlink" xfId="1096" builtinId="9" hidden="1"/>
    <cellStyle name="Followed Hyperlink" xfId="1097" builtinId="9" hidden="1"/>
    <cellStyle name="Followed Hyperlink" xfId="1098" builtinId="9" hidden="1"/>
    <cellStyle name="Followed Hyperlink" xfId="1099" builtinId="9" hidden="1"/>
    <cellStyle name="Followed Hyperlink" xfId="1100" builtinId="9" hidden="1"/>
    <cellStyle name="Followed Hyperlink" xfId="1101" builtinId="9" hidden="1"/>
    <cellStyle name="Followed Hyperlink" xfId="1102" builtinId="9" hidden="1"/>
    <cellStyle name="Followed Hyperlink" xfId="1103" builtinId="9" hidden="1"/>
    <cellStyle name="Followed Hyperlink" xfId="1104" builtinId="9" hidden="1"/>
    <cellStyle name="Followed Hyperlink" xfId="1105" builtinId="9" hidden="1"/>
    <cellStyle name="Followed Hyperlink" xfId="1106" builtinId="9" hidden="1"/>
    <cellStyle name="Followed Hyperlink" xfId="1107" builtinId="9" hidden="1"/>
    <cellStyle name="Followed Hyperlink" xfId="1108" builtinId="9" hidden="1"/>
    <cellStyle name="Followed Hyperlink" xfId="1109" builtinId="9" hidden="1"/>
    <cellStyle name="Followed Hyperlink" xfId="1110" builtinId="9" hidden="1"/>
    <cellStyle name="Followed Hyperlink" xfId="1111" builtinId="9" hidden="1"/>
    <cellStyle name="Followed Hyperlink" xfId="1112" builtinId="9" hidden="1"/>
    <cellStyle name="Followed Hyperlink" xfId="1113" builtinId="9" hidden="1"/>
    <cellStyle name="Followed Hyperlink" xfId="1114" builtinId="9" hidden="1"/>
    <cellStyle name="Followed Hyperlink" xfId="1115" builtinId="9" hidden="1"/>
    <cellStyle name="Followed Hyperlink" xfId="1116" builtinId="9" hidden="1"/>
    <cellStyle name="Followed Hyperlink" xfId="1117" builtinId="9" hidden="1"/>
    <cellStyle name="Followed Hyperlink" xfId="1118" builtinId="9" hidden="1"/>
    <cellStyle name="Followed Hyperlink" xfId="1119" builtinId="9" hidden="1"/>
    <cellStyle name="Followed Hyperlink" xfId="1120" builtinId="9" hidden="1"/>
    <cellStyle name="Followed Hyperlink" xfId="1121" builtinId="9" hidden="1"/>
    <cellStyle name="Followed Hyperlink" xfId="1122" builtinId="9" hidden="1"/>
    <cellStyle name="Followed Hyperlink" xfId="1123" builtinId="9" hidden="1"/>
    <cellStyle name="Followed Hyperlink" xfId="1124" builtinId="9" hidden="1"/>
    <cellStyle name="Followed Hyperlink" xfId="1125" builtinId="9" hidden="1"/>
    <cellStyle name="Followed Hyperlink" xfId="1126" builtinId="9" hidden="1"/>
    <cellStyle name="Followed Hyperlink" xfId="1127" builtinId="9" hidden="1"/>
    <cellStyle name="Followed Hyperlink" xfId="1128" builtinId="9" hidden="1"/>
    <cellStyle name="Followed Hyperlink" xfId="1129" builtinId="9" hidden="1"/>
    <cellStyle name="Followed Hyperlink" xfId="1130" builtinId="9" hidden="1"/>
    <cellStyle name="Followed Hyperlink" xfId="1131" builtinId="9" hidden="1"/>
    <cellStyle name="Followed Hyperlink" xfId="1132" builtinId="9" hidden="1"/>
    <cellStyle name="Followed Hyperlink" xfId="1133" builtinId="9" hidden="1"/>
    <cellStyle name="Followed Hyperlink" xfId="1134" builtinId="9" hidden="1"/>
    <cellStyle name="Followed Hyperlink" xfId="1135" builtinId="9" hidden="1"/>
    <cellStyle name="Followed Hyperlink" xfId="1136" builtinId="9" hidden="1"/>
    <cellStyle name="Followed Hyperlink" xfId="1137" builtinId="9" hidden="1"/>
    <cellStyle name="Followed Hyperlink" xfId="1138" builtinId="9" hidden="1"/>
    <cellStyle name="Followed Hyperlink" xfId="1139" builtinId="9" hidden="1"/>
    <cellStyle name="Followed Hyperlink" xfId="1140" builtinId="9" hidden="1"/>
    <cellStyle name="Followed Hyperlink" xfId="1141" builtinId="9" hidden="1"/>
    <cellStyle name="Followed Hyperlink" xfId="1142" builtinId="9" hidden="1"/>
    <cellStyle name="Followed Hyperlink" xfId="1143" builtinId="9" hidden="1"/>
    <cellStyle name="Followed Hyperlink" xfId="1144" builtinId="9" hidden="1"/>
    <cellStyle name="Followed Hyperlink" xfId="1145" builtinId="9" hidden="1"/>
    <cellStyle name="Followed Hyperlink" xfId="1146" builtinId="9" hidden="1"/>
    <cellStyle name="Followed Hyperlink" xfId="1147" builtinId="9" hidden="1"/>
    <cellStyle name="Followed Hyperlink" xfId="1148" builtinId="9" hidden="1"/>
    <cellStyle name="Followed Hyperlink" xfId="1149" builtinId="9" hidden="1"/>
    <cellStyle name="Followed Hyperlink" xfId="1150" builtinId="9" hidden="1"/>
    <cellStyle name="Followed Hyperlink" xfId="1151" builtinId="9" hidden="1"/>
    <cellStyle name="Followed Hyperlink" xfId="1152" builtinId="9" hidden="1"/>
    <cellStyle name="Followed Hyperlink" xfId="1153" builtinId="9" hidden="1"/>
    <cellStyle name="Followed Hyperlink" xfId="1154" builtinId="9" hidden="1"/>
    <cellStyle name="Followed Hyperlink" xfId="1155" builtinId="9" hidden="1"/>
    <cellStyle name="Followed Hyperlink" xfId="1156" builtinId="9" hidden="1"/>
    <cellStyle name="Followed Hyperlink" xfId="1157" builtinId="9" hidden="1"/>
    <cellStyle name="Followed Hyperlink" xfId="1158" builtinId="9" hidden="1"/>
    <cellStyle name="Followed Hyperlink" xfId="1159" builtinId="9" hidden="1"/>
    <cellStyle name="Followed Hyperlink" xfId="1160" builtinId="9" hidden="1"/>
    <cellStyle name="Followed Hyperlink" xfId="1161" builtinId="9" hidden="1"/>
    <cellStyle name="Followed Hyperlink" xfId="1162" builtinId="9" hidden="1"/>
    <cellStyle name="Followed Hyperlink" xfId="1163" builtinId="9" hidden="1"/>
    <cellStyle name="Followed Hyperlink" xfId="1164" builtinId="9" hidden="1"/>
    <cellStyle name="Followed Hyperlink" xfId="1165" builtinId="9" hidden="1"/>
    <cellStyle name="Followed Hyperlink" xfId="1166" builtinId="9" hidden="1"/>
    <cellStyle name="Followed Hyperlink" xfId="1167" builtinId="9" hidden="1"/>
    <cellStyle name="Followed Hyperlink" xfId="1168" builtinId="9" hidden="1"/>
    <cellStyle name="Followed Hyperlink" xfId="1169" builtinId="9" hidden="1"/>
    <cellStyle name="Followed Hyperlink" xfId="1170" builtinId="9" hidden="1"/>
    <cellStyle name="Followed Hyperlink" xfId="1171" builtinId="9" hidden="1"/>
    <cellStyle name="Followed Hyperlink" xfId="1172" builtinId="9" hidden="1"/>
    <cellStyle name="Followed Hyperlink" xfId="1173" builtinId="9" hidden="1"/>
    <cellStyle name="Followed Hyperlink" xfId="1174" builtinId="9" hidden="1"/>
    <cellStyle name="Followed Hyperlink" xfId="1175" builtinId="9" hidden="1"/>
    <cellStyle name="Followed Hyperlink" xfId="1176" builtinId="9" hidden="1"/>
    <cellStyle name="Followed Hyperlink" xfId="1177" builtinId="9" hidden="1"/>
    <cellStyle name="Followed Hyperlink" xfId="1178" builtinId="9" hidden="1"/>
    <cellStyle name="Followed Hyperlink" xfId="1179" builtinId="9" hidden="1"/>
    <cellStyle name="Followed Hyperlink" xfId="1180" builtinId="9" hidden="1"/>
    <cellStyle name="Followed Hyperlink" xfId="1181" builtinId="9" hidden="1"/>
    <cellStyle name="Followed Hyperlink" xfId="1182" builtinId="9" hidden="1"/>
    <cellStyle name="Followed Hyperlink" xfId="1183" builtinId="9" hidden="1"/>
    <cellStyle name="Followed Hyperlink" xfId="1184" builtinId="9" hidden="1"/>
    <cellStyle name="Followed Hyperlink" xfId="1185" builtinId="9" hidden="1"/>
    <cellStyle name="Followed Hyperlink" xfId="1186" builtinId="9" hidden="1"/>
    <cellStyle name="Followed Hyperlink" xfId="1187" builtinId="9" hidden="1"/>
    <cellStyle name="Followed Hyperlink" xfId="1188" builtinId="9" hidden="1"/>
    <cellStyle name="Followed Hyperlink" xfId="1189" builtinId="9" hidden="1"/>
    <cellStyle name="Followed Hyperlink" xfId="1190" builtinId="9" hidden="1"/>
    <cellStyle name="Followed Hyperlink" xfId="1191" builtinId="9" hidden="1"/>
    <cellStyle name="Followed Hyperlink" xfId="1192" builtinId="9" hidden="1"/>
    <cellStyle name="Followed Hyperlink" xfId="1193" builtinId="9" hidden="1"/>
    <cellStyle name="Followed Hyperlink" xfId="1194" builtinId="9" hidden="1"/>
    <cellStyle name="Followed Hyperlink" xfId="1195" builtinId="9" hidden="1"/>
    <cellStyle name="Followed Hyperlink" xfId="1196" builtinId="9" hidden="1"/>
    <cellStyle name="Followed Hyperlink" xfId="1197" builtinId="9" hidden="1"/>
    <cellStyle name="Followed Hyperlink" xfId="1198" builtinId="9" hidden="1"/>
    <cellStyle name="Followed Hyperlink" xfId="1199" builtinId="9" hidden="1"/>
    <cellStyle name="Followed Hyperlink" xfId="1200" builtinId="9" hidden="1"/>
    <cellStyle name="Followed Hyperlink" xfId="1201" builtinId="9" hidden="1"/>
    <cellStyle name="Followed Hyperlink" xfId="1202" builtinId="9" hidden="1"/>
    <cellStyle name="Followed Hyperlink" xfId="1203" builtinId="9" hidden="1"/>
    <cellStyle name="Followed Hyperlink" xfId="1204" builtinId="9" hidden="1"/>
    <cellStyle name="Followed Hyperlink" xfId="1205" builtinId="9" hidden="1"/>
    <cellStyle name="Followed Hyperlink" xfId="1206" builtinId="9" hidden="1"/>
    <cellStyle name="Followed Hyperlink" xfId="1207" builtinId="9" hidden="1"/>
    <cellStyle name="Followed Hyperlink" xfId="1208" builtinId="9" hidden="1"/>
    <cellStyle name="Followed Hyperlink" xfId="1209" builtinId="9" hidden="1"/>
    <cellStyle name="Followed Hyperlink" xfId="1210" builtinId="9" hidden="1"/>
    <cellStyle name="Followed Hyperlink" xfId="1211" builtinId="9" hidden="1"/>
    <cellStyle name="Followed Hyperlink" xfId="1212" builtinId="9" hidden="1"/>
    <cellStyle name="Followed Hyperlink" xfId="1213" builtinId="9" hidden="1"/>
    <cellStyle name="Followed Hyperlink" xfId="1214" builtinId="9" hidden="1"/>
    <cellStyle name="Followed Hyperlink" xfId="1215" builtinId="9" hidden="1"/>
    <cellStyle name="Followed Hyperlink" xfId="1216" builtinId="9" hidden="1"/>
    <cellStyle name="Followed Hyperlink" xfId="1217" builtinId="9" hidden="1"/>
    <cellStyle name="Followed Hyperlink" xfId="1218" builtinId="9" hidden="1"/>
    <cellStyle name="Followed Hyperlink" xfId="1219" builtinId="9" hidden="1"/>
    <cellStyle name="Followed Hyperlink" xfId="1220" builtinId="9" hidden="1"/>
    <cellStyle name="Followed Hyperlink" xfId="1221" builtinId="9" hidden="1"/>
    <cellStyle name="Followed Hyperlink" xfId="1222" builtinId="9" hidden="1"/>
    <cellStyle name="Followed Hyperlink" xfId="1223" builtinId="9" hidden="1"/>
    <cellStyle name="Followed Hyperlink" xfId="1224" builtinId="9" hidden="1"/>
    <cellStyle name="Followed Hyperlink" xfId="1225" builtinId="9" hidden="1"/>
    <cellStyle name="Followed Hyperlink" xfId="1226" builtinId="9" hidden="1"/>
    <cellStyle name="Followed Hyperlink" xfId="1227" builtinId="9" hidden="1"/>
    <cellStyle name="Followed Hyperlink" xfId="1228" builtinId="9" hidden="1"/>
    <cellStyle name="Followed Hyperlink" xfId="1229" builtinId="9" hidden="1"/>
    <cellStyle name="Followed Hyperlink" xfId="1230" builtinId="9" hidden="1"/>
    <cellStyle name="Followed Hyperlink" xfId="1231" builtinId="9" hidden="1"/>
    <cellStyle name="Followed Hyperlink" xfId="1232" builtinId="9" hidden="1"/>
    <cellStyle name="Followed Hyperlink" xfId="1233" builtinId="9" hidden="1"/>
    <cellStyle name="Followed Hyperlink" xfId="1234" builtinId="9" hidden="1"/>
    <cellStyle name="Followed Hyperlink" xfId="1235" builtinId="9" hidden="1"/>
    <cellStyle name="Followed Hyperlink" xfId="1236" builtinId="9" hidden="1"/>
    <cellStyle name="Followed Hyperlink" xfId="1237" builtinId="9" hidden="1"/>
    <cellStyle name="Followed Hyperlink" xfId="1238" builtinId="9" hidden="1"/>
    <cellStyle name="Followed Hyperlink" xfId="1239" builtinId="9" hidden="1"/>
    <cellStyle name="Followed Hyperlink" xfId="1240" builtinId="9" hidden="1"/>
    <cellStyle name="Followed Hyperlink" xfId="1241" builtinId="9" hidden="1"/>
    <cellStyle name="Followed Hyperlink" xfId="1242" builtinId="9" hidden="1"/>
    <cellStyle name="Followed Hyperlink" xfId="1243" builtinId="9" hidden="1"/>
    <cellStyle name="Followed Hyperlink" xfId="1244" builtinId="9" hidden="1"/>
    <cellStyle name="Followed Hyperlink" xfId="1245" builtinId="9" hidden="1"/>
    <cellStyle name="Followed Hyperlink" xfId="1246" builtinId="9" hidden="1"/>
    <cellStyle name="Followed Hyperlink" xfId="1247" builtinId="9" hidden="1"/>
    <cellStyle name="Followed Hyperlink" xfId="1248" builtinId="9" hidden="1"/>
    <cellStyle name="Followed Hyperlink" xfId="1249" builtinId="9" hidden="1"/>
    <cellStyle name="Followed Hyperlink" xfId="1250" builtinId="9" hidden="1"/>
    <cellStyle name="Followed Hyperlink" xfId="1251" builtinId="9" hidden="1"/>
    <cellStyle name="Followed Hyperlink" xfId="1252" builtinId="9" hidden="1"/>
    <cellStyle name="Followed Hyperlink" xfId="1253" builtinId="9" hidden="1"/>
    <cellStyle name="Followed Hyperlink" xfId="1254" builtinId="9" hidden="1"/>
    <cellStyle name="Followed Hyperlink" xfId="1255" builtinId="9" hidden="1"/>
    <cellStyle name="Followed Hyperlink" xfId="1256" builtinId="9" hidden="1"/>
    <cellStyle name="Followed Hyperlink" xfId="1257" builtinId="9" hidden="1"/>
    <cellStyle name="Followed Hyperlink" xfId="1258" builtinId="9" hidden="1"/>
    <cellStyle name="Followed Hyperlink" xfId="1259" builtinId="9" hidden="1"/>
    <cellStyle name="Followed Hyperlink" xfId="1260" builtinId="9" hidden="1"/>
    <cellStyle name="Followed Hyperlink" xfId="1261" builtinId="9" hidden="1"/>
    <cellStyle name="Followed Hyperlink" xfId="1262" builtinId="9" hidden="1"/>
    <cellStyle name="Followed Hyperlink" xfId="1263" builtinId="9" hidden="1"/>
    <cellStyle name="Followed Hyperlink" xfId="1264" builtinId="9" hidden="1"/>
    <cellStyle name="Followed Hyperlink" xfId="1265" builtinId="9" hidden="1"/>
    <cellStyle name="Followed Hyperlink" xfId="1266" builtinId="9" hidden="1"/>
    <cellStyle name="Followed Hyperlink" xfId="1267" builtinId="9" hidden="1"/>
    <cellStyle name="Followed Hyperlink" xfId="1268" builtinId="9" hidden="1"/>
    <cellStyle name="Followed Hyperlink" xfId="1269" builtinId="9" hidden="1"/>
    <cellStyle name="Followed Hyperlink" xfId="1270" builtinId="9" hidden="1"/>
    <cellStyle name="Followed Hyperlink" xfId="1271" builtinId="9" hidden="1"/>
    <cellStyle name="Followed Hyperlink" xfId="1272" builtinId="9" hidden="1"/>
    <cellStyle name="Followed Hyperlink" xfId="1273" builtinId="9" hidden="1"/>
    <cellStyle name="Followed Hyperlink" xfId="1274" builtinId="9" hidden="1"/>
    <cellStyle name="Followed Hyperlink" xfId="1275" builtinId="9" hidden="1"/>
    <cellStyle name="Followed Hyperlink" xfId="1276" builtinId="9" hidden="1"/>
    <cellStyle name="Followed Hyperlink" xfId="1277" builtinId="9" hidden="1"/>
    <cellStyle name="Followed Hyperlink" xfId="1278" builtinId="9" hidden="1"/>
    <cellStyle name="Followed Hyperlink" xfId="1279" builtinId="9" hidden="1"/>
    <cellStyle name="Followed Hyperlink" xfId="1280" builtinId="9" hidden="1"/>
    <cellStyle name="Followed Hyperlink" xfId="1281" builtinId="9" hidden="1"/>
    <cellStyle name="Followed Hyperlink" xfId="1282" builtinId="9" hidden="1"/>
    <cellStyle name="Followed Hyperlink" xfId="1283" builtinId="9" hidden="1"/>
    <cellStyle name="Followed Hyperlink" xfId="1284" builtinId="9" hidden="1"/>
    <cellStyle name="Followed Hyperlink" xfId="1285" builtinId="9" hidden="1"/>
    <cellStyle name="Followed Hyperlink" xfId="1286" builtinId="9" hidden="1"/>
    <cellStyle name="Followed Hyperlink" xfId="1287" builtinId="9" hidden="1"/>
    <cellStyle name="Followed Hyperlink" xfId="1288" builtinId="9" hidden="1"/>
    <cellStyle name="Followed Hyperlink" xfId="1289" builtinId="9" hidden="1"/>
    <cellStyle name="Followed Hyperlink" xfId="1290" builtinId="9" hidden="1"/>
    <cellStyle name="Followed Hyperlink" xfId="1291" builtinId="9" hidden="1"/>
    <cellStyle name="Followed Hyperlink" xfId="1292" builtinId="9" hidden="1"/>
    <cellStyle name="Followed Hyperlink" xfId="1293" builtinId="9" hidden="1"/>
    <cellStyle name="Followed Hyperlink" xfId="1294" builtinId="9" hidden="1"/>
    <cellStyle name="Followed Hyperlink" xfId="1295" builtinId="9" hidden="1"/>
    <cellStyle name="Followed Hyperlink" xfId="1296" builtinId="9" hidden="1"/>
    <cellStyle name="Followed Hyperlink" xfId="1297" builtinId="9" hidden="1"/>
    <cellStyle name="Followed Hyperlink" xfId="1298" builtinId="9" hidden="1"/>
    <cellStyle name="Followed Hyperlink" xfId="1299" builtinId="9" hidden="1"/>
    <cellStyle name="Followed Hyperlink" xfId="1300" builtinId="9" hidden="1"/>
    <cellStyle name="Followed Hyperlink" xfId="1301" builtinId="9" hidden="1"/>
    <cellStyle name="Followed Hyperlink" xfId="1302" builtinId="9" hidden="1"/>
    <cellStyle name="Followed Hyperlink" xfId="1303" builtinId="9" hidden="1"/>
    <cellStyle name="Followed Hyperlink" xfId="1304" builtinId="9" hidden="1"/>
    <cellStyle name="Followed Hyperlink" xfId="1305" builtinId="9" hidden="1"/>
    <cellStyle name="Followed Hyperlink" xfId="1306" builtinId="9" hidden="1"/>
    <cellStyle name="Followed Hyperlink" xfId="1307" builtinId="9" hidden="1"/>
    <cellStyle name="Followed Hyperlink" xfId="1308" builtinId="9" hidden="1"/>
    <cellStyle name="Followed Hyperlink" xfId="1309" builtinId="9" hidden="1"/>
    <cellStyle name="Followed Hyperlink" xfId="1310" builtinId="9" hidden="1"/>
    <cellStyle name="Followed Hyperlink" xfId="1311" builtinId="9" hidden="1"/>
    <cellStyle name="Followed Hyperlink" xfId="1312" builtinId="9" hidden="1"/>
    <cellStyle name="Followed Hyperlink" xfId="1313" builtinId="9" hidden="1"/>
    <cellStyle name="Followed Hyperlink" xfId="1314" builtinId="9" hidden="1"/>
    <cellStyle name="Followed Hyperlink" xfId="1315" builtinId="9" hidden="1"/>
    <cellStyle name="Followed Hyperlink" xfId="1316" builtinId="9" hidden="1"/>
    <cellStyle name="Followed Hyperlink" xfId="1317" builtinId="9" hidden="1"/>
    <cellStyle name="Followed Hyperlink" xfId="1318" builtinId="9" hidden="1"/>
    <cellStyle name="Followed Hyperlink" xfId="1319" builtinId="9" hidden="1"/>
    <cellStyle name="Followed Hyperlink" xfId="1320" builtinId="9" hidden="1"/>
    <cellStyle name="Followed Hyperlink" xfId="1321" builtinId="9" hidden="1"/>
    <cellStyle name="Followed Hyperlink" xfId="1322" builtinId="9" hidden="1"/>
    <cellStyle name="Followed Hyperlink" xfId="1323" builtinId="9" hidden="1"/>
    <cellStyle name="Followed Hyperlink" xfId="1324" builtinId="9" hidden="1"/>
    <cellStyle name="Followed Hyperlink" xfId="1325" builtinId="9" hidden="1"/>
    <cellStyle name="Followed Hyperlink" xfId="1326" builtinId="9" hidden="1"/>
    <cellStyle name="Followed Hyperlink" xfId="1327" builtinId="9" hidden="1"/>
    <cellStyle name="Followed Hyperlink" xfId="1328" builtinId="9" hidden="1"/>
    <cellStyle name="Followed Hyperlink" xfId="1329" builtinId="9" hidden="1"/>
    <cellStyle name="Followed Hyperlink" xfId="1330" builtinId="9" hidden="1"/>
    <cellStyle name="Followed Hyperlink" xfId="1331" builtinId="9" hidden="1"/>
    <cellStyle name="Followed Hyperlink" xfId="1332" builtinId="9" hidden="1"/>
    <cellStyle name="Followed Hyperlink" xfId="1333" builtinId="9" hidden="1"/>
    <cellStyle name="Followed Hyperlink" xfId="1334" builtinId="9" hidden="1"/>
    <cellStyle name="Followed Hyperlink" xfId="1335" builtinId="9" hidden="1"/>
    <cellStyle name="Followed Hyperlink" xfId="1336" builtinId="9" hidden="1"/>
    <cellStyle name="Followed Hyperlink" xfId="1337" builtinId="9" hidden="1"/>
    <cellStyle name="Followed Hyperlink" xfId="1338" builtinId="9" hidden="1"/>
    <cellStyle name="Followed Hyperlink" xfId="1339" builtinId="9" hidden="1"/>
    <cellStyle name="Followed Hyperlink" xfId="1340" builtinId="9" hidden="1"/>
    <cellStyle name="Followed Hyperlink" xfId="1341" builtinId="9" hidden="1"/>
    <cellStyle name="Followed Hyperlink" xfId="1342" builtinId="9" hidden="1"/>
    <cellStyle name="Followed Hyperlink" xfId="1343" builtinId="9" hidden="1"/>
    <cellStyle name="Followed Hyperlink" xfId="1344" builtinId="9" hidden="1"/>
    <cellStyle name="Followed Hyperlink" xfId="1345" builtinId="9" hidden="1"/>
    <cellStyle name="Followed Hyperlink" xfId="1346" builtinId="9" hidden="1"/>
    <cellStyle name="Followed Hyperlink" xfId="1347" builtinId="9" hidden="1"/>
    <cellStyle name="Followed Hyperlink" xfId="1348" builtinId="9" hidden="1"/>
    <cellStyle name="Followed Hyperlink" xfId="1349" builtinId="9" hidden="1"/>
    <cellStyle name="Followed Hyperlink" xfId="1350" builtinId="9" hidden="1"/>
    <cellStyle name="Followed Hyperlink" xfId="1351" builtinId="9" hidden="1"/>
    <cellStyle name="Followed Hyperlink" xfId="1352" builtinId="9" hidden="1"/>
    <cellStyle name="Followed Hyperlink" xfId="1353" builtinId="9" hidden="1"/>
    <cellStyle name="Followed Hyperlink" xfId="1354" builtinId="9" hidden="1"/>
    <cellStyle name="Followed Hyperlink" xfId="1355" builtinId="9" hidden="1"/>
    <cellStyle name="Followed Hyperlink" xfId="1356" builtinId="9" hidden="1"/>
    <cellStyle name="Followed Hyperlink" xfId="1357" builtinId="9" hidden="1"/>
    <cellStyle name="Followed Hyperlink" xfId="1358" builtinId="9" hidden="1"/>
    <cellStyle name="Followed Hyperlink" xfId="1359" builtinId="9" hidden="1"/>
    <cellStyle name="Followed Hyperlink" xfId="1360" builtinId="9" hidden="1"/>
    <cellStyle name="Followed Hyperlink" xfId="1361" builtinId="9" hidden="1"/>
    <cellStyle name="Followed Hyperlink" xfId="1362" builtinId="9" hidden="1"/>
    <cellStyle name="Followed Hyperlink" xfId="1363" builtinId="9" hidden="1"/>
    <cellStyle name="Followed Hyperlink" xfId="1364" builtinId="9" hidden="1"/>
    <cellStyle name="Followed Hyperlink" xfId="1365" builtinId="9" hidden="1"/>
    <cellStyle name="Followed Hyperlink" xfId="1366" builtinId="9" hidden="1"/>
    <cellStyle name="Followed Hyperlink" xfId="1367" builtinId="9" hidden="1"/>
    <cellStyle name="Followed Hyperlink" xfId="1368" builtinId="9" hidden="1"/>
    <cellStyle name="Followed Hyperlink" xfId="1369" builtinId="9" hidden="1"/>
    <cellStyle name="Followed Hyperlink" xfId="1370" builtinId="9" hidden="1"/>
    <cellStyle name="Followed Hyperlink" xfId="1371" builtinId="9" hidden="1"/>
    <cellStyle name="Followed Hyperlink" xfId="1372" builtinId="9" hidden="1"/>
    <cellStyle name="Followed Hyperlink" xfId="1373" builtinId="9" hidden="1"/>
    <cellStyle name="Followed Hyperlink" xfId="1374" builtinId="9" hidden="1"/>
    <cellStyle name="Followed Hyperlink" xfId="1375" builtinId="9" hidden="1"/>
    <cellStyle name="Followed Hyperlink" xfId="1376" builtinId="9" hidden="1"/>
    <cellStyle name="Followed Hyperlink" xfId="1377" builtinId="9" hidden="1"/>
    <cellStyle name="Followed Hyperlink" xfId="1378" builtinId="9" hidden="1"/>
    <cellStyle name="Followed Hyperlink" xfId="1379" builtinId="9" hidden="1"/>
    <cellStyle name="Followed Hyperlink" xfId="1380" builtinId="9" hidden="1"/>
    <cellStyle name="Followed Hyperlink" xfId="1381" builtinId="9" hidden="1"/>
    <cellStyle name="Followed Hyperlink" xfId="1382" builtinId="9" hidden="1"/>
    <cellStyle name="Followed Hyperlink" xfId="1383" builtinId="9" hidden="1"/>
    <cellStyle name="Followed Hyperlink" xfId="1384" builtinId="9" hidden="1"/>
    <cellStyle name="Followed Hyperlink" xfId="1385" builtinId="9" hidden="1"/>
    <cellStyle name="Followed Hyperlink" xfId="1386" builtinId="9" hidden="1"/>
    <cellStyle name="Followed Hyperlink" xfId="1387" builtinId="9" hidden="1"/>
    <cellStyle name="Followed Hyperlink" xfId="1388" builtinId="9" hidden="1"/>
    <cellStyle name="Followed Hyperlink" xfId="1389" builtinId="9" hidden="1"/>
    <cellStyle name="Followed Hyperlink" xfId="1390" builtinId="9" hidden="1"/>
    <cellStyle name="Followed Hyperlink" xfId="1391" builtinId="9" hidden="1"/>
    <cellStyle name="Followed Hyperlink" xfId="1392" builtinId="9" hidden="1"/>
    <cellStyle name="Followed Hyperlink" xfId="1393" builtinId="9" hidden="1"/>
    <cellStyle name="Followed Hyperlink" xfId="1394" builtinId="9" hidden="1"/>
    <cellStyle name="Followed Hyperlink" xfId="1395" builtinId="9" hidden="1"/>
    <cellStyle name="Followed Hyperlink" xfId="1396" builtinId="9" hidden="1"/>
    <cellStyle name="Followed Hyperlink" xfId="1397" builtinId="9" hidden="1"/>
    <cellStyle name="Followed Hyperlink" xfId="1398" builtinId="9" hidden="1"/>
    <cellStyle name="Followed Hyperlink" xfId="1399" builtinId="9" hidden="1"/>
    <cellStyle name="Followed Hyperlink" xfId="1400" builtinId="9" hidden="1"/>
    <cellStyle name="Followed Hyperlink" xfId="1401" builtinId="9" hidden="1"/>
    <cellStyle name="Followed Hyperlink" xfId="1402" builtinId="9" hidden="1"/>
    <cellStyle name="Followed Hyperlink" xfId="1403" builtinId="9" hidden="1"/>
    <cellStyle name="Followed Hyperlink" xfId="1404" builtinId="9" hidden="1"/>
    <cellStyle name="Followed Hyperlink" xfId="1405" builtinId="9" hidden="1"/>
    <cellStyle name="Followed Hyperlink" xfId="1406" builtinId="9" hidden="1"/>
    <cellStyle name="Followed Hyperlink" xfId="1407" builtinId="9" hidden="1"/>
    <cellStyle name="Followed Hyperlink" xfId="1408" builtinId="9" hidden="1"/>
    <cellStyle name="Followed Hyperlink" xfId="1409" builtinId="9" hidden="1"/>
    <cellStyle name="Followed Hyperlink" xfId="1410" builtinId="9" hidden="1"/>
    <cellStyle name="Followed Hyperlink" xfId="1411" builtinId="9" hidden="1"/>
    <cellStyle name="Followed Hyperlink" xfId="1412" builtinId="9" hidden="1"/>
    <cellStyle name="Followed Hyperlink" xfId="1413" builtinId="9" hidden="1"/>
    <cellStyle name="Followed Hyperlink" xfId="1414" builtinId="9" hidden="1"/>
    <cellStyle name="Followed Hyperlink" xfId="1415" builtinId="9" hidden="1"/>
    <cellStyle name="Followed Hyperlink" xfId="1416" builtinId="9" hidden="1"/>
    <cellStyle name="Followed Hyperlink" xfId="1417" builtinId="9" hidden="1"/>
    <cellStyle name="Followed Hyperlink" xfId="1418" builtinId="9" hidden="1"/>
    <cellStyle name="Followed Hyperlink" xfId="1419" builtinId="9" hidden="1"/>
    <cellStyle name="Followed Hyperlink" xfId="1420" builtinId="9" hidden="1"/>
    <cellStyle name="Followed Hyperlink" xfId="1421" builtinId="9" hidden="1"/>
    <cellStyle name="Followed Hyperlink" xfId="1422" builtinId="9" hidden="1"/>
    <cellStyle name="Followed Hyperlink" xfId="1423" builtinId="9" hidden="1"/>
    <cellStyle name="Followed Hyperlink" xfId="1424" builtinId="9" hidden="1"/>
    <cellStyle name="Followed Hyperlink" xfId="1425" builtinId="9" hidden="1"/>
    <cellStyle name="Followed Hyperlink" xfId="1426" builtinId="9" hidden="1"/>
    <cellStyle name="Followed Hyperlink" xfId="1427" builtinId="9" hidden="1"/>
    <cellStyle name="Followed Hyperlink" xfId="1428" builtinId="9" hidden="1"/>
    <cellStyle name="Followed Hyperlink" xfId="1429" builtinId="9" hidden="1"/>
    <cellStyle name="Followed Hyperlink" xfId="1430" builtinId="9" hidden="1"/>
    <cellStyle name="Followed Hyperlink" xfId="1431" builtinId="9" hidden="1"/>
    <cellStyle name="Followed Hyperlink" xfId="1432" builtinId="9" hidden="1"/>
    <cellStyle name="Followed Hyperlink" xfId="1433" builtinId="9" hidden="1"/>
    <cellStyle name="Followed Hyperlink" xfId="1434" builtinId="9" hidden="1"/>
    <cellStyle name="Followed Hyperlink" xfId="1435" builtinId="9" hidden="1"/>
    <cellStyle name="Followed Hyperlink" xfId="1436" builtinId="9" hidden="1"/>
    <cellStyle name="Followed Hyperlink" xfId="1437" builtinId="9" hidden="1"/>
    <cellStyle name="Followed Hyperlink" xfId="1438" builtinId="9" hidden="1"/>
    <cellStyle name="Followed Hyperlink" xfId="1439" builtinId="9" hidden="1"/>
    <cellStyle name="Followed Hyperlink" xfId="1440" builtinId="9" hidden="1"/>
    <cellStyle name="Followed Hyperlink" xfId="1441" builtinId="9" hidden="1"/>
    <cellStyle name="Followed Hyperlink" xfId="1442" builtinId="9" hidden="1"/>
    <cellStyle name="Followed Hyperlink" xfId="1443" builtinId="9" hidden="1"/>
    <cellStyle name="Followed Hyperlink" xfId="1444" builtinId="9" hidden="1"/>
    <cellStyle name="Followed Hyperlink" xfId="1445" builtinId="9" hidden="1"/>
    <cellStyle name="Followed Hyperlink" xfId="1446" builtinId="9" hidden="1"/>
    <cellStyle name="Followed Hyperlink" xfId="1447" builtinId="9" hidden="1"/>
    <cellStyle name="Followed Hyperlink" xfId="1448" builtinId="9" hidden="1"/>
    <cellStyle name="Followed Hyperlink" xfId="1449" builtinId="9" hidden="1"/>
    <cellStyle name="Followed Hyperlink" xfId="1450" builtinId="9" hidden="1"/>
    <cellStyle name="Followed Hyperlink" xfId="1451" builtinId="9" hidden="1"/>
    <cellStyle name="Followed Hyperlink" xfId="1452" builtinId="9" hidden="1"/>
    <cellStyle name="Followed Hyperlink" xfId="1453" builtinId="9" hidden="1"/>
    <cellStyle name="Followed Hyperlink" xfId="1454" builtinId="9" hidden="1"/>
    <cellStyle name="Followed Hyperlink" xfId="1455" builtinId="9" hidden="1"/>
    <cellStyle name="Followed Hyperlink" xfId="1456" builtinId="9" hidden="1"/>
    <cellStyle name="Followed Hyperlink" xfId="1457" builtinId="9" hidden="1"/>
    <cellStyle name="Followed Hyperlink" xfId="1458" builtinId="9" hidden="1"/>
    <cellStyle name="Followed Hyperlink" xfId="1459" builtinId="9" hidden="1"/>
    <cellStyle name="Followed Hyperlink" xfId="1460" builtinId="9" hidden="1"/>
    <cellStyle name="Followed Hyperlink" xfId="1461" builtinId="9" hidden="1"/>
    <cellStyle name="Followed Hyperlink" xfId="1462" builtinId="9" hidden="1"/>
    <cellStyle name="Followed Hyperlink" xfId="1463" builtinId="9" hidden="1"/>
    <cellStyle name="Followed Hyperlink" xfId="1464" builtinId="9" hidden="1"/>
    <cellStyle name="Followed Hyperlink" xfId="1465" builtinId="9" hidden="1"/>
    <cellStyle name="Followed Hyperlink" xfId="1466" builtinId="9" hidden="1"/>
    <cellStyle name="Followed Hyperlink" xfId="1467" builtinId="9" hidden="1"/>
    <cellStyle name="Followed Hyperlink" xfId="1468" builtinId="9" hidden="1"/>
    <cellStyle name="Followed Hyperlink" xfId="1469" builtinId="9" hidden="1"/>
    <cellStyle name="Followed Hyperlink" xfId="1470" builtinId="9" hidden="1"/>
    <cellStyle name="Followed Hyperlink" xfId="1471" builtinId="9" hidden="1"/>
    <cellStyle name="Followed Hyperlink" xfId="1472" builtinId="9" hidden="1"/>
    <cellStyle name="Followed Hyperlink" xfId="1473" builtinId="9" hidden="1"/>
    <cellStyle name="Followed Hyperlink" xfId="1474" builtinId="9" hidden="1"/>
    <cellStyle name="Followed Hyperlink" xfId="1475" builtinId="9" hidden="1"/>
    <cellStyle name="Followed Hyperlink" xfId="1476" builtinId="9" hidden="1"/>
    <cellStyle name="Followed Hyperlink" xfId="1477" builtinId="9" hidden="1"/>
    <cellStyle name="Followed Hyperlink" xfId="1478" builtinId="9" hidden="1"/>
    <cellStyle name="Followed Hyperlink" xfId="1479" builtinId="9" hidden="1"/>
    <cellStyle name="Followed Hyperlink" xfId="1480" builtinId="9" hidden="1"/>
    <cellStyle name="Followed Hyperlink" xfId="1481" builtinId="9" hidden="1"/>
    <cellStyle name="Followed Hyperlink" xfId="1482" builtinId="9" hidden="1"/>
    <cellStyle name="Followed Hyperlink" xfId="1483" builtinId="9" hidden="1"/>
    <cellStyle name="Followed Hyperlink" xfId="1484" builtinId="9" hidden="1"/>
    <cellStyle name="Followed Hyperlink" xfId="1485" builtinId="9" hidden="1"/>
    <cellStyle name="Followed Hyperlink" xfId="1486" builtinId="9" hidden="1"/>
    <cellStyle name="Followed Hyperlink" xfId="1487" builtinId="9" hidden="1"/>
    <cellStyle name="Followed Hyperlink" xfId="1488" builtinId="9" hidden="1"/>
    <cellStyle name="Followed Hyperlink" xfId="1489" builtinId="9" hidden="1"/>
    <cellStyle name="Followed Hyperlink" xfId="1490" builtinId="9" hidden="1"/>
    <cellStyle name="Followed Hyperlink" xfId="1491" builtinId="9" hidden="1"/>
    <cellStyle name="Followed Hyperlink" xfId="1492" builtinId="9" hidden="1"/>
    <cellStyle name="Followed Hyperlink" xfId="1493" builtinId="9" hidden="1"/>
    <cellStyle name="Followed Hyperlink" xfId="1494" builtinId="9" hidden="1"/>
    <cellStyle name="Followed Hyperlink" xfId="1495" builtinId="9" hidden="1"/>
    <cellStyle name="Followed Hyperlink" xfId="1496" builtinId="9" hidden="1"/>
    <cellStyle name="Followed Hyperlink" xfId="1497" builtinId="9" hidden="1"/>
    <cellStyle name="Followed Hyperlink" xfId="1498" builtinId="9" hidden="1"/>
    <cellStyle name="Followed Hyperlink" xfId="1499" builtinId="9" hidden="1"/>
    <cellStyle name="Followed Hyperlink" xfId="1500" builtinId="9" hidden="1"/>
    <cellStyle name="Followed Hyperlink" xfId="1501" builtinId="9" hidden="1"/>
    <cellStyle name="Followed Hyperlink" xfId="1502" builtinId="9" hidden="1"/>
    <cellStyle name="Followed Hyperlink" xfId="1503" builtinId="9" hidden="1"/>
    <cellStyle name="Followed Hyperlink" xfId="1504" builtinId="9" hidden="1"/>
    <cellStyle name="Followed Hyperlink" xfId="1505" builtinId="9" hidden="1"/>
    <cellStyle name="Followed Hyperlink" xfId="1506" builtinId="9" hidden="1"/>
    <cellStyle name="Followed Hyperlink" xfId="1507" builtinId="9" hidden="1"/>
    <cellStyle name="Followed Hyperlink" xfId="1508" builtinId="9" hidden="1"/>
    <cellStyle name="Followed Hyperlink" xfId="1509" builtinId="9" hidden="1"/>
    <cellStyle name="Followed Hyperlink" xfId="1510" builtinId="9" hidden="1"/>
    <cellStyle name="Followed Hyperlink" xfId="1511" builtinId="9" hidden="1"/>
    <cellStyle name="Followed Hyperlink" xfId="1512" builtinId="9" hidden="1"/>
    <cellStyle name="Followed Hyperlink" xfId="1513" builtinId="9" hidden="1"/>
    <cellStyle name="Followed Hyperlink" xfId="1514" builtinId="9" hidden="1"/>
    <cellStyle name="Followed Hyperlink" xfId="1515" builtinId="9" hidden="1"/>
    <cellStyle name="Followed Hyperlink" xfId="1516" builtinId="9" hidden="1"/>
    <cellStyle name="Followed Hyperlink" xfId="1517" builtinId="9" hidden="1"/>
    <cellStyle name="Followed Hyperlink" xfId="1518" builtinId="9" hidden="1"/>
    <cellStyle name="Followed Hyperlink" xfId="1519" builtinId="9" hidden="1"/>
    <cellStyle name="Followed Hyperlink" xfId="1520" builtinId="9" hidden="1"/>
    <cellStyle name="Followed Hyperlink" xfId="1521" builtinId="9" hidden="1"/>
    <cellStyle name="Followed Hyperlink" xfId="1522" builtinId="9" hidden="1"/>
    <cellStyle name="Followed Hyperlink" xfId="1523" builtinId="9" hidden="1"/>
    <cellStyle name="Followed Hyperlink" xfId="1524" builtinId="9" hidden="1"/>
    <cellStyle name="Followed Hyperlink" xfId="1525" builtinId="9" hidden="1"/>
    <cellStyle name="Followed Hyperlink" xfId="1526" builtinId="9" hidden="1"/>
    <cellStyle name="Followed Hyperlink" xfId="1527" builtinId="9" hidden="1"/>
    <cellStyle name="Followed Hyperlink" xfId="1528" builtinId="9" hidden="1"/>
    <cellStyle name="Followed Hyperlink" xfId="1529" builtinId="9" hidden="1"/>
    <cellStyle name="Followed Hyperlink" xfId="1530" builtinId="9" hidden="1"/>
    <cellStyle name="Followed Hyperlink" xfId="1531" builtinId="9" hidden="1"/>
    <cellStyle name="Followed Hyperlink" xfId="1532" builtinId="9" hidden="1"/>
    <cellStyle name="Followed Hyperlink" xfId="1533" builtinId="9" hidden="1"/>
    <cellStyle name="Followed Hyperlink" xfId="1534" builtinId="9" hidden="1"/>
    <cellStyle name="Followed Hyperlink" xfId="1535" builtinId="9" hidden="1"/>
    <cellStyle name="Followed Hyperlink" xfId="1536" builtinId="9" hidden="1"/>
    <cellStyle name="Followed Hyperlink" xfId="1537" builtinId="9" hidden="1"/>
    <cellStyle name="Followed Hyperlink" xfId="1538" builtinId="9" hidden="1"/>
    <cellStyle name="Followed Hyperlink" xfId="1539" builtinId="9" hidden="1"/>
    <cellStyle name="Followed Hyperlink" xfId="1540" builtinId="9" hidden="1"/>
    <cellStyle name="Followed Hyperlink" xfId="1541" builtinId="9" hidden="1"/>
    <cellStyle name="Followed Hyperlink" xfId="1542" builtinId="9" hidden="1"/>
    <cellStyle name="Followed Hyperlink" xfId="1543" builtinId="9" hidden="1"/>
    <cellStyle name="Followed Hyperlink" xfId="1544" builtinId="9" hidden="1"/>
    <cellStyle name="Followed Hyperlink" xfId="1545" builtinId="9" hidden="1"/>
    <cellStyle name="Followed Hyperlink" xfId="1546" builtinId="9" hidden="1"/>
    <cellStyle name="Followed Hyperlink" xfId="1547" builtinId="9" hidden="1"/>
    <cellStyle name="Followed Hyperlink" xfId="1548" builtinId="9" hidden="1"/>
    <cellStyle name="Followed Hyperlink" xfId="1549" builtinId="9" hidden="1"/>
    <cellStyle name="Followed Hyperlink" xfId="1550" builtinId="9" hidden="1"/>
    <cellStyle name="Followed Hyperlink" xfId="1551" builtinId="9" hidden="1"/>
    <cellStyle name="Followed Hyperlink" xfId="1552" builtinId="9" hidden="1"/>
    <cellStyle name="Followed Hyperlink" xfId="1553" builtinId="9" hidden="1"/>
    <cellStyle name="Followed Hyperlink" xfId="1554" builtinId="9" hidden="1"/>
    <cellStyle name="Followed Hyperlink" xfId="1555" builtinId="9" hidden="1"/>
    <cellStyle name="Followed Hyperlink" xfId="1556" builtinId="9" hidden="1"/>
    <cellStyle name="Followed Hyperlink" xfId="1557" builtinId="9" hidden="1"/>
    <cellStyle name="Followed Hyperlink" xfId="1558" builtinId="9" hidden="1"/>
    <cellStyle name="Followed Hyperlink" xfId="1559" builtinId="9" hidden="1"/>
    <cellStyle name="Followed Hyperlink" xfId="1560" builtinId="9" hidden="1"/>
    <cellStyle name="Followed Hyperlink" xfId="1561" builtinId="9" hidden="1"/>
    <cellStyle name="Followed Hyperlink" xfId="1562" builtinId="9" hidden="1"/>
    <cellStyle name="Followed Hyperlink" xfId="1563" builtinId="9" hidden="1"/>
    <cellStyle name="Followed Hyperlink" xfId="1564" builtinId="9" hidden="1"/>
    <cellStyle name="Followed Hyperlink" xfId="1565" builtinId="9" hidden="1"/>
    <cellStyle name="Followed Hyperlink" xfId="1566" builtinId="9" hidden="1"/>
    <cellStyle name="Followed Hyperlink" xfId="1567" builtinId="9" hidden="1"/>
    <cellStyle name="Followed Hyperlink" xfId="1568" builtinId="9" hidden="1"/>
    <cellStyle name="Followed Hyperlink" xfId="1569" builtinId="9" hidden="1"/>
    <cellStyle name="Followed Hyperlink" xfId="1570" builtinId="9" hidden="1"/>
    <cellStyle name="Followed Hyperlink" xfId="1571" builtinId="9" hidden="1"/>
    <cellStyle name="Followed Hyperlink" xfId="1572" builtinId="9" hidden="1"/>
    <cellStyle name="Followed Hyperlink" xfId="1573" builtinId="9" hidden="1"/>
    <cellStyle name="Followed Hyperlink" xfId="1574" builtinId="9" hidden="1"/>
    <cellStyle name="Followed Hyperlink" xfId="1575" builtinId="9" hidden="1"/>
    <cellStyle name="Followed Hyperlink" xfId="1576" builtinId="9" hidden="1"/>
    <cellStyle name="Followed Hyperlink" xfId="1577" builtinId="9" hidden="1"/>
    <cellStyle name="Followed Hyperlink" xfId="1578" builtinId="9" hidden="1"/>
    <cellStyle name="Followed Hyperlink" xfId="1579" builtinId="9" hidden="1"/>
    <cellStyle name="Followed Hyperlink" xfId="1580" builtinId="9" hidden="1"/>
    <cellStyle name="Followed Hyperlink" xfId="1581" builtinId="9" hidden="1"/>
    <cellStyle name="Followed Hyperlink" xfId="1582" builtinId="9" hidden="1"/>
    <cellStyle name="Followed Hyperlink" xfId="1583" builtinId="9" hidden="1"/>
    <cellStyle name="Followed Hyperlink" xfId="1584" builtinId="9" hidden="1"/>
    <cellStyle name="Followed Hyperlink" xfId="1585" builtinId="9" hidden="1"/>
    <cellStyle name="Followed Hyperlink" xfId="1586" builtinId="9" hidden="1"/>
    <cellStyle name="Followed Hyperlink" xfId="1587" builtinId="9" hidden="1"/>
    <cellStyle name="Followed Hyperlink" xfId="1588" builtinId="9" hidden="1"/>
    <cellStyle name="Followed Hyperlink" xfId="1589" builtinId="9" hidden="1"/>
    <cellStyle name="Followed Hyperlink" xfId="1590" builtinId="9" hidden="1"/>
    <cellStyle name="Followed Hyperlink" xfId="1591" builtinId="9" hidden="1"/>
    <cellStyle name="Followed Hyperlink" xfId="1592" builtinId="9" hidden="1"/>
    <cellStyle name="Followed Hyperlink" xfId="1593" builtinId="9" hidden="1"/>
    <cellStyle name="Followed Hyperlink" xfId="1594" builtinId="9" hidden="1"/>
    <cellStyle name="Followed Hyperlink" xfId="1595" builtinId="9" hidden="1"/>
    <cellStyle name="Followed Hyperlink" xfId="1596" builtinId="9" hidden="1"/>
    <cellStyle name="Followed Hyperlink" xfId="1597" builtinId="9" hidden="1"/>
    <cellStyle name="Followed Hyperlink" xfId="1598" builtinId="9" hidden="1"/>
    <cellStyle name="Followed Hyperlink" xfId="1599" builtinId="9" hidden="1"/>
    <cellStyle name="Followed Hyperlink" xfId="1600" builtinId="9" hidden="1"/>
    <cellStyle name="Followed Hyperlink" xfId="1601" builtinId="9" hidden="1"/>
    <cellStyle name="Followed Hyperlink" xfId="1602" builtinId="9" hidden="1"/>
    <cellStyle name="Followed Hyperlink" xfId="1603" builtinId="9" hidden="1"/>
    <cellStyle name="Followed Hyperlink" xfId="1604" builtinId="9" hidden="1"/>
    <cellStyle name="Followed Hyperlink" xfId="1605" builtinId="9" hidden="1"/>
    <cellStyle name="Followed Hyperlink" xfId="1606" builtinId="9" hidden="1"/>
    <cellStyle name="Followed Hyperlink" xfId="1607" builtinId="9" hidden="1"/>
    <cellStyle name="Followed Hyperlink" xfId="1608" builtinId="9" hidden="1"/>
    <cellStyle name="Followed Hyperlink" xfId="1609" builtinId="9" hidden="1"/>
    <cellStyle name="Followed Hyperlink" xfId="1610" builtinId="9" hidden="1"/>
    <cellStyle name="Followed Hyperlink" xfId="1611" builtinId="9" hidden="1"/>
    <cellStyle name="Followed Hyperlink" xfId="1612" builtinId="9" hidden="1"/>
    <cellStyle name="Followed Hyperlink" xfId="1613" builtinId="9" hidden="1"/>
    <cellStyle name="Followed Hyperlink" xfId="1614" builtinId="9" hidden="1"/>
    <cellStyle name="Followed Hyperlink" xfId="1615" builtinId="9" hidden="1"/>
    <cellStyle name="Followed Hyperlink" xfId="1616" builtinId="9" hidden="1"/>
    <cellStyle name="Followed Hyperlink" xfId="1617" builtinId="9" hidden="1"/>
    <cellStyle name="Followed Hyperlink" xfId="1618" builtinId="9" hidden="1"/>
    <cellStyle name="Followed Hyperlink" xfId="1619" builtinId="9" hidden="1"/>
    <cellStyle name="Followed Hyperlink" xfId="1620" builtinId="9" hidden="1"/>
    <cellStyle name="Followed Hyperlink" xfId="1621" builtinId="9" hidden="1"/>
    <cellStyle name="Followed Hyperlink" xfId="1622" builtinId="9" hidden="1"/>
    <cellStyle name="Followed Hyperlink" xfId="1623" builtinId="9" hidden="1"/>
    <cellStyle name="Followed Hyperlink" xfId="1624" builtinId="9" hidden="1"/>
    <cellStyle name="Followed Hyperlink" xfId="1625" builtinId="9" hidden="1"/>
    <cellStyle name="Followed Hyperlink" xfId="1626" builtinId="9" hidden="1"/>
    <cellStyle name="Followed Hyperlink" xfId="1627" builtinId="9" hidden="1"/>
    <cellStyle name="Followed Hyperlink" xfId="1628" builtinId="9" hidden="1"/>
    <cellStyle name="Followed Hyperlink" xfId="1629" builtinId="9" hidden="1"/>
    <cellStyle name="Followed Hyperlink" xfId="1630" builtinId="9" hidden="1"/>
    <cellStyle name="Followed Hyperlink" xfId="1631" builtinId="9" hidden="1"/>
    <cellStyle name="Followed Hyperlink" xfId="1632" builtinId="9" hidden="1"/>
    <cellStyle name="Followed Hyperlink" xfId="1633" builtinId="9" hidden="1"/>
    <cellStyle name="Followed Hyperlink" xfId="1634" builtinId="9" hidden="1"/>
    <cellStyle name="Followed Hyperlink" xfId="1635" builtinId="9" hidden="1"/>
    <cellStyle name="Followed Hyperlink" xfId="1636" builtinId="9" hidden="1"/>
    <cellStyle name="Followed Hyperlink" xfId="1637" builtinId="9" hidden="1"/>
    <cellStyle name="Followed Hyperlink" xfId="1638" builtinId="9" hidden="1"/>
    <cellStyle name="Followed Hyperlink" xfId="1639" builtinId="9" hidden="1"/>
    <cellStyle name="Followed Hyperlink" xfId="1640" builtinId="9" hidden="1"/>
    <cellStyle name="Followed Hyperlink" xfId="1641" builtinId="9" hidden="1"/>
    <cellStyle name="Followed Hyperlink" xfId="1642" builtinId="9" hidden="1"/>
    <cellStyle name="Followed Hyperlink" xfId="1643" builtinId="9" hidden="1"/>
    <cellStyle name="Followed Hyperlink" xfId="1644" builtinId="9" hidden="1"/>
    <cellStyle name="Followed Hyperlink" xfId="1645" builtinId="9" hidden="1"/>
    <cellStyle name="Followed Hyperlink" xfId="1646" builtinId="9" hidden="1"/>
    <cellStyle name="Followed Hyperlink" xfId="1647" builtinId="9" hidden="1"/>
    <cellStyle name="Followed Hyperlink" xfId="1648" builtinId="9" hidden="1"/>
    <cellStyle name="Followed Hyperlink" xfId="1649" builtinId="9" hidden="1"/>
    <cellStyle name="Followed Hyperlink" xfId="1650" builtinId="9" hidden="1"/>
    <cellStyle name="Followed Hyperlink" xfId="1651" builtinId="9" hidden="1"/>
    <cellStyle name="Followed Hyperlink" xfId="1652" builtinId="9" hidden="1"/>
    <cellStyle name="Followed Hyperlink" xfId="1653" builtinId="9" hidden="1"/>
    <cellStyle name="Followed Hyperlink" xfId="1654" builtinId="9" hidden="1"/>
    <cellStyle name="Followed Hyperlink" xfId="1655" builtinId="9" hidden="1"/>
    <cellStyle name="Followed Hyperlink" xfId="1656" builtinId="9" hidden="1"/>
    <cellStyle name="Followed Hyperlink" xfId="1657" builtinId="9" hidden="1"/>
    <cellStyle name="Followed Hyperlink" xfId="1658" builtinId="9" hidden="1"/>
    <cellStyle name="Followed Hyperlink" xfId="1659" builtinId="9" hidden="1"/>
    <cellStyle name="Followed Hyperlink" xfId="1660" builtinId="9" hidden="1"/>
    <cellStyle name="Followed Hyperlink" xfId="1661" builtinId="9" hidden="1"/>
    <cellStyle name="Followed Hyperlink" xfId="1662" builtinId="9" hidden="1"/>
    <cellStyle name="Followed Hyperlink" xfId="1663" builtinId="9" hidden="1"/>
    <cellStyle name="Followed Hyperlink" xfId="1664" builtinId="9" hidden="1"/>
    <cellStyle name="Followed Hyperlink" xfId="1665" builtinId="9" hidden="1"/>
    <cellStyle name="Followed Hyperlink" xfId="1666" builtinId="9" hidden="1"/>
    <cellStyle name="Followed Hyperlink" xfId="1667" builtinId="9" hidden="1"/>
    <cellStyle name="Followed Hyperlink" xfId="1668" builtinId="9" hidden="1"/>
    <cellStyle name="Followed Hyperlink" xfId="1669" builtinId="9" hidden="1"/>
    <cellStyle name="Followed Hyperlink" xfId="1670" builtinId="9" hidden="1"/>
    <cellStyle name="Followed Hyperlink" xfId="1671" builtinId="9" hidden="1"/>
    <cellStyle name="Followed Hyperlink" xfId="1672" builtinId="9" hidden="1"/>
    <cellStyle name="Followed Hyperlink" xfId="1673" builtinId="9" hidden="1"/>
    <cellStyle name="Followed Hyperlink" xfId="1674" builtinId="9" hidden="1"/>
    <cellStyle name="Followed Hyperlink" xfId="1675" builtinId="9" hidden="1"/>
    <cellStyle name="Followed Hyperlink" xfId="1676" builtinId="9" hidden="1"/>
    <cellStyle name="Followed Hyperlink" xfId="1677" builtinId="9" hidden="1"/>
    <cellStyle name="Followed Hyperlink" xfId="1678" builtinId="9" hidden="1"/>
    <cellStyle name="Followed Hyperlink" xfId="1679" builtinId="9" hidden="1"/>
    <cellStyle name="Followed Hyperlink" xfId="1680" builtinId="9" hidden="1"/>
    <cellStyle name="Followed Hyperlink" xfId="1681" builtinId="9" hidden="1"/>
    <cellStyle name="Followed Hyperlink" xfId="1682" builtinId="9" hidden="1"/>
    <cellStyle name="Followed Hyperlink" xfId="1683" builtinId="9" hidden="1"/>
    <cellStyle name="Followed Hyperlink" xfId="1684" builtinId="9" hidden="1"/>
    <cellStyle name="Followed Hyperlink" xfId="1685" builtinId="9" hidden="1"/>
    <cellStyle name="Followed Hyperlink" xfId="1686" builtinId="9" hidden="1"/>
    <cellStyle name="Followed Hyperlink" xfId="1687" builtinId="9" hidden="1"/>
    <cellStyle name="Followed Hyperlink" xfId="1688" builtinId="9" hidden="1"/>
    <cellStyle name="Followed Hyperlink" xfId="1689" builtinId="9" hidden="1"/>
    <cellStyle name="Followed Hyperlink" xfId="1690" builtinId="9" hidden="1"/>
    <cellStyle name="Followed Hyperlink" xfId="1691" builtinId="9" hidden="1"/>
    <cellStyle name="Followed Hyperlink" xfId="1692" builtinId="9" hidden="1"/>
    <cellStyle name="Followed Hyperlink" xfId="1693" builtinId="9" hidden="1"/>
    <cellStyle name="Followed Hyperlink" xfId="1694" builtinId="9" hidden="1"/>
    <cellStyle name="Followed Hyperlink" xfId="1695" builtinId="9" hidden="1"/>
    <cellStyle name="Followed Hyperlink" xfId="1696" builtinId="9" hidden="1"/>
    <cellStyle name="Followed Hyperlink" xfId="1697" builtinId="9" hidden="1"/>
    <cellStyle name="Followed Hyperlink" xfId="1698" builtinId="9" hidden="1"/>
    <cellStyle name="Followed Hyperlink" xfId="1699" builtinId="9" hidden="1"/>
    <cellStyle name="Followed Hyperlink" xfId="1700" builtinId="9" hidden="1"/>
    <cellStyle name="Followed Hyperlink" xfId="1701" builtinId="9" hidden="1"/>
    <cellStyle name="Followed Hyperlink" xfId="1702" builtinId="9" hidden="1"/>
    <cellStyle name="Followed Hyperlink" xfId="1703" builtinId="9" hidden="1"/>
    <cellStyle name="Followed Hyperlink" xfId="1704" builtinId="9" hidden="1"/>
    <cellStyle name="Followed Hyperlink" xfId="1705" builtinId="9" hidden="1"/>
    <cellStyle name="Followed Hyperlink" xfId="1706" builtinId="9" hidden="1"/>
    <cellStyle name="Followed Hyperlink" xfId="1707" builtinId="9" hidden="1"/>
    <cellStyle name="Followed Hyperlink" xfId="1708" builtinId="9" hidden="1"/>
    <cellStyle name="Followed Hyperlink" xfId="1709" builtinId="9" hidden="1"/>
    <cellStyle name="Followed Hyperlink" xfId="1710" builtinId="9" hidden="1"/>
    <cellStyle name="Followed Hyperlink" xfId="1711" builtinId="9" hidden="1"/>
    <cellStyle name="Followed Hyperlink" xfId="1712" builtinId="9" hidden="1"/>
    <cellStyle name="Followed Hyperlink" xfId="1713" builtinId="9" hidden="1"/>
    <cellStyle name="Followed Hyperlink" xfId="1714" builtinId="9" hidden="1"/>
    <cellStyle name="Followed Hyperlink" xfId="1715" builtinId="9" hidden="1"/>
    <cellStyle name="Followed Hyperlink" xfId="1716" builtinId="9" hidden="1"/>
    <cellStyle name="Followed Hyperlink" xfId="1717" builtinId="9" hidden="1"/>
    <cellStyle name="Followed Hyperlink" xfId="1718" builtinId="9" hidden="1"/>
    <cellStyle name="Followed Hyperlink" xfId="1719" builtinId="9" hidden="1"/>
    <cellStyle name="Followed Hyperlink" xfId="1720" builtinId="9" hidden="1"/>
    <cellStyle name="Followed Hyperlink" xfId="1721" builtinId="9" hidden="1"/>
    <cellStyle name="Followed Hyperlink" xfId="1722" builtinId="9" hidden="1"/>
    <cellStyle name="Followed Hyperlink" xfId="1723" builtinId="9" hidden="1"/>
    <cellStyle name="Followed Hyperlink" xfId="1724" builtinId="9" hidden="1"/>
    <cellStyle name="Followed Hyperlink" xfId="1725" builtinId="9" hidden="1"/>
    <cellStyle name="Followed Hyperlink" xfId="1726" builtinId="9" hidden="1"/>
    <cellStyle name="Followed Hyperlink" xfId="1727" builtinId="9" hidden="1"/>
    <cellStyle name="Followed Hyperlink" xfId="1728" builtinId="9" hidden="1"/>
    <cellStyle name="Followed Hyperlink" xfId="1729" builtinId="9" hidden="1"/>
    <cellStyle name="Followed Hyperlink" xfId="1730" builtinId="9" hidden="1"/>
    <cellStyle name="Followed Hyperlink" xfId="1731" builtinId="9" hidden="1"/>
    <cellStyle name="Followed Hyperlink" xfId="1732" builtinId="9" hidden="1"/>
    <cellStyle name="Followed Hyperlink" xfId="1733" builtinId="9" hidden="1"/>
    <cellStyle name="Followed Hyperlink" xfId="1734" builtinId="9" hidden="1"/>
    <cellStyle name="Followed Hyperlink" xfId="1735" builtinId="9" hidden="1"/>
    <cellStyle name="Followed Hyperlink" xfId="1736" builtinId="9" hidden="1"/>
    <cellStyle name="Followed Hyperlink" xfId="1737" builtinId="9" hidden="1"/>
    <cellStyle name="Followed Hyperlink" xfId="1738" builtinId="9" hidden="1"/>
    <cellStyle name="Followed Hyperlink" xfId="1739" builtinId="9" hidden="1"/>
    <cellStyle name="Followed Hyperlink" xfId="1740" builtinId="9" hidden="1"/>
    <cellStyle name="Followed Hyperlink" xfId="1741" builtinId="9" hidden="1"/>
    <cellStyle name="Followed Hyperlink" xfId="1742" builtinId="9" hidden="1"/>
    <cellStyle name="Followed Hyperlink" xfId="1743" builtinId="9" hidden="1"/>
    <cellStyle name="Followed Hyperlink" xfId="1744" builtinId="9" hidden="1"/>
    <cellStyle name="Followed Hyperlink" xfId="1745" builtinId="9" hidden="1"/>
    <cellStyle name="Followed Hyperlink" xfId="1746" builtinId="9" hidden="1"/>
    <cellStyle name="Followed Hyperlink" xfId="1747" builtinId="9" hidden="1"/>
    <cellStyle name="Followed Hyperlink" xfId="1748" builtinId="9" hidden="1"/>
    <cellStyle name="Followed Hyperlink" xfId="1749" builtinId="9" hidden="1"/>
    <cellStyle name="Followed Hyperlink" xfId="1750" builtinId="9" hidden="1"/>
    <cellStyle name="Followed Hyperlink" xfId="1751" builtinId="9" hidden="1"/>
    <cellStyle name="Followed Hyperlink" xfId="1752" builtinId="9" hidden="1"/>
    <cellStyle name="Followed Hyperlink" xfId="1753" builtinId="9" hidden="1"/>
    <cellStyle name="Followed Hyperlink" xfId="1754" builtinId="9" hidden="1"/>
    <cellStyle name="Followed Hyperlink" xfId="1755" builtinId="9" hidden="1"/>
    <cellStyle name="Followed Hyperlink" xfId="1756" builtinId="9" hidden="1"/>
    <cellStyle name="Followed Hyperlink" xfId="1757" builtinId="9" hidden="1"/>
    <cellStyle name="Followed Hyperlink" xfId="1758" builtinId="9" hidden="1"/>
    <cellStyle name="Followed Hyperlink" xfId="1759" builtinId="9" hidden="1"/>
    <cellStyle name="Followed Hyperlink" xfId="1760" builtinId="9" hidden="1"/>
    <cellStyle name="Followed Hyperlink" xfId="1761" builtinId="9" hidden="1"/>
    <cellStyle name="Followed Hyperlink" xfId="1762" builtinId="9" hidden="1"/>
    <cellStyle name="Followed Hyperlink" xfId="1763" builtinId="9" hidden="1"/>
    <cellStyle name="Followed Hyperlink" xfId="1764" builtinId="9" hidden="1"/>
    <cellStyle name="Followed Hyperlink" xfId="1765" builtinId="9" hidden="1"/>
    <cellStyle name="Followed Hyperlink" xfId="1766" builtinId="9" hidden="1"/>
    <cellStyle name="Followed Hyperlink" xfId="1767" builtinId="9" hidden="1"/>
    <cellStyle name="Followed Hyperlink" xfId="1768" builtinId="9" hidden="1"/>
    <cellStyle name="Followed Hyperlink" xfId="1769" builtinId="9" hidden="1"/>
    <cellStyle name="Followed Hyperlink" xfId="1770" builtinId="9" hidden="1"/>
    <cellStyle name="Followed Hyperlink" xfId="1771" builtinId="9" hidden="1"/>
    <cellStyle name="Followed Hyperlink" xfId="1772" builtinId="9" hidden="1"/>
    <cellStyle name="Followed Hyperlink" xfId="1773" builtinId="9" hidden="1"/>
    <cellStyle name="Followed Hyperlink" xfId="1774" builtinId="9" hidden="1"/>
    <cellStyle name="Followed Hyperlink" xfId="1775" builtinId="9" hidden="1"/>
    <cellStyle name="Followed Hyperlink" xfId="1776" builtinId="9" hidden="1"/>
    <cellStyle name="Followed Hyperlink" xfId="1777" builtinId="9" hidden="1"/>
    <cellStyle name="Followed Hyperlink" xfId="1778" builtinId="9" hidden="1"/>
    <cellStyle name="Followed Hyperlink" xfId="1779" builtinId="9" hidden="1"/>
    <cellStyle name="Followed Hyperlink" xfId="1780" builtinId="9" hidden="1"/>
    <cellStyle name="Followed Hyperlink" xfId="1781" builtinId="9" hidden="1"/>
    <cellStyle name="Followed Hyperlink" xfId="1782" builtinId="9" hidden="1"/>
    <cellStyle name="Followed Hyperlink" xfId="1783" builtinId="9" hidden="1"/>
    <cellStyle name="Followed Hyperlink" xfId="1784" builtinId="9" hidden="1"/>
    <cellStyle name="Followed Hyperlink" xfId="1785" builtinId="9" hidden="1"/>
    <cellStyle name="Followed Hyperlink" xfId="1786" builtinId="9" hidden="1"/>
    <cellStyle name="Followed Hyperlink" xfId="1787" builtinId="9" hidden="1"/>
    <cellStyle name="Followed Hyperlink" xfId="1788" builtinId="9" hidden="1"/>
    <cellStyle name="Followed Hyperlink" xfId="1789" builtinId="9" hidden="1"/>
    <cellStyle name="Followed Hyperlink" xfId="1790" builtinId="9" hidden="1"/>
    <cellStyle name="Followed Hyperlink" xfId="1791" builtinId="9" hidden="1"/>
    <cellStyle name="Followed Hyperlink" xfId="1792" builtinId="9" hidden="1"/>
    <cellStyle name="Followed Hyperlink" xfId="1793" builtinId="9" hidden="1"/>
    <cellStyle name="Followed Hyperlink" xfId="1794" builtinId="9" hidden="1"/>
    <cellStyle name="Followed Hyperlink" xfId="1795" builtinId="9" hidden="1"/>
    <cellStyle name="Followed Hyperlink" xfId="1796" builtinId="9" hidden="1"/>
    <cellStyle name="Followed Hyperlink" xfId="1797" builtinId="9" hidden="1"/>
    <cellStyle name="Followed Hyperlink" xfId="1798" builtinId="9" hidden="1"/>
    <cellStyle name="Followed Hyperlink" xfId="1799" builtinId="9" hidden="1"/>
    <cellStyle name="Followed Hyperlink" xfId="1800" builtinId="9" hidden="1"/>
    <cellStyle name="Followed Hyperlink" xfId="1801" builtinId="9" hidden="1"/>
    <cellStyle name="Followed Hyperlink" xfId="1802" builtinId="9" hidden="1"/>
    <cellStyle name="Followed Hyperlink" xfId="1803" builtinId="9" hidden="1"/>
    <cellStyle name="Followed Hyperlink" xfId="1804" builtinId="9" hidden="1"/>
    <cellStyle name="Followed Hyperlink" xfId="1805" builtinId="9" hidden="1"/>
    <cellStyle name="Followed Hyperlink" xfId="1806" builtinId="9" hidden="1"/>
    <cellStyle name="Followed Hyperlink" xfId="1807" builtinId="9" hidden="1"/>
    <cellStyle name="Followed Hyperlink" xfId="1808" builtinId="9" hidden="1"/>
    <cellStyle name="Followed Hyperlink" xfId="1809" builtinId="9" hidden="1"/>
    <cellStyle name="Followed Hyperlink" xfId="1810" builtinId="9" hidden="1"/>
    <cellStyle name="Followed Hyperlink" xfId="1811" builtinId="9" hidden="1"/>
    <cellStyle name="Followed Hyperlink" xfId="1812" builtinId="9" hidden="1"/>
    <cellStyle name="Followed Hyperlink" xfId="1813" builtinId="9" hidden="1"/>
    <cellStyle name="Followed Hyperlink" xfId="1814" builtinId="9" hidden="1"/>
    <cellStyle name="Followed Hyperlink" xfId="1815" builtinId="9" hidden="1"/>
    <cellStyle name="Followed Hyperlink" xfId="1816" builtinId="9" hidden="1"/>
    <cellStyle name="Followed Hyperlink" xfId="1817" builtinId="9" hidden="1"/>
    <cellStyle name="Followed Hyperlink" xfId="1818" builtinId="9" hidden="1"/>
    <cellStyle name="Followed Hyperlink" xfId="1819" builtinId="9" hidden="1"/>
    <cellStyle name="Followed Hyperlink" xfId="1820" builtinId="9" hidden="1"/>
    <cellStyle name="Followed Hyperlink" xfId="1821" builtinId="9" hidden="1"/>
    <cellStyle name="Followed Hyperlink" xfId="1822" builtinId="9" hidden="1"/>
    <cellStyle name="Followed Hyperlink" xfId="1823" builtinId="9" hidden="1"/>
    <cellStyle name="Followed Hyperlink" xfId="1824" builtinId="9" hidden="1"/>
    <cellStyle name="Followed Hyperlink" xfId="1825" builtinId="9" hidden="1"/>
    <cellStyle name="Followed Hyperlink" xfId="1826" builtinId="9" hidden="1"/>
    <cellStyle name="Followed Hyperlink" xfId="1827" builtinId="9" hidden="1"/>
    <cellStyle name="Followed Hyperlink" xfId="1828" builtinId="9" hidden="1"/>
    <cellStyle name="Followed Hyperlink" xfId="1829" builtinId="9" hidden="1"/>
    <cellStyle name="Followed Hyperlink" xfId="1830" builtinId="9" hidden="1"/>
    <cellStyle name="Followed Hyperlink" xfId="1831" builtinId="9" hidden="1"/>
    <cellStyle name="Followed Hyperlink" xfId="1832" builtinId="9" hidden="1"/>
    <cellStyle name="Followed Hyperlink" xfId="1833" builtinId="9" hidden="1"/>
    <cellStyle name="Followed Hyperlink" xfId="1834" builtinId="9" hidden="1"/>
    <cellStyle name="Followed Hyperlink" xfId="1835" builtinId="9" hidden="1"/>
    <cellStyle name="Followed Hyperlink" xfId="1836" builtinId="9" hidden="1"/>
    <cellStyle name="Followed Hyperlink" xfId="1837" builtinId="9" hidden="1"/>
    <cellStyle name="Followed Hyperlink" xfId="1838" builtinId="9" hidden="1"/>
    <cellStyle name="Followed Hyperlink" xfId="1839" builtinId="9" hidden="1"/>
    <cellStyle name="Followed Hyperlink" xfId="1840" builtinId="9" hidden="1"/>
    <cellStyle name="Followed Hyperlink" xfId="1841" builtinId="9" hidden="1"/>
    <cellStyle name="Followed Hyperlink" xfId="1842" builtinId="9" hidden="1"/>
    <cellStyle name="Followed Hyperlink" xfId="1843" builtinId="9" hidden="1"/>
    <cellStyle name="Followed Hyperlink" xfId="1844" builtinId="9" hidden="1"/>
    <cellStyle name="Followed Hyperlink" xfId="1845" builtinId="9" hidden="1"/>
    <cellStyle name="Followed Hyperlink" xfId="1846" builtinId="9" hidden="1"/>
    <cellStyle name="Followed Hyperlink" xfId="1847" builtinId="9" hidden="1"/>
    <cellStyle name="Followed Hyperlink" xfId="1848" builtinId="9" hidden="1"/>
    <cellStyle name="Followed Hyperlink" xfId="1849" builtinId="9" hidden="1"/>
    <cellStyle name="Followed Hyperlink" xfId="1850" builtinId="9" hidden="1"/>
    <cellStyle name="Followed Hyperlink" xfId="1851" builtinId="9" hidden="1"/>
    <cellStyle name="Followed Hyperlink" xfId="1852" builtinId="9" hidden="1"/>
    <cellStyle name="Followed Hyperlink" xfId="1853" builtinId="9" hidden="1"/>
    <cellStyle name="Followed Hyperlink" xfId="1854" builtinId="9" hidden="1"/>
    <cellStyle name="Followed Hyperlink" xfId="1855" builtinId="9" hidden="1"/>
    <cellStyle name="Followed Hyperlink" xfId="1856" builtinId="9" hidden="1"/>
    <cellStyle name="Followed Hyperlink" xfId="1857" builtinId="9" hidden="1"/>
    <cellStyle name="Followed Hyperlink" xfId="1858" builtinId="9" hidden="1"/>
    <cellStyle name="Followed Hyperlink" xfId="1859" builtinId="9" hidden="1"/>
    <cellStyle name="Followed Hyperlink" xfId="1860" builtinId="9" hidden="1"/>
    <cellStyle name="Followed Hyperlink" xfId="1861" builtinId="9" hidden="1"/>
    <cellStyle name="Followed Hyperlink" xfId="1862" builtinId="9" hidden="1"/>
    <cellStyle name="Followed Hyperlink" xfId="1863" builtinId="9" hidden="1"/>
    <cellStyle name="Followed Hyperlink" xfId="1864" builtinId="9" hidden="1"/>
    <cellStyle name="Followed Hyperlink" xfId="1865" builtinId="9" hidden="1"/>
    <cellStyle name="Followed Hyperlink" xfId="1866" builtinId="9" hidden="1"/>
    <cellStyle name="Followed Hyperlink" xfId="1867" builtinId="9" hidden="1"/>
    <cellStyle name="Followed Hyperlink" xfId="1868" builtinId="9" hidden="1"/>
    <cellStyle name="Followed Hyperlink" xfId="1869" builtinId="9" hidden="1"/>
    <cellStyle name="Followed Hyperlink" xfId="1870" builtinId="9" hidden="1"/>
    <cellStyle name="Followed Hyperlink" xfId="1871" builtinId="9" hidden="1"/>
    <cellStyle name="Followed Hyperlink" xfId="1872" builtinId="9" hidden="1"/>
    <cellStyle name="Followed Hyperlink" xfId="1873" builtinId="9" hidden="1"/>
    <cellStyle name="Followed Hyperlink" xfId="1874" builtinId="9" hidden="1"/>
    <cellStyle name="Followed Hyperlink" xfId="1875" builtinId="9" hidden="1"/>
    <cellStyle name="Followed Hyperlink" xfId="1876" builtinId="9" hidden="1"/>
    <cellStyle name="Followed Hyperlink" xfId="1877" builtinId="9" hidden="1"/>
    <cellStyle name="Followed Hyperlink" xfId="1878" builtinId="9" hidden="1"/>
    <cellStyle name="Followed Hyperlink" xfId="1879" builtinId="9" hidden="1"/>
    <cellStyle name="Followed Hyperlink" xfId="1880" builtinId="9" hidden="1"/>
    <cellStyle name="Followed Hyperlink" xfId="1881" builtinId="9" hidden="1"/>
    <cellStyle name="Followed Hyperlink" xfId="1882" builtinId="9" hidden="1"/>
    <cellStyle name="Followed Hyperlink" xfId="1883" builtinId="9" hidden="1"/>
    <cellStyle name="Followed Hyperlink" xfId="1884" builtinId="9" hidden="1"/>
    <cellStyle name="Followed Hyperlink" xfId="1885" builtinId="9" hidden="1"/>
    <cellStyle name="Followed Hyperlink" xfId="1886" builtinId="9" hidden="1"/>
    <cellStyle name="Followed Hyperlink" xfId="1887" builtinId="9" hidden="1"/>
    <cellStyle name="Followed Hyperlink" xfId="1888" builtinId="9" hidden="1"/>
    <cellStyle name="Followed Hyperlink" xfId="1889" builtinId="9" hidden="1"/>
    <cellStyle name="Followed Hyperlink" xfId="1890" builtinId="9" hidden="1"/>
    <cellStyle name="Followed Hyperlink" xfId="1891" builtinId="9" hidden="1"/>
    <cellStyle name="Followed Hyperlink" xfId="1892" builtinId="9" hidden="1"/>
    <cellStyle name="Followed Hyperlink" xfId="1893" builtinId="9" hidden="1"/>
    <cellStyle name="Followed Hyperlink" xfId="1894" builtinId="9" hidden="1"/>
    <cellStyle name="Followed Hyperlink" xfId="1895" builtinId="9" hidden="1"/>
    <cellStyle name="Followed Hyperlink" xfId="1896" builtinId="9" hidden="1"/>
    <cellStyle name="Followed Hyperlink" xfId="1897" builtinId="9" hidden="1"/>
    <cellStyle name="Followed Hyperlink" xfId="1898" builtinId="9" hidden="1"/>
    <cellStyle name="Followed Hyperlink" xfId="1899" builtinId="9" hidden="1"/>
    <cellStyle name="Followed Hyperlink" xfId="1900" builtinId="9" hidden="1"/>
    <cellStyle name="Followed Hyperlink" xfId="1901" builtinId="9" hidden="1"/>
    <cellStyle name="Followed Hyperlink" xfId="1902" builtinId="9" hidden="1"/>
    <cellStyle name="Followed Hyperlink" xfId="1903" builtinId="9" hidden="1"/>
    <cellStyle name="Followed Hyperlink" xfId="1904" builtinId="9" hidden="1"/>
    <cellStyle name="Followed Hyperlink" xfId="1905" builtinId="9" hidden="1"/>
    <cellStyle name="Followed Hyperlink" xfId="1906" builtinId="9" hidden="1"/>
    <cellStyle name="Followed Hyperlink" xfId="1907" builtinId="9" hidden="1"/>
    <cellStyle name="Followed Hyperlink" xfId="1908" builtinId="9" hidden="1"/>
    <cellStyle name="Followed Hyperlink" xfId="1909" builtinId="9" hidden="1"/>
    <cellStyle name="Followed Hyperlink" xfId="1910" builtinId="9" hidden="1"/>
    <cellStyle name="Followed Hyperlink" xfId="1911" builtinId="9" hidden="1"/>
    <cellStyle name="Followed Hyperlink" xfId="1912" builtinId="9" hidden="1"/>
    <cellStyle name="Followed Hyperlink" xfId="1913" builtinId="9" hidden="1"/>
    <cellStyle name="Followed Hyperlink" xfId="1914" builtinId="9" hidden="1"/>
    <cellStyle name="Followed Hyperlink" xfId="1915" builtinId="9" hidden="1"/>
    <cellStyle name="Followed Hyperlink" xfId="1916" builtinId="9" hidden="1"/>
    <cellStyle name="Followed Hyperlink" xfId="1917" builtinId="9" hidden="1"/>
    <cellStyle name="Followed Hyperlink" xfId="1918" builtinId="9" hidden="1"/>
    <cellStyle name="Followed Hyperlink" xfId="1919" builtinId="9" hidden="1"/>
    <cellStyle name="Followed Hyperlink" xfId="1920" builtinId="9" hidden="1"/>
    <cellStyle name="Followed Hyperlink" xfId="1921" builtinId="9" hidden="1"/>
    <cellStyle name="Followed Hyperlink" xfId="1922" builtinId="9" hidden="1"/>
    <cellStyle name="Followed Hyperlink" xfId="1923" builtinId="9" hidden="1"/>
    <cellStyle name="Followed Hyperlink" xfId="1924" builtinId="9" hidden="1"/>
    <cellStyle name="Followed Hyperlink" xfId="1925" builtinId="9" hidden="1"/>
    <cellStyle name="Followed Hyperlink" xfId="1926" builtinId="9" hidden="1"/>
    <cellStyle name="Followed Hyperlink" xfId="1927" builtinId="9" hidden="1"/>
    <cellStyle name="Followed Hyperlink" xfId="1928" builtinId="9" hidden="1"/>
    <cellStyle name="Followed Hyperlink" xfId="1929" builtinId="9" hidden="1"/>
    <cellStyle name="Followed Hyperlink" xfId="1930" builtinId="9" hidden="1"/>
    <cellStyle name="Followed Hyperlink" xfId="1931" builtinId="9" hidden="1"/>
    <cellStyle name="Followed Hyperlink" xfId="1932" builtinId="9" hidden="1"/>
    <cellStyle name="Followed Hyperlink" xfId="1933" builtinId="9" hidden="1"/>
    <cellStyle name="Followed Hyperlink" xfId="1934" builtinId="9" hidden="1"/>
    <cellStyle name="Followed Hyperlink" xfId="1935" builtinId="9" hidden="1"/>
    <cellStyle name="Followed Hyperlink" xfId="1936" builtinId="9" hidden="1"/>
    <cellStyle name="Followed Hyperlink" xfId="1937" builtinId="9" hidden="1"/>
    <cellStyle name="Followed Hyperlink" xfId="1938" builtinId="9" hidden="1"/>
    <cellStyle name="Followed Hyperlink" xfId="1939" builtinId="9" hidden="1"/>
    <cellStyle name="Followed Hyperlink" xfId="1940" builtinId="9" hidden="1"/>
    <cellStyle name="Followed Hyperlink" xfId="1941" builtinId="9" hidden="1"/>
    <cellStyle name="Followed Hyperlink" xfId="1942" builtinId="9" hidden="1"/>
    <cellStyle name="Followed Hyperlink" xfId="1943" builtinId="9" hidden="1"/>
    <cellStyle name="Followed Hyperlink" xfId="1944" builtinId="9" hidden="1"/>
    <cellStyle name="Followed Hyperlink" xfId="1945" builtinId="9" hidden="1"/>
    <cellStyle name="Followed Hyperlink" xfId="1946" builtinId="9" hidden="1"/>
    <cellStyle name="Followed Hyperlink" xfId="1947" builtinId="9" hidden="1"/>
    <cellStyle name="Followed Hyperlink" xfId="1948" builtinId="9" hidden="1"/>
    <cellStyle name="Followed Hyperlink" xfId="1949" builtinId="9" hidden="1"/>
    <cellStyle name="Followed Hyperlink" xfId="1950" builtinId="9" hidden="1"/>
    <cellStyle name="Followed Hyperlink" xfId="1951" builtinId="9" hidden="1"/>
    <cellStyle name="Followed Hyperlink" xfId="1952" builtinId="9" hidden="1"/>
    <cellStyle name="Followed Hyperlink" xfId="1953" builtinId="9" hidden="1"/>
    <cellStyle name="Followed Hyperlink" xfId="1954" builtinId="9" hidden="1"/>
    <cellStyle name="Followed Hyperlink" xfId="1955" builtinId="9" hidden="1"/>
    <cellStyle name="Followed Hyperlink" xfId="1956" builtinId="9" hidden="1"/>
    <cellStyle name="Followed Hyperlink" xfId="1957" builtinId="9" hidden="1"/>
    <cellStyle name="Followed Hyperlink" xfId="1958" builtinId="9" hidden="1"/>
    <cellStyle name="Followed Hyperlink" xfId="1959" builtinId="9" hidden="1"/>
    <cellStyle name="Followed Hyperlink" xfId="1960" builtinId="9" hidden="1"/>
    <cellStyle name="Followed Hyperlink" xfId="1961" builtinId="9" hidden="1"/>
    <cellStyle name="Followed Hyperlink" xfId="1962" builtinId="9" hidden="1"/>
    <cellStyle name="Followed Hyperlink" xfId="1963" builtinId="9" hidden="1"/>
    <cellStyle name="Followed Hyperlink" xfId="1964" builtinId="9" hidden="1"/>
    <cellStyle name="Followed Hyperlink" xfId="1965" builtinId="9" hidden="1"/>
    <cellStyle name="Followed Hyperlink" xfId="1966" builtinId="9" hidden="1"/>
    <cellStyle name="Followed Hyperlink" xfId="1967" builtinId="9" hidden="1"/>
    <cellStyle name="Followed Hyperlink" xfId="1968" builtinId="9" hidden="1"/>
    <cellStyle name="Followed Hyperlink" xfId="1969" builtinId="9" hidden="1"/>
    <cellStyle name="Followed Hyperlink" xfId="1970" builtinId="9" hidden="1"/>
    <cellStyle name="Followed Hyperlink" xfId="1971" builtinId="9" hidden="1"/>
    <cellStyle name="Followed Hyperlink" xfId="1972" builtinId="9" hidden="1"/>
    <cellStyle name="Followed Hyperlink" xfId="1973" builtinId="9" hidden="1"/>
    <cellStyle name="Followed Hyperlink" xfId="1974" builtinId="9" hidden="1"/>
    <cellStyle name="Followed Hyperlink" xfId="1975" builtinId="9" hidden="1"/>
    <cellStyle name="Followed Hyperlink" xfId="1976" builtinId="9" hidden="1"/>
    <cellStyle name="Followed Hyperlink" xfId="1977" builtinId="9" hidden="1"/>
    <cellStyle name="Followed Hyperlink" xfId="1978" builtinId="9" hidden="1"/>
    <cellStyle name="Followed Hyperlink" xfId="1979" builtinId="9" hidden="1"/>
    <cellStyle name="Followed Hyperlink" xfId="1980" builtinId="9" hidden="1"/>
    <cellStyle name="Followed Hyperlink" xfId="1981" builtinId="9" hidden="1"/>
    <cellStyle name="Followed Hyperlink" xfId="1982" builtinId="9" hidden="1"/>
    <cellStyle name="Followed Hyperlink" xfId="1983" builtinId="9" hidden="1"/>
    <cellStyle name="Followed Hyperlink" xfId="1984" builtinId="9" hidden="1"/>
    <cellStyle name="Followed Hyperlink" xfId="1985" builtinId="9" hidden="1"/>
    <cellStyle name="Followed Hyperlink" xfId="1986" builtinId="9" hidden="1"/>
    <cellStyle name="Followed Hyperlink" xfId="1987" builtinId="9" hidden="1"/>
    <cellStyle name="Followed Hyperlink" xfId="1988" builtinId="9" hidden="1"/>
    <cellStyle name="Followed Hyperlink" xfId="1989" builtinId="9" hidden="1"/>
    <cellStyle name="Followed Hyperlink" xfId="1990" builtinId="9" hidden="1"/>
    <cellStyle name="Followed Hyperlink" xfId="1991" builtinId="9" hidden="1"/>
    <cellStyle name="Followed Hyperlink" xfId="1992" builtinId="9" hidden="1"/>
    <cellStyle name="Followed Hyperlink" xfId="1993" builtinId="9" hidden="1"/>
    <cellStyle name="Followed Hyperlink" xfId="1994" builtinId="9" hidden="1"/>
    <cellStyle name="Followed Hyperlink" xfId="1995" builtinId="9" hidden="1"/>
    <cellStyle name="Followed Hyperlink" xfId="1996" builtinId="9" hidden="1"/>
    <cellStyle name="Followed Hyperlink" xfId="1997" builtinId="9" hidden="1"/>
    <cellStyle name="Followed Hyperlink" xfId="1998" builtinId="9" hidden="1"/>
    <cellStyle name="Followed Hyperlink" xfId="1999" builtinId="9" hidden="1"/>
    <cellStyle name="Followed Hyperlink" xfId="2000" builtinId="9" hidden="1"/>
    <cellStyle name="Followed Hyperlink" xfId="2001" builtinId="9" hidden="1"/>
    <cellStyle name="Followed Hyperlink" xfId="2002" builtinId="9" hidden="1"/>
    <cellStyle name="Followed Hyperlink" xfId="2003" builtinId="9" hidden="1"/>
    <cellStyle name="Followed Hyperlink" xfId="2004" builtinId="9" hidden="1"/>
    <cellStyle name="Followed Hyperlink" xfId="2005" builtinId="9" hidden="1"/>
    <cellStyle name="Followed Hyperlink" xfId="2006" builtinId="9" hidden="1"/>
    <cellStyle name="Followed Hyperlink" xfId="2007" builtinId="9" hidden="1"/>
    <cellStyle name="Followed Hyperlink" xfId="2008" builtinId="9" hidden="1"/>
    <cellStyle name="Followed Hyperlink" xfId="2009" builtinId="9" hidden="1"/>
    <cellStyle name="Followed Hyperlink" xfId="2010" builtinId="9" hidden="1"/>
    <cellStyle name="Followed Hyperlink" xfId="2011" builtinId="9" hidden="1"/>
    <cellStyle name="Followed Hyperlink" xfId="2012" builtinId="9" hidden="1"/>
    <cellStyle name="Followed Hyperlink" xfId="2013" builtinId="9" hidden="1"/>
    <cellStyle name="Followed Hyperlink" xfId="2014" builtinId="9" hidden="1"/>
    <cellStyle name="Followed Hyperlink" xfId="2015" builtinId="9" hidden="1"/>
    <cellStyle name="Hyperlink" xfId="3" builtinId="8"/>
    <cellStyle name="Hyperlink 2" xfId="4"/>
    <cellStyle name="Hyperlink 3" xfId="363"/>
    <cellStyle name="Normal" xfId="0" builtinId="0"/>
    <cellStyle name="Normal 2" xfId="5"/>
    <cellStyle name="Normal 2 2" xfId="364"/>
    <cellStyle name="Normal 3" xfId="6"/>
    <cellStyle name="Normal 4" xfId="362"/>
    <cellStyle name="Normal 6" xfId="365"/>
  </cellStyles>
  <dxfs count="1416">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
      <fill>
        <patternFill>
          <bgColor rgb="FFFF0000"/>
        </patternFill>
      </fill>
    </dxf>
    <dxf>
      <font>
        <color auto="1"/>
      </font>
      <fill>
        <patternFill patternType="solid">
          <fgColor indexed="64"/>
          <bgColor rgb="FFFFD007"/>
        </patternFill>
      </fill>
    </dxf>
    <dxf>
      <fill>
        <patternFill>
          <bgColor rgb="FF00B050"/>
        </patternFill>
      </fill>
    </dxf>
  </dxfs>
  <tableStyles count="0" defaultTableStyle="TableStyleMedium2" defaultPivotStyle="PivotStyleLight16"/>
  <colors>
    <indexedColors>
      <rgbColor rgb="00000000"/>
      <rgbColor rgb="00FFFFFF"/>
      <rgbColor rgb="00DD0806"/>
      <rgbColor rgb="001FB714"/>
      <rgbColor rgb="000000D4"/>
      <rgbColor rgb="00FCF305"/>
      <rgbColor rgb="00F20884"/>
      <rgbColor rgb="0000ABEA"/>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4.5855162381445803E-2"/>
          <c:y val="4.08479532163743E-2"/>
          <c:w val="0.80402559843072496"/>
          <c:h val="0.83174385964912301"/>
        </c:manualLayout>
      </c:layout>
      <c:lineChart>
        <c:grouping val="standard"/>
        <c:varyColors val="0"/>
        <c:ser>
          <c:idx val="0"/>
          <c:order val="0"/>
          <c:tx>
            <c:strRef>
              <c:f>'10 States AggWorkings'!$B$4</c:f>
              <c:strCache>
                <c:ptCount val="1"/>
                <c:pt idx="0">
                  <c:v>planned</c:v>
                </c:pt>
              </c:strCache>
            </c:strRef>
          </c:tx>
          <c:spPr>
            <a:ln w="38100">
              <a:solidFill>
                <a:srgbClr val="666699"/>
              </a:solidFill>
              <a:prstDash val="solid"/>
            </a:ln>
          </c:spPr>
          <c:marker>
            <c:symbol val="none"/>
          </c:marker>
          <c:cat>
            <c:strRef>
              <c:f>'10 States AggWorkings'!$C$2:$Y$2</c:f>
              <c:strCache>
                <c:ptCount val="23"/>
                <c:pt idx="0">
                  <c:v>early                                                                 
2010</c:v>
                </c:pt>
                <c:pt idx="1">
                  <c:v>Q1</c:v>
                </c:pt>
                <c:pt idx="2">
                  <c:v>Q2</c:v>
                </c:pt>
                <c:pt idx="3">
                  <c:v>Q3</c:v>
                </c:pt>
                <c:pt idx="4">
                  <c:v>Q4</c:v>
                </c:pt>
                <c:pt idx="5">
                  <c:v>Q1</c:v>
                </c:pt>
                <c:pt idx="6">
                  <c:v>Q2                                                                 
mid 2011</c:v>
                </c:pt>
                <c:pt idx="7">
                  <c:v>Q3</c:v>
                </c:pt>
                <c:pt idx="8">
                  <c:v>Q4</c:v>
                </c:pt>
                <c:pt idx="9">
                  <c:v>Q1</c:v>
                </c:pt>
                <c:pt idx="10">
                  <c:v>Q2</c:v>
                </c:pt>
                <c:pt idx="11">
                  <c:v>Q3/4                                                                 
late 2012</c:v>
                </c:pt>
                <c:pt idx="12">
                  <c:v>Q1</c:v>
                </c:pt>
                <c:pt idx="13">
                  <c:v>Q2</c:v>
                </c:pt>
                <c:pt idx="14">
                  <c:v>Q3</c:v>
                </c:pt>
                <c:pt idx="15">
                  <c:v> Q4                                                                
late 2013</c:v>
                </c:pt>
                <c:pt idx="16">
                  <c:v>Q1</c:v>
                </c:pt>
                <c:pt idx="17">
                  <c:v>Q2</c:v>
                </c:pt>
                <c:pt idx="18">
                  <c:v>Q3</c:v>
                </c:pt>
                <c:pt idx="19">
                  <c:v>Q4</c:v>
                </c:pt>
                <c:pt idx="20">
                  <c:v>Q1</c:v>
                </c:pt>
                <c:pt idx="21">
                  <c:v>Q2</c:v>
                </c:pt>
                <c:pt idx="22">
                  <c:v>Q3                                                                 
mid 2015</c:v>
                </c:pt>
              </c:strCache>
            </c:strRef>
          </c:cat>
          <c:val>
            <c:numRef>
              <c:f>'10 States AggWorkings'!$C$4:$Y$4</c:f>
              <c:numCache>
                <c:formatCode>0.0</c:formatCode>
                <c:ptCount val="23"/>
                <c:pt idx="0">
                  <c:v>1.3125</c:v>
                </c:pt>
                <c:pt idx="1">
                  <c:v>1.4583333333333333</c:v>
                </c:pt>
                <c:pt idx="2">
                  <c:v>1.6041666666666667</c:v>
                </c:pt>
                <c:pt idx="3">
                  <c:v>1.75</c:v>
                </c:pt>
                <c:pt idx="4">
                  <c:v>1.8958333333333335</c:v>
                </c:pt>
                <c:pt idx="5">
                  <c:v>2.041666666666667</c:v>
                </c:pt>
                <c:pt idx="6">
                  <c:v>2.1875</c:v>
                </c:pt>
                <c:pt idx="7">
                  <c:v>2.2708333333333335</c:v>
                </c:pt>
                <c:pt idx="8">
                  <c:v>2.3541666666666665</c:v>
                </c:pt>
                <c:pt idx="9">
                  <c:v>2.4375</c:v>
                </c:pt>
                <c:pt idx="10">
                  <c:v>2.520833333333333</c:v>
                </c:pt>
                <c:pt idx="11">
                  <c:v>2.6875</c:v>
                </c:pt>
                <c:pt idx="12">
                  <c:v>2.7281249999999999</c:v>
                </c:pt>
                <c:pt idx="13">
                  <c:v>2.7687499999999998</c:v>
                </c:pt>
                <c:pt idx="14">
                  <c:v>2.8093750000000002</c:v>
                </c:pt>
                <c:pt idx="15">
                  <c:v>2.85</c:v>
                </c:pt>
                <c:pt idx="16">
                  <c:v>2.885416666666667</c:v>
                </c:pt>
                <c:pt idx="17">
                  <c:v>2.9208333333333334</c:v>
                </c:pt>
                <c:pt idx="18">
                  <c:v>2.9562499999999998</c:v>
                </c:pt>
                <c:pt idx="19">
                  <c:v>2.9916666666666663</c:v>
                </c:pt>
                <c:pt idx="20">
                  <c:v>2.9416666666666664</c:v>
                </c:pt>
                <c:pt idx="21">
                  <c:v>2.9833333333333329</c:v>
                </c:pt>
                <c:pt idx="22">
                  <c:v>3</c:v>
                </c:pt>
              </c:numCache>
            </c:numRef>
          </c:val>
          <c:smooth val="0"/>
        </c:ser>
        <c:ser>
          <c:idx val="1"/>
          <c:order val="1"/>
          <c:tx>
            <c:strRef>
              <c:f>'10 States AggWorkings'!$B$5</c:f>
              <c:strCache>
                <c:ptCount val="1"/>
                <c:pt idx="0">
                  <c:v>achieved</c:v>
                </c:pt>
              </c:strCache>
            </c:strRef>
          </c:tx>
          <c:spPr>
            <a:ln w="38100">
              <a:solidFill>
                <a:srgbClr val="993366"/>
              </a:solidFill>
              <a:prstDash val="solid"/>
            </a:ln>
          </c:spPr>
          <c:marker>
            <c:symbol val="none"/>
          </c:marker>
          <c:cat>
            <c:strRef>
              <c:f>'10 States AggWorkings'!$C$2:$Y$2</c:f>
              <c:strCache>
                <c:ptCount val="23"/>
                <c:pt idx="0">
                  <c:v>early                                                                 
2010</c:v>
                </c:pt>
                <c:pt idx="1">
                  <c:v>Q1</c:v>
                </c:pt>
                <c:pt idx="2">
                  <c:v>Q2</c:v>
                </c:pt>
                <c:pt idx="3">
                  <c:v>Q3</c:v>
                </c:pt>
                <c:pt idx="4">
                  <c:v>Q4</c:v>
                </c:pt>
                <c:pt idx="5">
                  <c:v>Q1</c:v>
                </c:pt>
                <c:pt idx="6">
                  <c:v>Q2                                                                 
mid 2011</c:v>
                </c:pt>
                <c:pt idx="7">
                  <c:v>Q3</c:v>
                </c:pt>
                <c:pt idx="8">
                  <c:v>Q4</c:v>
                </c:pt>
                <c:pt idx="9">
                  <c:v>Q1</c:v>
                </c:pt>
                <c:pt idx="10">
                  <c:v>Q2</c:v>
                </c:pt>
                <c:pt idx="11">
                  <c:v>Q3/4                                                                 
late 2012</c:v>
                </c:pt>
                <c:pt idx="12">
                  <c:v>Q1</c:v>
                </c:pt>
                <c:pt idx="13">
                  <c:v>Q2</c:v>
                </c:pt>
                <c:pt idx="14">
                  <c:v>Q3</c:v>
                </c:pt>
                <c:pt idx="15">
                  <c:v> Q4                                                                
late 2013</c:v>
                </c:pt>
                <c:pt idx="16">
                  <c:v>Q1</c:v>
                </c:pt>
                <c:pt idx="17">
                  <c:v>Q2</c:v>
                </c:pt>
                <c:pt idx="18">
                  <c:v>Q3</c:v>
                </c:pt>
                <c:pt idx="19">
                  <c:v>Q4</c:v>
                </c:pt>
                <c:pt idx="20">
                  <c:v>Q1</c:v>
                </c:pt>
                <c:pt idx="21">
                  <c:v>Q2</c:v>
                </c:pt>
                <c:pt idx="22">
                  <c:v>Q3                                                                 
mid 2015</c:v>
                </c:pt>
              </c:strCache>
            </c:strRef>
          </c:cat>
          <c:val>
            <c:numRef>
              <c:f>'10 States AggWorkings'!$C$5:$Y$5</c:f>
              <c:numCache>
                <c:formatCode>0.0</c:formatCode>
                <c:ptCount val="23"/>
                <c:pt idx="0">
                  <c:v>1.3125</c:v>
                </c:pt>
                <c:pt idx="1">
                  <c:v>1.3125</c:v>
                </c:pt>
                <c:pt idx="2">
                  <c:v>1.3125</c:v>
                </c:pt>
                <c:pt idx="3">
                  <c:v>1.3125</c:v>
                </c:pt>
                <c:pt idx="4">
                  <c:v>1.3125</c:v>
                </c:pt>
                <c:pt idx="5">
                  <c:v>0.89999999999999991</c:v>
                </c:pt>
                <c:pt idx="6">
                  <c:v>1.5625</c:v>
                </c:pt>
                <c:pt idx="7">
                  <c:v>1.6625000000000001</c:v>
                </c:pt>
                <c:pt idx="8">
                  <c:v>1.575</c:v>
                </c:pt>
                <c:pt idx="9">
                  <c:v>1.5</c:v>
                </c:pt>
                <c:pt idx="10">
                  <c:v>1.4874999999999998</c:v>
                </c:pt>
                <c:pt idx="11">
                  <c:v>2.65</c:v>
                </c:pt>
                <c:pt idx="12">
                  <c:v>2.7649999999999997</c:v>
                </c:pt>
                <c:pt idx="13">
                  <c:v>2.8287500000000003</c:v>
                </c:pt>
                <c:pt idx="14">
                  <c:v>3.0250000000000004</c:v>
                </c:pt>
                <c:pt idx="15">
                  <c:v>2.9000000000000004</c:v>
                </c:pt>
                <c:pt idx="16">
                  <c:v>2.9000000000000004</c:v>
                </c:pt>
                <c:pt idx="17">
                  <c:v>3.125</c:v>
                </c:pt>
                <c:pt idx="18">
                  <c:v>3.125</c:v>
                </c:pt>
                <c:pt idx="19">
                  <c:v>3.1875</c:v>
                </c:pt>
                <c:pt idx="20">
                  <c:v>3.12</c:v>
                </c:pt>
                <c:pt idx="21">
                  <c:v>3.2700000000000005</c:v>
                </c:pt>
                <c:pt idx="22">
                  <c:v>0</c:v>
                </c:pt>
              </c:numCache>
            </c:numRef>
          </c:val>
          <c:smooth val="0"/>
        </c:ser>
        <c:dLbls>
          <c:showLegendKey val="0"/>
          <c:showVal val="0"/>
          <c:showCatName val="0"/>
          <c:showSerName val="0"/>
          <c:showPercent val="0"/>
          <c:showBubbleSize val="0"/>
        </c:dLbls>
        <c:marker val="1"/>
        <c:smooth val="0"/>
        <c:axId val="110007808"/>
        <c:axId val="110009344"/>
      </c:lineChart>
      <c:catAx>
        <c:axId val="110007808"/>
        <c:scaling>
          <c:orientation val="minMax"/>
        </c:scaling>
        <c:delete val="0"/>
        <c:axPos val="b"/>
        <c:majorGridlines>
          <c:spPr>
            <a:ln w="3175">
              <a:solidFill>
                <a:srgbClr val="808080"/>
              </a:solidFill>
              <a:prstDash val="solid"/>
            </a:ln>
          </c:spPr>
        </c:majorGridlines>
        <c:numFmt formatCode="General" sourceLinked="1"/>
        <c:majorTickMark val="out"/>
        <c:minorTickMark val="none"/>
        <c:tickLblPos val="nextTo"/>
        <c:spPr>
          <a:ln w="3175">
            <a:solidFill>
              <a:srgbClr val="808080"/>
            </a:solidFill>
            <a:prstDash val="solid"/>
          </a:ln>
        </c:spPr>
        <c:txPr>
          <a:bodyPr rot="0" vert="horz"/>
          <a:lstStyle/>
          <a:p>
            <a:pPr>
              <a:defRPr sz="900" b="0" i="0" u="none" strike="noStrike" baseline="0">
                <a:solidFill>
                  <a:srgbClr val="666699"/>
                </a:solidFill>
                <a:latin typeface="Calibri"/>
                <a:ea typeface="Calibri"/>
                <a:cs typeface="Calibri"/>
              </a:defRPr>
            </a:pPr>
            <a:endParaRPr lang="en-US"/>
          </a:p>
        </c:txPr>
        <c:crossAx val="110009344"/>
        <c:crosses val="autoZero"/>
        <c:auto val="1"/>
        <c:lblAlgn val="ctr"/>
        <c:lblOffset val="100"/>
        <c:noMultiLvlLbl val="0"/>
      </c:catAx>
      <c:valAx>
        <c:axId val="110009344"/>
        <c:scaling>
          <c:orientation val="minMax"/>
          <c:max val="5"/>
        </c:scaling>
        <c:delete val="0"/>
        <c:axPos val="l"/>
        <c:majorGridlines>
          <c:spPr>
            <a:ln w="3175">
              <a:solidFill>
                <a:srgbClr val="808080"/>
              </a:solidFill>
              <a:prstDash val="solid"/>
            </a:ln>
          </c:spPr>
        </c:majorGridlines>
        <c:numFmt formatCode="0.0" sourceLinked="1"/>
        <c:majorTickMark val="out"/>
        <c:minorTickMark val="none"/>
        <c:tickLblPos val="nextTo"/>
        <c:spPr>
          <a:ln w="3175">
            <a:solidFill>
              <a:srgbClr val="808080"/>
            </a:solidFill>
            <a:prstDash val="solid"/>
          </a:ln>
        </c:spPr>
        <c:txPr>
          <a:bodyPr rot="0" vert="horz"/>
          <a:lstStyle/>
          <a:p>
            <a:pPr>
              <a:defRPr sz="900" b="0" i="0" u="none" strike="noStrike" baseline="0">
                <a:solidFill>
                  <a:srgbClr val="666699"/>
                </a:solidFill>
                <a:latin typeface="Calibri"/>
                <a:ea typeface="Calibri"/>
                <a:cs typeface="Calibri"/>
              </a:defRPr>
            </a:pPr>
            <a:endParaRPr lang="en-US"/>
          </a:p>
        </c:txPr>
        <c:crossAx val="110007808"/>
        <c:crosses val="autoZero"/>
        <c:crossBetween val="midCat"/>
      </c:valAx>
      <c:spPr>
        <a:solidFill>
          <a:srgbClr val="FFFFFF"/>
        </a:solidFill>
        <a:ln w="25400">
          <a:noFill/>
        </a:ln>
      </c:spPr>
    </c:plotArea>
    <c:legend>
      <c:legendPos val="r"/>
      <c:layout>
        <c:manualLayout>
          <c:xMode val="edge"/>
          <c:yMode val="edge"/>
          <c:x val="0.88851877383772204"/>
          <c:y val="0.373133988443414"/>
          <c:w val="9.1514105919615604E-2"/>
          <c:h val="0.130596895955195"/>
        </c:manualLayout>
      </c:layout>
      <c:overlay val="0"/>
      <c:spPr>
        <a:noFill/>
        <a:ln w="25400">
          <a:noFill/>
        </a:ln>
      </c:spPr>
      <c:txPr>
        <a:bodyPr/>
        <a:lstStyle/>
        <a:p>
          <a:pPr>
            <a:defRPr sz="690" b="0" i="0" u="none" strike="noStrike" baseline="0">
              <a:solidFill>
                <a:srgbClr val="666699"/>
              </a:solidFill>
              <a:latin typeface="Calibri"/>
              <a:ea typeface="Calibri"/>
              <a:cs typeface="Calibri"/>
            </a:defRPr>
          </a:pPr>
          <a:endParaRPr lang="en-US"/>
        </a:p>
      </c:txPr>
    </c:legend>
    <c:plotVisOnly val="1"/>
    <c:dispBlanksAs val="gap"/>
    <c:showDLblsOverMax val="0"/>
  </c:chart>
  <c:spPr>
    <a:solidFill>
      <a:srgbClr val="DCE6F2"/>
    </a:solidFill>
    <a:ln w="9525">
      <a:noFill/>
    </a:ln>
  </c:spPr>
  <c:txPr>
    <a:bodyPr/>
    <a:lstStyle/>
    <a:p>
      <a:pPr>
        <a:defRPr sz="900" b="0" i="0" u="none" strike="noStrike" baseline="0">
          <a:solidFill>
            <a:srgbClr val="666699"/>
          </a:solidFill>
          <a:latin typeface="Calibri"/>
          <a:ea typeface="Calibri"/>
          <a:cs typeface="Calibri"/>
        </a:defRPr>
      </a:pPr>
      <a:endParaRPr lang="en-US"/>
    </a:p>
  </c:txPr>
  <c:printSettings>
    <c:headerFooter/>
    <c:pageMargins b="1" l="0.75" r="0.75"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4.2501333279108697E-2"/>
          <c:y val="3.34210526315789E-2"/>
          <c:w val="0.80804702438114895"/>
          <c:h val="0.83917076023391801"/>
        </c:manualLayout>
      </c:layout>
      <c:lineChart>
        <c:grouping val="standard"/>
        <c:varyColors val="0"/>
        <c:ser>
          <c:idx val="0"/>
          <c:order val="0"/>
          <c:tx>
            <c:strRef>
              <c:f>'10 States AggWorkings'!$B$61</c:f>
              <c:strCache>
                <c:ptCount val="1"/>
                <c:pt idx="0">
                  <c:v>planned: permit</c:v>
                </c:pt>
              </c:strCache>
            </c:strRef>
          </c:tx>
          <c:spPr>
            <a:ln w="38100">
              <a:solidFill>
                <a:srgbClr val="666699"/>
              </a:solidFill>
              <a:prstDash val="solid"/>
            </a:ln>
          </c:spPr>
          <c:marker>
            <c:symbol val="none"/>
          </c:marker>
          <c:cat>
            <c:strRef>
              <c:f>'10 States AggWorkings'!$C$2:$Y$2</c:f>
              <c:strCache>
                <c:ptCount val="23"/>
                <c:pt idx="0">
                  <c:v>early                                                                 
2010</c:v>
                </c:pt>
                <c:pt idx="1">
                  <c:v>Q1</c:v>
                </c:pt>
                <c:pt idx="2">
                  <c:v>Q2</c:v>
                </c:pt>
                <c:pt idx="3">
                  <c:v>Q3</c:v>
                </c:pt>
                <c:pt idx="4">
                  <c:v>Q4</c:v>
                </c:pt>
                <c:pt idx="5">
                  <c:v>Q1</c:v>
                </c:pt>
                <c:pt idx="6">
                  <c:v>Q2                                                                 
mid 2011</c:v>
                </c:pt>
                <c:pt idx="7">
                  <c:v>Q3</c:v>
                </c:pt>
                <c:pt idx="8">
                  <c:v>Q4</c:v>
                </c:pt>
                <c:pt idx="9">
                  <c:v>Q1</c:v>
                </c:pt>
                <c:pt idx="10">
                  <c:v>Q2</c:v>
                </c:pt>
                <c:pt idx="11">
                  <c:v>Q3/4                                                                 
late 2012</c:v>
                </c:pt>
                <c:pt idx="12">
                  <c:v>Q1</c:v>
                </c:pt>
                <c:pt idx="13">
                  <c:v>Q2</c:v>
                </c:pt>
                <c:pt idx="14">
                  <c:v>Q3</c:v>
                </c:pt>
                <c:pt idx="15">
                  <c:v> Q4                                                                
late 2013</c:v>
                </c:pt>
                <c:pt idx="16">
                  <c:v>Q1</c:v>
                </c:pt>
                <c:pt idx="17">
                  <c:v>Q2</c:v>
                </c:pt>
                <c:pt idx="18">
                  <c:v>Q3</c:v>
                </c:pt>
                <c:pt idx="19">
                  <c:v>Q4</c:v>
                </c:pt>
                <c:pt idx="20">
                  <c:v>Q1</c:v>
                </c:pt>
                <c:pt idx="21">
                  <c:v>Q2</c:v>
                </c:pt>
                <c:pt idx="22">
                  <c:v>Q3                                                                 
mid 2015</c:v>
                </c:pt>
              </c:strCache>
            </c:strRef>
          </c:cat>
          <c:val>
            <c:numRef>
              <c:f>'10 States AggWorkings'!$C$61:$Y$61</c:f>
              <c:numCache>
                <c:formatCode>0</c:formatCode>
                <c:ptCount val="23"/>
                <c:pt idx="0" formatCode="0.0">
                  <c:v>0</c:v>
                </c:pt>
                <c:pt idx="1">
                  <c:v>0</c:v>
                </c:pt>
                <c:pt idx="2">
                  <c:v>0</c:v>
                </c:pt>
                <c:pt idx="3">
                  <c:v>0</c:v>
                </c:pt>
                <c:pt idx="4">
                  <c:v>0</c:v>
                </c:pt>
                <c:pt idx="5">
                  <c:v>0</c:v>
                </c:pt>
                <c:pt idx="6">
                  <c:v>30</c:v>
                </c:pt>
                <c:pt idx="7">
                  <c:v>33</c:v>
                </c:pt>
                <c:pt idx="8">
                  <c:v>36</c:v>
                </c:pt>
                <c:pt idx="9">
                  <c:v>39</c:v>
                </c:pt>
                <c:pt idx="10">
                  <c:v>42</c:v>
                </c:pt>
                <c:pt idx="11">
                  <c:v>48</c:v>
                </c:pt>
                <c:pt idx="12">
                  <c:v>48.75</c:v>
                </c:pt>
                <c:pt idx="13">
                  <c:v>49.5</c:v>
                </c:pt>
                <c:pt idx="14">
                  <c:v>50.25</c:v>
                </c:pt>
                <c:pt idx="15">
                  <c:v>51</c:v>
                </c:pt>
                <c:pt idx="16">
                  <c:v>54.166666666666671</c:v>
                </c:pt>
                <c:pt idx="17">
                  <c:v>57.333333333333336</c:v>
                </c:pt>
                <c:pt idx="18">
                  <c:v>60.500000000000007</c:v>
                </c:pt>
                <c:pt idx="19">
                  <c:v>63.666666666666671</c:v>
                </c:pt>
                <c:pt idx="20">
                  <c:v>76.666666666666671</c:v>
                </c:pt>
                <c:pt idx="21">
                  <c:v>82.333333333333329</c:v>
                </c:pt>
                <c:pt idx="22">
                  <c:v>84</c:v>
                </c:pt>
              </c:numCache>
            </c:numRef>
          </c:val>
          <c:smooth val="0"/>
        </c:ser>
        <c:ser>
          <c:idx val="1"/>
          <c:order val="1"/>
          <c:tx>
            <c:strRef>
              <c:f>'10 States AggWorkings'!$B$62</c:f>
              <c:strCache>
                <c:ptCount val="1"/>
                <c:pt idx="0">
                  <c:v>achieved: permit</c:v>
                </c:pt>
              </c:strCache>
            </c:strRef>
          </c:tx>
          <c:spPr>
            <a:ln w="38100">
              <a:solidFill>
                <a:srgbClr val="993366"/>
              </a:solidFill>
              <a:prstDash val="solid"/>
            </a:ln>
          </c:spPr>
          <c:marker>
            <c:symbol val="none"/>
          </c:marker>
          <c:cat>
            <c:strRef>
              <c:f>'10 States AggWorkings'!$C$2:$Y$2</c:f>
              <c:strCache>
                <c:ptCount val="23"/>
                <c:pt idx="0">
                  <c:v>early                                                                 
2010</c:v>
                </c:pt>
                <c:pt idx="1">
                  <c:v>Q1</c:v>
                </c:pt>
                <c:pt idx="2">
                  <c:v>Q2</c:v>
                </c:pt>
                <c:pt idx="3">
                  <c:v>Q3</c:v>
                </c:pt>
                <c:pt idx="4">
                  <c:v>Q4</c:v>
                </c:pt>
                <c:pt idx="5">
                  <c:v>Q1</c:v>
                </c:pt>
                <c:pt idx="6">
                  <c:v>Q2                                                                 
mid 2011</c:v>
                </c:pt>
                <c:pt idx="7">
                  <c:v>Q3</c:v>
                </c:pt>
                <c:pt idx="8">
                  <c:v>Q4</c:v>
                </c:pt>
                <c:pt idx="9">
                  <c:v>Q1</c:v>
                </c:pt>
                <c:pt idx="10">
                  <c:v>Q2</c:v>
                </c:pt>
                <c:pt idx="11">
                  <c:v>Q3/4                                                                 
late 2012</c:v>
                </c:pt>
                <c:pt idx="12">
                  <c:v>Q1</c:v>
                </c:pt>
                <c:pt idx="13">
                  <c:v>Q2</c:v>
                </c:pt>
                <c:pt idx="14">
                  <c:v>Q3</c:v>
                </c:pt>
                <c:pt idx="15">
                  <c:v> Q4                                                                
late 2013</c:v>
                </c:pt>
                <c:pt idx="16">
                  <c:v>Q1</c:v>
                </c:pt>
                <c:pt idx="17">
                  <c:v>Q2</c:v>
                </c:pt>
                <c:pt idx="18">
                  <c:v>Q3</c:v>
                </c:pt>
                <c:pt idx="19">
                  <c:v>Q4</c:v>
                </c:pt>
                <c:pt idx="20">
                  <c:v>Q1</c:v>
                </c:pt>
                <c:pt idx="21">
                  <c:v>Q2</c:v>
                </c:pt>
                <c:pt idx="22">
                  <c:v>Q3                                                                 
mid 2015</c:v>
                </c:pt>
              </c:strCache>
            </c:strRef>
          </c:cat>
          <c:val>
            <c:numRef>
              <c:f>'10 States AggWorkings'!$C$62:$Y$62</c:f>
              <c:numCache>
                <c:formatCode>0</c:formatCode>
                <c:ptCount val="23"/>
                <c:pt idx="0" formatCode="0.0">
                  <c:v>0</c:v>
                </c:pt>
                <c:pt idx="1">
                  <c:v>2</c:v>
                </c:pt>
                <c:pt idx="2">
                  <c:v>2</c:v>
                </c:pt>
                <c:pt idx="3">
                  <c:v>3</c:v>
                </c:pt>
                <c:pt idx="4">
                  <c:v>3</c:v>
                </c:pt>
                <c:pt idx="5">
                  <c:v>3</c:v>
                </c:pt>
                <c:pt idx="6">
                  <c:v>11</c:v>
                </c:pt>
                <c:pt idx="7">
                  <c:v>11</c:v>
                </c:pt>
                <c:pt idx="8">
                  <c:v>11</c:v>
                </c:pt>
                <c:pt idx="9">
                  <c:v>9</c:v>
                </c:pt>
                <c:pt idx="10">
                  <c:v>14</c:v>
                </c:pt>
                <c:pt idx="11">
                  <c:v>29</c:v>
                </c:pt>
                <c:pt idx="12">
                  <c:v>33</c:v>
                </c:pt>
                <c:pt idx="13">
                  <c:v>38</c:v>
                </c:pt>
                <c:pt idx="14">
                  <c:v>66</c:v>
                </c:pt>
                <c:pt idx="15">
                  <c:v>76</c:v>
                </c:pt>
                <c:pt idx="16">
                  <c:v>83</c:v>
                </c:pt>
                <c:pt idx="17">
                  <c:v>97</c:v>
                </c:pt>
                <c:pt idx="18">
                  <c:v>106</c:v>
                </c:pt>
                <c:pt idx="19">
                  <c:v>76</c:v>
                </c:pt>
                <c:pt idx="20">
                  <c:v>91</c:v>
                </c:pt>
                <c:pt idx="21">
                  <c:v>108</c:v>
                </c:pt>
                <c:pt idx="22">
                  <c:v>0</c:v>
                </c:pt>
              </c:numCache>
            </c:numRef>
          </c:val>
          <c:smooth val="0"/>
        </c:ser>
        <c:ser>
          <c:idx val="2"/>
          <c:order val="2"/>
          <c:tx>
            <c:strRef>
              <c:f>'10 States AggWorkings'!$B$64</c:f>
              <c:strCache>
                <c:ptCount val="1"/>
                <c:pt idx="0">
                  <c:v>planned: facilitate</c:v>
                </c:pt>
              </c:strCache>
            </c:strRef>
          </c:tx>
          <c:spPr>
            <a:ln w="38100">
              <a:solidFill>
                <a:srgbClr val="90713A"/>
              </a:solidFill>
              <a:prstDash val="solid"/>
            </a:ln>
          </c:spPr>
          <c:marker>
            <c:symbol val="none"/>
          </c:marker>
          <c:cat>
            <c:strRef>
              <c:f>'10 States AggWorkings'!$C$2:$Y$2</c:f>
              <c:strCache>
                <c:ptCount val="23"/>
                <c:pt idx="0">
                  <c:v>early                                                                 
2010</c:v>
                </c:pt>
                <c:pt idx="1">
                  <c:v>Q1</c:v>
                </c:pt>
                <c:pt idx="2">
                  <c:v>Q2</c:v>
                </c:pt>
                <c:pt idx="3">
                  <c:v>Q3</c:v>
                </c:pt>
                <c:pt idx="4">
                  <c:v>Q4</c:v>
                </c:pt>
                <c:pt idx="5">
                  <c:v>Q1</c:v>
                </c:pt>
                <c:pt idx="6">
                  <c:v>Q2                                                                 
mid 2011</c:v>
                </c:pt>
                <c:pt idx="7">
                  <c:v>Q3</c:v>
                </c:pt>
                <c:pt idx="8">
                  <c:v>Q4</c:v>
                </c:pt>
                <c:pt idx="9">
                  <c:v>Q1</c:v>
                </c:pt>
                <c:pt idx="10">
                  <c:v>Q2</c:v>
                </c:pt>
                <c:pt idx="11">
                  <c:v>Q3/4                                                                 
late 2012</c:v>
                </c:pt>
                <c:pt idx="12">
                  <c:v>Q1</c:v>
                </c:pt>
                <c:pt idx="13">
                  <c:v>Q2</c:v>
                </c:pt>
                <c:pt idx="14">
                  <c:v>Q3</c:v>
                </c:pt>
                <c:pt idx="15">
                  <c:v> Q4                                                                
late 2013</c:v>
                </c:pt>
                <c:pt idx="16">
                  <c:v>Q1</c:v>
                </c:pt>
                <c:pt idx="17">
                  <c:v>Q2</c:v>
                </c:pt>
                <c:pt idx="18">
                  <c:v>Q3</c:v>
                </c:pt>
                <c:pt idx="19">
                  <c:v>Q4</c:v>
                </c:pt>
                <c:pt idx="20">
                  <c:v>Q1</c:v>
                </c:pt>
                <c:pt idx="21">
                  <c:v>Q2</c:v>
                </c:pt>
                <c:pt idx="22">
                  <c:v>Q3                                                                 
mid 2015</c:v>
                </c:pt>
              </c:strCache>
            </c:strRef>
          </c:cat>
          <c:val>
            <c:numRef>
              <c:f>'10 States AggWorkings'!$C$64:$Y$64</c:f>
              <c:numCache>
                <c:formatCode>0</c:formatCode>
                <c:ptCount val="23"/>
                <c:pt idx="0" formatCode="0.0">
                  <c:v>0</c:v>
                </c:pt>
                <c:pt idx="1">
                  <c:v>2.1666666666666665</c:v>
                </c:pt>
                <c:pt idx="2">
                  <c:v>4.333333333333333</c:v>
                </c:pt>
                <c:pt idx="3">
                  <c:v>6.5</c:v>
                </c:pt>
                <c:pt idx="4">
                  <c:v>8.6666666666666661</c:v>
                </c:pt>
                <c:pt idx="5">
                  <c:v>10.833333333333332</c:v>
                </c:pt>
                <c:pt idx="6">
                  <c:v>13</c:v>
                </c:pt>
                <c:pt idx="7">
                  <c:v>15.000000000000002</c:v>
                </c:pt>
                <c:pt idx="8">
                  <c:v>17.000000000000004</c:v>
                </c:pt>
                <c:pt idx="9">
                  <c:v>19</c:v>
                </c:pt>
                <c:pt idx="10">
                  <c:v>21.000000000000004</c:v>
                </c:pt>
                <c:pt idx="11">
                  <c:v>25</c:v>
                </c:pt>
                <c:pt idx="12">
                  <c:v>27.25</c:v>
                </c:pt>
                <c:pt idx="13">
                  <c:v>29.5</c:v>
                </c:pt>
                <c:pt idx="14">
                  <c:v>31.75</c:v>
                </c:pt>
                <c:pt idx="15">
                  <c:v>34</c:v>
                </c:pt>
                <c:pt idx="16">
                  <c:v>36.833333333333329</c:v>
                </c:pt>
                <c:pt idx="17">
                  <c:v>39.666666666666664</c:v>
                </c:pt>
                <c:pt idx="18">
                  <c:v>42.499999999999993</c:v>
                </c:pt>
                <c:pt idx="19">
                  <c:v>45.333333333333329</c:v>
                </c:pt>
                <c:pt idx="20">
                  <c:v>61.499999999999993</c:v>
                </c:pt>
                <c:pt idx="21">
                  <c:v>68.333333333333329</c:v>
                </c:pt>
                <c:pt idx="22">
                  <c:v>70</c:v>
                </c:pt>
              </c:numCache>
            </c:numRef>
          </c:val>
          <c:smooth val="0"/>
        </c:ser>
        <c:ser>
          <c:idx val="3"/>
          <c:order val="3"/>
          <c:tx>
            <c:strRef>
              <c:f>'10 States AggWorkings'!$B$65</c:f>
              <c:strCache>
                <c:ptCount val="1"/>
                <c:pt idx="0">
                  <c:v>achieved: facilitate</c:v>
                </c:pt>
              </c:strCache>
            </c:strRef>
          </c:tx>
          <c:spPr>
            <a:ln w="38100">
              <a:solidFill>
                <a:srgbClr val="666699"/>
              </a:solidFill>
              <a:prstDash val="solid"/>
            </a:ln>
          </c:spPr>
          <c:marker>
            <c:symbol val="none"/>
          </c:marker>
          <c:cat>
            <c:strRef>
              <c:f>'10 States AggWorkings'!$C$2:$Y$2</c:f>
              <c:strCache>
                <c:ptCount val="23"/>
                <c:pt idx="0">
                  <c:v>early                                                                 
2010</c:v>
                </c:pt>
                <c:pt idx="1">
                  <c:v>Q1</c:v>
                </c:pt>
                <c:pt idx="2">
                  <c:v>Q2</c:v>
                </c:pt>
                <c:pt idx="3">
                  <c:v>Q3</c:v>
                </c:pt>
                <c:pt idx="4">
                  <c:v>Q4</c:v>
                </c:pt>
                <c:pt idx="5">
                  <c:v>Q1</c:v>
                </c:pt>
                <c:pt idx="6">
                  <c:v>Q2                                                                 
mid 2011</c:v>
                </c:pt>
                <c:pt idx="7">
                  <c:v>Q3</c:v>
                </c:pt>
                <c:pt idx="8">
                  <c:v>Q4</c:v>
                </c:pt>
                <c:pt idx="9">
                  <c:v>Q1</c:v>
                </c:pt>
                <c:pt idx="10">
                  <c:v>Q2</c:v>
                </c:pt>
                <c:pt idx="11">
                  <c:v>Q3/4                                                                 
late 2012</c:v>
                </c:pt>
                <c:pt idx="12">
                  <c:v>Q1</c:v>
                </c:pt>
                <c:pt idx="13">
                  <c:v>Q2</c:v>
                </c:pt>
                <c:pt idx="14">
                  <c:v>Q3</c:v>
                </c:pt>
                <c:pt idx="15">
                  <c:v> Q4                                                                
late 2013</c:v>
                </c:pt>
                <c:pt idx="16">
                  <c:v>Q1</c:v>
                </c:pt>
                <c:pt idx="17">
                  <c:v>Q2</c:v>
                </c:pt>
                <c:pt idx="18">
                  <c:v>Q3</c:v>
                </c:pt>
                <c:pt idx="19">
                  <c:v>Q4</c:v>
                </c:pt>
                <c:pt idx="20">
                  <c:v>Q1</c:v>
                </c:pt>
                <c:pt idx="21">
                  <c:v>Q2</c:v>
                </c:pt>
                <c:pt idx="22">
                  <c:v>Q3                                                                 
mid 2015</c:v>
                </c:pt>
              </c:strCache>
            </c:strRef>
          </c:cat>
          <c:val>
            <c:numRef>
              <c:f>'10 States AggWorkings'!$C$65:$Y$65</c:f>
              <c:numCache>
                <c:formatCode>0</c:formatCode>
                <c:ptCount val="23"/>
                <c:pt idx="0" formatCode="0.0">
                  <c:v>0</c:v>
                </c:pt>
                <c:pt idx="1">
                  <c:v>0</c:v>
                </c:pt>
                <c:pt idx="2">
                  <c:v>1</c:v>
                </c:pt>
                <c:pt idx="3">
                  <c:v>1</c:v>
                </c:pt>
                <c:pt idx="4">
                  <c:v>1</c:v>
                </c:pt>
                <c:pt idx="5">
                  <c:v>2</c:v>
                </c:pt>
                <c:pt idx="6">
                  <c:v>7</c:v>
                </c:pt>
                <c:pt idx="7">
                  <c:v>8</c:v>
                </c:pt>
                <c:pt idx="8">
                  <c:v>10</c:v>
                </c:pt>
                <c:pt idx="9">
                  <c:v>8</c:v>
                </c:pt>
                <c:pt idx="10">
                  <c:v>12</c:v>
                </c:pt>
                <c:pt idx="11">
                  <c:v>22</c:v>
                </c:pt>
                <c:pt idx="12">
                  <c:v>27</c:v>
                </c:pt>
                <c:pt idx="13">
                  <c:v>43</c:v>
                </c:pt>
                <c:pt idx="14">
                  <c:v>47</c:v>
                </c:pt>
                <c:pt idx="15">
                  <c:v>60</c:v>
                </c:pt>
                <c:pt idx="16">
                  <c:v>68</c:v>
                </c:pt>
                <c:pt idx="17">
                  <c:v>80</c:v>
                </c:pt>
                <c:pt idx="18">
                  <c:v>88</c:v>
                </c:pt>
                <c:pt idx="19">
                  <c:v>71</c:v>
                </c:pt>
                <c:pt idx="20">
                  <c:v>81</c:v>
                </c:pt>
                <c:pt idx="21">
                  <c:v>97</c:v>
                </c:pt>
                <c:pt idx="22">
                  <c:v>0</c:v>
                </c:pt>
              </c:numCache>
            </c:numRef>
          </c:val>
          <c:smooth val="0"/>
        </c:ser>
        <c:ser>
          <c:idx val="4"/>
          <c:order val="4"/>
          <c:tx>
            <c:strRef>
              <c:f>'10 States AggWorkings'!$B$67</c:f>
              <c:strCache>
                <c:ptCount val="1"/>
                <c:pt idx="0">
                  <c:v>planned: promote</c:v>
                </c:pt>
              </c:strCache>
            </c:strRef>
          </c:tx>
          <c:spPr>
            <a:ln w="38100">
              <a:solidFill>
                <a:srgbClr val="33CCCC"/>
              </a:solidFill>
              <a:prstDash val="solid"/>
            </a:ln>
          </c:spPr>
          <c:marker>
            <c:symbol val="none"/>
          </c:marker>
          <c:cat>
            <c:strRef>
              <c:f>'10 States AggWorkings'!$C$2:$Y$2</c:f>
              <c:strCache>
                <c:ptCount val="23"/>
                <c:pt idx="0">
                  <c:v>early                                                                 
2010</c:v>
                </c:pt>
                <c:pt idx="1">
                  <c:v>Q1</c:v>
                </c:pt>
                <c:pt idx="2">
                  <c:v>Q2</c:v>
                </c:pt>
                <c:pt idx="3">
                  <c:v>Q3</c:v>
                </c:pt>
                <c:pt idx="4">
                  <c:v>Q4</c:v>
                </c:pt>
                <c:pt idx="5">
                  <c:v>Q1</c:v>
                </c:pt>
                <c:pt idx="6">
                  <c:v>Q2                                                                 
mid 2011</c:v>
                </c:pt>
                <c:pt idx="7">
                  <c:v>Q3</c:v>
                </c:pt>
                <c:pt idx="8">
                  <c:v>Q4</c:v>
                </c:pt>
                <c:pt idx="9">
                  <c:v>Q1</c:v>
                </c:pt>
                <c:pt idx="10">
                  <c:v>Q2</c:v>
                </c:pt>
                <c:pt idx="11">
                  <c:v>Q3/4                                                                 
late 2012</c:v>
                </c:pt>
                <c:pt idx="12">
                  <c:v>Q1</c:v>
                </c:pt>
                <c:pt idx="13">
                  <c:v>Q2</c:v>
                </c:pt>
                <c:pt idx="14">
                  <c:v>Q3</c:v>
                </c:pt>
                <c:pt idx="15">
                  <c:v> Q4                                                                
late 2013</c:v>
                </c:pt>
                <c:pt idx="16">
                  <c:v>Q1</c:v>
                </c:pt>
                <c:pt idx="17">
                  <c:v>Q2</c:v>
                </c:pt>
                <c:pt idx="18">
                  <c:v>Q3</c:v>
                </c:pt>
                <c:pt idx="19">
                  <c:v>Q4</c:v>
                </c:pt>
                <c:pt idx="20">
                  <c:v>Q1</c:v>
                </c:pt>
                <c:pt idx="21">
                  <c:v>Q2</c:v>
                </c:pt>
                <c:pt idx="22">
                  <c:v>Q3                                                                 
mid 2015</c:v>
                </c:pt>
              </c:strCache>
            </c:strRef>
          </c:cat>
          <c:val>
            <c:numRef>
              <c:f>'10 States AggWorkings'!$C$67:$Y$67</c:f>
              <c:numCache>
                <c:formatCode>0</c:formatCode>
                <c:ptCount val="23"/>
                <c:pt idx="0" formatCode="0.0">
                  <c:v>0</c:v>
                </c:pt>
                <c:pt idx="1">
                  <c:v>1.1666666666666667</c:v>
                </c:pt>
                <c:pt idx="2">
                  <c:v>2.3333333333333335</c:v>
                </c:pt>
                <c:pt idx="3">
                  <c:v>3.5</c:v>
                </c:pt>
                <c:pt idx="4">
                  <c:v>4.666666666666667</c:v>
                </c:pt>
                <c:pt idx="5">
                  <c:v>5.833333333333333</c:v>
                </c:pt>
                <c:pt idx="6">
                  <c:v>7</c:v>
                </c:pt>
                <c:pt idx="7">
                  <c:v>8.6666666666666679</c:v>
                </c:pt>
                <c:pt idx="8">
                  <c:v>10.333333333333334</c:v>
                </c:pt>
                <c:pt idx="9">
                  <c:v>12</c:v>
                </c:pt>
                <c:pt idx="10">
                  <c:v>13.666666666666668</c:v>
                </c:pt>
                <c:pt idx="11">
                  <c:v>17</c:v>
                </c:pt>
                <c:pt idx="12">
                  <c:v>19.25</c:v>
                </c:pt>
                <c:pt idx="13">
                  <c:v>21.5</c:v>
                </c:pt>
                <c:pt idx="14">
                  <c:v>23.75</c:v>
                </c:pt>
                <c:pt idx="15">
                  <c:v>26</c:v>
                </c:pt>
                <c:pt idx="16">
                  <c:v>28.666666666666668</c:v>
                </c:pt>
                <c:pt idx="17">
                  <c:v>31.333333333333336</c:v>
                </c:pt>
                <c:pt idx="18">
                  <c:v>33.999999999999993</c:v>
                </c:pt>
                <c:pt idx="19">
                  <c:v>36.666666666666664</c:v>
                </c:pt>
                <c:pt idx="20">
                  <c:v>42</c:v>
                </c:pt>
                <c:pt idx="21">
                  <c:v>46</c:v>
                </c:pt>
                <c:pt idx="22">
                  <c:v>47</c:v>
                </c:pt>
              </c:numCache>
            </c:numRef>
          </c:val>
          <c:smooth val="0"/>
        </c:ser>
        <c:ser>
          <c:idx val="5"/>
          <c:order val="5"/>
          <c:tx>
            <c:strRef>
              <c:f>'10 States AggWorkings'!$B$68</c:f>
              <c:strCache>
                <c:ptCount val="1"/>
                <c:pt idx="0">
                  <c:v>achieved:promote</c:v>
                </c:pt>
              </c:strCache>
            </c:strRef>
          </c:tx>
          <c:spPr>
            <a:ln w="38100">
              <a:solidFill>
                <a:srgbClr val="FF9900"/>
              </a:solidFill>
              <a:prstDash val="solid"/>
            </a:ln>
          </c:spPr>
          <c:marker>
            <c:symbol val="none"/>
          </c:marker>
          <c:cat>
            <c:strRef>
              <c:f>'10 States AggWorkings'!$C$2:$Y$2</c:f>
              <c:strCache>
                <c:ptCount val="23"/>
                <c:pt idx="0">
                  <c:v>early                                                                 
2010</c:v>
                </c:pt>
                <c:pt idx="1">
                  <c:v>Q1</c:v>
                </c:pt>
                <c:pt idx="2">
                  <c:v>Q2</c:v>
                </c:pt>
                <c:pt idx="3">
                  <c:v>Q3</c:v>
                </c:pt>
                <c:pt idx="4">
                  <c:v>Q4</c:v>
                </c:pt>
                <c:pt idx="5">
                  <c:v>Q1</c:v>
                </c:pt>
                <c:pt idx="6">
                  <c:v>Q2                                                                 
mid 2011</c:v>
                </c:pt>
                <c:pt idx="7">
                  <c:v>Q3</c:v>
                </c:pt>
                <c:pt idx="8">
                  <c:v>Q4</c:v>
                </c:pt>
                <c:pt idx="9">
                  <c:v>Q1</c:v>
                </c:pt>
                <c:pt idx="10">
                  <c:v>Q2</c:v>
                </c:pt>
                <c:pt idx="11">
                  <c:v>Q3/4                                                                 
late 2012</c:v>
                </c:pt>
                <c:pt idx="12">
                  <c:v>Q1</c:v>
                </c:pt>
                <c:pt idx="13">
                  <c:v>Q2</c:v>
                </c:pt>
                <c:pt idx="14">
                  <c:v>Q3</c:v>
                </c:pt>
                <c:pt idx="15">
                  <c:v> Q4                                                                
late 2013</c:v>
                </c:pt>
                <c:pt idx="16">
                  <c:v>Q1</c:v>
                </c:pt>
                <c:pt idx="17">
                  <c:v>Q2</c:v>
                </c:pt>
                <c:pt idx="18">
                  <c:v>Q3</c:v>
                </c:pt>
                <c:pt idx="19">
                  <c:v>Q4</c:v>
                </c:pt>
                <c:pt idx="20">
                  <c:v>Q1</c:v>
                </c:pt>
                <c:pt idx="21">
                  <c:v>Q2</c:v>
                </c:pt>
                <c:pt idx="22">
                  <c:v>Q3                                                                 
mid 2015</c:v>
                </c:pt>
              </c:strCache>
            </c:strRef>
          </c:cat>
          <c:val>
            <c:numRef>
              <c:f>'10 States AggWorkings'!$C$68:$Y$68</c:f>
              <c:numCache>
                <c:formatCode>0</c:formatCode>
                <c:ptCount val="23"/>
                <c:pt idx="0" formatCode="0.0">
                  <c:v>0</c:v>
                </c:pt>
                <c:pt idx="1">
                  <c:v>0</c:v>
                </c:pt>
                <c:pt idx="2">
                  <c:v>0</c:v>
                </c:pt>
                <c:pt idx="3">
                  <c:v>1</c:v>
                </c:pt>
                <c:pt idx="4">
                  <c:v>1</c:v>
                </c:pt>
                <c:pt idx="5">
                  <c:v>1</c:v>
                </c:pt>
                <c:pt idx="6">
                  <c:v>6</c:v>
                </c:pt>
                <c:pt idx="7">
                  <c:v>6</c:v>
                </c:pt>
                <c:pt idx="8">
                  <c:v>8</c:v>
                </c:pt>
                <c:pt idx="9">
                  <c:v>6</c:v>
                </c:pt>
                <c:pt idx="10">
                  <c:v>8</c:v>
                </c:pt>
                <c:pt idx="11">
                  <c:v>16</c:v>
                </c:pt>
                <c:pt idx="12">
                  <c:v>20</c:v>
                </c:pt>
                <c:pt idx="13">
                  <c:v>28</c:v>
                </c:pt>
                <c:pt idx="14">
                  <c:v>37</c:v>
                </c:pt>
                <c:pt idx="15">
                  <c:v>37</c:v>
                </c:pt>
                <c:pt idx="16">
                  <c:v>48</c:v>
                </c:pt>
                <c:pt idx="17">
                  <c:v>56</c:v>
                </c:pt>
                <c:pt idx="18">
                  <c:v>58</c:v>
                </c:pt>
                <c:pt idx="19">
                  <c:v>50</c:v>
                </c:pt>
                <c:pt idx="20">
                  <c:v>52</c:v>
                </c:pt>
                <c:pt idx="21">
                  <c:v>67</c:v>
                </c:pt>
                <c:pt idx="22">
                  <c:v>0</c:v>
                </c:pt>
              </c:numCache>
            </c:numRef>
          </c:val>
          <c:smooth val="0"/>
        </c:ser>
        <c:ser>
          <c:idx val="6"/>
          <c:order val="6"/>
          <c:tx>
            <c:strRef>
              <c:f>'10 States AggWorkings'!$B$70</c:f>
              <c:strCache>
                <c:ptCount val="1"/>
                <c:pt idx="0">
                  <c:v>planned: institute</c:v>
                </c:pt>
              </c:strCache>
            </c:strRef>
          </c:tx>
          <c:spPr>
            <a:ln w="38100">
              <a:solidFill>
                <a:srgbClr val="9999FF"/>
              </a:solidFill>
              <a:prstDash val="solid"/>
            </a:ln>
          </c:spPr>
          <c:marker>
            <c:symbol val="none"/>
          </c:marker>
          <c:cat>
            <c:strRef>
              <c:f>'10 States AggWorkings'!$C$2:$Y$2</c:f>
              <c:strCache>
                <c:ptCount val="23"/>
                <c:pt idx="0">
                  <c:v>early                                                                 
2010</c:v>
                </c:pt>
                <c:pt idx="1">
                  <c:v>Q1</c:v>
                </c:pt>
                <c:pt idx="2">
                  <c:v>Q2</c:v>
                </c:pt>
                <c:pt idx="3">
                  <c:v>Q3</c:v>
                </c:pt>
                <c:pt idx="4">
                  <c:v>Q4</c:v>
                </c:pt>
                <c:pt idx="5">
                  <c:v>Q1</c:v>
                </c:pt>
                <c:pt idx="6">
                  <c:v>Q2                                                                 
mid 2011</c:v>
                </c:pt>
                <c:pt idx="7">
                  <c:v>Q3</c:v>
                </c:pt>
                <c:pt idx="8">
                  <c:v>Q4</c:v>
                </c:pt>
                <c:pt idx="9">
                  <c:v>Q1</c:v>
                </c:pt>
                <c:pt idx="10">
                  <c:v>Q2</c:v>
                </c:pt>
                <c:pt idx="11">
                  <c:v>Q3/4                                                                 
late 2012</c:v>
                </c:pt>
                <c:pt idx="12">
                  <c:v>Q1</c:v>
                </c:pt>
                <c:pt idx="13">
                  <c:v>Q2</c:v>
                </c:pt>
                <c:pt idx="14">
                  <c:v>Q3</c:v>
                </c:pt>
                <c:pt idx="15">
                  <c:v> Q4                                                                
late 2013</c:v>
                </c:pt>
                <c:pt idx="16">
                  <c:v>Q1</c:v>
                </c:pt>
                <c:pt idx="17">
                  <c:v>Q2</c:v>
                </c:pt>
                <c:pt idx="18">
                  <c:v>Q3</c:v>
                </c:pt>
                <c:pt idx="19">
                  <c:v>Q4</c:v>
                </c:pt>
                <c:pt idx="20">
                  <c:v>Q1</c:v>
                </c:pt>
                <c:pt idx="21">
                  <c:v>Q2</c:v>
                </c:pt>
                <c:pt idx="22">
                  <c:v>Q3                                                                 
mid 2015</c:v>
                </c:pt>
              </c:strCache>
            </c:strRef>
          </c:cat>
          <c:val>
            <c:numRef>
              <c:f>'10 States AggWorkings'!$C$70:$Y$70</c:f>
              <c:numCache>
                <c:formatCode>0</c:formatCode>
                <c:ptCount val="23"/>
                <c:pt idx="0" formatCode="0.0">
                  <c:v>0</c:v>
                </c:pt>
                <c:pt idx="1">
                  <c:v>0.5</c:v>
                </c:pt>
                <c:pt idx="2">
                  <c:v>1</c:v>
                </c:pt>
                <c:pt idx="3">
                  <c:v>1.5</c:v>
                </c:pt>
                <c:pt idx="4">
                  <c:v>2</c:v>
                </c:pt>
                <c:pt idx="5">
                  <c:v>2.5</c:v>
                </c:pt>
                <c:pt idx="6">
                  <c:v>3</c:v>
                </c:pt>
                <c:pt idx="7">
                  <c:v>3.833333333333333</c:v>
                </c:pt>
                <c:pt idx="8">
                  <c:v>4.6666666666666661</c:v>
                </c:pt>
                <c:pt idx="9">
                  <c:v>5.5</c:v>
                </c:pt>
                <c:pt idx="10">
                  <c:v>6.333333333333333</c:v>
                </c:pt>
                <c:pt idx="11">
                  <c:v>8</c:v>
                </c:pt>
                <c:pt idx="12">
                  <c:v>9.75</c:v>
                </c:pt>
                <c:pt idx="13">
                  <c:v>11.5</c:v>
                </c:pt>
                <c:pt idx="14">
                  <c:v>13.25</c:v>
                </c:pt>
                <c:pt idx="15">
                  <c:v>15</c:v>
                </c:pt>
                <c:pt idx="16">
                  <c:v>17.166666666666668</c:v>
                </c:pt>
                <c:pt idx="17">
                  <c:v>19.333333333333339</c:v>
                </c:pt>
                <c:pt idx="18">
                  <c:v>21.5</c:v>
                </c:pt>
                <c:pt idx="19">
                  <c:v>23.666666666666664</c:v>
                </c:pt>
                <c:pt idx="20">
                  <c:v>19.166666666666671</c:v>
                </c:pt>
                <c:pt idx="21">
                  <c:v>20</c:v>
                </c:pt>
                <c:pt idx="22">
                  <c:v>20</c:v>
                </c:pt>
              </c:numCache>
            </c:numRef>
          </c:val>
          <c:smooth val="0"/>
        </c:ser>
        <c:ser>
          <c:idx val="7"/>
          <c:order val="7"/>
          <c:tx>
            <c:strRef>
              <c:f>'10 States AggWorkings'!$B$71</c:f>
              <c:strCache>
                <c:ptCount val="1"/>
                <c:pt idx="0">
                  <c:v>achieved: institute</c:v>
                </c:pt>
              </c:strCache>
            </c:strRef>
          </c:tx>
          <c:spPr>
            <a:ln w="38100">
              <a:solidFill>
                <a:srgbClr val="FF8080"/>
              </a:solidFill>
              <a:prstDash val="solid"/>
            </a:ln>
          </c:spPr>
          <c:marker>
            <c:symbol val="none"/>
          </c:marker>
          <c:cat>
            <c:strRef>
              <c:f>'10 States AggWorkings'!$C$2:$Y$2</c:f>
              <c:strCache>
                <c:ptCount val="23"/>
                <c:pt idx="0">
                  <c:v>early                                                                 
2010</c:v>
                </c:pt>
                <c:pt idx="1">
                  <c:v>Q1</c:v>
                </c:pt>
                <c:pt idx="2">
                  <c:v>Q2</c:v>
                </c:pt>
                <c:pt idx="3">
                  <c:v>Q3</c:v>
                </c:pt>
                <c:pt idx="4">
                  <c:v>Q4</c:v>
                </c:pt>
                <c:pt idx="5">
                  <c:v>Q1</c:v>
                </c:pt>
                <c:pt idx="6">
                  <c:v>Q2                                                                 
mid 2011</c:v>
                </c:pt>
                <c:pt idx="7">
                  <c:v>Q3</c:v>
                </c:pt>
                <c:pt idx="8">
                  <c:v>Q4</c:v>
                </c:pt>
                <c:pt idx="9">
                  <c:v>Q1</c:v>
                </c:pt>
                <c:pt idx="10">
                  <c:v>Q2</c:v>
                </c:pt>
                <c:pt idx="11">
                  <c:v>Q3/4                                                                 
late 2012</c:v>
                </c:pt>
                <c:pt idx="12">
                  <c:v>Q1</c:v>
                </c:pt>
                <c:pt idx="13">
                  <c:v>Q2</c:v>
                </c:pt>
                <c:pt idx="14">
                  <c:v>Q3</c:v>
                </c:pt>
                <c:pt idx="15">
                  <c:v> Q4                                                                
late 2013</c:v>
                </c:pt>
                <c:pt idx="16">
                  <c:v>Q1</c:v>
                </c:pt>
                <c:pt idx="17">
                  <c:v>Q2</c:v>
                </c:pt>
                <c:pt idx="18">
                  <c:v>Q3</c:v>
                </c:pt>
                <c:pt idx="19">
                  <c:v>Q4</c:v>
                </c:pt>
                <c:pt idx="20">
                  <c:v>Q1</c:v>
                </c:pt>
                <c:pt idx="21">
                  <c:v>Q2</c:v>
                </c:pt>
                <c:pt idx="22">
                  <c:v>Q3                                                                 
mid 2015</c:v>
                </c:pt>
              </c:strCache>
            </c:strRef>
          </c:cat>
          <c:val>
            <c:numRef>
              <c:f>'10 States AggWorkings'!$C$71:$Y$71</c:f>
              <c:numCache>
                <c:formatCode>0</c:formatCode>
                <c:ptCount val="23"/>
                <c:pt idx="0" formatCode="0.0">
                  <c:v>0</c:v>
                </c:pt>
                <c:pt idx="1">
                  <c:v>0</c:v>
                </c:pt>
                <c:pt idx="2">
                  <c:v>0</c:v>
                </c:pt>
                <c:pt idx="3">
                  <c:v>0</c:v>
                </c:pt>
                <c:pt idx="4">
                  <c:v>0</c:v>
                </c:pt>
                <c:pt idx="5">
                  <c:v>0</c:v>
                </c:pt>
                <c:pt idx="6">
                  <c:v>4</c:v>
                </c:pt>
                <c:pt idx="7">
                  <c:v>4</c:v>
                </c:pt>
                <c:pt idx="8">
                  <c:v>5</c:v>
                </c:pt>
                <c:pt idx="9">
                  <c:v>5</c:v>
                </c:pt>
                <c:pt idx="10">
                  <c:v>10</c:v>
                </c:pt>
                <c:pt idx="11">
                  <c:v>10</c:v>
                </c:pt>
                <c:pt idx="12">
                  <c:v>10</c:v>
                </c:pt>
                <c:pt idx="13">
                  <c:v>17</c:v>
                </c:pt>
                <c:pt idx="14">
                  <c:v>14</c:v>
                </c:pt>
                <c:pt idx="15">
                  <c:v>20</c:v>
                </c:pt>
                <c:pt idx="16">
                  <c:v>27</c:v>
                </c:pt>
                <c:pt idx="17">
                  <c:v>33</c:v>
                </c:pt>
                <c:pt idx="18">
                  <c:v>41</c:v>
                </c:pt>
                <c:pt idx="19">
                  <c:v>11</c:v>
                </c:pt>
                <c:pt idx="20">
                  <c:v>13</c:v>
                </c:pt>
                <c:pt idx="21">
                  <c:v>16</c:v>
                </c:pt>
                <c:pt idx="22">
                  <c:v>0</c:v>
                </c:pt>
              </c:numCache>
            </c:numRef>
          </c:val>
          <c:smooth val="0"/>
        </c:ser>
        <c:dLbls>
          <c:showLegendKey val="0"/>
          <c:showVal val="0"/>
          <c:showCatName val="0"/>
          <c:showSerName val="0"/>
          <c:showPercent val="0"/>
          <c:showBubbleSize val="0"/>
        </c:dLbls>
        <c:marker val="1"/>
        <c:smooth val="0"/>
        <c:axId val="110897792"/>
        <c:axId val="110907776"/>
      </c:lineChart>
      <c:catAx>
        <c:axId val="110897792"/>
        <c:scaling>
          <c:orientation val="minMax"/>
        </c:scaling>
        <c:delete val="0"/>
        <c:axPos val="b"/>
        <c:majorGridlines>
          <c:spPr>
            <a:ln w="3175">
              <a:solidFill>
                <a:srgbClr val="808080"/>
              </a:solidFill>
              <a:prstDash val="solid"/>
            </a:ln>
          </c:spPr>
        </c:majorGridlines>
        <c:numFmt formatCode="General" sourceLinked="1"/>
        <c:majorTickMark val="out"/>
        <c:minorTickMark val="none"/>
        <c:tickLblPos val="nextTo"/>
        <c:spPr>
          <a:ln w="3175">
            <a:solidFill>
              <a:srgbClr val="808080"/>
            </a:solidFill>
            <a:prstDash val="solid"/>
          </a:ln>
        </c:spPr>
        <c:txPr>
          <a:bodyPr rot="0" vert="horz"/>
          <a:lstStyle/>
          <a:p>
            <a:pPr>
              <a:defRPr sz="900" b="0" i="0" u="none" strike="noStrike" baseline="0">
                <a:solidFill>
                  <a:srgbClr val="666699"/>
                </a:solidFill>
                <a:latin typeface="Calibri"/>
                <a:ea typeface="Calibri"/>
                <a:cs typeface="Calibri"/>
              </a:defRPr>
            </a:pPr>
            <a:endParaRPr lang="en-US"/>
          </a:p>
        </c:txPr>
        <c:crossAx val="110907776"/>
        <c:crosses val="autoZero"/>
        <c:auto val="1"/>
        <c:lblAlgn val="ctr"/>
        <c:lblOffset val="100"/>
        <c:noMultiLvlLbl val="0"/>
      </c:catAx>
      <c:valAx>
        <c:axId val="110907776"/>
        <c:scaling>
          <c:orientation val="minMax"/>
          <c:max val="100"/>
        </c:scaling>
        <c:delete val="0"/>
        <c:axPos val="l"/>
        <c:majorGridlines>
          <c:spPr>
            <a:ln w="3175">
              <a:solidFill>
                <a:srgbClr val="808080"/>
              </a:solidFill>
              <a:prstDash val="solid"/>
            </a:ln>
          </c:spPr>
        </c:majorGridlines>
        <c:numFmt formatCode="0.0" sourceLinked="1"/>
        <c:majorTickMark val="out"/>
        <c:minorTickMark val="none"/>
        <c:tickLblPos val="nextTo"/>
        <c:spPr>
          <a:ln w="3175">
            <a:solidFill>
              <a:srgbClr val="808080"/>
            </a:solidFill>
            <a:prstDash val="solid"/>
          </a:ln>
        </c:spPr>
        <c:txPr>
          <a:bodyPr rot="0" vert="horz"/>
          <a:lstStyle/>
          <a:p>
            <a:pPr>
              <a:defRPr sz="900" b="0" i="0" u="none" strike="noStrike" baseline="0">
                <a:solidFill>
                  <a:srgbClr val="666699"/>
                </a:solidFill>
                <a:latin typeface="Calibri"/>
                <a:ea typeface="Calibri"/>
                <a:cs typeface="Calibri"/>
              </a:defRPr>
            </a:pPr>
            <a:endParaRPr lang="en-US"/>
          </a:p>
        </c:txPr>
        <c:crossAx val="110897792"/>
        <c:crosses val="autoZero"/>
        <c:crossBetween val="midCat"/>
      </c:valAx>
      <c:spPr>
        <a:solidFill>
          <a:srgbClr val="FFFFFF"/>
        </a:solidFill>
        <a:ln w="25400">
          <a:noFill/>
        </a:ln>
      </c:spPr>
    </c:plotArea>
    <c:legend>
      <c:legendPos val="r"/>
      <c:layout>
        <c:manualLayout>
          <c:xMode val="edge"/>
          <c:yMode val="edge"/>
          <c:x val="0.87375415282391999"/>
          <c:y val="9.2592676317162406E-2"/>
          <c:w val="0.102990033222591"/>
          <c:h val="0.73333399643192698"/>
        </c:manualLayout>
      </c:layout>
      <c:overlay val="0"/>
      <c:spPr>
        <a:noFill/>
        <a:ln w="25400">
          <a:noFill/>
        </a:ln>
      </c:spPr>
      <c:txPr>
        <a:bodyPr/>
        <a:lstStyle/>
        <a:p>
          <a:pPr>
            <a:defRPr sz="690" b="0" i="0" u="none" strike="noStrike" baseline="0">
              <a:solidFill>
                <a:srgbClr val="666699"/>
              </a:solidFill>
              <a:latin typeface="Calibri"/>
              <a:ea typeface="Calibri"/>
              <a:cs typeface="Calibri"/>
            </a:defRPr>
          </a:pPr>
          <a:endParaRPr lang="en-US"/>
        </a:p>
      </c:txPr>
    </c:legend>
    <c:plotVisOnly val="1"/>
    <c:dispBlanksAs val="gap"/>
    <c:showDLblsOverMax val="0"/>
  </c:chart>
  <c:spPr>
    <a:solidFill>
      <a:srgbClr val="DCE6F2"/>
    </a:solidFill>
    <a:ln w="9525">
      <a:noFill/>
    </a:ln>
  </c:spPr>
  <c:txPr>
    <a:bodyPr/>
    <a:lstStyle/>
    <a:p>
      <a:pPr>
        <a:defRPr sz="900" b="0" i="0" u="none" strike="noStrike" baseline="0">
          <a:solidFill>
            <a:srgbClr val="666699"/>
          </a:solidFill>
          <a:latin typeface="Calibri"/>
          <a:ea typeface="Calibri"/>
          <a:cs typeface="Calibri"/>
        </a:defRPr>
      </a:pPr>
      <a:endParaRPr lang="en-US"/>
    </a:p>
  </c:txPr>
  <c:printSettings>
    <c:headerFooter/>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4.9208991483782799E-2"/>
          <c:y val="4.08479532163743E-2"/>
          <c:w val="0.80570251298189299"/>
          <c:h val="0.83174385964912301"/>
        </c:manualLayout>
      </c:layout>
      <c:lineChart>
        <c:grouping val="standard"/>
        <c:varyColors val="0"/>
        <c:ser>
          <c:idx val="0"/>
          <c:order val="0"/>
          <c:tx>
            <c:strRef>
              <c:f>'10 States AggWorkings'!$B$91</c:f>
              <c:strCache>
                <c:ptCount val="1"/>
                <c:pt idx="0">
                  <c:v>planned</c:v>
                </c:pt>
              </c:strCache>
            </c:strRef>
          </c:tx>
          <c:spPr>
            <a:ln w="38100">
              <a:solidFill>
                <a:srgbClr val="666699"/>
              </a:solidFill>
              <a:prstDash val="solid"/>
            </a:ln>
          </c:spPr>
          <c:marker>
            <c:symbol val="none"/>
          </c:marker>
          <c:cat>
            <c:strRef>
              <c:f>'10 States AggWorkings'!$C$2:$Y$2</c:f>
              <c:strCache>
                <c:ptCount val="23"/>
                <c:pt idx="0">
                  <c:v>early                                                                 
2010</c:v>
                </c:pt>
                <c:pt idx="1">
                  <c:v>Q1</c:v>
                </c:pt>
                <c:pt idx="2">
                  <c:v>Q2</c:v>
                </c:pt>
                <c:pt idx="3">
                  <c:v>Q3</c:v>
                </c:pt>
                <c:pt idx="4">
                  <c:v>Q4</c:v>
                </c:pt>
                <c:pt idx="5">
                  <c:v>Q1</c:v>
                </c:pt>
                <c:pt idx="6">
                  <c:v>Q2                                                                 
mid 2011</c:v>
                </c:pt>
                <c:pt idx="7">
                  <c:v>Q3</c:v>
                </c:pt>
                <c:pt idx="8">
                  <c:v>Q4</c:v>
                </c:pt>
                <c:pt idx="9">
                  <c:v>Q1</c:v>
                </c:pt>
                <c:pt idx="10">
                  <c:v>Q2</c:v>
                </c:pt>
                <c:pt idx="11">
                  <c:v>Q3/4                                                                 
late 2012</c:v>
                </c:pt>
                <c:pt idx="12">
                  <c:v>Q1</c:v>
                </c:pt>
                <c:pt idx="13">
                  <c:v>Q2</c:v>
                </c:pt>
                <c:pt idx="14">
                  <c:v>Q3</c:v>
                </c:pt>
                <c:pt idx="15">
                  <c:v> Q4                                                                
late 2013</c:v>
                </c:pt>
                <c:pt idx="16">
                  <c:v>Q1</c:v>
                </c:pt>
                <c:pt idx="17">
                  <c:v>Q2</c:v>
                </c:pt>
                <c:pt idx="18">
                  <c:v>Q3</c:v>
                </c:pt>
                <c:pt idx="19">
                  <c:v>Q4</c:v>
                </c:pt>
                <c:pt idx="20">
                  <c:v>Q1</c:v>
                </c:pt>
                <c:pt idx="21">
                  <c:v>Q2</c:v>
                </c:pt>
                <c:pt idx="22">
                  <c:v>Q3                                                                 
mid 2015</c:v>
                </c:pt>
              </c:strCache>
            </c:strRef>
          </c:cat>
          <c:val>
            <c:numRef>
              <c:f>'10 States AggWorkings'!$C$91:$Y$91</c:f>
              <c:numCache>
                <c:formatCode>0</c:formatCode>
                <c:ptCount val="23"/>
                <c:pt idx="0">
                  <c:v>0</c:v>
                </c:pt>
                <c:pt idx="1">
                  <c:v>0</c:v>
                </c:pt>
                <c:pt idx="2">
                  <c:v>0</c:v>
                </c:pt>
                <c:pt idx="3">
                  <c:v>0</c:v>
                </c:pt>
                <c:pt idx="4">
                  <c:v>0</c:v>
                </c:pt>
                <c:pt idx="5">
                  <c:v>0</c:v>
                </c:pt>
                <c:pt idx="6">
                  <c:v>0</c:v>
                </c:pt>
                <c:pt idx="7">
                  <c:v>0</c:v>
                </c:pt>
                <c:pt idx="8">
                  <c:v>0</c:v>
                </c:pt>
                <c:pt idx="9">
                  <c:v>0</c:v>
                </c:pt>
                <c:pt idx="10">
                  <c:v>0</c:v>
                </c:pt>
                <c:pt idx="11" formatCode="0.0">
                  <c:v>2.9375</c:v>
                </c:pt>
                <c:pt idx="12" formatCode="0.0">
                  <c:v>3.0125000000000002</c:v>
                </c:pt>
                <c:pt idx="13" formatCode="0.0">
                  <c:v>3.0875000000000004</c:v>
                </c:pt>
                <c:pt idx="14" formatCode="0.0">
                  <c:v>3.1625000000000001</c:v>
                </c:pt>
                <c:pt idx="15" formatCode="0.0">
                  <c:v>3.2374999999999998</c:v>
                </c:pt>
                <c:pt idx="16" formatCode="0.0">
                  <c:v>3.3062499999999999</c:v>
                </c:pt>
                <c:pt idx="17" formatCode="0.0">
                  <c:v>3.375</c:v>
                </c:pt>
                <c:pt idx="18" formatCode="0.0">
                  <c:v>3.4437500000000001</c:v>
                </c:pt>
                <c:pt idx="19" formatCode="0.0">
                  <c:v>3.5124999999999997</c:v>
                </c:pt>
                <c:pt idx="20" formatCode="0.0">
                  <c:v>3.5183333333333335</c:v>
                </c:pt>
                <c:pt idx="21" formatCode="0.0">
                  <c:v>3.6133333333333333</c:v>
                </c:pt>
                <c:pt idx="22" formatCode="0.0">
                  <c:v>3.6399999999999997</c:v>
                </c:pt>
              </c:numCache>
            </c:numRef>
          </c:val>
          <c:smooth val="0"/>
        </c:ser>
        <c:ser>
          <c:idx val="1"/>
          <c:order val="1"/>
          <c:tx>
            <c:strRef>
              <c:f>'10 States AggWorkings'!$B$92</c:f>
              <c:strCache>
                <c:ptCount val="1"/>
                <c:pt idx="0">
                  <c:v>achieved</c:v>
                </c:pt>
              </c:strCache>
            </c:strRef>
          </c:tx>
          <c:spPr>
            <a:ln w="38100">
              <a:solidFill>
                <a:srgbClr val="993366"/>
              </a:solidFill>
              <a:prstDash val="solid"/>
            </a:ln>
          </c:spPr>
          <c:marker>
            <c:symbol val="none"/>
          </c:marker>
          <c:cat>
            <c:strRef>
              <c:f>'10 States AggWorkings'!$C$2:$Y$2</c:f>
              <c:strCache>
                <c:ptCount val="23"/>
                <c:pt idx="0">
                  <c:v>early                                                                 
2010</c:v>
                </c:pt>
                <c:pt idx="1">
                  <c:v>Q1</c:v>
                </c:pt>
                <c:pt idx="2">
                  <c:v>Q2</c:v>
                </c:pt>
                <c:pt idx="3">
                  <c:v>Q3</c:v>
                </c:pt>
                <c:pt idx="4">
                  <c:v>Q4</c:v>
                </c:pt>
                <c:pt idx="5">
                  <c:v>Q1</c:v>
                </c:pt>
                <c:pt idx="6">
                  <c:v>Q2                                                                 
mid 2011</c:v>
                </c:pt>
                <c:pt idx="7">
                  <c:v>Q3</c:v>
                </c:pt>
                <c:pt idx="8">
                  <c:v>Q4</c:v>
                </c:pt>
                <c:pt idx="9">
                  <c:v>Q1</c:v>
                </c:pt>
                <c:pt idx="10">
                  <c:v>Q2</c:v>
                </c:pt>
                <c:pt idx="11">
                  <c:v>Q3/4                                                                 
late 2012</c:v>
                </c:pt>
                <c:pt idx="12">
                  <c:v>Q1</c:v>
                </c:pt>
                <c:pt idx="13">
                  <c:v>Q2</c:v>
                </c:pt>
                <c:pt idx="14">
                  <c:v>Q3</c:v>
                </c:pt>
                <c:pt idx="15">
                  <c:v> Q4                                                                
late 2013</c:v>
                </c:pt>
                <c:pt idx="16">
                  <c:v>Q1</c:v>
                </c:pt>
                <c:pt idx="17">
                  <c:v>Q2</c:v>
                </c:pt>
                <c:pt idx="18">
                  <c:v>Q3</c:v>
                </c:pt>
                <c:pt idx="19">
                  <c:v>Q4</c:v>
                </c:pt>
                <c:pt idx="20">
                  <c:v>Q1</c:v>
                </c:pt>
                <c:pt idx="21">
                  <c:v>Q2</c:v>
                </c:pt>
                <c:pt idx="22">
                  <c:v>Q3                                                                 
mid 2015</c:v>
                </c:pt>
              </c:strCache>
            </c:strRef>
          </c:cat>
          <c:val>
            <c:numRef>
              <c:f>'10 States AggWorkings'!$C$92:$Y$92</c:f>
              <c:numCache>
                <c:formatCode>0</c:formatCode>
                <c:ptCount val="23"/>
                <c:pt idx="0">
                  <c:v>0</c:v>
                </c:pt>
                <c:pt idx="1">
                  <c:v>0</c:v>
                </c:pt>
                <c:pt idx="2">
                  <c:v>0</c:v>
                </c:pt>
                <c:pt idx="3">
                  <c:v>0</c:v>
                </c:pt>
                <c:pt idx="4">
                  <c:v>0</c:v>
                </c:pt>
                <c:pt idx="5">
                  <c:v>0</c:v>
                </c:pt>
                <c:pt idx="6">
                  <c:v>0</c:v>
                </c:pt>
                <c:pt idx="7">
                  <c:v>0</c:v>
                </c:pt>
                <c:pt idx="8">
                  <c:v>0</c:v>
                </c:pt>
                <c:pt idx="9">
                  <c:v>0</c:v>
                </c:pt>
                <c:pt idx="10">
                  <c:v>0</c:v>
                </c:pt>
                <c:pt idx="11" formatCode="0.0">
                  <c:v>2.9375</c:v>
                </c:pt>
                <c:pt idx="12" formatCode="0.0">
                  <c:v>3.0125000000000002</c:v>
                </c:pt>
                <c:pt idx="13" formatCode="0.0">
                  <c:v>2.9812500000000002</c:v>
                </c:pt>
                <c:pt idx="14" formatCode="0.0">
                  <c:v>3.2374999999999998</c:v>
                </c:pt>
                <c:pt idx="15" formatCode="0.0">
                  <c:v>3.2624999999999997</c:v>
                </c:pt>
                <c:pt idx="16" formatCode="0.0">
                  <c:v>3.2250000000000001</c:v>
                </c:pt>
                <c:pt idx="17" formatCode="0.0">
                  <c:v>3.5249999999999999</c:v>
                </c:pt>
                <c:pt idx="18" formatCode="0.0">
                  <c:v>3.56</c:v>
                </c:pt>
                <c:pt idx="19" formatCode="0.0">
                  <c:v>3.8625000000000003</c:v>
                </c:pt>
                <c:pt idx="20" formatCode="0.0">
                  <c:v>3.7000000000000006</c:v>
                </c:pt>
                <c:pt idx="21" formatCode="0.0">
                  <c:v>3.7449999999999997</c:v>
                </c:pt>
                <c:pt idx="22" formatCode="0.0">
                  <c:v>0</c:v>
                </c:pt>
              </c:numCache>
            </c:numRef>
          </c:val>
          <c:smooth val="0"/>
        </c:ser>
        <c:dLbls>
          <c:showLegendKey val="0"/>
          <c:showVal val="0"/>
          <c:showCatName val="0"/>
          <c:showSerName val="0"/>
          <c:showPercent val="0"/>
          <c:showBubbleSize val="0"/>
        </c:dLbls>
        <c:marker val="1"/>
        <c:smooth val="0"/>
        <c:axId val="110937984"/>
        <c:axId val="110939520"/>
      </c:lineChart>
      <c:catAx>
        <c:axId val="110937984"/>
        <c:scaling>
          <c:orientation val="minMax"/>
        </c:scaling>
        <c:delete val="0"/>
        <c:axPos val="b"/>
        <c:majorGridlines>
          <c:spPr>
            <a:ln w="3175">
              <a:solidFill>
                <a:srgbClr val="808080"/>
              </a:solidFill>
              <a:prstDash val="solid"/>
            </a:ln>
          </c:spPr>
        </c:majorGridlines>
        <c:numFmt formatCode="General" sourceLinked="1"/>
        <c:majorTickMark val="out"/>
        <c:minorTickMark val="none"/>
        <c:tickLblPos val="nextTo"/>
        <c:spPr>
          <a:ln w="3175">
            <a:solidFill>
              <a:srgbClr val="808080"/>
            </a:solidFill>
            <a:prstDash val="solid"/>
          </a:ln>
        </c:spPr>
        <c:txPr>
          <a:bodyPr rot="0" vert="horz"/>
          <a:lstStyle/>
          <a:p>
            <a:pPr>
              <a:defRPr sz="900" b="0" i="0" u="none" strike="noStrike" baseline="0">
                <a:solidFill>
                  <a:srgbClr val="666699"/>
                </a:solidFill>
                <a:latin typeface="Calibri"/>
                <a:ea typeface="Calibri"/>
                <a:cs typeface="Calibri"/>
              </a:defRPr>
            </a:pPr>
            <a:endParaRPr lang="en-US"/>
          </a:p>
        </c:txPr>
        <c:crossAx val="110939520"/>
        <c:crosses val="autoZero"/>
        <c:auto val="1"/>
        <c:lblAlgn val="ctr"/>
        <c:lblOffset val="100"/>
        <c:noMultiLvlLbl val="0"/>
      </c:catAx>
      <c:valAx>
        <c:axId val="110939520"/>
        <c:scaling>
          <c:orientation val="minMax"/>
          <c:max val="200"/>
        </c:scaling>
        <c:delete val="0"/>
        <c:axPos val="l"/>
        <c:majorGridlines>
          <c:spPr>
            <a:ln w="3175">
              <a:solidFill>
                <a:srgbClr val="808080"/>
              </a:solidFill>
              <a:prstDash val="solid"/>
            </a:ln>
          </c:spPr>
        </c:majorGridlines>
        <c:numFmt formatCode="0" sourceLinked="1"/>
        <c:majorTickMark val="out"/>
        <c:minorTickMark val="none"/>
        <c:tickLblPos val="nextTo"/>
        <c:spPr>
          <a:ln w="3175">
            <a:solidFill>
              <a:srgbClr val="808080"/>
            </a:solidFill>
            <a:prstDash val="solid"/>
          </a:ln>
        </c:spPr>
        <c:txPr>
          <a:bodyPr rot="0" vert="horz"/>
          <a:lstStyle/>
          <a:p>
            <a:pPr>
              <a:defRPr sz="900" b="0" i="0" u="none" strike="noStrike" baseline="0">
                <a:solidFill>
                  <a:srgbClr val="666699"/>
                </a:solidFill>
                <a:latin typeface="Calibri"/>
                <a:ea typeface="Calibri"/>
                <a:cs typeface="Calibri"/>
              </a:defRPr>
            </a:pPr>
            <a:endParaRPr lang="en-US"/>
          </a:p>
        </c:txPr>
        <c:crossAx val="110937984"/>
        <c:crosses val="autoZero"/>
        <c:crossBetween val="midCat"/>
      </c:valAx>
      <c:spPr>
        <a:solidFill>
          <a:srgbClr val="FFFFFF"/>
        </a:solidFill>
        <a:ln w="25400">
          <a:noFill/>
        </a:ln>
      </c:spPr>
    </c:plotArea>
    <c:legend>
      <c:legendPos val="r"/>
      <c:layout>
        <c:manualLayout>
          <c:xMode val="edge"/>
          <c:yMode val="edge"/>
          <c:x val="0.88870431893687696"/>
          <c:y val="0.38432800809671602"/>
          <c:w val="9.1362126245847206E-2"/>
          <c:h val="0.130596895955195"/>
        </c:manualLayout>
      </c:layout>
      <c:overlay val="0"/>
      <c:spPr>
        <a:noFill/>
        <a:ln w="25400">
          <a:noFill/>
        </a:ln>
      </c:spPr>
      <c:txPr>
        <a:bodyPr/>
        <a:lstStyle/>
        <a:p>
          <a:pPr>
            <a:defRPr sz="690" b="0" i="0" u="none" strike="noStrike" baseline="0">
              <a:solidFill>
                <a:srgbClr val="666699"/>
              </a:solidFill>
              <a:latin typeface="Calibri"/>
              <a:ea typeface="Calibri"/>
              <a:cs typeface="Calibri"/>
            </a:defRPr>
          </a:pPr>
          <a:endParaRPr lang="en-US"/>
        </a:p>
      </c:txPr>
    </c:legend>
    <c:plotVisOnly val="1"/>
    <c:dispBlanksAs val="gap"/>
    <c:showDLblsOverMax val="0"/>
  </c:chart>
  <c:spPr>
    <a:solidFill>
      <a:srgbClr val="B9CDE5"/>
    </a:solidFill>
    <a:ln w="9525">
      <a:noFill/>
    </a:ln>
  </c:spPr>
  <c:txPr>
    <a:bodyPr/>
    <a:lstStyle/>
    <a:p>
      <a:pPr>
        <a:defRPr sz="900" b="0" i="0" u="none" strike="noStrike" baseline="0">
          <a:solidFill>
            <a:srgbClr val="666699"/>
          </a:solidFill>
          <a:latin typeface="Calibri"/>
          <a:ea typeface="Calibri"/>
          <a:cs typeface="Calibri"/>
        </a:defRPr>
      </a:pPr>
      <a:endParaRPr lang="en-US"/>
    </a:p>
  </c:txPr>
  <c:printSettings>
    <c:headerFooter/>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4.5855162381445803E-2"/>
          <c:y val="4.0696827570134299E-2"/>
          <c:w val="0.80402559843072496"/>
          <c:h val="0.83236635884289301"/>
        </c:manualLayout>
      </c:layout>
      <c:lineChart>
        <c:grouping val="standard"/>
        <c:varyColors val="0"/>
        <c:ser>
          <c:idx val="0"/>
          <c:order val="0"/>
          <c:tx>
            <c:strRef>
              <c:f>'10 States AggWorkings'!$B$97</c:f>
              <c:strCache>
                <c:ptCount val="1"/>
                <c:pt idx="0">
                  <c:v>planned</c:v>
                </c:pt>
              </c:strCache>
            </c:strRef>
          </c:tx>
          <c:spPr>
            <a:ln w="38100">
              <a:solidFill>
                <a:srgbClr val="666699"/>
              </a:solidFill>
              <a:prstDash val="solid"/>
            </a:ln>
          </c:spPr>
          <c:marker>
            <c:symbol val="none"/>
          </c:marker>
          <c:cat>
            <c:strRef>
              <c:f>'10 States AggWorkings'!$C$2:$Y$2</c:f>
              <c:strCache>
                <c:ptCount val="23"/>
                <c:pt idx="0">
                  <c:v>early                                                                 
2010</c:v>
                </c:pt>
                <c:pt idx="1">
                  <c:v>Q1</c:v>
                </c:pt>
                <c:pt idx="2">
                  <c:v>Q2</c:v>
                </c:pt>
                <c:pt idx="3">
                  <c:v>Q3</c:v>
                </c:pt>
                <c:pt idx="4">
                  <c:v>Q4</c:v>
                </c:pt>
                <c:pt idx="5">
                  <c:v>Q1</c:v>
                </c:pt>
                <c:pt idx="6">
                  <c:v>Q2                                                                 
mid 2011</c:v>
                </c:pt>
                <c:pt idx="7">
                  <c:v>Q3</c:v>
                </c:pt>
                <c:pt idx="8">
                  <c:v>Q4</c:v>
                </c:pt>
                <c:pt idx="9">
                  <c:v>Q1</c:v>
                </c:pt>
                <c:pt idx="10">
                  <c:v>Q2</c:v>
                </c:pt>
                <c:pt idx="11">
                  <c:v>Q3/4                                                                 
late 2012</c:v>
                </c:pt>
                <c:pt idx="12">
                  <c:v>Q1</c:v>
                </c:pt>
                <c:pt idx="13">
                  <c:v>Q2</c:v>
                </c:pt>
                <c:pt idx="14">
                  <c:v>Q3</c:v>
                </c:pt>
                <c:pt idx="15">
                  <c:v> Q4                                                                
late 2013</c:v>
                </c:pt>
                <c:pt idx="16">
                  <c:v>Q1</c:v>
                </c:pt>
                <c:pt idx="17">
                  <c:v>Q2</c:v>
                </c:pt>
                <c:pt idx="18">
                  <c:v>Q3</c:v>
                </c:pt>
                <c:pt idx="19">
                  <c:v>Q4</c:v>
                </c:pt>
                <c:pt idx="20">
                  <c:v>Q1</c:v>
                </c:pt>
                <c:pt idx="21">
                  <c:v>Q2</c:v>
                </c:pt>
                <c:pt idx="22">
                  <c:v>Q3                                                                 
mid 2015</c:v>
                </c:pt>
              </c:strCache>
            </c:strRef>
          </c:cat>
          <c:val>
            <c:numRef>
              <c:f>'10 States AggWorkings'!$C$97:$Y$97</c:f>
              <c:numCache>
                <c:formatCode>0.0</c:formatCode>
                <c:ptCount val="23"/>
                <c:pt idx="0">
                  <c:v>0</c:v>
                </c:pt>
                <c:pt idx="1">
                  <c:v>0</c:v>
                </c:pt>
                <c:pt idx="2">
                  <c:v>0</c:v>
                </c:pt>
                <c:pt idx="3">
                  <c:v>0</c:v>
                </c:pt>
                <c:pt idx="4">
                  <c:v>0</c:v>
                </c:pt>
                <c:pt idx="5">
                  <c:v>0</c:v>
                </c:pt>
                <c:pt idx="6">
                  <c:v>2.1875</c:v>
                </c:pt>
                <c:pt idx="7">
                  <c:v>2.2750000000000004</c:v>
                </c:pt>
                <c:pt idx="8">
                  <c:v>2.3624999999999998</c:v>
                </c:pt>
                <c:pt idx="9">
                  <c:v>2.4500000000000002</c:v>
                </c:pt>
                <c:pt idx="10">
                  <c:v>2.5374999999999996</c:v>
                </c:pt>
                <c:pt idx="11">
                  <c:v>2.7124999999999999</c:v>
                </c:pt>
                <c:pt idx="12">
                  <c:v>2.7625000000000002</c:v>
                </c:pt>
                <c:pt idx="13">
                  <c:v>2.8125</c:v>
                </c:pt>
                <c:pt idx="14">
                  <c:v>2.8625000000000003</c:v>
                </c:pt>
                <c:pt idx="15">
                  <c:v>2.9125000000000001</c:v>
                </c:pt>
                <c:pt idx="16">
                  <c:v>2.8583333333333334</c:v>
                </c:pt>
                <c:pt idx="17">
                  <c:v>2.8041666666666667</c:v>
                </c:pt>
                <c:pt idx="18">
                  <c:v>2.7499999999999996</c:v>
                </c:pt>
                <c:pt idx="19">
                  <c:v>2.6958333333333329</c:v>
                </c:pt>
                <c:pt idx="20">
                  <c:v>3.5450000000000004</c:v>
                </c:pt>
                <c:pt idx="21">
                  <c:v>3.7633333333333332</c:v>
                </c:pt>
                <c:pt idx="22">
                  <c:v>3.84</c:v>
                </c:pt>
              </c:numCache>
            </c:numRef>
          </c:val>
          <c:smooth val="0"/>
        </c:ser>
        <c:ser>
          <c:idx val="1"/>
          <c:order val="1"/>
          <c:tx>
            <c:strRef>
              <c:f>'10 States AggWorkings'!$B$98</c:f>
              <c:strCache>
                <c:ptCount val="1"/>
                <c:pt idx="0">
                  <c:v>achieved</c:v>
                </c:pt>
              </c:strCache>
            </c:strRef>
          </c:tx>
          <c:spPr>
            <a:ln w="38100">
              <a:solidFill>
                <a:srgbClr val="993366"/>
              </a:solidFill>
              <a:prstDash val="solid"/>
            </a:ln>
          </c:spPr>
          <c:marker>
            <c:symbol val="none"/>
          </c:marker>
          <c:cat>
            <c:strRef>
              <c:f>'10 States AggWorkings'!$C$2:$Y$2</c:f>
              <c:strCache>
                <c:ptCount val="23"/>
                <c:pt idx="0">
                  <c:v>early                                                                 
2010</c:v>
                </c:pt>
                <c:pt idx="1">
                  <c:v>Q1</c:v>
                </c:pt>
                <c:pt idx="2">
                  <c:v>Q2</c:v>
                </c:pt>
                <c:pt idx="3">
                  <c:v>Q3</c:v>
                </c:pt>
                <c:pt idx="4">
                  <c:v>Q4</c:v>
                </c:pt>
                <c:pt idx="5">
                  <c:v>Q1</c:v>
                </c:pt>
                <c:pt idx="6">
                  <c:v>Q2                                                                 
mid 2011</c:v>
                </c:pt>
                <c:pt idx="7">
                  <c:v>Q3</c:v>
                </c:pt>
                <c:pt idx="8">
                  <c:v>Q4</c:v>
                </c:pt>
                <c:pt idx="9">
                  <c:v>Q1</c:v>
                </c:pt>
                <c:pt idx="10">
                  <c:v>Q2</c:v>
                </c:pt>
                <c:pt idx="11">
                  <c:v>Q3/4                                                                 
late 2012</c:v>
                </c:pt>
                <c:pt idx="12">
                  <c:v>Q1</c:v>
                </c:pt>
                <c:pt idx="13">
                  <c:v>Q2</c:v>
                </c:pt>
                <c:pt idx="14">
                  <c:v>Q3</c:v>
                </c:pt>
                <c:pt idx="15">
                  <c:v> Q4                                                                
late 2013</c:v>
                </c:pt>
                <c:pt idx="16">
                  <c:v>Q1</c:v>
                </c:pt>
                <c:pt idx="17">
                  <c:v>Q2</c:v>
                </c:pt>
                <c:pt idx="18">
                  <c:v>Q3</c:v>
                </c:pt>
                <c:pt idx="19">
                  <c:v>Q4</c:v>
                </c:pt>
                <c:pt idx="20">
                  <c:v>Q1</c:v>
                </c:pt>
                <c:pt idx="21">
                  <c:v>Q2</c:v>
                </c:pt>
                <c:pt idx="22">
                  <c:v>Q3                                                                 
mid 2015</c:v>
                </c:pt>
              </c:strCache>
            </c:strRef>
          </c:cat>
          <c:val>
            <c:numRef>
              <c:f>'10 States AggWorkings'!$C$98:$Y$98</c:f>
              <c:numCache>
                <c:formatCode>0.0</c:formatCode>
                <c:ptCount val="23"/>
                <c:pt idx="0">
                  <c:v>0</c:v>
                </c:pt>
                <c:pt idx="1">
                  <c:v>1.3125</c:v>
                </c:pt>
                <c:pt idx="2">
                  <c:v>1.3125</c:v>
                </c:pt>
                <c:pt idx="3">
                  <c:v>1.3125</c:v>
                </c:pt>
                <c:pt idx="4">
                  <c:v>1.3125</c:v>
                </c:pt>
                <c:pt idx="5">
                  <c:v>0.89999999999999991</c:v>
                </c:pt>
                <c:pt idx="6">
                  <c:v>1.5625</c:v>
                </c:pt>
                <c:pt idx="7">
                  <c:v>1.6625000000000001</c:v>
                </c:pt>
                <c:pt idx="8">
                  <c:v>1.575</c:v>
                </c:pt>
                <c:pt idx="9">
                  <c:v>1.5</c:v>
                </c:pt>
                <c:pt idx="10">
                  <c:v>1.4874999999999998</c:v>
                </c:pt>
                <c:pt idx="11">
                  <c:v>2.65</c:v>
                </c:pt>
                <c:pt idx="12">
                  <c:v>2.7649999999999997</c:v>
                </c:pt>
                <c:pt idx="13">
                  <c:v>2.8287500000000003</c:v>
                </c:pt>
                <c:pt idx="14">
                  <c:v>3.0250000000000004</c:v>
                </c:pt>
                <c:pt idx="15">
                  <c:v>2.9000000000000004</c:v>
                </c:pt>
                <c:pt idx="16">
                  <c:v>3.4249999999999998</c:v>
                </c:pt>
                <c:pt idx="17">
                  <c:v>3.7749999999999999</c:v>
                </c:pt>
                <c:pt idx="18">
                  <c:v>3.9125000000000005</c:v>
                </c:pt>
                <c:pt idx="19">
                  <c:v>4.2874999999999996</c:v>
                </c:pt>
                <c:pt idx="20">
                  <c:v>4.089999999999999</c:v>
                </c:pt>
                <c:pt idx="21">
                  <c:v>4.1399999999999988</c:v>
                </c:pt>
                <c:pt idx="22">
                  <c:v>0</c:v>
                </c:pt>
              </c:numCache>
            </c:numRef>
          </c:val>
          <c:smooth val="0"/>
        </c:ser>
        <c:dLbls>
          <c:showLegendKey val="0"/>
          <c:showVal val="0"/>
          <c:showCatName val="0"/>
          <c:showSerName val="0"/>
          <c:showPercent val="0"/>
          <c:showBubbleSize val="0"/>
        </c:dLbls>
        <c:marker val="1"/>
        <c:smooth val="0"/>
        <c:axId val="111296512"/>
        <c:axId val="111298048"/>
      </c:lineChart>
      <c:catAx>
        <c:axId val="111296512"/>
        <c:scaling>
          <c:orientation val="minMax"/>
        </c:scaling>
        <c:delete val="0"/>
        <c:axPos val="b"/>
        <c:majorGridlines>
          <c:spPr>
            <a:ln w="3175">
              <a:solidFill>
                <a:srgbClr val="808080"/>
              </a:solidFill>
              <a:prstDash val="solid"/>
            </a:ln>
          </c:spPr>
        </c:majorGridlines>
        <c:numFmt formatCode="General" sourceLinked="1"/>
        <c:majorTickMark val="out"/>
        <c:minorTickMark val="none"/>
        <c:tickLblPos val="nextTo"/>
        <c:spPr>
          <a:ln w="3175">
            <a:solidFill>
              <a:srgbClr val="808080"/>
            </a:solidFill>
            <a:prstDash val="solid"/>
          </a:ln>
        </c:spPr>
        <c:txPr>
          <a:bodyPr rot="0" vert="horz"/>
          <a:lstStyle/>
          <a:p>
            <a:pPr>
              <a:defRPr sz="900" b="0" i="0" u="none" strike="noStrike" baseline="0">
                <a:solidFill>
                  <a:srgbClr val="666699"/>
                </a:solidFill>
                <a:latin typeface="Calibri"/>
                <a:ea typeface="Calibri"/>
                <a:cs typeface="Calibri"/>
              </a:defRPr>
            </a:pPr>
            <a:endParaRPr lang="en-US"/>
          </a:p>
        </c:txPr>
        <c:crossAx val="111298048"/>
        <c:crosses val="autoZero"/>
        <c:auto val="1"/>
        <c:lblAlgn val="ctr"/>
        <c:lblOffset val="100"/>
        <c:noMultiLvlLbl val="0"/>
      </c:catAx>
      <c:valAx>
        <c:axId val="111298048"/>
        <c:scaling>
          <c:orientation val="minMax"/>
          <c:max val="5"/>
        </c:scaling>
        <c:delete val="0"/>
        <c:axPos val="l"/>
        <c:majorGridlines>
          <c:spPr>
            <a:ln w="3175">
              <a:solidFill>
                <a:srgbClr val="808080"/>
              </a:solidFill>
              <a:prstDash val="solid"/>
            </a:ln>
          </c:spPr>
        </c:majorGridlines>
        <c:numFmt formatCode="0.0" sourceLinked="1"/>
        <c:majorTickMark val="out"/>
        <c:minorTickMark val="none"/>
        <c:tickLblPos val="nextTo"/>
        <c:spPr>
          <a:ln w="3175">
            <a:solidFill>
              <a:srgbClr val="808080"/>
            </a:solidFill>
            <a:prstDash val="solid"/>
          </a:ln>
        </c:spPr>
        <c:txPr>
          <a:bodyPr rot="0" vert="horz"/>
          <a:lstStyle/>
          <a:p>
            <a:pPr>
              <a:defRPr sz="900" b="0" i="0" u="none" strike="noStrike" baseline="0">
                <a:solidFill>
                  <a:srgbClr val="666699"/>
                </a:solidFill>
                <a:latin typeface="Calibri"/>
                <a:ea typeface="Calibri"/>
                <a:cs typeface="Calibri"/>
              </a:defRPr>
            </a:pPr>
            <a:endParaRPr lang="en-US"/>
          </a:p>
        </c:txPr>
        <c:crossAx val="111296512"/>
        <c:crosses val="autoZero"/>
        <c:crossBetween val="midCat"/>
      </c:valAx>
      <c:spPr>
        <a:solidFill>
          <a:srgbClr val="FFFFFF"/>
        </a:solidFill>
        <a:ln w="25400">
          <a:noFill/>
        </a:ln>
      </c:spPr>
    </c:plotArea>
    <c:legend>
      <c:legendPos val="r"/>
      <c:layout>
        <c:manualLayout>
          <c:xMode val="edge"/>
          <c:yMode val="edge"/>
          <c:x val="0.87899231797557598"/>
          <c:y val="0.42592631105894702"/>
          <c:w val="9.0756376999390195E-2"/>
          <c:h val="0.12962974684402701"/>
        </c:manualLayout>
      </c:layout>
      <c:overlay val="0"/>
      <c:spPr>
        <a:noFill/>
        <a:ln w="25400">
          <a:noFill/>
        </a:ln>
      </c:spPr>
      <c:txPr>
        <a:bodyPr/>
        <a:lstStyle/>
        <a:p>
          <a:pPr>
            <a:defRPr sz="690" b="0" i="0" u="none" strike="noStrike" baseline="0">
              <a:solidFill>
                <a:srgbClr val="666699"/>
              </a:solidFill>
              <a:latin typeface="Calibri"/>
              <a:ea typeface="Calibri"/>
              <a:cs typeface="Calibri"/>
            </a:defRPr>
          </a:pPr>
          <a:endParaRPr lang="en-US"/>
        </a:p>
      </c:txPr>
    </c:legend>
    <c:plotVisOnly val="1"/>
    <c:dispBlanksAs val="gap"/>
    <c:showDLblsOverMax val="0"/>
  </c:chart>
  <c:spPr>
    <a:solidFill>
      <a:srgbClr val="B9CDE5"/>
    </a:solidFill>
    <a:ln w="9525">
      <a:noFill/>
    </a:ln>
  </c:spPr>
  <c:txPr>
    <a:bodyPr/>
    <a:lstStyle/>
    <a:p>
      <a:pPr>
        <a:defRPr sz="900" b="0" i="0" u="none" strike="noStrike" baseline="0">
          <a:solidFill>
            <a:srgbClr val="666699"/>
          </a:solidFill>
          <a:latin typeface="Calibri"/>
          <a:ea typeface="Calibri"/>
          <a:cs typeface="Calibri"/>
        </a:defRPr>
      </a:pPr>
      <a:endParaRPr lang="en-US"/>
    </a:p>
  </c:txPr>
  <c:printSettings>
    <c:headerFooter/>
    <c:pageMargins b="1" l="0.75" r="0.7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4.5855162381445803E-2"/>
          <c:y val="3.34210526315789E-2"/>
          <c:w val="0.80737942753306202"/>
          <c:h val="0.83917076023391801"/>
        </c:manualLayout>
      </c:layout>
      <c:lineChart>
        <c:grouping val="standard"/>
        <c:varyColors val="0"/>
        <c:ser>
          <c:idx val="0"/>
          <c:order val="0"/>
          <c:tx>
            <c:strRef>
              <c:f>'10 States AggWorkings'!$B$103</c:f>
              <c:strCache>
                <c:ptCount val="1"/>
                <c:pt idx="0">
                  <c:v>planned</c:v>
                </c:pt>
              </c:strCache>
            </c:strRef>
          </c:tx>
          <c:spPr>
            <a:ln w="38100">
              <a:solidFill>
                <a:srgbClr val="666699"/>
              </a:solidFill>
              <a:prstDash val="solid"/>
            </a:ln>
          </c:spPr>
          <c:marker>
            <c:symbol val="none"/>
          </c:marker>
          <c:cat>
            <c:strRef>
              <c:f>'10 States AggWorkings'!$C$2:$Y$2</c:f>
              <c:strCache>
                <c:ptCount val="23"/>
                <c:pt idx="0">
                  <c:v>early                                                                 
2010</c:v>
                </c:pt>
                <c:pt idx="1">
                  <c:v>Q1</c:v>
                </c:pt>
                <c:pt idx="2">
                  <c:v>Q2</c:v>
                </c:pt>
                <c:pt idx="3">
                  <c:v>Q3</c:v>
                </c:pt>
                <c:pt idx="4">
                  <c:v>Q4</c:v>
                </c:pt>
                <c:pt idx="5">
                  <c:v>Q1</c:v>
                </c:pt>
                <c:pt idx="6">
                  <c:v>Q2                                                                 
mid 2011</c:v>
                </c:pt>
                <c:pt idx="7">
                  <c:v>Q3</c:v>
                </c:pt>
                <c:pt idx="8">
                  <c:v>Q4</c:v>
                </c:pt>
                <c:pt idx="9">
                  <c:v>Q1</c:v>
                </c:pt>
                <c:pt idx="10">
                  <c:v>Q2</c:v>
                </c:pt>
                <c:pt idx="11">
                  <c:v>Q3/4                                                                 
late 2012</c:v>
                </c:pt>
                <c:pt idx="12">
                  <c:v>Q1</c:v>
                </c:pt>
                <c:pt idx="13">
                  <c:v>Q2</c:v>
                </c:pt>
                <c:pt idx="14">
                  <c:v>Q3</c:v>
                </c:pt>
                <c:pt idx="15">
                  <c:v> Q4                                                                
late 2013</c:v>
                </c:pt>
                <c:pt idx="16">
                  <c:v>Q1</c:v>
                </c:pt>
                <c:pt idx="17">
                  <c:v>Q2</c:v>
                </c:pt>
                <c:pt idx="18">
                  <c:v>Q3</c:v>
                </c:pt>
                <c:pt idx="19">
                  <c:v>Q4</c:v>
                </c:pt>
                <c:pt idx="20">
                  <c:v>Q1</c:v>
                </c:pt>
                <c:pt idx="21">
                  <c:v>Q2</c:v>
                </c:pt>
                <c:pt idx="22">
                  <c:v>Q3                                                                 
mid 2015</c:v>
                </c:pt>
              </c:strCache>
            </c:strRef>
          </c:cat>
          <c:val>
            <c:numRef>
              <c:f>'10 States AggWorkings'!$C$103:$Y$103</c:f>
              <c:numCache>
                <c:formatCode>0.0</c:formatCode>
                <c:ptCount val="23"/>
                <c:pt idx="0">
                  <c:v>0</c:v>
                </c:pt>
                <c:pt idx="1">
                  <c:v>0</c:v>
                </c:pt>
                <c:pt idx="2">
                  <c:v>0</c:v>
                </c:pt>
                <c:pt idx="3">
                  <c:v>0</c:v>
                </c:pt>
                <c:pt idx="4">
                  <c:v>0</c:v>
                </c:pt>
                <c:pt idx="5">
                  <c:v>0</c:v>
                </c:pt>
                <c:pt idx="6">
                  <c:v>1.65</c:v>
                </c:pt>
                <c:pt idx="7">
                  <c:v>1.7541666666666664</c:v>
                </c:pt>
                <c:pt idx="8">
                  <c:v>1.8583333333333332</c:v>
                </c:pt>
                <c:pt idx="9">
                  <c:v>1.9624999999999999</c:v>
                </c:pt>
                <c:pt idx="10">
                  <c:v>2.0666666666666664</c:v>
                </c:pt>
                <c:pt idx="11">
                  <c:v>2.2749999999999999</c:v>
                </c:pt>
                <c:pt idx="12">
                  <c:v>2.328125</c:v>
                </c:pt>
                <c:pt idx="13">
                  <c:v>2.3812499999999996</c:v>
                </c:pt>
                <c:pt idx="14">
                  <c:v>2.4343749999999997</c:v>
                </c:pt>
                <c:pt idx="15">
                  <c:v>2.4874999999999998</c:v>
                </c:pt>
                <c:pt idx="16">
                  <c:v>2.5791666666666671</c:v>
                </c:pt>
                <c:pt idx="17">
                  <c:v>2.6708333333333334</c:v>
                </c:pt>
                <c:pt idx="18">
                  <c:v>2.7625000000000002</c:v>
                </c:pt>
                <c:pt idx="19">
                  <c:v>2.854166666666667</c:v>
                </c:pt>
                <c:pt idx="20">
                  <c:v>2.8183333333333334</c:v>
                </c:pt>
                <c:pt idx="21">
                  <c:v>2.9633333333333334</c:v>
                </c:pt>
                <c:pt idx="22">
                  <c:v>3</c:v>
                </c:pt>
              </c:numCache>
            </c:numRef>
          </c:val>
          <c:smooth val="0"/>
        </c:ser>
        <c:ser>
          <c:idx val="1"/>
          <c:order val="1"/>
          <c:tx>
            <c:strRef>
              <c:f>'10 States AggWorkings'!$B$104</c:f>
              <c:strCache>
                <c:ptCount val="1"/>
                <c:pt idx="0">
                  <c:v>achieved</c:v>
                </c:pt>
              </c:strCache>
            </c:strRef>
          </c:tx>
          <c:spPr>
            <a:ln w="38100">
              <a:solidFill>
                <a:srgbClr val="993366"/>
              </a:solidFill>
              <a:prstDash val="solid"/>
            </a:ln>
          </c:spPr>
          <c:marker>
            <c:symbol val="none"/>
          </c:marker>
          <c:cat>
            <c:strRef>
              <c:f>'10 States AggWorkings'!$C$2:$Y$2</c:f>
              <c:strCache>
                <c:ptCount val="23"/>
                <c:pt idx="0">
                  <c:v>early                                                                 
2010</c:v>
                </c:pt>
                <c:pt idx="1">
                  <c:v>Q1</c:v>
                </c:pt>
                <c:pt idx="2">
                  <c:v>Q2</c:v>
                </c:pt>
                <c:pt idx="3">
                  <c:v>Q3</c:v>
                </c:pt>
                <c:pt idx="4">
                  <c:v>Q4</c:v>
                </c:pt>
                <c:pt idx="5">
                  <c:v>Q1</c:v>
                </c:pt>
                <c:pt idx="6">
                  <c:v>Q2                                                                 
mid 2011</c:v>
                </c:pt>
                <c:pt idx="7">
                  <c:v>Q3</c:v>
                </c:pt>
                <c:pt idx="8">
                  <c:v>Q4</c:v>
                </c:pt>
                <c:pt idx="9">
                  <c:v>Q1</c:v>
                </c:pt>
                <c:pt idx="10">
                  <c:v>Q2</c:v>
                </c:pt>
                <c:pt idx="11">
                  <c:v>Q3/4                                                                 
late 2012</c:v>
                </c:pt>
                <c:pt idx="12">
                  <c:v>Q1</c:v>
                </c:pt>
                <c:pt idx="13">
                  <c:v>Q2</c:v>
                </c:pt>
                <c:pt idx="14">
                  <c:v>Q3</c:v>
                </c:pt>
                <c:pt idx="15">
                  <c:v> Q4                                                                
late 2013</c:v>
                </c:pt>
                <c:pt idx="16">
                  <c:v>Q1</c:v>
                </c:pt>
                <c:pt idx="17">
                  <c:v>Q2</c:v>
                </c:pt>
                <c:pt idx="18">
                  <c:v>Q3</c:v>
                </c:pt>
                <c:pt idx="19">
                  <c:v>Q4</c:v>
                </c:pt>
                <c:pt idx="20">
                  <c:v>Q1</c:v>
                </c:pt>
                <c:pt idx="21">
                  <c:v>Q2</c:v>
                </c:pt>
                <c:pt idx="22">
                  <c:v>Q3                                                                 
mid 2015</c:v>
                </c:pt>
              </c:strCache>
            </c:strRef>
          </c:cat>
          <c:val>
            <c:numRef>
              <c:f>'10 States AggWorkings'!$C$104:$Y$104</c:f>
              <c:numCache>
                <c:formatCode>0.0</c:formatCode>
                <c:ptCount val="23"/>
                <c:pt idx="0">
                  <c:v>0</c:v>
                </c:pt>
                <c:pt idx="1">
                  <c:v>0.75</c:v>
                </c:pt>
                <c:pt idx="2">
                  <c:v>0.75</c:v>
                </c:pt>
                <c:pt idx="3">
                  <c:v>0.75</c:v>
                </c:pt>
                <c:pt idx="4">
                  <c:v>0.75</c:v>
                </c:pt>
                <c:pt idx="5">
                  <c:v>0.75</c:v>
                </c:pt>
                <c:pt idx="6">
                  <c:v>1.0874999999999999</c:v>
                </c:pt>
                <c:pt idx="7">
                  <c:v>0.96250000000000002</c:v>
                </c:pt>
                <c:pt idx="8">
                  <c:v>0.96250000000000002</c:v>
                </c:pt>
                <c:pt idx="9">
                  <c:v>1.375</c:v>
                </c:pt>
                <c:pt idx="10">
                  <c:v>1.375</c:v>
                </c:pt>
                <c:pt idx="11">
                  <c:v>1.9750000000000001</c:v>
                </c:pt>
                <c:pt idx="12">
                  <c:v>2.1375000000000002</c:v>
                </c:pt>
                <c:pt idx="13">
                  <c:v>2.4375</c:v>
                </c:pt>
                <c:pt idx="14">
                  <c:v>2.7750000000000004</c:v>
                </c:pt>
                <c:pt idx="15">
                  <c:v>2.75</c:v>
                </c:pt>
                <c:pt idx="16">
                  <c:v>2.9000000000000004</c:v>
                </c:pt>
                <c:pt idx="17">
                  <c:v>3.1124999999999998</c:v>
                </c:pt>
                <c:pt idx="18">
                  <c:v>3.4</c:v>
                </c:pt>
                <c:pt idx="19">
                  <c:v>3.4875000000000003</c:v>
                </c:pt>
                <c:pt idx="20">
                  <c:v>3.1399999999999997</c:v>
                </c:pt>
                <c:pt idx="21">
                  <c:v>3.2</c:v>
                </c:pt>
                <c:pt idx="22">
                  <c:v>0</c:v>
                </c:pt>
              </c:numCache>
            </c:numRef>
          </c:val>
          <c:smooth val="0"/>
        </c:ser>
        <c:dLbls>
          <c:showLegendKey val="0"/>
          <c:showVal val="0"/>
          <c:showCatName val="0"/>
          <c:showSerName val="0"/>
          <c:showPercent val="0"/>
          <c:showBubbleSize val="0"/>
        </c:dLbls>
        <c:marker val="1"/>
        <c:smooth val="0"/>
        <c:axId val="111339392"/>
        <c:axId val="111340928"/>
      </c:lineChart>
      <c:catAx>
        <c:axId val="111339392"/>
        <c:scaling>
          <c:orientation val="minMax"/>
        </c:scaling>
        <c:delete val="0"/>
        <c:axPos val="b"/>
        <c:majorGridlines>
          <c:spPr>
            <a:ln w="3175">
              <a:solidFill>
                <a:srgbClr val="808080"/>
              </a:solidFill>
              <a:prstDash val="solid"/>
            </a:ln>
          </c:spPr>
        </c:majorGridlines>
        <c:numFmt formatCode="General" sourceLinked="1"/>
        <c:majorTickMark val="out"/>
        <c:minorTickMark val="none"/>
        <c:tickLblPos val="nextTo"/>
        <c:spPr>
          <a:ln w="3175">
            <a:solidFill>
              <a:srgbClr val="808080"/>
            </a:solidFill>
            <a:prstDash val="solid"/>
          </a:ln>
        </c:spPr>
        <c:txPr>
          <a:bodyPr rot="0" vert="horz"/>
          <a:lstStyle/>
          <a:p>
            <a:pPr>
              <a:defRPr sz="900" b="0" i="0" u="none" strike="noStrike" baseline="0">
                <a:solidFill>
                  <a:srgbClr val="666699"/>
                </a:solidFill>
                <a:latin typeface="Calibri"/>
                <a:ea typeface="Calibri"/>
                <a:cs typeface="Calibri"/>
              </a:defRPr>
            </a:pPr>
            <a:endParaRPr lang="en-US"/>
          </a:p>
        </c:txPr>
        <c:crossAx val="111340928"/>
        <c:crosses val="autoZero"/>
        <c:auto val="1"/>
        <c:lblAlgn val="ctr"/>
        <c:lblOffset val="100"/>
        <c:noMultiLvlLbl val="0"/>
      </c:catAx>
      <c:valAx>
        <c:axId val="111340928"/>
        <c:scaling>
          <c:orientation val="minMax"/>
          <c:max val="5"/>
        </c:scaling>
        <c:delete val="0"/>
        <c:axPos val="l"/>
        <c:majorGridlines>
          <c:spPr>
            <a:ln w="3175">
              <a:solidFill>
                <a:srgbClr val="808080"/>
              </a:solidFill>
              <a:prstDash val="solid"/>
            </a:ln>
          </c:spPr>
        </c:majorGridlines>
        <c:numFmt formatCode="0.0" sourceLinked="1"/>
        <c:majorTickMark val="out"/>
        <c:minorTickMark val="none"/>
        <c:tickLblPos val="nextTo"/>
        <c:spPr>
          <a:ln w="3175">
            <a:solidFill>
              <a:srgbClr val="808080"/>
            </a:solidFill>
            <a:prstDash val="solid"/>
          </a:ln>
        </c:spPr>
        <c:txPr>
          <a:bodyPr rot="0" vert="horz"/>
          <a:lstStyle/>
          <a:p>
            <a:pPr>
              <a:defRPr sz="900" b="0" i="0" u="none" strike="noStrike" baseline="0">
                <a:solidFill>
                  <a:srgbClr val="666699"/>
                </a:solidFill>
                <a:latin typeface="Calibri"/>
                <a:ea typeface="Calibri"/>
                <a:cs typeface="Calibri"/>
              </a:defRPr>
            </a:pPr>
            <a:endParaRPr lang="en-US"/>
          </a:p>
        </c:txPr>
        <c:crossAx val="111339392"/>
        <c:crosses val="autoZero"/>
        <c:crossBetween val="midCat"/>
      </c:valAx>
      <c:spPr>
        <a:solidFill>
          <a:srgbClr val="FFFFFF"/>
        </a:solidFill>
        <a:ln w="25400">
          <a:noFill/>
        </a:ln>
      </c:spPr>
    </c:plotArea>
    <c:legend>
      <c:legendPos val="r"/>
      <c:layout>
        <c:manualLayout>
          <c:xMode val="edge"/>
          <c:yMode val="edge"/>
          <c:x val="0.88254979328961902"/>
          <c:y val="0.40000036169014203"/>
          <c:w val="9.0603971174219394E-2"/>
          <c:h val="0.12962974684402701"/>
        </c:manualLayout>
      </c:layout>
      <c:overlay val="0"/>
      <c:spPr>
        <a:noFill/>
        <a:ln w="25400">
          <a:noFill/>
        </a:ln>
      </c:spPr>
      <c:txPr>
        <a:bodyPr/>
        <a:lstStyle/>
        <a:p>
          <a:pPr>
            <a:defRPr sz="690" b="0" i="0" u="none" strike="noStrike" baseline="0">
              <a:solidFill>
                <a:srgbClr val="666699"/>
              </a:solidFill>
              <a:latin typeface="Calibri"/>
              <a:ea typeface="Calibri"/>
              <a:cs typeface="Calibri"/>
            </a:defRPr>
          </a:pPr>
          <a:endParaRPr lang="en-US"/>
        </a:p>
      </c:txPr>
    </c:legend>
    <c:plotVisOnly val="1"/>
    <c:dispBlanksAs val="gap"/>
    <c:showDLblsOverMax val="0"/>
  </c:chart>
  <c:spPr>
    <a:solidFill>
      <a:srgbClr val="B9CDE5"/>
    </a:solidFill>
    <a:ln w="9525">
      <a:noFill/>
    </a:ln>
  </c:spPr>
  <c:txPr>
    <a:bodyPr/>
    <a:lstStyle/>
    <a:p>
      <a:pPr>
        <a:defRPr sz="900" b="0" i="0" u="none" strike="noStrike" baseline="0">
          <a:solidFill>
            <a:srgbClr val="666699"/>
          </a:solidFill>
          <a:latin typeface="Calibri"/>
          <a:ea typeface="Calibri"/>
          <a:cs typeface="Calibri"/>
        </a:defRPr>
      </a:pPr>
      <a:endParaRPr lang="en-US"/>
    </a:p>
  </c:txPr>
  <c:printSettings>
    <c:headerFooter/>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4.2501333279108697E-2"/>
          <c:y val="2.9707602339181301E-2"/>
          <c:w val="0.80402559843072496"/>
          <c:h val="0.84288421052631601"/>
        </c:manualLayout>
      </c:layout>
      <c:lineChart>
        <c:grouping val="standard"/>
        <c:varyColors val="0"/>
        <c:ser>
          <c:idx val="0"/>
          <c:order val="0"/>
          <c:tx>
            <c:strRef>
              <c:f>'10 States AggWorkings'!$B$112</c:f>
              <c:strCache>
                <c:ptCount val="1"/>
                <c:pt idx="0">
                  <c:v>planned: interest</c:v>
                </c:pt>
              </c:strCache>
            </c:strRef>
          </c:tx>
          <c:spPr>
            <a:ln w="38100">
              <a:solidFill>
                <a:srgbClr val="666699"/>
              </a:solidFill>
              <a:prstDash val="solid"/>
            </a:ln>
          </c:spPr>
          <c:marker>
            <c:symbol val="none"/>
          </c:marker>
          <c:cat>
            <c:strRef>
              <c:f>'10 States AggWorkings'!$C$2:$Y$2</c:f>
              <c:strCache>
                <c:ptCount val="23"/>
                <c:pt idx="0">
                  <c:v>early                                                                 
2010</c:v>
                </c:pt>
                <c:pt idx="1">
                  <c:v>Q1</c:v>
                </c:pt>
                <c:pt idx="2">
                  <c:v>Q2</c:v>
                </c:pt>
                <c:pt idx="3">
                  <c:v>Q3</c:v>
                </c:pt>
                <c:pt idx="4">
                  <c:v>Q4</c:v>
                </c:pt>
                <c:pt idx="5">
                  <c:v>Q1</c:v>
                </c:pt>
                <c:pt idx="6">
                  <c:v>Q2                                                                 
mid 2011</c:v>
                </c:pt>
                <c:pt idx="7">
                  <c:v>Q3</c:v>
                </c:pt>
                <c:pt idx="8">
                  <c:v>Q4</c:v>
                </c:pt>
                <c:pt idx="9">
                  <c:v>Q1</c:v>
                </c:pt>
                <c:pt idx="10">
                  <c:v>Q2</c:v>
                </c:pt>
                <c:pt idx="11">
                  <c:v>Q3/4                                                                 
late 2012</c:v>
                </c:pt>
                <c:pt idx="12">
                  <c:v>Q1</c:v>
                </c:pt>
                <c:pt idx="13">
                  <c:v>Q2</c:v>
                </c:pt>
                <c:pt idx="14">
                  <c:v>Q3</c:v>
                </c:pt>
                <c:pt idx="15">
                  <c:v> Q4                                                                
late 2013</c:v>
                </c:pt>
                <c:pt idx="16">
                  <c:v>Q1</c:v>
                </c:pt>
                <c:pt idx="17">
                  <c:v>Q2</c:v>
                </c:pt>
                <c:pt idx="18">
                  <c:v>Q3</c:v>
                </c:pt>
                <c:pt idx="19">
                  <c:v>Q4</c:v>
                </c:pt>
                <c:pt idx="20">
                  <c:v>Q1</c:v>
                </c:pt>
                <c:pt idx="21">
                  <c:v>Q2</c:v>
                </c:pt>
                <c:pt idx="22">
                  <c:v>Q3                                                                 
mid 2015</c:v>
                </c:pt>
              </c:strCache>
            </c:strRef>
          </c:cat>
          <c:val>
            <c:numRef>
              <c:f>'10 States AggWorkings'!$C$112:$Y$112</c:f>
              <c:numCache>
                <c:formatCode>0</c:formatCode>
                <c:ptCount val="23"/>
                <c:pt idx="0" formatCode="0.0">
                  <c:v>0</c:v>
                </c:pt>
                <c:pt idx="1">
                  <c:v>0</c:v>
                </c:pt>
                <c:pt idx="2">
                  <c:v>0</c:v>
                </c:pt>
                <c:pt idx="3">
                  <c:v>0</c:v>
                </c:pt>
                <c:pt idx="4">
                  <c:v>0</c:v>
                </c:pt>
                <c:pt idx="5">
                  <c:v>0</c:v>
                </c:pt>
                <c:pt idx="6">
                  <c:v>0</c:v>
                </c:pt>
                <c:pt idx="7">
                  <c:v>0</c:v>
                </c:pt>
                <c:pt idx="8">
                  <c:v>0</c:v>
                </c:pt>
                <c:pt idx="9">
                  <c:v>0</c:v>
                </c:pt>
                <c:pt idx="10">
                  <c:v>0</c:v>
                </c:pt>
                <c:pt idx="11">
                  <c:v>0</c:v>
                </c:pt>
                <c:pt idx="12">
                  <c:v>13.5</c:v>
                </c:pt>
                <c:pt idx="13">
                  <c:v>27</c:v>
                </c:pt>
                <c:pt idx="14">
                  <c:v>40.5</c:v>
                </c:pt>
                <c:pt idx="15">
                  <c:v>54</c:v>
                </c:pt>
                <c:pt idx="16">
                  <c:v>64.5</c:v>
                </c:pt>
                <c:pt idx="17">
                  <c:v>75</c:v>
                </c:pt>
                <c:pt idx="18">
                  <c:v>85.5</c:v>
                </c:pt>
                <c:pt idx="19">
                  <c:v>96</c:v>
                </c:pt>
                <c:pt idx="20">
                  <c:v>101.66666666666664</c:v>
                </c:pt>
                <c:pt idx="21">
                  <c:v>114.66666666666667</c:v>
                </c:pt>
                <c:pt idx="22">
                  <c:v>119</c:v>
                </c:pt>
              </c:numCache>
            </c:numRef>
          </c:val>
          <c:smooth val="0"/>
        </c:ser>
        <c:ser>
          <c:idx val="1"/>
          <c:order val="1"/>
          <c:tx>
            <c:strRef>
              <c:f>'10 States AggWorkings'!$B$113</c:f>
              <c:strCache>
                <c:ptCount val="1"/>
                <c:pt idx="0">
                  <c:v>achieved: interest</c:v>
                </c:pt>
              </c:strCache>
            </c:strRef>
          </c:tx>
          <c:spPr>
            <a:ln w="38100">
              <a:solidFill>
                <a:srgbClr val="993366"/>
              </a:solidFill>
              <a:prstDash val="solid"/>
            </a:ln>
          </c:spPr>
          <c:marker>
            <c:symbol val="none"/>
          </c:marker>
          <c:cat>
            <c:strRef>
              <c:f>'10 States AggWorkings'!$C$2:$Y$2</c:f>
              <c:strCache>
                <c:ptCount val="23"/>
                <c:pt idx="0">
                  <c:v>early                                                                 
2010</c:v>
                </c:pt>
                <c:pt idx="1">
                  <c:v>Q1</c:v>
                </c:pt>
                <c:pt idx="2">
                  <c:v>Q2</c:v>
                </c:pt>
                <c:pt idx="3">
                  <c:v>Q3</c:v>
                </c:pt>
                <c:pt idx="4">
                  <c:v>Q4</c:v>
                </c:pt>
                <c:pt idx="5">
                  <c:v>Q1</c:v>
                </c:pt>
                <c:pt idx="6">
                  <c:v>Q2                                                                 
mid 2011</c:v>
                </c:pt>
                <c:pt idx="7">
                  <c:v>Q3</c:v>
                </c:pt>
                <c:pt idx="8">
                  <c:v>Q4</c:v>
                </c:pt>
                <c:pt idx="9">
                  <c:v>Q1</c:v>
                </c:pt>
                <c:pt idx="10">
                  <c:v>Q2</c:v>
                </c:pt>
                <c:pt idx="11">
                  <c:v>Q3/4                                                                 
late 2012</c:v>
                </c:pt>
                <c:pt idx="12">
                  <c:v>Q1</c:v>
                </c:pt>
                <c:pt idx="13">
                  <c:v>Q2</c:v>
                </c:pt>
                <c:pt idx="14">
                  <c:v>Q3</c:v>
                </c:pt>
                <c:pt idx="15">
                  <c:v> Q4                                                                
late 2013</c:v>
                </c:pt>
                <c:pt idx="16">
                  <c:v>Q1</c:v>
                </c:pt>
                <c:pt idx="17">
                  <c:v>Q2</c:v>
                </c:pt>
                <c:pt idx="18">
                  <c:v>Q3</c:v>
                </c:pt>
                <c:pt idx="19">
                  <c:v>Q4</c:v>
                </c:pt>
                <c:pt idx="20">
                  <c:v>Q1</c:v>
                </c:pt>
                <c:pt idx="21">
                  <c:v>Q2</c:v>
                </c:pt>
                <c:pt idx="22">
                  <c:v>Q3                                                                 
mid 2015</c:v>
                </c:pt>
              </c:strCache>
            </c:strRef>
          </c:cat>
          <c:val>
            <c:numRef>
              <c:f>'10 States AggWorkings'!$C$113:$Y$113</c:f>
              <c:numCache>
                <c:formatCode>0</c:formatCode>
                <c:ptCount val="23"/>
                <c:pt idx="0" formatCode="0.0">
                  <c:v>0</c:v>
                </c:pt>
                <c:pt idx="1">
                  <c:v>6</c:v>
                </c:pt>
                <c:pt idx="2">
                  <c:v>8</c:v>
                </c:pt>
                <c:pt idx="3">
                  <c:v>8</c:v>
                </c:pt>
                <c:pt idx="4">
                  <c:v>8</c:v>
                </c:pt>
                <c:pt idx="5">
                  <c:v>8</c:v>
                </c:pt>
                <c:pt idx="6">
                  <c:v>16</c:v>
                </c:pt>
                <c:pt idx="7">
                  <c:v>14</c:v>
                </c:pt>
                <c:pt idx="8">
                  <c:v>14</c:v>
                </c:pt>
                <c:pt idx="9">
                  <c:v>28</c:v>
                </c:pt>
                <c:pt idx="10">
                  <c:v>30</c:v>
                </c:pt>
                <c:pt idx="11">
                  <c:v>41</c:v>
                </c:pt>
                <c:pt idx="12">
                  <c:v>50</c:v>
                </c:pt>
                <c:pt idx="13">
                  <c:v>58</c:v>
                </c:pt>
                <c:pt idx="14">
                  <c:v>64</c:v>
                </c:pt>
                <c:pt idx="15">
                  <c:v>68</c:v>
                </c:pt>
                <c:pt idx="16">
                  <c:v>76</c:v>
                </c:pt>
                <c:pt idx="17">
                  <c:v>93</c:v>
                </c:pt>
                <c:pt idx="18">
                  <c:v>102</c:v>
                </c:pt>
                <c:pt idx="19">
                  <c:v>104</c:v>
                </c:pt>
                <c:pt idx="20">
                  <c:v>117</c:v>
                </c:pt>
                <c:pt idx="21">
                  <c:v>127</c:v>
                </c:pt>
                <c:pt idx="22">
                  <c:v>0</c:v>
                </c:pt>
              </c:numCache>
            </c:numRef>
          </c:val>
          <c:smooth val="0"/>
        </c:ser>
        <c:dLbls>
          <c:showLegendKey val="0"/>
          <c:showVal val="0"/>
          <c:showCatName val="0"/>
          <c:showSerName val="0"/>
          <c:showPercent val="0"/>
          <c:showBubbleSize val="0"/>
        </c:dLbls>
        <c:marker val="1"/>
        <c:smooth val="0"/>
        <c:axId val="111054848"/>
        <c:axId val="111056384"/>
      </c:lineChart>
      <c:catAx>
        <c:axId val="111054848"/>
        <c:scaling>
          <c:orientation val="minMax"/>
        </c:scaling>
        <c:delete val="0"/>
        <c:axPos val="b"/>
        <c:majorGridlines>
          <c:spPr>
            <a:ln w="3175">
              <a:solidFill>
                <a:srgbClr val="808080"/>
              </a:solidFill>
              <a:prstDash val="solid"/>
            </a:ln>
          </c:spPr>
        </c:majorGridlines>
        <c:numFmt formatCode="General" sourceLinked="1"/>
        <c:majorTickMark val="out"/>
        <c:minorTickMark val="none"/>
        <c:tickLblPos val="nextTo"/>
        <c:spPr>
          <a:ln w="3175">
            <a:solidFill>
              <a:srgbClr val="808080"/>
            </a:solidFill>
            <a:prstDash val="solid"/>
          </a:ln>
        </c:spPr>
        <c:txPr>
          <a:bodyPr rot="0" vert="horz"/>
          <a:lstStyle/>
          <a:p>
            <a:pPr>
              <a:defRPr sz="900" b="0" i="0" u="none" strike="noStrike" baseline="0">
                <a:solidFill>
                  <a:srgbClr val="666699"/>
                </a:solidFill>
                <a:latin typeface="Calibri"/>
                <a:ea typeface="Calibri"/>
                <a:cs typeface="Calibri"/>
              </a:defRPr>
            </a:pPr>
            <a:endParaRPr lang="en-US"/>
          </a:p>
        </c:txPr>
        <c:crossAx val="111056384"/>
        <c:crosses val="autoZero"/>
        <c:auto val="1"/>
        <c:lblAlgn val="ctr"/>
        <c:lblOffset val="100"/>
        <c:noMultiLvlLbl val="0"/>
      </c:catAx>
      <c:valAx>
        <c:axId val="111056384"/>
        <c:scaling>
          <c:orientation val="minMax"/>
          <c:max val="60"/>
        </c:scaling>
        <c:delete val="0"/>
        <c:axPos val="l"/>
        <c:majorGridlines>
          <c:spPr>
            <a:ln w="3175">
              <a:solidFill>
                <a:srgbClr val="808080"/>
              </a:solidFill>
              <a:prstDash val="solid"/>
            </a:ln>
          </c:spPr>
        </c:majorGridlines>
        <c:numFmt formatCode="0.0" sourceLinked="1"/>
        <c:majorTickMark val="out"/>
        <c:minorTickMark val="none"/>
        <c:tickLblPos val="nextTo"/>
        <c:spPr>
          <a:ln w="3175">
            <a:solidFill>
              <a:srgbClr val="808080"/>
            </a:solidFill>
            <a:prstDash val="solid"/>
          </a:ln>
        </c:spPr>
        <c:txPr>
          <a:bodyPr rot="0" vert="horz"/>
          <a:lstStyle/>
          <a:p>
            <a:pPr>
              <a:defRPr sz="900" b="0" i="0" u="none" strike="noStrike" baseline="0">
                <a:solidFill>
                  <a:srgbClr val="666699"/>
                </a:solidFill>
                <a:latin typeface="Calibri"/>
                <a:ea typeface="Calibri"/>
                <a:cs typeface="Calibri"/>
              </a:defRPr>
            </a:pPr>
            <a:endParaRPr lang="en-US"/>
          </a:p>
        </c:txPr>
        <c:crossAx val="111054848"/>
        <c:crosses val="autoZero"/>
        <c:crossBetween val="midCat"/>
        <c:majorUnit val="5"/>
      </c:valAx>
      <c:spPr>
        <a:solidFill>
          <a:srgbClr val="FFFFFF"/>
        </a:solidFill>
        <a:ln w="25400">
          <a:noFill/>
        </a:ln>
      </c:spPr>
    </c:plotArea>
    <c:legend>
      <c:legendPos val="r"/>
      <c:layout>
        <c:manualLayout>
          <c:xMode val="edge"/>
          <c:yMode val="edge"/>
          <c:x val="0.88087194197157803"/>
          <c:y val="0.382899628252788"/>
          <c:w val="9.0603971174219394E-2"/>
          <c:h val="0.130111524163569"/>
        </c:manualLayout>
      </c:layout>
      <c:overlay val="0"/>
      <c:spPr>
        <a:noFill/>
        <a:ln w="25400">
          <a:noFill/>
        </a:ln>
      </c:spPr>
      <c:txPr>
        <a:bodyPr/>
        <a:lstStyle/>
        <a:p>
          <a:pPr>
            <a:defRPr sz="690" b="0" i="0" u="none" strike="noStrike" baseline="0">
              <a:solidFill>
                <a:srgbClr val="666699"/>
              </a:solidFill>
              <a:latin typeface="Calibri"/>
              <a:ea typeface="Calibri"/>
              <a:cs typeface="Calibri"/>
            </a:defRPr>
          </a:pPr>
          <a:endParaRPr lang="en-US"/>
        </a:p>
      </c:txPr>
    </c:legend>
    <c:plotVisOnly val="1"/>
    <c:dispBlanksAs val="gap"/>
    <c:showDLblsOverMax val="0"/>
  </c:chart>
  <c:spPr>
    <a:solidFill>
      <a:srgbClr val="B9CDE5"/>
    </a:solidFill>
    <a:ln w="9525">
      <a:noFill/>
    </a:ln>
  </c:spPr>
  <c:txPr>
    <a:bodyPr/>
    <a:lstStyle/>
    <a:p>
      <a:pPr>
        <a:defRPr sz="900" b="0" i="0" u="none" strike="noStrike" baseline="0">
          <a:solidFill>
            <a:srgbClr val="666699"/>
          </a:solidFill>
          <a:latin typeface="Calibri"/>
          <a:ea typeface="Calibri"/>
          <a:cs typeface="Calibri"/>
        </a:defRPr>
      </a:pPr>
      <a:endParaRPr lang="en-US"/>
    </a:p>
  </c:txPr>
  <c:printSettings>
    <c:headerFooter/>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4.9208991483782799E-2"/>
          <c:y val="3.34210526315789E-2"/>
          <c:w val="0.80637010982998103"/>
          <c:h val="0.83917076023391801"/>
        </c:manualLayout>
      </c:layout>
      <c:lineChart>
        <c:grouping val="standard"/>
        <c:varyColors val="0"/>
        <c:ser>
          <c:idx val="0"/>
          <c:order val="0"/>
          <c:tx>
            <c:strRef>
              <c:f>'10 States AggWorkings'!$B$34</c:f>
              <c:strCache>
                <c:ptCount val="1"/>
                <c:pt idx="0">
                  <c:v>planned: inclusive</c:v>
                </c:pt>
              </c:strCache>
            </c:strRef>
          </c:tx>
          <c:spPr>
            <a:ln w="38100">
              <a:solidFill>
                <a:srgbClr val="666699"/>
              </a:solidFill>
              <a:prstDash val="solid"/>
            </a:ln>
          </c:spPr>
          <c:marker>
            <c:symbol val="none"/>
          </c:marker>
          <c:cat>
            <c:strRef>
              <c:f>'10 States AggWorkings'!$C$2:$Y$2</c:f>
              <c:strCache>
                <c:ptCount val="23"/>
                <c:pt idx="0">
                  <c:v>early                                                                 
2010</c:v>
                </c:pt>
                <c:pt idx="1">
                  <c:v>Q1</c:v>
                </c:pt>
                <c:pt idx="2">
                  <c:v>Q2</c:v>
                </c:pt>
                <c:pt idx="3">
                  <c:v>Q3</c:v>
                </c:pt>
                <c:pt idx="4">
                  <c:v>Q4</c:v>
                </c:pt>
                <c:pt idx="5">
                  <c:v>Q1</c:v>
                </c:pt>
                <c:pt idx="6">
                  <c:v>Q2                                                                 
mid 2011</c:v>
                </c:pt>
                <c:pt idx="7">
                  <c:v>Q3</c:v>
                </c:pt>
                <c:pt idx="8">
                  <c:v>Q4</c:v>
                </c:pt>
                <c:pt idx="9">
                  <c:v>Q1</c:v>
                </c:pt>
                <c:pt idx="10">
                  <c:v>Q2</c:v>
                </c:pt>
                <c:pt idx="11">
                  <c:v>Q3/4                                                                 
late 2012</c:v>
                </c:pt>
                <c:pt idx="12">
                  <c:v>Q1</c:v>
                </c:pt>
                <c:pt idx="13">
                  <c:v>Q2</c:v>
                </c:pt>
                <c:pt idx="14">
                  <c:v>Q3</c:v>
                </c:pt>
                <c:pt idx="15">
                  <c:v> Q4                                                                
late 2013</c:v>
                </c:pt>
                <c:pt idx="16">
                  <c:v>Q1</c:v>
                </c:pt>
                <c:pt idx="17">
                  <c:v>Q2</c:v>
                </c:pt>
                <c:pt idx="18">
                  <c:v>Q3</c:v>
                </c:pt>
                <c:pt idx="19">
                  <c:v>Q4</c:v>
                </c:pt>
                <c:pt idx="20">
                  <c:v>Q1</c:v>
                </c:pt>
                <c:pt idx="21">
                  <c:v>Q2</c:v>
                </c:pt>
                <c:pt idx="22">
                  <c:v>Q3                                                                 
mid 2015</c:v>
                </c:pt>
              </c:strCache>
            </c:strRef>
          </c:cat>
          <c:val>
            <c:numRef>
              <c:f>'10 States AggWorkings'!$C$34:$Y$34</c:f>
              <c:numCache>
                <c:formatCode>0</c:formatCode>
                <c:ptCount val="23"/>
                <c:pt idx="0" formatCode="0.0">
                  <c:v>0</c:v>
                </c:pt>
                <c:pt idx="1">
                  <c:v>0.66666666666666663</c:v>
                </c:pt>
                <c:pt idx="2">
                  <c:v>1.3333333333333333</c:v>
                </c:pt>
                <c:pt idx="3">
                  <c:v>2</c:v>
                </c:pt>
                <c:pt idx="4">
                  <c:v>2.6666666666666665</c:v>
                </c:pt>
                <c:pt idx="5">
                  <c:v>3.333333333333333</c:v>
                </c:pt>
                <c:pt idx="6">
                  <c:v>4</c:v>
                </c:pt>
                <c:pt idx="7">
                  <c:v>5.166666666666667</c:v>
                </c:pt>
                <c:pt idx="8">
                  <c:v>6.3333333333333339</c:v>
                </c:pt>
                <c:pt idx="9">
                  <c:v>7.5</c:v>
                </c:pt>
                <c:pt idx="10">
                  <c:v>8.6666666666666679</c:v>
                </c:pt>
                <c:pt idx="11">
                  <c:v>11</c:v>
                </c:pt>
                <c:pt idx="12">
                  <c:v>13.75</c:v>
                </c:pt>
                <c:pt idx="13">
                  <c:v>16.5</c:v>
                </c:pt>
                <c:pt idx="14">
                  <c:v>19.25</c:v>
                </c:pt>
                <c:pt idx="15">
                  <c:v>22</c:v>
                </c:pt>
                <c:pt idx="16">
                  <c:v>23.833333333333332</c:v>
                </c:pt>
                <c:pt idx="17">
                  <c:v>25.666666666666664</c:v>
                </c:pt>
                <c:pt idx="18">
                  <c:v>27.5</c:v>
                </c:pt>
                <c:pt idx="19">
                  <c:v>29.333333333333325</c:v>
                </c:pt>
                <c:pt idx="20">
                  <c:v>38.499999999999993</c:v>
                </c:pt>
                <c:pt idx="21">
                  <c:v>42.333333333333336</c:v>
                </c:pt>
                <c:pt idx="22">
                  <c:v>43</c:v>
                </c:pt>
              </c:numCache>
            </c:numRef>
          </c:val>
          <c:smooth val="0"/>
        </c:ser>
        <c:ser>
          <c:idx val="1"/>
          <c:order val="1"/>
          <c:tx>
            <c:strRef>
              <c:f>'10 States AggWorkings'!$B$35</c:f>
              <c:strCache>
                <c:ptCount val="1"/>
                <c:pt idx="0">
                  <c:v>achieved: inclusive</c:v>
                </c:pt>
              </c:strCache>
            </c:strRef>
          </c:tx>
          <c:spPr>
            <a:ln w="38100">
              <a:solidFill>
                <a:srgbClr val="993366"/>
              </a:solidFill>
              <a:prstDash val="solid"/>
            </a:ln>
          </c:spPr>
          <c:marker>
            <c:symbol val="none"/>
          </c:marker>
          <c:cat>
            <c:strRef>
              <c:f>'10 States AggWorkings'!$C$2:$Y$2</c:f>
              <c:strCache>
                <c:ptCount val="23"/>
                <c:pt idx="0">
                  <c:v>early                                                                 
2010</c:v>
                </c:pt>
                <c:pt idx="1">
                  <c:v>Q1</c:v>
                </c:pt>
                <c:pt idx="2">
                  <c:v>Q2</c:v>
                </c:pt>
                <c:pt idx="3">
                  <c:v>Q3</c:v>
                </c:pt>
                <c:pt idx="4">
                  <c:v>Q4</c:v>
                </c:pt>
                <c:pt idx="5">
                  <c:v>Q1</c:v>
                </c:pt>
                <c:pt idx="6">
                  <c:v>Q2                                                                 
mid 2011</c:v>
                </c:pt>
                <c:pt idx="7">
                  <c:v>Q3</c:v>
                </c:pt>
                <c:pt idx="8">
                  <c:v>Q4</c:v>
                </c:pt>
                <c:pt idx="9">
                  <c:v>Q1</c:v>
                </c:pt>
                <c:pt idx="10">
                  <c:v>Q2</c:v>
                </c:pt>
                <c:pt idx="11">
                  <c:v>Q3/4                                                                 
late 2012</c:v>
                </c:pt>
                <c:pt idx="12">
                  <c:v>Q1</c:v>
                </c:pt>
                <c:pt idx="13">
                  <c:v>Q2</c:v>
                </c:pt>
                <c:pt idx="14">
                  <c:v>Q3</c:v>
                </c:pt>
                <c:pt idx="15">
                  <c:v> Q4                                                                
late 2013</c:v>
                </c:pt>
                <c:pt idx="16">
                  <c:v>Q1</c:v>
                </c:pt>
                <c:pt idx="17">
                  <c:v>Q2</c:v>
                </c:pt>
                <c:pt idx="18">
                  <c:v>Q3</c:v>
                </c:pt>
                <c:pt idx="19">
                  <c:v>Q4</c:v>
                </c:pt>
                <c:pt idx="20">
                  <c:v>Q1</c:v>
                </c:pt>
                <c:pt idx="21">
                  <c:v>Q2</c:v>
                </c:pt>
                <c:pt idx="22">
                  <c:v>Q3                                                                 
mid 2015</c:v>
                </c:pt>
              </c:strCache>
            </c:strRef>
          </c:cat>
          <c:val>
            <c:numRef>
              <c:f>'10 States AggWorkings'!$C$35:$Y$35</c:f>
              <c:numCache>
                <c:formatCode>0</c:formatCode>
                <c:ptCount val="23"/>
                <c:pt idx="0" formatCode="0.0">
                  <c:v>0</c:v>
                </c:pt>
                <c:pt idx="1">
                  <c:v>0</c:v>
                </c:pt>
                <c:pt idx="2">
                  <c:v>0</c:v>
                </c:pt>
                <c:pt idx="3">
                  <c:v>0</c:v>
                </c:pt>
                <c:pt idx="4">
                  <c:v>0</c:v>
                </c:pt>
                <c:pt idx="5">
                  <c:v>1</c:v>
                </c:pt>
                <c:pt idx="6">
                  <c:v>2</c:v>
                </c:pt>
                <c:pt idx="7">
                  <c:v>2</c:v>
                </c:pt>
                <c:pt idx="8">
                  <c:v>4</c:v>
                </c:pt>
                <c:pt idx="9">
                  <c:v>8</c:v>
                </c:pt>
                <c:pt idx="10">
                  <c:v>12</c:v>
                </c:pt>
                <c:pt idx="11">
                  <c:v>16</c:v>
                </c:pt>
                <c:pt idx="12">
                  <c:v>19</c:v>
                </c:pt>
                <c:pt idx="13">
                  <c:v>27</c:v>
                </c:pt>
                <c:pt idx="14">
                  <c:v>29</c:v>
                </c:pt>
                <c:pt idx="15">
                  <c:v>39</c:v>
                </c:pt>
                <c:pt idx="16">
                  <c:v>35</c:v>
                </c:pt>
                <c:pt idx="17">
                  <c:v>41</c:v>
                </c:pt>
                <c:pt idx="18">
                  <c:v>48</c:v>
                </c:pt>
                <c:pt idx="19">
                  <c:v>38</c:v>
                </c:pt>
                <c:pt idx="20">
                  <c:v>47</c:v>
                </c:pt>
                <c:pt idx="21">
                  <c:v>48</c:v>
                </c:pt>
                <c:pt idx="22">
                  <c:v>0</c:v>
                </c:pt>
              </c:numCache>
            </c:numRef>
          </c:val>
          <c:smooth val="0"/>
        </c:ser>
        <c:ser>
          <c:idx val="2"/>
          <c:order val="2"/>
          <c:tx>
            <c:strRef>
              <c:f>'10 States AggWorkings'!$B$37</c:f>
              <c:strCache>
                <c:ptCount val="1"/>
                <c:pt idx="0">
                  <c:v>planned: indirect</c:v>
                </c:pt>
              </c:strCache>
            </c:strRef>
          </c:tx>
          <c:spPr>
            <a:ln w="38100">
              <a:solidFill>
                <a:srgbClr val="90713A"/>
              </a:solidFill>
              <a:prstDash val="solid"/>
            </a:ln>
          </c:spPr>
          <c:marker>
            <c:symbol val="none"/>
          </c:marker>
          <c:cat>
            <c:strRef>
              <c:f>'10 States AggWorkings'!$C$2:$Y$2</c:f>
              <c:strCache>
                <c:ptCount val="23"/>
                <c:pt idx="0">
                  <c:v>early                                                                 
2010</c:v>
                </c:pt>
                <c:pt idx="1">
                  <c:v>Q1</c:v>
                </c:pt>
                <c:pt idx="2">
                  <c:v>Q2</c:v>
                </c:pt>
                <c:pt idx="3">
                  <c:v>Q3</c:v>
                </c:pt>
                <c:pt idx="4">
                  <c:v>Q4</c:v>
                </c:pt>
                <c:pt idx="5">
                  <c:v>Q1</c:v>
                </c:pt>
                <c:pt idx="6">
                  <c:v>Q2                                                                 
mid 2011</c:v>
                </c:pt>
                <c:pt idx="7">
                  <c:v>Q3</c:v>
                </c:pt>
                <c:pt idx="8">
                  <c:v>Q4</c:v>
                </c:pt>
                <c:pt idx="9">
                  <c:v>Q1</c:v>
                </c:pt>
                <c:pt idx="10">
                  <c:v>Q2</c:v>
                </c:pt>
                <c:pt idx="11">
                  <c:v>Q3/4                                                                 
late 2012</c:v>
                </c:pt>
                <c:pt idx="12">
                  <c:v>Q1</c:v>
                </c:pt>
                <c:pt idx="13">
                  <c:v>Q2</c:v>
                </c:pt>
                <c:pt idx="14">
                  <c:v>Q3</c:v>
                </c:pt>
                <c:pt idx="15">
                  <c:v> Q4                                                                
late 2013</c:v>
                </c:pt>
                <c:pt idx="16">
                  <c:v>Q1</c:v>
                </c:pt>
                <c:pt idx="17">
                  <c:v>Q2</c:v>
                </c:pt>
                <c:pt idx="18">
                  <c:v>Q3</c:v>
                </c:pt>
                <c:pt idx="19">
                  <c:v>Q4</c:v>
                </c:pt>
                <c:pt idx="20">
                  <c:v>Q1</c:v>
                </c:pt>
                <c:pt idx="21">
                  <c:v>Q2</c:v>
                </c:pt>
                <c:pt idx="22">
                  <c:v>Q3                                                                 
mid 2015</c:v>
                </c:pt>
              </c:strCache>
            </c:strRef>
          </c:cat>
          <c:val>
            <c:numRef>
              <c:f>'10 States AggWorkings'!$C$37:$Y$37</c:f>
              <c:numCache>
                <c:formatCode>0</c:formatCode>
                <c:ptCount val="23"/>
                <c:pt idx="0" formatCode="0.0">
                  <c:v>0</c:v>
                </c:pt>
                <c:pt idx="1">
                  <c:v>0.16666666666666666</c:v>
                </c:pt>
                <c:pt idx="2">
                  <c:v>0.33333333333333331</c:v>
                </c:pt>
                <c:pt idx="3">
                  <c:v>0.5</c:v>
                </c:pt>
                <c:pt idx="4">
                  <c:v>0.66666666666666663</c:v>
                </c:pt>
                <c:pt idx="5">
                  <c:v>0.83333333333333326</c:v>
                </c:pt>
                <c:pt idx="6">
                  <c:v>1</c:v>
                </c:pt>
                <c:pt idx="7">
                  <c:v>1.8333333333333335</c:v>
                </c:pt>
                <c:pt idx="8">
                  <c:v>2.666666666666667</c:v>
                </c:pt>
                <c:pt idx="9">
                  <c:v>3.5</c:v>
                </c:pt>
                <c:pt idx="10">
                  <c:v>4.333333333333333</c:v>
                </c:pt>
                <c:pt idx="11">
                  <c:v>6</c:v>
                </c:pt>
                <c:pt idx="12">
                  <c:v>7.75</c:v>
                </c:pt>
                <c:pt idx="13">
                  <c:v>9.5</c:v>
                </c:pt>
                <c:pt idx="14">
                  <c:v>11.25</c:v>
                </c:pt>
                <c:pt idx="15">
                  <c:v>13</c:v>
                </c:pt>
                <c:pt idx="16">
                  <c:v>14.499999999999998</c:v>
                </c:pt>
                <c:pt idx="17">
                  <c:v>15.999999999999996</c:v>
                </c:pt>
                <c:pt idx="18">
                  <c:v>17.5</c:v>
                </c:pt>
                <c:pt idx="19">
                  <c:v>18.999999999999996</c:v>
                </c:pt>
                <c:pt idx="20">
                  <c:v>28</c:v>
                </c:pt>
                <c:pt idx="21">
                  <c:v>31</c:v>
                </c:pt>
                <c:pt idx="22">
                  <c:v>31</c:v>
                </c:pt>
              </c:numCache>
            </c:numRef>
          </c:val>
          <c:smooth val="0"/>
        </c:ser>
        <c:ser>
          <c:idx val="3"/>
          <c:order val="3"/>
          <c:tx>
            <c:strRef>
              <c:f>'10 States AggWorkings'!$B$38</c:f>
              <c:strCache>
                <c:ptCount val="1"/>
                <c:pt idx="0">
                  <c:v>achieved: indirect</c:v>
                </c:pt>
              </c:strCache>
            </c:strRef>
          </c:tx>
          <c:spPr>
            <a:ln w="38100">
              <a:solidFill>
                <a:srgbClr val="666699"/>
              </a:solidFill>
              <a:prstDash val="solid"/>
            </a:ln>
          </c:spPr>
          <c:marker>
            <c:symbol val="none"/>
          </c:marker>
          <c:cat>
            <c:strRef>
              <c:f>'10 States AggWorkings'!$C$2:$Y$2</c:f>
              <c:strCache>
                <c:ptCount val="23"/>
                <c:pt idx="0">
                  <c:v>early                                                                 
2010</c:v>
                </c:pt>
                <c:pt idx="1">
                  <c:v>Q1</c:v>
                </c:pt>
                <c:pt idx="2">
                  <c:v>Q2</c:v>
                </c:pt>
                <c:pt idx="3">
                  <c:v>Q3</c:v>
                </c:pt>
                <c:pt idx="4">
                  <c:v>Q4</c:v>
                </c:pt>
                <c:pt idx="5">
                  <c:v>Q1</c:v>
                </c:pt>
                <c:pt idx="6">
                  <c:v>Q2                                                                 
mid 2011</c:v>
                </c:pt>
                <c:pt idx="7">
                  <c:v>Q3</c:v>
                </c:pt>
                <c:pt idx="8">
                  <c:v>Q4</c:v>
                </c:pt>
                <c:pt idx="9">
                  <c:v>Q1</c:v>
                </c:pt>
                <c:pt idx="10">
                  <c:v>Q2</c:v>
                </c:pt>
                <c:pt idx="11">
                  <c:v>Q3/4                                                                 
late 2012</c:v>
                </c:pt>
                <c:pt idx="12">
                  <c:v>Q1</c:v>
                </c:pt>
                <c:pt idx="13">
                  <c:v>Q2</c:v>
                </c:pt>
                <c:pt idx="14">
                  <c:v>Q3</c:v>
                </c:pt>
                <c:pt idx="15">
                  <c:v> Q4                                                                
late 2013</c:v>
                </c:pt>
                <c:pt idx="16">
                  <c:v>Q1</c:v>
                </c:pt>
                <c:pt idx="17">
                  <c:v>Q2</c:v>
                </c:pt>
                <c:pt idx="18">
                  <c:v>Q3</c:v>
                </c:pt>
                <c:pt idx="19">
                  <c:v>Q4</c:v>
                </c:pt>
                <c:pt idx="20">
                  <c:v>Q1</c:v>
                </c:pt>
                <c:pt idx="21">
                  <c:v>Q2</c:v>
                </c:pt>
                <c:pt idx="22">
                  <c:v>Q3                                                                 
mid 2015</c:v>
                </c:pt>
              </c:strCache>
            </c:strRef>
          </c:cat>
          <c:val>
            <c:numRef>
              <c:f>'10 States AggWorkings'!$C$38:$Y$38</c:f>
              <c:numCache>
                <c:formatCode>0</c:formatCode>
                <c:ptCount val="23"/>
                <c:pt idx="0" formatCode="0.0">
                  <c:v>0</c:v>
                </c:pt>
                <c:pt idx="1">
                  <c:v>0</c:v>
                </c:pt>
                <c:pt idx="2">
                  <c:v>0</c:v>
                </c:pt>
                <c:pt idx="3">
                  <c:v>0</c:v>
                </c:pt>
                <c:pt idx="4">
                  <c:v>0</c:v>
                </c:pt>
                <c:pt idx="5">
                  <c:v>0</c:v>
                </c:pt>
                <c:pt idx="6">
                  <c:v>0</c:v>
                </c:pt>
                <c:pt idx="7">
                  <c:v>0</c:v>
                </c:pt>
                <c:pt idx="8">
                  <c:v>0</c:v>
                </c:pt>
                <c:pt idx="9">
                  <c:v>0</c:v>
                </c:pt>
                <c:pt idx="10">
                  <c:v>5</c:v>
                </c:pt>
                <c:pt idx="11">
                  <c:v>6</c:v>
                </c:pt>
                <c:pt idx="12">
                  <c:v>6</c:v>
                </c:pt>
                <c:pt idx="13">
                  <c:v>12</c:v>
                </c:pt>
                <c:pt idx="14">
                  <c:v>14</c:v>
                </c:pt>
                <c:pt idx="15">
                  <c:v>22</c:v>
                </c:pt>
                <c:pt idx="16">
                  <c:v>18</c:v>
                </c:pt>
                <c:pt idx="17">
                  <c:v>23</c:v>
                </c:pt>
                <c:pt idx="18">
                  <c:v>26</c:v>
                </c:pt>
                <c:pt idx="19">
                  <c:v>27</c:v>
                </c:pt>
                <c:pt idx="20">
                  <c:v>42</c:v>
                </c:pt>
                <c:pt idx="21">
                  <c:v>43</c:v>
                </c:pt>
                <c:pt idx="22">
                  <c:v>0</c:v>
                </c:pt>
              </c:numCache>
            </c:numRef>
          </c:val>
          <c:smooth val="0"/>
        </c:ser>
        <c:ser>
          <c:idx val="4"/>
          <c:order val="4"/>
          <c:tx>
            <c:strRef>
              <c:f>'10 States AggWorkings'!$B$40</c:f>
              <c:strCache>
                <c:ptCount val="1"/>
                <c:pt idx="0">
                  <c:v>planned: outside</c:v>
                </c:pt>
              </c:strCache>
            </c:strRef>
          </c:tx>
          <c:spPr>
            <a:ln w="38100">
              <a:solidFill>
                <a:srgbClr val="33CCCC"/>
              </a:solidFill>
              <a:prstDash val="solid"/>
            </a:ln>
          </c:spPr>
          <c:marker>
            <c:symbol val="none"/>
          </c:marker>
          <c:cat>
            <c:strRef>
              <c:f>'10 States AggWorkings'!$C$2:$Y$2</c:f>
              <c:strCache>
                <c:ptCount val="23"/>
                <c:pt idx="0">
                  <c:v>early                                                                 
2010</c:v>
                </c:pt>
                <c:pt idx="1">
                  <c:v>Q1</c:v>
                </c:pt>
                <c:pt idx="2">
                  <c:v>Q2</c:v>
                </c:pt>
                <c:pt idx="3">
                  <c:v>Q3</c:v>
                </c:pt>
                <c:pt idx="4">
                  <c:v>Q4</c:v>
                </c:pt>
                <c:pt idx="5">
                  <c:v>Q1</c:v>
                </c:pt>
                <c:pt idx="6">
                  <c:v>Q2                                                                 
mid 2011</c:v>
                </c:pt>
                <c:pt idx="7">
                  <c:v>Q3</c:v>
                </c:pt>
                <c:pt idx="8">
                  <c:v>Q4</c:v>
                </c:pt>
                <c:pt idx="9">
                  <c:v>Q1</c:v>
                </c:pt>
                <c:pt idx="10">
                  <c:v>Q2</c:v>
                </c:pt>
                <c:pt idx="11">
                  <c:v>Q3/4                                                                 
late 2012</c:v>
                </c:pt>
                <c:pt idx="12">
                  <c:v>Q1</c:v>
                </c:pt>
                <c:pt idx="13">
                  <c:v>Q2</c:v>
                </c:pt>
                <c:pt idx="14">
                  <c:v>Q3</c:v>
                </c:pt>
                <c:pt idx="15">
                  <c:v> Q4                                                                
late 2013</c:v>
                </c:pt>
                <c:pt idx="16">
                  <c:v>Q1</c:v>
                </c:pt>
                <c:pt idx="17">
                  <c:v>Q2</c:v>
                </c:pt>
                <c:pt idx="18">
                  <c:v>Q3</c:v>
                </c:pt>
                <c:pt idx="19">
                  <c:v>Q4</c:v>
                </c:pt>
                <c:pt idx="20">
                  <c:v>Q1</c:v>
                </c:pt>
                <c:pt idx="21">
                  <c:v>Q2</c:v>
                </c:pt>
                <c:pt idx="22">
                  <c:v>Q3                                                                 
mid 2015</c:v>
                </c:pt>
              </c:strCache>
            </c:strRef>
          </c:cat>
          <c:val>
            <c:numRef>
              <c:f>'10 States AggWorkings'!$C$40:$Y$40</c:f>
              <c:numCache>
                <c:formatCode>0</c:formatCode>
                <c:ptCount val="23"/>
                <c:pt idx="0" formatCode="0.0">
                  <c:v>0</c:v>
                </c:pt>
                <c:pt idx="1">
                  <c:v>0</c:v>
                </c:pt>
                <c:pt idx="2">
                  <c:v>0</c:v>
                </c:pt>
                <c:pt idx="3">
                  <c:v>0</c:v>
                </c:pt>
                <c:pt idx="4">
                  <c:v>0</c:v>
                </c:pt>
                <c:pt idx="5">
                  <c:v>0</c:v>
                </c:pt>
                <c:pt idx="6">
                  <c:v>0</c:v>
                </c:pt>
                <c:pt idx="7">
                  <c:v>0.16666666666666666</c:v>
                </c:pt>
                <c:pt idx="8">
                  <c:v>0.33333333333333331</c:v>
                </c:pt>
                <c:pt idx="9">
                  <c:v>0.5</c:v>
                </c:pt>
                <c:pt idx="10">
                  <c:v>0.66666666666666663</c:v>
                </c:pt>
                <c:pt idx="11">
                  <c:v>1</c:v>
                </c:pt>
                <c:pt idx="12">
                  <c:v>1.75</c:v>
                </c:pt>
                <c:pt idx="13">
                  <c:v>2.5</c:v>
                </c:pt>
                <c:pt idx="14">
                  <c:v>3.25</c:v>
                </c:pt>
                <c:pt idx="15">
                  <c:v>4</c:v>
                </c:pt>
                <c:pt idx="16">
                  <c:v>4.833333333333333</c:v>
                </c:pt>
                <c:pt idx="17">
                  <c:v>5.666666666666667</c:v>
                </c:pt>
                <c:pt idx="18">
                  <c:v>6.5</c:v>
                </c:pt>
                <c:pt idx="19">
                  <c:v>7.3333333333333339</c:v>
                </c:pt>
                <c:pt idx="20">
                  <c:v>7.333333333333333</c:v>
                </c:pt>
                <c:pt idx="21">
                  <c:v>8</c:v>
                </c:pt>
                <c:pt idx="22">
                  <c:v>8</c:v>
                </c:pt>
              </c:numCache>
            </c:numRef>
          </c:val>
          <c:smooth val="0"/>
        </c:ser>
        <c:ser>
          <c:idx val="5"/>
          <c:order val="5"/>
          <c:tx>
            <c:strRef>
              <c:f>'10 States AggWorkings'!$B$41</c:f>
              <c:strCache>
                <c:ptCount val="1"/>
                <c:pt idx="0">
                  <c:v>achieved: outside</c:v>
                </c:pt>
              </c:strCache>
            </c:strRef>
          </c:tx>
          <c:spPr>
            <a:ln w="38100">
              <a:solidFill>
                <a:srgbClr val="FF9900"/>
              </a:solidFill>
              <a:prstDash val="solid"/>
            </a:ln>
          </c:spPr>
          <c:marker>
            <c:symbol val="none"/>
          </c:marker>
          <c:cat>
            <c:strRef>
              <c:f>'10 States AggWorkings'!$C$2:$Y$2</c:f>
              <c:strCache>
                <c:ptCount val="23"/>
                <c:pt idx="0">
                  <c:v>early                                                                 
2010</c:v>
                </c:pt>
                <c:pt idx="1">
                  <c:v>Q1</c:v>
                </c:pt>
                <c:pt idx="2">
                  <c:v>Q2</c:v>
                </c:pt>
                <c:pt idx="3">
                  <c:v>Q3</c:v>
                </c:pt>
                <c:pt idx="4">
                  <c:v>Q4</c:v>
                </c:pt>
                <c:pt idx="5">
                  <c:v>Q1</c:v>
                </c:pt>
                <c:pt idx="6">
                  <c:v>Q2                                                                 
mid 2011</c:v>
                </c:pt>
                <c:pt idx="7">
                  <c:v>Q3</c:v>
                </c:pt>
                <c:pt idx="8">
                  <c:v>Q4</c:v>
                </c:pt>
                <c:pt idx="9">
                  <c:v>Q1</c:v>
                </c:pt>
                <c:pt idx="10">
                  <c:v>Q2</c:v>
                </c:pt>
                <c:pt idx="11">
                  <c:v>Q3/4                                                                 
late 2012</c:v>
                </c:pt>
                <c:pt idx="12">
                  <c:v>Q1</c:v>
                </c:pt>
                <c:pt idx="13">
                  <c:v>Q2</c:v>
                </c:pt>
                <c:pt idx="14">
                  <c:v>Q3</c:v>
                </c:pt>
                <c:pt idx="15">
                  <c:v> Q4                                                                
late 2013</c:v>
                </c:pt>
                <c:pt idx="16">
                  <c:v>Q1</c:v>
                </c:pt>
                <c:pt idx="17">
                  <c:v>Q2</c:v>
                </c:pt>
                <c:pt idx="18">
                  <c:v>Q3</c:v>
                </c:pt>
                <c:pt idx="19">
                  <c:v>Q4</c:v>
                </c:pt>
                <c:pt idx="20">
                  <c:v>Q1</c:v>
                </c:pt>
                <c:pt idx="21">
                  <c:v>Q2</c:v>
                </c:pt>
                <c:pt idx="22">
                  <c:v>Q3                                                                 
mid 2015</c:v>
                </c:pt>
              </c:strCache>
            </c:strRef>
          </c:cat>
          <c:val>
            <c:numRef>
              <c:f>'10 States AggWorkings'!$C$41:$Y$41</c:f>
              <c:numCache>
                <c:formatCode>0</c:formatCode>
                <c:ptCount val="23"/>
                <c:pt idx="0" formatCode="0.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4</c:v>
                </c:pt>
                <c:pt idx="16">
                  <c:v>6</c:v>
                </c:pt>
                <c:pt idx="17">
                  <c:v>8</c:v>
                </c:pt>
                <c:pt idx="18">
                  <c:v>13</c:v>
                </c:pt>
                <c:pt idx="19">
                  <c:v>3</c:v>
                </c:pt>
                <c:pt idx="20">
                  <c:v>3</c:v>
                </c:pt>
                <c:pt idx="21">
                  <c:v>3</c:v>
                </c:pt>
                <c:pt idx="22">
                  <c:v>0</c:v>
                </c:pt>
              </c:numCache>
            </c:numRef>
          </c:val>
          <c:smooth val="0"/>
        </c:ser>
        <c:dLbls>
          <c:showLegendKey val="0"/>
          <c:showVal val="0"/>
          <c:showCatName val="0"/>
          <c:showSerName val="0"/>
          <c:showPercent val="0"/>
          <c:showBubbleSize val="0"/>
        </c:dLbls>
        <c:marker val="1"/>
        <c:smooth val="0"/>
        <c:axId val="111172224"/>
        <c:axId val="111190400"/>
      </c:lineChart>
      <c:catAx>
        <c:axId val="111172224"/>
        <c:scaling>
          <c:orientation val="minMax"/>
        </c:scaling>
        <c:delete val="0"/>
        <c:axPos val="b"/>
        <c:majorGridlines>
          <c:spPr>
            <a:ln w="3175">
              <a:solidFill>
                <a:srgbClr val="808080"/>
              </a:solidFill>
              <a:prstDash val="solid"/>
            </a:ln>
          </c:spPr>
        </c:majorGridlines>
        <c:numFmt formatCode="General" sourceLinked="1"/>
        <c:majorTickMark val="out"/>
        <c:minorTickMark val="none"/>
        <c:tickLblPos val="nextTo"/>
        <c:spPr>
          <a:ln w="3175">
            <a:solidFill>
              <a:srgbClr val="808080"/>
            </a:solidFill>
            <a:prstDash val="solid"/>
          </a:ln>
        </c:spPr>
        <c:txPr>
          <a:bodyPr rot="0" vert="horz"/>
          <a:lstStyle/>
          <a:p>
            <a:pPr>
              <a:defRPr sz="900" b="0" i="0" u="none" strike="noStrike" baseline="0">
                <a:solidFill>
                  <a:srgbClr val="666699"/>
                </a:solidFill>
                <a:latin typeface="Calibri"/>
                <a:ea typeface="Calibri"/>
                <a:cs typeface="Calibri"/>
              </a:defRPr>
            </a:pPr>
            <a:endParaRPr lang="en-US"/>
          </a:p>
        </c:txPr>
        <c:crossAx val="111190400"/>
        <c:crosses val="autoZero"/>
        <c:auto val="1"/>
        <c:lblAlgn val="ctr"/>
        <c:lblOffset val="100"/>
        <c:noMultiLvlLbl val="0"/>
      </c:catAx>
      <c:valAx>
        <c:axId val="111190400"/>
        <c:scaling>
          <c:orientation val="minMax"/>
          <c:max val="100"/>
        </c:scaling>
        <c:delete val="0"/>
        <c:axPos val="l"/>
        <c:majorGridlines>
          <c:spPr>
            <a:ln w="3175">
              <a:solidFill>
                <a:srgbClr val="808080"/>
              </a:solidFill>
              <a:prstDash val="solid"/>
            </a:ln>
          </c:spPr>
        </c:majorGridlines>
        <c:numFmt formatCode="0.0" sourceLinked="1"/>
        <c:majorTickMark val="out"/>
        <c:minorTickMark val="none"/>
        <c:tickLblPos val="nextTo"/>
        <c:spPr>
          <a:ln w="3175">
            <a:solidFill>
              <a:srgbClr val="808080"/>
            </a:solidFill>
            <a:prstDash val="solid"/>
          </a:ln>
        </c:spPr>
        <c:txPr>
          <a:bodyPr rot="0" vert="horz"/>
          <a:lstStyle/>
          <a:p>
            <a:pPr>
              <a:defRPr sz="900" b="0" i="0" u="none" strike="noStrike" baseline="0">
                <a:solidFill>
                  <a:srgbClr val="666699"/>
                </a:solidFill>
                <a:latin typeface="Calibri"/>
                <a:ea typeface="Calibri"/>
                <a:cs typeface="Calibri"/>
              </a:defRPr>
            </a:pPr>
            <a:endParaRPr lang="en-US"/>
          </a:p>
        </c:txPr>
        <c:crossAx val="111172224"/>
        <c:crosses val="autoZero"/>
        <c:crossBetween val="midCat"/>
      </c:valAx>
      <c:spPr>
        <a:solidFill>
          <a:srgbClr val="FFFFFF"/>
        </a:solidFill>
        <a:ln w="25400">
          <a:noFill/>
        </a:ln>
      </c:spPr>
    </c:plotArea>
    <c:legend>
      <c:legendPos val="r"/>
      <c:layout>
        <c:manualLayout>
          <c:xMode val="edge"/>
          <c:yMode val="edge"/>
          <c:x val="0.87541528239202704"/>
          <c:y val="0.18518535263432501"/>
          <c:w val="0.10132890365448501"/>
          <c:h val="0.57777830021909404"/>
        </c:manualLayout>
      </c:layout>
      <c:overlay val="0"/>
      <c:spPr>
        <a:noFill/>
        <a:ln w="25400">
          <a:noFill/>
        </a:ln>
      </c:spPr>
      <c:txPr>
        <a:bodyPr/>
        <a:lstStyle/>
        <a:p>
          <a:pPr>
            <a:defRPr sz="690" b="0" i="0" u="none" strike="noStrike" baseline="0">
              <a:solidFill>
                <a:srgbClr val="666699"/>
              </a:solidFill>
              <a:latin typeface="Calibri"/>
              <a:ea typeface="Calibri"/>
              <a:cs typeface="Calibri"/>
            </a:defRPr>
          </a:pPr>
          <a:endParaRPr lang="en-US"/>
        </a:p>
      </c:txPr>
    </c:legend>
    <c:plotVisOnly val="1"/>
    <c:dispBlanksAs val="gap"/>
    <c:showDLblsOverMax val="0"/>
  </c:chart>
  <c:spPr>
    <a:solidFill>
      <a:srgbClr val="B9CDE5"/>
    </a:solidFill>
    <a:ln w="9525">
      <a:noFill/>
    </a:ln>
  </c:spPr>
  <c:txPr>
    <a:bodyPr/>
    <a:lstStyle/>
    <a:p>
      <a:pPr>
        <a:defRPr sz="900" b="0" i="0" u="none" strike="noStrike" baseline="0">
          <a:solidFill>
            <a:srgbClr val="666699"/>
          </a:solidFill>
          <a:latin typeface="Calibri"/>
          <a:ea typeface="Calibri"/>
          <a:cs typeface="Calibri"/>
        </a:defRPr>
      </a:pPr>
      <a:endParaRPr lang="en-US"/>
    </a:p>
  </c:txPr>
  <c:printSettings>
    <c:headerFooter/>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4.5855162381445803E-2"/>
          <c:y val="4.08479532163743E-2"/>
          <c:w val="0.80402559843072496"/>
          <c:h val="0.83174385964912301"/>
        </c:manualLayout>
      </c:layout>
      <c:lineChart>
        <c:grouping val="standard"/>
        <c:varyColors val="0"/>
        <c:ser>
          <c:idx val="0"/>
          <c:order val="0"/>
          <c:tx>
            <c:strRef>
              <c:f>'10 States AggWorkings'!$B$46</c:f>
              <c:strCache>
                <c:ptCount val="1"/>
                <c:pt idx="0">
                  <c:v>planned</c:v>
                </c:pt>
              </c:strCache>
            </c:strRef>
          </c:tx>
          <c:spPr>
            <a:ln w="38100">
              <a:solidFill>
                <a:srgbClr val="666699"/>
              </a:solidFill>
              <a:prstDash val="solid"/>
            </a:ln>
          </c:spPr>
          <c:marker>
            <c:symbol val="none"/>
          </c:marker>
          <c:cat>
            <c:strRef>
              <c:f>'10 States AggWorkings'!$C$2:$Y$2</c:f>
              <c:strCache>
                <c:ptCount val="23"/>
                <c:pt idx="0">
                  <c:v>early                                                                 
2010</c:v>
                </c:pt>
                <c:pt idx="1">
                  <c:v>Q1</c:v>
                </c:pt>
                <c:pt idx="2">
                  <c:v>Q2</c:v>
                </c:pt>
                <c:pt idx="3">
                  <c:v>Q3</c:v>
                </c:pt>
                <c:pt idx="4">
                  <c:v>Q4</c:v>
                </c:pt>
                <c:pt idx="5">
                  <c:v>Q1</c:v>
                </c:pt>
                <c:pt idx="6">
                  <c:v>Q2                                                                 
mid 2011</c:v>
                </c:pt>
                <c:pt idx="7">
                  <c:v>Q3</c:v>
                </c:pt>
                <c:pt idx="8">
                  <c:v>Q4</c:v>
                </c:pt>
                <c:pt idx="9">
                  <c:v>Q1</c:v>
                </c:pt>
                <c:pt idx="10">
                  <c:v>Q2</c:v>
                </c:pt>
                <c:pt idx="11">
                  <c:v>Q3/4                                                                 
late 2012</c:v>
                </c:pt>
                <c:pt idx="12">
                  <c:v>Q1</c:v>
                </c:pt>
                <c:pt idx="13">
                  <c:v>Q2</c:v>
                </c:pt>
                <c:pt idx="14">
                  <c:v>Q3</c:v>
                </c:pt>
                <c:pt idx="15">
                  <c:v> Q4                                                                
late 2013</c:v>
                </c:pt>
                <c:pt idx="16">
                  <c:v>Q1</c:v>
                </c:pt>
                <c:pt idx="17">
                  <c:v>Q2</c:v>
                </c:pt>
                <c:pt idx="18">
                  <c:v>Q3</c:v>
                </c:pt>
                <c:pt idx="19">
                  <c:v>Q4</c:v>
                </c:pt>
                <c:pt idx="20">
                  <c:v>Q1</c:v>
                </c:pt>
                <c:pt idx="21">
                  <c:v>Q2</c:v>
                </c:pt>
                <c:pt idx="22">
                  <c:v>Q3                                                                 
mid 2015</c:v>
                </c:pt>
              </c:strCache>
            </c:strRef>
          </c:cat>
          <c:val>
            <c:numRef>
              <c:f>'10 States AggWorkings'!$C$46:$Y$46</c:f>
              <c:numCache>
                <c:formatCode>0.0</c:formatCode>
                <c:ptCount val="23"/>
                <c:pt idx="0">
                  <c:v>0</c:v>
                </c:pt>
                <c:pt idx="1">
                  <c:v>0</c:v>
                </c:pt>
                <c:pt idx="2">
                  <c:v>0</c:v>
                </c:pt>
                <c:pt idx="3">
                  <c:v>0</c:v>
                </c:pt>
                <c:pt idx="4">
                  <c:v>0</c:v>
                </c:pt>
                <c:pt idx="5">
                  <c:v>0</c:v>
                </c:pt>
                <c:pt idx="6">
                  <c:v>1.375</c:v>
                </c:pt>
                <c:pt idx="7">
                  <c:v>1.4895833333333333</c:v>
                </c:pt>
                <c:pt idx="8">
                  <c:v>1.6041666666666665</c:v>
                </c:pt>
                <c:pt idx="9">
                  <c:v>1.71875</c:v>
                </c:pt>
                <c:pt idx="10">
                  <c:v>1.833333333333333</c:v>
                </c:pt>
                <c:pt idx="11">
                  <c:v>2.0625</c:v>
                </c:pt>
                <c:pt idx="12">
                  <c:v>2.1937500000000001</c:v>
                </c:pt>
                <c:pt idx="13">
                  <c:v>2.3250000000000002</c:v>
                </c:pt>
                <c:pt idx="14">
                  <c:v>2.4562499999999998</c:v>
                </c:pt>
                <c:pt idx="15">
                  <c:v>2.5874999999999999</c:v>
                </c:pt>
                <c:pt idx="16">
                  <c:v>2.7083333333333335</c:v>
                </c:pt>
                <c:pt idx="17">
                  <c:v>2.8291666666666666</c:v>
                </c:pt>
                <c:pt idx="18">
                  <c:v>2.9499999999999997</c:v>
                </c:pt>
                <c:pt idx="19">
                  <c:v>3.0708333333333333</c:v>
                </c:pt>
                <c:pt idx="20">
                  <c:v>3.0883333333333325</c:v>
                </c:pt>
                <c:pt idx="21">
                  <c:v>3.253333333333333</c:v>
                </c:pt>
                <c:pt idx="22">
                  <c:v>3.28</c:v>
                </c:pt>
              </c:numCache>
            </c:numRef>
          </c:val>
          <c:smooth val="0"/>
        </c:ser>
        <c:ser>
          <c:idx val="1"/>
          <c:order val="1"/>
          <c:tx>
            <c:strRef>
              <c:f>'10 States AggWorkings'!$B$47</c:f>
              <c:strCache>
                <c:ptCount val="1"/>
                <c:pt idx="0">
                  <c:v>achieved</c:v>
                </c:pt>
              </c:strCache>
            </c:strRef>
          </c:tx>
          <c:spPr>
            <a:ln w="38100">
              <a:solidFill>
                <a:srgbClr val="993366"/>
              </a:solidFill>
              <a:prstDash val="solid"/>
            </a:ln>
          </c:spPr>
          <c:marker>
            <c:symbol val="none"/>
          </c:marker>
          <c:cat>
            <c:strRef>
              <c:f>'10 States AggWorkings'!$C$2:$Y$2</c:f>
              <c:strCache>
                <c:ptCount val="23"/>
                <c:pt idx="0">
                  <c:v>early                                                                 
2010</c:v>
                </c:pt>
                <c:pt idx="1">
                  <c:v>Q1</c:v>
                </c:pt>
                <c:pt idx="2">
                  <c:v>Q2</c:v>
                </c:pt>
                <c:pt idx="3">
                  <c:v>Q3</c:v>
                </c:pt>
                <c:pt idx="4">
                  <c:v>Q4</c:v>
                </c:pt>
                <c:pt idx="5">
                  <c:v>Q1</c:v>
                </c:pt>
                <c:pt idx="6">
                  <c:v>Q2                                                                 
mid 2011</c:v>
                </c:pt>
                <c:pt idx="7">
                  <c:v>Q3</c:v>
                </c:pt>
                <c:pt idx="8">
                  <c:v>Q4</c:v>
                </c:pt>
                <c:pt idx="9">
                  <c:v>Q1</c:v>
                </c:pt>
                <c:pt idx="10">
                  <c:v>Q2</c:v>
                </c:pt>
                <c:pt idx="11">
                  <c:v>Q3/4                                                                 
late 2012</c:v>
                </c:pt>
                <c:pt idx="12">
                  <c:v>Q1</c:v>
                </c:pt>
                <c:pt idx="13">
                  <c:v>Q2</c:v>
                </c:pt>
                <c:pt idx="14">
                  <c:v>Q3</c:v>
                </c:pt>
                <c:pt idx="15">
                  <c:v> Q4                                                                
late 2013</c:v>
                </c:pt>
                <c:pt idx="16">
                  <c:v>Q1</c:v>
                </c:pt>
                <c:pt idx="17">
                  <c:v>Q2</c:v>
                </c:pt>
                <c:pt idx="18">
                  <c:v>Q3</c:v>
                </c:pt>
                <c:pt idx="19">
                  <c:v>Q4</c:v>
                </c:pt>
                <c:pt idx="20">
                  <c:v>Q1</c:v>
                </c:pt>
                <c:pt idx="21">
                  <c:v>Q2</c:v>
                </c:pt>
                <c:pt idx="22">
                  <c:v>Q3                                                                 
mid 2015</c:v>
                </c:pt>
              </c:strCache>
            </c:strRef>
          </c:cat>
          <c:val>
            <c:numRef>
              <c:f>'10 States AggWorkings'!$C$47:$Y$47</c:f>
              <c:numCache>
                <c:formatCode>0.0</c:formatCode>
                <c:ptCount val="23"/>
                <c:pt idx="0">
                  <c:v>0</c:v>
                </c:pt>
                <c:pt idx="1">
                  <c:v>0.53749999999999998</c:v>
                </c:pt>
                <c:pt idx="2">
                  <c:v>0.55000000000000004</c:v>
                </c:pt>
                <c:pt idx="3">
                  <c:v>0.5625</c:v>
                </c:pt>
                <c:pt idx="4">
                  <c:v>0.58750000000000002</c:v>
                </c:pt>
                <c:pt idx="5">
                  <c:v>0.57499999999999996</c:v>
                </c:pt>
                <c:pt idx="6">
                  <c:v>0.92500000000000004</c:v>
                </c:pt>
                <c:pt idx="7">
                  <c:v>0.89999999999999991</c:v>
                </c:pt>
                <c:pt idx="8">
                  <c:v>0.89999999999999991</c:v>
                </c:pt>
                <c:pt idx="9">
                  <c:v>1.25</c:v>
                </c:pt>
                <c:pt idx="10">
                  <c:v>1.375</c:v>
                </c:pt>
                <c:pt idx="11">
                  <c:v>2.1500000000000004</c:v>
                </c:pt>
                <c:pt idx="12">
                  <c:v>2.3125</c:v>
                </c:pt>
                <c:pt idx="13">
                  <c:v>2.4375</c:v>
                </c:pt>
                <c:pt idx="14">
                  <c:v>2.7250000000000001</c:v>
                </c:pt>
                <c:pt idx="15">
                  <c:v>2.5750000000000002</c:v>
                </c:pt>
                <c:pt idx="16">
                  <c:v>2.9624999999999999</c:v>
                </c:pt>
                <c:pt idx="17">
                  <c:v>3.125</c:v>
                </c:pt>
                <c:pt idx="18">
                  <c:v>3.5462499999999997</c:v>
                </c:pt>
                <c:pt idx="19">
                  <c:v>3.6287499999999997</c:v>
                </c:pt>
                <c:pt idx="20">
                  <c:v>3.3133333333333335</c:v>
                </c:pt>
                <c:pt idx="21">
                  <c:v>3.46</c:v>
                </c:pt>
                <c:pt idx="22">
                  <c:v>0</c:v>
                </c:pt>
              </c:numCache>
            </c:numRef>
          </c:val>
          <c:smooth val="0"/>
        </c:ser>
        <c:dLbls>
          <c:showLegendKey val="0"/>
          <c:showVal val="0"/>
          <c:showCatName val="0"/>
          <c:showSerName val="0"/>
          <c:showPercent val="0"/>
          <c:showBubbleSize val="0"/>
        </c:dLbls>
        <c:marker val="1"/>
        <c:smooth val="0"/>
        <c:axId val="111221760"/>
        <c:axId val="111235840"/>
      </c:lineChart>
      <c:catAx>
        <c:axId val="111221760"/>
        <c:scaling>
          <c:orientation val="minMax"/>
        </c:scaling>
        <c:delete val="0"/>
        <c:axPos val="b"/>
        <c:majorGridlines>
          <c:spPr>
            <a:ln w="3175">
              <a:solidFill>
                <a:srgbClr val="808080"/>
              </a:solidFill>
              <a:prstDash val="solid"/>
            </a:ln>
          </c:spPr>
        </c:majorGridlines>
        <c:numFmt formatCode="General" sourceLinked="1"/>
        <c:majorTickMark val="out"/>
        <c:minorTickMark val="none"/>
        <c:tickLblPos val="nextTo"/>
        <c:spPr>
          <a:ln w="3175">
            <a:solidFill>
              <a:srgbClr val="808080"/>
            </a:solidFill>
            <a:prstDash val="solid"/>
          </a:ln>
        </c:spPr>
        <c:txPr>
          <a:bodyPr rot="0" vert="horz"/>
          <a:lstStyle/>
          <a:p>
            <a:pPr>
              <a:defRPr sz="900" b="0" i="0" u="none" strike="noStrike" baseline="0">
                <a:solidFill>
                  <a:srgbClr val="666699"/>
                </a:solidFill>
                <a:latin typeface="Calibri"/>
                <a:ea typeface="Calibri"/>
                <a:cs typeface="Calibri"/>
              </a:defRPr>
            </a:pPr>
            <a:endParaRPr lang="en-US"/>
          </a:p>
        </c:txPr>
        <c:crossAx val="111235840"/>
        <c:crosses val="autoZero"/>
        <c:auto val="1"/>
        <c:lblAlgn val="ctr"/>
        <c:lblOffset val="100"/>
        <c:noMultiLvlLbl val="0"/>
      </c:catAx>
      <c:valAx>
        <c:axId val="111235840"/>
        <c:scaling>
          <c:orientation val="minMax"/>
          <c:max val="5"/>
        </c:scaling>
        <c:delete val="0"/>
        <c:axPos val="l"/>
        <c:majorGridlines>
          <c:spPr>
            <a:ln w="3175">
              <a:solidFill>
                <a:srgbClr val="808080"/>
              </a:solidFill>
              <a:prstDash val="solid"/>
            </a:ln>
          </c:spPr>
        </c:majorGridlines>
        <c:numFmt formatCode="0.0" sourceLinked="1"/>
        <c:majorTickMark val="out"/>
        <c:minorTickMark val="none"/>
        <c:tickLblPos val="nextTo"/>
        <c:spPr>
          <a:ln w="3175">
            <a:solidFill>
              <a:srgbClr val="808080"/>
            </a:solidFill>
            <a:prstDash val="solid"/>
          </a:ln>
        </c:spPr>
        <c:txPr>
          <a:bodyPr rot="0" vert="horz"/>
          <a:lstStyle/>
          <a:p>
            <a:pPr>
              <a:defRPr sz="900" b="0" i="0" u="none" strike="noStrike" baseline="0">
                <a:solidFill>
                  <a:srgbClr val="666699"/>
                </a:solidFill>
                <a:latin typeface="Calibri"/>
                <a:ea typeface="Calibri"/>
                <a:cs typeface="Calibri"/>
              </a:defRPr>
            </a:pPr>
            <a:endParaRPr lang="en-US"/>
          </a:p>
        </c:txPr>
        <c:crossAx val="111221760"/>
        <c:crosses val="autoZero"/>
        <c:crossBetween val="midCat"/>
      </c:valAx>
      <c:spPr>
        <a:solidFill>
          <a:srgbClr val="FFFFFF"/>
        </a:solidFill>
        <a:ln w="25400">
          <a:noFill/>
        </a:ln>
      </c:spPr>
    </c:plotArea>
    <c:legend>
      <c:legendPos val="r"/>
      <c:layout>
        <c:manualLayout>
          <c:xMode val="edge"/>
          <c:yMode val="edge"/>
          <c:x val="0.890365448504983"/>
          <c:y val="0.39925336763445202"/>
          <c:w val="9.1362126245847206E-2"/>
          <c:h val="0.130596895955195"/>
        </c:manualLayout>
      </c:layout>
      <c:overlay val="0"/>
      <c:spPr>
        <a:noFill/>
        <a:ln w="25400">
          <a:noFill/>
        </a:ln>
      </c:spPr>
      <c:txPr>
        <a:bodyPr/>
        <a:lstStyle/>
        <a:p>
          <a:pPr>
            <a:defRPr sz="690" b="0" i="0" u="none" strike="noStrike" baseline="0">
              <a:solidFill>
                <a:srgbClr val="666699"/>
              </a:solidFill>
              <a:latin typeface="Calibri"/>
              <a:ea typeface="Calibri"/>
              <a:cs typeface="Calibri"/>
            </a:defRPr>
          </a:pPr>
          <a:endParaRPr lang="en-US"/>
        </a:p>
      </c:txPr>
    </c:legend>
    <c:plotVisOnly val="1"/>
    <c:dispBlanksAs val="gap"/>
    <c:showDLblsOverMax val="0"/>
  </c:chart>
  <c:spPr>
    <a:solidFill>
      <a:srgbClr val="B9CDE5"/>
    </a:solidFill>
    <a:ln w="9525">
      <a:noFill/>
    </a:ln>
  </c:spPr>
  <c:txPr>
    <a:bodyPr/>
    <a:lstStyle/>
    <a:p>
      <a:pPr>
        <a:defRPr sz="900" b="0" i="0" u="none" strike="noStrike" baseline="0">
          <a:solidFill>
            <a:srgbClr val="666699"/>
          </a:solidFill>
          <a:latin typeface="Calibri"/>
          <a:ea typeface="Calibri"/>
          <a:cs typeface="Calibri"/>
        </a:defRPr>
      </a:pPr>
      <a:endParaRPr lang="en-US"/>
    </a:p>
  </c:txPr>
  <c:printSettings>
    <c:headerFooter/>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4.5855162381445803E-2"/>
          <c:y val="3.34210526315789E-2"/>
          <c:w val="0.80402559843072496"/>
          <c:h val="0.83917076023391801"/>
        </c:manualLayout>
      </c:layout>
      <c:lineChart>
        <c:grouping val="standard"/>
        <c:varyColors val="0"/>
        <c:ser>
          <c:idx val="0"/>
          <c:order val="0"/>
          <c:tx>
            <c:strRef>
              <c:f>'10 States AggWorkings'!$B$52</c:f>
              <c:strCache>
                <c:ptCount val="1"/>
                <c:pt idx="0">
                  <c:v>planned</c:v>
                </c:pt>
              </c:strCache>
            </c:strRef>
          </c:tx>
          <c:spPr>
            <a:ln w="38100">
              <a:solidFill>
                <a:srgbClr val="666699"/>
              </a:solidFill>
              <a:prstDash val="solid"/>
            </a:ln>
          </c:spPr>
          <c:marker>
            <c:symbol val="none"/>
          </c:marker>
          <c:cat>
            <c:strRef>
              <c:f>'10 States AggWorkings'!$C$2:$Y$2</c:f>
              <c:strCache>
                <c:ptCount val="23"/>
                <c:pt idx="0">
                  <c:v>early                                                                 
2010</c:v>
                </c:pt>
                <c:pt idx="1">
                  <c:v>Q1</c:v>
                </c:pt>
                <c:pt idx="2">
                  <c:v>Q2</c:v>
                </c:pt>
                <c:pt idx="3">
                  <c:v>Q3</c:v>
                </c:pt>
                <c:pt idx="4">
                  <c:v>Q4</c:v>
                </c:pt>
                <c:pt idx="5">
                  <c:v>Q1</c:v>
                </c:pt>
                <c:pt idx="6">
                  <c:v>Q2                                                                 
mid 2011</c:v>
                </c:pt>
                <c:pt idx="7">
                  <c:v>Q3</c:v>
                </c:pt>
                <c:pt idx="8">
                  <c:v>Q4</c:v>
                </c:pt>
                <c:pt idx="9">
                  <c:v>Q1</c:v>
                </c:pt>
                <c:pt idx="10">
                  <c:v>Q2</c:v>
                </c:pt>
                <c:pt idx="11">
                  <c:v>Q3/4                                                                 
late 2012</c:v>
                </c:pt>
                <c:pt idx="12">
                  <c:v>Q1</c:v>
                </c:pt>
                <c:pt idx="13">
                  <c:v>Q2</c:v>
                </c:pt>
                <c:pt idx="14">
                  <c:v>Q3</c:v>
                </c:pt>
                <c:pt idx="15">
                  <c:v> Q4                                                                
late 2013</c:v>
                </c:pt>
                <c:pt idx="16">
                  <c:v>Q1</c:v>
                </c:pt>
                <c:pt idx="17">
                  <c:v>Q2</c:v>
                </c:pt>
                <c:pt idx="18">
                  <c:v>Q3</c:v>
                </c:pt>
                <c:pt idx="19">
                  <c:v>Q4</c:v>
                </c:pt>
                <c:pt idx="20">
                  <c:v>Q1</c:v>
                </c:pt>
                <c:pt idx="21">
                  <c:v>Q2</c:v>
                </c:pt>
                <c:pt idx="22">
                  <c:v>Q3                                                                 
mid 2015</c:v>
                </c:pt>
              </c:strCache>
            </c:strRef>
          </c:cat>
          <c:val>
            <c:numRef>
              <c:f>'10 States AggWorkings'!$C$52:$Y$52</c:f>
              <c:numCache>
                <c:formatCode>0.0</c:formatCode>
                <c:ptCount val="23"/>
                <c:pt idx="0">
                  <c:v>0</c:v>
                </c:pt>
                <c:pt idx="1">
                  <c:v>0</c:v>
                </c:pt>
                <c:pt idx="2">
                  <c:v>0</c:v>
                </c:pt>
                <c:pt idx="3">
                  <c:v>0</c:v>
                </c:pt>
                <c:pt idx="4">
                  <c:v>0</c:v>
                </c:pt>
                <c:pt idx="5">
                  <c:v>0</c:v>
                </c:pt>
                <c:pt idx="6">
                  <c:v>1.4375</c:v>
                </c:pt>
                <c:pt idx="7">
                  <c:v>1.5104166666666665</c:v>
                </c:pt>
                <c:pt idx="8">
                  <c:v>1.5833333333333333</c:v>
                </c:pt>
                <c:pt idx="9">
                  <c:v>1.65625</c:v>
                </c:pt>
                <c:pt idx="10">
                  <c:v>1.7291666666666665</c:v>
                </c:pt>
                <c:pt idx="11">
                  <c:v>1.875</c:v>
                </c:pt>
                <c:pt idx="12">
                  <c:v>2.03125</c:v>
                </c:pt>
                <c:pt idx="13">
                  <c:v>2.1875</c:v>
                </c:pt>
                <c:pt idx="14">
                  <c:v>2.34375</c:v>
                </c:pt>
                <c:pt idx="15">
                  <c:v>2.5</c:v>
                </c:pt>
                <c:pt idx="16">
                  <c:v>2.625</c:v>
                </c:pt>
                <c:pt idx="17">
                  <c:v>2.75</c:v>
                </c:pt>
                <c:pt idx="18">
                  <c:v>2.875</c:v>
                </c:pt>
                <c:pt idx="19">
                  <c:v>3</c:v>
                </c:pt>
                <c:pt idx="20">
                  <c:v>2.9616666666666669</c:v>
                </c:pt>
                <c:pt idx="21">
                  <c:v>3.1333333333333337</c:v>
                </c:pt>
                <c:pt idx="22">
                  <c:v>3.16</c:v>
                </c:pt>
              </c:numCache>
            </c:numRef>
          </c:val>
          <c:smooth val="0"/>
        </c:ser>
        <c:ser>
          <c:idx val="1"/>
          <c:order val="1"/>
          <c:tx>
            <c:strRef>
              <c:f>'10 States AggWorkings'!$B$53</c:f>
              <c:strCache>
                <c:ptCount val="1"/>
                <c:pt idx="0">
                  <c:v>achieved</c:v>
                </c:pt>
              </c:strCache>
            </c:strRef>
          </c:tx>
          <c:spPr>
            <a:ln w="38100">
              <a:solidFill>
                <a:srgbClr val="993366"/>
              </a:solidFill>
              <a:prstDash val="solid"/>
            </a:ln>
          </c:spPr>
          <c:marker>
            <c:symbol val="none"/>
          </c:marker>
          <c:cat>
            <c:strRef>
              <c:f>'10 States AggWorkings'!$C$2:$Y$2</c:f>
              <c:strCache>
                <c:ptCount val="23"/>
                <c:pt idx="0">
                  <c:v>early                                                                 
2010</c:v>
                </c:pt>
                <c:pt idx="1">
                  <c:v>Q1</c:v>
                </c:pt>
                <c:pt idx="2">
                  <c:v>Q2</c:v>
                </c:pt>
                <c:pt idx="3">
                  <c:v>Q3</c:v>
                </c:pt>
                <c:pt idx="4">
                  <c:v>Q4</c:v>
                </c:pt>
                <c:pt idx="5">
                  <c:v>Q1</c:v>
                </c:pt>
                <c:pt idx="6">
                  <c:v>Q2                                                                 
mid 2011</c:v>
                </c:pt>
                <c:pt idx="7">
                  <c:v>Q3</c:v>
                </c:pt>
                <c:pt idx="8">
                  <c:v>Q4</c:v>
                </c:pt>
                <c:pt idx="9">
                  <c:v>Q1</c:v>
                </c:pt>
                <c:pt idx="10">
                  <c:v>Q2</c:v>
                </c:pt>
                <c:pt idx="11">
                  <c:v>Q3/4                                                                 
late 2012</c:v>
                </c:pt>
                <c:pt idx="12">
                  <c:v>Q1</c:v>
                </c:pt>
                <c:pt idx="13">
                  <c:v>Q2</c:v>
                </c:pt>
                <c:pt idx="14">
                  <c:v>Q3</c:v>
                </c:pt>
                <c:pt idx="15">
                  <c:v> Q4                                                                
late 2013</c:v>
                </c:pt>
                <c:pt idx="16">
                  <c:v>Q1</c:v>
                </c:pt>
                <c:pt idx="17">
                  <c:v>Q2</c:v>
                </c:pt>
                <c:pt idx="18">
                  <c:v>Q3</c:v>
                </c:pt>
                <c:pt idx="19">
                  <c:v>Q4</c:v>
                </c:pt>
                <c:pt idx="20">
                  <c:v>Q1</c:v>
                </c:pt>
                <c:pt idx="21">
                  <c:v>Q2</c:v>
                </c:pt>
                <c:pt idx="22">
                  <c:v>Q3                                                                 
mid 2015</c:v>
                </c:pt>
              </c:strCache>
            </c:strRef>
          </c:cat>
          <c:val>
            <c:numRef>
              <c:f>'10 States AggWorkings'!$C$53:$Y$53</c:f>
              <c:numCache>
                <c:formatCode>0.0</c:formatCode>
                <c:ptCount val="23"/>
                <c:pt idx="0">
                  <c:v>0</c:v>
                </c:pt>
                <c:pt idx="1">
                  <c:v>0.65</c:v>
                </c:pt>
                <c:pt idx="2">
                  <c:v>0.65</c:v>
                </c:pt>
                <c:pt idx="3">
                  <c:v>0.66250000000000009</c:v>
                </c:pt>
                <c:pt idx="4">
                  <c:v>0.66250000000000009</c:v>
                </c:pt>
                <c:pt idx="5">
                  <c:v>0.67500000000000004</c:v>
                </c:pt>
                <c:pt idx="6">
                  <c:v>0.75</c:v>
                </c:pt>
                <c:pt idx="7">
                  <c:v>0.96250000000000002</c:v>
                </c:pt>
                <c:pt idx="8">
                  <c:v>0.96250000000000002</c:v>
                </c:pt>
                <c:pt idx="9">
                  <c:v>1.25</c:v>
                </c:pt>
                <c:pt idx="10">
                  <c:v>1.2625</c:v>
                </c:pt>
                <c:pt idx="11">
                  <c:v>1.9375</c:v>
                </c:pt>
                <c:pt idx="12">
                  <c:v>2.1</c:v>
                </c:pt>
                <c:pt idx="13">
                  <c:v>2.2374999999999998</c:v>
                </c:pt>
                <c:pt idx="14">
                  <c:v>2.5374999999999996</c:v>
                </c:pt>
                <c:pt idx="15">
                  <c:v>2.6500000000000004</c:v>
                </c:pt>
                <c:pt idx="16">
                  <c:v>3.0624999999999996</c:v>
                </c:pt>
                <c:pt idx="17">
                  <c:v>2.8250000000000002</c:v>
                </c:pt>
                <c:pt idx="18">
                  <c:v>3.4274999999999998</c:v>
                </c:pt>
                <c:pt idx="19">
                  <c:v>3.65625</c:v>
                </c:pt>
                <c:pt idx="20">
                  <c:v>3.2250000000000001</c:v>
                </c:pt>
                <c:pt idx="21">
                  <c:v>3.38</c:v>
                </c:pt>
                <c:pt idx="22">
                  <c:v>0</c:v>
                </c:pt>
              </c:numCache>
            </c:numRef>
          </c:val>
          <c:smooth val="0"/>
        </c:ser>
        <c:dLbls>
          <c:showLegendKey val="0"/>
          <c:showVal val="0"/>
          <c:showCatName val="0"/>
          <c:showSerName val="0"/>
          <c:showPercent val="0"/>
          <c:showBubbleSize val="0"/>
        </c:dLbls>
        <c:marker val="1"/>
        <c:smooth val="0"/>
        <c:axId val="111264896"/>
        <c:axId val="111266432"/>
      </c:lineChart>
      <c:catAx>
        <c:axId val="111264896"/>
        <c:scaling>
          <c:orientation val="minMax"/>
        </c:scaling>
        <c:delete val="0"/>
        <c:axPos val="b"/>
        <c:majorGridlines>
          <c:spPr>
            <a:ln w="3175">
              <a:solidFill>
                <a:srgbClr val="808080"/>
              </a:solidFill>
              <a:prstDash val="solid"/>
            </a:ln>
          </c:spPr>
        </c:majorGridlines>
        <c:numFmt formatCode="General" sourceLinked="1"/>
        <c:majorTickMark val="out"/>
        <c:minorTickMark val="none"/>
        <c:tickLblPos val="nextTo"/>
        <c:spPr>
          <a:ln w="3175">
            <a:solidFill>
              <a:srgbClr val="808080"/>
            </a:solidFill>
            <a:prstDash val="solid"/>
          </a:ln>
        </c:spPr>
        <c:txPr>
          <a:bodyPr rot="0" vert="horz"/>
          <a:lstStyle/>
          <a:p>
            <a:pPr>
              <a:defRPr sz="900" b="0" i="0" u="none" strike="noStrike" baseline="0">
                <a:solidFill>
                  <a:srgbClr val="666699"/>
                </a:solidFill>
                <a:latin typeface="Calibri"/>
                <a:ea typeface="Calibri"/>
                <a:cs typeface="Calibri"/>
              </a:defRPr>
            </a:pPr>
            <a:endParaRPr lang="en-US"/>
          </a:p>
        </c:txPr>
        <c:crossAx val="111266432"/>
        <c:crosses val="autoZero"/>
        <c:auto val="1"/>
        <c:lblAlgn val="ctr"/>
        <c:lblOffset val="100"/>
        <c:noMultiLvlLbl val="0"/>
      </c:catAx>
      <c:valAx>
        <c:axId val="111266432"/>
        <c:scaling>
          <c:orientation val="minMax"/>
          <c:max val="5"/>
        </c:scaling>
        <c:delete val="0"/>
        <c:axPos val="l"/>
        <c:majorGridlines>
          <c:spPr>
            <a:ln w="3175">
              <a:solidFill>
                <a:srgbClr val="808080"/>
              </a:solidFill>
              <a:prstDash val="solid"/>
            </a:ln>
          </c:spPr>
        </c:majorGridlines>
        <c:numFmt formatCode="0.0" sourceLinked="1"/>
        <c:majorTickMark val="out"/>
        <c:minorTickMark val="none"/>
        <c:tickLblPos val="nextTo"/>
        <c:spPr>
          <a:ln w="3175">
            <a:solidFill>
              <a:srgbClr val="808080"/>
            </a:solidFill>
            <a:prstDash val="solid"/>
          </a:ln>
        </c:spPr>
        <c:txPr>
          <a:bodyPr rot="0" vert="horz"/>
          <a:lstStyle/>
          <a:p>
            <a:pPr>
              <a:defRPr sz="900" b="0" i="0" u="none" strike="noStrike" baseline="0">
                <a:solidFill>
                  <a:srgbClr val="666699"/>
                </a:solidFill>
                <a:latin typeface="Calibri"/>
                <a:ea typeface="Calibri"/>
                <a:cs typeface="Calibri"/>
              </a:defRPr>
            </a:pPr>
            <a:endParaRPr lang="en-US"/>
          </a:p>
        </c:txPr>
        <c:crossAx val="111264896"/>
        <c:crosses val="autoZero"/>
        <c:crossBetween val="midCat"/>
      </c:valAx>
      <c:spPr>
        <a:solidFill>
          <a:srgbClr val="FFFFFF"/>
        </a:solidFill>
        <a:ln w="25400">
          <a:noFill/>
        </a:ln>
      </c:spPr>
    </c:plotArea>
    <c:legend>
      <c:legendPos val="r"/>
      <c:layout>
        <c:manualLayout>
          <c:xMode val="edge"/>
          <c:yMode val="edge"/>
          <c:x val="0.88851877383772204"/>
          <c:y val="0.39925336763445202"/>
          <c:w val="9.1514105919615604E-2"/>
          <c:h val="0.130596895955195"/>
        </c:manualLayout>
      </c:layout>
      <c:overlay val="0"/>
      <c:spPr>
        <a:noFill/>
        <a:ln w="25400">
          <a:noFill/>
        </a:ln>
      </c:spPr>
      <c:txPr>
        <a:bodyPr/>
        <a:lstStyle/>
        <a:p>
          <a:pPr>
            <a:defRPr sz="690" b="0" i="0" u="none" strike="noStrike" baseline="0">
              <a:solidFill>
                <a:srgbClr val="666699"/>
              </a:solidFill>
              <a:latin typeface="Calibri"/>
              <a:ea typeface="Calibri"/>
              <a:cs typeface="Calibri"/>
            </a:defRPr>
          </a:pPr>
          <a:endParaRPr lang="en-US"/>
        </a:p>
      </c:txPr>
    </c:legend>
    <c:plotVisOnly val="1"/>
    <c:dispBlanksAs val="gap"/>
    <c:showDLblsOverMax val="0"/>
  </c:chart>
  <c:spPr>
    <a:solidFill>
      <a:srgbClr val="B9CDE5"/>
    </a:solidFill>
    <a:ln w="9525">
      <a:noFill/>
    </a:ln>
  </c:spPr>
  <c:txPr>
    <a:bodyPr/>
    <a:lstStyle/>
    <a:p>
      <a:pPr>
        <a:defRPr sz="900" b="0" i="0" u="none" strike="noStrike" baseline="0">
          <a:solidFill>
            <a:srgbClr val="666699"/>
          </a:solidFill>
          <a:latin typeface="Calibri"/>
          <a:ea typeface="Calibri"/>
          <a:cs typeface="Calibri"/>
        </a:defRPr>
      </a:pPr>
      <a:endParaRPr lang="en-US"/>
    </a:p>
  </c:txPr>
  <c:printSettings>
    <c:headerFooter/>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4.2501333279108697E-2"/>
          <c:y val="3.34210526315789E-2"/>
          <c:w val="0.80737942753306202"/>
          <c:h val="0.83917076023391801"/>
        </c:manualLayout>
      </c:layout>
      <c:lineChart>
        <c:grouping val="standard"/>
        <c:varyColors val="0"/>
        <c:ser>
          <c:idx val="0"/>
          <c:order val="0"/>
          <c:tx>
            <c:strRef>
              <c:f>'10 States AggWorkings'!$B$58</c:f>
              <c:strCache>
                <c:ptCount val="1"/>
                <c:pt idx="0">
                  <c:v>planned</c:v>
                </c:pt>
              </c:strCache>
            </c:strRef>
          </c:tx>
          <c:spPr>
            <a:ln w="38100">
              <a:solidFill>
                <a:srgbClr val="666699"/>
              </a:solidFill>
              <a:prstDash val="solid"/>
            </a:ln>
          </c:spPr>
          <c:marker>
            <c:symbol val="none"/>
          </c:marker>
          <c:cat>
            <c:strRef>
              <c:f>'10 States AggWorkings'!$C$2:$Y$2</c:f>
              <c:strCache>
                <c:ptCount val="23"/>
                <c:pt idx="0">
                  <c:v>early                                                                 
2010</c:v>
                </c:pt>
                <c:pt idx="1">
                  <c:v>Q1</c:v>
                </c:pt>
                <c:pt idx="2">
                  <c:v>Q2</c:v>
                </c:pt>
                <c:pt idx="3">
                  <c:v>Q3</c:v>
                </c:pt>
                <c:pt idx="4">
                  <c:v>Q4</c:v>
                </c:pt>
                <c:pt idx="5">
                  <c:v>Q1</c:v>
                </c:pt>
                <c:pt idx="6">
                  <c:v>Q2                                                                 
mid 2011</c:v>
                </c:pt>
                <c:pt idx="7">
                  <c:v>Q3</c:v>
                </c:pt>
                <c:pt idx="8">
                  <c:v>Q4</c:v>
                </c:pt>
                <c:pt idx="9">
                  <c:v>Q1</c:v>
                </c:pt>
                <c:pt idx="10">
                  <c:v>Q2</c:v>
                </c:pt>
                <c:pt idx="11">
                  <c:v>Q3/4                                                                 
late 2012</c:v>
                </c:pt>
                <c:pt idx="12">
                  <c:v>Q1</c:v>
                </c:pt>
                <c:pt idx="13">
                  <c:v>Q2</c:v>
                </c:pt>
                <c:pt idx="14">
                  <c:v>Q3</c:v>
                </c:pt>
                <c:pt idx="15">
                  <c:v> Q4                                                                
late 2013</c:v>
                </c:pt>
                <c:pt idx="16">
                  <c:v>Q1</c:v>
                </c:pt>
                <c:pt idx="17">
                  <c:v>Q2</c:v>
                </c:pt>
                <c:pt idx="18">
                  <c:v>Q3</c:v>
                </c:pt>
                <c:pt idx="19">
                  <c:v>Q4</c:v>
                </c:pt>
                <c:pt idx="20">
                  <c:v>Q1</c:v>
                </c:pt>
                <c:pt idx="21">
                  <c:v>Q2</c:v>
                </c:pt>
                <c:pt idx="22">
                  <c:v>Q3                                                                 
mid 2015</c:v>
                </c:pt>
              </c:strCache>
            </c:strRef>
          </c:cat>
          <c:val>
            <c:numRef>
              <c:f>'10 States AggWorkings'!$C$58:$Y$58</c:f>
              <c:numCache>
                <c:formatCode>0</c:formatCode>
                <c:ptCount val="23"/>
                <c:pt idx="0" formatCode="0.0">
                  <c:v>0</c:v>
                </c:pt>
                <c:pt idx="1">
                  <c:v>0</c:v>
                </c:pt>
                <c:pt idx="2">
                  <c:v>0</c:v>
                </c:pt>
                <c:pt idx="3">
                  <c:v>0</c:v>
                </c:pt>
                <c:pt idx="4">
                  <c:v>0</c:v>
                </c:pt>
                <c:pt idx="5">
                  <c:v>0</c:v>
                </c:pt>
                <c:pt idx="6">
                  <c:v>7</c:v>
                </c:pt>
                <c:pt idx="7">
                  <c:v>8.1666666666666661</c:v>
                </c:pt>
                <c:pt idx="8">
                  <c:v>9.3333333333333321</c:v>
                </c:pt>
                <c:pt idx="9">
                  <c:v>10.5</c:v>
                </c:pt>
                <c:pt idx="10">
                  <c:v>11.666666666666668</c:v>
                </c:pt>
                <c:pt idx="11">
                  <c:v>14</c:v>
                </c:pt>
                <c:pt idx="12">
                  <c:v>16.75</c:v>
                </c:pt>
                <c:pt idx="13">
                  <c:v>19.5</c:v>
                </c:pt>
                <c:pt idx="14">
                  <c:v>22.25</c:v>
                </c:pt>
                <c:pt idx="15">
                  <c:v>25</c:v>
                </c:pt>
                <c:pt idx="16">
                  <c:v>27.833333333333329</c:v>
                </c:pt>
                <c:pt idx="17">
                  <c:v>30.666666666666668</c:v>
                </c:pt>
                <c:pt idx="18">
                  <c:v>33.5</c:v>
                </c:pt>
                <c:pt idx="19">
                  <c:v>36.333333333333329</c:v>
                </c:pt>
                <c:pt idx="20">
                  <c:v>49.166666666666664</c:v>
                </c:pt>
                <c:pt idx="21">
                  <c:v>54</c:v>
                </c:pt>
                <c:pt idx="22">
                  <c:v>54</c:v>
                </c:pt>
              </c:numCache>
            </c:numRef>
          </c:val>
          <c:smooth val="0"/>
        </c:ser>
        <c:ser>
          <c:idx val="1"/>
          <c:order val="1"/>
          <c:tx>
            <c:strRef>
              <c:f>'10 States AggWorkings'!$B$59</c:f>
              <c:strCache>
                <c:ptCount val="1"/>
                <c:pt idx="0">
                  <c:v>achieved</c:v>
                </c:pt>
              </c:strCache>
            </c:strRef>
          </c:tx>
          <c:spPr>
            <a:ln w="38100">
              <a:solidFill>
                <a:srgbClr val="993366"/>
              </a:solidFill>
              <a:prstDash val="solid"/>
            </a:ln>
          </c:spPr>
          <c:marker>
            <c:symbol val="none"/>
          </c:marker>
          <c:cat>
            <c:strRef>
              <c:f>'10 States AggWorkings'!$C$2:$Y$2</c:f>
              <c:strCache>
                <c:ptCount val="23"/>
                <c:pt idx="0">
                  <c:v>early                                                                 
2010</c:v>
                </c:pt>
                <c:pt idx="1">
                  <c:v>Q1</c:v>
                </c:pt>
                <c:pt idx="2">
                  <c:v>Q2</c:v>
                </c:pt>
                <c:pt idx="3">
                  <c:v>Q3</c:v>
                </c:pt>
                <c:pt idx="4">
                  <c:v>Q4</c:v>
                </c:pt>
                <c:pt idx="5">
                  <c:v>Q1</c:v>
                </c:pt>
                <c:pt idx="6">
                  <c:v>Q2                                                                 
mid 2011</c:v>
                </c:pt>
                <c:pt idx="7">
                  <c:v>Q3</c:v>
                </c:pt>
                <c:pt idx="8">
                  <c:v>Q4</c:v>
                </c:pt>
                <c:pt idx="9">
                  <c:v>Q1</c:v>
                </c:pt>
                <c:pt idx="10">
                  <c:v>Q2</c:v>
                </c:pt>
                <c:pt idx="11">
                  <c:v>Q3/4                                                                 
late 2012</c:v>
                </c:pt>
                <c:pt idx="12">
                  <c:v>Q1</c:v>
                </c:pt>
                <c:pt idx="13">
                  <c:v>Q2</c:v>
                </c:pt>
                <c:pt idx="14">
                  <c:v>Q3</c:v>
                </c:pt>
                <c:pt idx="15">
                  <c:v> Q4                                                                
late 2013</c:v>
                </c:pt>
                <c:pt idx="16">
                  <c:v>Q1</c:v>
                </c:pt>
                <c:pt idx="17">
                  <c:v>Q2</c:v>
                </c:pt>
                <c:pt idx="18">
                  <c:v>Q3</c:v>
                </c:pt>
                <c:pt idx="19">
                  <c:v>Q4</c:v>
                </c:pt>
                <c:pt idx="20">
                  <c:v>Q1</c:v>
                </c:pt>
                <c:pt idx="21">
                  <c:v>Q2</c:v>
                </c:pt>
                <c:pt idx="22">
                  <c:v>Q3                                                                 
mid 2015</c:v>
                </c:pt>
              </c:strCache>
            </c:strRef>
          </c:cat>
          <c:val>
            <c:numRef>
              <c:f>'10 States AggWorkings'!$C$59:$Y$59</c:f>
              <c:numCache>
                <c:formatCode>0</c:formatCode>
                <c:ptCount val="23"/>
                <c:pt idx="0" formatCode="0.0">
                  <c:v>0</c:v>
                </c:pt>
                <c:pt idx="1">
                  <c:v>0</c:v>
                </c:pt>
                <c:pt idx="2">
                  <c:v>0</c:v>
                </c:pt>
                <c:pt idx="3">
                  <c:v>0</c:v>
                </c:pt>
                <c:pt idx="4">
                  <c:v>0</c:v>
                </c:pt>
                <c:pt idx="5">
                  <c:v>0</c:v>
                </c:pt>
                <c:pt idx="6">
                  <c:v>0</c:v>
                </c:pt>
                <c:pt idx="7">
                  <c:v>0</c:v>
                </c:pt>
                <c:pt idx="8">
                  <c:v>0</c:v>
                </c:pt>
                <c:pt idx="9">
                  <c:v>19</c:v>
                </c:pt>
                <c:pt idx="10">
                  <c:v>20</c:v>
                </c:pt>
                <c:pt idx="11">
                  <c:v>16</c:v>
                </c:pt>
                <c:pt idx="12">
                  <c:v>20</c:v>
                </c:pt>
                <c:pt idx="13">
                  <c:v>35</c:v>
                </c:pt>
                <c:pt idx="14">
                  <c:v>29</c:v>
                </c:pt>
                <c:pt idx="15">
                  <c:v>39</c:v>
                </c:pt>
                <c:pt idx="16">
                  <c:v>44</c:v>
                </c:pt>
                <c:pt idx="17">
                  <c:v>51</c:v>
                </c:pt>
                <c:pt idx="18">
                  <c:v>62</c:v>
                </c:pt>
                <c:pt idx="19">
                  <c:v>59</c:v>
                </c:pt>
                <c:pt idx="20">
                  <c:v>59</c:v>
                </c:pt>
                <c:pt idx="21">
                  <c:v>62</c:v>
                </c:pt>
                <c:pt idx="22">
                  <c:v>0</c:v>
                </c:pt>
              </c:numCache>
            </c:numRef>
          </c:val>
          <c:smooth val="0"/>
        </c:ser>
        <c:dLbls>
          <c:showLegendKey val="0"/>
          <c:showVal val="0"/>
          <c:showCatName val="0"/>
          <c:showSerName val="0"/>
          <c:showPercent val="0"/>
          <c:showBubbleSize val="0"/>
        </c:dLbls>
        <c:marker val="1"/>
        <c:smooth val="0"/>
        <c:axId val="111356928"/>
        <c:axId val="111366912"/>
      </c:lineChart>
      <c:catAx>
        <c:axId val="111356928"/>
        <c:scaling>
          <c:orientation val="minMax"/>
        </c:scaling>
        <c:delete val="0"/>
        <c:axPos val="b"/>
        <c:majorGridlines>
          <c:spPr>
            <a:ln w="3175">
              <a:solidFill>
                <a:srgbClr val="808080"/>
              </a:solidFill>
              <a:prstDash val="solid"/>
            </a:ln>
          </c:spPr>
        </c:majorGridlines>
        <c:numFmt formatCode="General" sourceLinked="1"/>
        <c:majorTickMark val="out"/>
        <c:minorTickMark val="none"/>
        <c:tickLblPos val="nextTo"/>
        <c:spPr>
          <a:ln w="3175">
            <a:solidFill>
              <a:srgbClr val="808080"/>
            </a:solidFill>
            <a:prstDash val="solid"/>
          </a:ln>
        </c:spPr>
        <c:txPr>
          <a:bodyPr rot="0" vert="horz"/>
          <a:lstStyle/>
          <a:p>
            <a:pPr>
              <a:defRPr sz="900" b="0" i="0" u="none" strike="noStrike" baseline="0">
                <a:solidFill>
                  <a:srgbClr val="666699"/>
                </a:solidFill>
                <a:latin typeface="Calibri"/>
                <a:ea typeface="Calibri"/>
                <a:cs typeface="Calibri"/>
              </a:defRPr>
            </a:pPr>
            <a:endParaRPr lang="en-US"/>
          </a:p>
        </c:txPr>
        <c:crossAx val="111366912"/>
        <c:crosses val="autoZero"/>
        <c:auto val="1"/>
        <c:lblAlgn val="ctr"/>
        <c:lblOffset val="100"/>
        <c:noMultiLvlLbl val="0"/>
      </c:catAx>
      <c:valAx>
        <c:axId val="111366912"/>
        <c:scaling>
          <c:orientation val="minMax"/>
          <c:max val="60"/>
        </c:scaling>
        <c:delete val="0"/>
        <c:axPos val="l"/>
        <c:majorGridlines>
          <c:spPr>
            <a:ln w="3175">
              <a:solidFill>
                <a:srgbClr val="808080"/>
              </a:solidFill>
              <a:prstDash val="solid"/>
            </a:ln>
          </c:spPr>
        </c:majorGridlines>
        <c:numFmt formatCode="0.0" sourceLinked="1"/>
        <c:majorTickMark val="out"/>
        <c:minorTickMark val="none"/>
        <c:tickLblPos val="nextTo"/>
        <c:spPr>
          <a:ln w="3175">
            <a:solidFill>
              <a:srgbClr val="808080"/>
            </a:solidFill>
            <a:prstDash val="solid"/>
          </a:ln>
        </c:spPr>
        <c:txPr>
          <a:bodyPr rot="0" vert="horz"/>
          <a:lstStyle/>
          <a:p>
            <a:pPr>
              <a:defRPr sz="900" b="0" i="0" u="none" strike="noStrike" baseline="0">
                <a:solidFill>
                  <a:srgbClr val="666699"/>
                </a:solidFill>
                <a:latin typeface="Calibri"/>
                <a:ea typeface="Calibri"/>
                <a:cs typeface="Calibri"/>
              </a:defRPr>
            </a:pPr>
            <a:endParaRPr lang="en-US"/>
          </a:p>
        </c:txPr>
        <c:crossAx val="111356928"/>
        <c:crosses val="autoZero"/>
        <c:crossBetween val="midCat"/>
        <c:majorUnit val="5"/>
      </c:valAx>
      <c:spPr>
        <a:solidFill>
          <a:srgbClr val="FFFFFF"/>
        </a:solidFill>
        <a:ln w="25400">
          <a:noFill/>
        </a:ln>
      </c:spPr>
    </c:plotArea>
    <c:legend>
      <c:legendPos val="r"/>
      <c:layout>
        <c:manualLayout>
          <c:xMode val="edge"/>
          <c:yMode val="edge"/>
          <c:x val="0.88870431893687696"/>
          <c:y val="0.380596668212282"/>
          <c:w val="9.1362126245847206E-2"/>
          <c:h val="0.130596895955195"/>
        </c:manualLayout>
      </c:layout>
      <c:overlay val="0"/>
      <c:spPr>
        <a:noFill/>
        <a:ln w="25400">
          <a:noFill/>
        </a:ln>
      </c:spPr>
      <c:txPr>
        <a:bodyPr/>
        <a:lstStyle/>
        <a:p>
          <a:pPr>
            <a:defRPr sz="690" b="0" i="0" u="none" strike="noStrike" baseline="0">
              <a:solidFill>
                <a:srgbClr val="666699"/>
              </a:solidFill>
              <a:latin typeface="Calibri"/>
              <a:ea typeface="Calibri"/>
              <a:cs typeface="Calibri"/>
            </a:defRPr>
          </a:pPr>
          <a:endParaRPr lang="en-US"/>
        </a:p>
      </c:txPr>
    </c:legend>
    <c:plotVisOnly val="1"/>
    <c:dispBlanksAs val="gap"/>
    <c:showDLblsOverMax val="0"/>
  </c:chart>
  <c:spPr>
    <a:solidFill>
      <a:srgbClr val="B9CDE5"/>
    </a:solidFill>
    <a:ln w="9525">
      <a:noFill/>
    </a:ln>
  </c:spPr>
  <c:txPr>
    <a:bodyPr/>
    <a:lstStyle/>
    <a:p>
      <a:pPr>
        <a:defRPr sz="900" b="0" i="0" u="none" strike="noStrike" baseline="0">
          <a:solidFill>
            <a:srgbClr val="666699"/>
          </a:solidFill>
          <a:latin typeface="Calibri"/>
          <a:ea typeface="Calibri"/>
          <a:cs typeface="Calibri"/>
        </a:defRPr>
      </a:pPr>
      <a:endParaRPr lang="en-US"/>
    </a:p>
  </c:txPr>
  <c:printSettings>
    <c:headerFooter/>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4.9208991483782799E-2"/>
          <c:y val="3.34210526315789E-2"/>
          <c:w val="0.80607196234521405"/>
          <c:h val="0.83917076023391801"/>
        </c:manualLayout>
      </c:layout>
      <c:lineChart>
        <c:grouping val="standard"/>
        <c:varyColors val="0"/>
        <c:ser>
          <c:idx val="0"/>
          <c:order val="0"/>
          <c:tx>
            <c:strRef>
              <c:f>'10 States AggWorkings'!$B$85</c:f>
              <c:strCache>
                <c:ptCount val="1"/>
                <c:pt idx="0">
                  <c:v>planned: partners</c:v>
                </c:pt>
              </c:strCache>
            </c:strRef>
          </c:tx>
          <c:spPr>
            <a:ln w="38100">
              <a:solidFill>
                <a:srgbClr val="666699"/>
              </a:solidFill>
              <a:prstDash val="solid"/>
            </a:ln>
          </c:spPr>
          <c:marker>
            <c:symbol val="none"/>
          </c:marker>
          <c:cat>
            <c:strRef>
              <c:f>'10 States AggWorkings'!$C$2:$Y$2</c:f>
              <c:strCache>
                <c:ptCount val="23"/>
                <c:pt idx="0">
                  <c:v>early                                                                 
2010</c:v>
                </c:pt>
                <c:pt idx="1">
                  <c:v>Q1</c:v>
                </c:pt>
                <c:pt idx="2">
                  <c:v>Q2</c:v>
                </c:pt>
                <c:pt idx="3">
                  <c:v>Q3</c:v>
                </c:pt>
                <c:pt idx="4">
                  <c:v>Q4</c:v>
                </c:pt>
                <c:pt idx="5">
                  <c:v>Q1</c:v>
                </c:pt>
                <c:pt idx="6">
                  <c:v>Q2                                                                 
mid 2011</c:v>
                </c:pt>
                <c:pt idx="7">
                  <c:v>Q3</c:v>
                </c:pt>
                <c:pt idx="8">
                  <c:v>Q4</c:v>
                </c:pt>
                <c:pt idx="9">
                  <c:v>Q1</c:v>
                </c:pt>
                <c:pt idx="10">
                  <c:v>Q2</c:v>
                </c:pt>
                <c:pt idx="11">
                  <c:v>Q3/4                                                                 
late 2012</c:v>
                </c:pt>
                <c:pt idx="12">
                  <c:v>Q1</c:v>
                </c:pt>
                <c:pt idx="13">
                  <c:v>Q2</c:v>
                </c:pt>
                <c:pt idx="14">
                  <c:v>Q3</c:v>
                </c:pt>
                <c:pt idx="15">
                  <c:v> Q4                                                                
late 2013</c:v>
                </c:pt>
                <c:pt idx="16">
                  <c:v>Q1</c:v>
                </c:pt>
                <c:pt idx="17">
                  <c:v>Q2</c:v>
                </c:pt>
                <c:pt idx="18">
                  <c:v>Q3</c:v>
                </c:pt>
                <c:pt idx="19">
                  <c:v>Q4</c:v>
                </c:pt>
                <c:pt idx="20">
                  <c:v>Q1</c:v>
                </c:pt>
                <c:pt idx="21">
                  <c:v>Q2</c:v>
                </c:pt>
                <c:pt idx="22">
                  <c:v>Q3                                                                 
mid 2015</c:v>
                </c:pt>
              </c:strCache>
            </c:strRef>
          </c:cat>
          <c:val>
            <c:numRef>
              <c:f>'10 States AggWorkings'!$C$85:$Y$85</c:f>
              <c:numCache>
                <c:formatCode>0</c:formatCode>
                <c:ptCount val="23"/>
                <c:pt idx="0">
                  <c:v>0</c:v>
                </c:pt>
                <c:pt idx="1">
                  <c:v>0</c:v>
                </c:pt>
                <c:pt idx="2">
                  <c:v>0</c:v>
                </c:pt>
                <c:pt idx="3">
                  <c:v>0</c:v>
                </c:pt>
                <c:pt idx="4">
                  <c:v>0</c:v>
                </c:pt>
                <c:pt idx="5">
                  <c:v>0</c:v>
                </c:pt>
                <c:pt idx="6">
                  <c:v>0</c:v>
                </c:pt>
                <c:pt idx="7">
                  <c:v>0</c:v>
                </c:pt>
                <c:pt idx="8">
                  <c:v>0</c:v>
                </c:pt>
                <c:pt idx="9">
                  <c:v>0</c:v>
                </c:pt>
                <c:pt idx="10">
                  <c:v>0</c:v>
                </c:pt>
                <c:pt idx="11">
                  <c:v>41.75</c:v>
                </c:pt>
                <c:pt idx="12">
                  <c:v>45.0625</c:v>
                </c:pt>
                <c:pt idx="13">
                  <c:v>48.375</c:v>
                </c:pt>
                <c:pt idx="14">
                  <c:v>51.6875</c:v>
                </c:pt>
                <c:pt idx="15">
                  <c:v>55</c:v>
                </c:pt>
                <c:pt idx="16">
                  <c:v>58.4375</c:v>
                </c:pt>
                <c:pt idx="17">
                  <c:v>61.875000000000007</c:v>
                </c:pt>
                <c:pt idx="18">
                  <c:v>65.3125</c:v>
                </c:pt>
                <c:pt idx="19">
                  <c:v>68.75</c:v>
                </c:pt>
                <c:pt idx="20">
                  <c:v>67.966666666666669</c:v>
                </c:pt>
                <c:pt idx="21">
                  <c:v>71.8</c:v>
                </c:pt>
                <c:pt idx="22">
                  <c:v>72.8</c:v>
                </c:pt>
              </c:numCache>
            </c:numRef>
          </c:val>
          <c:smooth val="0"/>
        </c:ser>
        <c:ser>
          <c:idx val="1"/>
          <c:order val="1"/>
          <c:tx>
            <c:strRef>
              <c:f>'10 States AggWorkings'!$B$86</c:f>
              <c:strCache>
                <c:ptCount val="1"/>
                <c:pt idx="0">
                  <c:v>achieved: partners</c:v>
                </c:pt>
              </c:strCache>
            </c:strRef>
          </c:tx>
          <c:spPr>
            <a:ln w="38100">
              <a:solidFill>
                <a:srgbClr val="993366"/>
              </a:solidFill>
              <a:prstDash val="solid"/>
            </a:ln>
          </c:spPr>
          <c:marker>
            <c:symbol val="none"/>
          </c:marker>
          <c:cat>
            <c:strRef>
              <c:f>'10 States AggWorkings'!$C$2:$Y$2</c:f>
              <c:strCache>
                <c:ptCount val="23"/>
                <c:pt idx="0">
                  <c:v>early                                                                 
2010</c:v>
                </c:pt>
                <c:pt idx="1">
                  <c:v>Q1</c:v>
                </c:pt>
                <c:pt idx="2">
                  <c:v>Q2</c:v>
                </c:pt>
                <c:pt idx="3">
                  <c:v>Q3</c:v>
                </c:pt>
                <c:pt idx="4">
                  <c:v>Q4</c:v>
                </c:pt>
                <c:pt idx="5">
                  <c:v>Q1</c:v>
                </c:pt>
                <c:pt idx="6">
                  <c:v>Q2                                                                 
mid 2011</c:v>
                </c:pt>
                <c:pt idx="7">
                  <c:v>Q3</c:v>
                </c:pt>
                <c:pt idx="8">
                  <c:v>Q4</c:v>
                </c:pt>
                <c:pt idx="9">
                  <c:v>Q1</c:v>
                </c:pt>
                <c:pt idx="10">
                  <c:v>Q2</c:v>
                </c:pt>
                <c:pt idx="11">
                  <c:v>Q3/4                                                                 
late 2012</c:v>
                </c:pt>
                <c:pt idx="12">
                  <c:v>Q1</c:v>
                </c:pt>
                <c:pt idx="13">
                  <c:v>Q2</c:v>
                </c:pt>
                <c:pt idx="14">
                  <c:v>Q3</c:v>
                </c:pt>
                <c:pt idx="15">
                  <c:v> Q4                                                                
late 2013</c:v>
                </c:pt>
                <c:pt idx="16">
                  <c:v>Q1</c:v>
                </c:pt>
                <c:pt idx="17">
                  <c:v>Q2</c:v>
                </c:pt>
                <c:pt idx="18">
                  <c:v>Q3</c:v>
                </c:pt>
                <c:pt idx="19">
                  <c:v>Q4</c:v>
                </c:pt>
                <c:pt idx="20">
                  <c:v>Q1</c:v>
                </c:pt>
                <c:pt idx="21">
                  <c:v>Q2</c:v>
                </c:pt>
                <c:pt idx="22">
                  <c:v>Q3                                                                 
mid 2015</c:v>
                </c:pt>
              </c:strCache>
            </c:strRef>
          </c:cat>
          <c:val>
            <c:numRef>
              <c:f>'10 States AggWorkings'!$C$86:$Y$86</c:f>
              <c:numCache>
                <c:formatCode>0</c:formatCode>
                <c:ptCount val="23"/>
                <c:pt idx="0">
                  <c:v>0</c:v>
                </c:pt>
                <c:pt idx="1">
                  <c:v>0</c:v>
                </c:pt>
                <c:pt idx="2">
                  <c:v>0</c:v>
                </c:pt>
                <c:pt idx="3">
                  <c:v>0</c:v>
                </c:pt>
                <c:pt idx="4">
                  <c:v>0</c:v>
                </c:pt>
                <c:pt idx="5">
                  <c:v>0</c:v>
                </c:pt>
                <c:pt idx="6">
                  <c:v>0</c:v>
                </c:pt>
                <c:pt idx="7">
                  <c:v>0</c:v>
                </c:pt>
                <c:pt idx="8">
                  <c:v>0</c:v>
                </c:pt>
                <c:pt idx="9">
                  <c:v>0</c:v>
                </c:pt>
                <c:pt idx="10">
                  <c:v>0</c:v>
                </c:pt>
                <c:pt idx="11">
                  <c:v>41.75</c:v>
                </c:pt>
                <c:pt idx="12">
                  <c:v>45.375</c:v>
                </c:pt>
                <c:pt idx="13">
                  <c:v>51.125</c:v>
                </c:pt>
                <c:pt idx="14">
                  <c:v>54.875</c:v>
                </c:pt>
                <c:pt idx="15">
                  <c:v>63.5</c:v>
                </c:pt>
                <c:pt idx="16">
                  <c:v>64.875</c:v>
                </c:pt>
                <c:pt idx="17">
                  <c:v>68.125</c:v>
                </c:pt>
                <c:pt idx="18">
                  <c:v>70.75</c:v>
                </c:pt>
                <c:pt idx="19">
                  <c:v>71.75</c:v>
                </c:pt>
                <c:pt idx="20">
                  <c:v>67.216666666666669</c:v>
                </c:pt>
                <c:pt idx="21">
                  <c:v>68.966666666666669</c:v>
                </c:pt>
                <c:pt idx="22">
                  <c:v>0</c:v>
                </c:pt>
              </c:numCache>
            </c:numRef>
          </c:val>
          <c:smooth val="0"/>
        </c:ser>
        <c:ser>
          <c:idx val="2"/>
          <c:order val="2"/>
          <c:tx>
            <c:strRef>
              <c:f>'10 States AggWorkings'!$B$88</c:f>
              <c:strCache>
                <c:ptCount val="1"/>
                <c:pt idx="0">
                  <c:v>planned: citizens</c:v>
                </c:pt>
              </c:strCache>
            </c:strRef>
          </c:tx>
          <c:spPr>
            <a:ln w="38100">
              <a:solidFill>
                <a:srgbClr val="90713A"/>
              </a:solidFill>
              <a:prstDash val="solid"/>
            </a:ln>
          </c:spPr>
          <c:marker>
            <c:symbol val="none"/>
          </c:marker>
          <c:cat>
            <c:strRef>
              <c:f>'10 States AggWorkings'!$C$2:$Y$2</c:f>
              <c:strCache>
                <c:ptCount val="23"/>
                <c:pt idx="0">
                  <c:v>early                                                                 
2010</c:v>
                </c:pt>
                <c:pt idx="1">
                  <c:v>Q1</c:v>
                </c:pt>
                <c:pt idx="2">
                  <c:v>Q2</c:v>
                </c:pt>
                <c:pt idx="3">
                  <c:v>Q3</c:v>
                </c:pt>
                <c:pt idx="4">
                  <c:v>Q4</c:v>
                </c:pt>
                <c:pt idx="5">
                  <c:v>Q1</c:v>
                </c:pt>
                <c:pt idx="6">
                  <c:v>Q2                                                                 
mid 2011</c:v>
                </c:pt>
                <c:pt idx="7">
                  <c:v>Q3</c:v>
                </c:pt>
                <c:pt idx="8">
                  <c:v>Q4</c:v>
                </c:pt>
                <c:pt idx="9">
                  <c:v>Q1</c:v>
                </c:pt>
                <c:pt idx="10">
                  <c:v>Q2</c:v>
                </c:pt>
                <c:pt idx="11">
                  <c:v>Q3/4                                                                 
late 2012</c:v>
                </c:pt>
                <c:pt idx="12">
                  <c:v>Q1</c:v>
                </c:pt>
                <c:pt idx="13">
                  <c:v>Q2</c:v>
                </c:pt>
                <c:pt idx="14">
                  <c:v>Q3</c:v>
                </c:pt>
                <c:pt idx="15">
                  <c:v> Q4                                                                
late 2013</c:v>
                </c:pt>
                <c:pt idx="16">
                  <c:v>Q1</c:v>
                </c:pt>
                <c:pt idx="17">
                  <c:v>Q2</c:v>
                </c:pt>
                <c:pt idx="18">
                  <c:v>Q3</c:v>
                </c:pt>
                <c:pt idx="19">
                  <c:v>Q4</c:v>
                </c:pt>
                <c:pt idx="20">
                  <c:v>Q1</c:v>
                </c:pt>
                <c:pt idx="21">
                  <c:v>Q2</c:v>
                </c:pt>
                <c:pt idx="22">
                  <c:v>Q3                                                                 
mid 2015</c:v>
                </c:pt>
              </c:strCache>
            </c:strRef>
          </c:cat>
          <c:val>
            <c:numRef>
              <c:f>'10 States AggWorkings'!$C$88:$Y$88</c:f>
              <c:numCache>
                <c:formatCode>0</c:formatCode>
                <c:ptCount val="23"/>
                <c:pt idx="0">
                  <c:v>0</c:v>
                </c:pt>
                <c:pt idx="1">
                  <c:v>0</c:v>
                </c:pt>
                <c:pt idx="2">
                  <c:v>0</c:v>
                </c:pt>
                <c:pt idx="3">
                  <c:v>0</c:v>
                </c:pt>
                <c:pt idx="4">
                  <c:v>0</c:v>
                </c:pt>
                <c:pt idx="5">
                  <c:v>0</c:v>
                </c:pt>
                <c:pt idx="6">
                  <c:v>0</c:v>
                </c:pt>
                <c:pt idx="7">
                  <c:v>0</c:v>
                </c:pt>
                <c:pt idx="8">
                  <c:v>0</c:v>
                </c:pt>
                <c:pt idx="9">
                  <c:v>0</c:v>
                </c:pt>
                <c:pt idx="10">
                  <c:v>0</c:v>
                </c:pt>
                <c:pt idx="11">
                  <c:v>30.625</c:v>
                </c:pt>
                <c:pt idx="12">
                  <c:v>31.84375</c:v>
                </c:pt>
                <c:pt idx="13">
                  <c:v>33.0625</c:v>
                </c:pt>
                <c:pt idx="14">
                  <c:v>34.28125</c:v>
                </c:pt>
                <c:pt idx="15">
                  <c:v>35.5</c:v>
                </c:pt>
                <c:pt idx="16">
                  <c:v>37.291666666666671</c:v>
                </c:pt>
                <c:pt idx="17">
                  <c:v>39.083333333333336</c:v>
                </c:pt>
                <c:pt idx="18">
                  <c:v>40.875</c:v>
                </c:pt>
                <c:pt idx="19">
                  <c:v>42.666666666666671</c:v>
                </c:pt>
                <c:pt idx="20">
                  <c:v>60.75</c:v>
                </c:pt>
                <c:pt idx="21">
                  <c:v>64.733333333333334</c:v>
                </c:pt>
                <c:pt idx="22">
                  <c:v>65.2</c:v>
                </c:pt>
              </c:numCache>
            </c:numRef>
          </c:val>
          <c:smooth val="0"/>
        </c:ser>
        <c:ser>
          <c:idx val="3"/>
          <c:order val="3"/>
          <c:tx>
            <c:strRef>
              <c:f>'10 States AggWorkings'!$B$89</c:f>
              <c:strCache>
                <c:ptCount val="1"/>
                <c:pt idx="0">
                  <c:v>achieved: citizens</c:v>
                </c:pt>
              </c:strCache>
            </c:strRef>
          </c:tx>
          <c:spPr>
            <a:ln w="38100">
              <a:solidFill>
                <a:srgbClr val="666699"/>
              </a:solidFill>
              <a:prstDash val="solid"/>
            </a:ln>
          </c:spPr>
          <c:marker>
            <c:symbol val="none"/>
          </c:marker>
          <c:cat>
            <c:strRef>
              <c:f>'10 States AggWorkings'!$C$2:$Y$2</c:f>
              <c:strCache>
                <c:ptCount val="23"/>
                <c:pt idx="0">
                  <c:v>early                                                                 
2010</c:v>
                </c:pt>
                <c:pt idx="1">
                  <c:v>Q1</c:v>
                </c:pt>
                <c:pt idx="2">
                  <c:v>Q2</c:v>
                </c:pt>
                <c:pt idx="3">
                  <c:v>Q3</c:v>
                </c:pt>
                <c:pt idx="4">
                  <c:v>Q4</c:v>
                </c:pt>
                <c:pt idx="5">
                  <c:v>Q1</c:v>
                </c:pt>
                <c:pt idx="6">
                  <c:v>Q2                                                                 
mid 2011</c:v>
                </c:pt>
                <c:pt idx="7">
                  <c:v>Q3</c:v>
                </c:pt>
                <c:pt idx="8">
                  <c:v>Q4</c:v>
                </c:pt>
                <c:pt idx="9">
                  <c:v>Q1</c:v>
                </c:pt>
                <c:pt idx="10">
                  <c:v>Q2</c:v>
                </c:pt>
                <c:pt idx="11">
                  <c:v>Q3/4                                                                 
late 2012</c:v>
                </c:pt>
                <c:pt idx="12">
                  <c:v>Q1</c:v>
                </c:pt>
                <c:pt idx="13">
                  <c:v>Q2</c:v>
                </c:pt>
                <c:pt idx="14">
                  <c:v>Q3</c:v>
                </c:pt>
                <c:pt idx="15">
                  <c:v> Q4                                                                
late 2013</c:v>
                </c:pt>
                <c:pt idx="16">
                  <c:v>Q1</c:v>
                </c:pt>
                <c:pt idx="17">
                  <c:v>Q2</c:v>
                </c:pt>
                <c:pt idx="18">
                  <c:v>Q3</c:v>
                </c:pt>
                <c:pt idx="19">
                  <c:v>Q4</c:v>
                </c:pt>
                <c:pt idx="20">
                  <c:v>Q1</c:v>
                </c:pt>
                <c:pt idx="21">
                  <c:v>Q2</c:v>
                </c:pt>
                <c:pt idx="22">
                  <c:v>Q3                                                                 
mid 2015</c:v>
                </c:pt>
              </c:strCache>
            </c:strRef>
          </c:cat>
          <c:val>
            <c:numRef>
              <c:f>'10 States AggWorkings'!$C$89:$Y$89</c:f>
              <c:numCache>
                <c:formatCode>0</c:formatCode>
                <c:ptCount val="23"/>
                <c:pt idx="0">
                  <c:v>0</c:v>
                </c:pt>
                <c:pt idx="1">
                  <c:v>0</c:v>
                </c:pt>
                <c:pt idx="2">
                  <c:v>0</c:v>
                </c:pt>
                <c:pt idx="3">
                  <c:v>0</c:v>
                </c:pt>
                <c:pt idx="4">
                  <c:v>0</c:v>
                </c:pt>
                <c:pt idx="5">
                  <c:v>0</c:v>
                </c:pt>
                <c:pt idx="6">
                  <c:v>0</c:v>
                </c:pt>
                <c:pt idx="7">
                  <c:v>0</c:v>
                </c:pt>
                <c:pt idx="8">
                  <c:v>0</c:v>
                </c:pt>
                <c:pt idx="9">
                  <c:v>0</c:v>
                </c:pt>
                <c:pt idx="10">
                  <c:v>0</c:v>
                </c:pt>
                <c:pt idx="11">
                  <c:v>30.625</c:v>
                </c:pt>
                <c:pt idx="12">
                  <c:v>35.625</c:v>
                </c:pt>
                <c:pt idx="13">
                  <c:v>36.75</c:v>
                </c:pt>
                <c:pt idx="14">
                  <c:v>45.875</c:v>
                </c:pt>
                <c:pt idx="15">
                  <c:v>47.412500000000001</c:v>
                </c:pt>
                <c:pt idx="16">
                  <c:v>45.625</c:v>
                </c:pt>
                <c:pt idx="17">
                  <c:v>49.75</c:v>
                </c:pt>
                <c:pt idx="18">
                  <c:v>56.5</c:v>
                </c:pt>
                <c:pt idx="19">
                  <c:v>68.875</c:v>
                </c:pt>
                <c:pt idx="20">
                  <c:v>67.3</c:v>
                </c:pt>
                <c:pt idx="21">
                  <c:v>73.833333333333329</c:v>
                </c:pt>
                <c:pt idx="22">
                  <c:v>0</c:v>
                </c:pt>
              </c:numCache>
            </c:numRef>
          </c:val>
          <c:smooth val="0"/>
        </c:ser>
        <c:dLbls>
          <c:showLegendKey val="0"/>
          <c:showVal val="0"/>
          <c:showCatName val="0"/>
          <c:showSerName val="0"/>
          <c:showPercent val="0"/>
          <c:showBubbleSize val="0"/>
        </c:dLbls>
        <c:marker val="1"/>
        <c:smooth val="0"/>
        <c:axId val="111414656"/>
        <c:axId val="111420544"/>
      </c:lineChart>
      <c:catAx>
        <c:axId val="111414656"/>
        <c:scaling>
          <c:orientation val="minMax"/>
        </c:scaling>
        <c:delete val="0"/>
        <c:axPos val="b"/>
        <c:majorGridlines>
          <c:spPr>
            <a:ln w="3175">
              <a:solidFill>
                <a:srgbClr val="808080"/>
              </a:solidFill>
              <a:prstDash val="solid"/>
            </a:ln>
          </c:spPr>
        </c:majorGridlines>
        <c:numFmt formatCode="General" sourceLinked="1"/>
        <c:majorTickMark val="out"/>
        <c:minorTickMark val="none"/>
        <c:tickLblPos val="nextTo"/>
        <c:spPr>
          <a:ln w="3175">
            <a:solidFill>
              <a:srgbClr val="808080"/>
            </a:solidFill>
            <a:prstDash val="solid"/>
          </a:ln>
        </c:spPr>
        <c:txPr>
          <a:bodyPr rot="0" vert="horz"/>
          <a:lstStyle/>
          <a:p>
            <a:pPr>
              <a:defRPr sz="900" b="0" i="0" u="none" strike="noStrike" baseline="0">
                <a:solidFill>
                  <a:srgbClr val="666699"/>
                </a:solidFill>
                <a:latin typeface="Calibri"/>
                <a:ea typeface="Calibri"/>
                <a:cs typeface="Calibri"/>
              </a:defRPr>
            </a:pPr>
            <a:endParaRPr lang="en-US"/>
          </a:p>
        </c:txPr>
        <c:crossAx val="111420544"/>
        <c:crosses val="autoZero"/>
        <c:auto val="1"/>
        <c:lblAlgn val="ctr"/>
        <c:lblOffset val="100"/>
        <c:noMultiLvlLbl val="0"/>
      </c:catAx>
      <c:valAx>
        <c:axId val="111420544"/>
        <c:scaling>
          <c:orientation val="minMax"/>
          <c:max val="200"/>
        </c:scaling>
        <c:delete val="0"/>
        <c:axPos val="l"/>
        <c:majorGridlines>
          <c:spPr>
            <a:ln w="3175">
              <a:solidFill>
                <a:srgbClr val="808080"/>
              </a:solidFill>
              <a:prstDash val="solid"/>
            </a:ln>
          </c:spPr>
        </c:majorGridlines>
        <c:numFmt formatCode="0" sourceLinked="1"/>
        <c:majorTickMark val="out"/>
        <c:minorTickMark val="none"/>
        <c:tickLblPos val="nextTo"/>
        <c:spPr>
          <a:ln w="3175">
            <a:solidFill>
              <a:srgbClr val="808080"/>
            </a:solidFill>
            <a:prstDash val="solid"/>
          </a:ln>
        </c:spPr>
        <c:txPr>
          <a:bodyPr rot="0" vert="horz"/>
          <a:lstStyle/>
          <a:p>
            <a:pPr>
              <a:defRPr sz="900" b="0" i="0" u="none" strike="noStrike" baseline="0">
                <a:solidFill>
                  <a:srgbClr val="666699"/>
                </a:solidFill>
                <a:latin typeface="Calibri"/>
                <a:ea typeface="Calibri"/>
                <a:cs typeface="Calibri"/>
              </a:defRPr>
            </a:pPr>
            <a:endParaRPr lang="en-US"/>
          </a:p>
        </c:txPr>
        <c:crossAx val="111414656"/>
        <c:crosses val="autoZero"/>
        <c:crossBetween val="midCat"/>
      </c:valAx>
      <c:spPr>
        <a:solidFill>
          <a:srgbClr val="FFFFFF"/>
        </a:solidFill>
        <a:ln w="25400">
          <a:noFill/>
        </a:ln>
      </c:spPr>
    </c:plotArea>
    <c:legend>
      <c:legendPos val="r"/>
      <c:layout>
        <c:manualLayout>
          <c:xMode val="edge"/>
          <c:yMode val="edge"/>
          <c:x val="0.87541528239202704"/>
          <c:y val="0.30740768537297902"/>
          <c:w val="0.10132890365448501"/>
          <c:h val="0.36666699821596299"/>
        </c:manualLayout>
      </c:layout>
      <c:overlay val="0"/>
      <c:spPr>
        <a:noFill/>
        <a:ln w="25400">
          <a:noFill/>
        </a:ln>
      </c:spPr>
      <c:txPr>
        <a:bodyPr/>
        <a:lstStyle/>
        <a:p>
          <a:pPr>
            <a:defRPr sz="690" b="0" i="0" u="none" strike="noStrike" baseline="0">
              <a:solidFill>
                <a:srgbClr val="666699"/>
              </a:solidFill>
              <a:latin typeface="Calibri"/>
              <a:ea typeface="Calibri"/>
              <a:cs typeface="Calibri"/>
            </a:defRPr>
          </a:pPr>
          <a:endParaRPr lang="en-US"/>
        </a:p>
      </c:txPr>
    </c:legend>
    <c:plotVisOnly val="1"/>
    <c:dispBlanksAs val="gap"/>
    <c:showDLblsOverMax val="0"/>
  </c:chart>
  <c:spPr>
    <a:solidFill>
      <a:srgbClr val="DCE6F2"/>
    </a:solidFill>
    <a:ln w="9525">
      <a:noFill/>
    </a:ln>
  </c:spPr>
  <c:txPr>
    <a:bodyPr/>
    <a:lstStyle/>
    <a:p>
      <a:pPr>
        <a:defRPr sz="900" b="0" i="0" u="none" strike="noStrike" baseline="0">
          <a:solidFill>
            <a:srgbClr val="666699"/>
          </a:solidFill>
          <a:latin typeface="Calibri"/>
          <a:ea typeface="Calibri"/>
          <a:cs typeface="Calibri"/>
        </a:defRPr>
      </a:pPr>
      <a:endParaRPr lang="en-US"/>
    </a:p>
  </c:tx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4.5855162381445803E-2"/>
          <c:y val="3.34210526315789E-2"/>
          <c:w val="0.80402559843072496"/>
          <c:h val="0.83917076023391801"/>
        </c:manualLayout>
      </c:layout>
      <c:lineChart>
        <c:grouping val="standard"/>
        <c:varyColors val="0"/>
        <c:ser>
          <c:idx val="0"/>
          <c:order val="0"/>
          <c:tx>
            <c:strRef>
              <c:f>'10 States AggWorkings'!$B$7</c:f>
              <c:strCache>
                <c:ptCount val="1"/>
                <c:pt idx="0">
                  <c:v>planned</c:v>
                </c:pt>
              </c:strCache>
            </c:strRef>
          </c:tx>
          <c:spPr>
            <a:ln w="38100">
              <a:solidFill>
                <a:srgbClr val="666699"/>
              </a:solidFill>
              <a:prstDash val="solid"/>
            </a:ln>
          </c:spPr>
          <c:marker>
            <c:symbol val="none"/>
          </c:marker>
          <c:cat>
            <c:strRef>
              <c:f>'10 States AggWorkings'!$C$2:$Y$2</c:f>
              <c:strCache>
                <c:ptCount val="23"/>
                <c:pt idx="0">
                  <c:v>early                                                                 
2010</c:v>
                </c:pt>
                <c:pt idx="1">
                  <c:v>Q1</c:v>
                </c:pt>
                <c:pt idx="2">
                  <c:v>Q2</c:v>
                </c:pt>
                <c:pt idx="3">
                  <c:v>Q3</c:v>
                </c:pt>
                <c:pt idx="4">
                  <c:v>Q4</c:v>
                </c:pt>
                <c:pt idx="5">
                  <c:v>Q1</c:v>
                </c:pt>
                <c:pt idx="6">
                  <c:v>Q2                                                                 
mid 2011</c:v>
                </c:pt>
                <c:pt idx="7">
                  <c:v>Q3</c:v>
                </c:pt>
                <c:pt idx="8">
                  <c:v>Q4</c:v>
                </c:pt>
                <c:pt idx="9">
                  <c:v>Q1</c:v>
                </c:pt>
                <c:pt idx="10">
                  <c:v>Q2</c:v>
                </c:pt>
                <c:pt idx="11">
                  <c:v>Q3/4                                                                 
late 2012</c:v>
                </c:pt>
                <c:pt idx="12">
                  <c:v>Q1</c:v>
                </c:pt>
                <c:pt idx="13">
                  <c:v>Q2</c:v>
                </c:pt>
                <c:pt idx="14">
                  <c:v>Q3</c:v>
                </c:pt>
                <c:pt idx="15">
                  <c:v> Q4                                                                
late 2013</c:v>
                </c:pt>
                <c:pt idx="16">
                  <c:v>Q1</c:v>
                </c:pt>
                <c:pt idx="17">
                  <c:v>Q2</c:v>
                </c:pt>
                <c:pt idx="18">
                  <c:v>Q3</c:v>
                </c:pt>
                <c:pt idx="19">
                  <c:v>Q4</c:v>
                </c:pt>
                <c:pt idx="20">
                  <c:v>Q1</c:v>
                </c:pt>
                <c:pt idx="21">
                  <c:v>Q2</c:v>
                </c:pt>
                <c:pt idx="22">
                  <c:v>Q3                                                                 
mid 2015</c:v>
                </c:pt>
              </c:strCache>
            </c:strRef>
          </c:cat>
          <c:val>
            <c:numRef>
              <c:f>'10 States AggWorkings'!$C$7:$Y$7</c:f>
              <c:numCache>
                <c:formatCode>0.0</c:formatCode>
                <c:ptCount val="23"/>
                <c:pt idx="0">
                  <c:v>0</c:v>
                </c:pt>
                <c:pt idx="1">
                  <c:v>0</c:v>
                </c:pt>
                <c:pt idx="2">
                  <c:v>0</c:v>
                </c:pt>
                <c:pt idx="3">
                  <c:v>0</c:v>
                </c:pt>
                <c:pt idx="4">
                  <c:v>0</c:v>
                </c:pt>
                <c:pt idx="5">
                  <c:v>0</c:v>
                </c:pt>
                <c:pt idx="6">
                  <c:v>1</c:v>
                </c:pt>
                <c:pt idx="7">
                  <c:v>1.0520833333333335</c:v>
                </c:pt>
                <c:pt idx="8">
                  <c:v>1.1041666666666667</c:v>
                </c:pt>
                <c:pt idx="9">
                  <c:v>1.15625</c:v>
                </c:pt>
                <c:pt idx="10">
                  <c:v>1.2083333333333335</c:v>
                </c:pt>
                <c:pt idx="11">
                  <c:v>1.3125</c:v>
                </c:pt>
                <c:pt idx="12">
                  <c:v>1.4109375</c:v>
                </c:pt>
                <c:pt idx="13">
                  <c:v>1.5093749999999999</c:v>
                </c:pt>
                <c:pt idx="14">
                  <c:v>1.6078124999999996</c:v>
                </c:pt>
                <c:pt idx="15">
                  <c:v>1.70625</c:v>
                </c:pt>
                <c:pt idx="16">
                  <c:v>1.7593749999999999</c:v>
                </c:pt>
                <c:pt idx="17">
                  <c:v>1.8125</c:v>
                </c:pt>
                <c:pt idx="18">
                  <c:v>1.8656249999999999</c:v>
                </c:pt>
                <c:pt idx="19">
                  <c:v>1.9187499999999993</c:v>
                </c:pt>
                <c:pt idx="20">
                  <c:v>2.3424999999999998</c:v>
                </c:pt>
                <c:pt idx="21">
                  <c:v>2.4899999999999998</c:v>
                </c:pt>
                <c:pt idx="22">
                  <c:v>2.5100000000000002</c:v>
                </c:pt>
              </c:numCache>
            </c:numRef>
          </c:val>
          <c:smooth val="0"/>
        </c:ser>
        <c:ser>
          <c:idx val="1"/>
          <c:order val="1"/>
          <c:tx>
            <c:strRef>
              <c:f>'10 States AggWorkings'!$B$8</c:f>
              <c:strCache>
                <c:ptCount val="1"/>
                <c:pt idx="0">
                  <c:v>achieved</c:v>
                </c:pt>
              </c:strCache>
            </c:strRef>
          </c:tx>
          <c:spPr>
            <a:ln w="38100">
              <a:solidFill>
                <a:srgbClr val="993366"/>
              </a:solidFill>
              <a:prstDash val="solid"/>
            </a:ln>
          </c:spPr>
          <c:marker>
            <c:symbol val="none"/>
          </c:marker>
          <c:cat>
            <c:strRef>
              <c:f>'10 States AggWorkings'!$C$2:$Y$2</c:f>
              <c:strCache>
                <c:ptCount val="23"/>
                <c:pt idx="0">
                  <c:v>early                                                                 
2010</c:v>
                </c:pt>
                <c:pt idx="1">
                  <c:v>Q1</c:v>
                </c:pt>
                <c:pt idx="2">
                  <c:v>Q2</c:v>
                </c:pt>
                <c:pt idx="3">
                  <c:v>Q3</c:v>
                </c:pt>
                <c:pt idx="4">
                  <c:v>Q4</c:v>
                </c:pt>
                <c:pt idx="5">
                  <c:v>Q1</c:v>
                </c:pt>
                <c:pt idx="6">
                  <c:v>Q2                                                                 
mid 2011</c:v>
                </c:pt>
                <c:pt idx="7">
                  <c:v>Q3</c:v>
                </c:pt>
                <c:pt idx="8">
                  <c:v>Q4</c:v>
                </c:pt>
                <c:pt idx="9">
                  <c:v>Q1</c:v>
                </c:pt>
                <c:pt idx="10">
                  <c:v>Q2</c:v>
                </c:pt>
                <c:pt idx="11">
                  <c:v>Q3/4                                                                 
late 2012</c:v>
                </c:pt>
                <c:pt idx="12">
                  <c:v>Q1</c:v>
                </c:pt>
                <c:pt idx="13">
                  <c:v>Q2</c:v>
                </c:pt>
                <c:pt idx="14">
                  <c:v>Q3</c:v>
                </c:pt>
                <c:pt idx="15">
                  <c:v> Q4                                                                
late 2013</c:v>
                </c:pt>
                <c:pt idx="16">
                  <c:v>Q1</c:v>
                </c:pt>
                <c:pt idx="17">
                  <c:v>Q2</c:v>
                </c:pt>
                <c:pt idx="18">
                  <c:v>Q3</c:v>
                </c:pt>
                <c:pt idx="19">
                  <c:v>Q4</c:v>
                </c:pt>
                <c:pt idx="20">
                  <c:v>Q1</c:v>
                </c:pt>
                <c:pt idx="21">
                  <c:v>Q2</c:v>
                </c:pt>
                <c:pt idx="22">
                  <c:v>Q3                                                                 
mid 2015</c:v>
                </c:pt>
              </c:strCache>
            </c:strRef>
          </c:cat>
          <c:val>
            <c:numRef>
              <c:f>'10 States AggWorkings'!$C$8:$Y$8</c:f>
              <c:numCache>
                <c:formatCode>0.0</c:formatCode>
                <c:ptCount val="23"/>
                <c:pt idx="0">
                  <c:v>0</c:v>
                </c:pt>
                <c:pt idx="1">
                  <c:v>0.625</c:v>
                </c:pt>
                <c:pt idx="2">
                  <c:v>0.625</c:v>
                </c:pt>
                <c:pt idx="3">
                  <c:v>0.5</c:v>
                </c:pt>
                <c:pt idx="4">
                  <c:v>0.5</c:v>
                </c:pt>
                <c:pt idx="5">
                  <c:v>0.52500000000000002</c:v>
                </c:pt>
                <c:pt idx="6">
                  <c:v>1</c:v>
                </c:pt>
                <c:pt idx="7">
                  <c:v>0.9375</c:v>
                </c:pt>
                <c:pt idx="8">
                  <c:v>0.84999999999999987</c:v>
                </c:pt>
                <c:pt idx="9">
                  <c:v>1</c:v>
                </c:pt>
                <c:pt idx="10">
                  <c:v>1.25</c:v>
                </c:pt>
                <c:pt idx="11">
                  <c:v>1.75</c:v>
                </c:pt>
                <c:pt idx="12">
                  <c:v>1.75</c:v>
                </c:pt>
                <c:pt idx="13">
                  <c:v>2.0374999999999996</c:v>
                </c:pt>
                <c:pt idx="14">
                  <c:v>2.3125</c:v>
                </c:pt>
                <c:pt idx="15">
                  <c:v>2.3125</c:v>
                </c:pt>
                <c:pt idx="16">
                  <c:v>2.3125</c:v>
                </c:pt>
                <c:pt idx="17">
                  <c:v>2.5687500000000001</c:v>
                </c:pt>
                <c:pt idx="18">
                  <c:v>2.6487499999999997</c:v>
                </c:pt>
                <c:pt idx="19">
                  <c:v>2.8824999999999998</c:v>
                </c:pt>
                <c:pt idx="20">
                  <c:v>2.5659999999999998</c:v>
                </c:pt>
                <c:pt idx="21">
                  <c:v>2.6069999999999998</c:v>
                </c:pt>
                <c:pt idx="22">
                  <c:v>0</c:v>
                </c:pt>
              </c:numCache>
            </c:numRef>
          </c:val>
          <c:smooth val="0"/>
        </c:ser>
        <c:dLbls>
          <c:showLegendKey val="0"/>
          <c:showVal val="0"/>
          <c:showCatName val="0"/>
          <c:showSerName val="0"/>
          <c:showPercent val="0"/>
          <c:showBubbleSize val="0"/>
        </c:dLbls>
        <c:marker val="1"/>
        <c:smooth val="0"/>
        <c:axId val="89456000"/>
        <c:axId val="110564480"/>
      </c:lineChart>
      <c:catAx>
        <c:axId val="89456000"/>
        <c:scaling>
          <c:orientation val="minMax"/>
        </c:scaling>
        <c:delete val="0"/>
        <c:axPos val="b"/>
        <c:majorGridlines>
          <c:spPr>
            <a:ln w="3175">
              <a:solidFill>
                <a:srgbClr val="808080"/>
              </a:solidFill>
              <a:prstDash val="solid"/>
            </a:ln>
          </c:spPr>
        </c:majorGridlines>
        <c:numFmt formatCode="General" sourceLinked="1"/>
        <c:majorTickMark val="out"/>
        <c:minorTickMark val="none"/>
        <c:tickLblPos val="nextTo"/>
        <c:spPr>
          <a:ln w="3175">
            <a:solidFill>
              <a:srgbClr val="808080"/>
            </a:solidFill>
            <a:prstDash val="solid"/>
          </a:ln>
        </c:spPr>
        <c:txPr>
          <a:bodyPr rot="0" vert="horz"/>
          <a:lstStyle/>
          <a:p>
            <a:pPr>
              <a:defRPr sz="900" b="0" i="0" u="none" strike="noStrike" baseline="0">
                <a:solidFill>
                  <a:srgbClr val="666699"/>
                </a:solidFill>
                <a:latin typeface="Calibri"/>
                <a:ea typeface="Calibri"/>
                <a:cs typeface="Calibri"/>
              </a:defRPr>
            </a:pPr>
            <a:endParaRPr lang="en-US"/>
          </a:p>
        </c:txPr>
        <c:crossAx val="110564480"/>
        <c:crosses val="autoZero"/>
        <c:auto val="1"/>
        <c:lblAlgn val="ctr"/>
        <c:lblOffset val="100"/>
        <c:noMultiLvlLbl val="0"/>
      </c:catAx>
      <c:valAx>
        <c:axId val="110564480"/>
        <c:scaling>
          <c:orientation val="minMax"/>
          <c:max val="5"/>
        </c:scaling>
        <c:delete val="0"/>
        <c:axPos val="l"/>
        <c:majorGridlines>
          <c:spPr>
            <a:ln w="3175">
              <a:solidFill>
                <a:srgbClr val="808080"/>
              </a:solidFill>
              <a:prstDash val="solid"/>
            </a:ln>
          </c:spPr>
        </c:majorGridlines>
        <c:numFmt formatCode="0.0" sourceLinked="1"/>
        <c:majorTickMark val="out"/>
        <c:minorTickMark val="none"/>
        <c:tickLblPos val="nextTo"/>
        <c:spPr>
          <a:ln w="3175">
            <a:solidFill>
              <a:srgbClr val="808080"/>
            </a:solidFill>
            <a:prstDash val="solid"/>
          </a:ln>
        </c:spPr>
        <c:txPr>
          <a:bodyPr rot="0" vert="horz"/>
          <a:lstStyle/>
          <a:p>
            <a:pPr>
              <a:defRPr sz="900" b="0" i="0" u="none" strike="noStrike" baseline="0">
                <a:solidFill>
                  <a:srgbClr val="666699"/>
                </a:solidFill>
                <a:latin typeface="Calibri"/>
                <a:ea typeface="Calibri"/>
                <a:cs typeface="Calibri"/>
              </a:defRPr>
            </a:pPr>
            <a:endParaRPr lang="en-US"/>
          </a:p>
        </c:txPr>
        <c:crossAx val="89456000"/>
        <c:crosses val="autoZero"/>
        <c:crossBetween val="midCat"/>
      </c:valAx>
      <c:spPr>
        <a:solidFill>
          <a:srgbClr val="FFFFFF"/>
        </a:solidFill>
        <a:ln w="25400">
          <a:noFill/>
        </a:ln>
      </c:spPr>
    </c:plotArea>
    <c:legend>
      <c:legendPos val="r"/>
      <c:layout>
        <c:manualLayout>
          <c:xMode val="edge"/>
          <c:yMode val="edge"/>
          <c:x val="0.88851877383772204"/>
          <c:y val="0.365671308674545"/>
          <c:w val="9.1514105919615604E-2"/>
          <c:h val="0.130596895955195"/>
        </c:manualLayout>
      </c:layout>
      <c:overlay val="0"/>
      <c:spPr>
        <a:noFill/>
        <a:ln w="25400">
          <a:noFill/>
        </a:ln>
      </c:spPr>
      <c:txPr>
        <a:bodyPr/>
        <a:lstStyle/>
        <a:p>
          <a:pPr>
            <a:defRPr sz="690" b="0" i="0" u="none" strike="noStrike" baseline="0">
              <a:solidFill>
                <a:srgbClr val="666699"/>
              </a:solidFill>
              <a:latin typeface="Calibri"/>
              <a:ea typeface="Calibri"/>
              <a:cs typeface="Calibri"/>
            </a:defRPr>
          </a:pPr>
          <a:endParaRPr lang="en-US"/>
        </a:p>
      </c:txPr>
    </c:legend>
    <c:plotVisOnly val="1"/>
    <c:dispBlanksAs val="gap"/>
    <c:showDLblsOverMax val="0"/>
  </c:chart>
  <c:spPr>
    <a:solidFill>
      <a:srgbClr val="B9CDE5"/>
    </a:solidFill>
    <a:ln w="9525">
      <a:noFill/>
    </a:ln>
  </c:spPr>
  <c:txPr>
    <a:bodyPr/>
    <a:lstStyle/>
    <a:p>
      <a:pPr>
        <a:defRPr sz="900" b="0" i="0" u="none" strike="noStrike" baseline="0">
          <a:solidFill>
            <a:srgbClr val="666699"/>
          </a:solidFill>
          <a:latin typeface="Calibri"/>
          <a:ea typeface="Calibri"/>
          <a:cs typeface="Calibri"/>
        </a:defRPr>
      </a:pPr>
      <a:endParaRPr lang="en-US"/>
    </a:p>
  </c:txPr>
  <c:printSettings>
    <c:headerFooter/>
    <c:pageMargins b="1" l="0.75" r="0.7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4.5855162381445803E-2"/>
          <c:y val="3.7134502923976603E-2"/>
          <c:w val="0.80402559843072496"/>
          <c:h val="0.83545730994152001"/>
        </c:manualLayout>
      </c:layout>
      <c:lineChart>
        <c:grouping val="standard"/>
        <c:varyColors val="0"/>
        <c:ser>
          <c:idx val="0"/>
          <c:order val="0"/>
          <c:tx>
            <c:strRef>
              <c:f>'10 States AggWorkings'!$B$94</c:f>
              <c:strCache>
                <c:ptCount val="1"/>
                <c:pt idx="0">
                  <c:v>planned</c:v>
                </c:pt>
              </c:strCache>
            </c:strRef>
          </c:tx>
          <c:spPr>
            <a:ln w="38100">
              <a:solidFill>
                <a:srgbClr val="666699"/>
              </a:solidFill>
              <a:prstDash val="solid"/>
            </a:ln>
          </c:spPr>
          <c:marker>
            <c:symbol val="none"/>
          </c:marker>
          <c:cat>
            <c:strRef>
              <c:f>'10 States AggWorkings'!$C$2:$Y$2</c:f>
              <c:strCache>
                <c:ptCount val="23"/>
                <c:pt idx="0">
                  <c:v>early                                                                 
2010</c:v>
                </c:pt>
                <c:pt idx="1">
                  <c:v>Q1</c:v>
                </c:pt>
                <c:pt idx="2">
                  <c:v>Q2</c:v>
                </c:pt>
                <c:pt idx="3">
                  <c:v>Q3</c:v>
                </c:pt>
                <c:pt idx="4">
                  <c:v>Q4</c:v>
                </c:pt>
                <c:pt idx="5">
                  <c:v>Q1</c:v>
                </c:pt>
                <c:pt idx="6">
                  <c:v>Q2                                                                 
mid 2011</c:v>
                </c:pt>
                <c:pt idx="7">
                  <c:v>Q3</c:v>
                </c:pt>
                <c:pt idx="8">
                  <c:v>Q4</c:v>
                </c:pt>
                <c:pt idx="9">
                  <c:v>Q1</c:v>
                </c:pt>
                <c:pt idx="10">
                  <c:v>Q2</c:v>
                </c:pt>
                <c:pt idx="11">
                  <c:v>Q3/4                                                                 
late 2012</c:v>
                </c:pt>
                <c:pt idx="12">
                  <c:v>Q1</c:v>
                </c:pt>
                <c:pt idx="13">
                  <c:v>Q2</c:v>
                </c:pt>
                <c:pt idx="14">
                  <c:v>Q3</c:v>
                </c:pt>
                <c:pt idx="15">
                  <c:v> Q4                                                                
late 2013</c:v>
                </c:pt>
                <c:pt idx="16">
                  <c:v>Q1</c:v>
                </c:pt>
                <c:pt idx="17">
                  <c:v>Q2</c:v>
                </c:pt>
                <c:pt idx="18">
                  <c:v>Q3</c:v>
                </c:pt>
                <c:pt idx="19">
                  <c:v>Q4</c:v>
                </c:pt>
                <c:pt idx="20">
                  <c:v>Q1</c:v>
                </c:pt>
                <c:pt idx="21">
                  <c:v>Q2</c:v>
                </c:pt>
                <c:pt idx="22">
                  <c:v>Q3                                                                 
mid 2015</c:v>
                </c:pt>
              </c:strCache>
            </c:strRef>
          </c:cat>
          <c:val>
            <c:numRef>
              <c:f>'10 States AggWorkings'!$C$94:$Y$94</c:f>
              <c:numCache>
                <c:formatCode>0.0</c:formatCode>
                <c:ptCount val="23"/>
                <c:pt idx="0">
                  <c:v>0</c:v>
                </c:pt>
                <c:pt idx="1">
                  <c:v>0</c:v>
                </c:pt>
                <c:pt idx="2">
                  <c:v>0</c:v>
                </c:pt>
                <c:pt idx="3">
                  <c:v>0</c:v>
                </c:pt>
                <c:pt idx="4">
                  <c:v>0</c:v>
                </c:pt>
                <c:pt idx="5">
                  <c:v>0</c:v>
                </c:pt>
                <c:pt idx="6">
                  <c:v>1.75</c:v>
                </c:pt>
                <c:pt idx="7">
                  <c:v>1.8125000000000002</c:v>
                </c:pt>
                <c:pt idx="8">
                  <c:v>1.875</c:v>
                </c:pt>
                <c:pt idx="9">
                  <c:v>1.9375</c:v>
                </c:pt>
                <c:pt idx="10">
                  <c:v>2</c:v>
                </c:pt>
                <c:pt idx="11">
                  <c:v>2.125</c:v>
                </c:pt>
                <c:pt idx="12">
                  <c:v>2.2000000000000002</c:v>
                </c:pt>
                <c:pt idx="13">
                  <c:v>2.2749999999999999</c:v>
                </c:pt>
                <c:pt idx="14">
                  <c:v>2.35</c:v>
                </c:pt>
                <c:pt idx="15">
                  <c:v>2.4250000000000003</c:v>
                </c:pt>
                <c:pt idx="16">
                  <c:v>2.5333333333333337</c:v>
                </c:pt>
                <c:pt idx="17">
                  <c:v>2.6416666666666666</c:v>
                </c:pt>
                <c:pt idx="18">
                  <c:v>2.75</c:v>
                </c:pt>
                <c:pt idx="19">
                  <c:v>2.8583333333333334</c:v>
                </c:pt>
                <c:pt idx="20">
                  <c:v>2.9433333333333329</c:v>
                </c:pt>
                <c:pt idx="21">
                  <c:v>3.1366666666666667</c:v>
                </c:pt>
                <c:pt idx="22">
                  <c:v>3.19</c:v>
                </c:pt>
              </c:numCache>
            </c:numRef>
          </c:val>
          <c:smooth val="0"/>
        </c:ser>
        <c:ser>
          <c:idx val="1"/>
          <c:order val="1"/>
          <c:tx>
            <c:strRef>
              <c:f>'10 States AggWorkings'!$B$95</c:f>
              <c:strCache>
                <c:ptCount val="1"/>
                <c:pt idx="0">
                  <c:v>achieved</c:v>
                </c:pt>
              </c:strCache>
            </c:strRef>
          </c:tx>
          <c:spPr>
            <a:ln w="38100">
              <a:solidFill>
                <a:srgbClr val="993366"/>
              </a:solidFill>
              <a:prstDash val="solid"/>
            </a:ln>
          </c:spPr>
          <c:marker>
            <c:symbol val="none"/>
          </c:marker>
          <c:cat>
            <c:strRef>
              <c:f>'10 States AggWorkings'!$C$2:$Y$2</c:f>
              <c:strCache>
                <c:ptCount val="23"/>
                <c:pt idx="0">
                  <c:v>early                                                                 
2010</c:v>
                </c:pt>
                <c:pt idx="1">
                  <c:v>Q1</c:v>
                </c:pt>
                <c:pt idx="2">
                  <c:v>Q2</c:v>
                </c:pt>
                <c:pt idx="3">
                  <c:v>Q3</c:v>
                </c:pt>
                <c:pt idx="4">
                  <c:v>Q4</c:v>
                </c:pt>
                <c:pt idx="5">
                  <c:v>Q1</c:v>
                </c:pt>
                <c:pt idx="6">
                  <c:v>Q2                                                                 
mid 2011</c:v>
                </c:pt>
                <c:pt idx="7">
                  <c:v>Q3</c:v>
                </c:pt>
                <c:pt idx="8">
                  <c:v>Q4</c:v>
                </c:pt>
                <c:pt idx="9">
                  <c:v>Q1</c:v>
                </c:pt>
                <c:pt idx="10">
                  <c:v>Q2</c:v>
                </c:pt>
                <c:pt idx="11">
                  <c:v>Q3/4                                                                 
late 2012</c:v>
                </c:pt>
                <c:pt idx="12">
                  <c:v>Q1</c:v>
                </c:pt>
                <c:pt idx="13">
                  <c:v>Q2</c:v>
                </c:pt>
                <c:pt idx="14">
                  <c:v>Q3</c:v>
                </c:pt>
                <c:pt idx="15">
                  <c:v> Q4                                                                
late 2013</c:v>
                </c:pt>
                <c:pt idx="16">
                  <c:v>Q1</c:v>
                </c:pt>
                <c:pt idx="17">
                  <c:v>Q2</c:v>
                </c:pt>
                <c:pt idx="18">
                  <c:v>Q3</c:v>
                </c:pt>
                <c:pt idx="19">
                  <c:v>Q4</c:v>
                </c:pt>
                <c:pt idx="20">
                  <c:v>Q1</c:v>
                </c:pt>
                <c:pt idx="21">
                  <c:v>Q2</c:v>
                </c:pt>
                <c:pt idx="22">
                  <c:v>Q3                                                                 
mid 2015</c:v>
                </c:pt>
              </c:strCache>
            </c:strRef>
          </c:cat>
          <c:val>
            <c:numRef>
              <c:f>'10 States AggWorkings'!$C$95:$Y$95</c:f>
              <c:numCache>
                <c:formatCode>0.0</c:formatCode>
                <c:ptCount val="23"/>
                <c:pt idx="0">
                  <c:v>0</c:v>
                </c:pt>
                <c:pt idx="1">
                  <c:v>0.77500000000000002</c:v>
                </c:pt>
                <c:pt idx="2">
                  <c:v>0.78749999999999998</c:v>
                </c:pt>
                <c:pt idx="3">
                  <c:v>0.82499999999999996</c:v>
                </c:pt>
                <c:pt idx="4">
                  <c:v>0.84999999999999987</c:v>
                </c:pt>
                <c:pt idx="5">
                  <c:v>0.84999999999999987</c:v>
                </c:pt>
                <c:pt idx="6">
                  <c:v>1.2</c:v>
                </c:pt>
                <c:pt idx="7">
                  <c:v>1.0125</c:v>
                </c:pt>
                <c:pt idx="8">
                  <c:v>1.0125</c:v>
                </c:pt>
                <c:pt idx="9">
                  <c:v>1.375</c:v>
                </c:pt>
                <c:pt idx="10">
                  <c:v>1.375</c:v>
                </c:pt>
                <c:pt idx="11">
                  <c:v>2.2250000000000001</c:v>
                </c:pt>
                <c:pt idx="12">
                  <c:v>2.125</c:v>
                </c:pt>
                <c:pt idx="13">
                  <c:v>2.25</c:v>
                </c:pt>
                <c:pt idx="14">
                  <c:v>2.4375</c:v>
                </c:pt>
                <c:pt idx="15">
                  <c:v>2.9124999999999996</c:v>
                </c:pt>
                <c:pt idx="16">
                  <c:v>2.9124999999999996</c:v>
                </c:pt>
                <c:pt idx="17">
                  <c:v>3.3624999999999998</c:v>
                </c:pt>
                <c:pt idx="18">
                  <c:v>3.4749999999999996</c:v>
                </c:pt>
                <c:pt idx="19">
                  <c:v>3.4624999999999999</c:v>
                </c:pt>
                <c:pt idx="20">
                  <c:v>3.2</c:v>
                </c:pt>
                <c:pt idx="21">
                  <c:v>3.31</c:v>
                </c:pt>
                <c:pt idx="22">
                  <c:v>0</c:v>
                </c:pt>
              </c:numCache>
            </c:numRef>
          </c:val>
          <c:smooth val="0"/>
        </c:ser>
        <c:dLbls>
          <c:showLegendKey val="0"/>
          <c:showVal val="0"/>
          <c:showCatName val="0"/>
          <c:showSerName val="0"/>
          <c:showPercent val="0"/>
          <c:showBubbleSize val="0"/>
        </c:dLbls>
        <c:marker val="1"/>
        <c:smooth val="0"/>
        <c:axId val="111448832"/>
        <c:axId val="111450368"/>
      </c:lineChart>
      <c:catAx>
        <c:axId val="111448832"/>
        <c:scaling>
          <c:orientation val="minMax"/>
        </c:scaling>
        <c:delete val="0"/>
        <c:axPos val="b"/>
        <c:majorGridlines>
          <c:spPr>
            <a:ln w="3175">
              <a:solidFill>
                <a:srgbClr val="808080"/>
              </a:solidFill>
              <a:prstDash val="solid"/>
            </a:ln>
          </c:spPr>
        </c:majorGridlines>
        <c:numFmt formatCode="General" sourceLinked="1"/>
        <c:majorTickMark val="out"/>
        <c:minorTickMark val="none"/>
        <c:tickLblPos val="nextTo"/>
        <c:spPr>
          <a:ln w="3175">
            <a:solidFill>
              <a:srgbClr val="808080"/>
            </a:solidFill>
            <a:prstDash val="solid"/>
          </a:ln>
        </c:spPr>
        <c:txPr>
          <a:bodyPr rot="0" vert="horz"/>
          <a:lstStyle/>
          <a:p>
            <a:pPr>
              <a:defRPr sz="900" b="0" i="0" u="none" strike="noStrike" baseline="0">
                <a:solidFill>
                  <a:srgbClr val="666699"/>
                </a:solidFill>
                <a:latin typeface="Calibri"/>
                <a:ea typeface="Calibri"/>
                <a:cs typeface="Calibri"/>
              </a:defRPr>
            </a:pPr>
            <a:endParaRPr lang="en-US"/>
          </a:p>
        </c:txPr>
        <c:crossAx val="111450368"/>
        <c:crosses val="autoZero"/>
        <c:auto val="1"/>
        <c:lblAlgn val="ctr"/>
        <c:lblOffset val="100"/>
        <c:noMultiLvlLbl val="0"/>
      </c:catAx>
      <c:valAx>
        <c:axId val="111450368"/>
        <c:scaling>
          <c:orientation val="minMax"/>
          <c:max val="5"/>
        </c:scaling>
        <c:delete val="0"/>
        <c:axPos val="l"/>
        <c:majorGridlines>
          <c:spPr>
            <a:ln w="3175">
              <a:solidFill>
                <a:srgbClr val="808080"/>
              </a:solidFill>
              <a:prstDash val="solid"/>
            </a:ln>
          </c:spPr>
        </c:majorGridlines>
        <c:numFmt formatCode="0.0" sourceLinked="1"/>
        <c:majorTickMark val="out"/>
        <c:minorTickMark val="none"/>
        <c:tickLblPos val="nextTo"/>
        <c:spPr>
          <a:ln w="3175">
            <a:solidFill>
              <a:srgbClr val="808080"/>
            </a:solidFill>
            <a:prstDash val="solid"/>
          </a:ln>
        </c:spPr>
        <c:txPr>
          <a:bodyPr rot="0" vert="horz"/>
          <a:lstStyle/>
          <a:p>
            <a:pPr>
              <a:defRPr sz="900" b="0" i="0" u="none" strike="noStrike" baseline="0">
                <a:solidFill>
                  <a:srgbClr val="666699"/>
                </a:solidFill>
                <a:latin typeface="Calibri"/>
                <a:ea typeface="Calibri"/>
                <a:cs typeface="Calibri"/>
              </a:defRPr>
            </a:pPr>
            <a:endParaRPr lang="en-US"/>
          </a:p>
        </c:txPr>
        <c:crossAx val="111448832"/>
        <c:crosses val="autoZero"/>
        <c:crossBetween val="midCat"/>
      </c:valAx>
      <c:spPr>
        <a:solidFill>
          <a:srgbClr val="FFFFFF"/>
        </a:solidFill>
        <a:ln w="25400">
          <a:noFill/>
        </a:ln>
      </c:spPr>
    </c:plotArea>
    <c:legend>
      <c:legendPos val="r"/>
      <c:layout>
        <c:manualLayout>
          <c:xMode val="edge"/>
          <c:yMode val="edge"/>
          <c:x val="0.88067299162371304"/>
          <c:y val="0.42007434944237898"/>
          <c:w val="9.0756376999390195E-2"/>
          <c:h val="0.130111524163569"/>
        </c:manualLayout>
      </c:layout>
      <c:overlay val="0"/>
      <c:spPr>
        <a:noFill/>
        <a:ln w="25400">
          <a:noFill/>
        </a:ln>
      </c:spPr>
      <c:txPr>
        <a:bodyPr/>
        <a:lstStyle/>
        <a:p>
          <a:pPr>
            <a:defRPr sz="690" b="0" i="0" u="none" strike="noStrike" baseline="0">
              <a:solidFill>
                <a:srgbClr val="666699"/>
              </a:solidFill>
              <a:latin typeface="Calibri"/>
              <a:ea typeface="Calibri"/>
              <a:cs typeface="Calibri"/>
            </a:defRPr>
          </a:pPr>
          <a:endParaRPr lang="en-US"/>
        </a:p>
      </c:txPr>
    </c:legend>
    <c:plotVisOnly val="1"/>
    <c:dispBlanksAs val="gap"/>
    <c:showDLblsOverMax val="0"/>
  </c:chart>
  <c:spPr>
    <a:solidFill>
      <a:srgbClr val="DCE6F2"/>
    </a:solidFill>
    <a:ln w="9525">
      <a:noFill/>
    </a:ln>
  </c:spPr>
  <c:txPr>
    <a:bodyPr/>
    <a:lstStyle/>
    <a:p>
      <a:pPr>
        <a:defRPr sz="900" b="0" i="0" u="none" strike="noStrike" baseline="0">
          <a:solidFill>
            <a:srgbClr val="666699"/>
          </a:solidFill>
          <a:latin typeface="Calibri"/>
          <a:ea typeface="Calibri"/>
          <a:cs typeface="Calibri"/>
        </a:defRPr>
      </a:pPr>
      <a:endParaRPr lang="en-US"/>
    </a:p>
  </c:txPr>
  <c:printSettings>
    <c:headerFooter/>
    <c:pageMargins b="1" l="0.75" r="0.75"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4.5855162381445803E-2"/>
          <c:y val="3.7134502923976603E-2"/>
          <c:w val="0.80402559843072496"/>
          <c:h val="0.83545730994152001"/>
        </c:manualLayout>
      </c:layout>
      <c:lineChart>
        <c:grouping val="standard"/>
        <c:varyColors val="0"/>
        <c:ser>
          <c:idx val="0"/>
          <c:order val="0"/>
          <c:tx>
            <c:strRef>
              <c:f>'10 States AggWorkings'!$B$100</c:f>
              <c:strCache>
                <c:ptCount val="1"/>
                <c:pt idx="0">
                  <c:v>planned</c:v>
                </c:pt>
              </c:strCache>
            </c:strRef>
          </c:tx>
          <c:spPr>
            <a:ln w="38100">
              <a:solidFill>
                <a:srgbClr val="666699"/>
              </a:solidFill>
              <a:prstDash val="solid"/>
            </a:ln>
          </c:spPr>
          <c:marker>
            <c:symbol val="none"/>
          </c:marker>
          <c:cat>
            <c:strRef>
              <c:f>'10 States AggWorkings'!$C$2:$Y$2</c:f>
              <c:strCache>
                <c:ptCount val="23"/>
                <c:pt idx="0">
                  <c:v>early                                                                 
2010</c:v>
                </c:pt>
                <c:pt idx="1">
                  <c:v>Q1</c:v>
                </c:pt>
                <c:pt idx="2">
                  <c:v>Q2</c:v>
                </c:pt>
                <c:pt idx="3">
                  <c:v>Q3</c:v>
                </c:pt>
                <c:pt idx="4">
                  <c:v>Q4</c:v>
                </c:pt>
                <c:pt idx="5">
                  <c:v>Q1</c:v>
                </c:pt>
                <c:pt idx="6">
                  <c:v>Q2                                                                 
mid 2011</c:v>
                </c:pt>
                <c:pt idx="7">
                  <c:v>Q3</c:v>
                </c:pt>
                <c:pt idx="8">
                  <c:v>Q4</c:v>
                </c:pt>
                <c:pt idx="9">
                  <c:v>Q1</c:v>
                </c:pt>
                <c:pt idx="10">
                  <c:v>Q2</c:v>
                </c:pt>
                <c:pt idx="11">
                  <c:v>Q3/4                                                                 
late 2012</c:v>
                </c:pt>
                <c:pt idx="12">
                  <c:v>Q1</c:v>
                </c:pt>
                <c:pt idx="13">
                  <c:v>Q2</c:v>
                </c:pt>
                <c:pt idx="14">
                  <c:v>Q3</c:v>
                </c:pt>
                <c:pt idx="15">
                  <c:v> Q4                                                                
late 2013</c:v>
                </c:pt>
                <c:pt idx="16">
                  <c:v>Q1</c:v>
                </c:pt>
                <c:pt idx="17">
                  <c:v>Q2</c:v>
                </c:pt>
                <c:pt idx="18">
                  <c:v>Q3</c:v>
                </c:pt>
                <c:pt idx="19">
                  <c:v>Q4</c:v>
                </c:pt>
                <c:pt idx="20">
                  <c:v>Q1</c:v>
                </c:pt>
                <c:pt idx="21">
                  <c:v>Q2</c:v>
                </c:pt>
                <c:pt idx="22">
                  <c:v>Q3                                                                 
mid 2015</c:v>
                </c:pt>
              </c:strCache>
            </c:strRef>
          </c:cat>
          <c:val>
            <c:numRef>
              <c:f>'10 States AggWorkings'!$C$100:$Y$100</c:f>
              <c:numCache>
                <c:formatCode>0.0</c:formatCode>
                <c:ptCount val="23"/>
                <c:pt idx="0">
                  <c:v>0</c:v>
                </c:pt>
                <c:pt idx="1">
                  <c:v>0</c:v>
                </c:pt>
                <c:pt idx="2">
                  <c:v>0</c:v>
                </c:pt>
                <c:pt idx="3">
                  <c:v>0</c:v>
                </c:pt>
                <c:pt idx="4">
                  <c:v>0</c:v>
                </c:pt>
                <c:pt idx="5">
                  <c:v>0</c:v>
                </c:pt>
                <c:pt idx="6">
                  <c:v>1.4750000000000001</c:v>
                </c:pt>
                <c:pt idx="7">
                  <c:v>1.5791666666666666</c:v>
                </c:pt>
                <c:pt idx="8">
                  <c:v>1.6833333333333336</c:v>
                </c:pt>
                <c:pt idx="9">
                  <c:v>1.7875000000000001</c:v>
                </c:pt>
                <c:pt idx="10">
                  <c:v>1.8916666666666666</c:v>
                </c:pt>
                <c:pt idx="11">
                  <c:v>2.1</c:v>
                </c:pt>
                <c:pt idx="12">
                  <c:v>2.1875</c:v>
                </c:pt>
                <c:pt idx="13">
                  <c:v>2.2749999999999999</c:v>
                </c:pt>
                <c:pt idx="14">
                  <c:v>2.3624999999999998</c:v>
                </c:pt>
                <c:pt idx="15">
                  <c:v>2.4500000000000002</c:v>
                </c:pt>
                <c:pt idx="16">
                  <c:v>2.5437500000000002</c:v>
                </c:pt>
                <c:pt idx="17">
                  <c:v>2.6375000000000002</c:v>
                </c:pt>
                <c:pt idx="18">
                  <c:v>2.7312500000000002</c:v>
                </c:pt>
                <c:pt idx="19">
                  <c:v>2.8250000000000002</c:v>
                </c:pt>
                <c:pt idx="20">
                  <c:v>2.7050000000000001</c:v>
                </c:pt>
                <c:pt idx="21">
                  <c:v>2.8500000000000005</c:v>
                </c:pt>
                <c:pt idx="22">
                  <c:v>2.8999999999999995</c:v>
                </c:pt>
              </c:numCache>
            </c:numRef>
          </c:val>
          <c:smooth val="0"/>
        </c:ser>
        <c:ser>
          <c:idx val="1"/>
          <c:order val="1"/>
          <c:tx>
            <c:strRef>
              <c:f>'10 States AggWorkings'!$B$101</c:f>
              <c:strCache>
                <c:ptCount val="1"/>
                <c:pt idx="0">
                  <c:v>achieved</c:v>
                </c:pt>
              </c:strCache>
            </c:strRef>
          </c:tx>
          <c:spPr>
            <a:ln w="38100">
              <a:solidFill>
                <a:srgbClr val="993366"/>
              </a:solidFill>
              <a:prstDash val="solid"/>
            </a:ln>
          </c:spPr>
          <c:marker>
            <c:symbol val="none"/>
          </c:marker>
          <c:cat>
            <c:strRef>
              <c:f>'10 States AggWorkings'!$C$2:$Y$2</c:f>
              <c:strCache>
                <c:ptCount val="23"/>
                <c:pt idx="0">
                  <c:v>early                                                                 
2010</c:v>
                </c:pt>
                <c:pt idx="1">
                  <c:v>Q1</c:v>
                </c:pt>
                <c:pt idx="2">
                  <c:v>Q2</c:v>
                </c:pt>
                <c:pt idx="3">
                  <c:v>Q3</c:v>
                </c:pt>
                <c:pt idx="4">
                  <c:v>Q4</c:v>
                </c:pt>
                <c:pt idx="5">
                  <c:v>Q1</c:v>
                </c:pt>
                <c:pt idx="6">
                  <c:v>Q2                                                                 
mid 2011</c:v>
                </c:pt>
                <c:pt idx="7">
                  <c:v>Q3</c:v>
                </c:pt>
                <c:pt idx="8">
                  <c:v>Q4</c:v>
                </c:pt>
                <c:pt idx="9">
                  <c:v>Q1</c:v>
                </c:pt>
                <c:pt idx="10">
                  <c:v>Q2</c:v>
                </c:pt>
                <c:pt idx="11">
                  <c:v>Q3/4                                                                 
late 2012</c:v>
                </c:pt>
                <c:pt idx="12">
                  <c:v>Q1</c:v>
                </c:pt>
                <c:pt idx="13">
                  <c:v>Q2</c:v>
                </c:pt>
                <c:pt idx="14">
                  <c:v>Q3</c:v>
                </c:pt>
                <c:pt idx="15">
                  <c:v> Q4                                                                
late 2013</c:v>
                </c:pt>
                <c:pt idx="16">
                  <c:v>Q1</c:v>
                </c:pt>
                <c:pt idx="17">
                  <c:v>Q2</c:v>
                </c:pt>
                <c:pt idx="18">
                  <c:v>Q3</c:v>
                </c:pt>
                <c:pt idx="19">
                  <c:v>Q4</c:v>
                </c:pt>
                <c:pt idx="20">
                  <c:v>Q1</c:v>
                </c:pt>
                <c:pt idx="21">
                  <c:v>Q2</c:v>
                </c:pt>
                <c:pt idx="22">
                  <c:v>Q3                                                                 
mid 2015</c:v>
                </c:pt>
              </c:strCache>
            </c:strRef>
          </c:cat>
          <c:val>
            <c:numRef>
              <c:f>'10 States AggWorkings'!$C$101:$Y$101</c:f>
              <c:numCache>
                <c:formatCode>0.0</c:formatCode>
                <c:ptCount val="23"/>
                <c:pt idx="0">
                  <c:v>0</c:v>
                </c:pt>
                <c:pt idx="1">
                  <c:v>0.875</c:v>
                </c:pt>
                <c:pt idx="2">
                  <c:v>0.875</c:v>
                </c:pt>
                <c:pt idx="3">
                  <c:v>0.875</c:v>
                </c:pt>
                <c:pt idx="4">
                  <c:v>0.875</c:v>
                </c:pt>
                <c:pt idx="5">
                  <c:v>0.875</c:v>
                </c:pt>
                <c:pt idx="6">
                  <c:v>1.3125</c:v>
                </c:pt>
                <c:pt idx="7">
                  <c:v>1.2250000000000001</c:v>
                </c:pt>
                <c:pt idx="8">
                  <c:v>1.2875000000000001</c:v>
                </c:pt>
                <c:pt idx="9">
                  <c:v>1.625</c:v>
                </c:pt>
                <c:pt idx="10">
                  <c:v>1.625</c:v>
                </c:pt>
                <c:pt idx="11">
                  <c:v>1.9875000000000003</c:v>
                </c:pt>
                <c:pt idx="12">
                  <c:v>2.1875</c:v>
                </c:pt>
                <c:pt idx="13">
                  <c:v>2.3250000000000002</c:v>
                </c:pt>
                <c:pt idx="14">
                  <c:v>2.7</c:v>
                </c:pt>
                <c:pt idx="15">
                  <c:v>2.65</c:v>
                </c:pt>
                <c:pt idx="16">
                  <c:v>2.75</c:v>
                </c:pt>
                <c:pt idx="17">
                  <c:v>3.1624999999999996</c:v>
                </c:pt>
                <c:pt idx="18">
                  <c:v>3.3</c:v>
                </c:pt>
                <c:pt idx="19">
                  <c:v>3.5500000000000003</c:v>
                </c:pt>
                <c:pt idx="20">
                  <c:v>3.2300000000000004</c:v>
                </c:pt>
                <c:pt idx="21">
                  <c:v>3.28</c:v>
                </c:pt>
                <c:pt idx="22">
                  <c:v>0</c:v>
                </c:pt>
              </c:numCache>
            </c:numRef>
          </c:val>
          <c:smooth val="0"/>
        </c:ser>
        <c:dLbls>
          <c:showLegendKey val="0"/>
          <c:showVal val="0"/>
          <c:showCatName val="0"/>
          <c:showSerName val="0"/>
          <c:showPercent val="0"/>
          <c:showBubbleSize val="0"/>
        </c:dLbls>
        <c:marker val="1"/>
        <c:smooth val="0"/>
        <c:axId val="111807872"/>
        <c:axId val="111813760"/>
      </c:lineChart>
      <c:catAx>
        <c:axId val="111807872"/>
        <c:scaling>
          <c:orientation val="minMax"/>
        </c:scaling>
        <c:delete val="0"/>
        <c:axPos val="b"/>
        <c:majorGridlines>
          <c:spPr>
            <a:ln w="3175">
              <a:solidFill>
                <a:srgbClr val="808080"/>
              </a:solidFill>
              <a:prstDash val="solid"/>
            </a:ln>
          </c:spPr>
        </c:majorGridlines>
        <c:numFmt formatCode="General" sourceLinked="1"/>
        <c:majorTickMark val="out"/>
        <c:minorTickMark val="none"/>
        <c:tickLblPos val="nextTo"/>
        <c:spPr>
          <a:ln w="3175">
            <a:solidFill>
              <a:srgbClr val="808080"/>
            </a:solidFill>
            <a:prstDash val="solid"/>
          </a:ln>
        </c:spPr>
        <c:txPr>
          <a:bodyPr rot="0" vert="horz"/>
          <a:lstStyle/>
          <a:p>
            <a:pPr>
              <a:defRPr sz="900" b="0" i="0" u="none" strike="noStrike" baseline="0">
                <a:solidFill>
                  <a:srgbClr val="666699"/>
                </a:solidFill>
                <a:latin typeface="Calibri"/>
                <a:ea typeface="Calibri"/>
                <a:cs typeface="Calibri"/>
              </a:defRPr>
            </a:pPr>
            <a:endParaRPr lang="en-US"/>
          </a:p>
        </c:txPr>
        <c:crossAx val="111813760"/>
        <c:crosses val="autoZero"/>
        <c:auto val="1"/>
        <c:lblAlgn val="ctr"/>
        <c:lblOffset val="100"/>
        <c:noMultiLvlLbl val="0"/>
      </c:catAx>
      <c:valAx>
        <c:axId val="111813760"/>
        <c:scaling>
          <c:orientation val="minMax"/>
          <c:max val="5"/>
        </c:scaling>
        <c:delete val="0"/>
        <c:axPos val="l"/>
        <c:majorGridlines>
          <c:spPr>
            <a:ln w="3175">
              <a:solidFill>
                <a:srgbClr val="808080"/>
              </a:solidFill>
              <a:prstDash val="solid"/>
            </a:ln>
          </c:spPr>
        </c:majorGridlines>
        <c:numFmt formatCode="0.0" sourceLinked="1"/>
        <c:majorTickMark val="out"/>
        <c:minorTickMark val="none"/>
        <c:tickLblPos val="nextTo"/>
        <c:spPr>
          <a:ln w="3175">
            <a:solidFill>
              <a:srgbClr val="808080"/>
            </a:solidFill>
            <a:prstDash val="solid"/>
          </a:ln>
        </c:spPr>
        <c:txPr>
          <a:bodyPr rot="0" vert="horz"/>
          <a:lstStyle/>
          <a:p>
            <a:pPr>
              <a:defRPr sz="900" b="0" i="0" u="none" strike="noStrike" baseline="0">
                <a:solidFill>
                  <a:srgbClr val="666699"/>
                </a:solidFill>
                <a:latin typeface="Calibri"/>
                <a:ea typeface="Calibri"/>
                <a:cs typeface="Calibri"/>
              </a:defRPr>
            </a:pPr>
            <a:endParaRPr lang="en-US"/>
          </a:p>
        </c:txPr>
        <c:crossAx val="111807872"/>
        <c:crosses val="autoZero"/>
        <c:crossBetween val="midCat"/>
      </c:valAx>
      <c:spPr>
        <a:solidFill>
          <a:srgbClr val="FFFFFF"/>
        </a:solidFill>
        <a:ln w="25400">
          <a:noFill/>
        </a:ln>
      </c:spPr>
    </c:plotArea>
    <c:legend>
      <c:legendPos val="r"/>
      <c:layout>
        <c:manualLayout>
          <c:xMode val="edge"/>
          <c:yMode val="edge"/>
          <c:x val="0.88254979328961902"/>
          <c:y val="0.382899628252788"/>
          <c:w val="9.0603971174219394E-2"/>
          <c:h val="0.130111524163569"/>
        </c:manualLayout>
      </c:layout>
      <c:overlay val="0"/>
      <c:spPr>
        <a:noFill/>
        <a:ln w="25400">
          <a:noFill/>
        </a:ln>
      </c:spPr>
      <c:txPr>
        <a:bodyPr/>
        <a:lstStyle/>
        <a:p>
          <a:pPr>
            <a:defRPr sz="690" b="0" i="0" u="none" strike="noStrike" baseline="0">
              <a:solidFill>
                <a:srgbClr val="666699"/>
              </a:solidFill>
              <a:latin typeface="Calibri"/>
              <a:ea typeface="Calibri"/>
              <a:cs typeface="Calibri"/>
            </a:defRPr>
          </a:pPr>
          <a:endParaRPr lang="en-US"/>
        </a:p>
      </c:txPr>
    </c:legend>
    <c:plotVisOnly val="1"/>
    <c:dispBlanksAs val="gap"/>
    <c:showDLblsOverMax val="0"/>
  </c:chart>
  <c:spPr>
    <a:solidFill>
      <a:srgbClr val="DCE6F2"/>
    </a:solidFill>
    <a:ln w="9525">
      <a:noFill/>
    </a:ln>
  </c:spPr>
  <c:txPr>
    <a:bodyPr/>
    <a:lstStyle/>
    <a:p>
      <a:pPr>
        <a:defRPr sz="900" b="0" i="0" u="none" strike="noStrike" baseline="0">
          <a:solidFill>
            <a:srgbClr val="666699"/>
          </a:solidFill>
          <a:latin typeface="Calibri"/>
          <a:ea typeface="Calibri"/>
          <a:cs typeface="Calibri"/>
        </a:defRPr>
      </a:pPr>
      <a:endParaRPr lang="en-US"/>
    </a:p>
  </c:txPr>
  <c:printSettings>
    <c:headerFooter/>
    <c:pageMargins b="1" l="0.75" r="0.7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4.2501333279108697E-2"/>
          <c:y val="3.7134502923976603E-2"/>
          <c:w val="0.80578517034480901"/>
          <c:h val="0.83545730994152001"/>
        </c:manualLayout>
      </c:layout>
      <c:lineChart>
        <c:grouping val="standard"/>
        <c:varyColors val="0"/>
        <c:ser>
          <c:idx val="0"/>
          <c:order val="0"/>
          <c:tx>
            <c:strRef>
              <c:f>'10 States AggWorkings'!$B$106</c:f>
              <c:strCache>
                <c:ptCount val="1"/>
                <c:pt idx="0">
                  <c:v>planned: committees</c:v>
                </c:pt>
              </c:strCache>
            </c:strRef>
          </c:tx>
          <c:spPr>
            <a:ln w="38100">
              <a:solidFill>
                <a:srgbClr val="666699"/>
              </a:solidFill>
              <a:prstDash val="solid"/>
            </a:ln>
          </c:spPr>
          <c:marker>
            <c:symbol val="none"/>
          </c:marker>
          <c:cat>
            <c:strRef>
              <c:f>'10 States AggWorkings'!$C$2:$Y$2</c:f>
              <c:strCache>
                <c:ptCount val="23"/>
                <c:pt idx="0">
                  <c:v>early                                                                 
2010</c:v>
                </c:pt>
                <c:pt idx="1">
                  <c:v>Q1</c:v>
                </c:pt>
                <c:pt idx="2">
                  <c:v>Q2</c:v>
                </c:pt>
                <c:pt idx="3">
                  <c:v>Q3</c:v>
                </c:pt>
                <c:pt idx="4">
                  <c:v>Q4</c:v>
                </c:pt>
                <c:pt idx="5">
                  <c:v>Q1</c:v>
                </c:pt>
                <c:pt idx="6">
                  <c:v>Q2                                                                 
mid 2011</c:v>
                </c:pt>
                <c:pt idx="7">
                  <c:v>Q3</c:v>
                </c:pt>
                <c:pt idx="8">
                  <c:v>Q4</c:v>
                </c:pt>
                <c:pt idx="9">
                  <c:v>Q1</c:v>
                </c:pt>
                <c:pt idx="10">
                  <c:v>Q2</c:v>
                </c:pt>
                <c:pt idx="11">
                  <c:v>Q3/4                                                                 
late 2012</c:v>
                </c:pt>
                <c:pt idx="12">
                  <c:v>Q1</c:v>
                </c:pt>
                <c:pt idx="13">
                  <c:v>Q2</c:v>
                </c:pt>
                <c:pt idx="14">
                  <c:v>Q3</c:v>
                </c:pt>
                <c:pt idx="15">
                  <c:v> Q4                                                                
late 2013</c:v>
                </c:pt>
                <c:pt idx="16">
                  <c:v>Q1</c:v>
                </c:pt>
                <c:pt idx="17">
                  <c:v>Q2</c:v>
                </c:pt>
                <c:pt idx="18">
                  <c:v>Q3</c:v>
                </c:pt>
                <c:pt idx="19">
                  <c:v>Q4</c:v>
                </c:pt>
                <c:pt idx="20">
                  <c:v>Q1</c:v>
                </c:pt>
                <c:pt idx="21">
                  <c:v>Q2</c:v>
                </c:pt>
                <c:pt idx="22">
                  <c:v>Q3                                                                 
mid 2015</c:v>
                </c:pt>
              </c:strCache>
            </c:strRef>
          </c:cat>
          <c:val>
            <c:numRef>
              <c:f>'10 States AggWorkings'!$C$106:$Y$106</c:f>
              <c:numCache>
                <c:formatCode>0</c:formatCode>
                <c:ptCount val="23"/>
                <c:pt idx="0" formatCode="0.0">
                  <c:v>0</c:v>
                </c:pt>
                <c:pt idx="1">
                  <c:v>0</c:v>
                </c:pt>
                <c:pt idx="2">
                  <c:v>0</c:v>
                </c:pt>
                <c:pt idx="3">
                  <c:v>0</c:v>
                </c:pt>
                <c:pt idx="4">
                  <c:v>0</c:v>
                </c:pt>
                <c:pt idx="5">
                  <c:v>0</c:v>
                </c:pt>
                <c:pt idx="6">
                  <c:v>14</c:v>
                </c:pt>
                <c:pt idx="7">
                  <c:v>16.5</c:v>
                </c:pt>
                <c:pt idx="8">
                  <c:v>19.000000000000004</c:v>
                </c:pt>
                <c:pt idx="9">
                  <c:v>21.5</c:v>
                </c:pt>
                <c:pt idx="10">
                  <c:v>23.999999999999996</c:v>
                </c:pt>
                <c:pt idx="11">
                  <c:v>29</c:v>
                </c:pt>
                <c:pt idx="12">
                  <c:v>32.75</c:v>
                </c:pt>
                <c:pt idx="13">
                  <c:v>36.5</c:v>
                </c:pt>
                <c:pt idx="14">
                  <c:v>40.25</c:v>
                </c:pt>
                <c:pt idx="15">
                  <c:v>44</c:v>
                </c:pt>
                <c:pt idx="16">
                  <c:v>47.166666666666671</c:v>
                </c:pt>
                <c:pt idx="17">
                  <c:v>50.333333333333343</c:v>
                </c:pt>
                <c:pt idx="18">
                  <c:v>53.5</c:v>
                </c:pt>
                <c:pt idx="19">
                  <c:v>56.666666666666671</c:v>
                </c:pt>
                <c:pt idx="20">
                  <c:v>66.000000000000014</c:v>
                </c:pt>
                <c:pt idx="21">
                  <c:v>71.333333333333329</c:v>
                </c:pt>
                <c:pt idx="22">
                  <c:v>73</c:v>
                </c:pt>
              </c:numCache>
            </c:numRef>
          </c:val>
          <c:smooth val="0"/>
        </c:ser>
        <c:ser>
          <c:idx val="1"/>
          <c:order val="1"/>
          <c:tx>
            <c:strRef>
              <c:f>'10 States AggWorkings'!$B$107</c:f>
              <c:strCache>
                <c:ptCount val="1"/>
                <c:pt idx="0">
                  <c:v>achieved: committees</c:v>
                </c:pt>
              </c:strCache>
            </c:strRef>
          </c:tx>
          <c:spPr>
            <a:ln w="38100">
              <a:solidFill>
                <a:srgbClr val="993366"/>
              </a:solidFill>
              <a:prstDash val="solid"/>
            </a:ln>
          </c:spPr>
          <c:marker>
            <c:symbol val="none"/>
          </c:marker>
          <c:cat>
            <c:strRef>
              <c:f>'10 States AggWorkings'!$C$2:$Y$2</c:f>
              <c:strCache>
                <c:ptCount val="23"/>
                <c:pt idx="0">
                  <c:v>early                                                                 
2010</c:v>
                </c:pt>
                <c:pt idx="1">
                  <c:v>Q1</c:v>
                </c:pt>
                <c:pt idx="2">
                  <c:v>Q2</c:v>
                </c:pt>
                <c:pt idx="3">
                  <c:v>Q3</c:v>
                </c:pt>
                <c:pt idx="4">
                  <c:v>Q4</c:v>
                </c:pt>
                <c:pt idx="5">
                  <c:v>Q1</c:v>
                </c:pt>
                <c:pt idx="6">
                  <c:v>Q2                                                                 
mid 2011</c:v>
                </c:pt>
                <c:pt idx="7">
                  <c:v>Q3</c:v>
                </c:pt>
                <c:pt idx="8">
                  <c:v>Q4</c:v>
                </c:pt>
                <c:pt idx="9">
                  <c:v>Q1</c:v>
                </c:pt>
                <c:pt idx="10">
                  <c:v>Q2</c:v>
                </c:pt>
                <c:pt idx="11">
                  <c:v>Q3/4                                                                 
late 2012</c:v>
                </c:pt>
                <c:pt idx="12">
                  <c:v>Q1</c:v>
                </c:pt>
                <c:pt idx="13">
                  <c:v>Q2</c:v>
                </c:pt>
                <c:pt idx="14">
                  <c:v>Q3</c:v>
                </c:pt>
                <c:pt idx="15">
                  <c:v> Q4                                                                
late 2013</c:v>
                </c:pt>
                <c:pt idx="16">
                  <c:v>Q1</c:v>
                </c:pt>
                <c:pt idx="17">
                  <c:v>Q2</c:v>
                </c:pt>
                <c:pt idx="18">
                  <c:v>Q3</c:v>
                </c:pt>
                <c:pt idx="19">
                  <c:v>Q4</c:v>
                </c:pt>
                <c:pt idx="20">
                  <c:v>Q1</c:v>
                </c:pt>
                <c:pt idx="21">
                  <c:v>Q2</c:v>
                </c:pt>
                <c:pt idx="22">
                  <c:v>Q3                                                                 
mid 2015</c:v>
                </c:pt>
              </c:strCache>
            </c:strRef>
          </c:cat>
          <c:val>
            <c:numRef>
              <c:f>'10 States AggWorkings'!$C$107:$Y$107</c:f>
              <c:numCache>
                <c:formatCode>0</c:formatCode>
                <c:ptCount val="23"/>
                <c:pt idx="0" formatCode="0.0">
                  <c:v>0</c:v>
                </c:pt>
                <c:pt idx="1">
                  <c:v>0</c:v>
                </c:pt>
                <c:pt idx="2">
                  <c:v>0</c:v>
                </c:pt>
                <c:pt idx="3">
                  <c:v>0</c:v>
                </c:pt>
                <c:pt idx="4">
                  <c:v>0</c:v>
                </c:pt>
                <c:pt idx="5">
                  <c:v>0</c:v>
                </c:pt>
                <c:pt idx="6">
                  <c:v>0</c:v>
                </c:pt>
                <c:pt idx="7">
                  <c:v>0</c:v>
                </c:pt>
                <c:pt idx="8">
                  <c:v>0</c:v>
                </c:pt>
                <c:pt idx="9">
                  <c:v>14</c:v>
                </c:pt>
                <c:pt idx="10">
                  <c:v>12</c:v>
                </c:pt>
                <c:pt idx="11">
                  <c:v>28</c:v>
                </c:pt>
                <c:pt idx="12">
                  <c:v>33</c:v>
                </c:pt>
                <c:pt idx="13">
                  <c:v>47</c:v>
                </c:pt>
                <c:pt idx="14">
                  <c:v>59.5</c:v>
                </c:pt>
                <c:pt idx="15">
                  <c:v>47.8</c:v>
                </c:pt>
                <c:pt idx="16">
                  <c:v>48</c:v>
                </c:pt>
                <c:pt idx="17">
                  <c:v>58</c:v>
                </c:pt>
                <c:pt idx="18">
                  <c:v>64</c:v>
                </c:pt>
                <c:pt idx="19">
                  <c:v>65</c:v>
                </c:pt>
                <c:pt idx="20">
                  <c:v>74</c:v>
                </c:pt>
                <c:pt idx="21">
                  <c:v>80</c:v>
                </c:pt>
                <c:pt idx="22">
                  <c:v>0</c:v>
                </c:pt>
              </c:numCache>
            </c:numRef>
          </c:val>
          <c:smooth val="0"/>
        </c:ser>
        <c:ser>
          <c:idx val="2"/>
          <c:order val="2"/>
          <c:tx>
            <c:strRef>
              <c:f>'10 States AggWorkings'!$B$109</c:f>
              <c:strCache>
                <c:ptCount val="1"/>
                <c:pt idx="0">
                  <c:v>planned: houses</c:v>
                </c:pt>
              </c:strCache>
            </c:strRef>
          </c:tx>
          <c:spPr>
            <a:ln w="38100">
              <a:solidFill>
                <a:srgbClr val="90713A"/>
              </a:solidFill>
              <a:prstDash val="solid"/>
            </a:ln>
          </c:spPr>
          <c:marker>
            <c:symbol val="none"/>
          </c:marker>
          <c:cat>
            <c:strRef>
              <c:f>'10 States AggWorkings'!$C$2:$Y$2</c:f>
              <c:strCache>
                <c:ptCount val="23"/>
                <c:pt idx="0">
                  <c:v>early                                                                 
2010</c:v>
                </c:pt>
                <c:pt idx="1">
                  <c:v>Q1</c:v>
                </c:pt>
                <c:pt idx="2">
                  <c:v>Q2</c:v>
                </c:pt>
                <c:pt idx="3">
                  <c:v>Q3</c:v>
                </c:pt>
                <c:pt idx="4">
                  <c:v>Q4</c:v>
                </c:pt>
                <c:pt idx="5">
                  <c:v>Q1</c:v>
                </c:pt>
                <c:pt idx="6">
                  <c:v>Q2                                                                 
mid 2011</c:v>
                </c:pt>
                <c:pt idx="7">
                  <c:v>Q3</c:v>
                </c:pt>
                <c:pt idx="8">
                  <c:v>Q4</c:v>
                </c:pt>
                <c:pt idx="9">
                  <c:v>Q1</c:v>
                </c:pt>
                <c:pt idx="10">
                  <c:v>Q2</c:v>
                </c:pt>
                <c:pt idx="11">
                  <c:v>Q3/4                                                                 
late 2012</c:v>
                </c:pt>
                <c:pt idx="12">
                  <c:v>Q1</c:v>
                </c:pt>
                <c:pt idx="13">
                  <c:v>Q2</c:v>
                </c:pt>
                <c:pt idx="14">
                  <c:v>Q3</c:v>
                </c:pt>
                <c:pt idx="15">
                  <c:v> Q4                                                                
late 2013</c:v>
                </c:pt>
                <c:pt idx="16">
                  <c:v>Q1</c:v>
                </c:pt>
                <c:pt idx="17">
                  <c:v>Q2</c:v>
                </c:pt>
                <c:pt idx="18">
                  <c:v>Q3</c:v>
                </c:pt>
                <c:pt idx="19">
                  <c:v>Q4</c:v>
                </c:pt>
                <c:pt idx="20">
                  <c:v>Q1</c:v>
                </c:pt>
                <c:pt idx="21">
                  <c:v>Q2</c:v>
                </c:pt>
                <c:pt idx="22">
                  <c:v>Q3                                                                 
mid 2015</c:v>
                </c:pt>
              </c:strCache>
            </c:strRef>
          </c:cat>
          <c:val>
            <c:numRef>
              <c:f>'10 States AggWorkings'!$C$109:$Y$109</c:f>
              <c:numCache>
                <c:formatCode>0</c:formatCode>
                <c:ptCount val="23"/>
                <c:pt idx="0" formatCode="0.0">
                  <c:v>0</c:v>
                </c:pt>
                <c:pt idx="1">
                  <c:v>0</c:v>
                </c:pt>
                <c:pt idx="2">
                  <c:v>0</c:v>
                </c:pt>
                <c:pt idx="3">
                  <c:v>0</c:v>
                </c:pt>
                <c:pt idx="4">
                  <c:v>0</c:v>
                </c:pt>
                <c:pt idx="5">
                  <c:v>0</c:v>
                </c:pt>
                <c:pt idx="6">
                  <c:v>7</c:v>
                </c:pt>
                <c:pt idx="7">
                  <c:v>7.666666666666667</c:v>
                </c:pt>
                <c:pt idx="8">
                  <c:v>8.3333333333333339</c:v>
                </c:pt>
                <c:pt idx="9">
                  <c:v>9</c:v>
                </c:pt>
                <c:pt idx="10">
                  <c:v>9.6666666666666661</c:v>
                </c:pt>
                <c:pt idx="11">
                  <c:v>11</c:v>
                </c:pt>
                <c:pt idx="12">
                  <c:v>13</c:v>
                </c:pt>
                <c:pt idx="13">
                  <c:v>15</c:v>
                </c:pt>
                <c:pt idx="14">
                  <c:v>17</c:v>
                </c:pt>
                <c:pt idx="15">
                  <c:v>19</c:v>
                </c:pt>
                <c:pt idx="16">
                  <c:v>20.5</c:v>
                </c:pt>
                <c:pt idx="17">
                  <c:v>22</c:v>
                </c:pt>
                <c:pt idx="18">
                  <c:v>23.499999999999996</c:v>
                </c:pt>
                <c:pt idx="19">
                  <c:v>24.999999999999996</c:v>
                </c:pt>
                <c:pt idx="20">
                  <c:v>35.5</c:v>
                </c:pt>
                <c:pt idx="21">
                  <c:v>39.333333333333336</c:v>
                </c:pt>
                <c:pt idx="22">
                  <c:v>40</c:v>
                </c:pt>
              </c:numCache>
            </c:numRef>
          </c:val>
          <c:smooth val="0"/>
        </c:ser>
        <c:ser>
          <c:idx val="3"/>
          <c:order val="3"/>
          <c:tx>
            <c:strRef>
              <c:f>'10 States AggWorkings'!$B$110</c:f>
              <c:strCache>
                <c:ptCount val="1"/>
                <c:pt idx="0">
                  <c:v>achieved: houses</c:v>
                </c:pt>
              </c:strCache>
            </c:strRef>
          </c:tx>
          <c:spPr>
            <a:ln w="38100">
              <a:solidFill>
                <a:srgbClr val="666699"/>
              </a:solidFill>
              <a:prstDash val="solid"/>
            </a:ln>
          </c:spPr>
          <c:marker>
            <c:symbol val="none"/>
          </c:marker>
          <c:cat>
            <c:strRef>
              <c:f>'10 States AggWorkings'!$C$2:$Y$2</c:f>
              <c:strCache>
                <c:ptCount val="23"/>
                <c:pt idx="0">
                  <c:v>early                                                                 
2010</c:v>
                </c:pt>
                <c:pt idx="1">
                  <c:v>Q1</c:v>
                </c:pt>
                <c:pt idx="2">
                  <c:v>Q2</c:v>
                </c:pt>
                <c:pt idx="3">
                  <c:v>Q3</c:v>
                </c:pt>
                <c:pt idx="4">
                  <c:v>Q4</c:v>
                </c:pt>
                <c:pt idx="5">
                  <c:v>Q1</c:v>
                </c:pt>
                <c:pt idx="6">
                  <c:v>Q2                                                                 
mid 2011</c:v>
                </c:pt>
                <c:pt idx="7">
                  <c:v>Q3</c:v>
                </c:pt>
                <c:pt idx="8">
                  <c:v>Q4</c:v>
                </c:pt>
                <c:pt idx="9">
                  <c:v>Q1</c:v>
                </c:pt>
                <c:pt idx="10">
                  <c:v>Q2</c:v>
                </c:pt>
                <c:pt idx="11">
                  <c:v>Q3/4                                                                 
late 2012</c:v>
                </c:pt>
                <c:pt idx="12">
                  <c:v>Q1</c:v>
                </c:pt>
                <c:pt idx="13">
                  <c:v>Q2</c:v>
                </c:pt>
                <c:pt idx="14">
                  <c:v>Q3</c:v>
                </c:pt>
                <c:pt idx="15">
                  <c:v> Q4                                                                
late 2013</c:v>
                </c:pt>
                <c:pt idx="16">
                  <c:v>Q1</c:v>
                </c:pt>
                <c:pt idx="17">
                  <c:v>Q2</c:v>
                </c:pt>
                <c:pt idx="18">
                  <c:v>Q3</c:v>
                </c:pt>
                <c:pt idx="19">
                  <c:v>Q4</c:v>
                </c:pt>
                <c:pt idx="20">
                  <c:v>Q1</c:v>
                </c:pt>
                <c:pt idx="21">
                  <c:v>Q2</c:v>
                </c:pt>
                <c:pt idx="22">
                  <c:v>Q3                                                                 
mid 2015</c:v>
                </c:pt>
              </c:strCache>
            </c:strRef>
          </c:cat>
          <c:val>
            <c:numRef>
              <c:f>'10 States AggWorkings'!$C$110:$Y$110</c:f>
              <c:numCache>
                <c:formatCode>0</c:formatCode>
                <c:ptCount val="23"/>
                <c:pt idx="0" formatCode="0.0">
                  <c:v>0</c:v>
                </c:pt>
                <c:pt idx="1">
                  <c:v>0</c:v>
                </c:pt>
                <c:pt idx="2">
                  <c:v>0</c:v>
                </c:pt>
                <c:pt idx="3">
                  <c:v>0</c:v>
                </c:pt>
                <c:pt idx="4">
                  <c:v>0</c:v>
                </c:pt>
                <c:pt idx="5">
                  <c:v>0</c:v>
                </c:pt>
                <c:pt idx="6">
                  <c:v>0</c:v>
                </c:pt>
                <c:pt idx="7">
                  <c:v>0</c:v>
                </c:pt>
                <c:pt idx="8">
                  <c:v>0</c:v>
                </c:pt>
                <c:pt idx="9">
                  <c:v>6</c:v>
                </c:pt>
                <c:pt idx="10">
                  <c:v>7</c:v>
                </c:pt>
                <c:pt idx="11">
                  <c:v>15</c:v>
                </c:pt>
                <c:pt idx="12">
                  <c:v>18</c:v>
                </c:pt>
                <c:pt idx="13">
                  <c:v>19</c:v>
                </c:pt>
                <c:pt idx="14">
                  <c:v>21</c:v>
                </c:pt>
                <c:pt idx="15">
                  <c:v>28</c:v>
                </c:pt>
                <c:pt idx="16">
                  <c:v>26</c:v>
                </c:pt>
                <c:pt idx="17">
                  <c:v>29</c:v>
                </c:pt>
                <c:pt idx="18">
                  <c:v>34</c:v>
                </c:pt>
                <c:pt idx="19">
                  <c:v>38</c:v>
                </c:pt>
                <c:pt idx="20">
                  <c:v>41</c:v>
                </c:pt>
                <c:pt idx="21">
                  <c:v>45</c:v>
                </c:pt>
                <c:pt idx="22">
                  <c:v>0</c:v>
                </c:pt>
              </c:numCache>
            </c:numRef>
          </c:val>
          <c:smooth val="0"/>
        </c:ser>
        <c:dLbls>
          <c:showLegendKey val="0"/>
          <c:showVal val="0"/>
          <c:showCatName val="0"/>
          <c:showSerName val="0"/>
          <c:showPercent val="0"/>
          <c:showBubbleSize val="0"/>
        </c:dLbls>
        <c:marker val="1"/>
        <c:smooth val="0"/>
        <c:axId val="111542272"/>
        <c:axId val="111543808"/>
      </c:lineChart>
      <c:catAx>
        <c:axId val="111542272"/>
        <c:scaling>
          <c:orientation val="minMax"/>
        </c:scaling>
        <c:delete val="0"/>
        <c:axPos val="b"/>
        <c:majorGridlines>
          <c:spPr>
            <a:ln w="3175">
              <a:solidFill>
                <a:srgbClr val="808080"/>
              </a:solidFill>
              <a:prstDash val="solid"/>
            </a:ln>
          </c:spPr>
        </c:majorGridlines>
        <c:numFmt formatCode="General" sourceLinked="1"/>
        <c:majorTickMark val="out"/>
        <c:minorTickMark val="none"/>
        <c:tickLblPos val="nextTo"/>
        <c:spPr>
          <a:ln w="3175">
            <a:solidFill>
              <a:srgbClr val="808080"/>
            </a:solidFill>
            <a:prstDash val="solid"/>
          </a:ln>
        </c:spPr>
        <c:txPr>
          <a:bodyPr rot="0" vert="horz"/>
          <a:lstStyle/>
          <a:p>
            <a:pPr>
              <a:defRPr sz="900" b="0" i="0" u="none" strike="noStrike" baseline="0">
                <a:solidFill>
                  <a:srgbClr val="666699"/>
                </a:solidFill>
                <a:latin typeface="Calibri"/>
                <a:ea typeface="Calibri"/>
                <a:cs typeface="Calibri"/>
              </a:defRPr>
            </a:pPr>
            <a:endParaRPr lang="en-US"/>
          </a:p>
        </c:txPr>
        <c:crossAx val="111543808"/>
        <c:crosses val="autoZero"/>
        <c:auto val="1"/>
        <c:lblAlgn val="ctr"/>
        <c:lblOffset val="100"/>
        <c:noMultiLvlLbl val="0"/>
      </c:catAx>
      <c:valAx>
        <c:axId val="111543808"/>
        <c:scaling>
          <c:orientation val="minMax"/>
          <c:max val="100"/>
        </c:scaling>
        <c:delete val="0"/>
        <c:axPos val="l"/>
        <c:majorGridlines>
          <c:spPr>
            <a:ln w="3175">
              <a:solidFill>
                <a:srgbClr val="808080"/>
              </a:solidFill>
              <a:prstDash val="solid"/>
            </a:ln>
          </c:spPr>
        </c:majorGridlines>
        <c:numFmt formatCode="0.0" sourceLinked="1"/>
        <c:majorTickMark val="out"/>
        <c:minorTickMark val="none"/>
        <c:tickLblPos val="nextTo"/>
        <c:spPr>
          <a:ln w="3175">
            <a:solidFill>
              <a:srgbClr val="808080"/>
            </a:solidFill>
            <a:prstDash val="solid"/>
          </a:ln>
        </c:spPr>
        <c:txPr>
          <a:bodyPr rot="0" vert="horz"/>
          <a:lstStyle/>
          <a:p>
            <a:pPr>
              <a:defRPr sz="900" b="0" i="0" u="none" strike="noStrike" baseline="0">
                <a:solidFill>
                  <a:srgbClr val="666699"/>
                </a:solidFill>
                <a:latin typeface="Calibri"/>
                <a:ea typeface="Calibri"/>
                <a:cs typeface="Calibri"/>
              </a:defRPr>
            </a:pPr>
            <a:endParaRPr lang="en-US"/>
          </a:p>
        </c:txPr>
        <c:crossAx val="111542272"/>
        <c:crosses val="autoZero"/>
        <c:crossBetween val="midCat"/>
      </c:valAx>
      <c:spPr>
        <a:solidFill>
          <a:srgbClr val="FFFFFF"/>
        </a:solidFill>
        <a:ln w="25400">
          <a:noFill/>
        </a:ln>
      </c:spPr>
    </c:plotArea>
    <c:legend>
      <c:legendPos val="r"/>
      <c:layout>
        <c:manualLayout>
          <c:xMode val="edge"/>
          <c:yMode val="edge"/>
          <c:x val="0.87541528239202704"/>
          <c:y val="0.31481509947835201"/>
          <c:w val="0.10132890365448501"/>
          <c:h val="0.36666699821596299"/>
        </c:manualLayout>
      </c:layout>
      <c:overlay val="0"/>
      <c:spPr>
        <a:noFill/>
        <a:ln w="25400">
          <a:noFill/>
        </a:ln>
      </c:spPr>
      <c:txPr>
        <a:bodyPr/>
        <a:lstStyle/>
        <a:p>
          <a:pPr>
            <a:defRPr sz="690" b="0" i="0" u="none" strike="noStrike" baseline="0">
              <a:solidFill>
                <a:srgbClr val="666699"/>
              </a:solidFill>
              <a:latin typeface="Calibri"/>
              <a:ea typeface="Calibri"/>
              <a:cs typeface="Calibri"/>
            </a:defRPr>
          </a:pPr>
          <a:endParaRPr lang="en-US"/>
        </a:p>
      </c:txPr>
    </c:legend>
    <c:plotVisOnly val="1"/>
    <c:dispBlanksAs val="gap"/>
    <c:showDLblsOverMax val="0"/>
  </c:chart>
  <c:spPr>
    <a:solidFill>
      <a:srgbClr val="DCE6F2"/>
    </a:solidFill>
    <a:ln w="9525">
      <a:noFill/>
    </a:ln>
  </c:spPr>
  <c:txPr>
    <a:bodyPr/>
    <a:lstStyle/>
    <a:p>
      <a:pPr>
        <a:defRPr sz="900" b="0" i="0" u="none" strike="noStrike" baseline="0">
          <a:solidFill>
            <a:srgbClr val="666699"/>
          </a:solidFill>
          <a:latin typeface="Calibri"/>
          <a:ea typeface="Calibri"/>
          <a:cs typeface="Calibri"/>
        </a:defRPr>
      </a:pPr>
      <a:endParaRPr lang="en-US"/>
    </a:p>
  </c:txPr>
  <c:printSettings>
    <c:headerFooter/>
    <c:pageMargins b="1" l="0.75" r="0.7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4.2501333279108697E-2"/>
          <c:y val="3.7134502923976603E-2"/>
          <c:w val="0.80402559843072496"/>
          <c:h val="0.83545730994152001"/>
        </c:manualLayout>
      </c:layout>
      <c:lineChart>
        <c:grouping val="standard"/>
        <c:varyColors val="0"/>
        <c:ser>
          <c:idx val="0"/>
          <c:order val="0"/>
          <c:tx>
            <c:strRef>
              <c:f>'10 States AggWorkings'!$B$115</c:f>
              <c:strCache>
                <c:ptCount val="1"/>
                <c:pt idx="0">
                  <c:v>planned: participate</c:v>
                </c:pt>
              </c:strCache>
            </c:strRef>
          </c:tx>
          <c:spPr>
            <a:ln w="38100">
              <a:solidFill>
                <a:srgbClr val="666699"/>
              </a:solidFill>
              <a:prstDash val="solid"/>
            </a:ln>
          </c:spPr>
          <c:marker>
            <c:symbol val="none"/>
          </c:marker>
          <c:cat>
            <c:strRef>
              <c:f>'10 States AggWorkings'!$C$2:$Y$2</c:f>
              <c:strCache>
                <c:ptCount val="23"/>
                <c:pt idx="0">
                  <c:v>early                                                                 
2010</c:v>
                </c:pt>
                <c:pt idx="1">
                  <c:v>Q1</c:v>
                </c:pt>
                <c:pt idx="2">
                  <c:v>Q2</c:v>
                </c:pt>
                <c:pt idx="3">
                  <c:v>Q3</c:v>
                </c:pt>
                <c:pt idx="4">
                  <c:v>Q4</c:v>
                </c:pt>
                <c:pt idx="5">
                  <c:v>Q1</c:v>
                </c:pt>
                <c:pt idx="6">
                  <c:v>Q2                                                                 
mid 2011</c:v>
                </c:pt>
                <c:pt idx="7">
                  <c:v>Q3</c:v>
                </c:pt>
                <c:pt idx="8">
                  <c:v>Q4</c:v>
                </c:pt>
                <c:pt idx="9">
                  <c:v>Q1</c:v>
                </c:pt>
                <c:pt idx="10">
                  <c:v>Q2</c:v>
                </c:pt>
                <c:pt idx="11">
                  <c:v>Q3/4                                                                 
late 2012</c:v>
                </c:pt>
                <c:pt idx="12">
                  <c:v>Q1</c:v>
                </c:pt>
                <c:pt idx="13">
                  <c:v>Q2</c:v>
                </c:pt>
                <c:pt idx="14">
                  <c:v>Q3</c:v>
                </c:pt>
                <c:pt idx="15">
                  <c:v> Q4                                                                
late 2013</c:v>
                </c:pt>
                <c:pt idx="16">
                  <c:v>Q1</c:v>
                </c:pt>
                <c:pt idx="17">
                  <c:v>Q2</c:v>
                </c:pt>
                <c:pt idx="18">
                  <c:v>Q3</c:v>
                </c:pt>
                <c:pt idx="19">
                  <c:v>Q4</c:v>
                </c:pt>
                <c:pt idx="20">
                  <c:v>Q1</c:v>
                </c:pt>
                <c:pt idx="21">
                  <c:v>Q2</c:v>
                </c:pt>
                <c:pt idx="22">
                  <c:v>Q3                                                                 
mid 2015</c:v>
                </c:pt>
              </c:strCache>
            </c:strRef>
          </c:cat>
          <c:val>
            <c:numRef>
              <c:f>'10 States AggWorkings'!$C$115:$Y$115</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21</c:v>
                </c:pt>
                <c:pt idx="16">
                  <c:v>27</c:v>
                </c:pt>
                <c:pt idx="17">
                  <c:v>33</c:v>
                </c:pt>
                <c:pt idx="18">
                  <c:v>39</c:v>
                </c:pt>
                <c:pt idx="19">
                  <c:v>45</c:v>
                </c:pt>
                <c:pt idx="20">
                  <c:v>49.999999999999993</c:v>
                </c:pt>
                <c:pt idx="21">
                  <c:v>59</c:v>
                </c:pt>
                <c:pt idx="22">
                  <c:v>62</c:v>
                </c:pt>
              </c:numCache>
            </c:numRef>
          </c:val>
          <c:smooth val="0"/>
        </c:ser>
        <c:ser>
          <c:idx val="1"/>
          <c:order val="1"/>
          <c:tx>
            <c:strRef>
              <c:f>'10 States AggWorkings'!$B$116</c:f>
              <c:strCache>
                <c:ptCount val="1"/>
                <c:pt idx="0">
                  <c:v>achieved: participate</c:v>
                </c:pt>
              </c:strCache>
            </c:strRef>
          </c:tx>
          <c:spPr>
            <a:ln w="38100">
              <a:solidFill>
                <a:srgbClr val="993366"/>
              </a:solidFill>
              <a:prstDash val="solid"/>
            </a:ln>
          </c:spPr>
          <c:marker>
            <c:symbol val="none"/>
          </c:marker>
          <c:cat>
            <c:strRef>
              <c:f>'10 States AggWorkings'!$C$2:$Y$2</c:f>
              <c:strCache>
                <c:ptCount val="23"/>
                <c:pt idx="0">
                  <c:v>early                                                                 
2010</c:v>
                </c:pt>
                <c:pt idx="1">
                  <c:v>Q1</c:v>
                </c:pt>
                <c:pt idx="2">
                  <c:v>Q2</c:v>
                </c:pt>
                <c:pt idx="3">
                  <c:v>Q3</c:v>
                </c:pt>
                <c:pt idx="4">
                  <c:v>Q4</c:v>
                </c:pt>
                <c:pt idx="5">
                  <c:v>Q1</c:v>
                </c:pt>
                <c:pt idx="6">
                  <c:v>Q2                                                                 
mid 2011</c:v>
                </c:pt>
                <c:pt idx="7">
                  <c:v>Q3</c:v>
                </c:pt>
                <c:pt idx="8">
                  <c:v>Q4</c:v>
                </c:pt>
                <c:pt idx="9">
                  <c:v>Q1</c:v>
                </c:pt>
                <c:pt idx="10">
                  <c:v>Q2</c:v>
                </c:pt>
                <c:pt idx="11">
                  <c:v>Q3/4                                                                 
late 2012</c:v>
                </c:pt>
                <c:pt idx="12">
                  <c:v>Q1</c:v>
                </c:pt>
                <c:pt idx="13">
                  <c:v>Q2</c:v>
                </c:pt>
                <c:pt idx="14">
                  <c:v>Q3</c:v>
                </c:pt>
                <c:pt idx="15">
                  <c:v> Q4                                                                
late 2013</c:v>
                </c:pt>
                <c:pt idx="16">
                  <c:v>Q1</c:v>
                </c:pt>
                <c:pt idx="17">
                  <c:v>Q2</c:v>
                </c:pt>
                <c:pt idx="18">
                  <c:v>Q3</c:v>
                </c:pt>
                <c:pt idx="19">
                  <c:v>Q4</c:v>
                </c:pt>
                <c:pt idx="20">
                  <c:v>Q1</c:v>
                </c:pt>
                <c:pt idx="21">
                  <c:v>Q2</c:v>
                </c:pt>
                <c:pt idx="22">
                  <c:v>Q3                                                                 
mid 2015</c:v>
                </c:pt>
              </c:strCache>
            </c:strRef>
          </c:cat>
          <c:val>
            <c:numRef>
              <c:f>'10 States AggWorkings'!$C$116:$Y$116</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21</c:v>
                </c:pt>
                <c:pt idx="16">
                  <c:v>38</c:v>
                </c:pt>
                <c:pt idx="17">
                  <c:v>49</c:v>
                </c:pt>
                <c:pt idx="18">
                  <c:v>52</c:v>
                </c:pt>
                <c:pt idx="19">
                  <c:v>61</c:v>
                </c:pt>
                <c:pt idx="20">
                  <c:v>86</c:v>
                </c:pt>
                <c:pt idx="21">
                  <c:v>96</c:v>
                </c:pt>
                <c:pt idx="22">
                  <c:v>0</c:v>
                </c:pt>
              </c:numCache>
            </c:numRef>
          </c:val>
          <c:smooth val="0"/>
        </c:ser>
        <c:dLbls>
          <c:showLegendKey val="0"/>
          <c:showVal val="0"/>
          <c:showCatName val="0"/>
          <c:showSerName val="0"/>
          <c:showPercent val="0"/>
          <c:showBubbleSize val="0"/>
        </c:dLbls>
        <c:marker val="1"/>
        <c:smooth val="0"/>
        <c:axId val="111568000"/>
        <c:axId val="111569536"/>
      </c:lineChart>
      <c:catAx>
        <c:axId val="111568000"/>
        <c:scaling>
          <c:orientation val="minMax"/>
        </c:scaling>
        <c:delete val="0"/>
        <c:axPos val="b"/>
        <c:majorGridlines>
          <c:spPr>
            <a:ln w="3175">
              <a:solidFill>
                <a:srgbClr val="808080"/>
              </a:solidFill>
              <a:prstDash val="solid"/>
            </a:ln>
          </c:spPr>
        </c:majorGridlines>
        <c:numFmt formatCode="General" sourceLinked="1"/>
        <c:majorTickMark val="out"/>
        <c:minorTickMark val="none"/>
        <c:tickLblPos val="nextTo"/>
        <c:spPr>
          <a:ln w="3175">
            <a:solidFill>
              <a:srgbClr val="808080"/>
            </a:solidFill>
            <a:prstDash val="solid"/>
          </a:ln>
        </c:spPr>
        <c:txPr>
          <a:bodyPr rot="0" vert="horz"/>
          <a:lstStyle/>
          <a:p>
            <a:pPr>
              <a:defRPr sz="900" b="0" i="0" u="none" strike="noStrike" baseline="0">
                <a:solidFill>
                  <a:srgbClr val="666699"/>
                </a:solidFill>
                <a:latin typeface="Calibri"/>
                <a:ea typeface="Calibri"/>
                <a:cs typeface="Calibri"/>
              </a:defRPr>
            </a:pPr>
            <a:endParaRPr lang="en-US"/>
          </a:p>
        </c:txPr>
        <c:crossAx val="111569536"/>
        <c:crosses val="autoZero"/>
        <c:auto val="1"/>
        <c:lblAlgn val="ctr"/>
        <c:lblOffset val="100"/>
        <c:noMultiLvlLbl val="0"/>
      </c:catAx>
      <c:valAx>
        <c:axId val="111569536"/>
        <c:scaling>
          <c:orientation val="minMax"/>
          <c:max val="30"/>
        </c:scaling>
        <c:delete val="0"/>
        <c:axPos val="l"/>
        <c:majorGridlines>
          <c:spPr>
            <a:ln w="3175">
              <a:solidFill>
                <a:srgbClr val="808080"/>
              </a:solidFill>
              <a:prstDash val="solid"/>
            </a:ln>
          </c:spPr>
        </c:majorGridlines>
        <c:numFmt formatCode="0" sourceLinked="1"/>
        <c:majorTickMark val="out"/>
        <c:minorTickMark val="none"/>
        <c:tickLblPos val="nextTo"/>
        <c:spPr>
          <a:ln w="3175">
            <a:solidFill>
              <a:srgbClr val="808080"/>
            </a:solidFill>
            <a:prstDash val="solid"/>
          </a:ln>
        </c:spPr>
        <c:txPr>
          <a:bodyPr rot="0" vert="horz"/>
          <a:lstStyle/>
          <a:p>
            <a:pPr>
              <a:defRPr sz="900" b="0" i="0" u="none" strike="noStrike" baseline="0">
                <a:solidFill>
                  <a:srgbClr val="666699"/>
                </a:solidFill>
                <a:latin typeface="Calibri"/>
                <a:ea typeface="Calibri"/>
                <a:cs typeface="Calibri"/>
              </a:defRPr>
            </a:pPr>
            <a:endParaRPr lang="en-US"/>
          </a:p>
        </c:txPr>
        <c:crossAx val="111568000"/>
        <c:crosses val="autoZero"/>
        <c:crossBetween val="midCat"/>
        <c:majorUnit val="2"/>
      </c:valAx>
      <c:spPr>
        <a:solidFill>
          <a:srgbClr val="FFFFFF"/>
        </a:solidFill>
        <a:ln w="25400">
          <a:noFill/>
        </a:ln>
      </c:spPr>
    </c:plotArea>
    <c:legend>
      <c:legendPos val="r"/>
      <c:layout>
        <c:manualLayout>
          <c:xMode val="edge"/>
          <c:yMode val="edge"/>
          <c:x val="0.88087194197157803"/>
          <c:y val="0.379182156133829"/>
          <c:w val="9.0603971174219394E-2"/>
          <c:h val="0.130111524163569"/>
        </c:manualLayout>
      </c:layout>
      <c:overlay val="0"/>
      <c:spPr>
        <a:noFill/>
        <a:ln w="25400">
          <a:noFill/>
        </a:ln>
      </c:spPr>
      <c:txPr>
        <a:bodyPr/>
        <a:lstStyle/>
        <a:p>
          <a:pPr>
            <a:defRPr sz="690" b="0" i="0" u="none" strike="noStrike" baseline="0">
              <a:solidFill>
                <a:srgbClr val="666699"/>
              </a:solidFill>
              <a:latin typeface="Calibri"/>
              <a:ea typeface="Calibri"/>
              <a:cs typeface="Calibri"/>
            </a:defRPr>
          </a:pPr>
          <a:endParaRPr lang="en-US"/>
        </a:p>
      </c:txPr>
    </c:legend>
    <c:plotVisOnly val="1"/>
    <c:dispBlanksAs val="gap"/>
    <c:showDLblsOverMax val="0"/>
  </c:chart>
  <c:spPr>
    <a:solidFill>
      <a:srgbClr val="DCE6F2"/>
    </a:solidFill>
    <a:ln w="9525">
      <a:noFill/>
    </a:ln>
  </c:spPr>
  <c:txPr>
    <a:bodyPr/>
    <a:lstStyle/>
    <a:p>
      <a:pPr>
        <a:defRPr sz="900" b="0" i="0" u="none" strike="noStrike" baseline="0">
          <a:solidFill>
            <a:srgbClr val="666699"/>
          </a:solidFill>
          <a:latin typeface="Calibri"/>
          <a:ea typeface="Calibri"/>
          <a:cs typeface="Calibri"/>
        </a:defRPr>
      </a:pPr>
      <a:endParaRPr lang="en-US"/>
    </a:p>
  </c:txPr>
  <c:printSettings>
    <c:headerFooter/>
    <c:pageMargins b="1" l="0.75" r="0.75"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4.2501333279108697E-2"/>
          <c:y val="3.34210526315789E-2"/>
          <c:w val="0.80804702438114895"/>
          <c:h val="0.83917076023391801"/>
        </c:manualLayout>
      </c:layout>
      <c:lineChart>
        <c:grouping val="standard"/>
        <c:varyColors val="0"/>
        <c:ser>
          <c:idx val="0"/>
          <c:order val="0"/>
          <c:tx>
            <c:strRef>
              <c:f>'10 States AggWorkings'!$B$73</c:f>
              <c:strCache>
                <c:ptCount val="1"/>
                <c:pt idx="0">
                  <c:v>planned: permit</c:v>
                </c:pt>
              </c:strCache>
            </c:strRef>
          </c:tx>
          <c:spPr>
            <a:ln w="38100">
              <a:solidFill>
                <a:srgbClr val="666699"/>
              </a:solidFill>
              <a:prstDash val="solid"/>
            </a:ln>
          </c:spPr>
          <c:marker>
            <c:symbol val="none"/>
          </c:marker>
          <c:cat>
            <c:strRef>
              <c:f>'10 States AggWorkings'!$C$2:$Y$2</c:f>
              <c:strCache>
                <c:ptCount val="23"/>
                <c:pt idx="0">
                  <c:v>early                                                                 
2010</c:v>
                </c:pt>
                <c:pt idx="1">
                  <c:v>Q1</c:v>
                </c:pt>
                <c:pt idx="2">
                  <c:v>Q2</c:v>
                </c:pt>
                <c:pt idx="3">
                  <c:v>Q3</c:v>
                </c:pt>
                <c:pt idx="4">
                  <c:v>Q4</c:v>
                </c:pt>
                <c:pt idx="5">
                  <c:v>Q1</c:v>
                </c:pt>
                <c:pt idx="6">
                  <c:v>Q2                                                                 
mid 2011</c:v>
                </c:pt>
                <c:pt idx="7">
                  <c:v>Q3</c:v>
                </c:pt>
                <c:pt idx="8">
                  <c:v>Q4</c:v>
                </c:pt>
                <c:pt idx="9">
                  <c:v>Q1</c:v>
                </c:pt>
                <c:pt idx="10">
                  <c:v>Q2</c:v>
                </c:pt>
                <c:pt idx="11">
                  <c:v>Q3/4                                                                 
late 2012</c:v>
                </c:pt>
                <c:pt idx="12">
                  <c:v>Q1</c:v>
                </c:pt>
                <c:pt idx="13">
                  <c:v>Q2</c:v>
                </c:pt>
                <c:pt idx="14">
                  <c:v>Q3</c:v>
                </c:pt>
                <c:pt idx="15">
                  <c:v> Q4                                                                
late 2013</c:v>
                </c:pt>
                <c:pt idx="16">
                  <c:v>Q1</c:v>
                </c:pt>
                <c:pt idx="17">
                  <c:v>Q2</c:v>
                </c:pt>
                <c:pt idx="18">
                  <c:v>Q3</c:v>
                </c:pt>
                <c:pt idx="19">
                  <c:v>Q4</c:v>
                </c:pt>
                <c:pt idx="20">
                  <c:v>Q1</c:v>
                </c:pt>
                <c:pt idx="21">
                  <c:v>Q2</c:v>
                </c:pt>
                <c:pt idx="22">
                  <c:v>Q3                                                                 
mid 2015</c:v>
                </c:pt>
              </c:strCache>
            </c:strRef>
          </c:cat>
          <c:val>
            <c:numRef>
              <c:f>'10 States AggWorkings'!$C$73:$Y$73</c:f>
              <c:numCache>
                <c:formatCode>0</c:formatCode>
                <c:ptCount val="23"/>
                <c:pt idx="0" formatCode="0.0">
                  <c:v>0</c:v>
                </c:pt>
                <c:pt idx="1">
                  <c:v>0</c:v>
                </c:pt>
                <c:pt idx="2">
                  <c:v>0</c:v>
                </c:pt>
                <c:pt idx="3">
                  <c:v>0</c:v>
                </c:pt>
                <c:pt idx="4">
                  <c:v>0</c:v>
                </c:pt>
                <c:pt idx="5">
                  <c:v>0</c:v>
                </c:pt>
                <c:pt idx="6">
                  <c:v>15</c:v>
                </c:pt>
                <c:pt idx="7">
                  <c:v>17.333333333333336</c:v>
                </c:pt>
                <c:pt idx="8">
                  <c:v>19.666666666666668</c:v>
                </c:pt>
                <c:pt idx="9">
                  <c:v>22</c:v>
                </c:pt>
                <c:pt idx="10">
                  <c:v>24.333333333333332</c:v>
                </c:pt>
                <c:pt idx="11">
                  <c:v>29</c:v>
                </c:pt>
                <c:pt idx="12">
                  <c:v>33</c:v>
                </c:pt>
                <c:pt idx="13">
                  <c:v>37</c:v>
                </c:pt>
                <c:pt idx="14">
                  <c:v>41</c:v>
                </c:pt>
                <c:pt idx="15">
                  <c:v>45</c:v>
                </c:pt>
                <c:pt idx="16">
                  <c:v>47.333333333333336</c:v>
                </c:pt>
                <c:pt idx="17">
                  <c:v>49.666666666666671</c:v>
                </c:pt>
                <c:pt idx="18">
                  <c:v>52.000000000000007</c:v>
                </c:pt>
                <c:pt idx="19">
                  <c:v>54.333333333333336</c:v>
                </c:pt>
                <c:pt idx="20">
                  <c:v>72.000000000000014</c:v>
                </c:pt>
                <c:pt idx="21">
                  <c:v>77</c:v>
                </c:pt>
                <c:pt idx="22">
                  <c:v>78</c:v>
                </c:pt>
              </c:numCache>
            </c:numRef>
          </c:val>
          <c:smooth val="0"/>
        </c:ser>
        <c:ser>
          <c:idx val="1"/>
          <c:order val="1"/>
          <c:tx>
            <c:strRef>
              <c:f>'10 States AggWorkings'!$B$74</c:f>
              <c:strCache>
                <c:ptCount val="1"/>
                <c:pt idx="0">
                  <c:v>achieved: permit</c:v>
                </c:pt>
              </c:strCache>
            </c:strRef>
          </c:tx>
          <c:spPr>
            <a:ln w="38100">
              <a:solidFill>
                <a:srgbClr val="993366"/>
              </a:solidFill>
              <a:prstDash val="solid"/>
            </a:ln>
          </c:spPr>
          <c:marker>
            <c:symbol val="none"/>
          </c:marker>
          <c:cat>
            <c:strRef>
              <c:f>'10 States AggWorkings'!$C$2:$Y$2</c:f>
              <c:strCache>
                <c:ptCount val="23"/>
                <c:pt idx="0">
                  <c:v>early                                                                 
2010</c:v>
                </c:pt>
                <c:pt idx="1">
                  <c:v>Q1</c:v>
                </c:pt>
                <c:pt idx="2">
                  <c:v>Q2</c:v>
                </c:pt>
                <c:pt idx="3">
                  <c:v>Q3</c:v>
                </c:pt>
                <c:pt idx="4">
                  <c:v>Q4</c:v>
                </c:pt>
                <c:pt idx="5">
                  <c:v>Q1</c:v>
                </c:pt>
                <c:pt idx="6">
                  <c:v>Q2                                                                 
mid 2011</c:v>
                </c:pt>
                <c:pt idx="7">
                  <c:v>Q3</c:v>
                </c:pt>
                <c:pt idx="8">
                  <c:v>Q4</c:v>
                </c:pt>
                <c:pt idx="9">
                  <c:v>Q1</c:v>
                </c:pt>
                <c:pt idx="10">
                  <c:v>Q2</c:v>
                </c:pt>
                <c:pt idx="11">
                  <c:v>Q3/4                                                                 
late 2012</c:v>
                </c:pt>
                <c:pt idx="12">
                  <c:v>Q1</c:v>
                </c:pt>
                <c:pt idx="13">
                  <c:v>Q2</c:v>
                </c:pt>
                <c:pt idx="14">
                  <c:v>Q3</c:v>
                </c:pt>
                <c:pt idx="15">
                  <c:v> Q4                                                                
late 2013</c:v>
                </c:pt>
                <c:pt idx="16">
                  <c:v>Q1</c:v>
                </c:pt>
                <c:pt idx="17">
                  <c:v>Q2</c:v>
                </c:pt>
                <c:pt idx="18">
                  <c:v>Q3</c:v>
                </c:pt>
                <c:pt idx="19">
                  <c:v>Q4</c:v>
                </c:pt>
                <c:pt idx="20">
                  <c:v>Q1</c:v>
                </c:pt>
                <c:pt idx="21">
                  <c:v>Q2</c:v>
                </c:pt>
                <c:pt idx="22">
                  <c:v>Q3                                                                 
mid 2015</c:v>
                </c:pt>
              </c:strCache>
            </c:strRef>
          </c:cat>
          <c:val>
            <c:numRef>
              <c:f>'10 States AggWorkings'!$C$74:$Y$74</c:f>
              <c:numCache>
                <c:formatCode>0</c:formatCode>
                <c:ptCount val="23"/>
                <c:pt idx="0" formatCode="0.0">
                  <c:v>0</c:v>
                </c:pt>
                <c:pt idx="1">
                  <c:v>0</c:v>
                </c:pt>
                <c:pt idx="2">
                  <c:v>0</c:v>
                </c:pt>
                <c:pt idx="3">
                  <c:v>0</c:v>
                </c:pt>
                <c:pt idx="4">
                  <c:v>0</c:v>
                </c:pt>
                <c:pt idx="5">
                  <c:v>0</c:v>
                </c:pt>
                <c:pt idx="6">
                  <c:v>0</c:v>
                </c:pt>
                <c:pt idx="7">
                  <c:v>0</c:v>
                </c:pt>
                <c:pt idx="8">
                  <c:v>0</c:v>
                </c:pt>
                <c:pt idx="9">
                  <c:v>7</c:v>
                </c:pt>
                <c:pt idx="10">
                  <c:v>7</c:v>
                </c:pt>
                <c:pt idx="11">
                  <c:v>20</c:v>
                </c:pt>
                <c:pt idx="12">
                  <c:v>22</c:v>
                </c:pt>
                <c:pt idx="13">
                  <c:v>25</c:v>
                </c:pt>
                <c:pt idx="14">
                  <c:v>40</c:v>
                </c:pt>
                <c:pt idx="15">
                  <c:v>37</c:v>
                </c:pt>
                <c:pt idx="16">
                  <c:v>51</c:v>
                </c:pt>
                <c:pt idx="17">
                  <c:v>68</c:v>
                </c:pt>
                <c:pt idx="18">
                  <c:v>66</c:v>
                </c:pt>
                <c:pt idx="19">
                  <c:v>65</c:v>
                </c:pt>
                <c:pt idx="20">
                  <c:v>87</c:v>
                </c:pt>
                <c:pt idx="21">
                  <c:v>91</c:v>
                </c:pt>
                <c:pt idx="22">
                  <c:v>0</c:v>
                </c:pt>
              </c:numCache>
            </c:numRef>
          </c:val>
          <c:smooth val="0"/>
        </c:ser>
        <c:ser>
          <c:idx val="2"/>
          <c:order val="2"/>
          <c:tx>
            <c:strRef>
              <c:f>'10 States AggWorkings'!$B$76</c:f>
              <c:strCache>
                <c:ptCount val="1"/>
                <c:pt idx="0">
                  <c:v>planned: facilitate</c:v>
                </c:pt>
              </c:strCache>
            </c:strRef>
          </c:tx>
          <c:spPr>
            <a:ln w="38100">
              <a:solidFill>
                <a:srgbClr val="90713A"/>
              </a:solidFill>
              <a:prstDash val="solid"/>
            </a:ln>
          </c:spPr>
          <c:marker>
            <c:symbol val="none"/>
          </c:marker>
          <c:cat>
            <c:strRef>
              <c:f>'10 States AggWorkings'!$C$2:$Y$2</c:f>
              <c:strCache>
                <c:ptCount val="23"/>
                <c:pt idx="0">
                  <c:v>early                                                                 
2010</c:v>
                </c:pt>
                <c:pt idx="1">
                  <c:v>Q1</c:v>
                </c:pt>
                <c:pt idx="2">
                  <c:v>Q2</c:v>
                </c:pt>
                <c:pt idx="3">
                  <c:v>Q3</c:v>
                </c:pt>
                <c:pt idx="4">
                  <c:v>Q4</c:v>
                </c:pt>
                <c:pt idx="5">
                  <c:v>Q1</c:v>
                </c:pt>
                <c:pt idx="6">
                  <c:v>Q2                                                                 
mid 2011</c:v>
                </c:pt>
                <c:pt idx="7">
                  <c:v>Q3</c:v>
                </c:pt>
                <c:pt idx="8">
                  <c:v>Q4</c:v>
                </c:pt>
                <c:pt idx="9">
                  <c:v>Q1</c:v>
                </c:pt>
                <c:pt idx="10">
                  <c:v>Q2</c:v>
                </c:pt>
                <c:pt idx="11">
                  <c:v>Q3/4                                                                 
late 2012</c:v>
                </c:pt>
                <c:pt idx="12">
                  <c:v>Q1</c:v>
                </c:pt>
                <c:pt idx="13">
                  <c:v>Q2</c:v>
                </c:pt>
                <c:pt idx="14">
                  <c:v>Q3</c:v>
                </c:pt>
                <c:pt idx="15">
                  <c:v> Q4                                                                
late 2013</c:v>
                </c:pt>
                <c:pt idx="16">
                  <c:v>Q1</c:v>
                </c:pt>
                <c:pt idx="17">
                  <c:v>Q2</c:v>
                </c:pt>
                <c:pt idx="18">
                  <c:v>Q3</c:v>
                </c:pt>
                <c:pt idx="19">
                  <c:v>Q4</c:v>
                </c:pt>
                <c:pt idx="20">
                  <c:v>Q1</c:v>
                </c:pt>
                <c:pt idx="21">
                  <c:v>Q2</c:v>
                </c:pt>
                <c:pt idx="22">
                  <c:v>Q3                                                                 
mid 2015</c:v>
                </c:pt>
              </c:strCache>
            </c:strRef>
          </c:cat>
          <c:val>
            <c:numRef>
              <c:f>'10 States AggWorkings'!$C$76:$Y$76</c:f>
              <c:numCache>
                <c:formatCode>0</c:formatCode>
                <c:ptCount val="23"/>
                <c:pt idx="0" formatCode="0.0">
                  <c:v>0</c:v>
                </c:pt>
                <c:pt idx="1">
                  <c:v>1.6666666666666665</c:v>
                </c:pt>
                <c:pt idx="2">
                  <c:v>3.333333333333333</c:v>
                </c:pt>
                <c:pt idx="3">
                  <c:v>5</c:v>
                </c:pt>
                <c:pt idx="4">
                  <c:v>6.6666666666666661</c:v>
                </c:pt>
                <c:pt idx="5">
                  <c:v>8.3333333333333321</c:v>
                </c:pt>
                <c:pt idx="6">
                  <c:v>10</c:v>
                </c:pt>
                <c:pt idx="7">
                  <c:v>12.166666666666668</c:v>
                </c:pt>
                <c:pt idx="8">
                  <c:v>14.333333333333334</c:v>
                </c:pt>
                <c:pt idx="9">
                  <c:v>16.5</c:v>
                </c:pt>
                <c:pt idx="10">
                  <c:v>18.666666666666668</c:v>
                </c:pt>
                <c:pt idx="11">
                  <c:v>23</c:v>
                </c:pt>
                <c:pt idx="12">
                  <c:v>25.75</c:v>
                </c:pt>
                <c:pt idx="13">
                  <c:v>28.5</c:v>
                </c:pt>
                <c:pt idx="14">
                  <c:v>31.25</c:v>
                </c:pt>
                <c:pt idx="15">
                  <c:v>34</c:v>
                </c:pt>
                <c:pt idx="16">
                  <c:v>36</c:v>
                </c:pt>
                <c:pt idx="17">
                  <c:v>38</c:v>
                </c:pt>
                <c:pt idx="18">
                  <c:v>39.999999999999993</c:v>
                </c:pt>
                <c:pt idx="19">
                  <c:v>42</c:v>
                </c:pt>
                <c:pt idx="20">
                  <c:v>58.166666666666657</c:v>
                </c:pt>
                <c:pt idx="21">
                  <c:v>63</c:v>
                </c:pt>
                <c:pt idx="22">
                  <c:v>64</c:v>
                </c:pt>
              </c:numCache>
            </c:numRef>
          </c:val>
          <c:smooth val="0"/>
        </c:ser>
        <c:ser>
          <c:idx val="3"/>
          <c:order val="3"/>
          <c:tx>
            <c:strRef>
              <c:f>'10 States AggWorkings'!$B$77</c:f>
              <c:strCache>
                <c:ptCount val="1"/>
                <c:pt idx="0">
                  <c:v>achieved: facilitate</c:v>
                </c:pt>
              </c:strCache>
            </c:strRef>
          </c:tx>
          <c:spPr>
            <a:ln w="38100">
              <a:solidFill>
                <a:srgbClr val="666699"/>
              </a:solidFill>
              <a:prstDash val="solid"/>
            </a:ln>
          </c:spPr>
          <c:marker>
            <c:symbol val="none"/>
          </c:marker>
          <c:cat>
            <c:strRef>
              <c:f>'10 States AggWorkings'!$C$2:$Y$2</c:f>
              <c:strCache>
                <c:ptCount val="23"/>
                <c:pt idx="0">
                  <c:v>early                                                                 
2010</c:v>
                </c:pt>
                <c:pt idx="1">
                  <c:v>Q1</c:v>
                </c:pt>
                <c:pt idx="2">
                  <c:v>Q2</c:v>
                </c:pt>
                <c:pt idx="3">
                  <c:v>Q3</c:v>
                </c:pt>
                <c:pt idx="4">
                  <c:v>Q4</c:v>
                </c:pt>
                <c:pt idx="5">
                  <c:v>Q1</c:v>
                </c:pt>
                <c:pt idx="6">
                  <c:v>Q2                                                                 
mid 2011</c:v>
                </c:pt>
                <c:pt idx="7">
                  <c:v>Q3</c:v>
                </c:pt>
                <c:pt idx="8">
                  <c:v>Q4</c:v>
                </c:pt>
                <c:pt idx="9">
                  <c:v>Q1</c:v>
                </c:pt>
                <c:pt idx="10">
                  <c:v>Q2</c:v>
                </c:pt>
                <c:pt idx="11">
                  <c:v>Q3/4                                                                 
late 2012</c:v>
                </c:pt>
                <c:pt idx="12">
                  <c:v>Q1</c:v>
                </c:pt>
                <c:pt idx="13">
                  <c:v>Q2</c:v>
                </c:pt>
                <c:pt idx="14">
                  <c:v>Q3</c:v>
                </c:pt>
                <c:pt idx="15">
                  <c:v> Q4                                                                
late 2013</c:v>
                </c:pt>
                <c:pt idx="16">
                  <c:v>Q1</c:v>
                </c:pt>
                <c:pt idx="17">
                  <c:v>Q2</c:v>
                </c:pt>
                <c:pt idx="18">
                  <c:v>Q3</c:v>
                </c:pt>
                <c:pt idx="19">
                  <c:v>Q4</c:v>
                </c:pt>
                <c:pt idx="20">
                  <c:v>Q1</c:v>
                </c:pt>
                <c:pt idx="21">
                  <c:v>Q2</c:v>
                </c:pt>
                <c:pt idx="22">
                  <c:v>Q3                                                                 
mid 2015</c:v>
                </c:pt>
              </c:strCache>
            </c:strRef>
          </c:cat>
          <c:val>
            <c:numRef>
              <c:f>'10 States AggWorkings'!$C$77:$Y$77</c:f>
              <c:numCache>
                <c:formatCode>0</c:formatCode>
                <c:ptCount val="23"/>
                <c:pt idx="0" formatCode="0.0">
                  <c:v>0</c:v>
                </c:pt>
                <c:pt idx="1">
                  <c:v>0</c:v>
                </c:pt>
                <c:pt idx="2">
                  <c:v>0</c:v>
                </c:pt>
                <c:pt idx="3">
                  <c:v>0</c:v>
                </c:pt>
                <c:pt idx="4">
                  <c:v>0</c:v>
                </c:pt>
                <c:pt idx="5">
                  <c:v>0</c:v>
                </c:pt>
                <c:pt idx="6">
                  <c:v>1</c:v>
                </c:pt>
                <c:pt idx="7">
                  <c:v>2</c:v>
                </c:pt>
                <c:pt idx="8">
                  <c:v>3</c:v>
                </c:pt>
                <c:pt idx="9">
                  <c:v>6</c:v>
                </c:pt>
                <c:pt idx="10">
                  <c:v>9</c:v>
                </c:pt>
                <c:pt idx="11">
                  <c:v>22</c:v>
                </c:pt>
                <c:pt idx="12">
                  <c:v>24</c:v>
                </c:pt>
                <c:pt idx="13">
                  <c:v>25</c:v>
                </c:pt>
                <c:pt idx="14">
                  <c:v>30</c:v>
                </c:pt>
                <c:pt idx="15">
                  <c:v>26</c:v>
                </c:pt>
                <c:pt idx="16">
                  <c:v>48</c:v>
                </c:pt>
                <c:pt idx="17">
                  <c:v>56</c:v>
                </c:pt>
                <c:pt idx="18">
                  <c:v>58</c:v>
                </c:pt>
                <c:pt idx="19">
                  <c:v>60</c:v>
                </c:pt>
                <c:pt idx="20">
                  <c:v>76</c:v>
                </c:pt>
                <c:pt idx="21">
                  <c:v>78</c:v>
                </c:pt>
                <c:pt idx="22">
                  <c:v>0</c:v>
                </c:pt>
              </c:numCache>
            </c:numRef>
          </c:val>
          <c:smooth val="0"/>
        </c:ser>
        <c:ser>
          <c:idx val="4"/>
          <c:order val="4"/>
          <c:tx>
            <c:strRef>
              <c:f>'10 States AggWorkings'!$B$79</c:f>
              <c:strCache>
                <c:ptCount val="1"/>
                <c:pt idx="0">
                  <c:v>planned: promote</c:v>
                </c:pt>
              </c:strCache>
            </c:strRef>
          </c:tx>
          <c:spPr>
            <a:ln w="38100">
              <a:solidFill>
                <a:srgbClr val="33CCCC"/>
              </a:solidFill>
              <a:prstDash val="solid"/>
            </a:ln>
          </c:spPr>
          <c:marker>
            <c:symbol val="none"/>
          </c:marker>
          <c:cat>
            <c:strRef>
              <c:f>'10 States AggWorkings'!$C$2:$Y$2</c:f>
              <c:strCache>
                <c:ptCount val="23"/>
                <c:pt idx="0">
                  <c:v>early                                                                 
2010</c:v>
                </c:pt>
                <c:pt idx="1">
                  <c:v>Q1</c:v>
                </c:pt>
                <c:pt idx="2">
                  <c:v>Q2</c:v>
                </c:pt>
                <c:pt idx="3">
                  <c:v>Q3</c:v>
                </c:pt>
                <c:pt idx="4">
                  <c:v>Q4</c:v>
                </c:pt>
                <c:pt idx="5">
                  <c:v>Q1</c:v>
                </c:pt>
                <c:pt idx="6">
                  <c:v>Q2                                                                 
mid 2011</c:v>
                </c:pt>
                <c:pt idx="7">
                  <c:v>Q3</c:v>
                </c:pt>
                <c:pt idx="8">
                  <c:v>Q4</c:v>
                </c:pt>
                <c:pt idx="9">
                  <c:v>Q1</c:v>
                </c:pt>
                <c:pt idx="10">
                  <c:v>Q2</c:v>
                </c:pt>
                <c:pt idx="11">
                  <c:v>Q3/4                                                                 
late 2012</c:v>
                </c:pt>
                <c:pt idx="12">
                  <c:v>Q1</c:v>
                </c:pt>
                <c:pt idx="13">
                  <c:v>Q2</c:v>
                </c:pt>
                <c:pt idx="14">
                  <c:v>Q3</c:v>
                </c:pt>
                <c:pt idx="15">
                  <c:v> Q4                                                                
late 2013</c:v>
                </c:pt>
                <c:pt idx="16">
                  <c:v>Q1</c:v>
                </c:pt>
                <c:pt idx="17">
                  <c:v>Q2</c:v>
                </c:pt>
                <c:pt idx="18">
                  <c:v>Q3</c:v>
                </c:pt>
                <c:pt idx="19">
                  <c:v>Q4</c:v>
                </c:pt>
                <c:pt idx="20">
                  <c:v>Q1</c:v>
                </c:pt>
                <c:pt idx="21">
                  <c:v>Q2</c:v>
                </c:pt>
                <c:pt idx="22">
                  <c:v>Q3                                                                 
mid 2015</c:v>
                </c:pt>
              </c:strCache>
            </c:strRef>
          </c:cat>
          <c:val>
            <c:numRef>
              <c:f>'10 States AggWorkings'!$C$79:$Y$79</c:f>
              <c:numCache>
                <c:formatCode>0</c:formatCode>
                <c:ptCount val="23"/>
                <c:pt idx="0" formatCode="0.0">
                  <c:v>0</c:v>
                </c:pt>
                <c:pt idx="1">
                  <c:v>1.1666666666666667</c:v>
                </c:pt>
                <c:pt idx="2">
                  <c:v>2.3333333333333335</c:v>
                </c:pt>
                <c:pt idx="3">
                  <c:v>3.5</c:v>
                </c:pt>
                <c:pt idx="4">
                  <c:v>4.666666666666667</c:v>
                </c:pt>
                <c:pt idx="5">
                  <c:v>5.833333333333333</c:v>
                </c:pt>
                <c:pt idx="6">
                  <c:v>7</c:v>
                </c:pt>
                <c:pt idx="7">
                  <c:v>8.3333333333333339</c:v>
                </c:pt>
                <c:pt idx="8">
                  <c:v>9.6666666666666661</c:v>
                </c:pt>
                <c:pt idx="9">
                  <c:v>10.999999999999998</c:v>
                </c:pt>
                <c:pt idx="10">
                  <c:v>12.333333333333332</c:v>
                </c:pt>
                <c:pt idx="11">
                  <c:v>15</c:v>
                </c:pt>
                <c:pt idx="12">
                  <c:v>17.5</c:v>
                </c:pt>
                <c:pt idx="13">
                  <c:v>20</c:v>
                </c:pt>
                <c:pt idx="14">
                  <c:v>22.5</c:v>
                </c:pt>
                <c:pt idx="15">
                  <c:v>25</c:v>
                </c:pt>
                <c:pt idx="16">
                  <c:v>27</c:v>
                </c:pt>
                <c:pt idx="17">
                  <c:v>29</c:v>
                </c:pt>
                <c:pt idx="18">
                  <c:v>30.999999999999996</c:v>
                </c:pt>
                <c:pt idx="19">
                  <c:v>33</c:v>
                </c:pt>
                <c:pt idx="20">
                  <c:v>39.333333333333329</c:v>
                </c:pt>
                <c:pt idx="21">
                  <c:v>42.333333333333336</c:v>
                </c:pt>
                <c:pt idx="22">
                  <c:v>43</c:v>
                </c:pt>
              </c:numCache>
            </c:numRef>
          </c:val>
          <c:smooth val="0"/>
        </c:ser>
        <c:ser>
          <c:idx val="5"/>
          <c:order val="5"/>
          <c:tx>
            <c:strRef>
              <c:f>'10 States AggWorkings'!$B$80</c:f>
              <c:strCache>
                <c:ptCount val="1"/>
                <c:pt idx="0">
                  <c:v>achieved:promote</c:v>
                </c:pt>
              </c:strCache>
            </c:strRef>
          </c:tx>
          <c:spPr>
            <a:ln w="38100">
              <a:solidFill>
                <a:srgbClr val="FF9900"/>
              </a:solidFill>
              <a:prstDash val="solid"/>
            </a:ln>
          </c:spPr>
          <c:marker>
            <c:symbol val="none"/>
          </c:marker>
          <c:cat>
            <c:strRef>
              <c:f>'10 States AggWorkings'!$C$2:$Y$2</c:f>
              <c:strCache>
                <c:ptCount val="23"/>
                <c:pt idx="0">
                  <c:v>early                                                                 
2010</c:v>
                </c:pt>
                <c:pt idx="1">
                  <c:v>Q1</c:v>
                </c:pt>
                <c:pt idx="2">
                  <c:v>Q2</c:v>
                </c:pt>
                <c:pt idx="3">
                  <c:v>Q3</c:v>
                </c:pt>
                <c:pt idx="4">
                  <c:v>Q4</c:v>
                </c:pt>
                <c:pt idx="5">
                  <c:v>Q1</c:v>
                </c:pt>
                <c:pt idx="6">
                  <c:v>Q2                                                                 
mid 2011</c:v>
                </c:pt>
                <c:pt idx="7">
                  <c:v>Q3</c:v>
                </c:pt>
                <c:pt idx="8">
                  <c:v>Q4</c:v>
                </c:pt>
                <c:pt idx="9">
                  <c:v>Q1</c:v>
                </c:pt>
                <c:pt idx="10">
                  <c:v>Q2</c:v>
                </c:pt>
                <c:pt idx="11">
                  <c:v>Q3/4                                                                 
late 2012</c:v>
                </c:pt>
                <c:pt idx="12">
                  <c:v>Q1</c:v>
                </c:pt>
                <c:pt idx="13">
                  <c:v>Q2</c:v>
                </c:pt>
                <c:pt idx="14">
                  <c:v>Q3</c:v>
                </c:pt>
                <c:pt idx="15">
                  <c:v> Q4                                                                
late 2013</c:v>
                </c:pt>
                <c:pt idx="16">
                  <c:v>Q1</c:v>
                </c:pt>
                <c:pt idx="17">
                  <c:v>Q2</c:v>
                </c:pt>
                <c:pt idx="18">
                  <c:v>Q3</c:v>
                </c:pt>
                <c:pt idx="19">
                  <c:v>Q4</c:v>
                </c:pt>
                <c:pt idx="20">
                  <c:v>Q1</c:v>
                </c:pt>
                <c:pt idx="21">
                  <c:v>Q2</c:v>
                </c:pt>
                <c:pt idx="22">
                  <c:v>Q3                                                                 
mid 2015</c:v>
                </c:pt>
              </c:strCache>
            </c:strRef>
          </c:cat>
          <c:val>
            <c:numRef>
              <c:f>'10 States AggWorkings'!$C$80:$Y$80</c:f>
              <c:numCache>
                <c:formatCode>0</c:formatCode>
                <c:ptCount val="23"/>
                <c:pt idx="0" formatCode="0.0">
                  <c:v>0</c:v>
                </c:pt>
                <c:pt idx="1">
                  <c:v>0</c:v>
                </c:pt>
                <c:pt idx="2">
                  <c:v>0</c:v>
                </c:pt>
                <c:pt idx="3">
                  <c:v>0</c:v>
                </c:pt>
                <c:pt idx="4">
                  <c:v>0</c:v>
                </c:pt>
                <c:pt idx="5">
                  <c:v>0</c:v>
                </c:pt>
                <c:pt idx="6">
                  <c:v>1</c:v>
                </c:pt>
                <c:pt idx="7">
                  <c:v>1</c:v>
                </c:pt>
                <c:pt idx="8">
                  <c:v>2</c:v>
                </c:pt>
                <c:pt idx="9">
                  <c:v>6</c:v>
                </c:pt>
                <c:pt idx="10">
                  <c:v>9</c:v>
                </c:pt>
                <c:pt idx="11">
                  <c:v>17</c:v>
                </c:pt>
                <c:pt idx="12">
                  <c:v>18</c:v>
                </c:pt>
                <c:pt idx="13">
                  <c:v>17</c:v>
                </c:pt>
                <c:pt idx="14">
                  <c:v>24</c:v>
                </c:pt>
                <c:pt idx="15">
                  <c:v>19</c:v>
                </c:pt>
                <c:pt idx="16">
                  <c:v>39</c:v>
                </c:pt>
                <c:pt idx="17">
                  <c:v>45</c:v>
                </c:pt>
                <c:pt idx="18">
                  <c:v>43</c:v>
                </c:pt>
                <c:pt idx="19">
                  <c:v>43</c:v>
                </c:pt>
                <c:pt idx="20">
                  <c:v>49</c:v>
                </c:pt>
                <c:pt idx="21">
                  <c:v>48</c:v>
                </c:pt>
                <c:pt idx="22">
                  <c:v>0</c:v>
                </c:pt>
              </c:numCache>
            </c:numRef>
          </c:val>
          <c:smooth val="0"/>
        </c:ser>
        <c:ser>
          <c:idx val="6"/>
          <c:order val="6"/>
          <c:tx>
            <c:strRef>
              <c:f>'10 States AggWorkings'!$B$82</c:f>
              <c:strCache>
                <c:ptCount val="1"/>
                <c:pt idx="0">
                  <c:v>planned: institute</c:v>
                </c:pt>
              </c:strCache>
            </c:strRef>
          </c:tx>
          <c:spPr>
            <a:ln w="38100">
              <a:solidFill>
                <a:srgbClr val="9999FF"/>
              </a:solidFill>
              <a:prstDash val="solid"/>
            </a:ln>
          </c:spPr>
          <c:marker>
            <c:symbol val="none"/>
          </c:marker>
          <c:cat>
            <c:strRef>
              <c:f>'10 States AggWorkings'!$C$2:$Y$2</c:f>
              <c:strCache>
                <c:ptCount val="23"/>
                <c:pt idx="0">
                  <c:v>early                                                                 
2010</c:v>
                </c:pt>
                <c:pt idx="1">
                  <c:v>Q1</c:v>
                </c:pt>
                <c:pt idx="2">
                  <c:v>Q2</c:v>
                </c:pt>
                <c:pt idx="3">
                  <c:v>Q3</c:v>
                </c:pt>
                <c:pt idx="4">
                  <c:v>Q4</c:v>
                </c:pt>
                <c:pt idx="5">
                  <c:v>Q1</c:v>
                </c:pt>
                <c:pt idx="6">
                  <c:v>Q2                                                                 
mid 2011</c:v>
                </c:pt>
                <c:pt idx="7">
                  <c:v>Q3</c:v>
                </c:pt>
                <c:pt idx="8">
                  <c:v>Q4</c:v>
                </c:pt>
                <c:pt idx="9">
                  <c:v>Q1</c:v>
                </c:pt>
                <c:pt idx="10">
                  <c:v>Q2</c:v>
                </c:pt>
                <c:pt idx="11">
                  <c:v>Q3/4                                                                 
late 2012</c:v>
                </c:pt>
                <c:pt idx="12">
                  <c:v>Q1</c:v>
                </c:pt>
                <c:pt idx="13">
                  <c:v>Q2</c:v>
                </c:pt>
                <c:pt idx="14">
                  <c:v>Q3</c:v>
                </c:pt>
                <c:pt idx="15">
                  <c:v> Q4                                                                
late 2013</c:v>
                </c:pt>
                <c:pt idx="16">
                  <c:v>Q1</c:v>
                </c:pt>
                <c:pt idx="17">
                  <c:v>Q2</c:v>
                </c:pt>
                <c:pt idx="18">
                  <c:v>Q3</c:v>
                </c:pt>
                <c:pt idx="19">
                  <c:v>Q4</c:v>
                </c:pt>
                <c:pt idx="20">
                  <c:v>Q1</c:v>
                </c:pt>
                <c:pt idx="21">
                  <c:v>Q2</c:v>
                </c:pt>
                <c:pt idx="22">
                  <c:v>Q3                                                                 
mid 2015</c:v>
                </c:pt>
              </c:strCache>
            </c:strRef>
          </c:cat>
          <c:val>
            <c:numRef>
              <c:f>'10 States AggWorkings'!$C$82:$Y$82</c:f>
              <c:numCache>
                <c:formatCode>0</c:formatCode>
                <c:ptCount val="23"/>
                <c:pt idx="0" formatCode="0.0">
                  <c:v>0</c:v>
                </c:pt>
                <c:pt idx="1">
                  <c:v>0.33333333333333331</c:v>
                </c:pt>
                <c:pt idx="2">
                  <c:v>0.66666666666666663</c:v>
                </c:pt>
                <c:pt idx="3">
                  <c:v>1</c:v>
                </c:pt>
                <c:pt idx="4">
                  <c:v>1.3333333333333333</c:v>
                </c:pt>
                <c:pt idx="5">
                  <c:v>1.6666666666666665</c:v>
                </c:pt>
                <c:pt idx="6">
                  <c:v>2</c:v>
                </c:pt>
                <c:pt idx="7">
                  <c:v>3</c:v>
                </c:pt>
                <c:pt idx="8">
                  <c:v>4</c:v>
                </c:pt>
                <c:pt idx="9">
                  <c:v>5</c:v>
                </c:pt>
                <c:pt idx="10">
                  <c:v>6</c:v>
                </c:pt>
                <c:pt idx="11">
                  <c:v>8</c:v>
                </c:pt>
                <c:pt idx="12">
                  <c:v>9.75</c:v>
                </c:pt>
                <c:pt idx="13">
                  <c:v>11.5</c:v>
                </c:pt>
                <c:pt idx="14">
                  <c:v>13.25</c:v>
                </c:pt>
                <c:pt idx="15">
                  <c:v>15</c:v>
                </c:pt>
                <c:pt idx="16">
                  <c:v>16.666666666666668</c:v>
                </c:pt>
                <c:pt idx="17">
                  <c:v>18.333333333333332</c:v>
                </c:pt>
                <c:pt idx="18">
                  <c:v>20</c:v>
                </c:pt>
                <c:pt idx="19">
                  <c:v>21.666666666666664</c:v>
                </c:pt>
                <c:pt idx="20">
                  <c:v>23.333333333333332</c:v>
                </c:pt>
                <c:pt idx="21">
                  <c:v>25</c:v>
                </c:pt>
                <c:pt idx="22">
                  <c:v>25</c:v>
                </c:pt>
              </c:numCache>
            </c:numRef>
          </c:val>
          <c:smooth val="0"/>
        </c:ser>
        <c:ser>
          <c:idx val="7"/>
          <c:order val="7"/>
          <c:tx>
            <c:strRef>
              <c:f>'10 States AggWorkings'!$B$83</c:f>
              <c:strCache>
                <c:ptCount val="1"/>
                <c:pt idx="0">
                  <c:v>achieved: institute</c:v>
                </c:pt>
              </c:strCache>
            </c:strRef>
          </c:tx>
          <c:spPr>
            <a:ln w="38100">
              <a:solidFill>
                <a:srgbClr val="FF8080"/>
              </a:solidFill>
              <a:prstDash val="solid"/>
            </a:ln>
          </c:spPr>
          <c:marker>
            <c:symbol val="none"/>
          </c:marker>
          <c:cat>
            <c:strRef>
              <c:f>'10 States AggWorkings'!$C$2:$Y$2</c:f>
              <c:strCache>
                <c:ptCount val="23"/>
                <c:pt idx="0">
                  <c:v>early                                                                 
2010</c:v>
                </c:pt>
                <c:pt idx="1">
                  <c:v>Q1</c:v>
                </c:pt>
                <c:pt idx="2">
                  <c:v>Q2</c:v>
                </c:pt>
                <c:pt idx="3">
                  <c:v>Q3</c:v>
                </c:pt>
                <c:pt idx="4">
                  <c:v>Q4</c:v>
                </c:pt>
                <c:pt idx="5">
                  <c:v>Q1</c:v>
                </c:pt>
                <c:pt idx="6">
                  <c:v>Q2                                                                 
mid 2011</c:v>
                </c:pt>
                <c:pt idx="7">
                  <c:v>Q3</c:v>
                </c:pt>
                <c:pt idx="8">
                  <c:v>Q4</c:v>
                </c:pt>
                <c:pt idx="9">
                  <c:v>Q1</c:v>
                </c:pt>
                <c:pt idx="10">
                  <c:v>Q2</c:v>
                </c:pt>
                <c:pt idx="11">
                  <c:v>Q3/4                                                                 
late 2012</c:v>
                </c:pt>
                <c:pt idx="12">
                  <c:v>Q1</c:v>
                </c:pt>
                <c:pt idx="13">
                  <c:v>Q2</c:v>
                </c:pt>
                <c:pt idx="14">
                  <c:v>Q3</c:v>
                </c:pt>
                <c:pt idx="15">
                  <c:v> Q4                                                                
late 2013</c:v>
                </c:pt>
                <c:pt idx="16">
                  <c:v>Q1</c:v>
                </c:pt>
                <c:pt idx="17">
                  <c:v>Q2</c:v>
                </c:pt>
                <c:pt idx="18">
                  <c:v>Q3</c:v>
                </c:pt>
                <c:pt idx="19">
                  <c:v>Q4</c:v>
                </c:pt>
                <c:pt idx="20">
                  <c:v>Q1</c:v>
                </c:pt>
                <c:pt idx="21">
                  <c:v>Q2</c:v>
                </c:pt>
                <c:pt idx="22">
                  <c:v>Q3                                                                 
mid 2015</c:v>
                </c:pt>
              </c:strCache>
            </c:strRef>
          </c:cat>
          <c:val>
            <c:numRef>
              <c:f>'10 States AggWorkings'!$C$83:$Y$83</c:f>
              <c:numCache>
                <c:formatCode>0</c:formatCode>
                <c:ptCount val="23"/>
                <c:pt idx="0" formatCode="0.0">
                  <c:v>0</c:v>
                </c:pt>
                <c:pt idx="1">
                  <c:v>0</c:v>
                </c:pt>
                <c:pt idx="2">
                  <c:v>0</c:v>
                </c:pt>
                <c:pt idx="3">
                  <c:v>0</c:v>
                </c:pt>
                <c:pt idx="4">
                  <c:v>0</c:v>
                </c:pt>
                <c:pt idx="5">
                  <c:v>0</c:v>
                </c:pt>
                <c:pt idx="6">
                  <c:v>0</c:v>
                </c:pt>
                <c:pt idx="7">
                  <c:v>0</c:v>
                </c:pt>
                <c:pt idx="8">
                  <c:v>0</c:v>
                </c:pt>
                <c:pt idx="9">
                  <c:v>6</c:v>
                </c:pt>
                <c:pt idx="10">
                  <c:v>9</c:v>
                </c:pt>
                <c:pt idx="11">
                  <c:v>7</c:v>
                </c:pt>
                <c:pt idx="12">
                  <c:v>9</c:v>
                </c:pt>
                <c:pt idx="13">
                  <c:v>15</c:v>
                </c:pt>
                <c:pt idx="14">
                  <c:v>20</c:v>
                </c:pt>
                <c:pt idx="15">
                  <c:v>8</c:v>
                </c:pt>
                <c:pt idx="16">
                  <c:v>21</c:v>
                </c:pt>
                <c:pt idx="17">
                  <c:v>29</c:v>
                </c:pt>
                <c:pt idx="18">
                  <c:v>31</c:v>
                </c:pt>
                <c:pt idx="19">
                  <c:v>6</c:v>
                </c:pt>
                <c:pt idx="20">
                  <c:v>8</c:v>
                </c:pt>
                <c:pt idx="21">
                  <c:v>8</c:v>
                </c:pt>
                <c:pt idx="22">
                  <c:v>0</c:v>
                </c:pt>
              </c:numCache>
            </c:numRef>
          </c:val>
          <c:smooth val="0"/>
        </c:ser>
        <c:dLbls>
          <c:showLegendKey val="0"/>
          <c:showVal val="0"/>
          <c:showCatName val="0"/>
          <c:showSerName val="0"/>
          <c:showPercent val="0"/>
          <c:showBubbleSize val="0"/>
        </c:dLbls>
        <c:marker val="1"/>
        <c:smooth val="0"/>
        <c:axId val="111712512"/>
        <c:axId val="111722496"/>
      </c:lineChart>
      <c:catAx>
        <c:axId val="111712512"/>
        <c:scaling>
          <c:orientation val="minMax"/>
        </c:scaling>
        <c:delete val="0"/>
        <c:axPos val="b"/>
        <c:majorGridlines>
          <c:spPr>
            <a:ln w="3175">
              <a:solidFill>
                <a:srgbClr val="808080"/>
              </a:solidFill>
              <a:prstDash val="solid"/>
            </a:ln>
          </c:spPr>
        </c:majorGridlines>
        <c:numFmt formatCode="General" sourceLinked="1"/>
        <c:majorTickMark val="out"/>
        <c:minorTickMark val="none"/>
        <c:tickLblPos val="nextTo"/>
        <c:spPr>
          <a:ln w="3175">
            <a:solidFill>
              <a:srgbClr val="808080"/>
            </a:solidFill>
            <a:prstDash val="solid"/>
          </a:ln>
        </c:spPr>
        <c:txPr>
          <a:bodyPr rot="0" vert="horz"/>
          <a:lstStyle/>
          <a:p>
            <a:pPr>
              <a:defRPr sz="900" b="0" i="0" u="none" strike="noStrike" baseline="0">
                <a:solidFill>
                  <a:srgbClr val="666699"/>
                </a:solidFill>
                <a:latin typeface="Calibri"/>
                <a:ea typeface="Calibri"/>
                <a:cs typeface="Calibri"/>
              </a:defRPr>
            </a:pPr>
            <a:endParaRPr lang="en-US"/>
          </a:p>
        </c:txPr>
        <c:crossAx val="111722496"/>
        <c:crosses val="autoZero"/>
        <c:auto val="1"/>
        <c:lblAlgn val="ctr"/>
        <c:lblOffset val="100"/>
        <c:noMultiLvlLbl val="0"/>
      </c:catAx>
      <c:valAx>
        <c:axId val="111722496"/>
        <c:scaling>
          <c:orientation val="minMax"/>
          <c:max val="100"/>
        </c:scaling>
        <c:delete val="0"/>
        <c:axPos val="l"/>
        <c:majorGridlines>
          <c:spPr>
            <a:ln w="3175">
              <a:solidFill>
                <a:srgbClr val="808080"/>
              </a:solidFill>
              <a:prstDash val="solid"/>
            </a:ln>
          </c:spPr>
        </c:majorGridlines>
        <c:numFmt formatCode="0.0" sourceLinked="1"/>
        <c:majorTickMark val="out"/>
        <c:minorTickMark val="none"/>
        <c:tickLblPos val="nextTo"/>
        <c:spPr>
          <a:ln w="3175">
            <a:solidFill>
              <a:srgbClr val="808080"/>
            </a:solidFill>
            <a:prstDash val="solid"/>
          </a:ln>
        </c:spPr>
        <c:txPr>
          <a:bodyPr rot="0" vert="horz"/>
          <a:lstStyle/>
          <a:p>
            <a:pPr>
              <a:defRPr sz="900" b="0" i="0" u="none" strike="noStrike" baseline="0">
                <a:solidFill>
                  <a:srgbClr val="666699"/>
                </a:solidFill>
                <a:latin typeface="Calibri"/>
                <a:ea typeface="Calibri"/>
                <a:cs typeface="Calibri"/>
              </a:defRPr>
            </a:pPr>
            <a:endParaRPr lang="en-US"/>
          </a:p>
        </c:txPr>
        <c:crossAx val="111712512"/>
        <c:crosses val="autoZero"/>
        <c:crossBetween val="midCat"/>
      </c:valAx>
      <c:spPr>
        <a:solidFill>
          <a:srgbClr val="FFFFFF"/>
        </a:solidFill>
        <a:ln w="25400">
          <a:noFill/>
        </a:ln>
      </c:spPr>
    </c:plotArea>
    <c:legend>
      <c:legendPos val="r"/>
      <c:layout>
        <c:manualLayout>
          <c:xMode val="edge"/>
          <c:yMode val="edge"/>
          <c:x val="0.87375415282391999"/>
          <c:y val="9.6296383369848901E-2"/>
          <c:w val="0.102990033222591"/>
          <c:h val="0.73333399643192698"/>
        </c:manualLayout>
      </c:layout>
      <c:overlay val="0"/>
      <c:spPr>
        <a:noFill/>
        <a:ln w="25400">
          <a:noFill/>
        </a:ln>
      </c:spPr>
      <c:txPr>
        <a:bodyPr/>
        <a:lstStyle/>
        <a:p>
          <a:pPr>
            <a:defRPr sz="690" b="0" i="0" u="none" strike="noStrike" baseline="0">
              <a:solidFill>
                <a:srgbClr val="666699"/>
              </a:solidFill>
              <a:latin typeface="Calibri"/>
              <a:ea typeface="Calibri"/>
              <a:cs typeface="Calibri"/>
            </a:defRPr>
          </a:pPr>
          <a:endParaRPr lang="en-US"/>
        </a:p>
      </c:txPr>
    </c:legend>
    <c:plotVisOnly val="1"/>
    <c:dispBlanksAs val="gap"/>
    <c:showDLblsOverMax val="0"/>
  </c:chart>
  <c:spPr>
    <a:solidFill>
      <a:srgbClr val="B9CDE5"/>
    </a:solidFill>
    <a:ln w="9525">
      <a:noFill/>
    </a:ln>
  </c:spPr>
  <c:txPr>
    <a:bodyPr/>
    <a:lstStyle/>
    <a:p>
      <a:pPr>
        <a:defRPr sz="900" b="0" i="0" u="none" strike="noStrike" baseline="0">
          <a:solidFill>
            <a:srgbClr val="666699"/>
          </a:solidFill>
          <a:latin typeface="Calibri"/>
          <a:ea typeface="Calibri"/>
          <a:cs typeface="Calibri"/>
        </a:defRPr>
      </a:pPr>
      <a:endParaRPr lang="en-US"/>
    </a:p>
  </c:txPr>
  <c:printSettings>
    <c:headerFooter/>
    <c:pageMargins b="1" l="0.75" r="0.75"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4.2501333279108697E-2"/>
          <c:y val="3.7134502923976603E-2"/>
          <c:w val="0.80804702438114895"/>
          <c:h val="0.83545730994152001"/>
        </c:manualLayout>
      </c:layout>
      <c:lineChart>
        <c:grouping val="standard"/>
        <c:varyColors val="0"/>
        <c:ser>
          <c:idx val="0"/>
          <c:order val="0"/>
          <c:tx>
            <c:strRef>
              <c:f>'10 States AggWorkings'!$B$10</c:f>
              <c:strCache>
                <c:ptCount val="1"/>
                <c:pt idx="0">
                  <c:v>planned: FR</c:v>
                </c:pt>
              </c:strCache>
            </c:strRef>
          </c:tx>
          <c:spPr>
            <a:ln w="38100">
              <a:solidFill>
                <a:srgbClr val="666699"/>
              </a:solidFill>
              <a:prstDash val="solid"/>
            </a:ln>
          </c:spPr>
          <c:marker>
            <c:symbol val="none"/>
          </c:marker>
          <c:cat>
            <c:strRef>
              <c:f>'10 States AggWorkings'!$C$2:$Y$2</c:f>
              <c:strCache>
                <c:ptCount val="23"/>
                <c:pt idx="0">
                  <c:v>early                                                                 
2010</c:v>
                </c:pt>
                <c:pt idx="1">
                  <c:v>Q1</c:v>
                </c:pt>
                <c:pt idx="2">
                  <c:v>Q2</c:v>
                </c:pt>
                <c:pt idx="3">
                  <c:v>Q3</c:v>
                </c:pt>
                <c:pt idx="4">
                  <c:v>Q4</c:v>
                </c:pt>
                <c:pt idx="5">
                  <c:v>Q1</c:v>
                </c:pt>
                <c:pt idx="6">
                  <c:v>Q2                                                                 
mid 2011</c:v>
                </c:pt>
                <c:pt idx="7">
                  <c:v>Q3</c:v>
                </c:pt>
                <c:pt idx="8">
                  <c:v>Q4</c:v>
                </c:pt>
                <c:pt idx="9">
                  <c:v>Q1</c:v>
                </c:pt>
                <c:pt idx="10">
                  <c:v>Q2</c:v>
                </c:pt>
                <c:pt idx="11">
                  <c:v>Q3/4                                                                 
late 2012</c:v>
                </c:pt>
                <c:pt idx="12">
                  <c:v>Q1</c:v>
                </c:pt>
                <c:pt idx="13">
                  <c:v>Q2</c:v>
                </c:pt>
                <c:pt idx="14">
                  <c:v>Q3</c:v>
                </c:pt>
                <c:pt idx="15">
                  <c:v> Q4                                                                
late 2013</c:v>
                </c:pt>
                <c:pt idx="16">
                  <c:v>Q1</c:v>
                </c:pt>
                <c:pt idx="17">
                  <c:v>Q2</c:v>
                </c:pt>
                <c:pt idx="18">
                  <c:v>Q3</c:v>
                </c:pt>
                <c:pt idx="19">
                  <c:v>Q4</c:v>
                </c:pt>
                <c:pt idx="20">
                  <c:v>Q1</c:v>
                </c:pt>
                <c:pt idx="21">
                  <c:v>Q2</c:v>
                </c:pt>
                <c:pt idx="22">
                  <c:v>Q3                                                                 
mid 2015</c:v>
                </c:pt>
              </c:strCache>
            </c:strRef>
          </c:cat>
          <c:val>
            <c:numRef>
              <c:f>'10 States AggWorkings'!$C$10:$Y$10</c:f>
              <c:numCache>
                <c:formatCode>0.0</c:formatCode>
                <c:ptCount val="23"/>
                <c:pt idx="0">
                  <c:v>0</c:v>
                </c:pt>
                <c:pt idx="1">
                  <c:v>0</c:v>
                </c:pt>
                <c:pt idx="2">
                  <c:v>0</c:v>
                </c:pt>
                <c:pt idx="3">
                  <c:v>0</c:v>
                </c:pt>
                <c:pt idx="4">
                  <c:v>0</c:v>
                </c:pt>
                <c:pt idx="5">
                  <c:v>0</c:v>
                </c:pt>
                <c:pt idx="6">
                  <c:v>3.375</c:v>
                </c:pt>
                <c:pt idx="7">
                  <c:v>3.4999999999999996</c:v>
                </c:pt>
                <c:pt idx="8">
                  <c:v>3.6249999999999996</c:v>
                </c:pt>
                <c:pt idx="9">
                  <c:v>3.75</c:v>
                </c:pt>
                <c:pt idx="10">
                  <c:v>3.8749999999999996</c:v>
                </c:pt>
                <c:pt idx="11">
                  <c:v>4.125</c:v>
                </c:pt>
                <c:pt idx="12">
                  <c:v>4.75</c:v>
                </c:pt>
                <c:pt idx="13">
                  <c:v>5.375</c:v>
                </c:pt>
                <c:pt idx="14">
                  <c:v>6</c:v>
                </c:pt>
                <c:pt idx="15">
                  <c:v>6.625</c:v>
                </c:pt>
                <c:pt idx="16">
                  <c:v>6.9791666666666661</c:v>
                </c:pt>
                <c:pt idx="17">
                  <c:v>7.333333333333333</c:v>
                </c:pt>
                <c:pt idx="18">
                  <c:v>7.6875</c:v>
                </c:pt>
                <c:pt idx="19">
                  <c:v>8.0416666666666661</c:v>
                </c:pt>
                <c:pt idx="20">
                  <c:v>9.4166666666666661</c:v>
                </c:pt>
                <c:pt idx="21">
                  <c:v>9.6999999999999993</c:v>
                </c:pt>
                <c:pt idx="22">
                  <c:v>9.6999999999999993</c:v>
                </c:pt>
              </c:numCache>
            </c:numRef>
          </c:val>
          <c:smooth val="0"/>
        </c:ser>
        <c:ser>
          <c:idx val="1"/>
          <c:order val="1"/>
          <c:tx>
            <c:strRef>
              <c:f>'10 States AggWorkings'!$B$11</c:f>
              <c:strCache>
                <c:ptCount val="1"/>
                <c:pt idx="0">
                  <c:v>achieved: FR</c:v>
                </c:pt>
              </c:strCache>
            </c:strRef>
          </c:tx>
          <c:spPr>
            <a:ln w="38100">
              <a:solidFill>
                <a:srgbClr val="993366"/>
              </a:solidFill>
              <a:prstDash val="solid"/>
            </a:ln>
          </c:spPr>
          <c:marker>
            <c:symbol val="none"/>
          </c:marker>
          <c:cat>
            <c:strRef>
              <c:f>'10 States AggWorkings'!$C$2:$Y$2</c:f>
              <c:strCache>
                <c:ptCount val="23"/>
                <c:pt idx="0">
                  <c:v>early                                                                 
2010</c:v>
                </c:pt>
                <c:pt idx="1">
                  <c:v>Q1</c:v>
                </c:pt>
                <c:pt idx="2">
                  <c:v>Q2</c:v>
                </c:pt>
                <c:pt idx="3">
                  <c:v>Q3</c:v>
                </c:pt>
                <c:pt idx="4">
                  <c:v>Q4</c:v>
                </c:pt>
                <c:pt idx="5">
                  <c:v>Q1</c:v>
                </c:pt>
                <c:pt idx="6">
                  <c:v>Q2                                                                 
mid 2011</c:v>
                </c:pt>
                <c:pt idx="7">
                  <c:v>Q3</c:v>
                </c:pt>
                <c:pt idx="8">
                  <c:v>Q4</c:v>
                </c:pt>
                <c:pt idx="9">
                  <c:v>Q1</c:v>
                </c:pt>
                <c:pt idx="10">
                  <c:v>Q2</c:v>
                </c:pt>
                <c:pt idx="11">
                  <c:v>Q3/4                                                                 
late 2012</c:v>
                </c:pt>
                <c:pt idx="12">
                  <c:v>Q1</c:v>
                </c:pt>
                <c:pt idx="13">
                  <c:v>Q2</c:v>
                </c:pt>
                <c:pt idx="14">
                  <c:v>Q3</c:v>
                </c:pt>
                <c:pt idx="15">
                  <c:v> Q4                                                                
late 2013</c:v>
                </c:pt>
                <c:pt idx="16">
                  <c:v>Q1</c:v>
                </c:pt>
                <c:pt idx="17">
                  <c:v>Q2</c:v>
                </c:pt>
                <c:pt idx="18">
                  <c:v>Q3</c:v>
                </c:pt>
                <c:pt idx="19">
                  <c:v>Q4</c:v>
                </c:pt>
                <c:pt idx="20">
                  <c:v>Q1</c:v>
                </c:pt>
                <c:pt idx="21">
                  <c:v>Q2</c:v>
                </c:pt>
                <c:pt idx="22">
                  <c:v>Q3                                                                 
mid 2015</c:v>
                </c:pt>
              </c:strCache>
            </c:strRef>
          </c:cat>
          <c:val>
            <c:numRef>
              <c:f>'10 States AggWorkings'!$C$11:$Y$11</c:f>
              <c:numCache>
                <c:formatCode>0.0</c:formatCode>
                <c:ptCount val="23"/>
                <c:pt idx="0">
                  <c:v>0</c:v>
                </c:pt>
                <c:pt idx="1">
                  <c:v>2.125</c:v>
                </c:pt>
                <c:pt idx="2">
                  <c:v>2.125</c:v>
                </c:pt>
                <c:pt idx="3">
                  <c:v>2.125</c:v>
                </c:pt>
                <c:pt idx="4">
                  <c:v>2.125</c:v>
                </c:pt>
                <c:pt idx="5">
                  <c:v>1.75</c:v>
                </c:pt>
                <c:pt idx="6">
                  <c:v>3.4375</c:v>
                </c:pt>
                <c:pt idx="7">
                  <c:v>3.875</c:v>
                </c:pt>
                <c:pt idx="8">
                  <c:v>3.875</c:v>
                </c:pt>
                <c:pt idx="9">
                  <c:v>3.3125</c:v>
                </c:pt>
                <c:pt idx="10">
                  <c:v>2.0625</c:v>
                </c:pt>
                <c:pt idx="11">
                  <c:v>3.875</c:v>
                </c:pt>
                <c:pt idx="12">
                  <c:v>4.375</c:v>
                </c:pt>
                <c:pt idx="13">
                  <c:v>4.5250000000000004</c:v>
                </c:pt>
                <c:pt idx="14">
                  <c:v>4.875</c:v>
                </c:pt>
                <c:pt idx="15">
                  <c:v>5.4375</c:v>
                </c:pt>
                <c:pt idx="16">
                  <c:v>5.625</c:v>
                </c:pt>
                <c:pt idx="17">
                  <c:v>5.875</c:v>
                </c:pt>
                <c:pt idx="18">
                  <c:v>6.375</c:v>
                </c:pt>
                <c:pt idx="19">
                  <c:v>6.75</c:v>
                </c:pt>
                <c:pt idx="20">
                  <c:v>8.1</c:v>
                </c:pt>
                <c:pt idx="21">
                  <c:v>8.1999999999999993</c:v>
                </c:pt>
                <c:pt idx="22">
                  <c:v>0</c:v>
                </c:pt>
              </c:numCache>
            </c:numRef>
          </c:val>
          <c:smooth val="0"/>
        </c:ser>
        <c:ser>
          <c:idx val="2"/>
          <c:order val="2"/>
          <c:tx>
            <c:strRef>
              <c:f>'10 States AggWorkings'!$B$13</c:f>
              <c:strCache>
                <c:ptCount val="1"/>
                <c:pt idx="0">
                  <c:v>planned: PP</c:v>
                </c:pt>
              </c:strCache>
            </c:strRef>
          </c:tx>
          <c:spPr>
            <a:ln w="38100">
              <a:solidFill>
                <a:srgbClr val="90713A"/>
              </a:solidFill>
              <a:prstDash val="solid"/>
            </a:ln>
          </c:spPr>
          <c:marker>
            <c:symbol val="none"/>
          </c:marker>
          <c:cat>
            <c:strRef>
              <c:f>'10 States AggWorkings'!$C$2:$Y$2</c:f>
              <c:strCache>
                <c:ptCount val="23"/>
                <c:pt idx="0">
                  <c:v>early                                                                 
2010</c:v>
                </c:pt>
                <c:pt idx="1">
                  <c:v>Q1</c:v>
                </c:pt>
                <c:pt idx="2">
                  <c:v>Q2</c:v>
                </c:pt>
                <c:pt idx="3">
                  <c:v>Q3</c:v>
                </c:pt>
                <c:pt idx="4">
                  <c:v>Q4</c:v>
                </c:pt>
                <c:pt idx="5">
                  <c:v>Q1</c:v>
                </c:pt>
                <c:pt idx="6">
                  <c:v>Q2                                                                 
mid 2011</c:v>
                </c:pt>
                <c:pt idx="7">
                  <c:v>Q3</c:v>
                </c:pt>
                <c:pt idx="8">
                  <c:v>Q4</c:v>
                </c:pt>
                <c:pt idx="9">
                  <c:v>Q1</c:v>
                </c:pt>
                <c:pt idx="10">
                  <c:v>Q2</c:v>
                </c:pt>
                <c:pt idx="11">
                  <c:v>Q3/4                                                                 
late 2012</c:v>
                </c:pt>
                <c:pt idx="12">
                  <c:v>Q1</c:v>
                </c:pt>
                <c:pt idx="13">
                  <c:v>Q2</c:v>
                </c:pt>
                <c:pt idx="14">
                  <c:v>Q3</c:v>
                </c:pt>
                <c:pt idx="15">
                  <c:v> Q4                                                                
late 2013</c:v>
                </c:pt>
                <c:pt idx="16">
                  <c:v>Q1</c:v>
                </c:pt>
                <c:pt idx="17">
                  <c:v>Q2</c:v>
                </c:pt>
                <c:pt idx="18">
                  <c:v>Q3</c:v>
                </c:pt>
                <c:pt idx="19">
                  <c:v>Q4</c:v>
                </c:pt>
                <c:pt idx="20">
                  <c:v>Q1</c:v>
                </c:pt>
                <c:pt idx="21">
                  <c:v>Q2</c:v>
                </c:pt>
                <c:pt idx="22">
                  <c:v>Q3                                                                 
mid 2015</c:v>
                </c:pt>
              </c:strCache>
            </c:strRef>
          </c:cat>
          <c:val>
            <c:numRef>
              <c:f>'10 States AggWorkings'!$C$13:$Y$13</c:f>
              <c:numCache>
                <c:formatCode>0.0</c:formatCode>
                <c:ptCount val="23"/>
                <c:pt idx="0">
                  <c:v>2.375</c:v>
                </c:pt>
                <c:pt idx="1">
                  <c:v>2.7500000000000004</c:v>
                </c:pt>
                <c:pt idx="2">
                  <c:v>3.1249999999999996</c:v>
                </c:pt>
                <c:pt idx="3">
                  <c:v>3.5</c:v>
                </c:pt>
                <c:pt idx="4">
                  <c:v>3.8750000000000004</c:v>
                </c:pt>
                <c:pt idx="5">
                  <c:v>4.25</c:v>
                </c:pt>
                <c:pt idx="6">
                  <c:v>4.625</c:v>
                </c:pt>
                <c:pt idx="7">
                  <c:v>4.875</c:v>
                </c:pt>
                <c:pt idx="8">
                  <c:v>5.1249999999999991</c:v>
                </c:pt>
                <c:pt idx="9">
                  <c:v>5.375</c:v>
                </c:pt>
                <c:pt idx="10">
                  <c:v>5.625</c:v>
                </c:pt>
                <c:pt idx="11">
                  <c:v>6.125</c:v>
                </c:pt>
                <c:pt idx="12">
                  <c:v>6.65625</c:v>
                </c:pt>
                <c:pt idx="13">
                  <c:v>7.1875</c:v>
                </c:pt>
                <c:pt idx="14">
                  <c:v>7.71875</c:v>
                </c:pt>
                <c:pt idx="15">
                  <c:v>8.25</c:v>
                </c:pt>
                <c:pt idx="16">
                  <c:v>8.5833333333333321</c:v>
                </c:pt>
                <c:pt idx="17">
                  <c:v>8.9166666666666661</c:v>
                </c:pt>
                <c:pt idx="18">
                  <c:v>9.25</c:v>
                </c:pt>
                <c:pt idx="19">
                  <c:v>9.5833333333333321</c:v>
                </c:pt>
                <c:pt idx="20">
                  <c:v>10.8</c:v>
                </c:pt>
                <c:pt idx="21">
                  <c:v>11.1</c:v>
                </c:pt>
                <c:pt idx="22">
                  <c:v>11.1</c:v>
                </c:pt>
              </c:numCache>
            </c:numRef>
          </c:val>
          <c:smooth val="0"/>
        </c:ser>
        <c:ser>
          <c:idx val="3"/>
          <c:order val="3"/>
          <c:tx>
            <c:strRef>
              <c:f>'10 States AggWorkings'!$B$14</c:f>
              <c:strCache>
                <c:ptCount val="1"/>
                <c:pt idx="0">
                  <c:v>achieved: PP</c:v>
                </c:pt>
              </c:strCache>
            </c:strRef>
          </c:tx>
          <c:spPr>
            <a:ln w="38100">
              <a:solidFill>
                <a:srgbClr val="666699"/>
              </a:solidFill>
              <a:prstDash val="solid"/>
            </a:ln>
          </c:spPr>
          <c:marker>
            <c:symbol val="none"/>
          </c:marker>
          <c:cat>
            <c:strRef>
              <c:f>'10 States AggWorkings'!$C$2:$Y$2</c:f>
              <c:strCache>
                <c:ptCount val="23"/>
                <c:pt idx="0">
                  <c:v>early                                                                 
2010</c:v>
                </c:pt>
                <c:pt idx="1">
                  <c:v>Q1</c:v>
                </c:pt>
                <c:pt idx="2">
                  <c:v>Q2</c:v>
                </c:pt>
                <c:pt idx="3">
                  <c:v>Q3</c:v>
                </c:pt>
                <c:pt idx="4">
                  <c:v>Q4</c:v>
                </c:pt>
                <c:pt idx="5">
                  <c:v>Q1</c:v>
                </c:pt>
                <c:pt idx="6">
                  <c:v>Q2                                                                 
mid 2011</c:v>
                </c:pt>
                <c:pt idx="7">
                  <c:v>Q3</c:v>
                </c:pt>
                <c:pt idx="8">
                  <c:v>Q4</c:v>
                </c:pt>
                <c:pt idx="9">
                  <c:v>Q1</c:v>
                </c:pt>
                <c:pt idx="10">
                  <c:v>Q2</c:v>
                </c:pt>
                <c:pt idx="11">
                  <c:v>Q3/4                                                                 
late 2012</c:v>
                </c:pt>
                <c:pt idx="12">
                  <c:v>Q1</c:v>
                </c:pt>
                <c:pt idx="13">
                  <c:v>Q2</c:v>
                </c:pt>
                <c:pt idx="14">
                  <c:v>Q3</c:v>
                </c:pt>
                <c:pt idx="15">
                  <c:v> Q4                                                                
late 2013</c:v>
                </c:pt>
                <c:pt idx="16">
                  <c:v>Q1</c:v>
                </c:pt>
                <c:pt idx="17">
                  <c:v>Q2</c:v>
                </c:pt>
                <c:pt idx="18">
                  <c:v>Q3</c:v>
                </c:pt>
                <c:pt idx="19">
                  <c:v>Q4</c:v>
                </c:pt>
                <c:pt idx="20">
                  <c:v>Q1</c:v>
                </c:pt>
                <c:pt idx="21">
                  <c:v>Q2</c:v>
                </c:pt>
                <c:pt idx="22">
                  <c:v>Q3                                                                 
mid 2015</c:v>
                </c:pt>
              </c:strCache>
            </c:strRef>
          </c:cat>
          <c:val>
            <c:numRef>
              <c:f>'10 States AggWorkings'!$C$14:$Y$14</c:f>
              <c:numCache>
                <c:formatCode>0.0</c:formatCode>
                <c:ptCount val="23"/>
                <c:pt idx="0">
                  <c:v>2.375</c:v>
                </c:pt>
                <c:pt idx="1">
                  <c:v>2.75</c:v>
                </c:pt>
                <c:pt idx="2">
                  <c:v>2.375</c:v>
                </c:pt>
                <c:pt idx="3">
                  <c:v>2.5</c:v>
                </c:pt>
                <c:pt idx="4">
                  <c:v>1.625</c:v>
                </c:pt>
                <c:pt idx="5">
                  <c:v>1.625</c:v>
                </c:pt>
                <c:pt idx="6">
                  <c:v>3.625</c:v>
                </c:pt>
                <c:pt idx="7">
                  <c:v>3.625</c:v>
                </c:pt>
                <c:pt idx="8">
                  <c:v>3.625</c:v>
                </c:pt>
                <c:pt idx="9">
                  <c:v>3.375</c:v>
                </c:pt>
                <c:pt idx="10">
                  <c:v>4.75</c:v>
                </c:pt>
                <c:pt idx="11">
                  <c:v>5.75</c:v>
                </c:pt>
                <c:pt idx="12">
                  <c:v>5.75</c:v>
                </c:pt>
                <c:pt idx="13">
                  <c:v>6.5250000000000004</c:v>
                </c:pt>
                <c:pt idx="14">
                  <c:v>7</c:v>
                </c:pt>
                <c:pt idx="15">
                  <c:v>7.5</c:v>
                </c:pt>
                <c:pt idx="16">
                  <c:v>7.5</c:v>
                </c:pt>
                <c:pt idx="17">
                  <c:v>7.875</c:v>
                </c:pt>
                <c:pt idx="18">
                  <c:v>8.375</c:v>
                </c:pt>
                <c:pt idx="19">
                  <c:v>8.625</c:v>
                </c:pt>
                <c:pt idx="20">
                  <c:v>9.6999999999999993</c:v>
                </c:pt>
                <c:pt idx="21">
                  <c:v>9.8000000000000007</c:v>
                </c:pt>
                <c:pt idx="22">
                  <c:v>0</c:v>
                </c:pt>
              </c:numCache>
            </c:numRef>
          </c:val>
          <c:smooth val="0"/>
        </c:ser>
        <c:ser>
          <c:idx val="4"/>
          <c:order val="4"/>
          <c:tx>
            <c:strRef>
              <c:f>'10 States AggWorkings'!$B$16</c:f>
              <c:strCache>
                <c:ptCount val="1"/>
                <c:pt idx="0">
                  <c:v>planned: FoI</c:v>
                </c:pt>
              </c:strCache>
            </c:strRef>
          </c:tx>
          <c:spPr>
            <a:ln w="38100">
              <a:solidFill>
                <a:srgbClr val="33CCCC"/>
              </a:solidFill>
              <a:prstDash val="solid"/>
            </a:ln>
          </c:spPr>
          <c:marker>
            <c:symbol val="none"/>
          </c:marker>
          <c:cat>
            <c:strRef>
              <c:f>'10 States AggWorkings'!$C$2:$Y$2</c:f>
              <c:strCache>
                <c:ptCount val="23"/>
                <c:pt idx="0">
                  <c:v>early                                                                 
2010</c:v>
                </c:pt>
                <c:pt idx="1">
                  <c:v>Q1</c:v>
                </c:pt>
                <c:pt idx="2">
                  <c:v>Q2</c:v>
                </c:pt>
                <c:pt idx="3">
                  <c:v>Q3</c:v>
                </c:pt>
                <c:pt idx="4">
                  <c:v>Q4</c:v>
                </c:pt>
                <c:pt idx="5">
                  <c:v>Q1</c:v>
                </c:pt>
                <c:pt idx="6">
                  <c:v>Q2                                                                 
mid 2011</c:v>
                </c:pt>
                <c:pt idx="7">
                  <c:v>Q3</c:v>
                </c:pt>
                <c:pt idx="8">
                  <c:v>Q4</c:v>
                </c:pt>
                <c:pt idx="9">
                  <c:v>Q1</c:v>
                </c:pt>
                <c:pt idx="10">
                  <c:v>Q2</c:v>
                </c:pt>
                <c:pt idx="11">
                  <c:v>Q3/4                                                                 
late 2012</c:v>
                </c:pt>
                <c:pt idx="12">
                  <c:v>Q1</c:v>
                </c:pt>
                <c:pt idx="13">
                  <c:v>Q2</c:v>
                </c:pt>
                <c:pt idx="14">
                  <c:v>Q3</c:v>
                </c:pt>
                <c:pt idx="15">
                  <c:v> Q4                                                                
late 2013</c:v>
                </c:pt>
                <c:pt idx="16">
                  <c:v>Q1</c:v>
                </c:pt>
                <c:pt idx="17">
                  <c:v>Q2</c:v>
                </c:pt>
                <c:pt idx="18">
                  <c:v>Q3</c:v>
                </c:pt>
                <c:pt idx="19">
                  <c:v>Q4</c:v>
                </c:pt>
                <c:pt idx="20">
                  <c:v>Q1</c:v>
                </c:pt>
                <c:pt idx="21">
                  <c:v>Q2</c:v>
                </c:pt>
                <c:pt idx="22">
                  <c:v>Q3                                                                 
mid 2015</c:v>
                </c:pt>
              </c:strCache>
            </c:strRef>
          </c:cat>
          <c:val>
            <c:numRef>
              <c:f>'10 States AggWorkings'!$C$16:$Y$16</c:f>
              <c:numCache>
                <c:formatCode>0.0</c:formatCode>
                <c:ptCount val="23"/>
                <c:pt idx="0">
                  <c:v>0.125</c:v>
                </c:pt>
                <c:pt idx="1">
                  <c:v>0.1875</c:v>
                </c:pt>
                <c:pt idx="2">
                  <c:v>0.24999999999999997</c:v>
                </c:pt>
                <c:pt idx="3">
                  <c:v>0.3125</c:v>
                </c:pt>
                <c:pt idx="4">
                  <c:v>0.37499999999999989</c:v>
                </c:pt>
                <c:pt idx="5">
                  <c:v>0.4375</c:v>
                </c:pt>
                <c:pt idx="6">
                  <c:v>0.5</c:v>
                </c:pt>
                <c:pt idx="7">
                  <c:v>0.72916666666666663</c:v>
                </c:pt>
                <c:pt idx="8">
                  <c:v>0.95833333333333337</c:v>
                </c:pt>
                <c:pt idx="9">
                  <c:v>1.1875</c:v>
                </c:pt>
                <c:pt idx="10">
                  <c:v>1.4166666666666667</c:v>
                </c:pt>
                <c:pt idx="11">
                  <c:v>1.875</c:v>
                </c:pt>
                <c:pt idx="12">
                  <c:v>2.09375</c:v>
                </c:pt>
                <c:pt idx="13">
                  <c:v>2.3125</c:v>
                </c:pt>
                <c:pt idx="14">
                  <c:v>2.53125</c:v>
                </c:pt>
                <c:pt idx="15">
                  <c:v>2.75</c:v>
                </c:pt>
                <c:pt idx="16">
                  <c:v>3.145833333333333</c:v>
                </c:pt>
                <c:pt idx="17">
                  <c:v>3.5416666666666665</c:v>
                </c:pt>
                <c:pt idx="18">
                  <c:v>3.9375</c:v>
                </c:pt>
                <c:pt idx="19">
                  <c:v>4.3333333333333339</c:v>
                </c:pt>
                <c:pt idx="20">
                  <c:v>8.4666666666666668</c:v>
                </c:pt>
                <c:pt idx="21">
                  <c:v>9.2666666666666675</c:v>
                </c:pt>
                <c:pt idx="22">
                  <c:v>9.3000000000000007</c:v>
                </c:pt>
              </c:numCache>
            </c:numRef>
          </c:val>
          <c:smooth val="0"/>
        </c:ser>
        <c:ser>
          <c:idx val="5"/>
          <c:order val="5"/>
          <c:tx>
            <c:strRef>
              <c:f>'10 States AggWorkings'!$B$17</c:f>
              <c:strCache>
                <c:ptCount val="1"/>
                <c:pt idx="0">
                  <c:v>achieved: FoI</c:v>
                </c:pt>
              </c:strCache>
            </c:strRef>
          </c:tx>
          <c:spPr>
            <a:ln w="38100">
              <a:solidFill>
                <a:srgbClr val="FF9900"/>
              </a:solidFill>
              <a:prstDash val="solid"/>
            </a:ln>
          </c:spPr>
          <c:marker>
            <c:symbol val="none"/>
          </c:marker>
          <c:cat>
            <c:strRef>
              <c:f>'10 States AggWorkings'!$C$2:$Y$2</c:f>
              <c:strCache>
                <c:ptCount val="23"/>
                <c:pt idx="0">
                  <c:v>early                                                                 
2010</c:v>
                </c:pt>
                <c:pt idx="1">
                  <c:v>Q1</c:v>
                </c:pt>
                <c:pt idx="2">
                  <c:v>Q2</c:v>
                </c:pt>
                <c:pt idx="3">
                  <c:v>Q3</c:v>
                </c:pt>
                <c:pt idx="4">
                  <c:v>Q4</c:v>
                </c:pt>
                <c:pt idx="5">
                  <c:v>Q1</c:v>
                </c:pt>
                <c:pt idx="6">
                  <c:v>Q2                                                                 
mid 2011</c:v>
                </c:pt>
                <c:pt idx="7">
                  <c:v>Q3</c:v>
                </c:pt>
                <c:pt idx="8">
                  <c:v>Q4</c:v>
                </c:pt>
                <c:pt idx="9">
                  <c:v>Q1</c:v>
                </c:pt>
                <c:pt idx="10">
                  <c:v>Q2</c:v>
                </c:pt>
                <c:pt idx="11">
                  <c:v>Q3/4                                                                 
late 2012</c:v>
                </c:pt>
                <c:pt idx="12">
                  <c:v>Q1</c:v>
                </c:pt>
                <c:pt idx="13">
                  <c:v>Q2</c:v>
                </c:pt>
                <c:pt idx="14">
                  <c:v>Q3</c:v>
                </c:pt>
                <c:pt idx="15">
                  <c:v> Q4                                                                
late 2013</c:v>
                </c:pt>
                <c:pt idx="16">
                  <c:v>Q1</c:v>
                </c:pt>
                <c:pt idx="17">
                  <c:v>Q2</c:v>
                </c:pt>
                <c:pt idx="18">
                  <c:v>Q3</c:v>
                </c:pt>
                <c:pt idx="19">
                  <c:v>Q4</c:v>
                </c:pt>
                <c:pt idx="20">
                  <c:v>Q1</c:v>
                </c:pt>
                <c:pt idx="21">
                  <c:v>Q2</c:v>
                </c:pt>
                <c:pt idx="22">
                  <c:v>Q3                                                                 
mid 2015</c:v>
                </c:pt>
              </c:strCache>
            </c:strRef>
          </c:cat>
          <c:val>
            <c:numRef>
              <c:f>'10 States AggWorkings'!$C$17:$Y$17</c:f>
              <c:numCache>
                <c:formatCode>0.0</c:formatCode>
                <c:ptCount val="23"/>
                <c:pt idx="0">
                  <c:v>0.125</c:v>
                </c:pt>
                <c:pt idx="1">
                  <c:v>0.125</c:v>
                </c:pt>
                <c:pt idx="2">
                  <c:v>0.125</c:v>
                </c:pt>
                <c:pt idx="3">
                  <c:v>0.125</c:v>
                </c:pt>
                <c:pt idx="4">
                  <c:v>0.125</c:v>
                </c:pt>
                <c:pt idx="5">
                  <c:v>0.125</c:v>
                </c:pt>
                <c:pt idx="6">
                  <c:v>1.625</c:v>
                </c:pt>
                <c:pt idx="7">
                  <c:v>1.75</c:v>
                </c:pt>
                <c:pt idx="8">
                  <c:v>1.75</c:v>
                </c:pt>
                <c:pt idx="9">
                  <c:v>0.75</c:v>
                </c:pt>
                <c:pt idx="10">
                  <c:v>1.25</c:v>
                </c:pt>
                <c:pt idx="11">
                  <c:v>1.625</c:v>
                </c:pt>
                <c:pt idx="12">
                  <c:v>1.75</c:v>
                </c:pt>
                <c:pt idx="13">
                  <c:v>1.75</c:v>
                </c:pt>
                <c:pt idx="14">
                  <c:v>1.75</c:v>
                </c:pt>
                <c:pt idx="15">
                  <c:v>1.625</c:v>
                </c:pt>
                <c:pt idx="16">
                  <c:v>1.625</c:v>
                </c:pt>
                <c:pt idx="17">
                  <c:v>3.875</c:v>
                </c:pt>
                <c:pt idx="18">
                  <c:v>3.875</c:v>
                </c:pt>
                <c:pt idx="19">
                  <c:v>12.375</c:v>
                </c:pt>
                <c:pt idx="20">
                  <c:v>12.3</c:v>
                </c:pt>
                <c:pt idx="21">
                  <c:v>12.3</c:v>
                </c:pt>
                <c:pt idx="22">
                  <c:v>0</c:v>
                </c:pt>
              </c:numCache>
            </c:numRef>
          </c:val>
          <c:smooth val="0"/>
        </c:ser>
        <c:ser>
          <c:idx val="6"/>
          <c:order val="6"/>
          <c:tx>
            <c:strRef>
              <c:f>'10 States AggWorkings'!$B$19</c:f>
              <c:strCache>
                <c:ptCount val="1"/>
                <c:pt idx="0">
                  <c:v>planned: SC</c:v>
                </c:pt>
              </c:strCache>
            </c:strRef>
          </c:tx>
          <c:spPr>
            <a:ln w="38100">
              <a:solidFill>
                <a:srgbClr val="9999FF"/>
              </a:solidFill>
              <a:prstDash val="solid"/>
            </a:ln>
          </c:spPr>
          <c:marker>
            <c:symbol val="none"/>
          </c:marker>
          <c:cat>
            <c:strRef>
              <c:f>'10 States AggWorkings'!$C$2:$Y$2</c:f>
              <c:strCache>
                <c:ptCount val="23"/>
                <c:pt idx="0">
                  <c:v>early                                                                 
2010</c:v>
                </c:pt>
                <c:pt idx="1">
                  <c:v>Q1</c:v>
                </c:pt>
                <c:pt idx="2">
                  <c:v>Q2</c:v>
                </c:pt>
                <c:pt idx="3">
                  <c:v>Q3</c:v>
                </c:pt>
                <c:pt idx="4">
                  <c:v>Q4</c:v>
                </c:pt>
                <c:pt idx="5">
                  <c:v>Q1</c:v>
                </c:pt>
                <c:pt idx="6">
                  <c:v>Q2                                                                 
mid 2011</c:v>
                </c:pt>
                <c:pt idx="7">
                  <c:v>Q3</c:v>
                </c:pt>
                <c:pt idx="8">
                  <c:v>Q4</c:v>
                </c:pt>
                <c:pt idx="9">
                  <c:v>Q1</c:v>
                </c:pt>
                <c:pt idx="10">
                  <c:v>Q2</c:v>
                </c:pt>
                <c:pt idx="11">
                  <c:v>Q3/4                                                                 
late 2012</c:v>
                </c:pt>
                <c:pt idx="12">
                  <c:v>Q1</c:v>
                </c:pt>
                <c:pt idx="13">
                  <c:v>Q2</c:v>
                </c:pt>
                <c:pt idx="14">
                  <c:v>Q3</c:v>
                </c:pt>
                <c:pt idx="15">
                  <c:v> Q4                                                                
late 2013</c:v>
                </c:pt>
                <c:pt idx="16">
                  <c:v>Q1</c:v>
                </c:pt>
                <c:pt idx="17">
                  <c:v>Q2</c:v>
                </c:pt>
                <c:pt idx="18">
                  <c:v>Q3</c:v>
                </c:pt>
                <c:pt idx="19">
                  <c:v>Q4</c:v>
                </c:pt>
                <c:pt idx="20">
                  <c:v>Q1</c:v>
                </c:pt>
                <c:pt idx="21">
                  <c:v>Q2</c:v>
                </c:pt>
                <c:pt idx="22">
                  <c:v>Q3                                                                 
mid 2015</c:v>
                </c:pt>
              </c:strCache>
            </c:strRef>
          </c:cat>
          <c:val>
            <c:numRef>
              <c:f>'10 States AggWorkings'!$C$19:$Y$19</c:f>
              <c:numCache>
                <c:formatCode>0.0</c:formatCode>
                <c:ptCount val="23"/>
                <c:pt idx="0">
                  <c:v>4.875</c:v>
                </c:pt>
                <c:pt idx="1">
                  <c:v>5.833333333333333</c:v>
                </c:pt>
                <c:pt idx="2">
                  <c:v>6.7916666666666661</c:v>
                </c:pt>
                <c:pt idx="3">
                  <c:v>7.75</c:v>
                </c:pt>
                <c:pt idx="4">
                  <c:v>8.7083333333333321</c:v>
                </c:pt>
                <c:pt idx="5">
                  <c:v>9.6666666666666643</c:v>
                </c:pt>
                <c:pt idx="6">
                  <c:v>10.625</c:v>
                </c:pt>
                <c:pt idx="7">
                  <c:v>11.083333333333332</c:v>
                </c:pt>
                <c:pt idx="8">
                  <c:v>11.541666666666666</c:v>
                </c:pt>
                <c:pt idx="9">
                  <c:v>12</c:v>
                </c:pt>
                <c:pt idx="10">
                  <c:v>12.458333333333332</c:v>
                </c:pt>
                <c:pt idx="11">
                  <c:v>13.375</c:v>
                </c:pt>
                <c:pt idx="12">
                  <c:v>13.5</c:v>
                </c:pt>
                <c:pt idx="13">
                  <c:v>13.625</c:v>
                </c:pt>
                <c:pt idx="14">
                  <c:v>13.75</c:v>
                </c:pt>
                <c:pt idx="15">
                  <c:v>13.875</c:v>
                </c:pt>
                <c:pt idx="16">
                  <c:v>14</c:v>
                </c:pt>
                <c:pt idx="17">
                  <c:v>14.124999999999998</c:v>
                </c:pt>
                <c:pt idx="18">
                  <c:v>14.25</c:v>
                </c:pt>
                <c:pt idx="19">
                  <c:v>14.375</c:v>
                </c:pt>
                <c:pt idx="20">
                  <c:v>14.299999999999997</c:v>
                </c:pt>
                <c:pt idx="21">
                  <c:v>14.4</c:v>
                </c:pt>
                <c:pt idx="22">
                  <c:v>14.4</c:v>
                </c:pt>
              </c:numCache>
            </c:numRef>
          </c:val>
          <c:smooth val="0"/>
        </c:ser>
        <c:ser>
          <c:idx val="7"/>
          <c:order val="7"/>
          <c:tx>
            <c:strRef>
              <c:f>'10 States AggWorkings'!$B$20</c:f>
              <c:strCache>
                <c:ptCount val="1"/>
                <c:pt idx="0">
                  <c:v>achieved: SC</c:v>
                </c:pt>
              </c:strCache>
            </c:strRef>
          </c:tx>
          <c:spPr>
            <a:ln w="38100">
              <a:solidFill>
                <a:srgbClr val="FF8080"/>
              </a:solidFill>
              <a:prstDash val="solid"/>
            </a:ln>
          </c:spPr>
          <c:marker>
            <c:symbol val="none"/>
          </c:marker>
          <c:cat>
            <c:strRef>
              <c:f>'10 States AggWorkings'!$C$2:$Y$2</c:f>
              <c:strCache>
                <c:ptCount val="23"/>
                <c:pt idx="0">
                  <c:v>early                                                                 
2010</c:v>
                </c:pt>
                <c:pt idx="1">
                  <c:v>Q1</c:v>
                </c:pt>
                <c:pt idx="2">
                  <c:v>Q2</c:v>
                </c:pt>
                <c:pt idx="3">
                  <c:v>Q3</c:v>
                </c:pt>
                <c:pt idx="4">
                  <c:v>Q4</c:v>
                </c:pt>
                <c:pt idx="5">
                  <c:v>Q1</c:v>
                </c:pt>
                <c:pt idx="6">
                  <c:v>Q2                                                                 
mid 2011</c:v>
                </c:pt>
                <c:pt idx="7">
                  <c:v>Q3</c:v>
                </c:pt>
                <c:pt idx="8">
                  <c:v>Q4</c:v>
                </c:pt>
                <c:pt idx="9">
                  <c:v>Q1</c:v>
                </c:pt>
                <c:pt idx="10">
                  <c:v>Q2</c:v>
                </c:pt>
                <c:pt idx="11">
                  <c:v>Q3/4                                                                 
late 2012</c:v>
                </c:pt>
                <c:pt idx="12">
                  <c:v>Q1</c:v>
                </c:pt>
                <c:pt idx="13">
                  <c:v>Q2</c:v>
                </c:pt>
                <c:pt idx="14">
                  <c:v>Q3</c:v>
                </c:pt>
                <c:pt idx="15">
                  <c:v> Q4                                                                
late 2013</c:v>
                </c:pt>
                <c:pt idx="16">
                  <c:v>Q1</c:v>
                </c:pt>
                <c:pt idx="17">
                  <c:v>Q2</c:v>
                </c:pt>
                <c:pt idx="18">
                  <c:v>Q3</c:v>
                </c:pt>
                <c:pt idx="19">
                  <c:v>Q4</c:v>
                </c:pt>
                <c:pt idx="20">
                  <c:v>Q1</c:v>
                </c:pt>
                <c:pt idx="21">
                  <c:v>Q2</c:v>
                </c:pt>
                <c:pt idx="22">
                  <c:v>Q3                                                                 
mid 2015</c:v>
                </c:pt>
              </c:strCache>
            </c:strRef>
          </c:cat>
          <c:val>
            <c:numRef>
              <c:f>'10 States AggWorkings'!$C$20:$Y$20</c:f>
              <c:numCache>
                <c:formatCode>0.0</c:formatCode>
                <c:ptCount val="23"/>
                <c:pt idx="0">
                  <c:v>4.875</c:v>
                </c:pt>
                <c:pt idx="1">
                  <c:v>3.25</c:v>
                </c:pt>
                <c:pt idx="2">
                  <c:v>3.25</c:v>
                </c:pt>
                <c:pt idx="3">
                  <c:v>3.25</c:v>
                </c:pt>
                <c:pt idx="4">
                  <c:v>3.25</c:v>
                </c:pt>
                <c:pt idx="5">
                  <c:v>2.875</c:v>
                </c:pt>
                <c:pt idx="6">
                  <c:v>5.5625</c:v>
                </c:pt>
                <c:pt idx="7">
                  <c:v>5.625</c:v>
                </c:pt>
                <c:pt idx="8">
                  <c:v>5.625</c:v>
                </c:pt>
                <c:pt idx="9">
                  <c:v>4.0625</c:v>
                </c:pt>
                <c:pt idx="10">
                  <c:v>6.4375</c:v>
                </c:pt>
                <c:pt idx="11">
                  <c:v>13.25</c:v>
                </c:pt>
                <c:pt idx="12">
                  <c:v>13.25</c:v>
                </c:pt>
                <c:pt idx="13">
                  <c:v>13.4375</c:v>
                </c:pt>
                <c:pt idx="14">
                  <c:v>13.625</c:v>
                </c:pt>
                <c:pt idx="15">
                  <c:v>14.012499999999999</c:v>
                </c:pt>
                <c:pt idx="16">
                  <c:v>14.012499999999999</c:v>
                </c:pt>
                <c:pt idx="17">
                  <c:v>14.324999999999999</c:v>
                </c:pt>
                <c:pt idx="18">
                  <c:v>14.324999999999999</c:v>
                </c:pt>
                <c:pt idx="19">
                  <c:v>14.387499999999999</c:v>
                </c:pt>
                <c:pt idx="20">
                  <c:v>14.209999999999999</c:v>
                </c:pt>
                <c:pt idx="21">
                  <c:v>14.209999999999999</c:v>
                </c:pt>
                <c:pt idx="22">
                  <c:v>0</c:v>
                </c:pt>
              </c:numCache>
            </c:numRef>
          </c:val>
          <c:smooth val="0"/>
        </c:ser>
        <c:dLbls>
          <c:showLegendKey val="0"/>
          <c:showVal val="0"/>
          <c:showCatName val="0"/>
          <c:showSerName val="0"/>
          <c:showPercent val="0"/>
          <c:showBubbleSize val="0"/>
        </c:dLbls>
        <c:marker val="1"/>
        <c:smooth val="0"/>
        <c:axId val="111912832"/>
        <c:axId val="111914368"/>
      </c:lineChart>
      <c:catAx>
        <c:axId val="111912832"/>
        <c:scaling>
          <c:orientation val="minMax"/>
        </c:scaling>
        <c:delete val="0"/>
        <c:axPos val="b"/>
        <c:majorGridlines>
          <c:spPr>
            <a:ln w="3175">
              <a:solidFill>
                <a:srgbClr val="808080"/>
              </a:solidFill>
              <a:prstDash val="solid"/>
            </a:ln>
          </c:spPr>
        </c:majorGridlines>
        <c:numFmt formatCode="General" sourceLinked="1"/>
        <c:majorTickMark val="out"/>
        <c:minorTickMark val="none"/>
        <c:tickLblPos val="nextTo"/>
        <c:spPr>
          <a:ln w="3175">
            <a:solidFill>
              <a:srgbClr val="808080"/>
            </a:solidFill>
            <a:prstDash val="solid"/>
          </a:ln>
        </c:spPr>
        <c:txPr>
          <a:bodyPr rot="0" vert="horz"/>
          <a:lstStyle/>
          <a:p>
            <a:pPr>
              <a:defRPr sz="900" b="0" i="0" u="none" strike="noStrike" baseline="0">
                <a:solidFill>
                  <a:srgbClr val="666699"/>
                </a:solidFill>
                <a:latin typeface="Calibri"/>
                <a:ea typeface="Calibri"/>
                <a:cs typeface="Calibri"/>
              </a:defRPr>
            </a:pPr>
            <a:endParaRPr lang="en-US"/>
          </a:p>
        </c:txPr>
        <c:crossAx val="111914368"/>
        <c:crosses val="autoZero"/>
        <c:auto val="1"/>
        <c:lblAlgn val="ctr"/>
        <c:lblOffset val="100"/>
        <c:noMultiLvlLbl val="0"/>
      </c:catAx>
      <c:valAx>
        <c:axId val="111914368"/>
        <c:scaling>
          <c:orientation val="minMax"/>
          <c:max val="15"/>
        </c:scaling>
        <c:delete val="0"/>
        <c:axPos val="l"/>
        <c:majorGridlines>
          <c:spPr>
            <a:ln w="3175">
              <a:solidFill>
                <a:srgbClr val="808080"/>
              </a:solidFill>
              <a:prstDash val="solid"/>
            </a:ln>
          </c:spPr>
        </c:majorGridlines>
        <c:numFmt formatCode="0.0" sourceLinked="1"/>
        <c:majorTickMark val="out"/>
        <c:minorTickMark val="none"/>
        <c:tickLblPos val="nextTo"/>
        <c:spPr>
          <a:ln w="3175">
            <a:solidFill>
              <a:srgbClr val="808080"/>
            </a:solidFill>
            <a:prstDash val="solid"/>
          </a:ln>
        </c:spPr>
        <c:txPr>
          <a:bodyPr rot="0" vert="horz"/>
          <a:lstStyle/>
          <a:p>
            <a:pPr>
              <a:defRPr sz="900" b="0" i="0" u="none" strike="noStrike" baseline="0">
                <a:solidFill>
                  <a:srgbClr val="666699"/>
                </a:solidFill>
                <a:latin typeface="Calibri"/>
                <a:ea typeface="Calibri"/>
                <a:cs typeface="Calibri"/>
              </a:defRPr>
            </a:pPr>
            <a:endParaRPr lang="en-US"/>
          </a:p>
        </c:txPr>
        <c:crossAx val="111912832"/>
        <c:crosses val="autoZero"/>
        <c:crossBetween val="midCat"/>
        <c:majorUnit val="1"/>
      </c:valAx>
      <c:spPr>
        <a:solidFill>
          <a:srgbClr val="FFFFFF"/>
        </a:solidFill>
        <a:ln w="25400">
          <a:noFill/>
        </a:ln>
      </c:spPr>
    </c:plotArea>
    <c:legend>
      <c:legendPos val="r"/>
      <c:layout>
        <c:manualLayout>
          <c:xMode val="edge"/>
          <c:yMode val="edge"/>
          <c:x val="0.87541528239202704"/>
          <c:y val="0.151851989160146"/>
          <c:w val="0.102990033222591"/>
          <c:h val="0.63333390600939099"/>
        </c:manualLayout>
      </c:layout>
      <c:overlay val="0"/>
      <c:spPr>
        <a:noFill/>
        <a:ln w="25400">
          <a:noFill/>
        </a:ln>
      </c:spPr>
      <c:txPr>
        <a:bodyPr/>
        <a:lstStyle/>
        <a:p>
          <a:pPr>
            <a:defRPr sz="690" b="0" i="0" u="none" strike="noStrike" baseline="0">
              <a:solidFill>
                <a:srgbClr val="666699"/>
              </a:solidFill>
              <a:latin typeface="Calibri"/>
              <a:ea typeface="Calibri"/>
              <a:cs typeface="Calibri"/>
            </a:defRPr>
          </a:pPr>
          <a:endParaRPr lang="en-US"/>
        </a:p>
      </c:txPr>
    </c:legend>
    <c:plotVisOnly val="1"/>
    <c:dispBlanksAs val="gap"/>
    <c:showDLblsOverMax val="0"/>
  </c:chart>
  <c:spPr>
    <a:solidFill>
      <a:srgbClr val="DCE6F2"/>
    </a:solidFill>
    <a:ln w="9525">
      <a:noFill/>
    </a:ln>
  </c:spPr>
  <c:txPr>
    <a:bodyPr/>
    <a:lstStyle/>
    <a:p>
      <a:pPr>
        <a:defRPr sz="900" b="0" i="0" u="none" strike="noStrike" baseline="0">
          <a:solidFill>
            <a:srgbClr val="666699"/>
          </a:solidFill>
          <a:latin typeface="Calibri"/>
          <a:ea typeface="Calibri"/>
          <a:cs typeface="Calibri"/>
        </a:defRPr>
      </a:pPr>
      <a:endParaRPr lang="en-US"/>
    </a:p>
  </c:txPr>
  <c:printSettings>
    <c:headerFooter/>
    <c:pageMargins b="1" l="0.75" r="0.75"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Score vs Spend: Output 1</a:t>
            </a:r>
          </a:p>
        </c:rich>
      </c:tx>
      <c:overlay val="0"/>
    </c:title>
    <c:autoTitleDeleted val="0"/>
    <c:plotArea>
      <c:layout>
        <c:manualLayout>
          <c:layoutTarget val="inner"/>
          <c:xMode val="edge"/>
          <c:yMode val="edge"/>
          <c:x val="0.120232683680497"/>
          <c:y val="0.17943262411347499"/>
          <c:w val="0.66803205450382497"/>
          <c:h val="0.64770704193890705"/>
        </c:manualLayout>
      </c:layout>
      <c:scatterChart>
        <c:scatterStyle val="smoothMarker"/>
        <c:varyColors val="0"/>
        <c:ser>
          <c:idx val="0"/>
          <c:order val="0"/>
          <c:tx>
            <c:strRef>
              <c:f>Spend!$AG$193</c:f>
              <c:strCache>
                <c:ptCount val="1"/>
                <c:pt idx="0">
                  <c:v>Enugu</c:v>
                </c:pt>
              </c:strCache>
            </c:strRef>
          </c:tx>
          <c:marker>
            <c:symbol val="none"/>
          </c:marker>
          <c:xVal>
            <c:numRef>
              <c:f>Spend!$AH$193:$AL$193</c:f>
              <c:numCache>
                <c:formatCode>_(* #,##0_);_(* \(#,##0\);_(* "-"_);_(@_)</c:formatCode>
                <c:ptCount val="5"/>
                <c:pt idx="0">
                  <c:v>0</c:v>
                </c:pt>
                <c:pt idx="1">
                  <c:v>298052.85214757948</c:v>
                </c:pt>
                <c:pt idx="2">
                  <c:v>412133.77016779699</c:v>
                </c:pt>
                <c:pt idx="3">
                  <c:v>509522.48879278102</c:v>
                </c:pt>
                <c:pt idx="4">
                  <c:v>590327.8954089426</c:v>
                </c:pt>
              </c:numCache>
            </c:numRef>
          </c:xVal>
          <c:yVal>
            <c:numRef>
              <c:f>Spend!$AN$193:$AR$193</c:f>
              <c:numCache>
                <c:formatCode>_-* #,##0.0_-;\-* #,##0.0_-;_-* "-"_-;_-@_-</c:formatCode>
                <c:ptCount val="5"/>
                <c:pt idx="0">
                  <c:v>1.25</c:v>
                </c:pt>
                <c:pt idx="1">
                  <c:v>1</c:v>
                </c:pt>
                <c:pt idx="2">
                  <c:v>1.5999999999999999</c:v>
                </c:pt>
                <c:pt idx="3">
                  <c:v>2.8666666666666667</c:v>
                </c:pt>
                <c:pt idx="4">
                  <c:v>4.2766666666666664</c:v>
                </c:pt>
              </c:numCache>
            </c:numRef>
          </c:yVal>
          <c:smooth val="1"/>
        </c:ser>
        <c:ser>
          <c:idx val="1"/>
          <c:order val="1"/>
          <c:tx>
            <c:strRef>
              <c:f>Spend!$AG$194</c:f>
              <c:strCache>
                <c:ptCount val="1"/>
                <c:pt idx="0">
                  <c:v>Jigawa</c:v>
                </c:pt>
              </c:strCache>
            </c:strRef>
          </c:tx>
          <c:marker>
            <c:symbol val="none"/>
          </c:marker>
          <c:xVal>
            <c:numRef>
              <c:f>Spend!$AH$194:$AL$194</c:f>
              <c:numCache>
                <c:formatCode>_(* #,##0_);_(* \(#,##0\);_(* "-"_);_(@_)</c:formatCode>
                <c:ptCount val="5"/>
                <c:pt idx="0">
                  <c:v>0</c:v>
                </c:pt>
                <c:pt idx="1">
                  <c:v>266165.19371038652</c:v>
                </c:pt>
                <c:pt idx="2">
                  <c:v>375237.1110445321</c:v>
                </c:pt>
                <c:pt idx="3">
                  <c:v>470711.55947372667</c:v>
                </c:pt>
                <c:pt idx="4">
                  <c:v>554342.37651817105</c:v>
                </c:pt>
              </c:numCache>
            </c:numRef>
          </c:xVal>
          <c:yVal>
            <c:numRef>
              <c:f>Spend!$AN$194:$AR$194</c:f>
              <c:numCache>
                <c:formatCode>_-* #,##0.0_-;\-* #,##0.0_-;_-* "-"_-;_-@_-</c:formatCode>
                <c:ptCount val="5"/>
                <c:pt idx="0">
                  <c:v>1</c:v>
                </c:pt>
                <c:pt idx="1">
                  <c:v>2.5</c:v>
                </c:pt>
                <c:pt idx="2">
                  <c:v>2.1333333333333333</c:v>
                </c:pt>
                <c:pt idx="3">
                  <c:v>3.7999999999999994</c:v>
                </c:pt>
                <c:pt idx="4">
                  <c:v>4.333333333333333</c:v>
                </c:pt>
              </c:numCache>
            </c:numRef>
          </c:yVal>
          <c:smooth val="1"/>
        </c:ser>
        <c:ser>
          <c:idx val="2"/>
          <c:order val="2"/>
          <c:tx>
            <c:strRef>
              <c:f>Spend!$AG$195</c:f>
              <c:strCache>
                <c:ptCount val="1"/>
                <c:pt idx="0">
                  <c:v>Kaduna</c:v>
                </c:pt>
              </c:strCache>
            </c:strRef>
          </c:tx>
          <c:marker>
            <c:symbol val="none"/>
          </c:marker>
          <c:xVal>
            <c:numRef>
              <c:f>Spend!$AH$195:$AL$195</c:f>
              <c:numCache>
                <c:formatCode>_(* #,##0_);_(* \(#,##0\);_(* "-"_);_(@_)</c:formatCode>
                <c:ptCount val="5"/>
                <c:pt idx="0">
                  <c:v>0</c:v>
                </c:pt>
                <c:pt idx="1">
                  <c:v>270953.97534687771</c:v>
                </c:pt>
                <c:pt idx="2">
                  <c:v>376774.00641728065</c:v>
                </c:pt>
                <c:pt idx="3">
                  <c:v>476528.24819382071</c:v>
                </c:pt>
                <c:pt idx="4">
                  <c:v>552569.98917361873</c:v>
                </c:pt>
              </c:numCache>
            </c:numRef>
          </c:xVal>
          <c:yVal>
            <c:numRef>
              <c:f>Spend!$AN$195:$AR$195</c:f>
              <c:numCache>
                <c:formatCode>_-* #,##0.0_-;\-* #,##0.0_-;_-* "-"_-;_-@_-</c:formatCode>
                <c:ptCount val="5"/>
                <c:pt idx="0">
                  <c:v>1</c:v>
                </c:pt>
                <c:pt idx="1">
                  <c:v>1.4</c:v>
                </c:pt>
                <c:pt idx="2">
                  <c:v>2.4</c:v>
                </c:pt>
                <c:pt idx="3">
                  <c:v>3</c:v>
                </c:pt>
                <c:pt idx="4">
                  <c:v>4.0666666666666664</c:v>
                </c:pt>
              </c:numCache>
            </c:numRef>
          </c:yVal>
          <c:smooth val="1"/>
        </c:ser>
        <c:ser>
          <c:idx val="3"/>
          <c:order val="3"/>
          <c:tx>
            <c:strRef>
              <c:f>Spend!$AG$196</c:f>
              <c:strCache>
                <c:ptCount val="1"/>
                <c:pt idx="0">
                  <c:v>Kano</c:v>
                </c:pt>
              </c:strCache>
            </c:strRef>
          </c:tx>
          <c:marker>
            <c:symbol val="none"/>
          </c:marker>
          <c:xVal>
            <c:numRef>
              <c:f>Spend!$AH$196:$AL$196</c:f>
              <c:numCache>
                <c:formatCode>_(* #,##0_);_(* \(#,##0\);_(* "-"_);_(@_)</c:formatCode>
                <c:ptCount val="5"/>
                <c:pt idx="0">
                  <c:v>0</c:v>
                </c:pt>
                <c:pt idx="1">
                  <c:v>256088.33341424621</c:v>
                </c:pt>
                <c:pt idx="2">
                  <c:v>356192.01271262264</c:v>
                </c:pt>
                <c:pt idx="3">
                  <c:v>445210.18130065018</c:v>
                </c:pt>
                <c:pt idx="4">
                  <c:v>517014.25510873098</c:v>
                </c:pt>
              </c:numCache>
            </c:numRef>
          </c:xVal>
          <c:yVal>
            <c:numRef>
              <c:f>Spend!$AN$196:$AR$196</c:f>
              <c:numCache>
                <c:formatCode>_-* #,##0.0_-;\-* #,##0.0_-;_-* "-"_-;_-@_-</c:formatCode>
                <c:ptCount val="5"/>
                <c:pt idx="0">
                  <c:v>1</c:v>
                </c:pt>
                <c:pt idx="1">
                  <c:v>1.5</c:v>
                </c:pt>
                <c:pt idx="2">
                  <c:v>2.4666666666666668</c:v>
                </c:pt>
                <c:pt idx="3">
                  <c:v>3.8333333333333335</c:v>
                </c:pt>
                <c:pt idx="4">
                  <c:v>4.2</c:v>
                </c:pt>
              </c:numCache>
            </c:numRef>
          </c:yVal>
          <c:smooth val="1"/>
        </c:ser>
        <c:ser>
          <c:idx val="4"/>
          <c:order val="4"/>
          <c:tx>
            <c:strRef>
              <c:f>Spend!$AG$197</c:f>
              <c:strCache>
                <c:ptCount val="1"/>
                <c:pt idx="0">
                  <c:v>Lagos</c:v>
                </c:pt>
              </c:strCache>
            </c:strRef>
          </c:tx>
          <c:marker>
            <c:symbol val="none"/>
          </c:marker>
          <c:xVal>
            <c:numRef>
              <c:f>Spend!$AH$197:$AL$197</c:f>
              <c:numCache>
                <c:formatCode>_(* #,##0_);_(* \(#,##0\);_(* "-"_);_(@_)</c:formatCode>
                <c:ptCount val="5"/>
                <c:pt idx="0">
                  <c:v>0</c:v>
                </c:pt>
                <c:pt idx="1">
                  <c:v>298269.98549143912</c:v>
                </c:pt>
                <c:pt idx="2">
                  <c:v>505167.00227100041</c:v>
                </c:pt>
                <c:pt idx="3">
                  <c:v>645920.10595960007</c:v>
                </c:pt>
                <c:pt idx="4">
                  <c:v>760589.13330303447</c:v>
                </c:pt>
              </c:numCache>
            </c:numRef>
          </c:xVal>
          <c:yVal>
            <c:numRef>
              <c:f>Spend!$AN$197:$AR$197</c:f>
              <c:numCache>
                <c:formatCode>_-* #,##0.0_-;\-* #,##0.0_-;_-* "-"_-;_-@_-</c:formatCode>
                <c:ptCount val="5"/>
                <c:pt idx="0">
                  <c:v>1</c:v>
                </c:pt>
                <c:pt idx="1">
                  <c:v>2.5</c:v>
                </c:pt>
                <c:pt idx="2">
                  <c:v>2.1666666666666665</c:v>
                </c:pt>
                <c:pt idx="3">
                  <c:v>3.1999999999999997</c:v>
                </c:pt>
                <c:pt idx="4">
                  <c:v>4.5333333333333332</c:v>
                </c:pt>
              </c:numCache>
            </c:numRef>
          </c:yVal>
          <c:smooth val="1"/>
        </c:ser>
        <c:ser>
          <c:idx val="5"/>
          <c:order val="5"/>
          <c:tx>
            <c:strRef>
              <c:f>Spend!$AG$198</c:f>
              <c:strCache>
                <c:ptCount val="1"/>
                <c:pt idx="0">
                  <c:v>Zamfara</c:v>
                </c:pt>
              </c:strCache>
            </c:strRef>
          </c:tx>
          <c:marker>
            <c:symbol val="none"/>
          </c:marker>
          <c:xVal>
            <c:numRef>
              <c:f>Spend!$AH$198:$AL$198</c:f>
              <c:numCache>
                <c:formatCode>_(* #,##0_);_(* \(#,##0\);_(* "-"_);_(@_)</c:formatCode>
                <c:ptCount val="5"/>
                <c:pt idx="0">
                  <c:v>0</c:v>
                </c:pt>
                <c:pt idx="1">
                  <c:v>0</c:v>
                </c:pt>
                <c:pt idx="2">
                  <c:v>70855.769756943657</c:v>
                </c:pt>
                <c:pt idx="3">
                  <c:v>156893.44227538776</c:v>
                </c:pt>
                <c:pt idx="4">
                  <c:v>224821.09608346852</c:v>
                </c:pt>
              </c:numCache>
            </c:numRef>
          </c:xVal>
          <c:yVal>
            <c:numRef>
              <c:f>Spend!$AN$198:$AR$198</c:f>
              <c:numCache>
                <c:formatCode>_-* #,##0.0_-;\-* #,##0.0_-;_-* "-"_-;_-@_-</c:formatCode>
                <c:ptCount val="5"/>
                <c:pt idx="0">
                  <c:v>1</c:v>
                </c:pt>
                <c:pt idx="1">
                  <c:v>1</c:v>
                </c:pt>
                <c:pt idx="2">
                  <c:v>0.66666666666666663</c:v>
                </c:pt>
                <c:pt idx="3">
                  <c:v>1.0999999999999999</c:v>
                </c:pt>
                <c:pt idx="4">
                  <c:v>2.1666666666666665</c:v>
                </c:pt>
              </c:numCache>
            </c:numRef>
          </c:yVal>
          <c:smooth val="1"/>
        </c:ser>
        <c:ser>
          <c:idx val="6"/>
          <c:order val="6"/>
          <c:tx>
            <c:strRef>
              <c:f>Spend!$AG$199</c:f>
              <c:strCache>
                <c:ptCount val="1"/>
                <c:pt idx="0">
                  <c:v>Katsina</c:v>
                </c:pt>
              </c:strCache>
            </c:strRef>
          </c:tx>
          <c:marker>
            <c:symbol val="none"/>
          </c:marker>
          <c:xVal>
            <c:numRef>
              <c:f>Spend!$AH$199:$AL$199</c:f>
              <c:numCache>
                <c:formatCode>_(* #,##0_);_(* \(#,##0\);_(* "-"_);_(@_)</c:formatCode>
                <c:ptCount val="5"/>
                <c:pt idx="0">
                  <c:v>0</c:v>
                </c:pt>
                <c:pt idx="1">
                  <c:v>0</c:v>
                </c:pt>
                <c:pt idx="2">
                  <c:v>70717.678899575243</c:v>
                </c:pt>
                <c:pt idx="3">
                  <c:v>136107.38985987287</c:v>
                </c:pt>
                <c:pt idx="4">
                  <c:v>205740.09412249914</c:v>
                </c:pt>
              </c:numCache>
            </c:numRef>
          </c:xVal>
          <c:yVal>
            <c:numRef>
              <c:f>Spend!$AN$199:$AR$199</c:f>
              <c:numCache>
                <c:formatCode>_-* #,##0.0_-;\-* #,##0.0_-;_-* "-"_-;_-@_-</c:formatCode>
                <c:ptCount val="5"/>
                <c:pt idx="0">
                  <c:v>1</c:v>
                </c:pt>
                <c:pt idx="1">
                  <c:v>1</c:v>
                </c:pt>
                <c:pt idx="2">
                  <c:v>0.83333333333333337</c:v>
                </c:pt>
                <c:pt idx="3">
                  <c:v>0.66666666666666663</c:v>
                </c:pt>
                <c:pt idx="4">
                  <c:v>2.1</c:v>
                </c:pt>
              </c:numCache>
            </c:numRef>
          </c:yVal>
          <c:smooth val="1"/>
        </c:ser>
        <c:ser>
          <c:idx val="7"/>
          <c:order val="7"/>
          <c:tx>
            <c:strRef>
              <c:f>Spend!$AG$200</c:f>
              <c:strCache>
                <c:ptCount val="1"/>
                <c:pt idx="0">
                  <c:v>Yobe</c:v>
                </c:pt>
              </c:strCache>
            </c:strRef>
          </c:tx>
          <c:marker>
            <c:symbol val="none"/>
          </c:marker>
          <c:xVal>
            <c:numRef>
              <c:f>Spend!$AH$200:$AL$200</c:f>
              <c:numCache>
                <c:formatCode>_(* #,##0_);_(* \(#,##0\);_(* "-"_);_(@_)</c:formatCode>
                <c:ptCount val="5"/>
                <c:pt idx="0">
                  <c:v>0</c:v>
                </c:pt>
                <c:pt idx="1">
                  <c:v>0</c:v>
                </c:pt>
                <c:pt idx="2">
                  <c:v>73376.644043259454</c:v>
                </c:pt>
                <c:pt idx="3">
                  <c:v>137961.97117467836</c:v>
                </c:pt>
                <c:pt idx="4">
                  <c:v>196359.76538679955</c:v>
                </c:pt>
              </c:numCache>
            </c:numRef>
          </c:xVal>
          <c:yVal>
            <c:numRef>
              <c:f>Spend!$AN$200:$AR$200</c:f>
              <c:numCache>
                <c:formatCode>_-* #,##0.0_-;\-* #,##0.0_-;_-* "-"_-;_-@_-</c:formatCode>
                <c:ptCount val="5"/>
                <c:pt idx="0">
                  <c:v>1</c:v>
                </c:pt>
                <c:pt idx="1">
                  <c:v>1</c:v>
                </c:pt>
                <c:pt idx="2">
                  <c:v>0.66666666666666663</c:v>
                </c:pt>
                <c:pt idx="3">
                  <c:v>1.6333333333333335</c:v>
                </c:pt>
                <c:pt idx="4">
                  <c:v>3.0666666666666664</c:v>
                </c:pt>
              </c:numCache>
            </c:numRef>
          </c:yVal>
          <c:smooth val="1"/>
        </c:ser>
        <c:dLbls>
          <c:showLegendKey val="0"/>
          <c:showVal val="0"/>
          <c:showCatName val="0"/>
          <c:showSerName val="0"/>
          <c:showPercent val="0"/>
          <c:showBubbleSize val="0"/>
        </c:dLbls>
        <c:axId val="119572736"/>
        <c:axId val="119583488"/>
      </c:scatterChart>
      <c:valAx>
        <c:axId val="119572736"/>
        <c:scaling>
          <c:orientation val="minMax"/>
          <c:min val="1"/>
        </c:scaling>
        <c:delete val="0"/>
        <c:axPos val="b"/>
        <c:title>
          <c:tx>
            <c:rich>
              <a:bodyPr/>
              <a:lstStyle/>
              <a:p>
                <a:pPr>
                  <a:defRPr/>
                </a:pPr>
                <a:r>
                  <a:rPr lang="en-US" sz="1200"/>
                  <a:t>Spend</a:t>
                </a:r>
              </a:p>
            </c:rich>
          </c:tx>
          <c:layout>
            <c:manualLayout>
              <c:xMode val="edge"/>
              <c:yMode val="edge"/>
              <c:x val="0.43348243703579598"/>
              <c:y val="0.89929078014184405"/>
            </c:manualLayout>
          </c:layout>
          <c:overlay val="0"/>
        </c:title>
        <c:numFmt formatCode="_(* #,##0_);_(* \(#,##0\);_(* &quot;-&quot;_);_(@_)" sourceLinked="1"/>
        <c:majorTickMark val="none"/>
        <c:minorTickMark val="none"/>
        <c:tickLblPos val="nextTo"/>
        <c:crossAx val="119583488"/>
        <c:crosses val="autoZero"/>
        <c:crossBetween val="midCat"/>
        <c:dispUnits>
          <c:builtInUnit val="thousands"/>
          <c:dispUnitsLbl>
            <c:txPr>
              <a:bodyPr/>
              <a:lstStyle/>
              <a:p>
                <a:pPr>
                  <a:defRPr b="0" i="0"/>
                </a:pPr>
                <a:endParaRPr lang="en-US"/>
              </a:p>
            </c:txPr>
          </c:dispUnitsLbl>
        </c:dispUnits>
      </c:valAx>
      <c:valAx>
        <c:axId val="119583488"/>
        <c:scaling>
          <c:orientation val="minMax"/>
          <c:max val="5"/>
        </c:scaling>
        <c:delete val="0"/>
        <c:axPos val="l"/>
        <c:majorGridlines/>
        <c:title>
          <c:tx>
            <c:rich>
              <a:bodyPr/>
              <a:lstStyle/>
              <a:p>
                <a:pPr>
                  <a:defRPr sz="1200"/>
                </a:pPr>
                <a:r>
                  <a:rPr lang="en-US" sz="1200"/>
                  <a:t>Score</a:t>
                </a:r>
              </a:p>
            </c:rich>
          </c:tx>
          <c:overlay val="0"/>
        </c:title>
        <c:numFmt formatCode="_-* #,##0.0_-;\-* #,##0.0_-;_-* &quot;-&quot;_-;_-@_-" sourceLinked="1"/>
        <c:majorTickMark val="none"/>
        <c:minorTickMark val="none"/>
        <c:tickLblPos val="nextTo"/>
        <c:crossAx val="119572736"/>
        <c:crosses val="autoZero"/>
        <c:crossBetween val="midCat"/>
        <c:majorUnit val="1"/>
        <c:minorUnit val="0.1"/>
      </c:valAx>
    </c:plotArea>
    <c:legend>
      <c:legendPos val="r"/>
      <c:layout>
        <c:manualLayout>
          <c:xMode val="edge"/>
          <c:yMode val="edge"/>
          <c:x val="0.821326110831891"/>
          <c:y val="0.22683810800245699"/>
          <c:w val="0.15503322722957499"/>
          <c:h val="0.56972803931423499"/>
        </c:manualLayout>
      </c:layout>
      <c:overlay val="0"/>
    </c:legend>
    <c:plotVisOnly val="1"/>
    <c:dispBlanksAs val="gap"/>
    <c:showDLblsOverMax val="0"/>
  </c:chart>
  <c:printSettings>
    <c:headerFooter/>
    <c:pageMargins b="1" l="0.75" r="0.75"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Score vs Spend: Output 2</a:t>
            </a:r>
          </a:p>
        </c:rich>
      </c:tx>
      <c:overlay val="0"/>
    </c:title>
    <c:autoTitleDeleted val="0"/>
    <c:plotArea>
      <c:layout>
        <c:manualLayout>
          <c:layoutTarget val="inner"/>
          <c:xMode val="edge"/>
          <c:yMode val="edge"/>
          <c:x val="0.120232683680497"/>
          <c:y val="0.17943262411347499"/>
          <c:w val="0.66803205450382497"/>
          <c:h val="0.64770704193890705"/>
        </c:manualLayout>
      </c:layout>
      <c:scatterChart>
        <c:scatterStyle val="smoothMarker"/>
        <c:varyColors val="0"/>
        <c:ser>
          <c:idx val="0"/>
          <c:order val="0"/>
          <c:tx>
            <c:strRef>
              <c:f>Spend!$AG$268</c:f>
              <c:strCache>
                <c:ptCount val="1"/>
                <c:pt idx="0">
                  <c:v>Enugu</c:v>
                </c:pt>
              </c:strCache>
            </c:strRef>
          </c:tx>
          <c:marker>
            <c:symbol val="none"/>
          </c:marker>
          <c:xVal>
            <c:numRef>
              <c:f>Spend!$AH$268:$AL$268</c:f>
              <c:numCache>
                <c:formatCode>_(* #,##0_);_(* \(#,##0\);_(* "-"_);_(@_)</c:formatCode>
                <c:ptCount val="5"/>
                <c:pt idx="0">
                  <c:v>0</c:v>
                </c:pt>
                <c:pt idx="1">
                  <c:v>241485.85509747139</c:v>
                </c:pt>
                <c:pt idx="2">
                  <c:v>354076.33700435556</c:v>
                </c:pt>
                <c:pt idx="3">
                  <c:v>435587.03935910366</c:v>
                </c:pt>
                <c:pt idx="4">
                  <c:v>524908.68741165916</c:v>
                </c:pt>
              </c:numCache>
            </c:numRef>
          </c:xVal>
          <c:yVal>
            <c:numRef>
              <c:f>Spend!$AN$268:$AR$268</c:f>
              <c:numCache>
                <c:formatCode>_-* #,##0.0_-;\-* #,##0.0_-;_-* "-"_-;_-@_-</c:formatCode>
                <c:ptCount val="5"/>
                <c:pt idx="0">
                  <c:v>1</c:v>
                </c:pt>
                <c:pt idx="1">
                  <c:v>0</c:v>
                </c:pt>
                <c:pt idx="2">
                  <c:v>1.7</c:v>
                </c:pt>
                <c:pt idx="3">
                  <c:v>2.6999999999999997</c:v>
                </c:pt>
                <c:pt idx="4">
                  <c:v>3.6944444444444446</c:v>
                </c:pt>
              </c:numCache>
            </c:numRef>
          </c:yVal>
          <c:smooth val="1"/>
        </c:ser>
        <c:ser>
          <c:idx val="1"/>
          <c:order val="1"/>
          <c:tx>
            <c:strRef>
              <c:f>Spend!$AG$269</c:f>
              <c:strCache>
                <c:ptCount val="1"/>
                <c:pt idx="0">
                  <c:v>Jigawa</c:v>
                </c:pt>
              </c:strCache>
            </c:strRef>
          </c:tx>
          <c:marker>
            <c:symbol val="none"/>
          </c:marker>
          <c:xVal>
            <c:numRef>
              <c:f>Spend!$AH$269:$AL$269</c:f>
              <c:numCache>
                <c:formatCode>_(* #,##0_);_(* \(#,##0\);_(* "-"_);_(@_)</c:formatCode>
                <c:ptCount val="5"/>
                <c:pt idx="0">
                  <c:v>0</c:v>
                </c:pt>
                <c:pt idx="1">
                  <c:v>221613.44425676961</c:v>
                </c:pt>
                <c:pt idx="2">
                  <c:v>327485.66792382929</c:v>
                </c:pt>
                <c:pt idx="3">
                  <c:v>411895.70872752467</c:v>
                </c:pt>
                <c:pt idx="4">
                  <c:v>489472.30707592866</c:v>
                </c:pt>
              </c:numCache>
            </c:numRef>
          </c:xVal>
          <c:yVal>
            <c:numRef>
              <c:f>Spend!$AN$269:$AR$269</c:f>
              <c:numCache>
                <c:formatCode>_-* #,##0.0_-;\-* #,##0.0_-;_-* "-"_-;_-@_-</c:formatCode>
                <c:ptCount val="5"/>
                <c:pt idx="0">
                  <c:v>1</c:v>
                </c:pt>
                <c:pt idx="1">
                  <c:v>1.75</c:v>
                </c:pt>
                <c:pt idx="2">
                  <c:v>2.2222222222222223</c:v>
                </c:pt>
                <c:pt idx="3">
                  <c:v>3.2999999999999994</c:v>
                </c:pt>
                <c:pt idx="4">
                  <c:v>3.9333333333333336</c:v>
                </c:pt>
              </c:numCache>
            </c:numRef>
          </c:yVal>
          <c:smooth val="1"/>
        </c:ser>
        <c:ser>
          <c:idx val="2"/>
          <c:order val="2"/>
          <c:tx>
            <c:strRef>
              <c:f>Spend!$AG$270</c:f>
              <c:strCache>
                <c:ptCount val="1"/>
                <c:pt idx="0">
                  <c:v>Kaduna</c:v>
                </c:pt>
              </c:strCache>
            </c:strRef>
          </c:tx>
          <c:marker>
            <c:symbol val="none"/>
          </c:marker>
          <c:xVal>
            <c:numRef>
              <c:f>Spend!$AH$270:$AL$270</c:f>
              <c:numCache>
                <c:formatCode>_(* #,##0_);_(* \(#,##0\);_(* "-"_);_(@_)</c:formatCode>
                <c:ptCount val="5"/>
                <c:pt idx="0">
                  <c:v>0</c:v>
                </c:pt>
                <c:pt idx="1">
                  <c:v>222578.18604764683</c:v>
                </c:pt>
                <c:pt idx="2">
                  <c:v>332376.67180032056</c:v>
                </c:pt>
                <c:pt idx="3">
                  <c:v>447170.00629381003</c:v>
                </c:pt>
                <c:pt idx="4">
                  <c:v>517298.07294625446</c:v>
                </c:pt>
              </c:numCache>
            </c:numRef>
          </c:xVal>
          <c:yVal>
            <c:numRef>
              <c:f>Spend!$AN$270:$AR$270</c:f>
              <c:numCache>
                <c:formatCode>_-* #,##0.0_-;\-* #,##0.0_-;_-* "-"_-;_-@_-</c:formatCode>
                <c:ptCount val="5"/>
                <c:pt idx="0">
                  <c:v>1</c:v>
                </c:pt>
                <c:pt idx="1">
                  <c:v>1</c:v>
                </c:pt>
                <c:pt idx="2">
                  <c:v>2.0555555555555558</c:v>
                </c:pt>
                <c:pt idx="3">
                  <c:v>2.5333333333333332</c:v>
                </c:pt>
                <c:pt idx="4">
                  <c:v>3.1888888888888887</c:v>
                </c:pt>
              </c:numCache>
            </c:numRef>
          </c:yVal>
          <c:smooth val="1"/>
        </c:ser>
        <c:ser>
          <c:idx val="3"/>
          <c:order val="3"/>
          <c:tx>
            <c:strRef>
              <c:f>Spend!$AG$271</c:f>
              <c:strCache>
                <c:ptCount val="1"/>
                <c:pt idx="0">
                  <c:v>Kano</c:v>
                </c:pt>
              </c:strCache>
            </c:strRef>
          </c:tx>
          <c:marker>
            <c:symbol val="none"/>
          </c:marker>
          <c:xVal>
            <c:numRef>
              <c:f>Spend!$AH$271:$AL$271</c:f>
              <c:numCache>
                <c:formatCode>_(* #,##0_);_(* \(#,##0\);_(* "-"_);_(@_)</c:formatCode>
                <c:ptCount val="5"/>
                <c:pt idx="0">
                  <c:v>0</c:v>
                </c:pt>
                <c:pt idx="1">
                  <c:v>216399.95723080472</c:v>
                </c:pt>
                <c:pt idx="2">
                  <c:v>332492.7489543556</c:v>
                </c:pt>
                <c:pt idx="3">
                  <c:v>406460.25717649504</c:v>
                </c:pt>
                <c:pt idx="4">
                  <c:v>500427.18519259605</c:v>
                </c:pt>
              </c:numCache>
            </c:numRef>
          </c:xVal>
          <c:yVal>
            <c:numRef>
              <c:f>Spend!$AN$271:$AR$271</c:f>
              <c:numCache>
                <c:formatCode>_-* #,##0.0_-;\-* #,##0.0_-;_-* "-"_-;_-@_-</c:formatCode>
                <c:ptCount val="5"/>
                <c:pt idx="0">
                  <c:v>1</c:v>
                </c:pt>
                <c:pt idx="1">
                  <c:v>1.5</c:v>
                </c:pt>
                <c:pt idx="2">
                  <c:v>2.6444444444444444</c:v>
                </c:pt>
                <c:pt idx="3">
                  <c:v>3.4888888888888889</c:v>
                </c:pt>
                <c:pt idx="4">
                  <c:v>3.5</c:v>
                </c:pt>
              </c:numCache>
            </c:numRef>
          </c:yVal>
          <c:smooth val="1"/>
        </c:ser>
        <c:ser>
          <c:idx val="4"/>
          <c:order val="4"/>
          <c:tx>
            <c:strRef>
              <c:f>Spend!$AG$272</c:f>
              <c:strCache>
                <c:ptCount val="1"/>
                <c:pt idx="0">
                  <c:v>Lagos</c:v>
                </c:pt>
              </c:strCache>
            </c:strRef>
          </c:tx>
          <c:marker>
            <c:symbol val="none"/>
          </c:marker>
          <c:xVal>
            <c:numRef>
              <c:f>Spend!$AH$272:$AL$272</c:f>
              <c:numCache>
                <c:formatCode>_(* #,##0_);_(* \(#,##0\);_(* "-"_);_(@_)</c:formatCode>
                <c:ptCount val="5"/>
                <c:pt idx="0">
                  <c:v>0</c:v>
                </c:pt>
                <c:pt idx="1">
                  <c:v>234731.99511150649</c:v>
                </c:pt>
                <c:pt idx="2">
                  <c:v>405167.02226488193</c:v>
                </c:pt>
                <c:pt idx="3">
                  <c:v>479665.38712111738</c:v>
                </c:pt>
                <c:pt idx="4">
                  <c:v>588930.42114600632</c:v>
                </c:pt>
              </c:numCache>
            </c:numRef>
          </c:xVal>
          <c:yVal>
            <c:numRef>
              <c:f>Spend!$AN$272:$AR$272</c:f>
              <c:numCache>
                <c:formatCode>_-* #,##0.0_-;\-* #,##0.0_-;_-* "-"_-;_-@_-</c:formatCode>
                <c:ptCount val="5"/>
                <c:pt idx="0">
                  <c:v>1</c:v>
                </c:pt>
                <c:pt idx="1">
                  <c:v>1</c:v>
                </c:pt>
                <c:pt idx="2">
                  <c:v>2.1555555555555554</c:v>
                </c:pt>
                <c:pt idx="3">
                  <c:v>2.9777777777777779</c:v>
                </c:pt>
                <c:pt idx="4">
                  <c:v>4.1000000000000005</c:v>
                </c:pt>
              </c:numCache>
            </c:numRef>
          </c:yVal>
          <c:smooth val="1"/>
        </c:ser>
        <c:ser>
          <c:idx val="5"/>
          <c:order val="5"/>
          <c:tx>
            <c:strRef>
              <c:f>Spend!$AG$273</c:f>
              <c:strCache>
                <c:ptCount val="1"/>
                <c:pt idx="0">
                  <c:v>Zamfara</c:v>
                </c:pt>
              </c:strCache>
            </c:strRef>
          </c:tx>
          <c:marker>
            <c:symbol val="none"/>
          </c:marker>
          <c:xVal>
            <c:numRef>
              <c:f>Spend!$AH$273:$AL$273</c:f>
              <c:numCache>
                <c:formatCode>_(* #,##0_);_(* \(#,##0\);_(* "-"_);_(@_)</c:formatCode>
                <c:ptCount val="5"/>
                <c:pt idx="0">
                  <c:v>0</c:v>
                </c:pt>
                <c:pt idx="1">
                  <c:v>0</c:v>
                </c:pt>
                <c:pt idx="2">
                  <c:v>71965.031176943652</c:v>
                </c:pt>
                <c:pt idx="3">
                  <c:v>146038.75240150088</c:v>
                </c:pt>
                <c:pt idx="4">
                  <c:v>230338.99082101602</c:v>
                </c:pt>
              </c:numCache>
            </c:numRef>
          </c:xVal>
          <c:yVal>
            <c:numRef>
              <c:f>Spend!$AN$273:$AR$273</c:f>
              <c:numCache>
                <c:formatCode>_-* #,##0.0_-;\-* #,##0.0_-;_-* "-"_-;_-@_-</c:formatCode>
                <c:ptCount val="5"/>
                <c:pt idx="0">
                  <c:v>1</c:v>
                </c:pt>
                <c:pt idx="1">
                  <c:v>1</c:v>
                </c:pt>
                <c:pt idx="2">
                  <c:v>0.66666666666666663</c:v>
                </c:pt>
                <c:pt idx="3">
                  <c:v>1.6666666666666667</c:v>
                </c:pt>
                <c:pt idx="4">
                  <c:v>1.7777777777777777</c:v>
                </c:pt>
              </c:numCache>
            </c:numRef>
          </c:yVal>
          <c:smooth val="1"/>
        </c:ser>
        <c:ser>
          <c:idx val="6"/>
          <c:order val="6"/>
          <c:tx>
            <c:strRef>
              <c:f>Spend!$AG$274</c:f>
              <c:strCache>
                <c:ptCount val="1"/>
                <c:pt idx="0">
                  <c:v>Katsina</c:v>
                </c:pt>
              </c:strCache>
            </c:strRef>
          </c:tx>
          <c:marker>
            <c:symbol val="none"/>
          </c:marker>
          <c:xVal>
            <c:numRef>
              <c:f>Spend!$AH$274:$AL$274</c:f>
              <c:numCache>
                <c:formatCode>_(* #,##0_);_(* \(#,##0\);_(* "-"_);_(@_)</c:formatCode>
                <c:ptCount val="5"/>
                <c:pt idx="0">
                  <c:v>0</c:v>
                </c:pt>
                <c:pt idx="1">
                  <c:v>0</c:v>
                </c:pt>
                <c:pt idx="2">
                  <c:v>71772.832619575245</c:v>
                </c:pt>
                <c:pt idx="3">
                  <c:v>125687.14047660386</c:v>
                </c:pt>
                <c:pt idx="4">
                  <c:v>191099.0940968261</c:v>
                </c:pt>
              </c:numCache>
            </c:numRef>
          </c:xVal>
          <c:yVal>
            <c:numRef>
              <c:f>Spend!$AN$274:$AR$274</c:f>
              <c:numCache>
                <c:formatCode>_-* #,##0.0_-;\-* #,##0.0_-;_-* "-"_-;_-@_-</c:formatCode>
                <c:ptCount val="5"/>
                <c:pt idx="0">
                  <c:v>1</c:v>
                </c:pt>
                <c:pt idx="1">
                  <c:v>1</c:v>
                </c:pt>
                <c:pt idx="2">
                  <c:v>0.66666666666666663</c:v>
                </c:pt>
                <c:pt idx="3">
                  <c:v>0.70000000000000007</c:v>
                </c:pt>
                <c:pt idx="4">
                  <c:v>2.3000000000000003</c:v>
                </c:pt>
              </c:numCache>
            </c:numRef>
          </c:yVal>
          <c:smooth val="1"/>
        </c:ser>
        <c:ser>
          <c:idx val="7"/>
          <c:order val="7"/>
          <c:tx>
            <c:strRef>
              <c:f>Spend!$AG$275</c:f>
              <c:strCache>
                <c:ptCount val="1"/>
                <c:pt idx="0">
                  <c:v>Yobe</c:v>
                </c:pt>
              </c:strCache>
            </c:strRef>
          </c:tx>
          <c:marker>
            <c:symbol val="none"/>
          </c:marker>
          <c:xVal>
            <c:numRef>
              <c:f>Spend!$AH$275:$AL$275</c:f>
              <c:numCache>
                <c:formatCode>_(* #,##0_);_(* \(#,##0\);_(* "-"_);_(@_)</c:formatCode>
                <c:ptCount val="5"/>
                <c:pt idx="0">
                  <c:v>0</c:v>
                </c:pt>
                <c:pt idx="1">
                  <c:v>0</c:v>
                </c:pt>
                <c:pt idx="2">
                  <c:v>74678.040963259453</c:v>
                </c:pt>
                <c:pt idx="3">
                  <c:v>134790.89039253062</c:v>
                </c:pt>
                <c:pt idx="4">
                  <c:v>204686.66547873267</c:v>
                </c:pt>
              </c:numCache>
            </c:numRef>
          </c:xVal>
          <c:yVal>
            <c:numRef>
              <c:f>Spend!$AN$275:$AR$275</c:f>
              <c:numCache>
                <c:formatCode>_-* #,##0.0_-;\-* #,##0.0_-;_-* "-"_-;_-@_-</c:formatCode>
                <c:ptCount val="5"/>
                <c:pt idx="0">
                  <c:v>1</c:v>
                </c:pt>
                <c:pt idx="1">
                  <c:v>1</c:v>
                </c:pt>
                <c:pt idx="2">
                  <c:v>0.66666666666666663</c:v>
                </c:pt>
                <c:pt idx="3">
                  <c:v>2.3000000000000003</c:v>
                </c:pt>
                <c:pt idx="4">
                  <c:v>3.1444444444444444</c:v>
                </c:pt>
              </c:numCache>
            </c:numRef>
          </c:yVal>
          <c:smooth val="1"/>
        </c:ser>
        <c:dLbls>
          <c:showLegendKey val="0"/>
          <c:showVal val="0"/>
          <c:showCatName val="0"/>
          <c:showSerName val="0"/>
          <c:showPercent val="0"/>
          <c:showBubbleSize val="0"/>
        </c:dLbls>
        <c:axId val="119609984"/>
        <c:axId val="119612544"/>
      </c:scatterChart>
      <c:valAx>
        <c:axId val="119609984"/>
        <c:scaling>
          <c:orientation val="minMax"/>
          <c:max val="800001"/>
          <c:min val="1"/>
        </c:scaling>
        <c:delete val="0"/>
        <c:axPos val="b"/>
        <c:title>
          <c:tx>
            <c:rich>
              <a:bodyPr/>
              <a:lstStyle/>
              <a:p>
                <a:pPr>
                  <a:defRPr/>
                </a:pPr>
                <a:r>
                  <a:rPr lang="en-US" sz="1200"/>
                  <a:t>Spend</a:t>
                </a:r>
              </a:p>
            </c:rich>
          </c:tx>
          <c:layout>
            <c:manualLayout>
              <c:xMode val="edge"/>
              <c:yMode val="edge"/>
              <c:x val="0.43348243703579598"/>
              <c:y val="0.89929078014184405"/>
            </c:manualLayout>
          </c:layout>
          <c:overlay val="0"/>
        </c:title>
        <c:numFmt formatCode="_(* #,##0_);_(* \(#,##0\);_(* &quot;-&quot;_);_(@_)" sourceLinked="1"/>
        <c:majorTickMark val="none"/>
        <c:minorTickMark val="none"/>
        <c:tickLblPos val="nextTo"/>
        <c:crossAx val="119612544"/>
        <c:crosses val="autoZero"/>
        <c:crossBetween val="midCat"/>
        <c:dispUnits>
          <c:builtInUnit val="thousands"/>
          <c:dispUnitsLbl>
            <c:txPr>
              <a:bodyPr/>
              <a:lstStyle/>
              <a:p>
                <a:pPr>
                  <a:defRPr b="0" i="0"/>
                </a:pPr>
                <a:endParaRPr lang="en-US"/>
              </a:p>
            </c:txPr>
          </c:dispUnitsLbl>
        </c:dispUnits>
      </c:valAx>
      <c:valAx>
        <c:axId val="119612544"/>
        <c:scaling>
          <c:orientation val="minMax"/>
          <c:max val="5"/>
        </c:scaling>
        <c:delete val="0"/>
        <c:axPos val="l"/>
        <c:majorGridlines/>
        <c:title>
          <c:tx>
            <c:rich>
              <a:bodyPr/>
              <a:lstStyle/>
              <a:p>
                <a:pPr>
                  <a:defRPr sz="1200"/>
                </a:pPr>
                <a:r>
                  <a:rPr lang="en-US" sz="1200"/>
                  <a:t>Score</a:t>
                </a:r>
              </a:p>
            </c:rich>
          </c:tx>
          <c:overlay val="0"/>
        </c:title>
        <c:numFmt formatCode="_-* #,##0.0_-;\-* #,##0.0_-;_-* &quot;-&quot;_-;_-@_-" sourceLinked="1"/>
        <c:majorTickMark val="none"/>
        <c:minorTickMark val="none"/>
        <c:tickLblPos val="nextTo"/>
        <c:crossAx val="119609984"/>
        <c:crosses val="autoZero"/>
        <c:crossBetween val="midCat"/>
        <c:majorUnit val="1"/>
        <c:minorUnit val="0.1"/>
      </c:valAx>
    </c:plotArea>
    <c:legend>
      <c:legendPos val="r"/>
      <c:layout>
        <c:manualLayout>
          <c:xMode val="edge"/>
          <c:yMode val="edge"/>
          <c:x val="0.821326110831891"/>
          <c:y val="0.22683810800245699"/>
          <c:w val="0.15503322722957499"/>
          <c:h val="0.56972803931423499"/>
        </c:manualLayout>
      </c:layout>
      <c:overlay val="0"/>
    </c:legend>
    <c:plotVisOnly val="1"/>
    <c:dispBlanksAs val="gap"/>
    <c:showDLblsOverMax val="0"/>
  </c:chart>
  <c:printSettings>
    <c:headerFooter/>
    <c:pageMargins b="1" l="0.75" r="0.75"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Score vs Spend: Output 3</a:t>
            </a:r>
          </a:p>
        </c:rich>
      </c:tx>
      <c:overlay val="0"/>
    </c:title>
    <c:autoTitleDeleted val="0"/>
    <c:plotArea>
      <c:layout>
        <c:manualLayout>
          <c:layoutTarget val="inner"/>
          <c:xMode val="edge"/>
          <c:yMode val="edge"/>
          <c:x val="0.120232683680497"/>
          <c:y val="0.17943262411347499"/>
          <c:w val="0.66803205450382497"/>
          <c:h val="0.64770704193890705"/>
        </c:manualLayout>
      </c:layout>
      <c:scatterChart>
        <c:scatterStyle val="smoothMarker"/>
        <c:varyColors val="0"/>
        <c:ser>
          <c:idx val="0"/>
          <c:order val="0"/>
          <c:tx>
            <c:strRef>
              <c:f>Spend!$AG$343</c:f>
              <c:strCache>
                <c:ptCount val="1"/>
                <c:pt idx="0">
                  <c:v>Enugu</c:v>
                </c:pt>
              </c:strCache>
            </c:strRef>
          </c:tx>
          <c:marker>
            <c:symbol val="none"/>
          </c:marker>
          <c:xVal>
            <c:numRef>
              <c:f>Spend!$AH$343:$AL$343</c:f>
              <c:numCache>
                <c:formatCode>_(* #,##0_);_(* \(#,##0\);_(* "-"_);_(@_)</c:formatCode>
                <c:ptCount val="5"/>
                <c:pt idx="0">
                  <c:v>0</c:v>
                </c:pt>
                <c:pt idx="1">
                  <c:v>133419.65788597369</c:v>
                </c:pt>
                <c:pt idx="2">
                  <c:v>197000.4696136908</c:v>
                </c:pt>
                <c:pt idx="3">
                  <c:v>292449.64390236186</c:v>
                </c:pt>
                <c:pt idx="4">
                  <c:v>396232.53893367504</c:v>
                </c:pt>
              </c:numCache>
            </c:numRef>
          </c:xVal>
          <c:yVal>
            <c:numRef>
              <c:f>Spend!$AN$343:$AR$343</c:f>
              <c:numCache>
                <c:formatCode>_-* #,##0.0_-;\-* #,##0.0_-;_-* "-"_-;_-@_-</c:formatCode>
                <c:ptCount val="5"/>
                <c:pt idx="0">
                  <c:v>0</c:v>
                </c:pt>
                <c:pt idx="1">
                  <c:v>0.1875</c:v>
                </c:pt>
                <c:pt idx="2">
                  <c:v>2.0531250000000001</c:v>
                </c:pt>
                <c:pt idx="3">
                  <c:v>2.609375</c:v>
                </c:pt>
                <c:pt idx="4">
                  <c:v>2.6906249999999998</c:v>
                </c:pt>
              </c:numCache>
            </c:numRef>
          </c:yVal>
          <c:smooth val="1"/>
        </c:ser>
        <c:ser>
          <c:idx val="1"/>
          <c:order val="1"/>
          <c:tx>
            <c:strRef>
              <c:f>Spend!$AG$344</c:f>
              <c:strCache>
                <c:ptCount val="1"/>
                <c:pt idx="0">
                  <c:v>Jigawa</c:v>
                </c:pt>
              </c:strCache>
            </c:strRef>
          </c:tx>
          <c:marker>
            <c:symbol val="none"/>
          </c:marker>
          <c:xVal>
            <c:numRef>
              <c:f>Spend!$AH$269:$AL$269</c:f>
              <c:numCache>
                <c:formatCode>_(* #,##0_);_(* \(#,##0\);_(* "-"_);_(@_)</c:formatCode>
                <c:ptCount val="5"/>
                <c:pt idx="0">
                  <c:v>0</c:v>
                </c:pt>
                <c:pt idx="1">
                  <c:v>221613.44425676961</c:v>
                </c:pt>
                <c:pt idx="2">
                  <c:v>327485.66792382929</c:v>
                </c:pt>
                <c:pt idx="3">
                  <c:v>411895.70872752467</c:v>
                </c:pt>
                <c:pt idx="4">
                  <c:v>489472.30707592866</c:v>
                </c:pt>
              </c:numCache>
            </c:numRef>
          </c:xVal>
          <c:yVal>
            <c:numRef>
              <c:f>Spend!$AN$344:$AR$344</c:f>
              <c:numCache>
                <c:formatCode>_-* #,##0.0_-;\-* #,##0.0_-;_-* "-"_-;_-@_-</c:formatCode>
                <c:ptCount val="5"/>
                <c:pt idx="0">
                  <c:v>0</c:v>
                </c:pt>
                <c:pt idx="1">
                  <c:v>0.4375</c:v>
                </c:pt>
                <c:pt idx="2">
                  <c:v>2.1156250000000001</c:v>
                </c:pt>
                <c:pt idx="3">
                  <c:v>2.4437500000000001</c:v>
                </c:pt>
                <c:pt idx="4">
                  <c:v>2.7718750000000001</c:v>
                </c:pt>
              </c:numCache>
            </c:numRef>
          </c:yVal>
          <c:smooth val="1"/>
        </c:ser>
        <c:ser>
          <c:idx val="2"/>
          <c:order val="2"/>
          <c:tx>
            <c:strRef>
              <c:f>Spend!$AG$345</c:f>
              <c:strCache>
                <c:ptCount val="1"/>
                <c:pt idx="0">
                  <c:v>Kaduna</c:v>
                </c:pt>
              </c:strCache>
            </c:strRef>
          </c:tx>
          <c:marker>
            <c:symbol val="none"/>
          </c:marker>
          <c:xVal>
            <c:numRef>
              <c:f>Spend!$AH$345:$AL$345</c:f>
              <c:numCache>
                <c:formatCode>_(* #,##0_);_(* \(#,##0\);_(* "-"_);_(@_)</c:formatCode>
                <c:ptCount val="5"/>
                <c:pt idx="0">
                  <c:v>0</c:v>
                </c:pt>
                <c:pt idx="1">
                  <c:v>141982.00585439472</c:v>
                </c:pt>
                <c:pt idx="2">
                  <c:v>200555.89854263814</c:v>
                </c:pt>
                <c:pt idx="3">
                  <c:v>338617.81308005063</c:v>
                </c:pt>
                <c:pt idx="4">
                  <c:v>432735.33586287894</c:v>
                </c:pt>
              </c:numCache>
            </c:numRef>
          </c:xVal>
          <c:yVal>
            <c:numRef>
              <c:f>Spend!$AN$345:$AR$345</c:f>
              <c:numCache>
                <c:formatCode>_-* #,##0.0_-;\-* #,##0.0_-;_-* "-"_-;_-@_-</c:formatCode>
                <c:ptCount val="5"/>
                <c:pt idx="0">
                  <c:v>0.125</c:v>
                </c:pt>
                <c:pt idx="1">
                  <c:v>0.40625</c:v>
                </c:pt>
                <c:pt idx="2">
                  <c:v>1.8125</c:v>
                </c:pt>
                <c:pt idx="3">
                  <c:v>2.015625</c:v>
                </c:pt>
                <c:pt idx="4">
                  <c:v>3.05</c:v>
                </c:pt>
              </c:numCache>
            </c:numRef>
          </c:yVal>
          <c:smooth val="1"/>
        </c:ser>
        <c:ser>
          <c:idx val="3"/>
          <c:order val="3"/>
          <c:tx>
            <c:strRef>
              <c:f>Spend!$AG$346</c:f>
              <c:strCache>
                <c:ptCount val="1"/>
                <c:pt idx="0">
                  <c:v>Kano</c:v>
                </c:pt>
              </c:strCache>
            </c:strRef>
          </c:tx>
          <c:marker>
            <c:symbol val="none"/>
          </c:marker>
          <c:xVal>
            <c:numRef>
              <c:f>Spend!$AH$346:$AL$346</c:f>
              <c:numCache>
                <c:formatCode>_(* #,##0_);_(* \(#,##0\);_(* "-"_);_(@_)</c:formatCode>
                <c:ptCount val="5"/>
                <c:pt idx="0">
                  <c:v>0</c:v>
                </c:pt>
                <c:pt idx="1">
                  <c:v>135793.15128597367</c:v>
                </c:pt>
                <c:pt idx="2">
                  <c:v>199230.28306369076</c:v>
                </c:pt>
                <c:pt idx="3">
                  <c:v>314526.97646975308</c:v>
                </c:pt>
                <c:pt idx="4">
                  <c:v>426296.07465662173</c:v>
                </c:pt>
              </c:numCache>
            </c:numRef>
          </c:xVal>
          <c:yVal>
            <c:numRef>
              <c:f>Spend!$AN$346:$AR$346</c:f>
              <c:numCache>
                <c:formatCode>_-* #,##0.0_-;\-* #,##0.0_-;_-* "-"_-;_-@_-</c:formatCode>
                <c:ptCount val="5"/>
                <c:pt idx="0">
                  <c:v>0</c:v>
                </c:pt>
                <c:pt idx="1">
                  <c:v>0.46875</c:v>
                </c:pt>
                <c:pt idx="2">
                  <c:v>1.734375</c:v>
                </c:pt>
                <c:pt idx="3">
                  <c:v>2.5218750000000001</c:v>
                </c:pt>
                <c:pt idx="4">
                  <c:v>2.7218749999999998</c:v>
                </c:pt>
              </c:numCache>
            </c:numRef>
          </c:yVal>
          <c:smooth val="1"/>
        </c:ser>
        <c:ser>
          <c:idx val="4"/>
          <c:order val="4"/>
          <c:tx>
            <c:strRef>
              <c:f>Spend!$AG$347</c:f>
              <c:strCache>
                <c:ptCount val="1"/>
                <c:pt idx="0">
                  <c:v>Lagos</c:v>
                </c:pt>
              </c:strCache>
            </c:strRef>
          </c:tx>
          <c:marker>
            <c:symbol val="none"/>
          </c:marker>
          <c:xVal>
            <c:numRef>
              <c:f>Spend!$AH$347:$AL$347</c:f>
              <c:numCache>
                <c:formatCode>_(* #,##0_);_(* \(#,##0\);_(* "-"_);_(@_)</c:formatCode>
                <c:ptCount val="5"/>
                <c:pt idx="0">
                  <c:v>0</c:v>
                </c:pt>
                <c:pt idx="1">
                  <c:v>143995.00955965789</c:v>
                </c:pt>
                <c:pt idx="2">
                  <c:v>239055.13987948024</c:v>
                </c:pt>
                <c:pt idx="3">
                  <c:v>381525.21791963861</c:v>
                </c:pt>
                <c:pt idx="4">
                  <c:v>534639.96994489117</c:v>
                </c:pt>
              </c:numCache>
            </c:numRef>
          </c:xVal>
          <c:yVal>
            <c:numRef>
              <c:f>Spend!$AN$347:$AR$347</c:f>
              <c:numCache>
                <c:formatCode>_-* #,##0.0_-;\-* #,##0.0_-;_-* "-"_-;_-@_-</c:formatCode>
                <c:ptCount val="5"/>
                <c:pt idx="0">
                  <c:v>0</c:v>
                </c:pt>
                <c:pt idx="1">
                  <c:v>0.40625</c:v>
                </c:pt>
                <c:pt idx="2">
                  <c:v>1.5687500000000001</c:v>
                </c:pt>
                <c:pt idx="3">
                  <c:v>2.3187499999999996</c:v>
                </c:pt>
                <c:pt idx="4">
                  <c:v>2.6218750000000002</c:v>
                </c:pt>
              </c:numCache>
            </c:numRef>
          </c:yVal>
          <c:smooth val="1"/>
        </c:ser>
        <c:ser>
          <c:idx val="5"/>
          <c:order val="5"/>
          <c:tx>
            <c:strRef>
              <c:f>Spend!$AG$348</c:f>
              <c:strCache>
                <c:ptCount val="1"/>
                <c:pt idx="0">
                  <c:v>Zamfara</c:v>
                </c:pt>
              </c:strCache>
            </c:strRef>
          </c:tx>
          <c:marker>
            <c:symbol val="none"/>
          </c:marker>
          <c:xVal>
            <c:numRef>
              <c:f>Spend!$AH$348:$AL$348</c:f>
              <c:numCache>
                <c:formatCode>_(* #,##0_);_(* \(#,##0\);_(* "-"_);_(@_)</c:formatCode>
                <c:ptCount val="5"/>
                <c:pt idx="0">
                  <c:v>0</c:v>
                </c:pt>
                <c:pt idx="1">
                  <c:v>0</c:v>
                </c:pt>
                <c:pt idx="2">
                  <c:v>37305.911710159206</c:v>
                </c:pt>
                <c:pt idx="3">
                  <c:v>123670.1161722426</c:v>
                </c:pt>
                <c:pt idx="4">
                  <c:v>265139.9249651719</c:v>
                </c:pt>
              </c:numCache>
            </c:numRef>
          </c:xVal>
          <c:yVal>
            <c:numRef>
              <c:f>Spend!$AN$348:$AR$348</c:f>
              <c:numCache>
                <c:formatCode>_-* #,##0.0_-;\-* #,##0.0_-;_-* "-"_-;_-@_-</c:formatCode>
                <c:ptCount val="5"/>
                <c:pt idx="0">
                  <c:v>3.125E-2</c:v>
                </c:pt>
                <c:pt idx="1">
                  <c:v>3.125E-2</c:v>
                </c:pt>
                <c:pt idx="2">
                  <c:v>0.703125</c:v>
                </c:pt>
                <c:pt idx="3">
                  <c:v>1.10625</c:v>
                </c:pt>
                <c:pt idx="4">
                  <c:v>2.8468749999999998</c:v>
                </c:pt>
              </c:numCache>
            </c:numRef>
          </c:yVal>
          <c:smooth val="1"/>
        </c:ser>
        <c:ser>
          <c:idx val="6"/>
          <c:order val="6"/>
          <c:tx>
            <c:strRef>
              <c:f>Spend!$AG$349</c:f>
              <c:strCache>
                <c:ptCount val="1"/>
                <c:pt idx="0">
                  <c:v>Katsina</c:v>
                </c:pt>
              </c:strCache>
            </c:strRef>
          </c:tx>
          <c:marker>
            <c:symbol val="none"/>
          </c:marker>
          <c:xVal>
            <c:numRef>
              <c:f>Spend!$AH$349:$AL$349</c:f>
              <c:numCache>
                <c:formatCode>_(* #,##0_);_(* \(#,##0\);_(* "-"_);_(@_)</c:formatCode>
                <c:ptCount val="5"/>
                <c:pt idx="0">
                  <c:v>0</c:v>
                </c:pt>
                <c:pt idx="1">
                  <c:v>0</c:v>
                </c:pt>
                <c:pt idx="2">
                  <c:v>37142.940728580259</c:v>
                </c:pt>
                <c:pt idx="3">
                  <c:v>106907.14560313504</c:v>
                </c:pt>
                <c:pt idx="4">
                  <c:v>210917.35767889261</c:v>
                </c:pt>
              </c:numCache>
            </c:numRef>
          </c:xVal>
          <c:yVal>
            <c:numRef>
              <c:f>Spend!$AN$349:$AR$349</c:f>
              <c:numCache>
                <c:formatCode>_-* #,##0.0_-;\-* #,##0.0_-;_-* "-"_-;_-@_-</c:formatCode>
                <c:ptCount val="5"/>
                <c:pt idx="0">
                  <c:v>0</c:v>
                </c:pt>
                <c:pt idx="1">
                  <c:v>0</c:v>
                </c:pt>
                <c:pt idx="2">
                  <c:v>0.90625</c:v>
                </c:pt>
                <c:pt idx="3">
                  <c:v>1.371875</c:v>
                </c:pt>
                <c:pt idx="4">
                  <c:v>2.2000000000000002</c:v>
                </c:pt>
              </c:numCache>
            </c:numRef>
          </c:yVal>
          <c:smooth val="1"/>
        </c:ser>
        <c:ser>
          <c:idx val="7"/>
          <c:order val="7"/>
          <c:tx>
            <c:strRef>
              <c:f>Spend!$AG$350</c:f>
              <c:strCache>
                <c:ptCount val="1"/>
                <c:pt idx="0">
                  <c:v>Yobe</c:v>
                </c:pt>
              </c:strCache>
            </c:strRef>
          </c:tx>
          <c:marker>
            <c:symbol val="none"/>
          </c:marker>
          <c:xVal>
            <c:numRef>
              <c:f>Spend!$AH$350:$AL$350</c:f>
              <c:numCache>
                <c:formatCode>_(* #,##0_);_(* \(#,##0\);_(* "-"_);_(@_)</c:formatCode>
                <c:ptCount val="5"/>
                <c:pt idx="0">
                  <c:v>0</c:v>
                </c:pt>
                <c:pt idx="1">
                  <c:v>0</c:v>
                </c:pt>
                <c:pt idx="2">
                  <c:v>38550.713894369735</c:v>
                </c:pt>
                <c:pt idx="3">
                  <c:v>142249.74928116711</c:v>
                </c:pt>
                <c:pt idx="4">
                  <c:v>257067.33458924788</c:v>
                </c:pt>
              </c:numCache>
            </c:numRef>
          </c:xVal>
          <c:yVal>
            <c:numRef>
              <c:f>Spend!$AN$350:$AR$350</c:f>
              <c:numCache>
                <c:formatCode>_-* #,##0.0_-;\-* #,##0.0_-;_-* "-"_-;_-@_-</c:formatCode>
                <c:ptCount val="5"/>
                <c:pt idx="0">
                  <c:v>0</c:v>
                </c:pt>
                <c:pt idx="1">
                  <c:v>0</c:v>
                </c:pt>
                <c:pt idx="2">
                  <c:v>0.88124999999999998</c:v>
                </c:pt>
                <c:pt idx="3">
                  <c:v>1.6156250000000001</c:v>
                </c:pt>
                <c:pt idx="4">
                  <c:v>2.6343749999999999</c:v>
                </c:pt>
              </c:numCache>
            </c:numRef>
          </c:yVal>
          <c:smooth val="1"/>
        </c:ser>
        <c:dLbls>
          <c:showLegendKey val="0"/>
          <c:showVal val="0"/>
          <c:showCatName val="0"/>
          <c:showSerName val="0"/>
          <c:showPercent val="0"/>
          <c:showBubbleSize val="0"/>
        </c:dLbls>
        <c:axId val="119667712"/>
        <c:axId val="125699584"/>
      </c:scatterChart>
      <c:valAx>
        <c:axId val="119667712"/>
        <c:scaling>
          <c:orientation val="minMax"/>
          <c:max val="800001"/>
          <c:min val="1"/>
        </c:scaling>
        <c:delete val="0"/>
        <c:axPos val="b"/>
        <c:title>
          <c:tx>
            <c:rich>
              <a:bodyPr/>
              <a:lstStyle/>
              <a:p>
                <a:pPr>
                  <a:defRPr/>
                </a:pPr>
                <a:r>
                  <a:rPr lang="en-US" sz="1200"/>
                  <a:t>Spend</a:t>
                </a:r>
              </a:p>
            </c:rich>
          </c:tx>
          <c:layout>
            <c:manualLayout>
              <c:xMode val="edge"/>
              <c:yMode val="edge"/>
              <c:x val="0.43348243703579598"/>
              <c:y val="0.89929078014184405"/>
            </c:manualLayout>
          </c:layout>
          <c:overlay val="0"/>
        </c:title>
        <c:numFmt formatCode="_(* #,##0_);_(* \(#,##0\);_(* &quot;-&quot;_);_(@_)" sourceLinked="1"/>
        <c:majorTickMark val="none"/>
        <c:minorTickMark val="none"/>
        <c:tickLblPos val="nextTo"/>
        <c:crossAx val="125699584"/>
        <c:crosses val="autoZero"/>
        <c:crossBetween val="midCat"/>
        <c:dispUnits>
          <c:builtInUnit val="thousands"/>
          <c:dispUnitsLbl>
            <c:txPr>
              <a:bodyPr/>
              <a:lstStyle/>
              <a:p>
                <a:pPr>
                  <a:defRPr b="0" i="0"/>
                </a:pPr>
                <a:endParaRPr lang="en-US"/>
              </a:p>
            </c:txPr>
          </c:dispUnitsLbl>
        </c:dispUnits>
      </c:valAx>
      <c:valAx>
        <c:axId val="125699584"/>
        <c:scaling>
          <c:orientation val="minMax"/>
          <c:max val="5"/>
          <c:min val="0"/>
        </c:scaling>
        <c:delete val="0"/>
        <c:axPos val="l"/>
        <c:majorGridlines/>
        <c:title>
          <c:tx>
            <c:rich>
              <a:bodyPr/>
              <a:lstStyle/>
              <a:p>
                <a:pPr>
                  <a:defRPr sz="1200"/>
                </a:pPr>
                <a:r>
                  <a:rPr lang="en-US" sz="1200"/>
                  <a:t>Score</a:t>
                </a:r>
              </a:p>
            </c:rich>
          </c:tx>
          <c:overlay val="0"/>
        </c:title>
        <c:numFmt formatCode="_-* #,##0.0_-;\-* #,##0.0_-;_-* &quot;-&quot;_-;_-@_-" sourceLinked="1"/>
        <c:majorTickMark val="none"/>
        <c:minorTickMark val="none"/>
        <c:tickLblPos val="nextTo"/>
        <c:crossAx val="119667712"/>
        <c:crosses val="autoZero"/>
        <c:crossBetween val="midCat"/>
        <c:majorUnit val="1"/>
        <c:minorUnit val="0.1"/>
      </c:valAx>
    </c:plotArea>
    <c:legend>
      <c:legendPos val="r"/>
      <c:layout>
        <c:manualLayout>
          <c:xMode val="edge"/>
          <c:yMode val="edge"/>
          <c:x val="0.821326110831891"/>
          <c:y val="0.22683810800245699"/>
          <c:w val="0.15503322722957499"/>
          <c:h val="0.56972803931423499"/>
        </c:manualLayout>
      </c:layout>
      <c:overlay val="0"/>
    </c:legend>
    <c:plotVisOnly val="1"/>
    <c:dispBlanksAs val="gap"/>
    <c:showDLblsOverMax val="0"/>
  </c:chart>
  <c:printSettings>
    <c:headerFooter/>
    <c:pageMargins b="1" l="0.75" r="0.75" t="1" header="0.5" footer="0.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Score vs Spend: Output 4</a:t>
            </a:r>
          </a:p>
        </c:rich>
      </c:tx>
      <c:overlay val="0"/>
    </c:title>
    <c:autoTitleDeleted val="0"/>
    <c:plotArea>
      <c:layout>
        <c:manualLayout>
          <c:layoutTarget val="inner"/>
          <c:xMode val="edge"/>
          <c:yMode val="edge"/>
          <c:x val="0.120232683680497"/>
          <c:y val="0.17943262411347499"/>
          <c:w val="0.66803205450382497"/>
          <c:h val="0.64770704193890705"/>
        </c:manualLayout>
      </c:layout>
      <c:scatterChart>
        <c:scatterStyle val="smoothMarker"/>
        <c:varyColors val="0"/>
        <c:ser>
          <c:idx val="0"/>
          <c:order val="0"/>
          <c:tx>
            <c:strRef>
              <c:f>Spend!$AG$444</c:f>
              <c:strCache>
                <c:ptCount val="1"/>
                <c:pt idx="0">
                  <c:v>Enugu</c:v>
                </c:pt>
              </c:strCache>
            </c:strRef>
          </c:tx>
          <c:marker>
            <c:symbol val="none"/>
          </c:marker>
          <c:xVal>
            <c:numRef>
              <c:f>Spend!$AH$444:$AL$444</c:f>
              <c:numCache>
                <c:formatCode>_(* #,##0_);_(* \(#,##0\);_(* "-"_);_(@_)</c:formatCode>
                <c:ptCount val="5"/>
                <c:pt idx="0">
                  <c:v>0</c:v>
                </c:pt>
                <c:pt idx="1">
                  <c:v>320296.58757722727</c:v>
                </c:pt>
                <c:pt idx="2">
                  <c:v>480422.0145782234</c:v>
                </c:pt>
                <c:pt idx="3">
                  <c:v>614695.28388825746</c:v>
                </c:pt>
                <c:pt idx="4">
                  <c:v>761865.246532702</c:v>
                </c:pt>
              </c:numCache>
            </c:numRef>
          </c:xVal>
          <c:yVal>
            <c:numRef>
              <c:f>Spend!$AN$444:$AR$444</c:f>
              <c:numCache>
                <c:formatCode>_-* #,##0.0_-;\-* #,##0.0_-;_-* "-"_-;_-@_-</c:formatCode>
                <c:ptCount val="5"/>
                <c:pt idx="0">
                  <c:v>0.8</c:v>
                </c:pt>
                <c:pt idx="1">
                  <c:v>1.55</c:v>
                </c:pt>
                <c:pt idx="2">
                  <c:v>2.1800000000000002</c:v>
                </c:pt>
                <c:pt idx="3">
                  <c:v>3.05</c:v>
                </c:pt>
                <c:pt idx="4">
                  <c:v>3.1599999999999997</c:v>
                </c:pt>
              </c:numCache>
            </c:numRef>
          </c:yVal>
          <c:smooth val="1"/>
        </c:ser>
        <c:ser>
          <c:idx val="1"/>
          <c:order val="1"/>
          <c:tx>
            <c:strRef>
              <c:f>Spend!$AG$445</c:f>
              <c:strCache>
                <c:ptCount val="1"/>
                <c:pt idx="0">
                  <c:v>Jigawa</c:v>
                </c:pt>
              </c:strCache>
            </c:strRef>
          </c:tx>
          <c:marker>
            <c:symbol val="none"/>
          </c:marker>
          <c:xVal>
            <c:numRef>
              <c:f>Spend!$AH$445:$AL$445</c:f>
              <c:numCache>
                <c:formatCode>_(* #,##0_);_(* \(#,##0\);_(* "-"_);_(@_)</c:formatCode>
                <c:ptCount val="5"/>
                <c:pt idx="0">
                  <c:v>0</c:v>
                </c:pt>
                <c:pt idx="1">
                  <c:v>287654.32365301665</c:v>
                </c:pt>
                <c:pt idx="2">
                  <c:v>435208.46780874958</c:v>
                </c:pt>
                <c:pt idx="3">
                  <c:v>535501.37707246793</c:v>
                </c:pt>
                <c:pt idx="4">
                  <c:v>636030.23466034676</c:v>
                </c:pt>
              </c:numCache>
            </c:numRef>
          </c:xVal>
          <c:yVal>
            <c:numRef>
              <c:f>Spend!$AN$445:$AR$445</c:f>
              <c:numCache>
                <c:formatCode>_-* #,##0.0_-;\-* #,##0.0_-;_-* "-"_-;_-@_-</c:formatCode>
                <c:ptCount val="5"/>
                <c:pt idx="0">
                  <c:v>0.8</c:v>
                </c:pt>
                <c:pt idx="1">
                  <c:v>1.72</c:v>
                </c:pt>
                <c:pt idx="2">
                  <c:v>2.0550000000000002</c:v>
                </c:pt>
                <c:pt idx="3">
                  <c:v>3.2850000000000001</c:v>
                </c:pt>
                <c:pt idx="4">
                  <c:v>3.9400000000000004</c:v>
                </c:pt>
              </c:numCache>
            </c:numRef>
          </c:yVal>
          <c:smooth val="1"/>
        </c:ser>
        <c:ser>
          <c:idx val="2"/>
          <c:order val="2"/>
          <c:tx>
            <c:strRef>
              <c:f>Spend!$AG$446</c:f>
              <c:strCache>
                <c:ptCount val="1"/>
                <c:pt idx="0">
                  <c:v>Kaduna</c:v>
                </c:pt>
              </c:strCache>
            </c:strRef>
          </c:tx>
          <c:marker>
            <c:symbol val="none"/>
          </c:marker>
          <c:xVal>
            <c:numRef>
              <c:f>Spend!$AH$446:$AL$446</c:f>
              <c:numCache>
                <c:formatCode>_(* #,##0_);_(* \(#,##0\);_(* "-"_);_(@_)</c:formatCode>
                <c:ptCount val="5"/>
                <c:pt idx="0">
                  <c:v>0</c:v>
                </c:pt>
                <c:pt idx="1">
                  <c:v>314832.51711827982</c:v>
                </c:pt>
                <c:pt idx="2">
                  <c:v>485027.01959892514</c:v>
                </c:pt>
                <c:pt idx="3">
                  <c:v>578665.41185488587</c:v>
                </c:pt>
                <c:pt idx="4">
                  <c:v>701118.24462256266</c:v>
                </c:pt>
              </c:numCache>
            </c:numRef>
          </c:xVal>
          <c:yVal>
            <c:numRef>
              <c:f>Spend!$AN$446:$AR$446</c:f>
              <c:numCache>
                <c:formatCode>_-* #,##0.0_-;\-* #,##0.0_-;_-* "-"_-;_-@_-</c:formatCode>
                <c:ptCount val="5"/>
                <c:pt idx="0">
                  <c:v>0.8</c:v>
                </c:pt>
                <c:pt idx="1">
                  <c:v>1.05</c:v>
                </c:pt>
                <c:pt idx="2">
                  <c:v>1.9100000000000001</c:v>
                </c:pt>
                <c:pt idx="3">
                  <c:v>2.76</c:v>
                </c:pt>
                <c:pt idx="4">
                  <c:v>3.0649999999999999</c:v>
                </c:pt>
              </c:numCache>
            </c:numRef>
          </c:yVal>
          <c:smooth val="1"/>
        </c:ser>
        <c:ser>
          <c:idx val="3"/>
          <c:order val="3"/>
          <c:tx>
            <c:strRef>
              <c:f>Spend!$AG$447</c:f>
              <c:strCache>
                <c:ptCount val="1"/>
                <c:pt idx="0">
                  <c:v>Kano</c:v>
                </c:pt>
              </c:strCache>
            </c:strRef>
          </c:tx>
          <c:marker>
            <c:symbol val="none"/>
          </c:marker>
          <c:xVal>
            <c:numRef>
              <c:f>Spend!$AH$447:$AL$447</c:f>
              <c:numCache>
                <c:formatCode>_(* #,##0_);_(* \(#,##0\);_(* "-"_);_(@_)</c:formatCode>
                <c:ptCount val="5"/>
                <c:pt idx="0">
                  <c:v>0</c:v>
                </c:pt>
                <c:pt idx="1">
                  <c:v>326549.27157722716</c:v>
                </c:pt>
                <c:pt idx="2">
                  <c:v>530469.63641155674</c:v>
                </c:pt>
                <c:pt idx="3">
                  <c:v>631949.77799332992</c:v>
                </c:pt>
                <c:pt idx="4">
                  <c:v>763137.84177110763</c:v>
                </c:pt>
              </c:numCache>
            </c:numRef>
          </c:xVal>
          <c:yVal>
            <c:numRef>
              <c:f>Spend!$AN$447:$AR$447</c:f>
              <c:numCache>
                <c:formatCode>_-* #,##0.0_-;\-* #,##0.0_-;_-* "-"_-;_-@_-</c:formatCode>
                <c:ptCount val="5"/>
                <c:pt idx="0">
                  <c:v>1.2</c:v>
                </c:pt>
                <c:pt idx="1">
                  <c:v>1.6</c:v>
                </c:pt>
                <c:pt idx="2">
                  <c:v>2.145</c:v>
                </c:pt>
                <c:pt idx="3">
                  <c:v>2.77</c:v>
                </c:pt>
                <c:pt idx="4">
                  <c:v>3.5649999999999999</c:v>
                </c:pt>
              </c:numCache>
            </c:numRef>
          </c:yVal>
          <c:smooth val="1"/>
        </c:ser>
        <c:ser>
          <c:idx val="4"/>
          <c:order val="4"/>
          <c:tx>
            <c:strRef>
              <c:f>Spend!$AG$448</c:f>
              <c:strCache>
                <c:ptCount val="1"/>
                <c:pt idx="0">
                  <c:v>Lagos</c:v>
                </c:pt>
              </c:strCache>
            </c:strRef>
          </c:tx>
          <c:marker>
            <c:symbol val="none"/>
          </c:marker>
          <c:xVal>
            <c:numRef>
              <c:f>Spend!$AH$448:$AL$448</c:f>
              <c:numCache>
                <c:formatCode>_(* #,##0_);_(* \(#,##0\);_(* "-"_);_(@_)</c:formatCode>
                <c:ptCount val="5"/>
                <c:pt idx="0">
                  <c:v>0</c:v>
                </c:pt>
                <c:pt idx="1">
                  <c:v>413590.79999914463</c:v>
                </c:pt>
                <c:pt idx="2">
                  <c:v>587301.37693873735</c:v>
                </c:pt>
                <c:pt idx="3">
                  <c:v>676410.87593813078</c:v>
                </c:pt>
                <c:pt idx="4">
                  <c:v>803963.32476641366</c:v>
                </c:pt>
              </c:numCache>
            </c:numRef>
          </c:xVal>
          <c:yVal>
            <c:numRef>
              <c:f>Spend!$AN$448:$AR$448</c:f>
              <c:numCache>
                <c:formatCode>_-* #,##0.0_-;\-* #,##0.0_-;_-* "-"_-;_-@_-</c:formatCode>
                <c:ptCount val="5"/>
                <c:pt idx="0">
                  <c:v>1.2</c:v>
                </c:pt>
                <c:pt idx="1">
                  <c:v>2.4</c:v>
                </c:pt>
                <c:pt idx="2">
                  <c:v>2.7199999999999998</c:v>
                </c:pt>
                <c:pt idx="3">
                  <c:v>3.3400000000000007</c:v>
                </c:pt>
                <c:pt idx="4">
                  <c:v>3.5700000000000003</c:v>
                </c:pt>
              </c:numCache>
            </c:numRef>
          </c:yVal>
          <c:smooth val="1"/>
        </c:ser>
        <c:ser>
          <c:idx val="5"/>
          <c:order val="5"/>
          <c:tx>
            <c:strRef>
              <c:f>Spend!$AG$449</c:f>
              <c:strCache>
                <c:ptCount val="1"/>
                <c:pt idx="0">
                  <c:v>Zamfara</c:v>
                </c:pt>
              </c:strCache>
            </c:strRef>
          </c:tx>
          <c:marker>
            <c:symbol val="none"/>
          </c:marker>
          <c:xVal>
            <c:numRef>
              <c:f>Spend!$AH$449:$AL$449</c:f>
              <c:numCache>
                <c:formatCode>_(* #,##0_);_(* \(#,##0\);_(* "-"_);_(@_)</c:formatCode>
                <c:ptCount val="5"/>
                <c:pt idx="0">
                  <c:v>0</c:v>
                </c:pt>
                <c:pt idx="1">
                  <c:v>0</c:v>
                </c:pt>
                <c:pt idx="2">
                  <c:v>64382.206187446514</c:v>
                </c:pt>
                <c:pt idx="3">
                  <c:v>106816.01200682923</c:v>
                </c:pt>
                <c:pt idx="4">
                  <c:v>248208.55260278884</c:v>
                </c:pt>
              </c:numCache>
            </c:numRef>
          </c:xVal>
          <c:yVal>
            <c:numRef>
              <c:f>Spend!$AN$449:$AR$449</c:f>
              <c:numCache>
                <c:formatCode>_-* #,##0.0_-;\-* #,##0.0_-;_-* "-"_-;_-@_-</c:formatCode>
                <c:ptCount val="5"/>
                <c:pt idx="0">
                  <c:v>1</c:v>
                </c:pt>
                <c:pt idx="1">
                  <c:v>1</c:v>
                </c:pt>
                <c:pt idx="2">
                  <c:v>1.1000000000000001</c:v>
                </c:pt>
                <c:pt idx="3">
                  <c:v>2.48</c:v>
                </c:pt>
                <c:pt idx="4">
                  <c:v>3.1449999999999996</c:v>
                </c:pt>
              </c:numCache>
            </c:numRef>
          </c:yVal>
          <c:smooth val="1"/>
        </c:ser>
        <c:ser>
          <c:idx val="6"/>
          <c:order val="6"/>
          <c:tx>
            <c:strRef>
              <c:f>Spend!$AG$450</c:f>
              <c:strCache>
                <c:ptCount val="1"/>
                <c:pt idx="0">
                  <c:v>Katsina</c:v>
                </c:pt>
              </c:strCache>
            </c:strRef>
          </c:tx>
          <c:marker>
            <c:symbol val="none"/>
          </c:marker>
          <c:xVal>
            <c:numRef>
              <c:f>Spend!$AH$450:$AL$450</c:f>
              <c:numCache>
                <c:formatCode>_(* #,##0_);_(* \(#,##0\);_(* "-"_);_(@_)</c:formatCode>
                <c:ptCount val="5"/>
                <c:pt idx="0">
                  <c:v>0</c:v>
                </c:pt>
                <c:pt idx="1">
                  <c:v>0</c:v>
                </c:pt>
                <c:pt idx="2">
                  <c:v>63521.261868499161</c:v>
                </c:pt>
                <c:pt idx="3">
                  <c:v>106937.2181209711</c:v>
                </c:pt>
                <c:pt idx="4">
                  <c:v>211012.98396945593</c:v>
                </c:pt>
              </c:numCache>
            </c:numRef>
          </c:xVal>
          <c:yVal>
            <c:numRef>
              <c:f>Spend!$AN$450:$AR$450</c:f>
              <c:numCache>
                <c:formatCode>_-* #,##0.0_-;\-* #,##0.0_-;_-* "-"_-;_-@_-</c:formatCode>
                <c:ptCount val="5"/>
                <c:pt idx="0">
                  <c:v>2.1</c:v>
                </c:pt>
                <c:pt idx="1">
                  <c:v>2.1</c:v>
                </c:pt>
                <c:pt idx="2">
                  <c:v>2.1</c:v>
                </c:pt>
                <c:pt idx="3">
                  <c:v>2.25</c:v>
                </c:pt>
                <c:pt idx="4">
                  <c:v>3.6</c:v>
                </c:pt>
              </c:numCache>
            </c:numRef>
          </c:yVal>
          <c:smooth val="1"/>
        </c:ser>
        <c:ser>
          <c:idx val="7"/>
          <c:order val="7"/>
          <c:tx>
            <c:strRef>
              <c:f>Spend!$AG$451</c:f>
              <c:strCache>
                <c:ptCount val="1"/>
                <c:pt idx="0">
                  <c:v>Yobe</c:v>
                </c:pt>
              </c:strCache>
            </c:strRef>
          </c:tx>
          <c:marker>
            <c:symbol val="none"/>
          </c:marker>
          <c:xVal>
            <c:numRef>
              <c:f>Spend!$AH$451:$AL$451</c:f>
              <c:numCache>
                <c:formatCode>_(* #,##0_);_(* \(#,##0\);_(* "-"_);_(@_)</c:formatCode>
                <c:ptCount val="5"/>
                <c:pt idx="0">
                  <c:v>0</c:v>
                </c:pt>
                <c:pt idx="1">
                  <c:v>0</c:v>
                </c:pt>
                <c:pt idx="2">
                  <c:v>66383.61037130616</c:v>
                </c:pt>
                <c:pt idx="3">
                  <c:v>132204.44641178753</c:v>
                </c:pt>
                <c:pt idx="4">
                  <c:v>248968.75958350473</c:v>
                </c:pt>
              </c:numCache>
            </c:numRef>
          </c:xVal>
          <c:yVal>
            <c:numRef>
              <c:f>Spend!$AN$451:$AR$451</c:f>
              <c:numCache>
                <c:formatCode>_-* #,##0.0_-;\-* #,##0.0_-;_-* "-"_-;_-@_-</c:formatCode>
                <c:ptCount val="5"/>
                <c:pt idx="0">
                  <c:v>1.28</c:v>
                </c:pt>
                <c:pt idx="1">
                  <c:v>1.28</c:v>
                </c:pt>
                <c:pt idx="2">
                  <c:v>1.28</c:v>
                </c:pt>
                <c:pt idx="3">
                  <c:v>1.925</c:v>
                </c:pt>
                <c:pt idx="4">
                  <c:v>3.1399999999999997</c:v>
                </c:pt>
              </c:numCache>
            </c:numRef>
          </c:yVal>
          <c:smooth val="1"/>
        </c:ser>
        <c:dLbls>
          <c:showLegendKey val="0"/>
          <c:showVal val="0"/>
          <c:showCatName val="0"/>
          <c:showSerName val="0"/>
          <c:showPercent val="0"/>
          <c:showBubbleSize val="0"/>
        </c:dLbls>
        <c:axId val="125754752"/>
        <c:axId val="125761408"/>
      </c:scatterChart>
      <c:valAx>
        <c:axId val="125754752"/>
        <c:scaling>
          <c:orientation val="minMax"/>
          <c:max val="800001.00000000012"/>
          <c:min val="1"/>
        </c:scaling>
        <c:delete val="0"/>
        <c:axPos val="b"/>
        <c:title>
          <c:tx>
            <c:rich>
              <a:bodyPr/>
              <a:lstStyle/>
              <a:p>
                <a:pPr>
                  <a:defRPr/>
                </a:pPr>
                <a:r>
                  <a:rPr lang="en-US" sz="1200"/>
                  <a:t>Spend</a:t>
                </a:r>
              </a:p>
            </c:rich>
          </c:tx>
          <c:layout>
            <c:manualLayout>
              <c:xMode val="edge"/>
              <c:yMode val="edge"/>
              <c:x val="0.43348243703579598"/>
              <c:y val="0.89929078014184405"/>
            </c:manualLayout>
          </c:layout>
          <c:overlay val="0"/>
        </c:title>
        <c:numFmt formatCode="_(* #,##0_);_(* \(#,##0\);_(* &quot;-&quot;_);_(@_)" sourceLinked="1"/>
        <c:majorTickMark val="none"/>
        <c:minorTickMark val="none"/>
        <c:tickLblPos val="nextTo"/>
        <c:crossAx val="125761408"/>
        <c:crosses val="autoZero"/>
        <c:crossBetween val="midCat"/>
        <c:majorUnit val="100000"/>
        <c:dispUnits>
          <c:builtInUnit val="thousands"/>
          <c:dispUnitsLbl>
            <c:txPr>
              <a:bodyPr/>
              <a:lstStyle/>
              <a:p>
                <a:pPr>
                  <a:defRPr b="0" i="0"/>
                </a:pPr>
                <a:endParaRPr lang="en-US"/>
              </a:p>
            </c:txPr>
          </c:dispUnitsLbl>
        </c:dispUnits>
      </c:valAx>
      <c:valAx>
        <c:axId val="125761408"/>
        <c:scaling>
          <c:orientation val="minMax"/>
          <c:max val="5"/>
          <c:min val="0"/>
        </c:scaling>
        <c:delete val="0"/>
        <c:axPos val="l"/>
        <c:majorGridlines/>
        <c:title>
          <c:tx>
            <c:rich>
              <a:bodyPr/>
              <a:lstStyle/>
              <a:p>
                <a:pPr>
                  <a:defRPr sz="1200"/>
                </a:pPr>
                <a:r>
                  <a:rPr lang="en-US" sz="1200"/>
                  <a:t>Score</a:t>
                </a:r>
              </a:p>
            </c:rich>
          </c:tx>
          <c:overlay val="0"/>
        </c:title>
        <c:numFmt formatCode="_-* #,##0.0_-;\-* #,##0.0_-;_-* &quot;-&quot;_-;_-@_-" sourceLinked="1"/>
        <c:majorTickMark val="none"/>
        <c:minorTickMark val="none"/>
        <c:tickLblPos val="nextTo"/>
        <c:crossAx val="125754752"/>
        <c:crosses val="autoZero"/>
        <c:crossBetween val="midCat"/>
        <c:majorUnit val="1"/>
        <c:minorUnit val="0.1"/>
      </c:valAx>
    </c:plotArea>
    <c:legend>
      <c:legendPos val="r"/>
      <c:layout>
        <c:manualLayout>
          <c:xMode val="edge"/>
          <c:yMode val="edge"/>
          <c:x val="0.821326110831891"/>
          <c:y val="0.22683810800245699"/>
          <c:w val="0.15503322722957499"/>
          <c:h val="0.56972803931423499"/>
        </c:manualLayout>
      </c:layout>
      <c:overlay val="0"/>
    </c:legend>
    <c:plotVisOnly val="1"/>
    <c:dispBlanksAs val="gap"/>
    <c:showDLblsOverMax val="0"/>
  </c:chart>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4.5855162381445803E-2"/>
          <c:y val="3.34210526315789E-2"/>
          <c:w val="0.80402559843072496"/>
          <c:h val="0.83917076023391801"/>
        </c:manualLayout>
      </c:layout>
      <c:lineChart>
        <c:grouping val="standard"/>
        <c:varyColors val="0"/>
        <c:ser>
          <c:idx val="0"/>
          <c:order val="0"/>
          <c:tx>
            <c:strRef>
              <c:f>'10 States AggWorkings'!$B$22</c:f>
              <c:strCache>
                <c:ptCount val="1"/>
                <c:pt idx="0">
                  <c:v>planned</c:v>
                </c:pt>
              </c:strCache>
            </c:strRef>
          </c:tx>
          <c:spPr>
            <a:ln w="38100">
              <a:solidFill>
                <a:srgbClr val="666699"/>
              </a:solidFill>
              <a:prstDash val="solid"/>
            </a:ln>
          </c:spPr>
          <c:marker>
            <c:symbol val="none"/>
          </c:marker>
          <c:cat>
            <c:strRef>
              <c:f>'10 States AggWorkings'!$C$2:$Y$2</c:f>
              <c:strCache>
                <c:ptCount val="23"/>
                <c:pt idx="0">
                  <c:v>early                                                                 
2010</c:v>
                </c:pt>
                <c:pt idx="1">
                  <c:v>Q1</c:v>
                </c:pt>
                <c:pt idx="2">
                  <c:v>Q2</c:v>
                </c:pt>
                <c:pt idx="3">
                  <c:v>Q3</c:v>
                </c:pt>
                <c:pt idx="4">
                  <c:v>Q4</c:v>
                </c:pt>
                <c:pt idx="5">
                  <c:v>Q1</c:v>
                </c:pt>
                <c:pt idx="6">
                  <c:v>Q2                                                                 
mid 2011</c:v>
                </c:pt>
                <c:pt idx="7">
                  <c:v>Q3</c:v>
                </c:pt>
                <c:pt idx="8">
                  <c:v>Q4</c:v>
                </c:pt>
                <c:pt idx="9">
                  <c:v>Q1</c:v>
                </c:pt>
                <c:pt idx="10">
                  <c:v>Q2</c:v>
                </c:pt>
                <c:pt idx="11">
                  <c:v>Q3/4                                                                 
late 2012</c:v>
                </c:pt>
                <c:pt idx="12">
                  <c:v>Q1</c:v>
                </c:pt>
                <c:pt idx="13">
                  <c:v>Q2</c:v>
                </c:pt>
                <c:pt idx="14">
                  <c:v>Q3</c:v>
                </c:pt>
                <c:pt idx="15">
                  <c:v> Q4                                                                
late 2013</c:v>
                </c:pt>
                <c:pt idx="16">
                  <c:v>Q1</c:v>
                </c:pt>
                <c:pt idx="17">
                  <c:v>Q2</c:v>
                </c:pt>
                <c:pt idx="18">
                  <c:v>Q3</c:v>
                </c:pt>
                <c:pt idx="19">
                  <c:v>Q4</c:v>
                </c:pt>
                <c:pt idx="20">
                  <c:v>Q1</c:v>
                </c:pt>
                <c:pt idx="21">
                  <c:v>Q2</c:v>
                </c:pt>
                <c:pt idx="22">
                  <c:v>Q3                                                                 
mid 2015</c:v>
                </c:pt>
              </c:strCache>
            </c:strRef>
          </c:cat>
          <c:val>
            <c:numRef>
              <c:f>'10 States AggWorkings'!$C$22:$Y$22</c:f>
              <c:numCache>
                <c:formatCode>0.0</c:formatCode>
                <c:ptCount val="23"/>
                <c:pt idx="0">
                  <c:v>0</c:v>
                </c:pt>
                <c:pt idx="1">
                  <c:v>0</c:v>
                </c:pt>
                <c:pt idx="2">
                  <c:v>0</c:v>
                </c:pt>
                <c:pt idx="3">
                  <c:v>0</c:v>
                </c:pt>
                <c:pt idx="4">
                  <c:v>0</c:v>
                </c:pt>
                <c:pt idx="5">
                  <c:v>0</c:v>
                </c:pt>
                <c:pt idx="6">
                  <c:v>2.2250000000000001</c:v>
                </c:pt>
                <c:pt idx="7">
                  <c:v>2.2895833333333333</c:v>
                </c:pt>
                <c:pt idx="8">
                  <c:v>2.354166666666667</c:v>
                </c:pt>
                <c:pt idx="9">
                  <c:v>2.4187500000000002</c:v>
                </c:pt>
                <c:pt idx="10">
                  <c:v>2.4833333333333334</c:v>
                </c:pt>
                <c:pt idx="11">
                  <c:v>2.6124999999999998</c:v>
                </c:pt>
                <c:pt idx="12">
                  <c:v>2.6749999999999998</c:v>
                </c:pt>
                <c:pt idx="13">
                  <c:v>2.7374999999999998</c:v>
                </c:pt>
                <c:pt idx="14">
                  <c:v>2.8</c:v>
                </c:pt>
                <c:pt idx="15">
                  <c:v>2.8624999999999998</c:v>
                </c:pt>
                <c:pt idx="16">
                  <c:v>2.9354166666666668</c:v>
                </c:pt>
                <c:pt idx="17">
                  <c:v>3.0083333333333337</c:v>
                </c:pt>
                <c:pt idx="18">
                  <c:v>3.0812499999999998</c:v>
                </c:pt>
                <c:pt idx="19">
                  <c:v>3.1541666666666663</c:v>
                </c:pt>
                <c:pt idx="20">
                  <c:v>3.1149999999999993</c:v>
                </c:pt>
                <c:pt idx="21">
                  <c:v>3.2066666666666661</c:v>
                </c:pt>
                <c:pt idx="22">
                  <c:v>3.2299999999999995</c:v>
                </c:pt>
              </c:numCache>
            </c:numRef>
          </c:val>
          <c:smooth val="0"/>
        </c:ser>
        <c:ser>
          <c:idx val="1"/>
          <c:order val="1"/>
          <c:tx>
            <c:strRef>
              <c:f>'10 States AggWorkings'!$B$23</c:f>
              <c:strCache>
                <c:ptCount val="1"/>
                <c:pt idx="0">
                  <c:v>achieved</c:v>
                </c:pt>
              </c:strCache>
            </c:strRef>
          </c:tx>
          <c:spPr>
            <a:ln w="38100">
              <a:solidFill>
                <a:srgbClr val="993366"/>
              </a:solidFill>
              <a:prstDash val="solid"/>
            </a:ln>
          </c:spPr>
          <c:marker>
            <c:symbol val="none"/>
          </c:marker>
          <c:cat>
            <c:strRef>
              <c:f>'10 States AggWorkings'!$C$2:$Y$2</c:f>
              <c:strCache>
                <c:ptCount val="23"/>
                <c:pt idx="0">
                  <c:v>early                                                                 
2010</c:v>
                </c:pt>
                <c:pt idx="1">
                  <c:v>Q1</c:v>
                </c:pt>
                <c:pt idx="2">
                  <c:v>Q2</c:v>
                </c:pt>
                <c:pt idx="3">
                  <c:v>Q3</c:v>
                </c:pt>
                <c:pt idx="4">
                  <c:v>Q4</c:v>
                </c:pt>
                <c:pt idx="5">
                  <c:v>Q1</c:v>
                </c:pt>
                <c:pt idx="6">
                  <c:v>Q2                                                                 
mid 2011</c:v>
                </c:pt>
                <c:pt idx="7">
                  <c:v>Q3</c:v>
                </c:pt>
                <c:pt idx="8">
                  <c:v>Q4</c:v>
                </c:pt>
                <c:pt idx="9">
                  <c:v>Q1</c:v>
                </c:pt>
                <c:pt idx="10">
                  <c:v>Q2</c:v>
                </c:pt>
                <c:pt idx="11">
                  <c:v>Q3/4                                                                 
late 2012</c:v>
                </c:pt>
                <c:pt idx="12">
                  <c:v>Q1</c:v>
                </c:pt>
                <c:pt idx="13">
                  <c:v>Q2</c:v>
                </c:pt>
                <c:pt idx="14">
                  <c:v>Q3</c:v>
                </c:pt>
                <c:pt idx="15">
                  <c:v> Q4                                                                
late 2013</c:v>
                </c:pt>
                <c:pt idx="16">
                  <c:v>Q1</c:v>
                </c:pt>
                <c:pt idx="17">
                  <c:v>Q2</c:v>
                </c:pt>
                <c:pt idx="18">
                  <c:v>Q3</c:v>
                </c:pt>
                <c:pt idx="19">
                  <c:v>Q4</c:v>
                </c:pt>
                <c:pt idx="20">
                  <c:v>Q1</c:v>
                </c:pt>
                <c:pt idx="21">
                  <c:v>Q2</c:v>
                </c:pt>
                <c:pt idx="22">
                  <c:v>Q3                                                                 
mid 2015</c:v>
                </c:pt>
              </c:strCache>
            </c:strRef>
          </c:cat>
          <c:val>
            <c:numRef>
              <c:f>'10 States AggWorkings'!$C$23:$Y$23</c:f>
              <c:numCache>
                <c:formatCode>0.0</c:formatCode>
                <c:ptCount val="23"/>
                <c:pt idx="0">
                  <c:v>0</c:v>
                </c:pt>
                <c:pt idx="1">
                  <c:v>1.35</c:v>
                </c:pt>
                <c:pt idx="2">
                  <c:v>1.35</c:v>
                </c:pt>
                <c:pt idx="3">
                  <c:v>1.3374999999999999</c:v>
                </c:pt>
                <c:pt idx="4">
                  <c:v>1.3374999999999999</c:v>
                </c:pt>
                <c:pt idx="5">
                  <c:v>1.2124999999999999</c:v>
                </c:pt>
                <c:pt idx="6">
                  <c:v>1.5125</c:v>
                </c:pt>
                <c:pt idx="7">
                  <c:v>1.5125000000000002</c:v>
                </c:pt>
                <c:pt idx="8">
                  <c:v>1.5249999999999999</c:v>
                </c:pt>
                <c:pt idx="9">
                  <c:v>1.45</c:v>
                </c:pt>
                <c:pt idx="10">
                  <c:v>1.5874999999999999</c:v>
                </c:pt>
                <c:pt idx="11">
                  <c:v>2.6124999999999998</c:v>
                </c:pt>
                <c:pt idx="12">
                  <c:v>2.75</c:v>
                </c:pt>
                <c:pt idx="13">
                  <c:v>2.6625000000000001</c:v>
                </c:pt>
                <c:pt idx="14">
                  <c:v>2.7749999999999999</c:v>
                </c:pt>
                <c:pt idx="15">
                  <c:v>2.9375</c:v>
                </c:pt>
                <c:pt idx="16">
                  <c:v>2.9375</c:v>
                </c:pt>
                <c:pt idx="17">
                  <c:v>3.2374999999999998</c:v>
                </c:pt>
                <c:pt idx="18">
                  <c:v>3.2750000000000004</c:v>
                </c:pt>
                <c:pt idx="19">
                  <c:v>3.5125000000000002</c:v>
                </c:pt>
                <c:pt idx="20">
                  <c:v>3.3600000000000003</c:v>
                </c:pt>
                <c:pt idx="21">
                  <c:v>3.3099999999999996</c:v>
                </c:pt>
                <c:pt idx="22">
                  <c:v>0</c:v>
                </c:pt>
              </c:numCache>
            </c:numRef>
          </c:val>
          <c:smooth val="0"/>
        </c:ser>
        <c:dLbls>
          <c:showLegendKey val="0"/>
          <c:showVal val="0"/>
          <c:showCatName val="0"/>
          <c:showSerName val="0"/>
          <c:showPercent val="0"/>
          <c:showBubbleSize val="0"/>
        </c:dLbls>
        <c:marker val="1"/>
        <c:smooth val="0"/>
        <c:axId val="110597632"/>
        <c:axId val="110599168"/>
      </c:lineChart>
      <c:catAx>
        <c:axId val="110597632"/>
        <c:scaling>
          <c:orientation val="minMax"/>
        </c:scaling>
        <c:delete val="0"/>
        <c:axPos val="b"/>
        <c:majorGridlines>
          <c:spPr>
            <a:ln w="3175">
              <a:solidFill>
                <a:srgbClr val="808080"/>
              </a:solidFill>
              <a:prstDash val="solid"/>
            </a:ln>
          </c:spPr>
        </c:majorGridlines>
        <c:numFmt formatCode="General" sourceLinked="1"/>
        <c:majorTickMark val="out"/>
        <c:minorTickMark val="none"/>
        <c:tickLblPos val="nextTo"/>
        <c:spPr>
          <a:ln w="3175">
            <a:solidFill>
              <a:srgbClr val="808080"/>
            </a:solidFill>
            <a:prstDash val="solid"/>
          </a:ln>
        </c:spPr>
        <c:txPr>
          <a:bodyPr rot="0" vert="horz"/>
          <a:lstStyle/>
          <a:p>
            <a:pPr>
              <a:defRPr sz="900" b="0" i="0" u="none" strike="noStrike" baseline="0">
                <a:solidFill>
                  <a:srgbClr val="666699"/>
                </a:solidFill>
                <a:latin typeface="Calibri"/>
                <a:ea typeface="Calibri"/>
                <a:cs typeface="Calibri"/>
              </a:defRPr>
            </a:pPr>
            <a:endParaRPr lang="en-US"/>
          </a:p>
        </c:txPr>
        <c:crossAx val="110599168"/>
        <c:crosses val="autoZero"/>
        <c:auto val="1"/>
        <c:lblAlgn val="ctr"/>
        <c:lblOffset val="100"/>
        <c:noMultiLvlLbl val="0"/>
      </c:catAx>
      <c:valAx>
        <c:axId val="110599168"/>
        <c:scaling>
          <c:orientation val="minMax"/>
          <c:max val="5"/>
        </c:scaling>
        <c:delete val="0"/>
        <c:axPos val="l"/>
        <c:majorGridlines>
          <c:spPr>
            <a:ln w="3175">
              <a:solidFill>
                <a:srgbClr val="808080"/>
              </a:solidFill>
              <a:prstDash val="solid"/>
            </a:ln>
          </c:spPr>
        </c:majorGridlines>
        <c:numFmt formatCode="0.0" sourceLinked="1"/>
        <c:majorTickMark val="out"/>
        <c:minorTickMark val="none"/>
        <c:tickLblPos val="nextTo"/>
        <c:spPr>
          <a:ln w="3175">
            <a:solidFill>
              <a:srgbClr val="808080"/>
            </a:solidFill>
            <a:prstDash val="solid"/>
          </a:ln>
        </c:spPr>
        <c:txPr>
          <a:bodyPr rot="0" vert="horz"/>
          <a:lstStyle/>
          <a:p>
            <a:pPr>
              <a:defRPr sz="900" b="0" i="0" u="none" strike="noStrike" baseline="0">
                <a:solidFill>
                  <a:srgbClr val="666699"/>
                </a:solidFill>
                <a:latin typeface="Calibri"/>
                <a:ea typeface="Calibri"/>
                <a:cs typeface="Calibri"/>
              </a:defRPr>
            </a:pPr>
            <a:endParaRPr lang="en-US"/>
          </a:p>
        </c:txPr>
        <c:crossAx val="110597632"/>
        <c:crosses val="autoZero"/>
        <c:crossBetween val="midCat"/>
      </c:valAx>
      <c:spPr>
        <a:solidFill>
          <a:srgbClr val="FFFFFF"/>
        </a:solidFill>
        <a:ln w="25400">
          <a:noFill/>
        </a:ln>
      </c:spPr>
    </c:plotArea>
    <c:legend>
      <c:legendPos val="r"/>
      <c:layout>
        <c:manualLayout>
          <c:xMode val="edge"/>
          <c:yMode val="edge"/>
          <c:x val="0.88851877383772204"/>
          <c:y val="0.39552202775001799"/>
          <c:w val="9.1514105919615604E-2"/>
          <c:h val="0.130596895955195"/>
        </c:manualLayout>
      </c:layout>
      <c:overlay val="0"/>
      <c:spPr>
        <a:noFill/>
        <a:ln w="25400">
          <a:noFill/>
        </a:ln>
      </c:spPr>
      <c:txPr>
        <a:bodyPr/>
        <a:lstStyle/>
        <a:p>
          <a:pPr>
            <a:defRPr sz="690" b="0" i="0" u="none" strike="noStrike" baseline="0">
              <a:solidFill>
                <a:srgbClr val="666699"/>
              </a:solidFill>
              <a:latin typeface="Calibri"/>
              <a:ea typeface="Calibri"/>
              <a:cs typeface="Calibri"/>
            </a:defRPr>
          </a:pPr>
          <a:endParaRPr lang="en-US"/>
        </a:p>
      </c:txPr>
    </c:legend>
    <c:plotVisOnly val="1"/>
    <c:dispBlanksAs val="gap"/>
    <c:showDLblsOverMax val="0"/>
  </c:chart>
  <c:spPr>
    <a:solidFill>
      <a:srgbClr val="B9CDE5"/>
    </a:solidFill>
    <a:ln w="9525">
      <a:noFill/>
    </a:ln>
  </c:spPr>
  <c:txPr>
    <a:bodyPr/>
    <a:lstStyle/>
    <a:p>
      <a:pPr>
        <a:defRPr sz="900" b="0" i="0" u="none" strike="noStrike" baseline="0">
          <a:solidFill>
            <a:srgbClr val="666699"/>
          </a:solidFill>
          <a:latin typeface="Calibri"/>
          <a:ea typeface="Calibri"/>
          <a:cs typeface="Calibri"/>
        </a:defRPr>
      </a:pPr>
      <a:endParaRPr lang="en-US"/>
    </a:p>
  </c:txPr>
  <c:printSettings>
    <c:headerFooter/>
    <c:pageMargins b="1" l="0.75" r="0.7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Score vs Spend: Output 5</a:t>
            </a:r>
            <a:r>
              <a:rPr lang="en-US" baseline="0"/>
              <a:t> - States Only</a:t>
            </a:r>
            <a:endParaRPr lang="en-US"/>
          </a:p>
        </c:rich>
      </c:tx>
      <c:overlay val="0"/>
    </c:title>
    <c:autoTitleDeleted val="0"/>
    <c:plotArea>
      <c:layout>
        <c:manualLayout>
          <c:layoutTarget val="inner"/>
          <c:xMode val="edge"/>
          <c:yMode val="edge"/>
          <c:x val="0.120232683680497"/>
          <c:y val="0.17943262411347499"/>
          <c:w val="0.66803205450382497"/>
          <c:h val="0.64770704193890705"/>
        </c:manualLayout>
      </c:layout>
      <c:scatterChart>
        <c:scatterStyle val="smoothMarker"/>
        <c:varyColors val="0"/>
        <c:ser>
          <c:idx val="0"/>
          <c:order val="0"/>
          <c:tx>
            <c:strRef>
              <c:f>Spend!$AG$566</c:f>
              <c:strCache>
                <c:ptCount val="1"/>
                <c:pt idx="0">
                  <c:v>Enugu</c:v>
                </c:pt>
              </c:strCache>
            </c:strRef>
          </c:tx>
          <c:marker>
            <c:symbol val="none"/>
          </c:marker>
          <c:xVal>
            <c:numRef>
              <c:f>Spend!$AH$566:$AL$566</c:f>
              <c:numCache>
                <c:formatCode>_(* #,##0_);_(* \(#,##0\);_(* "-"_);_(@_)</c:formatCode>
                <c:ptCount val="5"/>
                <c:pt idx="0">
                  <c:v>0</c:v>
                </c:pt>
                <c:pt idx="1">
                  <c:v>268342.30077722727</c:v>
                </c:pt>
                <c:pt idx="2">
                  <c:v>303218.33327762788</c:v>
                </c:pt>
                <c:pt idx="3">
                  <c:v>335250.4007446061</c:v>
                </c:pt>
                <c:pt idx="4">
                  <c:v>373046.37561177782</c:v>
                </c:pt>
              </c:numCache>
            </c:numRef>
          </c:xVal>
          <c:yVal>
            <c:numRef>
              <c:f>Spend!$AN$566:$AR$566</c:f>
              <c:numCache>
                <c:formatCode>_-* #,##0.0_-;\-* #,##0.0_-;_-* "-"_-;_-@_-</c:formatCode>
                <c:ptCount val="5"/>
                <c:pt idx="0">
                  <c:v>0</c:v>
                </c:pt>
                <c:pt idx="1">
                  <c:v>0.25</c:v>
                </c:pt>
                <c:pt idx="2">
                  <c:v>0.625</c:v>
                </c:pt>
                <c:pt idx="3">
                  <c:v>1.9583333333333333</c:v>
                </c:pt>
                <c:pt idx="4">
                  <c:v>1.625</c:v>
                </c:pt>
              </c:numCache>
            </c:numRef>
          </c:yVal>
          <c:smooth val="1"/>
        </c:ser>
        <c:ser>
          <c:idx val="1"/>
          <c:order val="1"/>
          <c:tx>
            <c:strRef>
              <c:f>Spend!$AG$567</c:f>
              <c:strCache>
                <c:ptCount val="1"/>
                <c:pt idx="0">
                  <c:v>Jigawa</c:v>
                </c:pt>
              </c:strCache>
            </c:strRef>
          </c:tx>
          <c:marker>
            <c:symbol val="none"/>
          </c:marker>
          <c:xVal>
            <c:numRef>
              <c:f>Spend!$AH$567:$AL$567</c:f>
              <c:numCache>
                <c:formatCode>_(* #,##0_);_(* \(#,##0\);_(* "-"_);_(@_)</c:formatCode>
                <c:ptCount val="5"/>
                <c:pt idx="0">
                  <c:v>0</c:v>
                </c:pt>
                <c:pt idx="1">
                  <c:v>261061.02685301664</c:v>
                </c:pt>
                <c:pt idx="2">
                  <c:v>301434.63996183831</c:v>
                </c:pt>
                <c:pt idx="3">
                  <c:v>329914.84354092181</c:v>
                </c:pt>
                <c:pt idx="4">
                  <c:v>376447.12223839655</c:v>
                </c:pt>
              </c:numCache>
            </c:numRef>
          </c:xVal>
          <c:yVal>
            <c:numRef>
              <c:f>Spend!$AN$567:$AR$567</c:f>
              <c:numCache>
                <c:formatCode>_-* #,##0.0_-;\-* #,##0.0_-;_-* "-"_-;_-@_-</c:formatCode>
                <c:ptCount val="5"/>
                <c:pt idx="0">
                  <c:v>0</c:v>
                </c:pt>
                <c:pt idx="1">
                  <c:v>0.375</c:v>
                </c:pt>
                <c:pt idx="2">
                  <c:v>1.25</c:v>
                </c:pt>
                <c:pt idx="3">
                  <c:v>1.6041666666666667</c:v>
                </c:pt>
                <c:pt idx="4">
                  <c:v>3.1666666666666665</c:v>
                </c:pt>
              </c:numCache>
            </c:numRef>
          </c:yVal>
          <c:smooth val="1"/>
        </c:ser>
        <c:ser>
          <c:idx val="2"/>
          <c:order val="2"/>
          <c:tx>
            <c:strRef>
              <c:f>Spend!$AG$568</c:f>
              <c:strCache>
                <c:ptCount val="1"/>
                <c:pt idx="0">
                  <c:v>Kaduna</c:v>
                </c:pt>
              </c:strCache>
            </c:strRef>
          </c:tx>
          <c:marker>
            <c:symbol val="none"/>
          </c:marker>
          <c:xVal>
            <c:numRef>
              <c:f>Spend!$AH$568:$AL$568</c:f>
              <c:numCache>
                <c:formatCode>_(* #,##0_);_(* \(#,##0\);_(* "-"_);_(@_)</c:formatCode>
                <c:ptCount val="5"/>
                <c:pt idx="0">
                  <c:v>0</c:v>
                </c:pt>
                <c:pt idx="1">
                  <c:v>259655.46031827983</c:v>
                </c:pt>
                <c:pt idx="2">
                  <c:v>358970.64695657516</c:v>
                </c:pt>
                <c:pt idx="3">
                  <c:v>390219.71828563575</c:v>
                </c:pt>
                <c:pt idx="4">
                  <c:v>430180.51632856508</c:v>
                </c:pt>
              </c:numCache>
            </c:numRef>
          </c:xVal>
          <c:yVal>
            <c:numRef>
              <c:f>Spend!$AN$568:$AR$568</c:f>
              <c:numCache>
                <c:formatCode>_-* #,##0.0_-;\-* #,##0.0_-;_-* "-"_-;_-@_-</c:formatCode>
                <c:ptCount val="5"/>
                <c:pt idx="0">
                  <c:v>0.375</c:v>
                </c:pt>
                <c:pt idx="1">
                  <c:v>1.375</c:v>
                </c:pt>
                <c:pt idx="2">
                  <c:v>2</c:v>
                </c:pt>
                <c:pt idx="3">
                  <c:v>1.7083333333333333</c:v>
                </c:pt>
                <c:pt idx="4">
                  <c:v>2.2083333333333335</c:v>
                </c:pt>
              </c:numCache>
            </c:numRef>
          </c:yVal>
          <c:smooth val="1"/>
        </c:ser>
        <c:ser>
          <c:idx val="3"/>
          <c:order val="3"/>
          <c:tx>
            <c:strRef>
              <c:f>Spend!$AG$569</c:f>
              <c:strCache>
                <c:ptCount val="1"/>
                <c:pt idx="0">
                  <c:v>Kano</c:v>
                </c:pt>
              </c:strCache>
            </c:strRef>
          </c:tx>
          <c:marker>
            <c:symbol val="none"/>
          </c:marker>
          <c:xVal>
            <c:numRef>
              <c:f>Spend!$AH$569:$AL$569</c:f>
              <c:numCache>
                <c:formatCode>_(* #,##0_);_(* \(#,##0\);_(* "-"_);_(@_)</c:formatCode>
                <c:ptCount val="5"/>
                <c:pt idx="0">
                  <c:v>0</c:v>
                </c:pt>
                <c:pt idx="1">
                  <c:v>267920.19477722718</c:v>
                </c:pt>
                <c:pt idx="2">
                  <c:v>337139.05957762775</c:v>
                </c:pt>
                <c:pt idx="3">
                  <c:v>393317.35685764946</c:v>
                </c:pt>
                <c:pt idx="4">
                  <c:v>437521.03922381112</c:v>
                </c:pt>
              </c:numCache>
            </c:numRef>
          </c:xVal>
          <c:yVal>
            <c:numRef>
              <c:f>Spend!$AN$569:$AR$569</c:f>
              <c:numCache>
                <c:formatCode>_-* #,##0.0_-;\-* #,##0.0_-;_-* "-"_-;_-@_-</c:formatCode>
                <c:ptCount val="5"/>
                <c:pt idx="0">
                  <c:v>0</c:v>
                </c:pt>
                <c:pt idx="1">
                  <c:v>1.625</c:v>
                </c:pt>
                <c:pt idx="2">
                  <c:v>2.25</c:v>
                </c:pt>
                <c:pt idx="3">
                  <c:v>1.9166666666666667</c:v>
                </c:pt>
                <c:pt idx="4">
                  <c:v>3.0208333333333335</c:v>
                </c:pt>
              </c:numCache>
            </c:numRef>
          </c:yVal>
          <c:smooth val="1"/>
        </c:ser>
        <c:ser>
          <c:idx val="4"/>
          <c:order val="4"/>
          <c:tx>
            <c:strRef>
              <c:f>Spend!$AG$570</c:f>
              <c:strCache>
                <c:ptCount val="1"/>
                <c:pt idx="0">
                  <c:v>Lagos</c:v>
                </c:pt>
              </c:strCache>
            </c:strRef>
          </c:tx>
          <c:marker>
            <c:symbol val="none"/>
          </c:marker>
          <c:xVal>
            <c:numRef>
              <c:f>Spend!$AH$570:$AL$570</c:f>
              <c:numCache>
                <c:formatCode>_(* #,##0_);_(* \(#,##0\);_(* "-"_);_(@_)</c:formatCode>
                <c:ptCount val="5"/>
                <c:pt idx="0">
                  <c:v>0</c:v>
                </c:pt>
                <c:pt idx="1">
                  <c:v>262382.0924614378</c:v>
                </c:pt>
                <c:pt idx="2">
                  <c:v>372074.08149341732</c:v>
                </c:pt>
                <c:pt idx="3">
                  <c:v>424767.14941611636</c:v>
                </c:pt>
                <c:pt idx="4">
                  <c:v>470051.02869136888</c:v>
                </c:pt>
              </c:numCache>
            </c:numRef>
          </c:xVal>
          <c:yVal>
            <c:numRef>
              <c:f>Spend!$AN$570:$AR$570</c:f>
              <c:numCache>
                <c:formatCode>_-* #,##0.0_-;\-* #,##0.0_-;_-* "-"_-;_-@_-</c:formatCode>
                <c:ptCount val="5"/>
                <c:pt idx="0">
                  <c:v>0.75</c:v>
                </c:pt>
                <c:pt idx="1">
                  <c:v>1.875</c:v>
                </c:pt>
                <c:pt idx="2">
                  <c:v>1.5</c:v>
                </c:pt>
                <c:pt idx="3">
                  <c:v>2.0625</c:v>
                </c:pt>
                <c:pt idx="4">
                  <c:v>3.1041666666666665</c:v>
                </c:pt>
              </c:numCache>
            </c:numRef>
          </c:yVal>
          <c:smooth val="1"/>
        </c:ser>
        <c:ser>
          <c:idx val="5"/>
          <c:order val="5"/>
          <c:tx>
            <c:strRef>
              <c:f>Spend!$AG$571</c:f>
              <c:strCache>
                <c:ptCount val="1"/>
                <c:pt idx="0">
                  <c:v>Zamfara</c:v>
                </c:pt>
              </c:strCache>
            </c:strRef>
          </c:tx>
          <c:marker>
            <c:symbol val="none"/>
          </c:marker>
          <c:xVal>
            <c:numRef>
              <c:f>Spend!$AH$571:$AL$571</c:f>
              <c:numCache>
                <c:formatCode>_(* #,##0_);_(* \(#,##0\);_(* "-"_);_(@_)</c:formatCode>
                <c:ptCount val="5"/>
                <c:pt idx="0">
                  <c:v>0</c:v>
                </c:pt>
                <c:pt idx="1">
                  <c:v>0</c:v>
                </c:pt>
                <c:pt idx="2">
                  <c:v>21654.280850624164</c:v>
                </c:pt>
                <c:pt idx="3">
                  <c:v>41692.085030819762</c:v>
                </c:pt>
                <c:pt idx="4">
                  <c:v>79325.962205062184</c:v>
                </c:pt>
              </c:numCache>
            </c:numRef>
          </c:xVal>
          <c:yVal>
            <c:numRef>
              <c:f>Spend!$AN$571:$AR$571</c:f>
              <c:numCache>
                <c:formatCode>_-* #,##0.0_-;\-* #,##0.0_-;_-* "-"_-;_-@_-</c:formatCode>
                <c:ptCount val="5"/>
                <c:pt idx="0">
                  <c:v>0</c:v>
                </c:pt>
                <c:pt idx="1">
                  <c:v>0</c:v>
                </c:pt>
                <c:pt idx="2">
                  <c:v>0.5</c:v>
                </c:pt>
                <c:pt idx="3">
                  <c:v>0.35416666666666669</c:v>
                </c:pt>
                <c:pt idx="4">
                  <c:v>0.64583333333333337</c:v>
                </c:pt>
              </c:numCache>
            </c:numRef>
          </c:yVal>
          <c:smooth val="1"/>
        </c:ser>
        <c:ser>
          <c:idx val="6"/>
          <c:order val="6"/>
          <c:tx>
            <c:strRef>
              <c:f>Spend!$AG$572</c:f>
              <c:strCache>
                <c:ptCount val="1"/>
                <c:pt idx="0">
                  <c:v>Katsina</c:v>
                </c:pt>
              </c:strCache>
            </c:strRef>
          </c:tx>
          <c:marker>
            <c:symbol val="none"/>
          </c:marker>
          <c:xVal>
            <c:numRef>
              <c:f>Spend!$AH$572:$AL$572</c:f>
              <c:numCache>
                <c:formatCode>_(* #,##0_);_(* \(#,##0\);_(* "-"_);_(@_)</c:formatCode>
                <c:ptCount val="5"/>
                <c:pt idx="0">
                  <c:v>0</c:v>
                </c:pt>
                <c:pt idx="1">
                  <c:v>0</c:v>
                </c:pt>
                <c:pt idx="2">
                  <c:v>21482.785316939953</c:v>
                </c:pt>
                <c:pt idx="3">
                  <c:v>41226.446607410158</c:v>
                </c:pt>
                <c:pt idx="4">
                  <c:v>83617.782862460677</c:v>
                </c:pt>
              </c:numCache>
            </c:numRef>
          </c:xVal>
          <c:yVal>
            <c:numRef>
              <c:f>Spend!$AN$572:$AR$572</c:f>
              <c:numCache>
                <c:formatCode>_-* #,##0.0_-;\-* #,##0.0_-;_-* "-"_-;_-@_-</c:formatCode>
                <c:ptCount val="5"/>
                <c:pt idx="0">
                  <c:v>0</c:v>
                </c:pt>
                <c:pt idx="1">
                  <c:v>0</c:v>
                </c:pt>
                <c:pt idx="2">
                  <c:v>0.125</c:v>
                </c:pt>
                <c:pt idx="3">
                  <c:v>0.35416666666666669</c:v>
                </c:pt>
                <c:pt idx="4">
                  <c:v>2.2083333333333335</c:v>
                </c:pt>
              </c:numCache>
            </c:numRef>
          </c:yVal>
          <c:smooth val="1"/>
        </c:ser>
        <c:ser>
          <c:idx val="7"/>
          <c:order val="7"/>
          <c:tx>
            <c:strRef>
              <c:f>Spend!$AG$573</c:f>
              <c:strCache>
                <c:ptCount val="1"/>
                <c:pt idx="0">
                  <c:v>Yobe</c:v>
                </c:pt>
              </c:strCache>
            </c:strRef>
          </c:tx>
          <c:marker>
            <c:symbol val="none"/>
          </c:marker>
          <c:xVal>
            <c:numRef>
              <c:f>Spend!$AH$573:$AL$573</c:f>
              <c:numCache>
                <c:formatCode>_(* #,##0_);_(* \(#,##0\);_(* "-"_);_(@_)</c:formatCode>
                <c:ptCount val="5"/>
                <c:pt idx="0">
                  <c:v>0</c:v>
                </c:pt>
                <c:pt idx="1">
                  <c:v>0</c:v>
                </c:pt>
                <c:pt idx="2">
                  <c:v>25510.229273782053</c:v>
                </c:pt>
                <c:pt idx="3">
                  <c:v>79515.456036723655</c:v>
                </c:pt>
                <c:pt idx="4">
                  <c:v>124019.56443318829</c:v>
                </c:pt>
              </c:numCache>
            </c:numRef>
          </c:xVal>
          <c:yVal>
            <c:numRef>
              <c:f>Spend!$AN$573:$AR$573</c:f>
              <c:numCache>
                <c:formatCode>_-* #,##0.0_-;\-* #,##0.0_-;_-* "-"_-;_-@_-</c:formatCode>
                <c:ptCount val="5"/>
                <c:pt idx="0">
                  <c:v>0</c:v>
                </c:pt>
                <c:pt idx="1">
                  <c:v>0</c:v>
                </c:pt>
                <c:pt idx="2">
                  <c:v>0.125</c:v>
                </c:pt>
                <c:pt idx="3">
                  <c:v>0.1875</c:v>
                </c:pt>
                <c:pt idx="4">
                  <c:v>1.4166666666666667</c:v>
                </c:pt>
              </c:numCache>
            </c:numRef>
          </c:yVal>
          <c:smooth val="1"/>
        </c:ser>
        <c:dLbls>
          <c:showLegendKey val="0"/>
          <c:showVal val="0"/>
          <c:showCatName val="0"/>
          <c:showSerName val="0"/>
          <c:showPercent val="0"/>
          <c:showBubbleSize val="0"/>
        </c:dLbls>
        <c:axId val="2548480"/>
        <c:axId val="2550784"/>
      </c:scatterChart>
      <c:valAx>
        <c:axId val="2548480"/>
        <c:scaling>
          <c:orientation val="minMax"/>
          <c:max val="800001"/>
          <c:min val="1"/>
        </c:scaling>
        <c:delete val="0"/>
        <c:axPos val="b"/>
        <c:title>
          <c:tx>
            <c:rich>
              <a:bodyPr/>
              <a:lstStyle/>
              <a:p>
                <a:pPr>
                  <a:defRPr/>
                </a:pPr>
                <a:r>
                  <a:rPr lang="en-US" sz="1200"/>
                  <a:t>Spend</a:t>
                </a:r>
              </a:p>
            </c:rich>
          </c:tx>
          <c:layout>
            <c:manualLayout>
              <c:xMode val="edge"/>
              <c:yMode val="edge"/>
              <c:x val="0.43348243703579598"/>
              <c:y val="0.89929078014184405"/>
            </c:manualLayout>
          </c:layout>
          <c:overlay val="0"/>
        </c:title>
        <c:numFmt formatCode="_(* #,##0_);_(* \(#,##0\);_(* &quot;-&quot;_);_(@_)" sourceLinked="1"/>
        <c:majorTickMark val="none"/>
        <c:minorTickMark val="none"/>
        <c:tickLblPos val="nextTo"/>
        <c:crossAx val="2550784"/>
        <c:crosses val="autoZero"/>
        <c:crossBetween val="midCat"/>
        <c:dispUnits>
          <c:builtInUnit val="thousands"/>
          <c:dispUnitsLbl>
            <c:txPr>
              <a:bodyPr/>
              <a:lstStyle/>
              <a:p>
                <a:pPr>
                  <a:defRPr b="0" i="0"/>
                </a:pPr>
                <a:endParaRPr lang="en-US"/>
              </a:p>
            </c:txPr>
          </c:dispUnitsLbl>
        </c:dispUnits>
      </c:valAx>
      <c:valAx>
        <c:axId val="2550784"/>
        <c:scaling>
          <c:orientation val="minMax"/>
          <c:max val="5"/>
          <c:min val="0"/>
        </c:scaling>
        <c:delete val="0"/>
        <c:axPos val="l"/>
        <c:majorGridlines/>
        <c:title>
          <c:tx>
            <c:rich>
              <a:bodyPr/>
              <a:lstStyle/>
              <a:p>
                <a:pPr>
                  <a:defRPr sz="1200"/>
                </a:pPr>
                <a:r>
                  <a:rPr lang="en-US" sz="1200"/>
                  <a:t>Score</a:t>
                </a:r>
              </a:p>
            </c:rich>
          </c:tx>
          <c:overlay val="0"/>
        </c:title>
        <c:numFmt formatCode="_-* #,##0.0_-;\-* #,##0.0_-;_-* &quot;-&quot;_-;_-@_-" sourceLinked="1"/>
        <c:majorTickMark val="none"/>
        <c:minorTickMark val="none"/>
        <c:tickLblPos val="nextTo"/>
        <c:crossAx val="2548480"/>
        <c:crosses val="autoZero"/>
        <c:crossBetween val="midCat"/>
        <c:majorUnit val="1"/>
        <c:minorUnit val="0.1"/>
      </c:valAx>
    </c:plotArea>
    <c:legend>
      <c:legendPos val="r"/>
      <c:layout>
        <c:manualLayout>
          <c:xMode val="edge"/>
          <c:yMode val="edge"/>
          <c:x val="0.821326110831891"/>
          <c:y val="0.22683810800245699"/>
          <c:w val="0.15503322722957499"/>
          <c:h val="0.56972803931423499"/>
        </c:manualLayout>
      </c:layout>
      <c:overlay val="0"/>
    </c:legend>
    <c:plotVisOnly val="1"/>
    <c:dispBlanksAs val="gap"/>
    <c:showDLblsOverMax val="0"/>
  </c:chart>
  <c:printSettings>
    <c:headerFooter/>
    <c:pageMargins b="1" l="0.75" r="0.75"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Score vs Spend: Outcome Level</a:t>
            </a:r>
          </a:p>
        </c:rich>
      </c:tx>
      <c:overlay val="0"/>
    </c:title>
    <c:autoTitleDeleted val="0"/>
    <c:plotArea>
      <c:layout>
        <c:manualLayout>
          <c:layoutTarget val="inner"/>
          <c:xMode val="edge"/>
          <c:yMode val="edge"/>
          <c:x val="0.120232683680497"/>
          <c:y val="0.17943262411347499"/>
          <c:w val="0.66803205450382497"/>
          <c:h val="0.64770704193890705"/>
        </c:manualLayout>
      </c:layout>
      <c:scatterChart>
        <c:scatterStyle val="smoothMarker"/>
        <c:varyColors val="0"/>
        <c:ser>
          <c:idx val="0"/>
          <c:order val="0"/>
          <c:tx>
            <c:strRef>
              <c:f>Spend!$AG$94</c:f>
              <c:strCache>
                <c:ptCount val="1"/>
                <c:pt idx="0">
                  <c:v>Enugu</c:v>
                </c:pt>
              </c:strCache>
            </c:strRef>
          </c:tx>
          <c:marker>
            <c:symbol val="none"/>
          </c:marker>
          <c:xVal>
            <c:numRef>
              <c:f>Spend!$AH$94:$AL$94</c:f>
              <c:numCache>
                <c:formatCode>_(* #,##0_);_(* \(#,##0\);_(* "-"_);_(@_)</c:formatCode>
                <c:ptCount val="5"/>
                <c:pt idx="0">
                  <c:v>0</c:v>
                </c:pt>
                <c:pt idx="1">
                  <c:v>1353285.1508774792</c:v>
                </c:pt>
                <c:pt idx="2">
                  <c:v>1916163.9510442549</c:v>
                </c:pt>
                <c:pt idx="3">
                  <c:v>2318880.3891051346</c:v>
                </c:pt>
                <c:pt idx="4">
                  <c:v>2702746.6859438517</c:v>
                </c:pt>
              </c:numCache>
            </c:numRef>
          </c:xVal>
          <c:yVal>
            <c:numRef>
              <c:f>Spend!$AN$94:$AR$94</c:f>
              <c:numCache>
                <c:formatCode>_-* #,##0.0_-;\-* #,##0.0_-;_-* "-"_-;_-@_-</c:formatCode>
                <c:ptCount val="5"/>
                <c:pt idx="0">
                  <c:v>1</c:v>
                </c:pt>
                <c:pt idx="1">
                  <c:v>1.6666666666666667</c:v>
                </c:pt>
                <c:pt idx="2">
                  <c:v>2.2468750000000002</c:v>
                </c:pt>
                <c:pt idx="3">
                  <c:v>2.9708333333333337</c:v>
                </c:pt>
                <c:pt idx="4">
                  <c:v>3.0822916666666669</c:v>
                </c:pt>
              </c:numCache>
            </c:numRef>
          </c:yVal>
          <c:smooth val="1"/>
        </c:ser>
        <c:ser>
          <c:idx val="1"/>
          <c:order val="1"/>
          <c:tx>
            <c:strRef>
              <c:f>Spend!$AG$95</c:f>
              <c:strCache>
                <c:ptCount val="1"/>
                <c:pt idx="0">
                  <c:v>Jigawa</c:v>
                </c:pt>
              </c:strCache>
            </c:strRef>
          </c:tx>
          <c:marker>
            <c:symbol val="none"/>
          </c:marker>
          <c:xVal>
            <c:numRef>
              <c:f>Spend!$AH$95:$AL$95</c:f>
              <c:numCache>
                <c:formatCode>_(* #,##0_);_(* \(#,##0\);_(* "-"_);_(@_)</c:formatCode>
                <c:ptCount val="5"/>
                <c:pt idx="0">
                  <c:v>0</c:v>
                </c:pt>
                <c:pt idx="1">
                  <c:v>1254668.5056774786</c:v>
                </c:pt>
                <c:pt idx="2">
                  <c:v>1787370.4559894102</c:v>
                </c:pt>
                <c:pt idx="3">
                  <c:v>2174093.426358711</c:v>
                </c:pt>
                <c:pt idx="4">
                  <c:v>2514848.3110316605</c:v>
                </c:pt>
              </c:numCache>
            </c:numRef>
          </c:xVal>
          <c:yVal>
            <c:numRef>
              <c:f>Spend!$AN$95:$AR$95</c:f>
              <c:numCache>
                <c:formatCode>_-* #,##0.0_-;\-* #,##0.0_-;_-* "-"_-;_-@_-</c:formatCode>
                <c:ptCount val="5"/>
                <c:pt idx="0">
                  <c:v>1.5333333333333332</c:v>
                </c:pt>
                <c:pt idx="1">
                  <c:v>1.6541666666666668</c:v>
                </c:pt>
                <c:pt idx="2">
                  <c:v>2.3875000000000002</c:v>
                </c:pt>
                <c:pt idx="3">
                  <c:v>3.5812499999999998</c:v>
                </c:pt>
                <c:pt idx="4">
                  <c:v>3.6135416666666664</c:v>
                </c:pt>
              </c:numCache>
            </c:numRef>
          </c:yVal>
          <c:smooth val="1"/>
        </c:ser>
        <c:ser>
          <c:idx val="2"/>
          <c:order val="2"/>
          <c:tx>
            <c:strRef>
              <c:f>Spend!$AG$96</c:f>
              <c:strCache>
                <c:ptCount val="1"/>
                <c:pt idx="0">
                  <c:v>Kaduna</c:v>
                </c:pt>
              </c:strCache>
            </c:strRef>
          </c:tx>
          <c:marker>
            <c:symbol val="none"/>
          </c:marker>
          <c:xVal>
            <c:numRef>
              <c:f>Spend!$AH$96:$AL$96</c:f>
              <c:numCache>
                <c:formatCode>_(* #,##0_);_(* \(#,##0\);_(* "-"_);_(@_)</c:formatCode>
                <c:ptCount val="5"/>
                <c:pt idx="0">
                  <c:v>0</c:v>
                </c:pt>
                <c:pt idx="1">
                  <c:v>1301690.0420774792</c:v>
                </c:pt>
                <c:pt idx="2">
                  <c:v>1923017.2697182996</c:v>
                </c:pt>
                <c:pt idx="3">
                  <c:v>2342296.0200018571</c:v>
                </c:pt>
                <c:pt idx="4">
                  <c:v>2681405.6240273318</c:v>
                </c:pt>
              </c:numCache>
            </c:numRef>
          </c:xVal>
          <c:yVal>
            <c:numRef>
              <c:f>Spend!$AN$96:$AR$96</c:f>
              <c:numCache>
                <c:formatCode>_-* #,##0.0_-;\-* #,##0.0_-;_-* "-"_-;_-@_-</c:formatCode>
                <c:ptCount val="5"/>
                <c:pt idx="0">
                  <c:v>1.4333333333333336</c:v>
                </c:pt>
                <c:pt idx="1">
                  <c:v>2.0694444444444442</c:v>
                </c:pt>
                <c:pt idx="2">
                  <c:v>2.5333333333333337</c:v>
                </c:pt>
                <c:pt idx="3">
                  <c:v>2.7781250000000002</c:v>
                </c:pt>
                <c:pt idx="4">
                  <c:v>3.1385416666666663</c:v>
                </c:pt>
              </c:numCache>
            </c:numRef>
          </c:yVal>
          <c:smooth val="1"/>
        </c:ser>
        <c:ser>
          <c:idx val="3"/>
          <c:order val="3"/>
          <c:tx>
            <c:strRef>
              <c:f>Spend!$AG$97</c:f>
              <c:strCache>
                <c:ptCount val="1"/>
                <c:pt idx="0">
                  <c:v>Kano</c:v>
                </c:pt>
              </c:strCache>
            </c:strRef>
          </c:tx>
          <c:marker>
            <c:symbol val="none"/>
          </c:marker>
          <c:xVal>
            <c:numRef>
              <c:f>Spend!$AH$97:$AL$97</c:f>
              <c:numCache>
                <c:formatCode>_(* #,##0_);_(* \(#,##0\);_(* "-"_);_(@_)</c:formatCode>
                <c:ptCount val="5"/>
                <c:pt idx="0">
                  <c:v>0</c:v>
                </c:pt>
                <c:pt idx="1">
                  <c:v>1294438.8056774789</c:v>
                </c:pt>
                <c:pt idx="2">
                  <c:v>1924836.7671224135</c:v>
                </c:pt>
                <c:pt idx="3">
                  <c:v>2314382.6714072064</c:v>
                </c:pt>
                <c:pt idx="4">
                  <c:v>2699084.6881498732</c:v>
                </c:pt>
              </c:numCache>
            </c:numRef>
          </c:xVal>
          <c:yVal>
            <c:numRef>
              <c:f>Spend!$AN$97:$AR$97</c:f>
              <c:numCache>
                <c:formatCode>_-* #,##0.0_-;\-* #,##0.0_-;_-* "-"_-;_-@_-</c:formatCode>
                <c:ptCount val="5"/>
                <c:pt idx="0">
                  <c:v>1.3</c:v>
                </c:pt>
                <c:pt idx="1">
                  <c:v>1.4027777777777777</c:v>
                </c:pt>
                <c:pt idx="2">
                  <c:v>2.5802083333333337</c:v>
                </c:pt>
                <c:pt idx="3">
                  <c:v>3.0104166666666665</c:v>
                </c:pt>
                <c:pt idx="4">
                  <c:v>3.2916666666666665</c:v>
                </c:pt>
              </c:numCache>
            </c:numRef>
          </c:yVal>
          <c:smooth val="1"/>
        </c:ser>
        <c:ser>
          <c:idx val="4"/>
          <c:order val="4"/>
          <c:tx>
            <c:strRef>
              <c:f>Spend!$AG$98</c:f>
              <c:strCache>
                <c:ptCount val="1"/>
                <c:pt idx="0">
                  <c:v>Lagos</c:v>
                </c:pt>
              </c:strCache>
            </c:strRef>
          </c:tx>
          <c:marker>
            <c:symbol val="none"/>
          </c:marker>
          <c:xVal>
            <c:numRef>
              <c:f>Spend!$AH$98:$AL$98</c:f>
              <c:numCache>
                <c:formatCode>_(* #,##0_);_(* \(#,##0\);_(* "-"_);_(@_)</c:formatCode>
                <c:ptCount val="5"/>
                <c:pt idx="0">
                  <c:v>0</c:v>
                </c:pt>
                <c:pt idx="1">
                  <c:v>1444657.7800151857</c:v>
                </c:pt>
                <c:pt idx="2">
                  <c:v>2278077.6492500771</c:v>
                </c:pt>
                <c:pt idx="3">
                  <c:v>2728439.4693968836</c:v>
                </c:pt>
                <c:pt idx="4">
                  <c:v>3174969.3942392473</c:v>
                </c:pt>
              </c:numCache>
            </c:numRef>
          </c:xVal>
          <c:yVal>
            <c:numRef>
              <c:f>Spend!$AN$98:$AR$98</c:f>
              <c:numCache>
                <c:formatCode>_-* #,##0.0_-;\-* #,##0.0_-;_-* "-"_-;_-@_-</c:formatCode>
                <c:ptCount val="5"/>
                <c:pt idx="0">
                  <c:v>1.6333333333333335</c:v>
                </c:pt>
                <c:pt idx="1">
                  <c:v>2.1041666666666665</c:v>
                </c:pt>
                <c:pt idx="2">
                  <c:v>2.2510416666666666</c:v>
                </c:pt>
                <c:pt idx="3">
                  <c:v>3.0322916666666666</c:v>
                </c:pt>
                <c:pt idx="4">
                  <c:v>3.1343749999999999</c:v>
                </c:pt>
              </c:numCache>
            </c:numRef>
          </c:yVal>
          <c:smooth val="1"/>
        </c:ser>
        <c:ser>
          <c:idx val="5"/>
          <c:order val="5"/>
          <c:tx>
            <c:strRef>
              <c:f>Spend!$AG$99</c:f>
              <c:strCache>
                <c:ptCount val="1"/>
                <c:pt idx="0">
                  <c:v>Zamfara</c:v>
                </c:pt>
              </c:strCache>
            </c:strRef>
          </c:tx>
          <c:marker>
            <c:symbol val="none"/>
          </c:marker>
          <c:xVal>
            <c:numRef>
              <c:f>Spend!$AH$99:$AL$99</c:f>
              <c:numCache>
                <c:formatCode>_(* #,##0_);_(* \(#,##0\);_(* "-"_);_(@_)</c:formatCode>
                <c:ptCount val="5"/>
                <c:pt idx="0">
                  <c:v>0</c:v>
                </c:pt>
                <c:pt idx="1">
                  <c:v>0</c:v>
                </c:pt>
                <c:pt idx="2">
                  <c:v>343788.32869267726</c:v>
                </c:pt>
                <c:pt idx="3">
                  <c:v>630547.4447010986</c:v>
                </c:pt>
                <c:pt idx="4">
                  <c:v>1019086.0307158662</c:v>
                </c:pt>
              </c:numCache>
            </c:numRef>
          </c:xVal>
          <c:yVal>
            <c:numRef>
              <c:f>Spend!$AN$99:$AR$99</c:f>
              <c:numCache>
                <c:formatCode>_-* #,##0.0_-;\-* #,##0.0_-;_-* "-"_-;_-@_-</c:formatCode>
                <c:ptCount val="5"/>
                <c:pt idx="0">
                  <c:v>1.0333333333333334</c:v>
                </c:pt>
                <c:pt idx="1">
                  <c:v>1.0333333333333334</c:v>
                </c:pt>
                <c:pt idx="2">
                  <c:v>1.425</c:v>
                </c:pt>
                <c:pt idx="3">
                  <c:v>1.6312499999999999</c:v>
                </c:pt>
                <c:pt idx="4">
                  <c:v>2.4468749999999999</c:v>
                </c:pt>
              </c:numCache>
            </c:numRef>
          </c:yVal>
          <c:smooth val="1"/>
        </c:ser>
        <c:ser>
          <c:idx val="6"/>
          <c:order val="6"/>
          <c:tx>
            <c:strRef>
              <c:f>Spend!$AG$100</c:f>
              <c:strCache>
                <c:ptCount val="1"/>
                <c:pt idx="0">
                  <c:v>Katsina</c:v>
                </c:pt>
              </c:strCache>
            </c:strRef>
          </c:tx>
          <c:marker>
            <c:symbol val="none"/>
          </c:marker>
          <c:xVal>
            <c:numRef>
              <c:f>Spend!$AH$100:$AL$100</c:f>
              <c:numCache>
                <c:formatCode>_(* #,##0_);_(* \(#,##0\);_(* "-"_);_(@_)</c:formatCode>
                <c:ptCount val="5"/>
                <c:pt idx="0">
                  <c:v>0</c:v>
                </c:pt>
                <c:pt idx="1">
                  <c:v>0</c:v>
                </c:pt>
                <c:pt idx="2">
                  <c:v>342262.62844372983</c:v>
                </c:pt>
                <c:pt idx="3">
                  <c:v>576490.06040107564</c:v>
                </c:pt>
                <c:pt idx="4">
                  <c:v>890353.20797513635</c:v>
                </c:pt>
              </c:numCache>
            </c:numRef>
          </c:xVal>
          <c:yVal>
            <c:numRef>
              <c:f>Spend!$AN$100:$AR$100</c:f>
              <c:numCache>
                <c:formatCode>_-* #,##0.0_-;\-* #,##0.0_-;_-* "-"_-;_-@_-</c:formatCode>
                <c:ptCount val="5"/>
                <c:pt idx="0">
                  <c:v>1.5</c:v>
                </c:pt>
                <c:pt idx="1">
                  <c:v>1.5</c:v>
                </c:pt>
                <c:pt idx="2">
                  <c:v>1.8</c:v>
                </c:pt>
                <c:pt idx="3">
                  <c:v>2.0020833333333337</c:v>
                </c:pt>
                <c:pt idx="4">
                  <c:v>2.7895833333333333</c:v>
                </c:pt>
              </c:numCache>
            </c:numRef>
          </c:yVal>
          <c:smooth val="1"/>
        </c:ser>
        <c:ser>
          <c:idx val="7"/>
          <c:order val="7"/>
          <c:tx>
            <c:strRef>
              <c:f>Spend!$AG$101</c:f>
              <c:strCache>
                <c:ptCount val="1"/>
                <c:pt idx="0">
                  <c:v>Yobe</c:v>
                </c:pt>
              </c:strCache>
            </c:strRef>
          </c:tx>
          <c:marker>
            <c:symbol val="none"/>
          </c:marker>
          <c:xVal>
            <c:numRef>
              <c:f>Spend!$AH$101:$AL$101</c:f>
              <c:numCache>
                <c:formatCode>_(* #,##0_);_(* \(#,##0\);_(* "-"_);_(@_)</c:formatCode>
                <c:ptCount val="5"/>
                <c:pt idx="0">
                  <c:v>0</c:v>
                </c:pt>
                <c:pt idx="1">
                  <c:v>0</c:v>
                </c:pt>
                <c:pt idx="2">
                  <c:v>356124.3675565368</c:v>
                </c:pt>
                <c:pt idx="3">
                  <c:v>673452.90929884859</c:v>
                </c:pt>
                <c:pt idx="4">
                  <c:v>1000999.481379293</c:v>
                </c:pt>
              </c:numCache>
            </c:numRef>
          </c:xVal>
          <c:yVal>
            <c:numRef>
              <c:f>Spend!$AN$101:$AR$101</c:f>
              <c:numCache>
                <c:formatCode>_-* #,##0.0_-;\-* #,##0.0_-;_-* "-"_-;_-@_-</c:formatCode>
                <c:ptCount val="5"/>
                <c:pt idx="0">
                  <c:v>1.2333333333333334</c:v>
                </c:pt>
                <c:pt idx="1">
                  <c:v>1.2333333333333334</c:v>
                </c:pt>
                <c:pt idx="2">
                  <c:v>1.55</c:v>
                </c:pt>
                <c:pt idx="3">
                  <c:v>2.1656249999999999</c:v>
                </c:pt>
                <c:pt idx="4">
                  <c:v>2.7697916666666669</c:v>
                </c:pt>
              </c:numCache>
            </c:numRef>
          </c:yVal>
          <c:smooth val="1"/>
        </c:ser>
        <c:dLbls>
          <c:showLegendKey val="0"/>
          <c:showVal val="0"/>
          <c:showCatName val="0"/>
          <c:showSerName val="0"/>
          <c:showPercent val="0"/>
          <c:showBubbleSize val="0"/>
        </c:dLbls>
        <c:axId val="126026496"/>
        <c:axId val="126028800"/>
      </c:scatterChart>
      <c:valAx>
        <c:axId val="126026496"/>
        <c:scaling>
          <c:orientation val="minMax"/>
          <c:min val="1"/>
        </c:scaling>
        <c:delete val="0"/>
        <c:axPos val="b"/>
        <c:title>
          <c:tx>
            <c:rich>
              <a:bodyPr/>
              <a:lstStyle/>
              <a:p>
                <a:pPr>
                  <a:defRPr/>
                </a:pPr>
                <a:r>
                  <a:rPr lang="en-US" sz="1200"/>
                  <a:t>Spend</a:t>
                </a:r>
              </a:p>
            </c:rich>
          </c:tx>
          <c:layout>
            <c:manualLayout>
              <c:xMode val="edge"/>
              <c:yMode val="edge"/>
              <c:x val="0.43348243703579598"/>
              <c:y val="0.89929078014184405"/>
            </c:manualLayout>
          </c:layout>
          <c:overlay val="0"/>
        </c:title>
        <c:numFmt formatCode="_(* #,##0_);_(* \(#,##0\);_(* &quot;-&quot;_);_(@_)" sourceLinked="1"/>
        <c:majorTickMark val="none"/>
        <c:minorTickMark val="none"/>
        <c:tickLblPos val="nextTo"/>
        <c:crossAx val="126028800"/>
        <c:crosses val="autoZero"/>
        <c:crossBetween val="midCat"/>
        <c:dispUnits>
          <c:builtInUnit val="thousands"/>
          <c:dispUnitsLbl>
            <c:txPr>
              <a:bodyPr/>
              <a:lstStyle/>
              <a:p>
                <a:pPr>
                  <a:defRPr b="0" i="0"/>
                </a:pPr>
                <a:endParaRPr lang="en-US"/>
              </a:p>
            </c:txPr>
          </c:dispUnitsLbl>
        </c:dispUnits>
      </c:valAx>
      <c:valAx>
        <c:axId val="126028800"/>
        <c:scaling>
          <c:orientation val="minMax"/>
          <c:max val="5"/>
        </c:scaling>
        <c:delete val="0"/>
        <c:axPos val="l"/>
        <c:majorGridlines/>
        <c:title>
          <c:tx>
            <c:rich>
              <a:bodyPr/>
              <a:lstStyle/>
              <a:p>
                <a:pPr>
                  <a:defRPr sz="1200"/>
                </a:pPr>
                <a:r>
                  <a:rPr lang="en-US" sz="1200"/>
                  <a:t>Score</a:t>
                </a:r>
              </a:p>
            </c:rich>
          </c:tx>
          <c:overlay val="0"/>
        </c:title>
        <c:numFmt formatCode="_-* #,##0.0_-;\-* #,##0.0_-;_-* &quot;-&quot;_-;_-@_-" sourceLinked="1"/>
        <c:majorTickMark val="none"/>
        <c:minorTickMark val="none"/>
        <c:tickLblPos val="nextTo"/>
        <c:crossAx val="126026496"/>
        <c:crosses val="autoZero"/>
        <c:crossBetween val="midCat"/>
        <c:majorUnit val="1"/>
        <c:minorUnit val="0.1"/>
      </c:valAx>
    </c:plotArea>
    <c:legend>
      <c:legendPos val="r"/>
      <c:layout>
        <c:manualLayout>
          <c:xMode val="edge"/>
          <c:yMode val="edge"/>
          <c:x val="0.821326110831891"/>
          <c:y val="0.22683810800245699"/>
          <c:w val="0.15503322722957499"/>
          <c:h val="0.56972803931423499"/>
        </c:manualLayout>
      </c:layout>
      <c:overlay val="0"/>
    </c:legend>
    <c:plotVisOnly val="1"/>
    <c:dispBlanksAs val="gap"/>
    <c:showDLblsOverMax val="0"/>
  </c:chart>
  <c:printSettings>
    <c:headerFooter/>
    <c:pageMargins b="1" l="0.75" r="0.75" t="1" header="0.5" footer="0.5"/>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Score vs Spend: Impact Level</a:t>
            </a:r>
          </a:p>
        </c:rich>
      </c:tx>
      <c:overlay val="0"/>
    </c:title>
    <c:autoTitleDeleted val="0"/>
    <c:plotArea>
      <c:layout>
        <c:manualLayout>
          <c:layoutTarget val="inner"/>
          <c:xMode val="edge"/>
          <c:yMode val="edge"/>
          <c:x val="0.120232683680497"/>
          <c:y val="0.17943262411347499"/>
          <c:w val="0.66803205450382497"/>
          <c:h val="0.64770704193890705"/>
        </c:manualLayout>
      </c:layout>
      <c:scatterChart>
        <c:scatterStyle val="smoothMarker"/>
        <c:varyColors val="0"/>
        <c:ser>
          <c:idx val="0"/>
          <c:order val="0"/>
          <c:tx>
            <c:strRef>
              <c:f>Spend!$AG$22</c:f>
              <c:strCache>
                <c:ptCount val="1"/>
                <c:pt idx="0">
                  <c:v>Enugu</c:v>
                </c:pt>
              </c:strCache>
            </c:strRef>
          </c:tx>
          <c:marker>
            <c:symbol val="none"/>
          </c:marker>
          <c:xVal>
            <c:numRef>
              <c:f>Spend!$AH$22:$AL$22</c:f>
              <c:numCache>
                <c:formatCode>_(* #,##0_);_(* \(#,##0\);_(* "-"_);_(@_)</c:formatCode>
                <c:ptCount val="5"/>
                <c:pt idx="0">
                  <c:v>0</c:v>
                </c:pt>
                <c:pt idx="1">
                  <c:v>1353285.1508774792</c:v>
                </c:pt>
                <c:pt idx="2">
                  <c:v>1916163.9510442549</c:v>
                </c:pt>
                <c:pt idx="3">
                  <c:v>2318880.3891051346</c:v>
                </c:pt>
                <c:pt idx="4">
                  <c:v>2702746.6859438517</c:v>
                </c:pt>
              </c:numCache>
            </c:numRef>
          </c:xVal>
          <c:yVal>
            <c:numRef>
              <c:f>Spend!$AN$22:$AR$22</c:f>
              <c:numCache>
                <c:formatCode>_-* #,##0.0_-;\-* #,##0.0_-;_-* "-"_-;_-@_-</c:formatCode>
                <c:ptCount val="5"/>
                <c:pt idx="0">
                  <c:v>1.1222222222222222</c:v>
                </c:pt>
                <c:pt idx="1">
                  <c:v>1.8888888888888891</c:v>
                </c:pt>
                <c:pt idx="2">
                  <c:v>1.8611111111111109</c:v>
                </c:pt>
                <c:pt idx="3">
                  <c:v>1.9888888888888889</c:v>
                </c:pt>
                <c:pt idx="4">
                  <c:v>2.3088888888888888</c:v>
                </c:pt>
              </c:numCache>
            </c:numRef>
          </c:yVal>
          <c:smooth val="1"/>
        </c:ser>
        <c:ser>
          <c:idx val="1"/>
          <c:order val="1"/>
          <c:tx>
            <c:strRef>
              <c:f>Spend!$AG$23</c:f>
              <c:strCache>
                <c:ptCount val="1"/>
                <c:pt idx="0">
                  <c:v>Jigawa</c:v>
                </c:pt>
              </c:strCache>
            </c:strRef>
          </c:tx>
          <c:marker>
            <c:symbol val="none"/>
          </c:marker>
          <c:xVal>
            <c:numRef>
              <c:f>Spend!$AH$23:$AL$23</c:f>
              <c:numCache>
                <c:formatCode>_(* #,##0_);_(* \(#,##0\);_(* "-"_);_(@_)</c:formatCode>
                <c:ptCount val="5"/>
                <c:pt idx="0">
                  <c:v>0</c:v>
                </c:pt>
                <c:pt idx="1">
                  <c:v>1254668.5056774786</c:v>
                </c:pt>
                <c:pt idx="2">
                  <c:v>1787370.4559894102</c:v>
                </c:pt>
                <c:pt idx="3">
                  <c:v>2174093.426358711</c:v>
                </c:pt>
                <c:pt idx="4">
                  <c:v>2514848.3110316605</c:v>
                </c:pt>
              </c:numCache>
            </c:numRef>
          </c:xVal>
          <c:yVal>
            <c:numRef>
              <c:f>Spend!$AN$23:$AR$23</c:f>
              <c:numCache>
                <c:formatCode>_-* #,##0.0_-;\-* #,##0.0_-;_-* "-"_-;_-@_-</c:formatCode>
                <c:ptCount val="5"/>
                <c:pt idx="0">
                  <c:v>2.25</c:v>
                </c:pt>
                <c:pt idx="1">
                  <c:v>1.5694444444444444</c:v>
                </c:pt>
                <c:pt idx="2">
                  <c:v>1.9333333333333333</c:v>
                </c:pt>
                <c:pt idx="3">
                  <c:v>2.6999999999999997</c:v>
                </c:pt>
                <c:pt idx="4">
                  <c:v>3.0666666666666664</c:v>
                </c:pt>
              </c:numCache>
            </c:numRef>
          </c:yVal>
          <c:smooth val="1"/>
        </c:ser>
        <c:ser>
          <c:idx val="2"/>
          <c:order val="2"/>
          <c:tx>
            <c:strRef>
              <c:f>Spend!$AG$24</c:f>
              <c:strCache>
                <c:ptCount val="1"/>
                <c:pt idx="0">
                  <c:v>Kaduna</c:v>
                </c:pt>
              </c:strCache>
            </c:strRef>
          </c:tx>
          <c:marker>
            <c:symbol val="none"/>
          </c:marker>
          <c:xVal>
            <c:numRef>
              <c:f>Spend!$AH$24:$AL$24</c:f>
              <c:numCache>
                <c:formatCode>_(* #,##0_);_(* \(#,##0\);_(* "-"_);_(@_)</c:formatCode>
                <c:ptCount val="5"/>
                <c:pt idx="0">
                  <c:v>0</c:v>
                </c:pt>
                <c:pt idx="1">
                  <c:v>1301690.0420774792</c:v>
                </c:pt>
                <c:pt idx="2">
                  <c:v>1923017.2697182996</c:v>
                </c:pt>
                <c:pt idx="3">
                  <c:v>2342296.0200018571</c:v>
                </c:pt>
                <c:pt idx="4">
                  <c:v>2681405.6240273318</c:v>
                </c:pt>
              </c:numCache>
            </c:numRef>
          </c:xVal>
          <c:yVal>
            <c:numRef>
              <c:f>Spend!$AN$24:$AR$24</c:f>
              <c:numCache>
                <c:formatCode>_-* #,##0.0_-;\-* #,##0.0_-;_-* "-"_-;_-@_-</c:formatCode>
                <c:ptCount val="5"/>
                <c:pt idx="0">
                  <c:v>1.3499999999999999</c:v>
                </c:pt>
                <c:pt idx="1">
                  <c:v>1.3611111111111109</c:v>
                </c:pt>
                <c:pt idx="2">
                  <c:v>1.788888888888889</c:v>
                </c:pt>
                <c:pt idx="3">
                  <c:v>1.9222222222222223</c:v>
                </c:pt>
                <c:pt idx="4">
                  <c:v>1.9222222222222223</c:v>
                </c:pt>
              </c:numCache>
            </c:numRef>
          </c:yVal>
          <c:smooth val="1"/>
        </c:ser>
        <c:ser>
          <c:idx val="3"/>
          <c:order val="3"/>
          <c:tx>
            <c:strRef>
              <c:f>Spend!$AG$25</c:f>
              <c:strCache>
                <c:ptCount val="1"/>
                <c:pt idx="0">
                  <c:v>Kano</c:v>
                </c:pt>
              </c:strCache>
            </c:strRef>
          </c:tx>
          <c:marker>
            <c:symbol val="none"/>
          </c:marker>
          <c:xVal>
            <c:numRef>
              <c:f>Spend!$AH$25:$AL$25</c:f>
              <c:numCache>
                <c:formatCode>_(* #,##0_);_(* \(#,##0\);_(* "-"_);_(@_)</c:formatCode>
                <c:ptCount val="5"/>
                <c:pt idx="0">
                  <c:v>0</c:v>
                </c:pt>
                <c:pt idx="1">
                  <c:v>1294438.8056774789</c:v>
                </c:pt>
                <c:pt idx="2">
                  <c:v>1924836.7671224135</c:v>
                </c:pt>
                <c:pt idx="3">
                  <c:v>2314382.6714072064</c:v>
                </c:pt>
                <c:pt idx="4">
                  <c:v>2699084.6881498732</c:v>
                </c:pt>
              </c:numCache>
            </c:numRef>
          </c:xVal>
          <c:yVal>
            <c:numRef>
              <c:f>Spend!$AN$25:$AR$25</c:f>
              <c:numCache>
                <c:formatCode>_-* #,##0.0_-;\-* #,##0.0_-;_-* "-"_-;_-@_-</c:formatCode>
                <c:ptCount val="5"/>
                <c:pt idx="0">
                  <c:v>1.1111111111111112</c:v>
                </c:pt>
                <c:pt idx="1">
                  <c:v>1.4166666666666667</c:v>
                </c:pt>
                <c:pt idx="2">
                  <c:v>1.6944444444444444</c:v>
                </c:pt>
                <c:pt idx="3">
                  <c:v>1.8666666666666665</c:v>
                </c:pt>
                <c:pt idx="4">
                  <c:v>2</c:v>
                </c:pt>
              </c:numCache>
            </c:numRef>
          </c:yVal>
          <c:smooth val="1"/>
        </c:ser>
        <c:ser>
          <c:idx val="4"/>
          <c:order val="4"/>
          <c:tx>
            <c:strRef>
              <c:f>Spend!$AG$26</c:f>
              <c:strCache>
                <c:ptCount val="1"/>
                <c:pt idx="0">
                  <c:v>Lagos</c:v>
                </c:pt>
              </c:strCache>
            </c:strRef>
          </c:tx>
          <c:marker>
            <c:symbol val="none"/>
          </c:marker>
          <c:xVal>
            <c:numRef>
              <c:f>Spend!$AH$26:$AL$26</c:f>
              <c:numCache>
                <c:formatCode>_(* #,##0_);_(* \(#,##0\);_(* "-"_);_(@_)</c:formatCode>
                <c:ptCount val="5"/>
                <c:pt idx="0">
                  <c:v>0</c:v>
                </c:pt>
                <c:pt idx="1">
                  <c:v>1444657.7800151857</c:v>
                </c:pt>
                <c:pt idx="2">
                  <c:v>2278077.6492500771</c:v>
                </c:pt>
                <c:pt idx="3">
                  <c:v>2728439.4693968836</c:v>
                </c:pt>
                <c:pt idx="4">
                  <c:v>3174969.3942392473</c:v>
                </c:pt>
              </c:numCache>
            </c:numRef>
          </c:xVal>
          <c:yVal>
            <c:numRef>
              <c:f>Spend!$AN$26:$AR$26</c:f>
              <c:numCache>
                <c:formatCode>_-* #,##0.0_-;\-* #,##0.0_-;_-* "-"_-;_-@_-</c:formatCode>
                <c:ptCount val="5"/>
                <c:pt idx="0">
                  <c:v>1.4166666666666667</c:v>
                </c:pt>
                <c:pt idx="1">
                  <c:v>1.3611111111111109</c:v>
                </c:pt>
                <c:pt idx="2">
                  <c:v>1.9277777777777778</c:v>
                </c:pt>
                <c:pt idx="3">
                  <c:v>2.1833333333333331</c:v>
                </c:pt>
                <c:pt idx="4">
                  <c:v>2.0166666666666671</c:v>
                </c:pt>
              </c:numCache>
            </c:numRef>
          </c:yVal>
          <c:smooth val="1"/>
        </c:ser>
        <c:ser>
          <c:idx val="5"/>
          <c:order val="5"/>
          <c:tx>
            <c:strRef>
              <c:f>Spend!$AG$27</c:f>
              <c:strCache>
                <c:ptCount val="1"/>
                <c:pt idx="0">
                  <c:v>Zamfara</c:v>
                </c:pt>
              </c:strCache>
            </c:strRef>
          </c:tx>
          <c:marker>
            <c:symbol val="none"/>
          </c:marker>
          <c:xVal>
            <c:numRef>
              <c:f>Spend!$AH$27:$AL$27</c:f>
              <c:numCache>
                <c:formatCode>_(* #,##0_);_(* \(#,##0\);_(* "-"_);_(@_)</c:formatCode>
                <c:ptCount val="5"/>
                <c:pt idx="0">
                  <c:v>0</c:v>
                </c:pt>
                <c:pt idx="1">
                  <c:v>0</c:v>
                </c:pt>
                <c:pt idx="2">
                  <c:v>343788.32869267726</c:v>
                </c:pt>
                <c:pt idx="3">
                  <c:v>630547.4447010986</c:v>
                </c:pt>
                <c:pt idx="4">
                  <c:v>1019086.0307158662</c:v>
                </c:pt>
              </c:numCache>
            </c:numRef>
          </c:xVal>
          <c:yVal>
            <c:numRef>
              <c:f>Spend!$AN$27:$AR$27</c:f>
              <c:numCache>
                <c:formatCode>_-* #,##0.0_-;\-* #,##0.0_-;_-* "-"_-;_-@_-</c:formatCode>
                <c:ptCount val="5"/>
                <c:pt idx="0">
                  <c:v>0.93333333333333324</c:v>
                </c:pt>
                <c:pt idx="1">
                  <c:v>0.93333333333333324</c:v>
                </c:pt>
                <c:pt idx="2">
                  <c:v>0.96111111111111114</c:v>
                </c:pt>
                <c:pt idx="3">
                  <c:v>1.1611111111111112</c:v>
                </c:pt>
                <c:pt idx="4">
                  <c:v>1.8277777777777777</c:v>
                </c:pt>
              </c:numCache>
            </c:numRef>
          </c:yVal>
          <c:smooth val="1"/>
        </c:ser>
        <c:ser>
          <c:idx val="6"/>
          <c:order val="6"/>
          <c:tx>
            <c:strRef>
              <c:f>Spend!$AG$28</c:f>
              <c:strCache>
                <c:ptCount val="1"/>
                <c:pt idx="0">
                  <c:v>Katsina</c:v>
                </c:pt>
              </c:strCache>
            </c:strRef>
          </c:tx>
          <c:marker>
            <c:symbol val="none"/>
          </c:marker>
          <c:xVal>
            <c:numRef>
              <c:f>Spend!$AH$28:$AL$28</c:f>
              <c:numCache>
                <c:formatCode>_(* #,##0_);_(* \(#,##0\);_(* "-"_);_(@_)</c:formatCode>
                <c:ptCount val="5"/>
                <c:pt idx="0">
                  <c:v>0</c:v>
                </c:pt>
                <c:pt idx="1">
                  <c:v>0</c:v>
                </c:pt>
                <c:pt idx="2">
                  <c:v>342262.62844372983</c:v>
                </c:pt>
                <c:pt idx="3">
                  <c:v>576490.06040107564</c:v>
                </c:pt>
                <c:pt idx="4">
                  <c:v>890353.20797513635</c:v>
                </c:pt>
              </c:numCache>
            </c:numRef>
          </c:xVal>
          <c:yVal>
            <c:numRef>
              <c:f>Spend!$AN$28:$AR$28</c:f>
              <c:numCache>
                <c:formatCode>_-* #,##0.0_-;\-* #,##0.0_-;_-* "-"_-;_-@_-</c:formatCode>
                <c:ptCount val="5"/>
                <c:pt idx="0">
                  <c:v>1.3666666666666665</c:v>
                </c:pt>
                <c:pt idx="1">
                  <c:v>1.3666666666666665</c:v>
                </c:pt>
                <c:pt idx="2">
                  <c:v>1.3944444444444442</c:v>
                </c:pt>
                <c:pt idx="3">
                  <c:v>1.2666666666666666</c:v>
                </c:pt>
                <c:pt idx="4">
                  <c:v>2.0533333333333332</c:v>
                </c:pt>
              </c:numCache>
            </c:numRef>
          </c:yVal>
          <c:smooth val="1"/>
        </c:ser>
        <c:ser>
          <c:idx val="7"/>
          <c:order val="7"/>
          <c:tx>
            <c:strRef>
              <c:f>Spend!$AG$29</c:f>
              <c:strCache>
                <c:ptCount val="1"/>
                <c:pt idx="0">
                  <c:v>Yobe</c:v>
                </c:pt>
              </c:strCache>
            </c:strRef>
          </c:tx>
          <c:marker>
            <c:symbol val="none"/>
          </c:marker>
          <c:xVal>
            <c:numRef>
              <c:f>Spend!$AH$29:$AL$29</c:f>
              <c:numCache>
                <c:formatCode>_(* #,##0_);_(* \(#,##0\);_(* "-"_);_(@_)</c:formatCode>
                <c:ptCount val="5"/>
                <c:pt idx="0">
                  <c:v>0</c:v>
                </c:pt>
                <c:pt idx="1">
                  <c:v>0</c:v>
                </c:pt>
                <c:pt idx="2">
                  <c:v>356124.3675565368</c:v>
                </c:pt>
                <c:pt idx="3">
                  <c:v>673452.90929884859</c:v>
                </c:pt>
                <c:pt idx="4">
                  <c:v>1000999.481379293</c:v>
                </c:pt>
              </c:numCache>
            </c:numRef>
          </c:xVal>
          <c:yVal>
            <c:numRef>
              <c:f>Spend!$AN$29:$AR$29</c:f>
              <c:numCache>
                <c:formatCode>_-* #,##0.0_-;\-* #,##0.0_-;_-* "-"_-;_-@_-</c:formatCode>
                <c:ptCount val="5"/>
                <c:pt idx="0">
                  <c:v>1.0611111111111111</c:v>
                </c:pt>
                <c:pt idx="1">
                  <c:v>1.0611111111111111</c:v>
                </c:pt>
                <c:pt idx="2">
                  <c:v>1.0611111111111111</c:v>
                </c:pt>
                <c:pt idx="3">
                  <c:v>2.0611111111111109</c:v>
                </c:pt>
                <c:pt idx="4">
                  <c:v>2.4911111111111111</c:v>
                </c:pt>
              </c:numCache>
            </c:numRef>
          </c:yVal>
          <c:smooth val="1"/>
        </c:ser>
        <c:dLbls>
          <c:showLegendKey val="0"/>
          <c:showVal val="0"/>
          <c:showCatName val="0"/>
          <c:showSerName val="0"/>
          <c:showPercent val="0"/>
          <c:showBubbleSize val="0"/>
        </c:dLbls>
        <c:axId val="126083840"/>
        <c:axId val="126086144"/>
      </c:scatterChart>
      <c:valAx>
        <c:axId val="126083840"/>
        <c:scaling>
          <c:orientation val="minMax"/>
          <c:min val="1"/>
        </c:scaling>
        <c:delete val="0"/>
        <c:axPos val="b"/>
        <c:title>
          <c:tx>
            <c:rich>
              <a:bodyPr/>
              <a:lstStyle/>
              <a:p>
                <a:pPr>
                  <a:defRPr/>
                </a:pPr>
                <a:r>
                  <a:rPr lang="en-US" sz="1200"/>
                  <a:t>Spend</a:t>
                </a:r>
              </a:p>
            </c:rich>
          </c:tx>
          <c:layout>
            <c:manualLayout>
              <c:xMode val="edge"/>
              <c:yMode val="edge"/>
              <c:x val="0.43348243703579598"/>
              <c:y val="0.89929078014184405"/>
            </c:manualLayout>
          </c:layout>
          <c:overlay val="0"/>
        </c:title>
        <c:numFmt formatCode="_(* #,##0_);_(* \(#,##0\);_(* &quot;-&quot;_);_(@_)" sourceLinked="1"/>
        <c:majorTickMark val="none"/>
        <c:minorTickMark val="none"/>
        <c:tickLblPos val="nextTo"/>
        <c:crossAx val="126086144"/>
        <c:crosses val="autoZero"/>
        <c:crossBetween val="midCat"/>
        <c:dispUnits>
          <c:builtInUnit val="thousands"/>
          <c:dispUnitsLbl>
            <c:txPr>
              <a:bodyPr/>
              <a:lstStyle/>
              <a:p>
                <a:pPr>
                  <a:defRPr b="0" i="0"/>
                </a:pPr>
                <a:endParaRPr lang="en-US"/>
              </a:p>
            </c:txPr>
          </c:dispUnitsLbl>
        </c:dispUnits>
      </c:valAx>
      <c:valAx>
        <c:axId val="126086144"/>
        <c:scaling>
          <c:orientation val="minMax"/>
          <c:max val="5"/>
        </c:scaling>
        <c:delete val="0"/>
        <c:axPos val="l"/>
        <c:majorGridlines/>
        <c:title>
          <c:tx>
            <c:rich>
              <a:bodyPr/>
              <a:lstStyle/>
              <a:p>
                <a:pPr>
                  <a:defRPr sz="1200"/>
                </a:pPr>
                <a:r>
                  <a:rPr lang="en-US" sz="1200"/>
                  <a:t>Score</a:t>
                </a:r>
              </a:p>
            </c:rich>
          </c:tx>
          <c:overlay val="0"/>
        </c:title>
        <c:numFmt formatCode="_-* #,##0.0_-;\-* #,##0.0_-;_-* &quot;-&quot;_-;_-@_-" sourceLinked="1"/>
        <c:majorTickMark val="none"/>
        <c:minorTickMark val="none"/>
        <c:tickLblPos val="nextTo"/>
        <c:crossAx val="126083840"/>
        <c:crosses val="autoZero"/>
        <c:crossBetween val="midCat"/>
        <c:majorUnit val="1"/>
        <c:minorUnit val="0.1"/>
      </c:valAx>
    </c:plotArea>
    <c:legend>
      <c:legendPos val="r"/>
      <c:layout>
        <c:manualLayout>
          <c:xMode val="edge"/>
          <c:yMode val="edge"/>
          <c:x val="0.821326110831891"/>
          <c:y val="0.22683810800245699"/>
          <c:w val="0.15503322722957499"/>
          <c:h val="0.56972803931423499"/>
        </c:manualLayout>
      </c:layout>
      <c:overlay val="0"/>
    </c:legend>
    <c:plotVisOnly val="1"/>
    <c:dispBlanksAs val="gap"/>
    <c:showDLblsOverMax val="0"/>
  </c:chart>
  <c:printSettings>
    <c:headerFooter/>
    <c:pageMargins b="1" l="0.75" r="0.75"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Score vs Spend: Output 5 - Incl</a:t>
            </a:r>
            <a:r>
              <a:rPr lang="en-US" baseline="0"/>
              <a:t> </a:t>
            </a:r>
            <a:r>
              <a:rPr lang="en-US"/>
              <a:t>Abuja &amp; UK/Intl</a:t>
            </a:r>
          </a:p>
        </c:rich>
      </c:tx>
      <c:layout>
        <c:manualLayout>
          <c:xMode val="edge"/>
          <c:yMode val="edge"/>
          <c:x val="0.13082398791060201"/>
          <c:y val="2.54957507082153E-2"/>
        </c:manualLayout>
      </c:layout>
      <c:overlay val="0"/>
    </c:title>
    <c:autoTitleDeleted val="0"/>
    <c:plotArea>
      <c:layout>
        <c:manualLayout>
          <c:layoutTarget val="inner"/>
          <c:xMode val="edge"/>
          <c:yMode val="edge"/>
          <c:x val="0.120232683680497"/>
          <c:y val="0.17943262411347499"/>
          <c:w val="0.66803205450382497"/>
          <c:h val="0.64770704193890705"/>
        </c:manualLayout>
      </c:layout>
      <c:scatterChart>
        <c:scatterStyle val="smoothMarker"/>
        <c:varyColors val="0"/>
        <c:ser>
          <c:idx val="0"/>
          <c:order val="0"/>
          <c:tx>
            <c:strRef>
              <c:f>Spend!$AG$566</c:f>
              <c:strCache>
                <c:ptCount val="1"/>
                <c:pt idx="0">
                  <c:v>Enugu</c:v>
                </c:pt>
              </c:strCache>
            </c:strRef>
          </c:tx>
          <c:marker>
            <c:symbol val="none"/>
          </c:marker>
          <c:xVal>
            <c:numRef>
              <c:f>Spend!$AH$566:$AL$566</c:f>
              <c:numCache>
                <c:formatCode>_(* #,##0_);_(* \(#,##0\);_(* "-"_);_(@_)</c:formatCode>
                <c:ptCount val="5"/>
                <c:pt idx="0">
                  <c:v>0</c:v>
                </c:pt>
                <c:pt idx="1">
                  <c:v>268342.30077722727</c:v>
                </c:pt>
                <c:pt idx="2">
                  <c:v>303218.33327762788</c:v>
                </c:pt>
                <c:pt idx="3">
                  <c:v>335250.4007446061</c:v>
                </c:pt>
                <c:pt idx="4">
                  <c:v>373046.37561177782</c:v>
                </c:pt>
              </c:numCache>
            </c:numRef>
          </c:xVal>
          <c:yVal>
            <c:numRef>
              <c:f>Spend!$AN$566:$AR$566</c:f>
              <c:numCache>
                <c:formatCode>_-* #,##0.0_-;\-* #,##0.0_-;_-* "-"_-;_-@_-</c:formatCode>
                <c:ptCount val="5"/>
                <c:pt idx="0">
                  <c:v>0</c:v>
                </c:pt>
                <c:pt idx="1">
                  <c:v>0.25</c:v>
                </c:pt>
                <c:pt idx="2">
                  <c:v>0.625</c:v>
                </c:pt>
                <c:pt idx="3">
                  <c:v>1.9583333333333333</c:v>
                </c:pt>
                <c:pt idx="4">
                  <c:v>1.625</c:v>
                </c:pt>
              </c:numCache>
            </c:numRef>
          </c:yVal>
          <c:smooth val="1"/>
        </c:ser>
        <c:ser>
          <c:idx val="1"/>
          <c:order val="1"/>
          <c:tx>
            <c:strRef>
              <c:f>Spend!$AG$567</c:f>
              <c:strCache>
                <c:ptCount val="1"/>
                <c:pt idx="0">
                  <c:v>Jigawa</c:v>
                </c:pt>
              </c:strCache>
            </c:strRef>
          </c:tx>
          <c:marker>
            <c:symbol val="none"/>
          </c:marker>
          <c:xVal>
            <c:numRef>
              <c:f>Spend!$AH$567:$AL$567</c:f>
              <c:numCache>
                <c:formatCode>_(* #,##0_);_(* \(#,##0\);_(* "-"_);_(@_)</c:formatCode>
                <c:ptCount val="5"/>
                <c:pt idx="0">
                  <c:v>0</c:v>
                </c:pt>
                <c:pt idx="1">
                  <c:v>261061.02685301664</c:v>
                </c:pt>
                <c:pt idx="2">
                  <c:v>301434.63996183831</c:v>
                </c:pt>
                <c:pt idx="3">
                  <c:v>329914.84354092181</c:v>
                </c:pt>
                <c:pt idx="4">
                  <c:v>376447.12223839655</c:v>
                </c:pt>
              </c:numCache>
            </c:numRef>
          </c:xVal>
          <c:yVal>
            <c:numRef>
              <c:f>Spend!$AN$567:$AR$567</c:f>
              <c:numCache>
                <c:formatCode>_-* #,##0.0_-;\-* #,##0.0_-;_-* "-"_-;_-@_-</c:formatCode>
                <c:ptCount val="5"/>
                <c:pt idx="0">
                  <c:v>0</c:v>
                </c:pt>
                <c:pt idx="1">
                  <c:v>0.375</c:v>
                </c:pt>
                <c:pt idx="2">
                  <c:v>1.25</c:v>
                </c:pt>
                <c:pt idx="3">
                  <c:v>1.6041666666666667</c:v>
                </c:pt>
                <c:pt idx="4">
                  <c:v>3.1666666666666665</c:v>
                </c:pt>
              </c:numCache>
            </c:numRef>
          </c:yVal>
          <c:smooth val="1"/>
        </c:ser>
        <c:ser>
          <c:idx val="2"/>
          <c:order val="2"/>
          <c:tx>
            <c:strRef>
              <c:f>Spend!$AG$568</c:f>
              <c:strCache>
                <c:ptCount val="1"/>
                <c:pt idx="0">
                  <c:v>Kaduna</c:v>
                </c:pt>
              </c:strCache>
            </c:strRef>
          </c:tx>
          <c:marker>
            <c:symbol val="none"/>
          </c:marker>
          <c:xVal>
            <c:numRef>
              <c:f>Spend!$AH$568:$AL$568</c:f>
              <c:numCache>
                <c:formatCode>_(* #,##0_);_(* \(#,##0\);_(* "-"_);_(@_)</c:formatCode>
                <c:ptCount val="5"/>
                <c:pt idx="0">
                  <c:v>0</c:v>
                </c:pt>
                <c:pt idx="1">
                  <c:v>259655.46031827983</c:v>
                </c:pt>
                <c:pt idx="2">
                  <c:v>358970.64695657516</c:v>
                </c:pt>
                <c:pt idx="3">
                  <c:v>390219.71828563575</c:v>
                </c:pt>
                <c:pt idx="4">
                  <c:v>430180.51632856508</c:v>
                </c:pt>
              </c:numCache>
            </c:numRef>
          </c:xVal>
          <c:yVal>
            <c:numRef>
              <c:f>Spend!$AN$568:$AR$568</c:f>
              <c:numCache>
                <c:formatCode>_-* #,##0.0_-;\-* #,##0.0_-;_-* "-"_-;_-@_-</c:formatCode>
                <c:ptCount val="5"/>
                <c:pt idx="0">
                  <c:v>0.375</c:v>
                </c:pt>
                <c:pt idx="1">
                  <c:v>1.375</c:v>
                </c:pt>
                <c:pt idx="2">
                  <c:v>2</c:v>
                </c:pt>
                <c:pt idx="3">
                  <c:v>1.7083333333333333</c:v>
                </c:pt>
                <c:pt idx="4">
                  <c:v>2.2083333333333335</c:v>
                </c:pt>
              </c:numCache>
            </c:numRef>
          </c:yVal>
          <c:smooth val="1"/>
        </c:ser>
        <c:ser>
          <c:idx val="3"/>
          <c:order val="3"/>
          <c:tx>
            <c:strRef>
              <c:f>Spend!$AG$569</c:f>
              <c:strCache>
                <c:ptCount val="1"/>
                <c:pt idx="0">
                  <c:v>Kano</c:v>
                </c:pt>
              </c:strCache>
            </c:strRef>
          </c:tx>
          <c:marker>
            <c:symbol val="none"/>
          </c:marker>
          <c:xVal>
            <c:numRef>
              <c:f>Spend!$AH$569:$AL$569</c:f>
              <c:numCache>
                <c:formatCode>_(* #,##0_);_(* \(#,##0\);_(* "-"_);_(@_)</c:formatCode>
                <c:ptCount val="5"/>
                <c:pt idx="0">
                  <c:v>0</c:v>
                </c:pt>
                <c:pt idx="1">
                  <c:v>267920.19477722718</c:v>
                </c:pt>
                <c:pt idx="2">
                  <c:v>337139.05957762775</c:v>
                </c:pt>
                <c:pt idx="3">
                  <c:v>393317.35685764946</c:v>
                </c:pt>
                <c:pt idx="4">
                  <c:v>437521.03922381112</c:v>
                </c:pt>
              </c:numCache>
            </c:numRef>
          </c:xVal>
          <c:yVal>
            <c:numRef>
              <c:f>Spend!$AN$569:$AR$569</c:f>
              <c:numCache>
                <c:formatCode>_-* #,##0.0_-;\-* #,##0.0_-;_-* "-"_-;_-@_-</c:formatCode>
                <c:ptCount val="5"/>
                <c:pt idx="0">
                  <c:v>0</c:v>
                </c:pt>
                <c:pt idx="1">
                  <c:v>1.625</c:v>
                </c:pt>
                <c:pt idx="2">
                  <c:v>2.25</c:v>
                </c:pt>
                <c:pt idx="3">
                  <c:v>1.9166666666666667</c:v>
                </c:pt>
                <c:pt idx="4">
                  <c:v>3.0208333333333335</c:v>
                </c:pt>
              </c:numCache>
            </c:numRef>
          </c:yVal>
          <c:smooth val="1"/>
        </c:ser>
        <c:ser>
          <c:idx val="4"/>
          <c:order val="4"/>
          <c:tx>
            <c:strRef>
              <c:f>Spend!$AG$570</c:f>
              <c:strCache>
                <c:ptCount val="1"/>
                <c:pt idx="0">
                  <c:v>Lagos</c:v>
                </c:pt>
              </c:strCache>
            </c:strRef>
          </c:tx>
          <c:marker>
            <c:symbol val="none"/>
          </c:marker>
          <c:xVal>
            <c:numRef>
              <c:f>Spend!$AH$570:$AL$570</c:f>
              <c:numCache>
                <c:formatCode>_(* #,##0_);_(* \(#,##0\);_(* "-"_);_(@_)</c:formatCode>
                <c:ptCount val="5"/>
                <c:pt idx="0">
                  <c:v>0</c:v>
                </c:pt>
                <c:pt idx="1">
                  <c:v>262382.0924614378</c:v>
                </c:pt>
                <c:pt idx="2">
                  <c:v>372074.08149341732</c:v>
                </c:pt>
                <c:pt idx="3">
                  <c:v>424767.14941611636</c:v>
                </c:pt>
                <c:pt idx="4">
                  <c:v>470051.02869136888</c:v>
                </c:pt>
              </c:numCache>
            </c:numRef>
          </c:xVal>
          <c:yVal>
            <c:numRef>
              <c:f>Spend!$AN$570:$AR$570</c:f>
              <c:numCache>
                <c:formatCode>_-* #,##0.0_-;\-* #,##0.0_-;_-* "-"_-;_-@_-</c:formatCode>
                <c:ptCount val="5"/>
                <c:pt idx="0">
                  <c:v>0.75</c:v>
                </c:pt>
                <c:pt idx="1">
                  <c:v>1.875</c:v>
                </c:pt>
                <c:pt idx="2">
                  <c:v>1.5</c:v>
                </c:pt>
                <c:pt idx="3">
                  <c:v>2.0625</c:v>
                </c:pt>
                <c:pt idx="4">
                  <c:v>3.1041666666666665</c:v>
                </c:pt>
              </c:numCache>
            </c:numRef>
          </c:yVal>
          <c:smooth val="1"/>
        </c:ser>
        <c:ser>
          <c:idx val="5"/>
          <c:order val="5"/>
          <c:tx>
            <c:strRef>
              <c:f>Spend!$AG$571</c:f>
              <c:strCache>
                <c:ptCount val="1"/>
                <c:pt idx="0">
                  <c:v>Zamfara</c:v>
                </c:pt>
              </c:strCache>
            </c:strRef>
          </c:tx>
          <c:marker>
            <c:symbol val="none"/>
          </c:marker>
          <c:xVal>
            <c:numRef>
              <c:f>Spend!$AH$571:$AL$571</c:f>
              <c:numCache>
                <c:formatCode>_(* #,##0_);_(* \(#,##0\);_(* "-"_);_(@_)</c:formatCode>
                <c:ptCount val="5"/>
                <c:pt idx="0">
                  <c:v>0</c:v>
                </c:pt>
                <c:pt idx="1">
                  <c:v>0</c:v>
                </c:pt>
                <c:pt idx="2">
                  <c:v>21654.280850624164</c:v>
                </c:pt>
                <c:pt idx="3">
                  <c:v>41692.085030819762</c:v>
                </c:pt>
                <c:pt idx="4">
                  <c:v>79325.962205062184</c:v>
                </c:pt>
              </c:numCache>
            </c:numRef>
          </c:xVal>
          <c:yVal>
            <c:numRef>
              <c:f>Spend!$AN$571:$AR$571</c:f>
              <c:numCache>
                <c:formatCode>_-* #,##0.0_-;\-* #,##0.0_-;_-* "-"_-;_-@_-</c:formatCode>
                <c:ptCount val="5"/>
                <c:pt idx="0">
                  <c:v>0</c:v>
                </c:pt>
                <c:pt idx="1">
                  <c:v>0</c:v>
                </c:pt>
                <c:pt idx="2">
                  <c:v>0.5</c:v>
                </c:pt>
                <c:pt idx="3">
                  <c:v>0.35416666666666669</c:v>
                </c:pt>
                <c:pt idx="4">
                  <c:v>0.64583333333333337</c:v>
                </c:pt>
              </c:numCache>
            </c:numRef>
          </c:yVal>
          <c:smooth val="1"/>
        </c:ser>
        <c:ser>
          <c:idx val="6"/>
          <c:order val="6"/>
          <c:tx>
            <c:strRef>
              <c:f>Spend!$AG$572</c:f>
              <c:strCache>
                <c:ptCount val="1"/>
                <c:pt idx="0">
                  <c:v>Katsina</c:v>
                </c:pt>
              </c:strCache>
            </c:strRef>
          </c:tx>
          <c:marker>
            <c:symbol val="none"/>
          </c:marker>
          <c:xVal>
            <c:numRef>
              <c:f>Spend!$AH$572:$AL$572</c:f>
              <c:numCache>
                <c:formatCode>_(* #,##0_);_(* \(#,##0\);_(* "-"_);_(@_)</c:formatCode>
                <c:ptCount val="5"/>
                <c:pt idx="0">
                  <c:v>0</c:v>
                </c:pt>
                <c:pt idx="1">
                  <c:v>0</c:v>
                </c:pt>
                <c:pt idx="2">
                  <c:v>21482.785316939953</c:v>
                </c:pt>
                <c:pt idx="3">
                  <c:v>41226.446607410158</c:v>
                </c:pt>
                <c:pt idx="4">
                  <c:v>83617.782862460677</c:v>
                </c:pt>
              </c:numCache>
            </c:numRef>
          </c:xVal>
          <c:yVal>
            <c:numRef>
              <c:f>Spend!$AN$572:$AR$572</c:f>
              <c:numCache>
                <c:formatCode>_-* #,##0.0_-;\-* #,##0.0_-;_-* "-"_-;_-@_-</c:formatCode>
                <c:ptCount val="5"/>
                <c:pt idx="0">
                  <c:v>0</c:v>
                </c:pt>
                <c:pt idx="1">
                  <c:v>0</c:v>
                </c:pt>
                <c:pt idx="2">
                  <c:v>0.125</c:v>
                </c:pt>
                <c:pt idx="3">
                  <c:v>0.35416666666666669</c:v>
                </c:pt>
                <c:pt idx="4">
                  <c:v>2.2083333333333335</c:v>
                </c:pt>
              </c:numCache>
            </c:numRef>
          </c:yVal>
          <c:smooth val="1"/>
        </c:ser>
        <c:ser>
          <c:idx val="7"/>
          <c:order val="7"/>
          <c:tx>
            <c:strRef>
              <c:f>Spend!$AG$573</c:f>
              <c:strCache>
                <c:ptCount val="1"/>
                <c:pt idx="0">
                  <c:v>Yobe</c:v>
                </c:pt>
              </c:strCache>
            </c:strRef>
          </c:tx>
          <c:marker>
            <c:symbol val="none"/>
          </c:marker>
          <c:xVal>
            <c:numRef>
              <c:f>Spend!$AH$573:$AL$573</c:f>
              <c:numCache>
                <c:formatCode>_(* #,##0_);_(* \(#,##0\);_(* "-"_);_(@_)</c:formatCode>
                <c:ptCount val="5"/>
                <c:pt idx="0">
                  <c:v>0</c:v>
                </c:pt>
                <c:pt idx="1">
                  <c:v>0</c:v>
                </c:pt>
                <c:pt idx="2">
                  <c:v>25510.229273782053</c:v>
                </c:pt>
                <c:pt idx="3">
                  <c:v>79515.456036723655</c:v>
                </c:pt>
                <c:pt idx="4">
                  <c:v>124019.56443318829</c:v>
                </c:pt>
              </c:numCache>
            </c:numRef>
          </c:xVal>
          <c:yVal>
            <c:numRef>
              <c:f>Spend!$AN$573:$AR$573</c:f>
              <c:numCache>
                <c:formatCode>_-* #,##0.0_-;\-* #,##0.0_-;_-* "-"_-;_-@_-</c:formatCode>
                <c:ptCount val="5"/>
                <c:pt idx="0">
                  <c:v>0</c:v>
                </c:pt>
                <c:pt idx="1">
                  <c:v>0</c:v>
                </c:pt>
                <c:pt idx="2">
                  <c:v>0.125</c:v>
                </c:pt>
                <c:pt idx="3">
                  <c:v>0.1875</c:v>
                </c:pt>
                <c:pt idx="4">
                  <c:v>1.4166666666666667</c:v>
                </c:pt>
              </c:numCache>
            </c:numRef>
          </c:yVal>
          <c:smooth val="1"/>
        </c:ser>
        <c:ser>
          <c:idx val="8"/>
          <c:order val="8"/>
          <c:tx>
            <c:strRef>
              <c:f>Spend!$AG$576</c:f>
              <c:strCache>
                <c:ptCount val="1"/>
                <c:pt idx="0">
                  <c:v>Abuja</c:v>
                </c:pt>
              </c:strCache>
            </c:strRef>
          </c:tx>
          <c:marker>
            <c:symbol val="none"/>
          </c:marker>
          <c:xVal>
            <c:numRef>
              <c:f>Spend!$AH$576:$AL$576</c:f>
              <c:numCache>
                <c:formatCode>_(* #,##0_);_(* \(#,##0\);_(* "-"_);_(@_)</c:formatCode>
                <c:ptCount val="5"/>
                <c:pt idx="0">
                  <c:v>0</c:v>
                </c:pt>
                <c:pt idx="1">
                  <c:v>458439.48696000001</c:v>
                </c:pt>
                <c:pt idx="2">
                  <c:v>846565.13201279996</c:v>
                </c:pt>
                <c:pt idx="3">
                  <c:v>880076.1464367999</c:v>
                </c:pt>
                <c:pt idx="4">
                  <c:v>911429.60685245646</c:v>
                </c:pt>
              </c:numCache>
            </c:numRef>
          </c:xVal>
          <c:yVal>
            <c:numRef>
              <c:f>Spend!$AN$576:$AR$576</c:f>
              <c:numCache>
                <c:formatCode>_-* #,##0.0_-;\-* #,##0.0_-;_-* "-"_-;_-@_-</c:formatCode>
                <c:ptCount val="5"/>
                <c:pt idx="0">
                  <c:v>0</c:v>
                </c:pt>
                <c:pt idx="1">
                  <c:v>1.25</c:v>
                </c:pt>
                <c:pt idx="2">
                  <c:v>3.625</c:v>
                </c:pt>
                <c:pt idx="3">
                  <c:v>3.75</c:v>
                </c:pt>
                <c:pt idx="4">
                  <c:v>6.8125</c:v>
                </c:pt>
              </c:numCache>
            </c:numRef>
          </c:yVal>
          <c:smooth val="1"/>
        </c:ser>
        <c:ser>
          <c:idx val="9"/>
          <c:order val="9"/>
          <c:tx>
            <c:strRef>
              <c:f>Spend!$AG$577</c:f>
              <c:strCache>
                <c:ptCount val="1"/>
                <c:pt idx="0">
                  <c:v>UK/Intl</c:v>
                </c:pt>
              </c:strCache>
            </c:strRef>
          </c:tx>
          <c:marker>
            <c:symbol val="none"/>
          </c:marker>
          <c:xVal>
            <c:numRef>
              <c:f>Spend!$AH$577:$AL$577</c:f>
              <c:numCache>
                <c:formatCode>_(* #,##0_);_(* \(#,##0\);_(* "-"_);_(@_)</c:formatCode>
                <c:ptCount val="5"/>
                <c:pt idx="0">
                  <c:v>0</c:v>
                </c:pt>
                <c:pt idx="1">
                  <c:v>0</c:v>
                </c:pt>
                <c:pt idx="2">
                  <c:v>0</c:v>
                </c:pt>
                <c:pt idx="3">
                  <c:v>6685</c:v>
                </c:pt>
                <c:pt idx="4">
                  <c:v>39920.210415656577</c:v>
                </c:pt>
              </c:numCache>
            </c:numRef>
          </c:xVal>
          <c:yVal>
            <c:numRef>
              <c:f>Spend!$AN$577:$AR$577</c:f>
              <c:numCache>
                <c:formatCode>_-* #,##0.0_-;\-* #,##0.0_-;_-* "-"_-;_-@_-</c:formatCode>
                <c:ptCount val="5"/>
                <c:pt idx="0">
                  <c:v>0</c:v>
                </c:pt>
                <c:pt idx="1">
                  <c:v>0</c:v>
                </c:pt>
                <c:pt idx="2">
                  <c:v>0</c:v>
                </c:pt>
                <c:pt idx="3">
                  <c:v>2.3125</c:v>
                </c:pt>
                <c:pt idx="4">
                  <c:v>6</c:v>
                </c:pt>
              </c:numCache>
            </c:numRef>
          </c:yVal>
          <c:smooth val="1"/>
        </c:ser>
        <c:dLbls>
          <c:showLegendKey val="0"/>
          <c:showVal val="0"/>
          <c:showCatName val="0"/>
          <c:showSerName val="0"/>
          <c:showPercent val="0"/>
          <c:showBubbleSize val="0"/>
        </c:dLbls>
        <c:axId val="126151296"/>
        <c:axId val="126162048"/>
      </c:scatterChart>
      <c:valAx>
        <c:axId val="126151296"/>
        <c:scaling>
          <c:orientation val="minMax"/>
          <c:min val="1"/>
        </c:scaling>
        <c:delete val="0"/>
        <c:axPos val="b"/>
        <c:title>
          <c:tx>
            <c:rich>
              <a:bodyPr/>
              <a:lstStyle/>
              <a:p>
                <a:pPr>
                  <a:defRPr/>
                </a:pPr>
                <a:r>
                  <a:rPr lang="en-US" sz="1200"/>
                  <a:t>Spend</a:t>
                </a:r>
              </a:p>
            </c:rich>
          </c:tx>
          <c:layout>
            <c:manualLayout>
              <c:xMode val="edge"/>
              <c:yMode val="edge"/>
              <c:x val="0.43348243703579598"/>
              <c:y val="0.89929078014184405"/>
            </c:manualLayout>
          </c:layout>
          <c:overlay val="0"/>
        </c:title>
        <c:numFmt formatCode="_(* #,##0_);_(* \(#,##0\);_(* &quot;-&quot;_);_(@_)" sourceLinked="1"/>
        <c:majorTickMark val="none"/>
        <c:minorTickMark val="none"/>
        <c:tickLblPos val="nextTo"/>
        <c:crossAx val="126162048"/>
        <c:crosses val="autoZero"/>
        <c:crossBetween val="midCat"/>
        <c:dispUnits>
          <c:builtInUnit val="thousands"/>
          <c:dispUnitsLbl>
            <c:txPr>
              <a:bodyPr/>
              <a:lstStyle/>
              <a:p>
                <a:pPr>
                  <a:defRPr b="0" i="0"/>
                </a:pPr>
                <a:endParaRPr lang="en-US"/>
              </a:p>
            </c:txPr>
          </c:dispUnitsLbl>
        </c:dispUnits>
      </c:valAx>
      <c:valAx>
        <c:axId val="126162048"/>
        <c:scaling>
          <c:orientation val="minMax"/>
          <c:max val="5"/>
          <c:min val="0"/>
        </c:scaling>
        <c:delete val="0"/>
        <c:axPos val="l"/>
        <c:majorGridlines/>
        <c:title>
          <c:tx>
            <c:rich>
              <a:bodyPr/>
              <a:lstStyle/>
              <a:p>
                <a:pPr>
                  <a:defRPr sz="1200"/>
                </a:pPr>
                <a:r>
                  <a:rPr lang="en-US" sz="1200"/>
                  <a:t>Score</a:t>
                </a:r>
              </a:p>
            </c:rich>
          </c:tx>
          <c:overlay val="0"/>
        </c:title>
        <c:numFmt formatCode="_-* #,##0.0_-;\-* #,##0.0_-;_-* &quot;-&quot;_-;_-@_-" sourceLinked="1"/>
        <c:majorTickMark val="none"/>
        <c:minorTickMark val="none"/>
        <c:tickLblPos val="nextTo"/>
        <c:crossAx val="126151296"/>
        <c:crosses val="autoZero"/>
        <c:crossBetween val="midCat"/>
        <c:majorUnit val="1"/>
        <c:minorUnit val="0.1"/>
      </c:valAx>
    </c:plotArea>
    <c:legend>
      <c:legendPos val="r"/>
      <c:layout>
        <c:manualLayout>
          <c:xMode val="edge"/>
          <c:yMode val="edge"/>
          <c:x val="0.821326110831891"/>
          <c:y val="0.22683810800245699"/>
          <c:w val="0.135774441238323"/>
          <c:h val="0.56892105908857704"/>
        </c:manualLayout>
      </c:layout>
      <c:overlay val="0"/>
    </c:legend>
    <c:plotVisOnly val="1"/>
    <c:dispBlanksAs val="gap"/>
    <c:showDLblsOverMax val="0"/>
  </c:chart>
  <c:printSettings>
    <c:headerFooter/>
    <c:pageMargins b="1" l="0.75" r="0.75" t="1" header="0.5" footer="0.5"/>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Score vs Spend: Enugu</a:t>
            </a:r>
          </a:p>
        </c:rich>
      </c:tx>
      <c:overlay val="0"/>
    </c:title>
    <c:autoTitleDeleted val="0"/>
    <c:plotArea>
      <c:layout>
        <c:manualLayout>
          <c:layoutTarget val="inner"/>
          <c:xMode val="edge"/>
          <c:yMode val="edge"/>
          <c:x val="0.120232683680497"/>
          <c:y val="0.17943262411347499"/>
          <c:w val="0.66803205450382497"/>
          <c:h val="0.64770704193890705"/>
        </c:manualLayout>
      </c:layout>
      <c:scatterChart>
        <c:scatterStyle val="smoothMarker"/>
        <c:varyColors val="0"/>
        <c:ser>
          <c:idx val="0"/>
          <c:order val="0"/>
          <c:tx>
            <c:strRef>
              <c:f>Spend!$AG$191</c:f>
              <c:strCache>
                <c:ptCount val="1"/>
                <c:pt idx="0">
                  <c:v>Output 1</c:v>
                </c:pt>
              </c:strCache>
            </c:strRef>
          </c:tx>
          <c:marker>
            <c:symbol val="none"/>
          </c:marker>
          <c:xVal>
            <c:numRef>
              <c:f>Spend!$AH$193:$AL$193</c:f>
              <c:numCache>
                <c:formatCode>_(* #,##0_);_(* \(#,##0\);_(* "-"_);_(@_)</c:formatCode>
                <c:ptCount val="5"/>
                <c:pt idx="0">
                  <c:v>0</c:v>
                </c:pt>
                <c:pt idx="1">
                  <c:v>298052.85214757948</c:v>
                </c:pt>
                <c:pt idx="2">
                  <c:v>412133.77016779699</c:v>
                </c:pt>
                <c:pt idx="3">
                  <c:v>509522.48879278102</c:v>
                </c:pt>
                <c:pt idx="4">
                  <c:v>590327.8954089426</c:v>
                </c:pt>
              </c:numCache>
            </c:numRef>
          </c:xVal>
          <c:yVal>
            <c:numRef>
              <c:f>Spend!$AN$193:$AR$193</c:f>
              <c:numCache>
                <c:formatCode>_-* #,##0.0_-;\-* #,##0.0_-;_-* "-"_-;_-@_-</c:formatCode>
                <c:ptCount val="5"/>
                <c:pt idx="0">
                  <c:v>1.25</c:v>
                </c:pt>
                <c:pt idx="1">
                  <c:v>1</c:v>
                </c:pt>
                <c:pt idx="2">
                  <c:v>1.5999999999999999</c:v>
                </c:pt>
                <c:pt idx="3">
                  <c:v>2.8666666666666667</c:v>
                </c:pt>
                <c:pt idx="4">
                  <c:v>4.2766666666666664</c:v>
                </c:pt>
              </c:numCache>
            </c:numRef>
          </c:yVal>
          <c:smooth val="1"/>
        </c:ser>
        <c:ser>
          <c:idx val="1"/>
          <c:order val="1"/>
          <c:tx>
            <c:strRef>
              <c:f>Spend!$AG$266</c:f>
              <c:strCache>
                <c:ptCount val="1"/>
                <c:pt idx="0">
                  <c:v>Output 2</c:v>
                </c:pt>
              </c:strCache>
            </c:strRef>
          </c:tx>
          <c:marker>
            <c:symbol val="none"/>
          </c:marker>
          <c:xVal>
            <c:numRef>
              <c:f>Spend!$AH$268:$AL$268</c:f>
              <c:numCache>
                <c:formatCode>_(* #,##0_);_(* \(#,##0\);_(* "-"_);_(@_)</c:formatCode>
                <c:ptCount val="5"/>
                <c:pt idx="0">
                  <c:v>0</c:v>
                </c:pt>
                <c:pt idx="1">
                  <c:v>241485.85509747139</c:v>
                </c:pt>
                <c:pt idx="2">
                  <c:v>354076.33700435556</c:v>
                </c:pt>
                <c:pt idx="3">
                  <c:v>435587.03935910366</c:v>
                </c:pt>
                <c:pt idx="4">
                  <c:v>524908.68741165916</c:v>
                </c:pt>
              </c:numCache>
            </c:numRef>
          </c:xVal>
          <c:yVal>
            <c:numRef>
              <c:f>Spend!$AN$268:$AR$268</c:f>
              <c:numCache>
                <c:formatCode>_-* #,##0.0_-;\-* #,##0.0_-;_-* "-"_-;_-@_-</c:formatCode>
                <c:ptCount val="5"/>
                <c:pt idx="0">
                  <c:v>1</c:v>
                </c:pt>
                <c:pt idx="1">
                  <c:v>0</c:v>
                </c:pt>
                <c:pt idx="2">
                  <c:v>1.7</c:v>
                </c:pt>
                <c:pt idx="3">
                  <c:v>2.6999999999999997</c:v>
                </c:pt>
                <c:pt idx="4">
                  <c:v>3.6944444444444446</c:v>
                </c:pt>
              </c:numCache>
            </c:numRef>
          </c:yVal>
          <c:smooth val="1"/>
        </c:ser>
        <c:ser>
          <c:idx val="2"/>
          <c:order val="2"/>
          <c:tx>
            <c:strRef>
              <c:f>Spend!$AG$341</c:f>
              <c:strCache>
                <c:ptCount val="1"/>
                <c:pt idx="0">
                  <c:v>Output 3</c:v>
                </c:pt>
              </c:strCache>
            </c:strRef>
          </c:tx>
          <c:marker>
            <c:symbol val="none"/>
          </c:marker>
          <c:xVal>
            <c:numRef>
              <c:f>Spend!$AH$343:$AL$343</c:f>
              <c:numCache>
                <c:formatCode>_(* #,##0_);_(* \(#,##0\);_(* "-"_);_(@_)</c:formatCode>
                <c:ptCount val="5"/>
                <c:pt idx="0">
                  <c:v>0</c:v>
                </c:pt>
                <c:pt idx="1">
                  <c:v>133419.65788597369</c:v>
                </c:pt>
                <c:pt idx="2">
                  <c:v>197000.4696136908</c:v>
                </c:pt>
                <c:pt idx="3">
                  <c:v>292449.64390236186</c:v>
                </c:pt>
                <c:pt idx="4">
                  <c:v>396232.53893367504</c:v>
                </c:pt>
              </c:numCache>
            </c:numRef>
          </c:xVal>
          <c:yVal>
            <c:numRef>
              <c:f>Spend!$AN$343:$AR$343</c:f>
              <c:numCache>
                <c:formatCode>_-* #,##0.0_-;\-* #,##0.0_-;_-* "-"_-;_-@_-</c:formatCode>
                <c:ptCount val="5"/>
                <c:pt idx="0">
                  <c:v>0</c:v>
                </c:pt>
                <c:pt idx="1">
                  <c:v>0.1875</c:v>
                </c:pt>
                <c:pt idx="2">
                  <c:v>2.0531250000000001</c:v>
                </c:pt>
                <c:pt idx="3">
                  <c:v>2.609375</c:v>
                </c:pt>
                <c:pt idx="4">
                  <c:v>2.6906249999999998</c:v>
                </c:pt>
              </c:numCache>
            </c:numRef>
          </c:yVal>
          <c:smooth val="1"/>
        </c:ser>
        <c:ser>
          <c:idx val="3"/>
          <c:order val="3"/>
          <c:tx>
            <c:strRef>
              <c:f>Spend!$AG$442</c:f>
              <c:strCache>
                <c:ptCount val="1"/>
                <c:pt idx="0">
                  <c:v>Output 4</c:v>
                </c:pt>
              </c:strCache>
            </c:strRef>
          </c:tx>
          <c:marker>
            <c:symbol val="none"/>
          </c:marker>
          <c:xVal>
            <c:numRef>
              <c:f>Spend!$AH$444:$AL$444</c:f>
              <c:numCache>
                <c:formatCode>_(* #,##0_);_(* \(#,##0\);_(* "-"_);_(@_)</c:formatCode>
                <c:ptCount val="5"/>
                <c:pt idx="0">
                  <c:v>0</c:v>
                </c:pt>
                <c:pt idx="1">
                  <c:v>320296.58757722727</c:v>
                </c:pt>
                <c:pt idx="2">
                  <c:v>480422.0145782234</c:v>
                </c:pt>
                <c:pt idx="3">
                  <c:v>614695.28388825746</c:v>
                </c:pt>
                <c:pt idx="4">
                  <c:v>761865.246532702</c:v>
                </c:pt>
              </c:numCache>
            </c:numRef>
          </c:xVal>
          <c:yVal>
            <c:numRef>
              <c:f>Spend!$AN$444:$AR$444</c:f>
              <c:numCache>
                <c:formatCode>_-* #,##0.0_-;\-* #,##0.0_-;_-* "-"_-;_-@_-</c:formatCode>
                <c:ptCount val="5"/>
                <c:pt idx="0">
                  <c:v>0.8</c:v>
                </c:pt>
                <c:pt idx="1">
                  <c:v>1.55</c:v>
                </c:pt>
                <c:pt idx="2">
                  <c:v>2.1800000000000002</c:v>
                </c:pt>
                <c:pt idx="3">
                  <c:v>3.05</c:v>
                </c:pt>
                <c:pt idx="4">
                  <c:v>3.1599999999999997</c:v>
                </c:pt>
              </c:numCache>
            </c:numRef>
          </c:yVal>
          <c:smooth val="1"/>
        </c:ser>
        <c:ser>
          <c:idx val="4"/>
          <c:order val="4"/>
          <c:tx>
            <c:strRef>
              <c:f>Spend!$AG$564</c:f>
              <c:strCache>
                <c:ptCount val="1"/>
                <c:pt idx="0">
                  <c:v>Output 5</c:v>
                </c:pt>
              </c:strCache>
            </c:strRef>
          </c:tx>
          <c:marker>
            <c:symbol val="none"/>
          </c:marker>
          <c:xVal>
            <c:numRef>
              <c:f>Spend!$AH$566:$AL$566</c:f>
              <c:numCache>
                <c:formatCode>_(* #,##0_);_(* \(#,##0\);_(* "-"_);_(@_)</c:formatCode>
                <c:ptCount val="5"/>
                <c:pt idx="0">
                  <c:v>0</c:v>
                </c:pt>
                <c:pt idx="1">
                  <c:v>268342.30077722727</c:v>
                </c:pt>
                <c:pt idx="2">
                  <c:v>303218.33327762788</c:v>
                </c:pt>
                <c:pt idx="3">
                  <c:v>335250.4007446061</c:v>
                </c:pt>
                <c:pt idx="4">
                  <c:v>373046.37561177782</c:v>
                </c:pt>
              </c:numCache>
            </c:numRef>
          </c:xVal>
          <c:yVal>
            <c:numRef>
              <c:f>Spend!$AN$566:$AR$566</c:f>
              <c:numCache>
                <c:formatCode>_-* #,##0.0_-;\-* #,##0.0_-;_-* "-"_-;_-@_-</c:formatCode>
                <c:ptCount val="5"/>
                <c:pt idx="0">
                  <c:v>0</c:v>
                </c:pt>
                <c:pt idx="1">
                  <c:v>0.25</c:v>
                </c:pt>
                <c:pt idx="2">
                  <c:v>0.625</c:v>
                </c:pt>
                <c:pt idx="3">
                  <c:v>1.9583333333333333</c:v>
                </c:pt>
                <c:pt idx="4">
                  <c:v>1.625</c:v>
                </c:pt>
              </c:numCache>
            </c:numRef>
          </c:yVal>
          <c:smooth val="1"/>
        </c:ser>
        <c:dLbls>
          <c:showLegendKey val="0"/>
          <c:showVal val="0"/>
          <c:showCatName val="0"/>
          <c:showSerName val="0"/>
          <c:showPercent val="0"/>
          <c:showBubbleSize val="0"/>
        </c:dLbls>
        <c:axId val="126190336"/>
        <c:axId val="126192640"/>
      </c:scatterChart>
      <c:valAx>
        <c:axId val="126190336"/>
        <c:scaling>
          <c:orientation val="minMax"/>
          <c:min val="1"/>
        </c:scaling>
        <c:delete val="0"/>
        <c:axPos val="b"/>
        <c:title>
          <c:tx>
            <c:rich>
              <a:bodyPr/>
              <a:lstStyle/>
              <a:p>
                <a:pPr>
                  <a:defRPr/>
                </a:pPr>
                <a:r>
                  <a:rPr lang="en-US" sz="1200"/>
                  <a:t>Spend</a:t>
                </a:r>
              </a:p>
            </c:rich>
          </c:tx>
          <c:layout>
            <c:manualLayout>
              <c:xMode val="edge"/>
              <c:yMode val="edge"/>
              <c:x val="0.43348243703579598"/>
              <c:y val="0.89929078014184405"/>
            </c:manualLayout>
          </c:layout>
          <c:overlay val="0"/>
        </c:title>
        <c:numFmt formatCode="_(* #,##0_);_(* \(#,##0\);_(* &quot;-&quot;_);_(@_)" sourceLinked="1"/>
        <c:majorTickMark val="none"/>
        <c:minorTickMark val="none"/>
        <c:tickLblPos val="nextTo"/>
        <c:crossAx val="126192640"/>
        <c:crosses val="autoZero"/>
        <c:crossBetween val="midCat"/>
        <c:dispUnits>
          <c:builtInUnit val="thousands"/>
          <c:dispUnitsLbl>
            <c:txPr>
              <a:bodyPr/>
              <a:lstStyle/>
              <a:p>
                <a:pPr>
                  <a:defRPr b="0" i="0"/>
                </a:pPr>
                <a:endParaRPr lang="en-US"/>
              </a:p>
            </c:txPr>
          </c:dispUnitsLbl>
        </c:dispUnits>
      </c:valAx>
      <c:valAx>
        <c:axId val="126192640"/>
        <c:scaling>
          <c:orientation val="minMax"/>
          <c:max val="5"/>
          <c:min val="0"/>
        </c:scaling>
        <c:delete val="0"/>
        <c:axPos val="l"/>
        <c:majorGridlines/>
        <c:title>
          <c:tx>
            <c:rich>
              <a:bodyPr/>
              <a:lstStyle/>
              <a:p>
                <a:pPr>
                  <a:defRPr sz="1200"/>
                </a:pPr>
                <a:r>
                  <a:rPr lang="en-US" sz="1200"/>
                  <a:t>Score</a:t>
                </a:r>
              </a:p>
            </c:rich>
          </c:tx>
          <c:overlay val="0"/>
        </c:title>
        <c:numFmt formatCode="_-* #,##0.0_-;\-* #,##0.0_-;_-* &quot;-&quot;_-;_-@_-" sourceLinked="1"/>
        <c:majorTickMark val="none"/>
        <c:minorTickMark val="none"/>
        <c:tickLblPos val="nextTo"/>
        <c:crossAx val="126190336"/>
        <c:crosses val="autoZero"/>
        <c:crossBetween val="midCat"/>
        <c:majorUnit val="1"/>
        <c:minorUnit val="0.1"/>
      </c:valAx>
    </c:plotArea>
    <c:legend>
      <c:legendPos val="r"/>
      <c:layout>
        <c:manualLayout>
          <c:xMode val="edge"/>
          <c:yMode val="edge"/>
          <c:x val="0.81423391225033004"/>
          <c:y val="0.329311649648034"/>
          <c:w val="0.16645037071096"/>
          <c:h val="0.35482179126902402"/>
        </c:manualLayout>
      </c:layout>
      <c:overlay val="0"/>
    </c:legend>
    <c:plotVisOnly val="1"/>
    <c:dispBlanksAs val="gap"/>
    <c:showDLblsOverMax val="0"/>
  </c:chart>
  <c:printSettings>
    <c:headerFooter/>
    <c:pageMargins b="1" l="0.75" r="0.75" t="1" header="0.5" footer="0.5"/>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Score vs Spend: Jigawa</a:t>
            </a:r>
          </a:p>
        </c:rich>
      </c:tx>
      <c:overlay val="0"/>
    </c:title>
    <c:autoTitleDeleted val="0"/>
    <c:plotArea>
      <c:layout>
        <c:manualLayout>
          <c:layoutTarget val="inner"/>
          <c:xMode val="edge"/>
          <c:yMode val="edge"/>
          <c:x val="0.120232683680497"/>
          <c:y val="0.17943262411347499"/>
          <c:w val="0.66803205450382497"/>
          <c:h val="0.64770704193890705"/>
        </c:manualLayout>
      </c:layout>
      <c:scatterChart>
        <c:scatterStyle val="smoothMarker"/>
        <c:varyColors val="0"/>
        <c:ser>
          <c:idx val="0"/>
          <c:order val="0"/>
          <c:tx>
            <c:strRef>
              <c:f>Spend!$AG$191</c:f>
              <c:strCache>
                <c:ptCount val="1"/>
                <c:pt idx="0">
                  <c:v>Output 1</c:v>
                </c:pt>
              </c:strCache>
            </c:strRef>
          </c:tx>
          <c:marker>
            <c:symbol val="none"/>
          </c:marker>
          <c:xVal>
            <c:numRef>
              <c:f>Spend!$AH$194:$AL$194</c:f>
              <c:numCache>
                <c:formatCode>_(* #,##0_);_(* \(#,##0\);_(* "-"_);_(@_)</c:formatCode>
                <c:ptCount val="5"/>
                <c:pt idx="0">
                  <c:v>0</c:v>
                </c:pt>
                <c:pt idx="1">
                  <c:v>266165.19371038652</c:v>
                </c:pt>
                <c:pt idx="2">
                  <c:v>375237.1110445321</c:v>
                </c:pt>
                <c:pt idx="3">
                  <c:v>470711.55947372667</c:v>
                </c:pt>
                <c:pt idx="4">
                  <c:v>554342.37651817105</c:v>
                </c:pt>
              </c:numCache>
            </c:numRef>
          </c:xVal>
          <c:yVal>
            <c:numRef>
              <c:f>Spend!$AN$194:$AR$194</c:f>
              <c:numCache>
                <c:formatCode>_-* #,##0.0_-;\-* #,##0.0_-;_-* "-"_-;_-@_-</c:formatCode>
                <c:ptCount val="5"/>
                <c:pt idx="0">
                  <c:v>1</c:v>
                </c:pt>
                <c:pt idx="1">
                  <c:v>2.5</c:v>
                </c:pt>
                <c:pt idx="2">
                  <c:v>2.1333333333333333</c:v>
                </c:pt>
                <c:pt idx="3">
                  <c:v>3.7999999999999994</c:v>
                </c:pt>
                <c:pt idx="4">
                  <c:v>4.333333333333333</c:v>
                </c:pt>
              </c:numCache>
            </c:numRef>
          </c:yVal>
          <c:smooth val="1"/>
        </c:ser>
        <c:ser>
          <c:idx val="1"/>
          <c:order val="1"/>
          <c:tx>
            <c:strRef>
              <c:f>Spend!$AG$266</c:f>
              <c:strCache>
                <c:ptCount val="1"/>
                <c:pt idx="0">
                  <c:v>Output 2</c:v>
                </c:pt>
              </c:strCache>
            </c:strRef>
          </c:tx>
          <c:marker>
            <c:symbol val="none"/>
          </c:marker>
          <c:xVal>
            <c:numRef>
              <c:f>Spend!$AH$269:$AL$269</c:f>
              <c:numCache>
                <c:formatCode>_(* #,##0_);_(* \(#,##0\);_(* "-"_);_(@_)</c:formatCode>
                <c:ptCount val="5"/>
                <c:pt idx="0">
                  <c:v>0</c:v>
                </c:pt>
                <c:pt idx="1">
                  <c:v>221613.44425676961</c:v>
                </c:pt>
                <c:pt idx="2">
                  <c:v>327485.66792382929</c:v>
                </c:pt>
                <c:pt idx="3">
                  <c:v>411895.70872752467</c:v>
                </c:pt>
                <c:pt idx="4">
                  <c:v>489472.30707592866</c:v>
                </c:pt>
              </c:numCache>
            </c:numRef>
          </c:xVal>
          <c:yVal>
            <c:numRef>
              <c:f>Spend!$AN$269:$AR$269</c:f>
              <c:numCache>
                <c:formatCode>_-* #,##0.0_-;\-* #,##0.0_-;_-* "-"_-;_-@_-</c:formatCode>
                <c:ptCount val="5"/>
                <c:pt idx="0">
                  <c:v>1</c:v>
                </c:pt>
                <c:pt idx="1">
                  <c:v>1.75</c:v>
                </c:pt>
                <c:pt idx="2">
                  <c:v>2.2222222222222223</c:v>
                </c:pt>
                <c:pt idx="3">
                  <c:v>3.2999999999999994</c:v>
                </c:pt>
                <c:pt idx="4">
                  <c:v>3.9333333333333336</c:v>
                </c:pt>
              </c:numCache>
            </c:numRef>
          </c:yVal>
          <c:smooth val="1"/>
        </c:ser>
        <c:ser>
          <c:idx val="2"/>
          <c:order val="2"/>
          <c:tx>
            <c:strRef>
              <c:f>Spend!$AG$341</c:f>
              <c:strCache>
                <c:ptCount val="1"/>
                <c:pt idx="0">
                  <c:v>Output 3</c:v>
                </c:pt>
              </c:strCache>
            </c:strRef>
          </c:tx>
          <c:marker>
            <c:symbol val="none"/>
          </c:marker>
          <c:xVal>
            <c:numRef>
              <c:f>Spend!$AH$344:$AL$344</c:f>
              <c:numCache>
                <c:formatCode>_(* #,##0_);_(* \(#,##0\);_(* "-"_);_(@_)</c:formatCode>
                <c:ptCount val="5"/>
                <c:pt idx="0">
                  <c:v>0</c:v>
                </c:pt>
                <c:pt idx="1">
                  <c:v>126486.61981228946</c:v>
                </c:pt>
                <c:pt idx="2">
                  <c:v>178691.54284790132</c:v>
                </c:pt>
                <c:pt idx="3">
                  <c:v>289738.02561551973</c:v>
                </c:pt>
                <c:pt idx="4">
                  <c:v>391088.57493774197</c:v>
                </c:pt>
              </c:numCache>
            </c:numRef>
          </c:xVal>
          <c:yVal>
            <c:numRef>
              <c:f>Spend!$AN$344:$AR$344</c:f>
              <c:numCache>
                <c:formatCode>_-* #,##0.0_-;\-* #,##0.0_-;_-* "-"_-;_-@_-</c:formatCode>
                <c:ptCount val="5"/>
                <c:pt idx="0">
                  <c:v>0</c:v>
                </c:pt>
                <c:pt idx="1">
                  <c:v>0.4375</c:v>
                </c:pt>
                <c:pt idx="2">
                  <c:v>2.1156250000000001</c:v>
                </c:pt>
                <c:pt idx="3">
                  <c:v>2.4437500000000001</c:v>
                </c:pt>
                <c:pt idx="4">
                  <c:v>2.7718750000000001</c:v>
                </c:pt>
              </c:numCache>
            </c:numRef>
          </c:yVal>
          <c:smooth val="1"/>
        </c:ser>
        <c:ser>
          <c:idx val="3"/>
          <c:order val="3"/>
          <c:tx>
            <c:strRef>
              <c:f>Spend!$AG$442</c:f>
              <c:strCache>
                <c:ptCount val="1"/>
                <c:pt idx="0">
                  <c:v>Output 4</c:v>
                </c:pt>
              </c:strCache>
            </c:strRef>
          </c:tx>
          <c:marker>
            <c:symbol val="none"/>
          </c:marker>
          <c:xVal>
            <c:numRef>
              <c:f>Spend!$AH$445:$AL$445</c:f>
              <c:numCache>
                <c:formatCode>_(* #,##0_);_(* \(#,##0\);_(* "-"_);_(@_)</c:formatCode>
                <c:ptCount val="5"/>
                <c:pt idx="0">
                  <c:v>0</c:v>
                </c:pt>
                <c:pt idx="1">
                  <c:v>287654.32365301665</c:v>
                </c:pt>
                <c:pt idx="2">
                  <c:v>435208.46780874958</c:v>
                </c:pt>
                <c:pt idx="3">
                  <c:v>535501.37707246793</c:v>
                </c:pt>
                <c:pt idx="4">
                  <c:v>636030.23466034676</c:v>
                </c:pt>
              </c:numCache>
            </c:numRef>
          </c:xVal>
          <c:yVal>
            <c:numRef>
              <c:f>Spend!$AN$445:$AR$445</c:f>
              <c:numCache>
                <c:formatCode>_-* #,##0.0_-;\-* #,##0.0_-;_-* "-"_-;_-@_-</c:formatCode>
                <c:ptCount val="5"/>
                <c:pt idx="0">
                  <c:v>0.8</c:v>
                </c:pt>
                <c:pt idx="1">
                  <c:v>1.72</c:v>
                </c:pt>
                <c:pt idx="2">
                  <c:v>2.0550000000000002</c:v>
                </c:pt>
                <c:pt idx="3">
                  <c:v>3.2850000000000001</c:v>
                </c:pt>
                <c:pt idx="4">
                  <c:v>3.9400000000000004</c:v>
                </c:pt>
              </c:numCache>
            </c:numRef>
          </c:yVal>
          <c:smooth val="1"/>
        </c:ser>
        <c:ser>
          <c:idx val="4"/>
          <c:order val="4"/>
          <c:tx>
            <c:strRef>
              <c:f>Spend!$AG$564</c:f>
              <c:strCache>
                <c:ptCount val="1"/>
                <c:pt idx="0">
                  <c:v>Output 5</c:v>
                </c:pt>
              </c:strCache>
            </c:strRef>
          </c:tx>
          <c:marker>
            <c:symbol val="none"/>
          </c:marker>
          <c:xVal>
            <c:numRef>
              <c:f>Spend!$AH$567:$AL$567</c:f>
              <c:numCache>
                <c:formatCode>_(* #,##0_);_(* \(#,##0\);_(* "-"_);_(@_)</c:formatCode>
                <c:ptCount val="5"/>
                <c:pt idx="0">
                  <c:v>0</c:v>
                </c:pt>
                <c:pt idx="1">
                  <c:v>261061.02685301664</c:v>
                </c:pt>
                <c:pt idx="2">
                  <c:v>301434.63996183831</c:v>
                </c:pt>
                <c:pt idx="3">
                  <c:v>329914.84354092181</c:v>
                </c:pt>
                <c:pt idx="4">
                  <c:v>376447.12223839655</c:v>
                </c:pt>
              </c:numCache>
            </c:numRef>
          </c:xVal>
          <c:yVal>
            <c:numRef>
              <c:f>Spend!$AN$567:$AR$567</c:f>
              <c:numCache>
                <c:formatCode>_-* #,##0.0_-;\-* #,##0.0_-;_-* "-"_-;_-@_-</c:formatCode>
                <c:ptCount val="5"/>
                <c:pt idx="0">
                  <c:v>0</c:v>
                </c:pt>
                <c:pt idx="1">
                  <c:v>0.375</c:v>
                </c:pt>
                <c:pt idx="2">
                  <c:v>1.25</c:v>
                </c:pt>
                <c:pt idx="3">
                  <c:v>1.6041666666666667</c:v>
                </c:pt>
                <c:pt idx="4">
                  <c:v>3.1666666666666665</c:v>
                </c:pt>
              </c:numCache>
            </c:numRef>
          </c:yVal>
          <c:smooth val="1"/>
        </c:ser>
        <c:dLbls>
          <c:showLegendKey val="0"/>
          <c:showVal val="0"/>
          <c:showCatName val="0"/>
          <c:showSerName val="0"/>
          <c:showPercent val="0"/>
          <c:showBubbleSize val="0"/>
        </c:dLbls>
        <c:axId val="126560896"/>
        <c:axId val="126579840"/>
      </c:scatterChart>
      <c:valAx>
        <c:axId val="126560896"/>
        <c:scaling>
          <c:orientation val="minMax"/>
          <c:max val="800001"/>
          <c:min val="1"/>
        </c:scaling>
        <c:delete val="0"/>
        <c:axPos val="b"/>
        <c:title>
          <c:tx>
            <c:rich>
              <a:bodyPr/>
              <a:lstStyle/>
              <a:p>
                <a:pPr>
                  <a:defRPr/>
                </a:pPr>
                <a:r>
                  <a:rPr lang="en-US" sz="1200"/>
                  <a:t>Spend</a:t>
                </a:r>
              </a:p>
            </c:rich>
          </c:tx>
          <c:layout>
            <c:manualLayout>
              <c:xMode val="edge"/>
              <c:yMode val="edge"/>
              <c:x val="0.43348243703579598"/>
              <c:y val="0.89929078014184405"/>
            </c:manualLayout>
          </c:layout>
          <c:overlay val="0"/>
        </c:title>
        <c:numFmt formatCode="_(* #,##0_);_(* \(#,##0\);_(* &quot;-&quot;_);_(@_)" sourceLinked="1"/>
        <c:majorTickMark val="none"/>
        <c:minorTickMark val="none"/>
        <c:tickLblPos val="nextTo"/>
        <c:crossAx val="126579840"/>
        <c:crosses val="autoZero"/>
        <c:crossBetween val="midCat"/>
        <c:dispUnits>
          <c:builtInUnit val="thousands"/>
          <c:dispUnitsLbl>
            <c:txPr>
              <a:bodyPr/>
              <a:lstStyle/>
              <a:p>
                <a:pPr>
                  <a:defRPr b="0" i="0"/>
                </a:pPr>
                <a:endParaRPr lang="en-US"/>
              </a:p>
            </c:txPr>
          </c:dispUnitsLbl>
        </c:dispUnits>
      </c:valAx>
      <c:valAx>
        <c:axId val="126579840"/>
        <c:scaling>
          <c:orientation val="minMax"/>
          <c:max val="5"/>
          <c:min val="0"/>
        </c:scaling>
        <c:delete val="0"/>
        <c:axPos val="l"/>
        <c:majorGridlines/>
        <c:title>
          <c:tx>
            <c:rich>
              <a:bodyPr/>
              <a:lstStyle/>
              <a:p>
                <a:pPr>
                  <a:defRPr sz="1200"/>
                </a:pPr>
                <a:r>
                  <a:rPr lang="en-US" sz="1200"/>
                  <a:t>Score</a:t>
                </a:r>
              </a:p>
            </c:rich>
          </c:tx>
          <c:overlay val="0"/>
        </c:title>
        <c:numFmt formatCode="_-* #,##0.0_-;\-* #,##0.0_-;_-* &quot;-&quot;_-;_-@_-" sourceLinked="1"/>
        <c:majorTickMark val="none"/>
        <c:minorTickMark val="none"/>
        <c:tickLblPos val="nextTo"/>
        <c:crossAx val="126560896"/>
        <c:crosses val="autoZero"/>
        <c:crossBetween val="midCat"/>
        <c:majorUnit val="1"/>
        <c:minorUnit val="0.1"/>
      </c:valAx>
    </c:plotArea>
    <c:legend>
      <c:legendPos val="r"/>
      <c:layout>
        <c:manualLayout>
          <c:xMode val="edge"/>
          <c:yMode val="edge"/>
          <c:x val="0.81423391225033004"/>
          <c:y val="0.329311649648034"/>
          <c:w val="0.161728374378735"/>
          <c:h val="0.35482179126902402"/>
        </c:manualLayout>
      </c:layout>
      <c:overlay val="0"/>
    </c:legend>
    <c:plotVisOnly val="1"/>
    <c:dispBlanksAs val="gap"/>
    <c:showDLblsOverMax val="0"/>
  </c:chart>
  <c:printSettings>
    <c:headerFooter/>
    <c:pageMargins b="1" l="0.75" r="0.75" t="1" header="0.5" footer="0.5"/>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Score vs Spend: Kaduna</a:t>
            </a:r>
          </a:p>
        </c:rich>
      </c:tx>
      <c:overlay val="0"/>
    </c:title>
    <c:autoTitleDeleted val="0"/>
    <c:plotArea>
      <c:layout>
        <c:manualLayout>
          <c:layoutTarget val="inner"/>
          <c:xMode val="edge"/>
          <c:yMode val="edge"/>
          <c:x val="0.120232683680497"/>
          <c:y val="0.17943262411347499"/>
          <c:w val="0.66803205450382497"/>
          <c:h val="0.64770704193890705"/>
        </c:manualLayout>
      </c:layout>
      <c:scatterChart>
        <c:scatterStyle val="smoothMarker"/>
        <c:varyColors val="0"/>
        <c:ser>
          <c:idx val="0"/>
          <c:order val="0"/>
          <c:tx>
            <c:strRef>
              <c:f>Spend!$AG$191</c:f>
              <c:strCache>
                <c:ptCount val="1"/>
                <c:pt idx="0">
                  <c:v>Output 1</c:v>
                </c:pt>
              </c:strCache>
            </c:strRef>
          </c:tx>
          <c:marker>
            <c:symbol val="none"/>
          </c:marker>
          <c:xVal>
            <c:numRef>
              <c:f>Spend!$AH$195:$AL$195</c:f>
              <c:numCache>
                <c:formatCode>_(* #,##0_);_(* \(#,##0\);_(* "-"_);_(@_)</c:formatCode>
                <c:ptCount val="5"/>
                <c:pt idx="0">
                  <c:v>0</c:v>
                </c:pt>
                <c:pt idx="1">
                  <c:v>270953.97534687771</c:v>
                </c:pt>
                <c:pt idx="2">
                  <c:v>376774.00641728065</c:v>
                </c:pt>
                <c:pt idx="3">
                  <c:v>476528.24819382071</c:v>
                </c:pt>
                <c:pt idx="4">
                  <c:v>552569.98917361873</c:v>
                </c:pt>
              </c:numCache>
            </c:numRef>
          </c:xVal>
          <c:yVal>
            <c:numRef>
              <c:f>Spend!$AN$195:$AR$195</c:f>
              <c:numCache>
                <c:formatCode>_-* #,##0.0_-;\-* #,##0.0_-;_-* "-"_-;_-@_-</c:formatCode>
                <c:ptCount val="5"/>
                <c:pt idx="0">
                  <c:v>1</c:v>
                </c:pt>
                <c:pt idx="1">
                  <c:v>1.4</c:v>
                </c:pt>
                <c:pt idx="2">
                  <c:v>2.4</c:v>
                </c:pt>
                <c:pt idx="3">
                  <c:v>3</c:v>
                </c:pt>
                <c:pt idx="4">
                  <c:v>4.0666666666666664</c:v>
                </c:pt>
              </c:numCache>
            </c:numRef>
          </c:yVal>
          <c:smooth val="1"/>
        </c:ser>
        <c:ser>
          <c:idx val="1"/>
          <c:order val="1"/>
          <c:tx>
            <c:strRef>
              <c:f>Spend!$AG$266</c:f>
              <c:strCache>
                <c:ptCount val="1"/>
                <c:pt idx="0">
                  <c:v>Output 2</c:v>
                </c:pt>
              </c:strCache>
            </c:strRef>
          </c:tx>
          <c:marker>
            <c:symbol val="none"/>
          </c:marker>
          <c:xVal>
            <c:numRef>
              <c:f>Spend!$AH$270:$AL$270</c:f>
              <c:numCache>
                <c:formatCode>_(* #,##0_);_(* \(#,##0\);_(* "-"_);_(@_)</c:formatCode>
                <c:ptCount val="5"/>
                <c:pt idx="0">
                  <c:v>0</c:v>
                </c:pt>
                <c:pt idx="1">
                  <c:v>222578.18604764683</c:v>
                </c:pt>
                <c:pt idx="2">
                  <c:v>332376.67180032056</c:v>
                </c:pt>
                <c:pt idx="3">
                  <c:v>447170.00629381003</c:v>
                </c:pt>
                <c:pt idx="4">
                  <c:v>517298.07294625446</c:v>
                </c:pt>
              </c:numCache>
            </c:numRef>
          </c:xVal>
          <c:yVal>
            <c:numRef>
              <c:f>Spend!$AN$270:$AR$270</c:f>
              <c:numCache>
                <c:formatCode>_-* #,##0.0_-;\-* #,##0.0_-;_-* "-"_-;_-@_-</c:formatCode>
                <c:ptCount val="5"/>
                <c:pt idx="0">
                  <c:v>1</c:v>
                </c:pt>
                <c:pt idx="1">
                  <c:v>1</c:v>
                </c:pt>
                <c:pt idx="2">
                  <c:v>2.0555555555555558</c:v>
                </c:pt>
                <c:pt idx="3">
                  <c:v>2.5333333333333332</c:v>
                </c:pt>
                <c:pt idx="4">
                  <c:v>3.1888888888888887</c:v>
                </c:pt>
              </c:numCache>
            </c:numRef>
          </c:yVal>
          <c:smooth val="1"/>
        </c:ser>
        <c:ser>
          <c:idx val="2"/>
          <c:order val="2"/>
          <c:tx>
            <c:strRef>
              <c:f>Spend!$AG$341</c:f>
              <c:strCache>
                <c:ptCount val="1"/>
                <c:pt idx="0">
                  <c:v>Output 3</c:v>
                </c:pt>
              </c:strCache>
            </c:strRef>
          </c:tx>
          <c:marker>
            <c:symbol val="none"/>
          </c:marker>
          <c:xVal>
            <c:numRef>
              <c:f>Spend!$AH$345:$AL$345</c:f>
              <c:numCache>
                <c:formatCode>_(* #,##0_);_(* \(#,##0\);_(* "-"_);_(@_)</c:formatCode>
                <c:ptCount val="5"/>
                <c:pt idx="0">
                  <c:v>0</c:v>
                </c:pt>
                <c:pt idx="1">
                  <c:v>141982.00585439472</c:v>
                </c:pt>
                <c:pt idx="2">
                  <c:v>200555.89854263814</c:v>
                </c:pt>
                <c:pt idx="3">
                  <c:v>338617.81308005063</c:v>
                </c:pt>
                <c:pt idx="4">
                  <c:v>432735.33586287894</c:v>
                </c:pt>
              </c:numCache>
            </c:numRef>
          </c:xVal>
          <c:yVal>
            <c:numRef>
              <c:f>Spend!$AN$345:$AR$345</c:f>
              <c:numCache>
                <c:formatCode>_-* #,##0.0_-;\-* #,##0.0_-;_-* "-"_-;_-@_-</c:formatCode>
                <c:ptCount val="5"/>
                <c:pt idx="0">
                  <c:v>0.125</c:v>
                </c:pt>
                <c:pt idx="1">
                  <c:v>0.40625</c:v>
                </c:pt>
                <c:pt idx="2">
                  <c:v>1.8125</c:v>
                </c:pt>
                <c:pt idx="3">
                  <c:v>2.015625</c:v>
                </c:pt>
                <c:pt idx="4">
                  <c:v>3.05</c:v>
                </c:pt>
              </c:numCache>
            </c:numRef>
          </c:yVal>
          <c:smooth val="1"/>
        </c:ser>
        <c:ser>
          <c:idx val="3"/>
          <c:order val="3"/>
          <c:tx>
            <c:strRef>
              <c:f>Spend!$AG$442</c:f>
              <c:strCache>
                <c:ptCount val="1"/>
                <c:pt idx="0">
                  <c:v>Output 4</c:v>
                </c:pt>
              </c:strCache>
            </c:strRef>
          </c:tx>
          <c:marker>
            <c:symbol val="none"/>
          </c:marker>
          <c:xVal>
            <c:numRef>
              <c:f>Spend!$AH$446:$AL$446</c:f>
              <c:numCache>
                <c:formatCode>_(* #,##0_);_(* \(#,##0\);_(* "-"_);_(@_)</c:formatCode>
                <c:ptCount val="5"/>
                <c:pt idx="0">
                  <c:v>0</c:v>
                </c:pt>
                <c:pt idx="1">
                  <c:v>314832.51711827982</c:v>
                </c:pt>
                <c:pt idx="2">
                  <c:v>485027.01959892514</c:v>
                </c:pt>
                <c:pt idx="3">
                  <c:v>578665.41185488587</c:v>
                </c:pt>
                <c:pt idx="4">
                  <c:v>701118.24462256266</c:v>
                </c:pt>
              </c:numCache>
            </c:numRef>
          </c:xVal>
          <c:yVal>
            <c:numRef>
              <c:f>Spend!$AN$446:$AR$446</c:f>
              <c:numCache>
                <c:formatCode>_-* #,##0.0_-;\-* #,##0.0_-;_-* "-"_-;_-@_-</c:formatCode>
                <c:ptCount val="5"/>
                <c:pt idx="0">
                  <c:v>0.8</c:v>
                </c:pt>
                <c:pt idx="1">
                  <c:v>1.05</c:v>
                </c:pt>
                <c:pt idx="2">
                  <c:v>1.9100000000000001</c:v>
                </c:pt>
                <c:pt idx="3">
                  <c:v>2.76</c:v>
                </c:pt>
                <c:pt idx="4">
                  <c:v>3.0649999999999999</c:v>
                </c:pt>
              </c:numCache>
            </c:numRef>
          </c:yVal>
          <c:smooth val="1"/>
        </c:ser>
        <c:ser>
          <c:idx val="4"/>
          <c:order val="4"/>
          <c:tx>
            <c:strRef>
              <c:f>Spend!$AG$564</c:f>
              <c:strCache>
                <c:ptCount val="1"/>
                <c:pt idx="0">
                  <c:v>Output 5</c:v>
                </c:pt>
              </c:strCache>
            </c:strRef>
          </c:tx>
          <c:marker>
            <c:symbol val="none"/>
          </c:marker>
          <c:xVal>
            <c:numRef>
              <c:f>Spend!$AH$568:$AL$568</c:f>
              <c:numCache>
                <c:formatCode>_(* #,##0_);_(* \(#,##0\);_(* "-"_);_(@_)</c:formatCode>
                <c:ptCount val="5"/>
                <c:pt idx="0">
                  <c:v>0</c:v>
                </c:pt>
                <c:pt idx="1">
                  <c:v>259655.46031827983</c:v>
                </c:pt>
                <c:pt idx="2">
                  <c:v>358970.64695657516</c:v>
                </c:pt>
                <c:pt idx="3">
                  <c:v>390219.71828563575</c:v>
                </c:pt>
                <c:pt idx="4">
                  <c:v>430180.51632856508</c:v>
                </c:pt>
              </c:numCache>
            </c:numRef>
          </c:xVal>
          <c:yVal>
            <c:numRef>
              <c:f>Spend!$AN$568:$AR$568</c:f>
              <c:numCache>
                <c:formatCode>_-* #,##0.0_-;\-* #,##0.0_-;_-* "-"_-;_-@_-</c:formatCode>
                <c:ptCount val="5"/>
                <c:pt idx="0">
                  <c:v>0.375</c:v>
                </c:pt>
                <c:pt idx="1">
                  <c:v>1.375</c:v>
                </c:pt>
                <c:pt idx="2">
                  <c:v>2</c:v>
                </c:pt>
                <c:pt idx="3">
                  <c:v>1.7083333333333333</c:v>
                </c:pt>
                <c:pt idx="4">
                  <c:v>2.2083333333333335</c:v>
                </c:pt>
              </c:numCache>
            </c:numRef>
          </c:yVal>
          <c:smooth val="1"/>
        </c:ser>
        <c:dLbls>
          <c:showLegendKey val="0"/>
          <c:showVal val="0"/>
          <c:showCatName val="0"/>
          <c:showSerName val="0"/>
          <c:showPercent val="0"/>
          <c:showBubbleSize val="0"/>
        </c:dLbls>
        <c:axId val="126624512"/>
        <c:axId val="126626816"/>
      </c:scatterChart>
      <c:valAx>
        <c:axId val="126624512"/>
        <c:scaling>
          <c:orientation val="minMax"/>
          <c:min val="1"/>
        </c:scaling>
        <c:delete val="0"/>
        <c:axPos val="b"/>
        <c:title>
          <c:tx>
            <c:rich>
              <a:bodyPr/>
              <a:lstStyle/>
              <a:p>
                <a:pPr>
                  <a:defRPr/>
                </a:pPr>
                <a:r>
                  <a:rPr lang="en-US" sz="1200"/>
                  <a:t>Spend</a:t>
                </a:r>
              </a:p>
            </c:rich>
          </c:tx>
          <c:layout>
            <c:manualLayout>
              <c:xMode val="edge"/>
              <c:yMode val="edge"/>
              <c:x val="0.43348243703579598"/>
              <c:y val="0.89929078014184405"/>
            </c:manualLayout>
          </c:layout>
          <c:overlay val="0"/>
        </c:title>
        <c:numFmt formatCode="_(* #,##0_);_(* \(#,##0\);_(* &quot;-&quot;_);_(@_)" sourceLinked="1"/>
        <c:majorTickMark val="none"/>
        <c:minorTickMark val="none"/>
        <c:tickLblPos val="nextTo"/>
        <c:crossAx val="126626816"/>
        <c:crosses val="autoZero"/>
        <c:crossBetween val="midCat"/>
        <c:dispUnits>
          <c:builtInUnit val="thousands"/>
          <c:dispUnitsLbl>
            <c:txPr>
              <a:bodyPr/>
              <a:lstStyle/>
              <a:p>
                <a:pPr>
                  <a:defRPr b="0" i="0"/>
                </a:pPr>
                <a:endParaRPr lang="en-US"/>
              </a:p>
            </c:txPr>
          </c:dispUnitsLbl>
        </c:dispUnits>
      </c:valAx>
      <c:valAx>
        <c:axId val="126626816"/>
        <c:scaling>
          <c:orientation val="minMax"/>
          <c:max val="5"/>
          <c:min val="0"/>
        </c:scaling>
        <c:delete val="0"/>
        <c:axPos val="l"/>
        <c:majorGridlines/>
        <c:title>
          <c:tx>
            <c:rich>
              <a:bodyPr/>
              <a:lstStyle/>
              <a:p>
                <a:pPr>
                  <a:defRPr sz="1200"/>
                </a:pPr>
                <a:r>
                  <a:rPr lang="en-US" sz="1200"/>
                  <a:t>Score</a:t>
                </a:r>
              </a:p>
            </c:rich>
          </c:tx>
          <c:overlay val="0"/>
        </c:title>
        <c:numFmt formatCode="_-* #,##0.0_-;\-* #,##0.0_-;_-* &quot;-&quot;_-;_-@_-" sourceLinked="1"/>
        <c:majorTickMark val="none"/>
        <c:minorTickMark val="none"/>
        <c:tickLblPos val="nextTo"/>
        <c:crossAx val="126624512"/>
        <c:crosses val="autoZero"/>
        <c:crossBetween val="midCat"/>
        <c:majorUnit val="1"/>
        <c:minorUnit val="0.1"/>
      </c:valAx>
    </c:plotArea>
    <c:legend>
      <c:legendPos val="r"/>
      <c:layout>
        <c:manualLayout>
          <c:xMode val="edge"/>
          <c:yMode val="edge"/>
          <c:x val="0.81423391225033004"/>
          <c:y val="0.329311649648034"/>
          <c:w val="0.16645037071096"/>
          <c:h val="0.35482179126902402"/>
        </c:manualLayout>
      </c:layout>
      <c:overlay val="0"/>
    </c:legend>
    <c:plotVisOnly val="1"/>
    <c:dispBlanksAs val="gap"/>
    <c:showDLblsOverMax val="0"/>
  </c:chart>
  <c:printSettings>
    <c:headerFooter/>
    <c:pageMargins b="1" l="0.75" r="0.75" t="1"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Score vs Spend: Kano</a:t>
            </a:r>
          </a:p>
        </c:rich>
      </c:tx>
      <c:overlay val="0"/>
    </c:title>
    <c:autoTitleDeleted val="0"/>
    <c:plotArea>
      <c:layout>
        <c:manualLayout>
          <c:layoutTarget val="inner"/>
          <c:xMode val="edge"/>
          <c:yMode val="edge"/>
          <c:x val="0.120232683680497"/>
          <c:y val="0.17943262411347499"/>
          <c:w val="0.66803205450382497"/>
          <c:h val="0.64770704193890705"/>
        </c:manualLayout>
      </c:layout>
      <c:scatterChart>
        <c:scatterStyle val="smoothMarker"/>
        <c:varyColors val="0"/>
        <c:ser>
          <c:idx val="0"/>
          <c:order val="0"/>
          <c:tx>
            <c:strRef>
              <c:f>Spend!$AG$191</c:f>
              <c:strCache>
                <c:ptCount val="1"/>
                <c:pt idx="0">
                  <c:v>Output 1</c:v>
                </c:pt>
              </c:strCache>
            </c:strRef>
          </c:tx>
          <c:marker>
            <c:symbol val="none"/>
          </c:marker>
          <c:xVal>
            <c:numRef>
              <c:f>Spend!$AH$196:$AL$196</c:f>
              <c:numCache>
                <c:formatCode>_(* #,##0_);_(* \(#,##0\);_(* "-"_);_(@_)</c:formatCode>
                <c:ptCount val="5"/>
                <c:pt idx="0">
                  <c:v>0</c:v>
                </c:pt>
                <c:pt idx="1">
                  <c:v>256088.33341424621</c:v>
                </c:pt>
                <c:pt idx="2">
                  <c:v>356192.01271262264</c:v>
                </c:pt>
                <c:pt idx="3">
                  <c:v>445210.18130065018</c:v>
                </c:pt>
                <c:pt idx="4">
                  <c:v>517014.25510873098</c:v>
                </c:pt>
              </c:numCache>
            </c:numRef>
          </c:xVal>
          <c:yVal>
            <c:numRef>
              <c:f>Spend!$AN$196:$AR$196</c:f>
              <c:numCache>
                <c:formatCode>_-* #,##0.0_-;\-* #,##0.0_-;_-* "-"_-;_-@_-</c:formatCode>
                <c:ptCount val="5"/>
                <c:pt idx="0">
                  <c:v>1</c:v>
                </c:pt>
                <c:pt idx="1">
                  <c:v>1.5</c:v>
                </c:pt>
                <c:pt idx="2">
                  <c:v>2.4666666666666668</c:v>
                </c:pt>
                <c:pt idx="3">
                  <c:v>3.8333333333333335</c:v>
                </c:pt>
                <c:pt idx="4">
                  <c:v>4.2</c:v>
                </c:pt>
              </c:numCache>
            </c:numRef>
          </c:yVal>
          <c:smooth val="1"/>
        </c:ser>
        <c:ser>
          <c:idx val="1"/>
          <c:order val="1"/>
          <c:tx>
            <c:strRef>
              <c:f>Spend!$AG$266</c:f>
              <c:strCache>
                <c:ptCount val="1"/>
                <c:pt idx="0">
                  <c:v>Output 2</c:v>
                </c:pt>
              </c:strCache>
            </c:strRef>
          </c:tx>
          <c:marker>
            <c:symbol val="none"/>
          </c:marker>
          <c:xVal>
            <c:numRef>
              <c:f>Spend!$AH$271:$AL$271</c:f>
              <c:numCache>
                <c:formatCode>_(* #,##0_);_(* \(#,##0\);_(* "-"_);_(@_)</c:formatCode>
                <c:ptCount val="5"/>
                <c:pt idx="0">
                  <c:v>0</c:v>
                </c:pt>
                <c:pt idx="1">
                  <c:v>216399.95723080472</c:v>
                </c:pt>
                <c:pt idx="2">
                  <c:v>332492.7489543556</c:v>
                </c:pt>
                <c:pt idx="3">
                  <c:v>406460.25717649504</c:v>
                </c:pt>
                <c:pt idx="4">
                  <c:v>500427.18519259605</c:v>
                </c:pt>
              </c:numCache>
            </c:numRef>
          </c:xVal>
          <c:yVal>
            <c:numRef>
              <c:f>Spend!$AN$271:$AR$271</c:f>
              <c:numCache>
                <c:formatCode>_-* #,##0.0_-;\-* #,##0.0_-;_-* "-"_-;_-@_-</c:formatCode>
                <c:ptCount val="5"/>
                <c:pt idx="0">
                  <c:v>1</c:v>
                </c:pt>
                <c:pt idx="1">
                  <c:v>1.5</c:v>
                </c:pt>
                <c:pt idx="2">
                  <c:v>2.6444444444444444</c:v>
                </c:pt>
                <c:pt idx="3">
                  <c:v>3.4888888888888889</c:v>
                </c:pt>
                <c:pt idx="4">
                  <c:v>3.5</c:v>
                </c:pt>
              </c:numCache>
            </c:numRef>
          </c:yVal>
          <c:smooth val="1"/>
        </c:ser>
        <c:ser>
          <c:idx val="2"/>
          <c:order val="2"/>
          <c:tx>
            <c:strRef>
              <c:f>Spend!$AG$341</c:f>
              <c:strCache>
                <c:ptCount val="1"/>
                <c:pt idx="0">
                  <c:v>Output 3</c:v>
                </c:pt>
              </c:strCache>
            </c:strRef>
          </c:tx>
          <c:marker>
            <c:symbol val="none"/>
          </c:marker>
          <c:xVal>
            <c:numRef>
              <c:f>Spend!$AH$346:$AL$346</c:f>
              <c:numCache>
                <c:formatCode>_(* #,##0_);_(* \(#,##0\);_(* "-"_);_(@_)</c:formatCode>
                <c:ptCount val="5"/>
                <c:pt idx="0">
                  <c:v>0</c:v>
                </c:pt>
                <c:pt idx="1">
                  <c:v>135793.15128597367</c:v>
                </c:pt>
                <c:pt idx="2">
                  <c:v>199230.28306369076</c:v>
                </c:pt>
                <c:pt idx="3">
                  <c:v>314526.97646975308</c:v>
                </c:pt>
                <c:pt idx="4">
                  <c:v>426296.07465662173</c:v>
                </c:pt>
              </c:numCache>
            </c:numRef>
          </c:xVal>
          <c:yVal>
            <c:numRef>
              <c:f>Spend!$AN$346:$AR$346</c:f>
              <c:numCache>
                <c:formatCode>_-* #,##0.0_-;\-* #,##0.0_-;_-* "-"_-;_-@_-</c:formatCode>
                <c:ptCount val="5"/>
                <c:pt idx="0">
                  <c:v>0</c:v>
                </c:pt>
                <c:pt idx="1">
                  <c:v>0.46875</c:v>
                </c:pt>
                <c:pt idx="2">
                  <c:v>1.734375</c:v>
                </c:pt>
                <c:pt idx="3">
                  <c:v>2.5218750000000001</c:v>
                </c:pt>
                <c:pt idx="4">
                  <c:v>2.7218749999999998</c:v>
                </c:pt>
              </c:numCache>
            </c:numRef>
          </c:yVal>
          <c:smooth val="1"/>
        </c:ser>
        <c:ser>
          <c:idx val="3"/>
          <c:order val="3"/>
          <c:tx>
            <c:strRef>
              <c:f>Spend!$AG$442</c:f>
              <c:strCache>
                <c:ptCount val="1"/>
                <c:pt idx="0">
                  <c:v>Output 4</c:v>
                </c:pt>
              </c:strCache>
            </c:strRef>
          </c:tx>
          <c:marker>
            <c:symbol val="none"/>
          </c:marker>
          <c:xVal>
            <c:numRef>
              <c:f>Spend!$AH$447:$AL$447</c:f>
              <c:numCache>
                <c:formatCode>_(* #,##0_);_(* \(#,##0\);_(* "-"_);_(@_)</c:formatCode>
                <c:ptCount val="5"/>
                <c:pt idx="0">
                  <c:v>0</c:v>
                </c:pt>
                <c:pt idx="1">
                  <c:v>326549.27157722716</c:v>
                </c:pt>
                <c:pt idx="2">
                  <c:v>530469.63641155674</c:v>
                </c:pt>
                <c:pt idx="3">
                  <c:v>631949.77799332992</c:v>
                </c:pt>
                <c:pt idx="4">
                  <c:v>763137.84177110763</c:v>
                </c:pt>
              </c:numCache>
            </c:numRef>
          </c:xVal>
          <c:yVal>
            <c:numRef>
              <c:f>Spend!$AN$447:$AR$447</c:f>
              <c:numCache>
                <c:formatCode>_-* #,##0.0_-;\-* #,##0.0_-;_-* "-"_-;_-@_-</c:formatCode>
                <c:ptCount val="5"/>
                <c:pt idx="0">
                  <c:v>1.2</c:v>
                </c:pt>
                <c:pt idx="1">
                  <c:v>1.6</c:v>
                </c:pt>
                <c:pt idx="2">
                  <c:v>2.145</c:v>
                </c:pt>
                <c:pt idx="3">
                  <c:v>2.77</c:v>
                </c:pt>
                <c:pt idx="4">
                  <c:v>3.5649999999999999</c:v>
                </c:pt>
              </c:numCache>
            </c:numRef>
          </c:yVal>
          <c:smooth val="1"/>
        </c:ser>
        <c:ser>
          <c:idx val="4"/>
          <c:order val="4"/>
          <c:tx>
            <c:strRef>
              <c:f>Spend!$AG$564</c:f>
              <c:strCache>
                <c:ptCount val="1"/>
                <c:pt idx="0">
                  <c:v>Output 5</c:v>
                </c:pt>
              </c:strCache>
            </c:strRef>
          </c:tx>
          <c:marker>
            <c:symbol val="none"/>
          </c:marker>
          <c:xVal>
            <c:numRef>
              <c:f>Spend!$AH$569:$AL$569</c:f>
              <c:numCache>
                <c:formatCode>_(* #,##0_);_(* \(#,##0\);_(* "-"_);_(@_)</c:formatCode>
                <c:ptCount val="5"/>
                <c:pt idx="0">
                  <c:v>0</c:v>
                </c:pt>
                <c:pt idx="1">
                  <c:v>267920.19477722718</c:v>
                </c:pt>
                <c:pt idx="2">
                  <c:v>337139.05957762775</c:v>
                </c:pt>
                <c:pt idx="3">
                  <c:v>393317.35685764946</c:v>
                </c:pt>
                <c:pt idx="4">
                  <c:v>437521.03922381112</c:v>
                </c:pt>
              </c:numCache>
            </c:numRef>
          </c:xVal>
          <c:yVal>
            <c:numRef>
              <c:f>Spend!$AN$569:$AR$569</c:f>
              <c:numCache>
                <c:formatCode>_-* #,##0.0_-;\-* #,##0.0_-;_-* "-"_-;_-@_-</c:formatCode>
                <c:ptCount val="5"/>
                <c:pt idx="0">
                  <c:v>0</c:v>
                </c:pt>
                <c:pt idx="1">
                  <c:v>1.625</c:v>
                </c:pt>
                <c:pt idx="2">
                  <c:v>2.25</c:v>
                </c:pt>
                <c:pt idx="3">
                  <c:v>1.9166666666666667</c:v>
                </c:pt>
                <c:pt idx="4">
                  <c:v>3.0208333333333335</c:v>
                </c:pt>
              </c:numCache>
            </c:numRef>
          </c:yVal>
          <c:smooth val="1"/>
        </c:ser>
        <c:dLbls>
          <c:showLegendKey val="0"/>
          <c:showVal val="0"/>
          <c:showCatName val="0"/>
          <c:showSerName val="0"/>
          <c:showPercent val="0"/>
          <c:showBubbleSize val="0"/>
        </c:dLbls>
        <c:axId val="126667392"/>
        <c:axId val="126669952"/>
      </c:scatterChart>
      <c:valAx>
        <c:axId val="126667392"/>
        <c:scaling>
          <c:orientation val="minMax"/>
          <c:max val="800001"/>
          <c:min val="1"/>
        </c:scaling>
        <c:delete val="0"/>
        <c:axPos val="b"/>
        <c:title>
          <c:tx>
            <c:rich>
              <a:bodyPr/>
              <a:lstStyle/>
              <a:p>
                <a:pPr>
                  <a:defRPr/>
                </a:pPr>
                <a:r>
                  <a:rPr lang="en-US" sz="1200"/>
                  <a:t>Spend</a:t>
                </a:r>
              </a:p>
            </c:rich>
          </c:tx>
          <c:layout>
            <c:manualLayout>
              <c:xMode val="edge"/>
              <c:yMode val="edge"/>
              <c:x val="0.43348243703579598"/>
              <c:y val="0.89929078014184405"/>
            </c:manualLayout>
          </c:layout>
          <c:overlay val="0"/>
        </c:title>
        <c:numFmt formatCode="_(* #,##0_);_(* \(#,##0\);_(* &quot;-&quot;_);_(@_)" sourceLinked="1"/>
        <c:majorTickMark val="none"/>
        <c:minorTickMark val="none"/>
        <c:tickLblPos val="nextTo"/>
        <c:crossAx val="126669952"/>
        <c:crosses val="autoZero"/>
        <c:crossBetween val="midCat"/>
        <c:dispUnits>
          <c:builtInUnit val="thousands"/>
          <c:dispUnitsLbl>
            <c:txPr>
              <a:bodyPr/>
              <a:lstStyle/>
              <a:p>
                <a:pPr>
                  <a:defRPr b="0" i="0"/>
                </a:pPr>
                <a:endParaRPr lang="en-US"/>
              </a:p>
            </c:txPr>
          </c:dispUnitsLbl>
        </c:dispUnits>
      </c:valAx>
      <c:valAx>
        <c:axId val="126669952"/>
        <c:scaling>
          <c:orientation val="minMax"/>
          <c:max val="5"/>
          <c:min val="0"/>
        </c:scaling>
        <c:delete val="0"/>
        <c:axPos val="l"/>
        <c:majorGridlines/>
        <c:title>
          <c:tx>
            <c:rich>
              <a:bodyPr/>
              <a:lstStyle/>
              <a:p>
                <a:pPr>
                  <a:defRPr sz="1200"/>
                </a:pPr>
                <a:r>
                  <a:rPr lang="en-US" sz="1200"/>
                  <a:t>Score</a:t>
                </a:r>
              </a:p>
            </c:rich>
          </c:tx>
          <c:overlay val="0"/>
        </c:title>
        <c:numFmt formatCode="_-* #,##0.0_-;\-* #,##0.0_-;_-* &quot;-&quot;_-;_-@_-" sourceLinked="1"/>
        <c:majorTickMark val="none"/>
        <c:minorTickMark val="none"/>
        <c:tickLblPos val="nextTo"/>
        <c:crossAx val="126667392"/>
        <c:crosses val="autoZero"/>
        <c:crossBetween val="midCat"/>
        <c:majorUnit val="1"/>
        <c:minorUnit val="0.1"/>
      </c:valAx>
    </c:plotArea>
    <c:legend>
      <c:legendPos val="r"/>
      <c:layout>
        <c:manualLayout>
          <c:xMode val="edge"/>
          <c:yMode val="edge"/>
          <c:x val="0.81423391225033004"/>
          <c:y val="0.329311649648034"/>
          <c:w val="0.161728374378735"/>
          <c:h val="0.35482179126902402"/>
        </c:manualLayout>
      </c:layout>
      <c:overlay val="0"/>
    </c:legend>
    <c:plotVisOnly val="1"/>
    <c:dispBlanksAs val="gap"/>
    <c:showDLblsOverMax val="0"/>
  </c:chart>
  <c:printSettings>
    <c:headerFooter/>
    <c:pageMargins b="1" l="0.75" r="0.75" t="1" header="0.5" footer="0.5"/>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Score vs Spend: Lagos</a:t>
            </a:r>
          </a:p>
        </c:rich>
      </c:tx>
      <c:overlay val="0"/>
    </c:title>
    <c:autoTitleDeleted val="0"/>
    <c:plotArea>
      <c:layout>
        <c:manualLayout>
          <c:layoutTarget val="inner"/>
          <c:xMode val="edge"/>
          <c:yMode val="edge"/>
          <c:x val="0.120232683680497"/>
          <c:y val="0.17943262411347499"/>
          <c:w val="0.66803205450382497"/>
          <c:h val="0.64770704193890705"/>
        </c:manualLayout>
      </c:layout>
      <c:scatterChart>
        <c:scatterStyle val="smoothMarker"/>
        <c:varyColors val="0"/>
        <c:ser>
          <c:idx val="0"/>
          <c:order val="0"/>
          <c:tx>
            <c:strRef>
              <c:f>Spend!$AG$191</c:f>
              <c:strCache>
                <c:ptCount val="1"/>
                <c:pt idx="0">
                  <c:v>Output 1</c:v>
                </c:pt>
              </c:strCache>
            </c:strRef>
          </c:tx>
          <c:marker>
            <c:symbol val="none"/>
          </c:marker>
          <c:xVal>
            <c:numRef>
              <c:f>Spend!$AH$197:$AL$197</c:f>
              <c:numCache>
                <c:formatCode>_(* #,##0_);_(* \(#,##0\);_(* "-"_);_(@_)</c:formatCode>
                <c:ptCount val="5"/>
                <c:pt idx="0">
                  <c:v>0</c:v>
                </c:pt>
                <c:pt idx="1">
                  <c:v>298269.98549143912</c:v>
                </c:pt>
                <c:pt idx="2">
                  <c:v>505167.00227100041</c:v>
                </c:pt>
                <c:pt idx="3">
                  <c:v>645920.10595960007</c:v>
                </c:pt>
                <c:pt idx="4">
                  <c:v>760589.13330303447</c:v>
                </c:pt>
              </c:numCache>
            </c:numRef>
          </c:xVal>
          <c:yVal>
            <c:numRef>
              <c:f>Spend!$AN$197:$AR$197</c:f>
              <c:numCache>
                <c:formatCode>_-* #,##0.0_-;\-* #,##0.0_-;_-* "-"_-;_-@_-</c:formatCode>
                <c:ptCount val="5"/>
                <c:pt idx="0">
                  <c:v>1</c:v>
                </c:pt>
                <c:pt idx="1">
                  <c:v>2.5</c:v>
                </c:pt>
                <c:pt idx="2">
                  <c:v>2.1666666666666665</c:v>
                </c:pt>
                <c:pt idx="3">
                  <c:v>3.1999999999999997</c:v>
                </c:pt>
                <c:pt idx="4">
                  <c:v>4.5333333333333332</c:v>
                </c:pt>
              </c:numCache>
            </c:numRef>
          </c:yVal>
          <c:smooth val="1"/>
        </c:ser>
        <c:ser>
          <c:idx val="1"/>
          <c:order val="1"/>
          <c:tx>
            <c:strRef>
              <c:f>Spend!$AG$266</c:f>
              <c:strCache>
                <c:ptCount val="1"/>
                <c:pt idx="0">
                  <c:v>Output 2</c:v>
                </c:pt>
              </c:strCache>
            </c:strRef>
          </c:tx>
          <c:marker>
            <c:symbol val="none"/>
          </c:marker>
          <c:xVal>
            <c:numRef>
              <c:f>Spend!$AH$272:$AL$272</c:f>
              <c:numCache>
                <c:formatCode>_(* #,##0_);_(* \(#,##0\);_(* "-"_);_(@_)</c:formatCode>
                <c:ptCount val="5"/>
                <c:pt idx="0">
                  <c:v>0</c:v>
                </c:pt>
                <c:pt idx="1">
                  <c:v>234731.99511150649</c:v>
                </c:pt>
                <c:pt idx="2">
                  <c:v>405167.02226488193</c:v>
                </c:pt>
                <c:pt idx="3">
                  <c:v>479665.38712111738</c:v>
                </c:pt>
                <c:pt idx="4">
                  <c:v>588930.42114600632</c:v>
                </c:pt>
              </c:numCache>
            </c:numRef>
          </c:xVal>
          <c:yVal>
            <c:numRef>
              <c:f>Spend!$AN$272:$AR$272</c:f>
              <c:numCache>
                <c:formatCode>_-* #,##0.0_-;\-* #,##0.0_-;_-* "-"_-;_-@_-</c:formatCode>
                <c:ptCount val="5"/>
                <c:pt idx="0">
                  <c:v>1</c:v>
                </c:pt>
                <c:pt idx="1">
                  <c:v>1</c:v>
                </c:pt>
                <c:pt idx="2">
                  <c:v>2.1555555555555554</c:v>
                </c:pt>
                <c:pt idx="3">
                  <c:v>2.9777777777777779</c:v>
                </c:pt>
                <c:pt idx="4">
                  <c:v>4.1000000000000005</c:v>
                </c:pt>
              </c:numCache>
            </c:numRef>
          </c:yVal>
          <c:smooth val="1"/>
        </c:ser>
        <c:ser>
          <c:idx val="2"/>
          <c:order val="2"/>
          <c:tx>
            <c:strRef>
              <c:f>Spend!$AG$341</c:f>
              <c:strCache>
                <c:ptCount val="1"/>
                <c:pt idx="0">
                  <c:v>Output 3</c:v>
                </c:pt>
              </c:strCache>
            </c:strRef>
          </c:tx>
          <c:marker>
            <c:symbol val="none"/>
          </c:marker>
          <c:xVal>
            <c:numRef>
              <c:f>Spend!$AH$347:$AL$347</c:f>
              <c:numCache>
                <c:formatCode>_(* #,##0_);_(* \(#,##0\);_(* "-"_);_(@_)</c:formatCode>
                <c:ptCount val="5"/>
                <c:pt idx="0">
                  <c:v>0</c:v>
                </c:pt>
                <c:pt idx="1">
                  <c:v>143995.00955965789</c:v>
                </c:pt>
                <c:pt idx="2">
                  <c:v>239055.13987948024</c:v>
                </c:pt>
                <c:pt idx="3">
                  <c:v>381525.21791963861</c:v>
                </c:pt>
                <c:pt idx="4">
                  <c:v>534639.96994489117</c:v>
                </c:pt>
              </c:numCache>
            </c:numRef>
          </c:xVal>
          <c:yVal>
            <c:numRef>
              <c:f>Spend!$AN$347:$AR$347</c:f>
              <c:numCache>
                <c:formatCode>_-* #,##0.0_-;\-* #,##0.0_-;_-* "-"_-;_-@_-</c:formatCode>
                <c:ptCount val="5"/>
                <c:pt idx="0">
                  <c:v>0</c:v>
                </c:pt>
                <c:pt idx="1">
                  <c:v>0.40625</c:v>
                </c:pt>
                <c:pt idx="2">
                  <c:v>1.5687500000000001</c:v>
                </c:pt>
                <c:pt idx="3">
                  <c:v>2.3187499999999996</c:v>
                </c:pt>
                <c:pt idx="4">
                  <c:v>2.6218750000000002</c:v>
                </c:pt>
              </c:numCache>
            </c:numRef>
          </c:yVal>
          <c:smooth val="1"/>
        </c:ser>
        <c:ser>
          <c:idx val="3"/>
          <c:order val="3"/>
          <c:tx>
            <c:strRef>
              <c:f>Spend!$AG$442</c:f>
              <c:strCache>
                <c:ptCount val="1"/>
                <c:pt idx="0">
                  <c:v>Output 4</c:v>
                </c:pt>
              </c:strCache>
            </c:strRef>
          </c:tx>
          <c:marker>
            <c:symbol val="none"/>
          </c:marker>
          <c:xVal>
            <c:numRef>
              <c:f>Spend!$AH$448:$AL$448</c:f>
              <c:numCache>
                <c:formatCode>_(* #,##0_);_(* \(#,##0\);_(* "-"_);_(@_)</c:formatCode>
                <c:ptCount val="5"/>
                <c:pt idx="0">
                  <c:v>0</c:v>
                </c:pt>
                <c:pt idx="1">
                  <c:v>413590.79999914463</c:v>
                </c:pt>
                <c:pt idx="2">
                  <c:v>587301.37693873735</c:v>
                </c:pt>
                <c:pt idx="3">
                  <c:v>676410.87593813078</c:v>
                </c:pt>
                <c:pt idx="4">
                  <c:v>803963.32476641366</c:v>
                </c:pt>
              </c:numCache>
            </c:numRef>
          </c:xVal>
          <c:yVal>
            <c:numRef>
              <c:f>Spend!$AN$448:$AR$448</c:f>
              <c:numCache>
                <c:formatCode>_-* #,##0.0_-;\-* #,##0.0_-;_-* "-"_-;_-@_-</c:formatCode>
                <c:ptCount val="5"/>
                <c:pt idx="0">
                  <c:v>1.2</c:v>
                </c:pt>
                <c:pt idx="1">
                  <c:v>2.4</c:v>
                </c:pt>
                <c:pt idx="2">
                  <c:v>2.7199999999999998</c:v>
                </c:pt>
                <c:pt idx="3">
                  <c:v>3.3400000000000007</c:v>
                </c:pt>
                <c:pt idx="4">
                  <c:v>3.5700000000000003</c:v>
                </c:pt>
              </c:numCache>
            </c:numRef>
          </c:yVal>
          <c:smooth val="1"/>
        </c:ser>
        <c:ser>
          <c:idx val="4"/>
          <c:order val="4"/>
          <c:tx>
            <c:strRef>
              <c:f>Spend!$AG$564</c:f>
              <c:strCache>
                <c:ptCount val="1"/>
                <c:pt idx="0">
                  <c:v>Output 5</c:v>
                </c:pt>
              </c:strCache>
            </c:strRef>
          </c:tx>
          <c:marker>
            <c:symbol val="none"/>
          </c:marker>
          <c:xVal>
            <c:numRef>
              <c:f>Spend!$AH$570:$AL$570</c:f>
              <c:numCache>
                <c:formatCode>_(* #,##0_);_(* \(#,##0\);_(* "-"_);_(@_)</c:formatCode>
                <c:ptCount val="5"/>
                <c:pt idx="0">
                  <c:v>0</c:v>
                </c:pt>
                <c:pt idx="1">
                  <c:v>262382.0924614378</c:v>
                </c:pt>
                <c:pt idx="2">
                  <c:v>372074.08149341732</c:v>
                </c:pt>
                <c:pt idx="3">
                  <c:v>424767.14941611636</c:v>
                </c:pt>
                <c:pt idx="4">
                  <c:v>470051.02869136888</c:v>
                </c:pt>
              </c:numCache>
            </c:numRef>
          </c:xVal>
          <c:yVal>
            <c:numRef>
              <c:f>Spend!$AN$570:$AR$570</c:f>
              <c:numCache>
                <c:formatCode>_-* #,##0.0_-;\-* #,##0.0_-;_-* "-"_-;_-@_-</c:formatCode>
                <c:ptCount val="5"/>
                <c:pt idx="0">
                  <c:v>0.75</c:v>
                </c:pt>
                <c:pt idx="1">
                  <c:v>1.875</c:v>
                </c:pt>
                <c:pt idx="2">
                  <c:v>1.5</c:v>
                </c:pt>
                <c:pt idx="3">
                  <c:v>2.0625</c:v>
                </c:pt>
                <c:pt idx="4">
                  <c:v>3.1041666666666665</c:v>
                </c:pt>
              </c:numCache>
            </c:numRef>
          </c:yVal>
          <c:smooth val="1"/>
        </c:ser>
        <c:dLbls>
          <c:showLegendKey val="0"/>
          <c:showVal val="0"/>
          <c:showCatName val="0"/>
          <c:showSerName val="0"/>
          <c:showPercent val="0"/>
          <c:showBubbleSize val="0"/>
        </c:dLbls>
        <c:axId val="126325504"/>
        <c:axId val="126327808"/>
      </c:scatterChart>
      <c:valAx>
        <c:axId val="126325504"/>
        <c:scaling>
          <c:orientation val="minMax"/>
          <c:max val="800001"/>
          <c:min val="1"/>
        </c:scaling>
        <c:delete val="0"/>
        <c:axPos val="b"/>
        <c:title>
          <c:tx>
            <c:rich>
              <a:bodyPr/>
              <a:lstStyle/>
              <a:p>
                <a:pPr>
                  <a:defRPr/>
                </a:pPr>
                <a:r>
                  <a:rPr lang="en-US" sz="1200"/>
                  <a:t>Spend</a:t>
                </a:r>
              </a:p>
            </c:rich>
          </c:tx>
          <c:layout>
            <c:manualLayout>
              <c:xMode val="edge"/>
              <c:yMode val="edge"/>
              <c:x val="0.43348243703579598"/>
              <c:y val="0.89929078014184405"/>
            </c:manualLayout>
          </c:layout>
          <c:overlay val="0"/>
        </c:title>
        <c:numFmt formatCode="_(* #,##0_);_(* \(#,##0\);_(* &quot;-&quot;_);_(@_)" sourceLinked="1"/>
        <c:majorTickMark val="none"/>
        <c:minorTickMark val="none"/>
        <c:tickLblPos val="nextTo"/>
        <c:crossAx val="126327808"/>
        <c:crosses val="autoZero"/>
        <c:crossBetween val="midCat"/>
        <c:dispUnits>
          <c:builtInUnit val="thousands"/>
          <c:dispUnitsLbl>
            <c:txPr>
              <a:bodyPr/>
              <a:lstStyle/>
              <a:p>
                <a:pPr>
                  <a:defRPr b="0" i="0"/>
                </a:pPr>
                <a:endParaRPr lang="en-US"/>
              </a:p>
            </c:txPr>
          </c:dispUnitsLbl>
        </c:dispUnits>
      </c:valAx>
      <c:valAx>
        <c:axId val="126327808"/>
        <c:scaling>
          <c:orientation val="minMax"/>
          <c:max val="5"/>
          <c:min val="0"/>
        </c:scaling>
        <c:delete val="0"/>
        <c:axPos val="l"/>
        <c:majorGridlines/>
        <c:title>
          <c:tx>
            <c:rich>
              <a:bodyPr/>
              <a:lstStyle/>
              <a:p>
                <a:pPr>
                  <a:defRPr sz="1200"/>
                </a:pPr>
                <a:r>
                  <a:rPr lang="en-US" sz="1200"/>
                  <a:t>Score</a:t>
                </a:r>
              </a:p>
            </c:rich>
          </c:tx>
          <c:overlay val="0"/>
        </c:title>
        <c:numFmt formatCode="_-* #,##0.0_-;\-* #,##0.0_-;_-* &quot;-&quot;_-;_-@_-" sourceLinked="1"/>
        <c:majorTickMark val="none"/>
        <c:minorTickMark val="none"/>
        <c:tickLblPos val="nextTo"/>
        <c:crossAx val="126325504"/>
        <c:crosses val="autoZero"/>
        <c:crossBetween val="midCat"/>
        <c:majorUnit val="1"/>
        <c:minorUnit val="0.1"/>
      </c:valAx>
    </c:plotArea>
    <c:legend>
      <c:legendPos val="r"/>
      <c:layout>
        <c:manualLayout>
          <c:xMode val="edge"/>
          <c:yMode val="edge"/>
          <c:x val="0.81423391225033004"/>
          <c:y val="0.329311649648034"/>
          <c:w val="0.16645037071096"/>
          <c:h val="0.35482179126902402"/>
        </c:manualLayout>
      </c:layout>
      <c:overlay val="0"/>
    </c:legend>
    <c:plotVisOnly val="1"/>
    <c:dispBlanksAs val="gap"/>
    <c:showDLblsOverMax val="0"/>
  </c:chart>
  <c:printSettings>
    <c:headerFooter/>
    <c:pageMargins b="1" l="0.75" r="0.75" t="1" header="0.5" footer="0.5"/>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Score vs Spend: Zamfara</a:t>
            </a:r>
          </a:p>
        </c:rich>
      </c:tx>
      <c:overlay val="0"/>
    </c:title>
    <c:autoTitleDeleted val="0"/>
    <c:plotArea>
      <c:layout>
        <c:manualLayout>
          <c:layoutTarget val="inner"/>
          <c:xMode val="edge"/>
          <c:yMode val="edge"/>
          <c:x val="0.120232683680497"/>
          <c:y val="0.17943262411347499"/>
          <c:w val="0.66803205450382497"/>
          <c:h val="0.64770704193890705"/>
        </c:manualLayout>
      </c:layout>
      <c:scatterChart>
        <c:scatterStyle val="smoothMarker"/>
        <c:varyColors val="0"/>
        <c:ser>
          <c:idx val="0"/>
          <c:order val="0"/>
          <c:tx>
            <c:strRef>
              <c:f>Spend!$AG$191</c:f>
              <c:strCache>
                <c:ptCount val="1"/>
                <c:pt idx="0">
                  <c:v>Output 1</c:v>
                </c:pt>
              </c:strCache>
            </c:strRef>
          </c:tx>
          <c:marker>
            <c:symbol val="none"/>
          </c:marker>
          <c:xVal>
            <c:numRef>
              <c:f>Spend!$AH$198:$AL$198</c:f>
              <c:numCache>
                <c:formatCode>_(* #,##0_);_(* \(#,##0\);_(* "-"_);_(@_)</c:formatCode>
                <c:ptCount val="5"/>
                <c:pt idx="0">
                  <c:v>0</c:v>
                </c:pt>
                <c:pt idx="1">
                  <c:v>0</c:v>
                </c:pt>
                <c:pt idx="2">
                  <c:v>70855.769756943657</c:v>
                </c:pt>
                <c:pt idx="3">
                  <c:v>156893.44227538776</c:v>
                </c:pt>
                <c:pt idx="4">
                  <c:v>224821.09608346852</c:v>
                </c:pt>
              </c:numCache>
            </c:numRef>
          </c:xVal>
          <c:yVal>
            <c:numRef>
              <c:f>Spend!$AN$198:$AR$198</c:f>
              <c:numCache>
                <c:formatCode>_-* #,##0.0_-;\-* #,##0.0_-;_-* "-"_-;_-@_-</c:formatCode>
                <c:ptCount val="5"/>
                <c:pt idx="0">
                  <c:v>1</c:v>
                </c:pt>
                <c:pt idx="1">
                  <c:v>1</c:v>
                </c:pt>
                <c:pt idx="2">
                  <c:v>0.66666666666666663</c:v>
                </c:pt>
                <c:pt idx="3">
                  <c:v>1.0999999999999999</c:v>
                </c:pt>
                <c:pt idx="4">
                  <c:v>2.1666666666666665</c:v>
                </c:pt>
              </c:numCache>
            </c:numRef>
          </c:yVal>
          <c:smooth val="1"/>
        </c:ser>
        <c:ser>
          <c:idx val="1"/>
          <c:order val="1"/>
          <c:tx>
            <c:strRef>
              <c:f>Spend!$AG$266</c:f>
              <c:strCache>
                <c:ptCount val="1"/>
                <c:pt idx="0">
                  <c:v>Output 2</c:v>
                </c:pt>
              </c:strCache>
            </c:strRef>
          </c:tx>
          <c:marker>
            <c:symbol val="none"/>
          </c:marker>
          <c:xVal>
            <c:numRef>
              <c:f>Spend!$AH$273:$AL$273</c:f>
              <c:numCache>
                <c:formatCode>_(* #,##0_);_(* \(#,##0\);_(* "-"_);_(@_)</c:formatCode>
                <c:ptCount val="5"/>
                <c:pt idx="0">
                  <c:v>0</c:v>
                </c:pt>
                <c:pt idx="1">
                  <c:v>0</c:v>
                </c:pt>
                <c:pt idx="2">
                  <c:v>71965.031176943652</c:v>
                </c:pt>
                <c:pt idx="3">
                  <c:v>146038.75240150088</c:v>
                </c:pt>
                <c:pt idx="4">
                  <c:v>230338.99082101602</c:v>
                </c:pt>
              </c:numCache>
            </c:numRef>
          </c:xVal>
          <c:yVal>
            <c:numRef>
              <c:f>Spend!$AN$273:$AR$273</c:f>
              <c:numCache>
                <c:formatCode>_-* #,##0.0_-;\-* #,##0.0_-;_-* "-"_-;_-@_-</c:formatCode>
                <c:ptCount val="5"/>
                <c:pt idx="0">
                  <c:v>1</c:v>
                </c:pt>
                <c:pt idx="1">
                  <c:v>1</c:v>
                </c:pt>
                <c:pt idx="2">
                  <c:v>0.66666666666666663</c:v>
                </c:pt>
                <c:pt idx="3">
                  <c:v>1.6666666666666667</c:v>
                </c:pt>
                <c:pt idx="4">
                  <c:v>1.7777777777777777</c:v>
                </c:pt>
              </c:numCache>
            </c:numRef>
          </c:yVal>
          <c:smooth val="1"/>
        </c:ser>
        <c:ser>
          <c:idx val="2"/>
          <c:order val="2"/>
          <c:tx>
            <c:strRef>
              <c:f>Spend!$AG$341</c:f>
              <c:strCache>
                <c:ptCount val="1"/>
                <c:pt idx="0">
                  <c:v>Output 3</c:v>
                </c:pt>
              </c:strCache>
            </c:strRef>
          </c:tx>
          <c:marker>
            <c:symbol val="none"/>
          </c:marker>
          <c:xVal>
            <c:numRef>
              <c:f>Spend!$AH$348:$AL$348</c:f>
              <c:numCache>
                <c:formatCode>_(* #,##0_);_(* \(#,##0\);_(* "-"_);_(@_)</c:formatCode>
                <c:ptCount val="5"/>
                <c:pt idx="0">
                  <c:v>0</c:v>
                </c:pt>
                <c:pt idx="1">
                  <c:v>0</c:v>
                </c:pt>
                <c:pt idx="2">
                  <c:v>37305.911710159206</c:v>
                </c:pt>
                <c:pt idx="3">
                  <c:v>123670.1161722426</c:v>
                </c:pt>
                <c:pt idx="4">
                  <c:v>265139.9249651719</c:v>
                </c:pt>
              </c:numCache>
            </c:numRef>
          </c:xVal>
          <c:yVal>
            <c:numRef>
              <c:f>Spend!$AN$348:$AR$348</c:f>
              <c:numCache>
                <c:formatCode>_-* #,##0.0_-;\-* #,##0.0_-;_-* "-"_-;_-@_-</c:formatCode>
                <c:ptCount val="5"/>
                <c:pt idx="0">
                  <c:v>3.125E-2</c:v>
                </c:pt>
                <c:pt idx="1">
                  <c:v>3.125E-2</c:v>
                </c:pt>
                <c:pt idx="2">
                  <c:v>0.703125</c:v>
                </c:pt>
                <c:pt idx="3">
                  <c:v>1.10625</c:v>
                </c:pt>
                <c:pt idx="4">
                  <c:v>2.8468749999999998</c:v>
                </c:pt>
              </c:numCache>
            </c:numRef>
          </c:yVal>
          <c:smooth val="1"/>
        </c:ser>
        <c:ser>
          <c:idx val="3"/>
          <c:order val="3"/>
          <c:tx>
            <c:strRef>
              <c:f>Spend!$AG$442</c:f>
              <c:strCache>
                <c:ptCount val="1"/>
                <c:pt idx="0">
                  <c:v>Output 4</c:v>
                </c:pt>
              </c:strCache>
            </c:strRef>
          </c:tx>
          <c:marker>
            <c:symbol val="none"/>
          </c:marker>
          <c:xVal>
            <c:numRef>
              <c:f>Spend!$AH$449:$AL$449</c:f>
              <c:numCache>
                <c:formatCode>_(* #,##0_);_(* \(#,##0\);_(* "-"_);_(@_)</c:formatCode>
                <c:ptCount val="5"/>
                <c:pt idx="0">
                  <c:v>0</c:v>
                </c:pt>
                <c:pt idx="1">
                  <c:v>0</c:v>
                </c:pt>
                <c:pt idx="2">
                  <c:v>64382.206187446514</c:v>
                </c:pt>
                <c:pt idx="3">
                  <c:v>106816.01200682923</c:v>
                </c:pt>
                <c:pt idx="4">
                  <c:v>248208.55260278884</c:v>
                </c:pt>
              </c:numCache>
            </c:numRef>
          </c:xVal>
          <c:yVal>
            <c:numRef>
              <c:f>Spend!$AN$449:$AR$449</c:f>
              <c:numCache>
                <c:formatCode>_-* #,##0.0_-;\-* #,##0.0_-;_-* "-"_-;_-@_-</c:formatCode>
                <c:ptCount val="5"/>
                <c:pt idx="0">
                  <c:v>1</c:v>
                </c:pt>
                <c:pt idx="1">
                  <c:v>1</c:v>
                </c:pt>
                <c:pt idx="2">
                  <c:v>1.1000000000000001</c:v>
                </c:pt>
                <c:pt idx="3">
                  <c:v>2.48</c:v>
                </c:pt>
                <c:pt idx="4">
                  <c:v>3.1449999999999996</c:v>
                </c:pt>
              </c:numCache>
            </c:numRef>
          </c:yVal>
          <c:smooth val="1"/>
        </c:ser>
        <c:ser>
          <c:idx val="4"/>
          <c:order val="4"/>
          <c:tx>
            <c:strRef>
              <c:f>Spend!$AG$564</c:f>
              <c:strCache>
                <c:ptCount val="1"/>
                <c:pt idx="0">
                  <c:v>Output 5</c:v>
                </c:pt>
              </c:strCache>
            </c:strRef>
          </c:tx>
          <c:marker>
            <c:symbol val="none"/>
          </c:marker>
          <c:xVal>
            <c:numRef>
              <c:f>Spend!$AH$571:$AL$571</c:f>
              <c:numCache>
                <c:formatCode>_(* #,##0_);_(* \(#,##0\);_(* "-"_);_(@_)</c:formatCode>
                <c:ptCount val="5"/>
                <c:pt idx="0">
                  <c:v>0</c:v>
                </c:pt>
                <c:pt idx="1">
                  <c:v>0</c:v>
                </c:pt>
                <c:pt idx="2">
                  <c:v>21654.280850624164</c:v>
                </c:pt>
                <c:pt idx="3">
                  <c:v>41692.085030819762</c:v>
                </c:pt>
                <c:pt idx="4">
                  <c:v>79325.962205062184</c:v>
                </c:pt>
              </c:numCache>
            </c:numRef>
          </c:xVal>
          <c:yVal>
            <c:numRef>
              <c:f>Spend!$AN$571:$AR$571</c:f>
              <c:numCache>
                <c:formatCode>_-* #,##0.0_-;\-* #,##0.0_-;_-* "-"_-;_-@_-</c:formatCode>
                <c:ptCount val="5"/>
                <c:pt idx="0">
                  <c:v>0</c:v>
                </c:pt>
                <c:pt idx="1">
                  <c:v>0</c:v>
                </c:pt>
                <c:pt idx="2">
                  <c:v>0.5</c:v>
                </c:pt>
                <c:pt idx="3">
                  <c:v>0.35416666666666669</c:v>
                </c:pt>
                <c:pt idx="4">
                  <c:v>0.64583333333333337</c:v>
                </c:pt>
              </c:numCache>
            </c:numRef>
          </c:yVal>
          <c:smooth val="1"/>
        </c:ser>
        <c:dLbls>
          <c:showLegendKey val="0"/>
          <c:showVal val="0"/>
          <c:showCatName val="0"/>
          <c:showSerName val="0"/>
          <c:showPercent val="0"/>
          <c:showBubbleSize val="0"/>
        </c:dLbls>
        <c:axId val="126458496"/>
        <c:axId val="126465152"/>
      </c:scatterChart>
      <c:valAx>
        <c:axId val="126458496"/>
        <c:scaling>
          <c:orientation val="minMax"/>
          <c:max val="800001"/>
          <c:min val="1"/>
        </c:scaling>
        <c:delete val="0"/>
        <c:axPos val="b"/>
        <c:title>
          <c:tx>
            <c:rich>
              <a:bodyPr/>
              <a:lstStyle/>
              <a:p>
                <a:pPr>
                  <a:defRPr/>
                </a:pPr>
                <a:r>
                  <a:rPr lang="en-US" sz="1200"/>
                  <a:t>Spend</a:t>
                </a:r>
              </a:p>
            </c:rich>
          </c:tx>
          <c:layout>
            <c:manualLayout>
              <c:xMode val="edge"/>
              <c:yMode val="edge"/>
              <c:x val="0.43348243703579598"/>
              <c:y val="0.89929078014184405"/>
            </c:manualLayout>
          </c:layout>
          <c:overlay val="0"/>
        </c:title>
        <c:numFmt formatCode="_(* #,##0_);_(* \(#,##0\);_(* &quot;-&quot;_);_(@_)" sourceLinked="1"/>
        <c:majorTickMark val="none"/>
        <c:minorTickMark val="none"/>
        <c:tickLblPos val="nextTo"/>
        <c:crossAx val="126465152"/>
        <c:crosses val="autoZero"/>
        <c:crossBetween val="midCat"/>
        <c:dispUnits>
          <c:builtInUnit val="thousands"/>
          <c:dispUnitsLbl>
            <c:txPr>
              <a:bodyPr/>
              <a:lstStyle/>
              <a:p>
                <a:pPr>
                  <a:defRPr b="0" i="0"/>
                </a:pPr>
                <a:endParaRPr lang="en-US"/>
              </a:p>
            </c:txPr>
          </c:dispUnitsLbl>
        </c:dispUnits>
      </c:valAx>
      <c:valAx>
        <c:axId val="126465152"/>
        <c:scaling>
          <c:orientation val="minMax"/>
          <c:max val="5"/>
          <c:min val="0"/>
        </c:scaling>
        <c:delete val="0"/>
        <c:axPos val="l"/>
        <c:majorGridlines/>
        <c:title>
          <c:tx>
            <c:rich>
              <a:bodyPr/>
              <a:lstStyle/>
              <a:p>
                <a:pPr>
                  <a:defRPr sz="1200"/>
                </a:pPr>
                <a:r>
                  <a:rPr lang="en-US" sz="1200"/>
                  <a:t>Score</a:t>
                </a:r>
              </a:p>
            </c:rich>
          </c:tx>
          <c:overlay val="0"/>
        </c:title>
        <c:numFmt formatCode="_-* #,##0.0_-;\-* #,##0.0_-;_-* &quot;-&quot;_-;_-@_-" sourceLinked="1"/>
        <c:majorTickMark val="none"/>
        <c:minorTickMark val="none"/>
        <c:tickLblPos val="nextTo"/>
        <c:crossAx val="126458496"/>
        <c:crosses val="autoZero"/>
        <c:crossBetween val="midCat"/>
        <c:majorUnit val="1"/>
        <c:minorUnit val="0.1"/>
      </c:valAx>
    </c:plotArea>
    <c:legend>
      <c:legendPos val="r"/>
      <c:layout>
        <c:manualLayout>
          <c:xMode val="edge"/>
          <c:yMode val="edge"/>
          <c:x val="0.81423391225033004"/>
          <c:y val="0.329311649648034"/>
          <c:w val="0.161728374378735"/>
          <c:h val="0.35482179126902402"/>
        </c:manualLayout>
      </c:layout>
      <c:overlay val="0"/>
    </c:legend>
    <c:plotVisOnly val="1"/>
    <c:dispBlanksAs val="gap"/>
    <c:showDLblsOverMax val="0"/>
  </c:chart>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4.5855162381445803E-2"/>
          <c:y val="4.08479532163743E-2"/>
          <c:w val="0.80402559843072496"/>
          <c:h val="0.83174385964912301"/>
        </c:manualLayout>
      </c:layout>
      <c:lineChart>
        <c:grouping val="standard"/>
        <c:varyColors val="0"/>
        <c:ser>
          <c:idx val="0"/>
          <c:order val="0"/>
          <c:tx>
            <c:strRef>
              <c:f>'10 States AggWorkings'!$B$25</c:f>
              <c:strCache>
                <c:ptCount val="1"/>
                <c:pt idx="0">
                  <c:v>planned</c:v>
                </c:pt>
              </c:strCache>
            </c:strRef>
          </c:tx>
          <c:spPr>
            <a:ln w="38100">
              <a:solidFill>
                <a:srgbClr val="666699"/>
              </a:solidFill>
              <a:prstDash val="solid"/>
            </a:ln>
          </c:spPr>
          <c:marker>
            <c:symbol val="none"/>
          </c:marker>
          <c:cat>
            <c:strRef>
              <c:f>'10 States AggWorkings'!$C$2:$Y$2</c:f>
              <c:strCache>
                <c:ptCount val="23"/>
                <c:pt idx="0">
                  <c:v>early                                                                 
2010</c:v>
                </c:pt>
                <c:pt idx="1">
                  <c:v>Q1</c:v>
                </c:pt>
                <c:pt idx="2">
                  <c:v>Q2</c:v>
                </c:pt>
                <c:pt idx="3">
                  <c:v>Q3</c:v>
                </c:pt>
                <c:pt idx="4">
                  <c:v>Q4</c:v>
                </c:pt>
                <c:pt idx="5">
                  <c:v>Q1</c:v>
                </c:pt>
                <c:pt idx="6">
                  <c:v>Q2                                                                 
mid 2011</c:v>
                </c:pt>
                <c:pt idx="7">
                  <c:v>Q3</c:v>
                </c:pt>
                <c:pt idx="8">
                  <c:v>Q4</c:v>
                </c:pt>
                <c:pt idx="9">
                  <c:v>Q1</c:v>
                </c:pt>
                <c:pt idx="10">
                  <c:v>Q2</c:v>
                </c:pt>
                <c:pt idx="11">
                  <c:v>Q3/4                                                                 
late 2012</c:v>
                </c:pt>
                <c:pt idx="12">
                  <c:v>Q1</c:v>
                </c:pt>
                <c:pt idx="13">
                  <c:v>Q2</c:v>
                </c:pt>
                <c:pt idx="14">
                  <c:v>Q3</c:v>
                </c:pt>
                <c:pt idx="15">
                  <c:v> Q4                                                                
late 2013</c:v>
                </c:pt>
                <c:pt idx="16">
                  <c:v>Q1</c:v>
                </c:pt>
                <c:pt idx="17">
                  <c:v>Q2</c:v>
                </c:pt>
                <c:pt idx="18">
                  <c:v>Q3</c:v>
                </c:pt>
                <c:pt idx="19">
                  <c:v>Q4</c:v>
                </c:pt>
                <c:pt idx="20">
                  <c:v>Q1</c:v>
                </c:pt>
                <c:pt idx="21">
                  <c:v>Q2</c:v>
                </c:pt>
                <c:pt idx="22">
                  <c:v>Q3                                                                 
mid 2015</c:v>
                </c:pt>
              </c:strCache>
            </c:strRef>
          </c:cat>
          <c:val>
            <c:numRef>
              <c:f>'10 States AggWorkings'!$C$25:$Y$25</c:f>
              <c:numCache>
                <c:formatCode>0.0</c:formatCode>
                <c:ptCount val="23"/>
                <c:pt idx="0">
                  <c:v>0</c:v>
                </c:pt>
                <c:pt idx="1">
                  <c:v>0</c:v>
                </c:pt>
                <c:pt idx="2">
                  <c:v>0</c:v>
                </c:pt>
                <c:pt idx="3">
                  <c:v>0</c:v>
                </c:pt>
                <c:pt idx="4">
                  <c:v>0</c:v>
                </c:pt>
                <c:pt idx="5">
                  <c:v>0</c:v>
                </c:pt>
                <c:pt idx="6">
                  <c:v>2</c:v>
                </c:pt>
                <c:pt idx="7">
                  <c:v>2.0614583333333338</c:v>
                </c:pt>
                <c:pt idx="8">
                  <c:v>2.1229166666666668</c:v>
                </c:pt>
                <c:pt idx="9">
                  <c:v>2.1843749999999997</c:v>
                </c:pt>
                <c:pt idx="10">
                  <c:v>2.2458333333333331</c:v>
                </c:pt>
                <c:pt idx="11">
                  <c:v>2.3687499999999999</c:v>
                </c:pt>
                <c:pt idx="12">
                  <c:v>2.484375</c:v>
                </c:pt>
                <c:pt idx="13">
                  <c:v>2.6</c:v>
                </c:pt>
                <c:pt idx="14">
                  <c:v>2.7156250000000002</c:v>
                </c:pt>
                <c:pt idx="15">
                  <c:v>2.8312499999999998</c:v>
                </c:pt>
                <c:pt idx="16">
                  <c:v>2.901041666666667</c:v>
                </c:pt>
                <c:pt idx="17">
                  <c:v>2.9708333333333337</c:v>
                </c:pt>
                <c:pt idx="18">
                  <c:v>3.0406249999999999</c:v>
                </c:pt>
                <c:pt idx="19">
                  <c:v>3.1104166666666666</c:v>
                </c:pt>
                <c:pt idx="20">
                  <c:v>3.3241666666666667</c:v>
                </c:pt>
                <c:pt idx="21">
                  <c:v>3.4699999999999998</c:v>
                </c:pt>
                <c:pt idx="22">
                  <c:v>3.5</c:v>
                </c:pt>
              </c:numCache>
            </c:numRef>
          </c:val>
          <c:smooth val="0"/>
        </c:ser>
        <c:ser>
          <c:idx val="1"/>
          <c:order val="1"/>
          <c:tx>
            <c:strRef>
              <c:f>'10 States AggWorkings'!$B$26</c:f>
              <c:strCache>
                <c:ptCount val="1"/>
                <c:pt idx="0">
                  <c:v>achieved</c:v>
                </c:pt>
              </c:strCache>
            </c:strRef>
          </c:tx>
          <c:spPr>
            <a:ln w="38100">
              <a:solidFill>
                <a:srgbClr val="993366"/>
              </a:solidFill>
              <a:prstDash val="solid"/>
            </a:ln>
          </c:spPr>
          <c:marker>
            <c:symbol val="none"/>
          </c:marker>
          <c:cat>
            <c:strRef>
              <c:f>'10 States AggWorkings'!$C$2:$Y$2</c:f>
              <c:strCache>
                <c:ptCount val="23"/>
                <c:pt idx="0">
                  <c:v>early                                                                 
2010</c:v>
                </c:pt>
                <c:pt idx="1">
                  <c:v>Q1</c:v>
                </c:pt>
                <c:pt idx="2">
                  <c:v>Q2</c:v>
                </c:pt>
                <c:pt idx="3">
                  <c:v>Q3</c:v>
                </c:pt>
                <c:pt idx="4">
                  <c:v>Q4</c:v>
                </c:pt>
                <c:pt idx="5">
                  <c:v>Q1</c:v>
                </c:pt>
                <c:pt idx="6">
                  <c:v>Q2                                                                 
mid 2011</c:v>
                </c:pt>
                <c:pt idx="7">
                  <c:v>Q3</c:v>
                </c:pt>
                <c:pt idx="8">
                  <c:v>Q4</c:v>
                </c:pt>
                <c:pt idx="9">
                  <c:v>Q1</c:v>
                </c:pt>
                <c:pt idx="10">
                  <c:v>Q2</c:v>
                </c:pt>
                <c:pt idx="11">
                  <c:v>Q3/4                                                                 
late 2012</c:v>
                </c:pt>
                <c:pt idx="12">
                  <c:v>Q1</c:v>
                </c:pt>
                <c:pt idx="13">
                  <c:v>Q2</c:v>
                </c:pt>
                <c:pt idx="14">
                  <c:v>Q3</c:v>
                </c:pt>
                <c:pt idx="15">
                  <c:v> Q4                                                                
late 2013</c:v>
                </c:pt>
                <c:pt idx="16">
                  <c:v>Q1</c:v>
                </c:pt>
                <c:pt idx="17">
                  <c:v>Q2</c:v>
                </c:pt>
                <c:pt idx="18">
                  <c:v>Q3</c:v>
                </c:pt>
                <c:pt idx="19">
                  <c:v>Q4</c:v>
                </c:pt>
                <c:pt idx="20">
                  <c:v>Q1</c:v>
                </c:pt>
                <c:pt idx="21">
                  <c:v>Q2</c:v>
                </c:pt>
                <c:pt idx="22">
                  <c:v>Q3                                                                 
mid 2015</c:v>
                </c:pt>
              </c:strCache>
            </c:strRef>
          </c:cat>
          <c:val>
            <c:numRef>
              <c:f>'10 States AggWorkings'!$C$26:$Y$26</c:f>
              <c:numCache>
                <c:formatCode>0.0</c:formatCode>
                <c:ptCount val="23"/>
                <c:pt idx="0">
                  <c:v>0</c:v>
                </c:pt>
                <c:pt idx="1">
                  <c:v>1.2374999999999998</c:v>
                </c:pt>
                <c:pt idx="2">
                  <c:v>1.25</c:v>
                </c:pt>
                <c:pt idx="3">
                  <c:v>1.2625000000000002</c:v>
                </c:pt>
                <c:pt idx="4">
                  <c:v>1.2625000000000002</c:v>
                </c:pt>
                <c:pt idx="5">
                  <c:v>1.2625</c:v>
                </c:pt>
                <c:pt idx="6">
                  <c:v>1.7250000000000001</c:v>
                </c:pt>
                <c:pt idx="7">
                  <c:v>1.85</c:v>
                </c:pt>
                <c:pt idx="8">
                  <c:v>1.8874999999999997</c:v>
                </c:pt>
                <c:pt idx="9">
                  <c:v>1.5</c:v>
                </c:pt>
                <c:pt idx="10">
                  <c:v>1.8625</c:v>
                </c:pt>
                <c:pt idx="11">
                  <c:v>2.4500000000000002</c:v>
                </c:pt>
                <c:pt idx="12">
                  <c:v>2.5625</c:v>
                </c:pt>
                <c:pt idx="13">
                  <c:v>2.7249999999999996</c:v>
                </c:pt>
                <c:pt idx="14">
                  <c:v>2.8000000000000003</c:v>
                </c:pt>
                <c:pt idx="15">
                  <c:v>2.9875000000000003</c:v>
                </c:pt>
                <c:pt idx="16">
                  <c:v>3.0125000000000002</c:v>
                </c:pt>
                <c:pt idx="17">
                  <c:v>3.5125000000000002</c:v>
                </c:pt>
                <c:pt idx="18">
                  <c:v>3.5249999999999999</c:v>
                </c:pt>
                <c:pt idx="19">
                  <c:v>3.7249999999999996</c:v>
                </c:pt>
                <c:pt idx="20">
                  <c:v>3.5</c:v>
                </c:pt>
                <c:pt idx="21">
                  <c:v>3.6000000000000005</c:v>
                </c:pt>
                <c:pt idx="22">
                  <c:v>0</c:v>
                </c:pt>
              </c:numCache>
            </c:numRef>
          </c:val>
          <c:smooth val="0"/>
        </c:ser>
        <c:dLbls>
          <c:showLegendKey val="0"/>
          <c:showVal val="0"/>
          <c:showCatName val="0"/>
          <c:showSerName val="0"/>
          <c:showPercent val="0"/>
          <c:showBubbleSize val="0"/>
        </c:dLbls>
        <c:marker val="1"/>
        <c:smooth val="0"/>
        <c:axId val="110621824"/>
        <c:axId val="110623360"/>
      </c:lineChart>
      <c:catAx>
        <c:axId val="110621824"/>
        <c:scaling>
          <c:orientation val="minMax"/>
        </c:scaling>
        <c:delete val="0"/>
        <c:axPos val="b"/>
        <c:majorGridlines>
          <c:spPr>
            <a:ln w="3175">
              <a:solidFill>
                <a:srgbClr val="808080"/>
              </a:solidFill>
              <a:prstDash val="solid"/>
            </a:ln>
          </c:spPr>
        </c:majorGridlines>
        <c:numFmt formatCode="General" sourceLinked="1"/>
        <c:majorTickMark val="out"/>
        <c:minorTickMark val="none"/>
        <c:tickLblPos val="nextTo"/>
        <c:spPr>
          <a:ln w="3175">
            <a:solidFill>
              <a:srgbClr val="808080"/>
            </a:solidFill>
            <a:prstDash val="solid"/>
          </a:ln>
        </c:spPr>
        <c:txPr>
          <a:bodyPr rot="0" vert="horz"/>
          <a:lstStyle/>
          <a:p>
            <a:pPr>
              <a:defRPr sz="900" b="0" i="0" u="none" strike="noStrike" baseline="0">
                <a:solidFill>
                  <a:srgbClr val="666699"/>
                </a:solidFill>
                <a:latin typeface="Calibri"/>
                <a:ea typeface="Calibri"/>
                <a:cs typeface="Calibri"/>
              </a:defRPr>
            </a:pPr>
            <a:endParaRPr lang="en-US"/>
          </a:p>
        </c:txPr>
        <c:crossAx val="110623360"/>
        <c:crosses val="autoZero"/>
        <c:auto val="1"/>
        <c:lblAlgn val="ctr"/>
        <c:lblOffset val="100"/>
        <c:noMultiLvlLbl val="0"/>
      </c:catAx>
      <c:valAx>
        <c:axId val="110623360"/>
        <c:scaling>
          <c:orientation val="minMax"/>
          <c:max val="5"/>
        </c:scaling>
        <c:delete val="0"/>
        <c:axPos val="l"/>
        <c:majorGridlines>
          <c:spPr>
            <a:ln w="3175">
              <a:solidFill>
                <a:srgbClr val="808080"/>
              </a:solidFill>
              <a:prstDash val="solid"/>
            </a:ln>
          </c:spPr>
        </c:majorGridlines>
        <c:numFmt formatCode="0.0" sourceLinked="1"/>
        <c:majorTickMark val="out"/>
        <c:minorTickMark val="none"/>
        <c:tickLblPos val="nextTo"/>
        <c:spPr>
          <a:ln w="3175">
            <a:solidFill>
              <a:srgbClr val="808080"/>
            </a:solidFill>
            <a:prstDash val="solid"/>
          </a:ln>
        </c:spPr>
        <c:txPr>
          <a:bodyPr rot="0" vert="horz"/>
          <a:lstStyle/>
          <a:p>
            <a:pPr>
              <a:defRPr sz="900" b="0" i="0" u="none" strike="noStrike" baseline="0">
                <a:solidFill>
                  <a:srgbClr val="666699"/>
                </a:solidFill>
                <a:latin typeface="Calibri"/>
                <a:ea typeface="Calibri"/>
                <a:cs typeface="Calibri"/>
              </a:defRPr>
            </a:pPr>
            <a:endParaRPr lang="en-US"/>
          </a:p>
        </c:txPr>
        <c:crossAx val="110621824"/>
        <c:crosses val="autoZero"/>
        <c:crossBetween val="midCat"/>
      </c:valAx>
      <c:spPr>
        <a:solidFill>
          <a:srgbClr val="FFFFFF"/>
        </a:solidFill>
        <a:ln w="25400">
          <a:noFill/>
        </a:ln>
      </c:spPr>
    </c:plotArea>
    <c:legend>
      <c:legendPos val="r"/>
      <c:layout>
        <c:manualLayout>
          <c:xMode val="edge"/>
          <c:yMode val="edge"/>
          <c:x val="0.890365448504983"/>
          <c:y val="0.373133988443414"/>
          <c:w val="9.1362126245847206E-2"/>
          <c:h val="0.130596895955195"/>
        </c:manualLayout>
      </c:layout>
      <c:overlay val="0"/>
      <c:spPr>
        <a:noFill/>
        <a:ln w="25400">
          <a:noFill/>
        </a:ln>
      </c:spPr>
      <c:txPr>
        <a:bodyPr/>
        <a:lstStyle/>
        <a:p>
          <a:pPr>
            <a:defRPr sz="690" b="0" i="0" u="none" strike="noStrike" baseline="0">
              <a:solidFill>
                <a:srgbClr val="666699"/>
              </a:solidFill>
              <a:latin typeface="Calibri"/>
              <a:ea typeface="Calibri"/>
              <a:cs typeface="Calibri"/>
            </a:defRPr>
          </a:pPr>
          <a:endParaRPr lang="en-US"/>
        </a:p>
      </c:txPr>
    </c:legend>
    <c:plotVisOnly val="1"/>
    <c:dispBlanksAs val="gap"/>
    <c:showDLblsOverMax val="0"/>
  </c:chart>
  <c:spPr>
    <a:solidFill>
      <a:srgbClr val="DCE6F2"/>
    </a:solidFill>
    <a:ln w="9525">
      <a:noFill/>
    </a:ln>
  </c:spPr>
  <c:txPr>
    <a:bodyPr/>
    <a:lstStyle/>
    <a:p>
      <a:pPr>
        <a:defRPr sz="900" b="0" i="0" u="none" strike="noStrike" baseline="0">
          <a:solidFill>
            <a:srgbClr val="666699"/>
          </a:solidFill>
          <a:latin typeface="Calibri"/>
          <a:ea typeface="Calibri"/>
          <a:cs typeface="Calibri"/>
        </a:defRPr>
      </a:pPr>
      <a:endParaRPr lang="en-US"/>
    </a:p>
  </c:txPr>
  <c:printSettings>
    <c:headerFooter/>
    <c:pageMargins b="1" l="0.75" r="0.75"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Score vs Spend: Katsina</a:t>
            </a:r>
          </a:p>
        </c:rich>
      </c:tx>
      <c:overlay val="0"/>
    </c:title>
    <c:autoTitleDeleted val="0"/>
    <c:plotArea>
      <c:layout>
        <c:manualLayout>
          <c:layoutTarget val="inner"/>
          <c:xMode val="edge"/>
          <c:yMode val="edge"/>
          <c:x val="0.120232683680497"/>
          <c:y val="0.17943262411347499"/>
          <c:w val="0.66803205450382497"/>
          <c:h val="0.64770704193890705"/>
        </c:manualLayout>
      </c:layout>
      <c:scatterChart>
        <c:scatterStyle val="smoothMarker"/>
        <c:varyColors val="0"/>
        <c:ser>
          <c:idx val="0"/>
          <c:order val="0"/>
          <c:tx>
            <c:strRef>
              <c:f>Spend!$AG$191</c:f>
              <c:strCache>
                <c:ptCount val="1"/>
                <c:pt idx="0">
                  <c:v>Output 1</c:v>
                </c:pt>
              </c:strCache>
            </c:strRef>
          </c:tx>
          <c:marker>
            <c:symbol val="none"/>
          </c:marker>
          <c:xVal>
            <c:numRef>
              <c:f>Spend!$AH$199:$AL$199</c:f>
              <c:numCache>
                <c:formatCode>_(* #,##0_);_(* \(#,##0\);_(* "-"_);_(@_)</c:formatCode>
                <c:ptCount val="5"/>
                <c:pt idx="0">
                  <c:v>0</c:v>
                </c:pt>
                <c:pt idx="1">
                  <c:v>0</c:v>
                </c:pt>
                <c:pt idx="2">
                  <c:v>70717.678899575243</c:v>
                </c:pt>
                <c:pt idx="3">
                  <c:v>136107.38985987287</c:v>
                </c:pt>
                <c:pt idx="4">
                  <c:v>205740.09412249914</c:v>
                </c:pt>
              </c:numCache>
            </c:numRef>
          </c:xVal>
          <c:yVal>
            <c:numRef>
              <c:f>Spend!$AN$199:$AR$199</c:f>
              <c:numCache>
                <c:formatCode>_-* #,##0.0_-;\-* #,##0.0_-;_-* "-"_-;_-@_-</c:formatCode>
                <c:ptCount val="5"/>
                <c:pt idx="0">
                  <c:v>1</c:v>
                </c:pt>
                <c:pt idx="1">
                  <c:v>1</c:v>
                </c:pt>
                <c:pt idx="2">
                  <c:v>0.83333333333333337</c:v>
                </c:pt>
                <c:pt idx="3">
                  <c:v>0.66666666666666663</c:v>
                </c:pt>
                <c:pt idx="4">
                  <c:v>2.1</c:v>
                </c:pt>
              </c:numCache>
            </c:numRef>
          </c:yVal>
          <c:smooth val="1"/>
        </c:ser>
        <c:ser>
          <c:idx val="1"/>
          <c:order val="1"/>
          <c:tx>
            <c:strRef>
              <c:f>Spend!$AG$266</c:f>
              <c:strCache>
                <c:ptCount val="1"/>
                <c:pt idx="0">
                  <c:v>Output 2</c:v>
                </c:pt>
              </c:strCache>
            </c:strRef>
          </c:tx>
          <c:marker>
            <c:symbol val="none"/>
          </c:marker>
          <c:xVal>
            <c:numRef>
              <c:f>Spend!$AH$274:$AL$274</c:f>
              <c:numCache>
                <c:formatCode>_(* #,##0_);_(* \(#,##0\);_(* "-"_);_(@_)</c:formatCode>
                <c:ptCount val="5"/>
                <c:pt idx="0">
                  <c:v>0</c:v>
                </c:pt>
                <c:pt idx="1">
                  <c:v>0</c:v>
                </c:pt>
                <c:pt idx="2">
                  <c:v>71772.832619575245</c:v>
                </c:pt>
                <c:pt idx="3">
                  <c:v>125687.14047660386</c:v>
                </c:pt>
                <c:pt idx="4">
                  <c:v>191099.0940968261</c:v>
                </c:pt>
              </c:numCache>
            </c:numRef>
          </c:xVal>
          <c:yVal>
            <c:numRef>
              <c:f>Spend!$AN$274:$AR$274</c:f>
              <c:numCache>
                <c:formatCode>_-* #,##0.0_-;\-* #,##0.0_-;_-* "-"_-;_-@_-</c:formatCode>
                <c:ptCount val="5"/>
                <c:pt idx="0">
                  <c:v>1</c:v>
                </c:pt>
                <c:pt idx="1">
                  <c:v>1</c:v>
                </c:pt>
                <c:pt idx="2">
                  <c:v>0.66666666666666663</c:v>
                </c:pt>
                <c:pt idx="3">
                  <c:v>0.70000000000000007</c:v>
                </c:pt>
                <c:pt idx="4">
                  <c:v>2.3000000000000003</c:v>
                </c:pt>
              </c:numCache>
            </c:numRef>
          </c:yVal>
          <c:smooth val="1"/>
        </c:ser>
        <c:ser>
          <c:idx val="2"/>
          <c:order val="2"/>
          <c:tx>
            <c:strRef>
              <c:f>Spend!$AG$341</c:f>
              <c:strCache>
                <c:ptCount val="1"/>
                <c:pt idx="0">
                  <c:v>Output 3</c:v>
                </c:pt>
              </c:strCache>
            </c:strRef>
          </c:tx>
          <c:marker>
            <c:symbol val="none"/>
          </c:marker>
          <c:xVal>
            <c:numRef>
              <c:f>Spend!$AH$349:$AL$349</c:f>
              <c:numCache>
                <c:formatCode>_(* #,##0_);_(* \(#,##0\);_(* "-"_);_(@_)</c:formatCode>
                <c:ptCount val="5"/>
                <c:pt idx="0">
                  <c:v>0</c:v>
                </c:pt>
                <c:pt idx="1">
                  <c:v>0</c:v>
                </c:pt>
                <c:pt idx="2">
                  <c:v>37142.940728580259</c:v>
                </c:pt>
                <c:pt idx="3">
                  <c:v>106907.14560313504</c:v>
                </c:pt>
                <c:pt idx="4">
                  <c:v>210917.35767889261</c:v>
                </c:pt>
              </c:numCache>
            </c:numRef>
          </c:xVal>
          <c:yVal>
            <c:numRef>
              <c:f>Spend!$AN$349:$AR$349</c:f>
              <c:numCache>
                <c:formatCode>_-* #,##0.0_-;\-* #,##0.0_-;_-* "-"_-;_-@_-</c:formatCode>
                <c:ptCount val="5"/>
                <c:pt idx="0">
                  <c:v>0</c:v>
                </c:pt>
                <c:pt idx="1">
                  <c:v>0</c:v>
                </c:pt>
                <c:pt idx="2">
                  <c:v>0.90625</c:v>
                </c:pt>
                <c:pt idx="3">
                  <c:v>1.371875</c:v>
                </c:pt>
                <c:pt idx="4">
                  <c:v>2.2000000000000002</c:v>
                </c:pt>
              </c:numCache>
            </c:numRef>
          </c:yVal>
          <c:smooth val="1"/>
        </c:ser>
        <c:ser>
          <c:idx val="3"/>
          <c:order val="3"/>
          <c:tx>
            <c:strRef>
              <c:f>Spend!$AG$442</c:f>
              <c:strCache>
                <c:ptCount val="1"/>
                <c:pt idx="0">
                  <c:v>Output 4</c:v>
                </c:pt>
              </c:strCache>
            </c:strRef>
          </c:tx>
          <c:marker>
            <c:symbol val="none"/>
          </c:marker>
          <c:xVal>
            <c:numRef>
              <c:f>Spend!$AH$450:$AL$450</c:f>
              <c:numCache>
                <c:formatCode>_(* #,##0_);_(* \(#,##0\);_(* "-"_);_(@_)</c:formatCode>
                <c:ptCount val="5"/>
                <c:pt idx="0">
                  <c:v>0</c:v>
                </c:pt>
                <c:pt idx="1">
                  <c:v>0</c:v>
                </c:pt>
                <c:pt idx="2">
                  <c:v>63521.261868499161</c:v>
                </c:pt>
                <c:pt idx="3">
                  <c:v>106937.2181209711</c:v>
                </c:pt>
                <c:pt idx="4">
                  <c:v>211012.98396945593</c:v>
                </c:pt>
              </c:numCache>
            </c:numRef>
          </c:xVal>
          <c:yVal>
            <c:numRef>
              <c:f>Spend!$AN$450:$AR$450</c:f>
              <c:numCache>
                <c:formatCode>_-* #,##0.0_-;\-* #,##0.0_-;_-* "-"_-;_-@_-</c:formatCode>
                <c:ptCount val="5"/>
                <c:pt idx="0">
                  <c:v>2.1</c:v>
                </c:pt>
                <c:pt idx="1">
                  <c:v>2.1</c:v>
                </c:pt>
                <c:pt idx="2">
                  <c:v>2.1</c:v>
                </c:pt>
                <c:pt idx="3">
                  <c:v>2.25</c:v>
                </c:pt>
                <c:pt idx="4">
                  <c:v>3.6</c:v>
                </c:pt>
              </c:numCache>
            </c:numRef>
          </c:yVal>
          <c:smooth val="1"/>
        </c:ser>
        <c:ser>
          <c:idx val="4"/>
          <c:order val="4"/>
          <c:tx>
            <c:strRef>
              <c:f>Spend!$AG$564</c:f>
              <c:strCache>
                <c:ptCount val="1"/>
                <c:pt idx="0">
                  <c:v>Output 5</c:v>
                </c:pt>
              </c:strCache>
            </c:strRef>
          </c:tx>
          <c:marker>
            <c:symbol val="none"/>
          </c:marker>
          <c:xVal>
            <c:numRef>
              <c:f>Spend!$AH$572:$AL$572</c:f>
              <c:numCache>
                <c:formatCode>_(* #,##0_);_(* \(#,##0\);_(* "-"_);_(@_)</c:formatCode>
                <c:ptCount val="5"/>
                <c:pt idx="0">
                  <c:v>0</c:v>
                </c:pt>
                <c:pt idx="1">
                  <c:v>0</c:v>
                </c:pt>
                <c:pt idx="2">
                  <c:v>21482.785316939953</c:v>
                </c:pt>
                <c:pt idx="3">
                  <c:v>41226.446607410158</c:v>
                </c:pt>
                <c:pt idx="4">
                  <c:v>83617.782862460677</c:v>
                </c:pt>
              </c:numCache>
            </c:numRef>
          </c:xVal>
          <c:yVal>
            <c:numRef>
              <c:f>Spend!$AN$572:$AR$572</c:f>
              <c:numCache>
                <c:formatCode>_-* #,##0.0_-;\-* #,##0.0_-;_-* "-"_-;_-@_-</c:formatCode>
                <c:ptCount val="5"/>
                <c:pt idx="0">
                  <c:v>0</c:v>
                </c:pt>
                <c:pt idx="1">
                  <c:v>0</c:v>
                </c:pt>
                <c:pt idx="2">
                  <c:v>0.125</c:v>
                </c:pt>
                <c:pt idx="3">
                  <c:v>0.35416666666666669</c:v>
                </c:pt>
                <c:pt idx="4">
                  <c:v>2.2083333333333335</c:v>
                </c:pt>
              </c:numCache>
            </c:numRef>
          </c:yVal>
          <c:smooth val="1"/>
        </c:ser>
        <c:dLbls>
          <c:showLegendKey val="0"/>
          <c:showVal val="0"/>
          <c:showCatName val="0"/>
          <c:showSerName val="0"/>
          <c:showPercent val="0"/>
          <c:showBubbleSize val="0"/>
        </c:dLbls>
        <c:axId val="126509824"/>
        <c:axId val="126512128"/>
      </c:scatterChart>
      <c:valAx>
        <c:axId val="126509824"/>
        <c:scaling>
          <c:orientation val="minMax"/>
          <c:max val="800001"/>
          <c:min val="1"/>
        </c:scaling>
        <c:delete val="0"/>
        <c:axPos val="b"/>
        <c:title>
          <c:tx>
            <c:rich>
              <a:bodyPr/>
              <a:lstStyle/>
              <a:p>
                <a:pPr>
                  <a:defRPr/>
                </a:pPr>
                <a:r>
                  <a:rPr lang="en-US" sz="1200"/>
                  <a:t>Spend</a:t>
                </a:r>
              </a:p>
            </c:rich>
          </c:tx>
          <c:layout>
            <c:manualLayout>
              <c:xMode val="edge"/>
              <c:yMode val="edge"/>
              <c:x val="0.43348243703579598"/>
              <c:y val="0.89929078014184405"/>
            </c:manualLayout>
          </c:layout>
          <c:overlay val="0"/>
        </c:title>
        <c:numFmt formatCode="_(* #,##0_);_(* \(#,##0\);_(* &quot;-&quot;_);_(@_)" sourceLinked="1"/>
        <c:majorTickMark val="none"/>
        <c:minorTickMark val="none"/>
        <c:tickLblPos val="nextTo"/>
        <c:crossAx val="126512128"/>
        <c:crosses val="autoZero"/>
        <c:crossBetween val="midCat"/>
        <c:dispUnits>
          <c:builtInUnit val="thousands"/>
          <c:dispUnitsLbl>
            <c:txPr>
              <a:bodyPr/>
              <a:lstStyle/>
              <a:p>
                <a:pPr>
                  <a:defRPr b="0" i="0"/>
                </a:pPr>
                <a:endParaRPr lang="en-US"/>
              </a:p>
            </c:txPr>
          </c:dispUnitsLbl>
        </c:dispUnits>
      </c:valAx>
      <c:valAx>
        <c:axId val="126512128"/>
        <c:scaling>
          <c:orientation val="minMax"/>
          <c:max val="5"/>
          <c:min val="0"/>
        </c:scaling>
        <c:delete val="0"/>
        <c:axPos val="l"/>
        <c:majorGridlines/>
        <c:title>
          <c:tx>
            <c:rich>
              <a:bodyPr/>
              <a:lstStyle/>
              <a:p>
                <a:pPr>
                  <a:defRPr sz="1200"/>
                </a:pPr>
                <a:r>
                  <a:rPr lang="en-US" sz="1200"/>
                  <a:t>Score</a:t>
                </a:r>
              </a:p>
            </c:rich>
          </c:tx>
          <c:overlay val="0"/>
        </c:title>
        <c:numFmt formatCode="_-* #,##0.0_-;\-* #,##0.0_-;_-* &quot;-&quot;_-;_-@_-" sourceLinked="1"/>
        <c:majorTickMark val="none"/>
        <c:minorTickMark val="none"/>
        <c:tickLblPos val="nextTo"/>
        <c:crossAx val="126509824"/>
        <c:crosses val="autoZero"/>
        <c:crossBetween val="midCat"/>
        <c:majorUnit val="1"/>
        <c:minorUnit val="0.1"/>
      </c:valAx>
    </c:plotArea>
    <c:legend>
      <c:legendPos val="r"/>
      <c:layout>
        <c:manualLayout>
          <c:xMode val="edge"/>
          <c:yMode val="edge"/>
          <c:x val="0.81423391225033004"/>
          <c:y val="0.329311649648034"/>
          <c:w val="0.16645037071096"/>
          <c:h val="0.35482179126902402"/>
        </c:manualLayout>
      </c:layout>
      <c:overlay val="0"/>
    </c:legend>
    <c:plotVisOnly val="1"/>
    <c:dispBlanksAs val="gap"/>
    <c:showDLblsOverMax val="0"/>
  </c:chart>
  <c:printSettings>
    <c:headerFooter/>
    <c:pageMargins b="1" l="0.75" r="0.75" t="1" header="0.5" footer="0.5"/>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Score vs Spend: Yobe</a:t>
            </a:r>
          </a:p>
        </c:rich>
      </c:tx>
      <c:overlay val="0"/>
    </c:title>
    <c:autoTitleDeleted val="0"/>
    <c:plotArea>
      <c:layout>
        <c:manualLayout>
          <c:layoutTarget val="inner"/>
          <c:xMode val="edge"/>
          <c:yMode val="edge"/>
          <c:x val="0.120232683680497"/>
          <c:y val="0.17943262411347499"/>
          <c:w val="0.66803205450382497"/>
          <c:h val="0.64770704193890705"/>
        </c:manualLayout>
      </c:layout>
      <c:scatterChart>
        <c:scatterStyle val="smoothMarker"/>
        <c:varyColors val="0"/>
        <c:ser>
          <c:idx val="0"/>
          <c:order val="0"/>
          <c:tx>
            <c:strRef>
              <c:f>Spend!$AG$191</c:f>
              <c:strCache>
                <c:ptCount val="1"/>
                <c:pt idx="0">
                  <c:v>Output 1</c:v>
                </c:pt>
              </c:strCache>
            </c:strRef>
          </c:tx>
          <c:marker>
            <c:symbol val="none"/>
          </c:marker>
          <c:xVal>
            <c:numRef>
              <c:f>Spend!$AH$200:$AL$200</c:f>
              <c:numCache>
                <c:formatCode>_(* #,##0_);_(* \(#,##0\);_(* "-"_);_(@_)</c:formatCode>
                <c:ptCount val="5"/>
                <c:pt idx="0">
                  <c:v>0</c:v>
                </c:pt>
                <c:pt idx="1">
                  <c:v>0</c:v>
                </c:pt>
                <c:pt idx="2">
                  <c:v>73376.644043259454</c:v>
                </c:pt>
                <c:pt idx="3">
                  <c:v>137961.97117467836</c:v>
                </c:pt>
                <c:pt idx="4">
                  <c:v>196359.76538679955</c:v>
                </c:pt>
              </c:numCache>
            </c:numRef>
          </c:xVal>
          <c:yVal>
            <c:numRef>
              <c:f>Spend!$AN$200:$AR$200</c:f>
              <c:numCache>
                <c:formatCode>_-* #,##0.0_-;\-* #,##0.0_-;_-* "-"_-;_-@_-</c:formatCode>
                <c:ptCount val="5"/>
                <c:pt idx="0">
                  <c:v>1</c:v>
                </c:pt>
                <c:pt idx="1">
                  <c:v>1</c:v>
                </c:pt>
                <c:pt idx="2">
                  <c:v>0.66666666666666663</c:v>
                </c:pt>
                <c:pt idx="3">
                  <c:v>1.6333333333333335</c:v>
                </c:pt>
                <c:pt idx="4">
                  <c:v>3.0666666666666664</c:v>
                </c:pt>
              </c:numCache>
            </c:numRef>
          </c:yVal>
          <c:smooth val="1"/>
        </c:ser>
        <c:ser>
          <c:idx val="1"/>
          <c:order val="1"/>
          <c:tx>
            <c:strRef>
              <c:f>Spend!$AG$266</c:f>
              <c:strCache>
                <c:ptCount val="1"/>
                <c:pt idx="0">
                  <c:v>Output 2</c:v>
                </c:pt>
              </c:strCache>
            </c:strRef>
          </c:tx>
          <c:marker>
            <c:symbol val="none"/>
          </c:marker>
          <c:xVal>
            <c:numRef>
              <c:f>Spend!$AH$275:$AL$275</c:f>
              <c:numCache>
                <c:formatCode>_(* #,##0_);_(* \(#,##0\);_(* "-"_);_(@_)</c:formatCode>
                <c:ptCount val="5"/>
                <c:pt idx="0">
                  <c:v>0</c:v>
                </c:pt>
                <c:pt idx="1">
                  <c:v>0</c:v>
                </c:pt>
                <c:pt idx="2">
                  <c:v>74678.040963259453</c:v>
                </c:pt>
                <c:pt idx="3">
                  <c:v>134790.89039253062</c:v>
                </c:pt>
                <c:pt idx="4">
                  <c:v>204686.66547873267</c:v>
                </c:pt>
              </c:numCache>
            </c:numRef>
          </c:xVal>
          <c:yVal>
            <c:numRef>
              <c:f>Spend!$AN$275:$AR$275</c:f>
              <c:numCache>
                <c:formatCode>_-* #,##0.0_-;\-* #,##0.0_-;_-* "-"_-;_-@_-</c:formatCode>
                <c:ptCount val="5"/>
                <c:pt idx="0">
                  <c:v>1</c:v>
                </c:pt>
                <c:pt idx="1">
                  <c:v>1</c:v>
                </c:pt>
                <c:pt idx="2">
                  <c:v>0.66666666666666663</c:v>
                </c:pt>
                <c:pt idx="3">
                  <c:v>2.3000000000000003</c:v>
                </c:pt>
                <c:pt idx="4">
                  <c:v>3.1444444444444444</c:v>
                </c:pt>
              </c:numCache>
            </c:numRef>
          </c:yVal>
          <c:smooth val="1"/>
        </c:ser>
        <c:ser>
          <c:idx val="2"/>
          <c:order val="2"/>
          <c:tx>
            <c:strRef>
              <c:f>Spend!$AG$341</c:f>
              <c:strCache>
                <c:ptCount val="1"/>
                <c:pt idx="0">
                  <c:v>Output 3</c:v>
                </c:pt>
              </c:strCache>
            </c:strRef>
          </c:tx>
          <c:marker>
            <c:symbol val="none"/>
          </c:marker>
          <c:xVal>
            <c:numRef>
              <c:f>Spend!$AH$350:$AL$350</c:f>
              <c:numCache>
                <c:formatCode>_(* #,##0_);_(* \(#,##0\);_(* "-"_);_(@_)</c:formatCode>
                <c:ptCount val="5"/>
                <c:pt idx="0">
                  <c:v>0</c:v>
                </c:pt>
                <c:pt idx="1">
                  <c:v>0</c:v>
                </c:pt>
                <c:pt idx="2">
                  <c:v>38550.713894369735</c:v>
                </c:pt>
                <c:pt idx="3">
                  <c:v>142249.74928116711</c:v>
                </c:pt>
                <c:pt idx="4">
                  <c:v>257067.33458924788</c:v>
                </c:pt>
              </c:numCache>
            </c:numRef>
          </c:xVal>
          <c:yVal>
            <c:numRef>
              <c:f>Spend!$AN$350:$AR$350</c:f>
              <c:numCache>
                <c:formatCode>_-* #,##0.0_-;\-* #,##0.0_-;_-* "-"_-;_-@_-</c:formatCode>
                <c:ptCount val="5"/>
                <c:pt idx="0">
                  <c:v>0</c:v>
                </c:pt>
                <c:pt idx="1">
                  <c:v>0</c:v>
                </c:pt>
                <c:pt idx="2">
                  <c:v>0.88124999999999998</c:v>
                </c:pt>
                <c:pt idx="3">
                  <c:v>1.6156250000000001</c:v>
                </c:pt>
                <c:pt idx="4">
                  <c:v>2.6343749999999999</c:v>
                </c:pt>
              </c:numCache>
            </c:numRef>
          </c:yVal>
          <c:smooth val="1"/>
        </c:ser>
        <c:ser>
          <c:idx val="3"/>
          <c:order val="3"/>
          <c:tx>
            <c:strRef>
              <c:f>Spend!$AG$442</c:f>
              <c:strCache>
                <c:ptCount val="1"/>
                <c:pt idx="0">
                  <c:v>Output 4</c:v>
                </c:pt>
              </c:strCache>
            </c:strRef>
          </c:tx>
          <c:marker>
            <c:symbol val="none"/>
          </c:marker>
          <c:xVal>
            <c:numRef>
              <c:f>Spend!$AH$451:$AL$451</c:f>
              <c:numCache>
                <c:formatCode>_(* #,##0_);_(* \(#,##0\);_(* "-"_);_(@_)</c:formatCode>
                <c:ptCount val="5"/>
                <c:pt idx="0">
                  <c:v>0</c:v>
                </c:pt>
                <c:pt idx="1">
                  <c:v>0</c:v>
                </c:pt>
                <c:pt idx="2">
                  <c:v>66383.61037130616</c:v>
                </c:pt>
                <c:pt idx="3">
                  <c:v>132204.44641178753</c:v>
                </c:pt>
                <c:pt idx="4">
                  <c:v>248968.75958350473</c:v>
                </c:pt>
              </c:numCache>
            </c:numRef>
          </c:xVal>
          <c:yVal>
            <c:numRef>
              <c:f>Spend!$AN$451:$AR$451</c:f>
              <c:numCache>
                <c:formatCode>_-* #,##0.0_-;\-* #,##0.0_-;_-* "-"_-;_-@_-</c:formatCode>
                <c:ptCount val="5"/>
                <c:pt idx="0">
                  <c:v>1.28</c:v>
                </c:pt>
                <c:pt idx="1">
                  <c:v>1.28</c:v>
                </c:pt>
                <c:pt idx="2">
                  <c:v>1.28</c:v>
                </c:pt>
                <c:pt idx="3">
                  <c:v>1.925</c:v>
                </c:pt>
                <c:pt idx="4">
                  <c:v>3.1399999999999997</c:v>
                </c:pt>
              </c:numCache>
            </c:numRef>
          </c:yVal>
          <c:smooth val="1"/>
        </c:ser>
        <c:ser>
          <c:idx val="4"/>
          <c:order val="4"/>
          <c:tx>
            <c:strRef>
              <c:f>Spend!$AG$564</c:f>
              <c:strCache>
                <c:ptCount val="1"/>
                <c:pt idx="0">
                  <c:v>Output 5</c:v>
                </c:pt>
              </c:strCache>
            </c:strRef>
          </c:tx>
          <c:marker>
            <c:symbol val="none"/>
          </c:marker>
          <c:xVal>
            <c:numRef>
              <c:f>Spend!$AH$573:$AL$573</c:f>
              <c:numCache>
                <c:formatCode>_(* #,##0_);_(* \(#,##0\);_(* "-"_);_(@_)</c:formatCode>
                <c:ptCount val="5"/>
                <c:pt idx="0">
                  <c:v>0</c:v>
                </c:pt>
                <c:pt idx="1">
                  <c:v>0</c:v>
                </c:pt>
                <c:pt idx="2">
                  <c:v>25510.229273782053</c:v>
                </c:pt>
                <c:pt idx="3">
                  <c:v>79515.456036723655</c:v>
                </c:pt>
                <c:pt idx="4">
                  <c:v>124019.56443318829</c:v>
                </c:pt>
              </c:numCache>
            </c:numRef>
          </c:xVal>
          <c:yVal>
            <c:numRef>
              <c:f>Spend!$AN$573:$AR$573</c:f>
              <c:numCache>
                <c:formatCode>_-* #,##0.0_-;\-* #,##0.0_-;_-* "-"_-;_-@_-</c:formatCode>
                <c:ptCount val="5"/>
                <c:pt idx="0">
                  <c:v>0</c:v>
                </c:pt>
                <c:pt idx="1">
                  <c:v>0</c:v>
                </c:pt>
                <c:pt idx="2">
                  <c:v>0.125</c:v>
                </c:pt>
                <c:pt idx="3">
                  <c:v>0.1875</c:v>
                </c:pt>
                <c:pt idx="4">
                  <c:v>1.4166666666666667</c:v>
                </c:pt>
              </c:numCache>
            </c:numRef>
          </c:yVal>
          <c:smooth val="1"/>
        </c:ser>
        <c:dLbls>
          <c:showLegendKey val="0"/>
          <c:showVal val="0"/>
          <c:showCatName val="0"/>
          <c:showSerName val="0"/>
          <c:showPercent val="0"/>
          <c:showBubbleSize val="0"/>
        </c:dLbls>
        <c:axId val="126544512"/>
        <c:axId val="126686336"/>
      </c:scatterChart>
      <c:valAx>
        <c:axId val="126544512"/>
        <c:scaling>
          <c:orientation val="minMax"/>
          <c:max val="800001"/>
          <c:min val="1"/>
        </c:scaling>
        <c:delete val="0"/>
        <c:axPos val="b"/>
        <c:title>
          <c:tx>
            <c:rich>
              <a:bodyPr/>
              <a:lstStyle/>
              <a:p>
                <a:pPr>
                  <a:defRPr/>
                </a:pPr>
                <a:r>
                  <a:rPr lang="en-US" sz="1200"/>
                  <a:t>Spend</a:t>
                </a:r>
              </a:p>
            </c:rich>
          </c:tx>
          <c:layout>
            <c:manualLayout>
              <c:xMode val="edge"/>
              <c:yMode val="edge"/>
              <c:x val="0.43348243703579598"/>
              <c:y val="0.89929078014184405"/>
            </c:manualLayout>
          </c:layout>
          <c:overlay val="0"/>
        </c:title>
        <c:numFmt formatCode="_(* #,##0_);_(* \(#,##0\);_(* &quot;-&quot;_);_(@_)" sourceLinked="1"/>
        <c:majorTickMark val="none"/>
        <c:minorTickMark val="none"/>
        <c:tickLblPos val="nextTo"/>
        <c:crossAx val="126686336"/>
        <c:crosses val="autoZero"/>
        <c:crossBetween val="midCat"/>
        <c:dispUnits>
          <c:builtInUnit val="thousands"/>
          <c:dispUnitsLbl>
            <c:txPr>
              <a:bodyPr/>
              <a:lstStyle/>
              <a:p>
                <a:pPr>
                  <a:defRPr b="0" i="0"/>
                </a:pPr>
                <a:endParaRPr lang="en-US"/>
              </a:p>
            </c:txPr>
          </c:dispUnitsLbl>
        </c:dispUnits>
      </c:valAx>
      <c:valAx>
        <c:axId val="126686336"/>
        <c:scaling>
          <c:orientation val="minMax"/>
          <c:max val="5"/>
          <c:min val="0"/>
        </c:scaling>
        <c:delete val="0"/>
        <c:axPos val="l"/>
        <c:majorGridlines/>
        <c:title>
          <c:tx>
            <c:rich>
              <a:bodyPr/>
              <a:lstStyle/>
              <a:p>
                <a:pPr>
                  <a:defRPr sz="1200"/>
                </a:pPr>
                <a:r>
                  <a:rPr lang="en-US" sz="1200"/>
                  <a:t>Score</a:t>
                </a:r>
              </a:p>
            </c:rich>
          </c:tx>
          <c:overlay val="0"/>
        </c:title>
        <c:numFmt formatCode="_-* #,##0.0_-;\-* #,##0.0_-;_-* &quot;-&quot;_-;_-@_-" sourceLinked="1"/>
        <c:majorTickMark val="none"/>
        <c:minorTickMark val="none"/>
        <c:tickLblPos val="nextTo"/>
        <c:crossAx val="126544512"/>
        <c:crosses val="autoZero"/>
        <c:crossBetween val="midCat"/>
        <c:majorUnit val="1"/>
        <c:minorUnit val="0.1"/>
      </c:valAx>
    </c:plotArea>
    <c:legend>
      <c:legendPos val="r"/>
      <c:layout>
        <c:manualLayout>
          <c:xMode val="edge"/>
          <c:yMode val="edge"/>
          <c:x val="0.81423391225033004"/>
          <c:y val="0.329311649648034"/>
          <c:w val="0.161728374378735"/>
          <c:h val="0.35482179126902402"/>
        </c:manualLayout>
      </c:layout>
      <c:overlay val="0"/>
    </c:legend>
    <c:plotVisOnly val="1"/>
    <c:dispBlanksAs val="gap"/>
    <c:showDLblsOverMax val="0"/>
  </c:chart>
  <c:printSettings>
    <c:headerFooter/>
    <c:pageMargins b="1" l="0.75" r="0.75" t="1" header="0.5" footer="0.5"/>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Score vs Spend: Output 4</a:t>
            </a:r>
          </a:p>
        </c:rich>
      </c:tx>
      <c:overlay val="0"/>
    </c:title>
    <c:autoTitleDeleted val="0"/>
    <c:plotArea>
      <c:layout>
        <c:manualLayout>
          <c:layoutTarget val="inner"/>
          <c:xMode val="edge"/>
          <c:yMode val="edge"/>
          <c:x val="0.120232683680497"/>
          <c:y val="0.17943262411347499"/>
          <c:w val="0.66803205450382497"/>
          <c:h val="0.64770704193890705"/>
        </c:manualLayout>
      </c:layout>
      <c:scatterChart>
        <c:scatterStyle val="smoothMarker"/>
        <c:varyColors val="0"/>
        <c:ser>
          <c:idx val="0"/>
          <c:order val="0"/>
          <c:tx>
            <c:strRef>
              <c:f>Spend!$AG$444</c:f>
              <c:strCache>
                <c:ptCount val="1"/>
                <c:pt idx="0">
                  <c:v>Enugu</c:v>
                </c:pt>
              </c:strCache>
            </c:strRef>
          </c:tx>
          <c:marker>
            <c:symbol val="none"/>
          </c:marker>
          <c:xVal>
            <c:numRef>
              <c:f>Spend!$AH$444:$AL$444</c:f>
              <c:numCache>
                <c:formatCode>_(* #,##0_);_(* \(#,##0\);_(* "-"_);_(@_)</c:formatCode>
                <c:ptCount val="5"/>
                <c:pt idx="0">
                  <c:v>0</c:v>
                </c:pt>
                <c:pt idx="1">
                  <c:v>320296.58757722727</c:v>
                </c:pt>
                <c:pt idx="2">
                  <c:v>480422.0145782234</c:v>
                </c:pt>
                <c:pt idx="3">
                  <c:v>614695.28388825746</c:v>
                </c:pt>
                <c:pt idx="4">
                  <c:v>761865.246532702</c:v>
                </c:pt>
              </c:numCache>
            </c:numRef>
          </c:xVal>
          <c:yVal>
            <c:numRef>
              <c:f>Spend!$AN$444:$AR$444</c:f>
              <c:numCache>
                <c:formatCode>_-* #,##0.0_-;\-* #,##0.0_-;_-* "-"_-;_-@_-</c:formatCode>
                <c:ptCount val="5"/>
                <c:pt idx="0">
                  <c:v>0.8</c:v>
                </c:pt>
                <c:pt idx="1">
                  <c:v>1.55</c:v>
                </c:pt>
                <c:pt idx="2">
                  <c:v>2.1800000000000002</c:v>
                </c:pt>
                <c:pt idx="3">
                  <c:v>3.05</c:v>
                </c:pt>
                <c:pt idx="4">
                  <c:v>3.1599999999999997</c:v>
                </c:pt>
              </c:numCache>
            </c:numRef>
          </c:yVal>
          <c:smooth val="1"/>
        </c:ser>
        <c:ser>
          <c:idx val="1"/>
          <c:order val="1"/>
          <c:tx>
            <c:strRef>
              <c:f>Spend!$AG$445</c:f>
              <c:strCache>
                <c:ptCount val="1"/>
                <c:pt idx="0">
                  <c:v>Jigawa</c:v>
                </c:pt>
              </c:strCache>
            </c:strRef>
          </c:tx>
          <c:marker>
            <c:symbol val="none"/>
          </c:marker>
          <c:xVal>
            <c:numRef>
              <c:f>Spend!$AH$445:$AL$445</c:f>
              <c:numCache>
                <c:formatCode>_(* #,##0_);_(* \(#,##0\);_(* "-"_);_(@_)</c:formatCode>
                <c:ptCount val="5"/>
                <c:pt idx="0">
                  <c:v>0</c:v>
                </c:pt>
                <c:pt idx="1">
                  <c:v>287654.32365301665</c:v>
                </c:pt>
                <c:pt idx="2">
                  <c:v>435208.46780874958</c:v>
                </c:pt>
                <c:pt idx="3">
                  <c:v>535501.37707246793</c:v>
                </c:pt>
                <c:pt idx="4">
                  <c:v>636030.23466034676</c:v>
                </c:pt>
              </c:numCache>
            </c:numRef>
          </c:xVal>
          <c:yVal>
            <c:numRef>
              <c:f>Spend!$AN$445:$AR$445</c:f>
              <c:numCache>
                <c:formatCode>_-* #,##0.0_-;\-* #,##0.0_-;_-* "-"_-;_-@_-</c:formatCode>
                <c:ptCount val="5"/>
                <c:pt idx="0">
                  <c:v>0.8</c:v>
                </c:pt>
                <c:pt idx="1">
                  <c:v>1.72</c:v>
                </c:pt>
                <c:pt idx="2">
                  <c:v>2.0550000000000002</c:v>
                </c:pt>
                <c:pt idx="3">
                  <c:v>3.2850000000000001</c:v>
                </c:pt>
                <c:pt idx="4">
                  <c:v>3.9400000000000004</c:v>
                </c:pt>
              </c:numCache>
            </c:numRef>
          </c:yVal>
          <c:smooth val="1"/>
        </c:ser>
        <c:ser>
          <c:idx val="2"/>
          <c:order val="2"/>
          <c:tx>
            <c:strRef>
              <c:f>Spend!$AG$446</c:f>
              <c:strCache>
                <c:ptCount val="1"/>
                <c:pt idx="0">
                  <c:v>Kaduna</c:v>
                </c:pt>
              </c:strCache>
            </c:strRef>
          </c:tx>
          <c:marker>
            <c:symbol val="none"/>
          </c:marker>
          <c:xVal>
            <c:numRef>
              <c:f>Spend!$AH$446:$AL$446</c:f>
              <c:numCache>
                <c:formatCode>_(* #,##0_);_(* \(#,##0\);_(* "-"_);_(@_)</c:formatCode>
                <c:ptCount val="5"/>
                <c:pt idx="0">
                  <c:v>0</c:v>
                </c:pt>
                <c:pt idx="1">
                  <c:v>314832.51711827982</c:v>
                </c:pt>
                <c:pt idx="2">
                  <c:v>485027.01959892514</c:v>
                </c:pt>
                <c:pt idx="3">
                  <c:v>578665.41185488587</c:v>
                </c:pt>
                <c:pt idx="4">
                  <c:v>701118.24462256266</c:v>
                </c:pt>
              </c:numCache>
            </c:numRef>
          </c:xVal>
          <c:yVal>
            <c:numRef>
              <c:f>Spend!$AN$446:$AR$446</c:f>
              <c:numCache>
                <c:formatCode>_-* #,##0.0_-;\-* #,##0.0_-;_-* "-"_-;_-@_-</c:formatCode>
                <c:ptCount val="5"/>
                <c:pt idx="0">
                  <c:v>0.8</c:v>
                </c:pt>
                <c:pt idx="1">
                  <c:v>1.05</c:v>
                </c:pt>
                <c:pt idx="2">
                  <c:v>1.9100000000000001</c:v>
                </c:pt>
                <c:pt idx="3">
                  <c:v>2.76</c:v>
                </c:pt>
                <c:pt idx="4">
                  <c:v>3.0649999999999999</c:v>
                </c:pt>
              </c:numCache>
            </c:numRef>
          </c:yVal>
          <c:smooth val="1"/>
        </c:ser>
        <c:ser>
          <c:idx val="3"/>
          <c:order val="3"/>
          <c:tx>
            <c:strRef>
              <c:f>Spend!$AG$447</c:f>
              <c:strCache>
                <c:ptCount val="1"/>
                <c:pt idx="0">
                  <c:v>Kano</c:v>
                </c:pt>
              </c:strCache>
            </c:strRef>
          </c:tx>
          <c:marker>
            <c:symbol val="none"/>
          </c:marker>
          <c:xVal>
            <c:numRef>
              <c:f>Spend!$AH$447:$AL$447</c:f>
              <c:numCache>
                <c:formatCode>_(* #,##0_);_(* \(#,##0\);_(* "-"_);_(@_)</c:formatCode>
                <c:ptCount val="5"/>
                <c:pt idx="0">
                  <c:v>0</c:v>
                </c:pt>
                <c:pt idx="1">
                  <c:v>326549.27157722716</c:v>
                </c:pt>
                <c:pt idx="2">
                  <c:v>530469.63641155674</c:v>
                </c:pt>
                <c:pt idx="3">
                  <c:v>631949.77799332992</c:v>
                </c:pt>
                <c:pt idx="4">
                  <c:v>763137.84177110763</c:v>
                </c:pt>
              </c:numCache>
            </c:numRef>
          </c:xVal>
          <c:yVal>
            <c:numRef>
              <c:f>Spend!$AN$447:$AR$447</c:f>
              <c:numCache>
                <c:formatCode>_-* #,##0.0_-;\-* #,##0.0_-;_-* "-"_-;_-@_-</c:formatCode>
                <c:ptCount val="5"/>
                <c:pt idx="0">
                  <c:v>1.2</c:v>
                </c:pt>
                <c:pt idx="1">
                  <c:v>1.6</c:v>
                </c:pt>
                <c:pt idx="2">
                  <c:v>2.145</c:v>
                </c:pt>
                <c:pt idx="3">
                  <c:v>2.77</c:v>
                </c:pt>
                <c:pt idx="4">
                  <c:v>3.5649999999999999</c:v>
                </c:pt>
              </c:numCache>
            </c:numRef>
          </c:yVal>
          <c:smooth val="1"/>
        </c:ser>
        <c:ser>
          <c:idx val="4"/>
          <c:order val="4"/>
          <c:tx>
            <c:strRef>
              <c:f>Spend!$AG$448</c:f>
              <c:strCache>
                <c:ptCount val="1"/>
                <c:pt idx="0">
                  <c:v>Lagos</c:v>
                </c:pt>
              </c:strCache>
            </c:strRef>
          </c:tx>
          <c:marker>
            <c:symbol val="none"/>
          </c:marker>
          <c:xVal>
            <c:numRef>
              <c:f>Spend!$AH$448:$AL$448</c:f>
              <c:numCache>
                <c:formatCode>_(* #,##0_);_(* \(#,##0\);_(* "-"_);_(@_)</c:formatCode>
                <c:ptCount val="5"/>
                <c:pt idx="0">
                  <c:v>0</c:v>
                </c:pt>
                <c:pt idx="1">
                  <c:v>413590.79999914463</c:v>
                </c:pt>
                <c:pt idx="2">
                  <c:v>587301.37693873735</c:v>
                </c:pt>
                <c:pt idx="3">
                  <c:v>676410.87593813078</c:v>
                </c:pt>
                <c:pt idx="4">
                  <c:v>803963.32476641366</c:v>
                </c:pt>
              </c:numCache>
            </c:numRef>
          </c:xVal>
          <c:yVal>
            <c:numRef>
              <c:f>Spend!$AN$448:$AR$448</c:f>
              <c:numCache>
                <c:formatCode>_-* #,##0.0_-;\-* #,##0.0_-;_-* "-"_-;_-@_-</c:formatCode>
                <c:ptCount val="5"/>
                <c:pt idx="0">
                  <c:v>1.2</c:v>
                </c:pt>
                <c:pt idx="1">
                  <c:v>2.4</c:v>
                </c:pt>
                <c:pt idx="2">
                  <c:v>2.7199999999999998</c:v>
                </c:pt>
                <c:pt idx="3">
                  <c:v>3.3400000000000007</c:v>
                </c:pt>
                <c:pt idx="4">
                  <c:v>3.5700000000000003</c:v>
                </c:pt>
              </c:numCache>
            </c:numRef>
          </c:yVal>
          <c:smooth val="1"/>
        </c:ser>
        <c:ser>
          <c:idx val="5"/>
          <c:order val="5"/>
          <c:tx>
            <c:strRef>
              <c:f>Spend!$AG$449</c:f>
              <c:strCache>
                <c:ptCount val="1"/>
                <c:pt idx="0">
                  <c:v>Zamfara</c:v>
                </c:pt>
              </c:strCache>
            </c:strRef>
          </c:tx>
          <c:marker>
            <c:symbol val="none"/>
          </c:marker>
          <c:xVal>
            <c:numRef>
              <c:f>Spend!$AH$449:$AL$449</c:f>
              <c:numCache>
                <c:formatCode>_(* #,##0_);_(* \(#,##0\);_(* "-"_);_(@_)</c:formatCode>
                <c:ptCount val="5"/>
                <c:pt idx="0">
                  <c:v>0</c:v>
                </c:pt>
                <c:pt idx="1">
                  <c:v>0</c:v>
                </c:pt>
                <c:pt idx="2">
                  <c:v>64382.206187446514</c:v>
                </c:pt>
                <c:pt idx="3">
                  <c:v>106816.01200682923</c:v>
                </c:pt>
                <c:pt idx="4">
                  <c:v>248208.55260278884</c:v>
                </c:pt>
              </c:numCache>
            </c:numRef>
          </c:xVal>
          <c:yVal>
            <c:numRef>
              <c:f>Spend!$AN$449:$AR$449</c:f>
              <c:numCache>
                <c:formatCode>_-* #,##0.0_-;\-* #,##0.0_-;_-* "-"_-;_-@_-</c:formatCode>
                <c:ptCount val="5"/>
                <c:pt idx="0">
                  <c:v>1</c:v>
                </c:pt>
                <c:pt idx="1">
                  <c:v>1</c:v>
                </c:pt>
                <c:pt idx="2">
                  <c:v>1.1000000000000001</c:v>
                </c:pt>
                <c:pt idx="3">
                  <c:v>2.48</c:v>
                </c:pt>
                <c:pt idx="4">
                  <c:v>3.1449999999999996</c:v>
                </c:pt>
              </c:numCache>
            </c:numRef>
          </c:yVal>
          <c:smooth val="1"/>
        </c:ser>
        <c:ser>
          <c:idx val="6"/>
          <c:order val="6"/>
          <c:tx>
            <c:strRef>
              <c:f>Spend!$AG$450</c:f>
              <c:strCache>
                <c:ptCount val="1"/>
                <c:pt idx="0">
                  <c:v>Katsina</c:v>
                </c:pt>
              </c:strCache>
            </c:strRef>
          </c:tx>
          <c:marker>
            <c:symbol val="none"/>
          </c:marker>
          <c:xVal>
            <c:numRef>
              <c:f>Spend!$AH$450:$AL$450</c:f>
              <c:numCache>
                <c:formatCode>_(* #,##0_);_(* \(#,##0\);_(* "-"_);_(@_)</c:formatCode>
                <c:ptCount val="5"/>
                <c:pt idx="0">
                  <c:v>0</c:v>
                </c:pt>
                <c:pt idx="1">
                  <c:v>0</c:v>
                </c:pt>
                <c:pt idx="2">
                  <c:v>63521.261868499161</c:v>
                </c:pt>
                <c:pt idx="3">
                  <c:v>106937.2181209711</c:v>
                </c:pt>
                <c:pt idx="4">
                  <c:v>211012.98396945593</c:v>
                </c:pt>
              </c:numCache>
            </c:numRef>
          </c:xVal>
          <c:yVal>
            <c:numRef>
              <c:f>Spend!$AN$450:$AR$450</c:f>
              <c:numCache>
                <c:formatCode>_-* #,##0.0_-;\-* #,##0.0_-;_-* "-"_-;_-@_-</c:formatCode>
                <c:ptCount val="5"/>
                <c:pt idx="0">
                  <c:v>2.1</c:v>
                </c:pt>
                <c:pt idx="1">
                  <c:v>2.1</c:v>
                </c:pt>
                <c:pt idx="2">
                  <c:v>2.1</c:v>
                </c:pt>
                <c:pt idx="3">
                  <c:v>2.25</c:v>
                </c:pt>
                <c:pt idx="4">
                  <c:v>3.6</c:v>
                </c:pt>
              </c:numCache>
            </c:numRef>
          </c:yVal>
          <c:smooth val="1"/>
        </c:ser>
        <c:ser>
          <c:idx val="7"/>
          <c:order val="7"/>
          <c:tx>
            <c:strRef>
              <c:f>Spend!$AG$451</c:f>
              <c:strCache>
                <c:ptCount val="1"/>
                <c:pt idx="0">
                  <c:v>Yobe</c:v>
                </c:pt>
              </c:strCache>
            </c:strRef>
          </c:tx>
          <c:marker>
            <c:symbol val="none"/>
          </c:marker>
          <c:xVal>
            <c:numRef>
              <c:f>Spend!$AH$451:$AL$451</c:f>
              <c:numCache>
                <c:formatCode>_(* #,##0_);_(* \(#,##0\);_(* "-"_);_(@_)</c:formatCode>
                <c:ptCount val="5"/>
                <c:pt idx="0">
                  <c:v>0</c:v>
                </c:pt>
                <c:pt idx="1">
                  <c:v>0</c:v>
                </c:pt>
                <c:pt idx="2">
                  <c:v>66383.61037130616</c:v>
                </c:pt>
                <c:pt idx="3">
                  <c:v>132204.44641178753</c:v>
                </c:pt>
                <c:pt idx="4">
                  <c:v>248968.75958350473</c:v>
                </c:pt>
              </c:numCache>
            </c:numRef>
          </c:xVal>
          <c:yVal>
            <c:numRef>
              <c:f>Spend!$AN$451:$AR$451</c:f>
              <c:numCache>
                <c:formatCode>_-* #,##0.0_-;\-* #,##0.0_-;_-* "-"_-;_-@_-</c:formatCode>
                <c:ptCount val="5"/>
                <c:pt idx="0">
                  <c:v>1.28</c:v>
                </c:pt>
                <c:pt idx="1">
                  <c:v>1.28</c:v>
                </c:pt>
                <c:pt idx="2">
                  <c:v>1.28</c:v>
                </c:pt>
                <c:pt idx="3">
                  <c:v>1.925</c:v>
                </c:pt>
                <c:pt idx="4">
                  <c:v>3.1399999999999997</c:v>
                </c:pt>
              </c:numCache>
            </c:numRef>
          </c:yVal>
          <c:smooth val="1"/>
        </c:ser>
        <c:dLbls>
          <c:showLegendKey val="0"/>
          <c:showVal val="0"/>
          <c:showCatName val="0"/>
          <c:showSerName val="0"/>
          <c:showPercent val="0"/>
          <c:showBubbleSize val="0"/>
        </c:dLbls>
        <c:axId val="126737408"/>
        <c:axId val="126813696"/>
      </c:scatterChart>
      <c:valAx>
        <c:axId val="126737408"/>
        <c:scaling>
          <c:orientation val="minMax"/>
          <c:min val="1"/>
        </c:scaling>
        <c:delete val="0"/>
        <c:axPos val="b"/>
        <c:title>
          <c:tx>
            <c:rich>
              <a:bodyPr/>
              <a:lstStyle/>
              <a:p>
                <a:pPr>
                  <a:defRPr/>
                </a:pPr>
                <a:r>
                  <a:rPr lang="en-US" sz="1200"/>
                  <a:t>Spend</a:t>
                </a:r>
              </a:p>
            </c:rich>
          </c:tx>
          <c:layout>
            <c:manualLayout>
              <c:xMode val="edge"/>
              <c:yMode val="edge"/>
              <c:x val="0.43348243703579598"/>
              <c:y val="0.89929078014184405"/>
            </c:manualLayout>
          </c:layout>
          <c:overlay val="0"/>
        </c:title>
        <c:numFmt formatCode="_(* #,##0_);_(* \(#,##0\);_(* &quot;-&quot;_);_(@_)" sourceLinked="1"/>
        <c:majorTickMark val="none"/>
        <c:minorTickMark val="none"/>
        <c:tickLblPos val="nextTo"/>
        <c:crossAx val="126813696"/>
        <c:crosses val="autoZero"/>
        <c:crossBetween val="midCat"/>
        <c:dispUnits>
          <c:builtInUnit val="thousands"/>
          <c:dispUnitsLbl>
            <c:txPr>
              <a:bodyPr/>
              <a:lstStyle/>
              <a:p>
                <a:pPr>
                  <a:defRPr b="0" i="0"/>
                </a:pPr>
                <a:endParaRPr lang="en-US"/>
              </a:p>
            </c:txPr>
          </c:dispUnitsLbl>
        </c:dispUnits>
      </c:valAx>
      <c:valAx>
        <c:axId val="126813696"/>
        <c:scaling>
          <c:orientation val="minMax"/>
          <c:max val="5"/>
          <c:min val="0"/>
        </c:scaling>
        <c:delete val="0"/>
        <c:axPos val="l"/>
        <c:majorGridlines/>
        <c:title>
          <c:tx>
            <c:rich>
              <a:bodyPr/>
              <a:lstStyle/>
              <a:p>
                <a:pPr>
                  <a:defRPr sz="1200"/>
                </a:pPr>
                <a:r>
                  <a:rPr lang="en-US" sz="1200"/>
                  <a:t>Score</a:t>
                </a:r>
              </a:p>
            </c:rich>
          </c:tx>
          <c:overlay val="0"/>
        </c:title>
        <c:numFmt formatCode="_-* #,##0.0_-;\-* #,##0.0_-;_-* &quot;-&quot;_-;_-@_-" sourceLinked="1"/>
        <c:majorTickMark val="none"/>
        <c:minorTickMark val="none"/>
        <c:tickLblPos val="nextTo"/>
        <c:crossAx val="126737408"/>
        <c:crosses val="autoZero"/>
        <c:crossBetween val="midCat"/>
        <c:majorUnit val="1"/>
        <c:minorUnit val="0.1"/>
      </c:valAx>
    </c:plotArea>
    <c:legend>
      <c:legendPos val="r"/>
      <c:layout>
        <c:manualLayout>
          <c:xMode val="edge"/>
          <c:yMode val="edge"/>
          <c:x val="0.821326110831891"/>
          <c:y val="0.22683810800245699"/>
          <c:w val="0.15503322722957499"/>
          <c:h val="0.56972803931423499"/>
        </c:manualLayout>
      </c:layout>
      <c:overlay val="0"/>
    </c:legend>
    <c:plotVisOnly val="1"/>
    <c:dispBlanksAs val="gap"/>
    <c:showDLblsOverMax val="0"/>
  </c:chart>
  <c:printSettings>
    <c:headerFooter/>
    <c:pageMargins b="1" l="0.75" r="0.75" t="1" header="0.5" footer="0.5"/>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Score vs Spend: SLP States</a:t>
            </a:r>
          </a:p>
        </c:rich>
      </c:tx>
      <c:overlay val="0"/>
    </c:title>
    <c:autoTitleDeleted val="0"/>
    <c:plotArea>
      <c:layout>
        <c:manualLayout>
          <c:layoutTarget val="inner"/>
          <c:xMode val="edge"/>
          <c:yMode val="edge"/>
          <c:x val="0.120232683680497"/>
          <c:y val="0.17943262411347499"/>
          <c:w val="0.66803205450382497"/>
          <c:h val="0.64770704193890705"/>
        </c:manualLayout>
      </c:layout>
      <c:scatterChart>
        <c:scatterStyle val="smoothMarker"/>
        <c:varyColors val="0"/>
        <c:ser>
          <c:idx val="0"/>
          <c:order val="0"/>
          <c:tx>
            <c:strRef>
              <c:f>Spend!$AG$191</c:f>
              <c:strCache>
                <c:ptCount val="1"/>
                <c:pt idx="0">
                  <c:v>Output 1</c:v>
                </c:pt>
              </c:strCache>
            </c:strRef>
          </c:tx>
          <c:marker>
            <c:symbol val="none"/>
          </c:marker>
          <c:xVal>
            <c:numRef>
              <c:f>Spend!$AH$216:$AL$216</c:f>
              <c:numCache>
                <c:formatCode>_(* #,##0_);_(* \(#,##0\);_(* "-"_);_(@_)</c:formatCode>
                <c:ptCount val="5"/>
                <c:pt idx="0">
                  <c:v>0</c:v>
                </c:pt>
                <c:pt idx="1">
                  <c:v>277906.06802210584</c:v>
                </c:pt>
                <c:pt idx="2">
                  <c:v>405100.7805226465</c:v>
                </c:pt>
                <c:pt idx="3">
                  <c:v>509578.51674411574</c:v>
                </c:pt>
                <c:pt idx="4">
                  <c:v>594968.72990249959</c:v>
                </c:pt>
              </c:numCache>
            </c:numRef>
          </c:xVal>
          <c:yVal>
            <c:numRef>
              <c:f>Spend!$AN$216:$AR$216</c:f>
              <c:numCache>
                <c:formatCode>_-* #,##0.0_-;\-* #,##0.0_-;_-* "-"_-;_-@_-</c:formatCode>
                <c:ptCount val="5"/>
                <c:pt idx="0">
                  <c:v>1.05</c:v>
                </c:pt>
                <c:pt idx="1">
                  <c:v>1.78</c:v>
                </c:pt>
                <c:pt idx="2">
                  <c:v>2.1533333333333333</c:v>
                </c:pt>
                <c:pt idx="3">
                  <c:v>3.34</c:v>
                </c:pt>
                <c:pt idx="4">
                  <c:v>4.2819999999999991</c:v>
                </c:pt>
              </c:numCache>
            </c:numRef>
          </c:yVal>
          <c:smooth val="1"/>
        </c:ser>
        <c:ser>
          <c:idx val="1"/>
          <c:order val="1"/>
          <c:tx>
            <c:strRef>
              <c:f>Spend!$AG$266</c:f>
              <c:strCache>
                <c:ptCount val="1"/>
                <c:pt idx="0">
                  <c:v>Output 2</c:v>
                </c:pt>
              </c:strCache>
            </c:strRef>
          </c:tx>
          <c:marker>
            <c:symbol val="none"/>
          </c:marker>
          <c:xVal>
            <c:numRef>
              <c:f>Spend!$AH$291:$AL$291</c:f>
              <c:numCache>
                <c:formatCode>_(* #,##0_);_(* \(#,##0\);_(* "-"_);_(@_)</c:formatCode>
                <c:ptCount val="5"/>
                <c:pt idx="0">
                  <c:v>0</c:v>
                </c:pt>
                <c:pt idx="1">
                  <c:v>227361.88754883982</c:v>
                </c:pt>
                <c:pt idx="2">
                  <c:v>350319.68958954856</c:v>
                </c:pt>
                <c:pt idx="3">
                  <c:v>436155.67973561009</c:v>
                </c:pt>
                <c:pt idx="4">
                  <c:v>524207.3347544889</c:v>
                </c:pt>
              </c:numCache>
            </c:numRef>
          </c:xVal>
          <c:yVal>
            <c:numRef>
              <c:f>Spend!$AN$291:$AR$291</c:f>
              <c:numCache>
                <c:formatCode>_-* #,##0.0_-;\-* #,##0.0_-;_-* "-"_-;_-@_-</c:formatCode>
                <c:ptCount val="5"/>
                <c:pt idx="0">
                  <c:v>1</c:v>
                </c:pt>
                <c:pt idx="1">
                  <c:v>1.05</c:v>
                </c:pt>
                <c:pt idx="2">
                  <c:v>2.1555555555555554</c:v>
                </c:pt>
                <c:pt idx="3">
                  <c:v>2.9999999999999996</c:v>
                </c:pt>
                <c:pt idx="4">
                  <c:v>3.6833333333333336</c:v>
                </c:pt>
              </c:numCache>
            </c:numRef>
          </c:yVal>
          <c:smooth val="1"/>
        </c:ser>
        <c:ser>
          <c:idx val="2"/>
          <c:order val="2"/>
          <c:tx>
            <c:strRef>
              <c:f>Spend!$AG$341</c:f>
              <c:strCache>
                <c:ptCount val="1"/>
                <c:pt idx="0">
                  <c:v>Output 3</c:v>
                </c:pt>
              </c:strCache>
            </c:strRef>
          </c:tx>
          <c:marker>
            <c:symbol val="none"/>
          </c:marker>
          <c:xVal>
            <c:numRef>
              <c:f>Spend!$AH$366:$AL$366</c:f>
              <c:numCache>
                <c:formatCode>_(* #,##0_);_(* \(#,##0\);_(* "-"_);_(@_)</c:formatCode>
                <c:ptCount val="5"/>
                <c:pt idx="0">
                  <c:v>0</c:v>
                </c:pt>
                <c:pt idx="1">
                  <c:v>136335.28887965789</c:v>
                </c:pt>
                <c:pt idx="2">
                  <c:v>202906.66678948025</c:v>
                </c:pt>
                <c:pt idx="3">
                  <c:v>323371.53539746476</c:v>
                </c:pt>
                <c:pt idx="4">
                  <c:v>436198.49886716175</c:v>
                </c:pt>
              </c:numCache>
            </c:numRef>
          </c:xVal>
          <c:yVal>
            <c:numRef>
              <c:f>Spend!$AN$366:$AR$366</c:f>
              <c:numCache>
                <c:formatCode>_-* #,##0.0_-;\-* #,##0.0_-;_-* "-"_-;_-@_-</c:formatCode>
                <c:ptCount val="5"/>
                <c:pt idx="0">
                  <c:v>2.5000000000000001E-2</c:v>
                </c:pt>
                <c:pt idx="1">
                  <c:v>0.38124999999999998</c:v>
                </c:pt>
                <c:pt idx="2">
                  <c:v>1.8568750000000001</c:v>
                </c:pt>
                <c:pt idx="3">
                  <c:v>2.381875</c:v>
                </c:pt>
                <c:pt idx="4">
                  <c:v>2.7712499999999998</c:v>
                </c:pt>
              </c:numCache>
            </c:numRef>
          </c:yVal>
          <c:smooth val="1"/>
        </c:ser>
        <c:ser>
          <c:idx val="3"/>
          <c:order val="3"/>
          <c:tx>
            <c:strRef>
              <c:f>Spend!$AG$442</c:f>
              <c:strCache>
                <c:ptCount val="1"/>
                <c:pt idx="0">
                  <c:v>Output 4</c:v>
                </c:pt>
              </c:strCache>
            </c:strRef>
          </c:tx>
          <c:marker>
            <c:symbol val="none"/>
          </c:marker>
          <c:xVal>
            <c:numRef>
              <c:f>Spend!$AH$467:$AL$467</c:f>
              <c:numCache>
                <c:formatCode>_(* #,##0_);_(* \(#,##0\);_(* "-"_);_(@_)</c:formatCode>
                <c:ptCount val="5"/>
                <c:pt idx="0">
                  <c:v>0</c:v>
                </c:pt>
                <c:pt idx="1">
                  <c:v>332584.69998497912</c:v>
                </c:pt>
                <c:pt idx="2">
                  <c:v>503685.70306723844</c:v>
                </c:pt>
                <c:pt idx="3">
                  <c:v>607444.54534941446</c:v>
                </c:pt>
                <c:pt idx="4">
                  <c:v>733222.97847062652</c:v>
                </c:pt>
              </c:numCache>
            </c:numRef>
          </c:xVal>
          <c:yVal>
            <c:numRef>
              <c:f>Spend!$AN$467:$AR$467</c:f>
              <c:numCache>
                <c:formatCode>_-* #,##0.0_-;\-* #,##0.0_-;_-* "-"_-;_-@_-</c:formatCode>
                <c:ptCount val="5"/>
                <c:pt idx="0">
                  <c:v>0.96000000000000019</c:v>
                </c:pt>
                <c:pt idx="1">
                  <c:v>1.6640000000000001</c:v>
                </c:pt>
                <c:pt idx="2">
                  <c:v>2.2020000000000004</c:v>
                </c:pt>
                <c:pt idx="3">
                  <c:v>3.0409999999999995</c:v>
                </c:pt>
                <c:pt idx="4">
                  <c:v>3.4599999999999995</c:v>
                </c:pt>
              </c:numCache>
            </c:numRef>
          </c:yVal>
          <c:smooth val="1"/>
        </c:ser>
        <c:ser>
          <c:idx val="4"/>
          <c:order val="4"/>
          <c:tx>
            <c:strRef>
              <c:f>Spend!$AG$564</c:f>
              <c:strCache>
                <c:ptCount val="1"/>
                <c:pt idx="0">
                  <c:v>Output 5</c:v>
                </c:pt>
              </c:strCache>
            </c:strRef>
          </c:tx>
          <c:marker>
            <c:symbol val="none"/>
          </c:marker>
          <c:xVal>
            <c:numRef>
              <c:f>Spend!$AH$595:$AL$595</c:f>
              <c:numCache>
                <c:formatCode>_(* #,##0_);_(* \(#,##0\);_(* "-"_);_(@_)</c:formatCode>
                <c:ptCount val="5"/>
                <c:pt idx="0">
                  <c:v>0</c:v>
                </c:pt>
                <c:pt idx="1">
                  <c:v>263872.21503743774</c:v>
                </c:pt>
                <c:pt idx="2">
                  <c:v>334567.35225341731</c:v>
                </c:pt>
                <c:pt idx="3">
                  <c:v>374693.89376898587</c:v>
                </c:pt>
                <c:pt idx="4">
                  <c:v>417449.21641878388</c:v>
                </c:pt>
              </c:numCache>
            </c:numRef>
          </c:xVal>
          <c:yVal>
            <c:numRef>
              <c:f>Spend!$AN$595:$AR$595</c:f>
              <c:numCache>
                <c:formatCode>_-* #,##0.0_-;\-* #,##0.0_-;_-* "-"_-;_-@_-</c:formatCode>
                <c:ptCount val="5"/>
                <c:pt idx="0">
                  <c:v>0.22500000000000001</c:v>
                </c:pt>
                <c:pt idx="1">
                  <c:v>1.1000000000000001</c:v>
                </c:pt>
                <c:pt idx="2">
                  <c:v>1.5249999999999999</c:v>
                </c:pt>
                <c:pt idx="3">
                  <c:v>1.85</c:v>
                </c:pt>
                <c:pt idx="4">
                  <c:v>2.625</c:v>
                </c:pt>
              </c:numCache>
            </c:numRef>
          </c:yVal>
          <c:smooth val="1"/>
        </c:ser>
        <c:dLbls>
          <c:showLegendKey val="0"/>
          <c:showVal val="0"/>
          <c:showCatName val="0"/>
          <c:showSerName val="0"/>
          <c:showPercent val="0"/>
          <c:showBubbleSize val="0"/>
        </c:dLbls>
        <c:axId val="126854272"/>
        <c:axId val="126856576"/>
      </c:scatterChart>
      <c:valAx>
        <c:axId val="126854272"/>
        <c:scaling>
          <c:orientation val="minMax"/>
          <c:min val="1"/>
        </c:scaling>
        <c:delete val="0"/>
        <c:axPos val="b"/>
        <c:title>
          <c:tx>
            <c:rich>
              <a:bodyPr/>
              <a:lstStyle/>
              <a:p>
                <a:pPr>
                  <a:defRPr/>
                </a:pPr>
                <a:r>
                  <a:rPr lang="en-US" sz="1200"/>
                  <a:t>Spend</a:t>
                </a:r>
              </a:p>
            </c:rich>
          </c:tx>
          <c:layout>
            <c:manualLayout>
              <c:xMode val="edge"/>
              <c:yMode val="edge"/>
              <c:x val="0.43348243703579598"/>
              <c:y val="0.89929078014184405"/>
            </c:manualLayout>
          </c:layout>
          <c:overlay val="0"/>
        </c:title>
        <c:numFmt formatCode="_(* #,##0_);_(* \(#,##0\);_(* &quot;-&quot;_);_(@_)" sourceLinked="1"/>
        <c:majorTickMark val="none"/>
        <c:minorTickMark val="none"/>
        <c:tickLblPos val="nextTo"/>
        <c:crossAx val="126856576"/>
        <c:crosses val="autoZero"/>
        <c:crossBetween val="midCat"/>
        <c:dispUnits>
          <c:builtInUnit val="thousands"/>
          <c:dispUnitsLbl>
            <c:txPr>
              <a:bodyPr/>
              <a:lstStyle/>
              <a:p>
                <a:pPr>
                  <a:defRPr b="0" i="0"/>
                </a:pPr>
                <a:endParaRPr lang="en-US"/>
              </a:p>
            </c:txPr>
          </c:dispUnitsLbl>
        </c:dispUnits>
      </c:valAx>
      <c:valAx>
        <c:axId val="126856576"/>
        <c:scaling>
          <c:orientation val="minMax"/>
          <c:max val="5"/>
          <c:min val="0"/>
        </c:scaling>
        <c:delete val="0"/>
        <c:axPos val="l"/>
        <c:majorGridlines/>
        <c:title>
          <c:tx>
            <c:rich>
              <a:bodyPr/>
              <a:lstStyle/>
              <a:p>
                <a:pPr>
                  <a:defRPr sz="1200"/>
                </a:pPr>
                <a:r>
                  <a:rPr lang="en-US" sz="1200"/>
                  <a:t>Score</a:t>
                </a:r>
              </a:p>
            </c:rich>
          </c:tx>
          <c:overlay val="0"/>
        </c:title>
        <c:numFmt formatCode="_-* #,##0.0_-;\-* #,##0.0_-;_-* &quot;-&quot;_-;_-@_-" sourceLinked="1"/>
        <c:majorTickMark val="none"/>
        <c:minorTickMark val="none"/>
        <c:tickLblPos val="nextTo"/>
        <c:crossAx val="126854272"/>
        <c:crosses val="autoZero"/>
        <c:crossBetween val="midCat"/>
        <c:majorUnit val="1"/>
        <c:minorUnit val="0.1"/>
      </c:valAx>
    </c:plotArea>
    <c:legend>
      <c:legendPos val="r"/>
      <c:layout>
        <c:manualLayout>
          <c:xMode val="edge"/>
          <c:yMode val="edge"/>
          <c:x val="0.81423391225033004"/>
          <c:y val="0.329311649648034"/>
          <c:w val="0.16645037071096"/>
          <c:h val="0.35482179126902402"/>
        </c:manualLayout>
      </c:layout>
      <c:overlay val="0"/>
    </c:legend>
    <c:plotVisOnly val="1"/>
    <c:dispBlanksAs val="gap"/>
    <c:showDLblsOverMax val="0"/>
  </c:chart>
  <c:printSettings>
    <c:headerFooter/>
    <c:pageMargins b="1" l="0.75" r="0.75" t="1" header="0.5" footer="0.5"/>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Score vs Spend: ZKY States</a:t>
            </a:r>
          </a:p>
        </c:rich>
      </c:tx>
      <c:overlay val="0"/>
    </c:title>
    <c:autoTitleDeleted val="0"/>
    <c:plotArea>
      <c:layout>
        <c:manualLayout>
          <c:layoutTarget val="inner"/>
          <c:xMode val="edge"/>
          <c:yMode val="edge"/>
          <c:x val="0.120232683680497"/>
          <c:y val="0.17943262411347499"/>
          <c:w val="0.66803205450382497"/>
          <c:h val="0.64770704193890705"/>
        </c:manualLayout>
      </c:layout>
      <c:scatterChart>
        <c:scatterStyle val="smoothMarker"/>
        <c:varyColors val="0"/>
        <c:ser>
          <c:idx val="0"/>
          <c:order val="0"/>
          <c:tx>
            <c:strRef>
              <c:f>Spend!$AG$191</c:f>
              <c:strCache>
                <c:ptCount val="1"/>
                <c:pt idx="0">
                  <c:v>Output 1</c:v>
                </c:pt>
              </c:strCache>
            </c:strRef>
          </c:tx>
          <c:marker>
            <c:symbol val="none"/>
          </c:marker>
          <c:xVal>
            <c:numRef>
              <c:f>Spend!$AH$217:$AL$217</c:f>
              <c:numCache>
                <c:formatCode>_(* #,##0_);_(* \(#,##0\);_(* "-"_);_(@_)</c:formatCode>
                <c:ptCount val="5"/>
                <c:pt idx="0">
                  <c:v>0</c:v>
                </c:pt>
                <c:pt idx="1">
                  <c:v>0</c:v>
                </c:pt>
                <c:pt idx="2">
                  <c:v>71650.030899926103</c:v>
                </c:pt>
                <c:pt idx="3">
                  <c:v>143654.26776997966</c:v>
                </c:pt>
                <c:pt idx="4">
                  <c:v>208973.65186425575</c:v>
                </c:pt>
              </c:numCache>
            </c:numRef>
          </c:xVal>
          <c:yVal>
            <c:numRef>
              <c:f>Spend!$AN$217:$AR$217</c:f>
              <c:numCache>
                <c:formatCode>_-* #,##0.0_-;\-* #,##0.0_-;_-* "-"_-;_-@_-</c:formatCode>
                <c:ptCount val="5"/>
                <c:pt idx="0">
                  <c:v>1</c:v>
                </c:pt>
                <c:pt idx="1">
                  <c:v>1</c:v>
                </c:pt>
                <c:pt idx="2">
                  <c:v>0.72222222222222221</c:v>
                </c:pt>
                <c:pt idx="3">
                  <c:v>1.1333333333333335</c:v>
                </c:pt>
                <c:pt idx="4">
                  <c:v>2.4444444444444442</c:v>
                </c:pt>
              </c:numCache>
            </c:numRef>
          </c:yVal>
          <c:smooth val="1"/>
        </c:ser>
        <c:ser>
          <c:idx val="1"/>
          <c:order val="1"/>
          <c:tx>
            <c:strRef>
              <c:f>Spend!$AG$266</c:f>
              <c:strCache>
                <c:ptCount val="1"/>
                <c:pt idx="0">
                  <c:v>Output 2</c:v>
                </c:pt>
              </c:strCache>
            </c:strRef>
          </c:tx>
          <c:marker>
            <c:symbol val="none"/>
          </c:marker>
          <c:xVal>
            <c:numRef>
              <c:f>Spend!$AH$292:$AL$292</c:f>
              <c:numCache>
                <c:formatCode>_(* #,##0_);_(* \(#,##0\);_(* "-"_);_(@_)</c:formatCode>
                <c:ptCount val="5"/>
                <c:pt idx="0">
                  <c:v>0</c:v>
                </c:pt>
                <c:pt idx="1">
                  <c:v>0</c:v>
                </c:pt>
                <c:pt idx="2">
                  <c:v>72805.301586592788</c:v>
                </c:pt>
                <c:pt idx="3">
                  <c:v>135505.59442354515</c:v>
                </c:pt>
                <c:pt idx="4">
                  <c:v>208708.25013219161</c:v>
                </c:pt>
              </c:numCache>
            </c:numRef>
          </c:xVal>
          <c:yVal>
            <c:numRef>
              <c:f>Spend!$AN$292:$AR$292</c:f>
              <c:numCache>
                <c:formatCode>_-* #,##0.0_-;\-* #,##0.0_-;_-* "-"_-;_-@_-</c:formatCode>
                <c:ptCount val="5"/>
                <c:pt idx="0">
                  <c:v>1</c:v>
                </c:pt>
                <c:pt idx="1">
                  <c:v>1</c:v>
                </c:pt>
                <c:pt idx="2">
                  <c:v>0.66666666666666663</c:v>
                </c:pt>
                <c:pt idx="3">
                  <c:v>1.5555555555555556</c:v>
                </c:pt>
                <c:pt idx="4">
                  <c:v>2.407407407407407</c:v>
                </c:pt>
              </c:numCache>
            </c:numRef>
          </c:yVal>
          <c:smooth val="1"/>
        </c:ser>
        <c:ser>
          <c:idx val="2"/>
          <c:order val="2"/>
          <c:tx>
            <c:strRef>
              <c:f>Spend!$AG$341</c:f>
              <c:strCache>
                <c:ptCount val="1"/>
                <c:pt idx="0">
                  <c:v>Output 3</c:v>
                </c:pt>
              </c:strCache>
            </c:strRef>
          </c:tx>
          <c:marker>
            <c:symbol val="none"/>
          </c:marker>
          <c:xVal>
            <c:numRef>
              <c:f>Spend!$AH$367:$AL$367</c:f>
              <c:numCache>
                <c:formatCode>_(* #,##0_);_(* \(#,##0\);_(* "-"_);_(@_)</c:formatCode>
                <c:ptCount val="5"/>
                <c:pt idx="0">
                  <c:v>0</c:v>
                </c:pt>
                <c:pt idx="1">
                  <c:v>0</c:v>
                </c:pt>
                <c:pt idx="2">
                  <c:v>37666.5221110364</c:v>
                </c:pt>
                <c:pt idx="3">
                  <c:v>124275.67035218158</c:v>
                </c:pt>
                <c:pt idx="4">
                  <c:v>244374.87241110415</c:v>
                </c:pt>
              </c:numCache>
            </c:numRef>
          </c:xVal>
          <c:yVal>
            <c:numRef>
              <c:f>Spend!$AN$367:$AR$367</c:f>
              <c:numCache>
                <c:formatCode>_-* #,##0.0_-;\-* #,##0.0_-;_-* "-"_-;_-@_-</c:formatCode>
                <c:ptCount val="5"/>
                <c:pt idx="0">
                  <c:v>1.0416666666666666E-2</c:v>
                </c:pt>
                <c:pt idx="1">
                  <c:v>1.0416666666666666E-2</c:v>
                </c:pt>
                <c:pt idx="2">
                  <c:v>0.83020833333333333</c:v>
                </c:pt>
                <c:pt idx="3">
                  <c:v>1.3645833333333333</c:v>
                </c:pt>
                <c:pt idx="4">
                  <c:v>2.5604166666666668</c:v>
                </c:pt>
              </c:numCache>
            </c:numRef>
          </c:yVal>
          <c:smooth val="1"/>
        </c:ser>
        <c:ser>
          <c:idx val="3"/>
          <c:order val="3"/>
          <c:tx>
            <c:strRef>
              <c:f>Spend!$AG$442</c:f>
              <c:strCache>
                <c:ptCount val="1"/>
                <c:pt idx="0">
                  <c:v>Output 4</c:v>
                </c:pt>
              </c:strCache>
            </c:strRef>
          </c:tx>
          <c:marker>
            <c:symbol val="none"/>
          </c:marker>
          <c:xVal>
            <c:numRef>
              <c:f>Spend!$AH$468:$AL$468</c:f>
              <c:numCache>
                <c:formatCode>_(* #,##0_);_(* \(#,##0\);_(* "-"_);_(@_)</c:formatCode>
                <c:ptCount val="5"/>
                <c:pt idx="0">
                  <c:v>0</c:v>
                </c:pt>
                <c:pt idx="1">
                  <c:v>0</c:v>
                </c:pt>
                <c:pt idx="2">
                  <c:v>64762.359475750614</c:v>
                </c:pt>
                <c:pt idx="3">
                  <c:v>115319.22551319595</c:v>
                </c:pt>
                <c:pt idx="4">
                  <c:v>236063.43205191649</c:v>
                </c:pt>
              </c:numCache>
            </c:numRef>
          </c:xVal>
          <c:yVal>
            <c:numRef>
              <c:f>Spend!$AN$468:$AR$468</c:f>
              <c:numCache>
                <c:formatCode>_-* #,##0.0_-;\-* #,##0.0_-;_-* "-"_-;_-@_-</c:formatCode>
                <c:ptCount val="5"/>
                <c:pt idx="0">
                  <c:v>1.46</c:v>
                </c:pt>
                <c:pt idx="1">
                  <c:v>1.46</c:v>
                </c:pt>
                <c:pt idx="2">
                  <c:v>1.4933333333333334</c:v>
                </c:pt>
                <c:pt idx="3">
                  <c:v>2.2183333333333333</c:v>
                </c:pt>
                <c:pt idx="4">
                  <c:v>3.2949999999999995</c:v>
                </c:pt>
              </c:numCache>
            </c:numRef>
          </c:yVal>
          <c:smooth val="1"/>
        </c:ser>
        <c:ser>
          <c:idx val="4"/>
          <c:order val="4"/>
          <c:tx>
            <c:strRef>
              <c:f>Spend!$AG$564</c:f>
              <c:strCache>
                <c:ptCount val="1"/>
                <c:pt idx="0">
                  <c:v>Output 5</c:v>
                </c:pt>
              </c:strCache>
            </c:strRef>
          </c:tx>
          <c:marker>
            <c:symbol val="none"/>
          </c:marker>
          <c:xVal>
            <c:numRef>
              <c:f>Spend!$AH$596:$AL$596</c:f>
              <c:numCache>
                <c:formatCode>_(* #,##0_);_(* \(#,##0\);_(* "-"_);_(@_)</c:formatCode>
                <c:ptCount val="5"/>
                <c:pt idx="0">
                  <c:v>0</c:v>
                </c:pt>
                <c:pt idx="1">
                  <c:v>0</c:v>
                </c:pt>
                <c:pt idx="2">
                  <c:v>22882.431813782056</c:v>
                </c:pt>
                <c:pt idx="3">
                  <c:v>54144.662558317861</c:v>
                </c:pt>
                <c:pt idx="4">
                  <c:v>95654.436500237047</c:v>
                </c:pt>
              </c:numCache>
            </c:numRef>
          </c:xVal>
          <c:yVal>
            <c:numRef>
              <c:f>Spend!$AN$596:$AR$596</c:f>
              <c:numCache>
                <c:formatCode>_-* #,##0.0_-;\-* #,##0.0_-;_-* "-"_-;_-@_-</c:formatCode>
                <c:ptCount val="5"/>
                <c:pt idx="0">
                  <c:v>0</c:v>
                </c:pt>
                <c:pt idx="1">
                  <c:v>0</c:v>
                </c:pt>
                <c:pt idx="2">
                  <c:v>0.25</c:v>
                </c:pt>
                <c:pt idx="3">
                  <c:v>0.2986111111111111</c:v>
                </c:pt>
                <c:pt idx="4">
                  <c:v>1.4236111111111114</c:v>
                </c:pt>
              </c:numCache>
            </c:numRef>
          </c:yVal>
          <c:smooth val="1"/>
        </c:ser>
        <c:dLbls>
          <c:showLegendKey val="0"/>
          <c:showVal val="0"/>
          <c:showCatName val="0"/>
          <c:showSerName val="0"/>
          <c:showPercent val="0"/>
          <c:showBubbleSize val="0"/>
        </c:dLbls>
        <c:axId val="126909440"/>
        <c:axId val="126920192"/>
      </c:scatterChart>
      <c:valAx>
        <c:axId val="126909440"/>
        <c:scaling>
          <c:orientation val="minMax"/>
          <c:max val="800001"/>
          <c:min val="1"/>
        </c:scaling>
        <c:delete val="0"/>
        <c:axPos val="b"/>
        <c:title>
          <c:tx>
            <c:rich>
              <a:bodyPr/>
              <a:lstStyle/>
              <a:p>
                <a:pPr>
                  <a:defRPr/>
                </a:pPr>
                <a:r>
                  <a:rPr lang="en-US" sz="1200"/>
                  <a:t>Spend</a:t>
                </a:r>
              </a:p>
            </c:rich>
          </c:tx>
          <c:layout>
            <c:manualLayout>
              <c:xMode val="edge"/>
              <c:yMode val="edge"/>
              <c:x val="0.43348243703579598"/>
              <c:y val="0.89929078014184405"/>
            </c:manualLayout>
          </c:layout>
          <c:overlay val="0"/>
        </c:title>
        <c:numFmt formatCode="_(* #,##0_);_(* \(#,##0\);_(* &quot;-&quot;_);_(@_)" sourceLinked="1"/>
        <c:majorTickMark val="none"/>
        <c:minorTickMark val="none"/>
        <c:tickLblPos val="nextTo"/>
        <c:crossAx val="126920192"/>
        <c:crosses val="autoZero"/>
        <c:crossBetween val="midCat"/>
        <c:dispUnits>
          <c:builtInUnit val="thousands"/>
          <c:dispUnitsLbl>
            <c:txPr>
              <a:bodyPr/>
              <a:lstStyle/>
              <a:p>
                <a:pPr>
                  <a:defRPr b="0" i="0"/>
                </a:pPr>
                <a:endParaRPr lang="en-US"/>
              </a:p>
            </c:txPr>
          </c:dispUnitsLbl>
        </c:dispUnits>
      </c:valAx>
      <c:valAx>
        <c:axId val="126920192"/>
        <c:scaling>
          <c:orientation val="minMax"/>
          <c:max val="5"/>
          <c:min val="0"/>
        </c:scaling>
        <c:delete val="0"/>
        <c:axPos val="l"/>
        <c:majorGridlines/>
        <c:title>
          <c:tx>
            <c:rich>
              <a:bodyPr/>
              <a:lstStyle/>
              <a:p>
                <a:pPr>
                  <a:defRPr sz="1200"/>
                </a:pPr>
                <a:r>
                  <a:rPr lang="en-US" sz="1200"/>
                  <a:t>Score</a:t>
                </a:r>
              </a:p>
            </c:rich>
          </c:tx>
          <c:overlay val="0"/>
        </c:title>
        <c:numFmt formatCode="_-* #,##0.0_-;\-* #,##0.0_-;_-* &quot;-&quot;_-;_-@_-" sourceLinked="1"/>
        <c:majorTickMark val="none"/>
        <c:minorTickMark val="none"/>
        <c:tickLblPos val="nextTo"/>
        <c:crossAx val="126909440"/>
        <c:crosses val="autoZero"/>
        <c:crossBetween val="midCat"/>
        <c:majorUnit val="1"/>
        <c:minorUnit val="0.1"/>
      </c:valAx>
    </c:plotArea>
    <c:legend>
      <c:legendPos val="r"/>
      <c:layout>
        <c:manualLayout>
          <c:xMode val="edge"/>
          <c:yMode val="edge"/>
          <c:x val="0.81423391225033004"/>
          <c:y val="0.329311649648034"/>
          <c:w val="0.16645037071096"/>
          <c:h val="0.35482179126902402"/>
        </c:manualLayout>
      </c:layout>
      <c:overlay val="0"/>
    </c:legend>
    <c:plotVisOnly val="1"/>
    <c:dispBlanksAs val="gap"/>
    <c:showDLblsOverMax val="0"/>
  </c:chart>
  <c:printSettings>
    <c:headerFooter/>
    <c:pageMargins b="1" l="0.75" r="0.75" t="1" header="0.5" footer="0.5"/>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Score vs Spend: Enugu</a:t>
            </a:r>
          </a:p>
        </c:rich>
      </c:tx>
      <c:overlay val="0"/>
    </c:title>
    <c:autoTitleDeleted val="0"/>
    <c:plotArea>
      <c:layout>
        <c:manualLayout>
          <c:layoutTarget val="inner"/>
          <c:xMode val="edge"/>
          <c:yMode val="edge"/>
          <c:x val="0.120232683680497"/>
          <c:y val="0.17943262411347499"/>
          <c:w val="0.66803205450382497"/>
          <c:h val="0.64770704193890705"/>
        </c:manualLayout>
      </c:layout>
      <c:scatterChart>
        <c:scatterStyle val="smoothMarker"/>
        <c:varyColors val="0"/>
        <c:ser>
          <c:idx val="0"/>
          <c:order val="0"/>
          <c:tx>
            <c:strRef>
              <c:f>Spend!$AG$191</c:f>
              <c:strCache>
                <c:ptCount val="1"/>
                <c:pt idx="0">
                  <c:v>Output 1</c:v>
                </c:pt>
              </c:strCache>
            </c:strRef>
          </c:tx>
          <c:marker>
            <c:symbol val="none"/>
          </c:marker>
          <c:xVal>
            <c:numRef>
              <c:f>Spend!$AH$193:$AL$193</c:f>
              <c:numCache>
                <c:formatCode>_(* #,##0_);_(* \(#,##0\);_(* "-"_);_(@_)</c:formatCode>
                <c:ptCount val="5"/>
                <c:pt idx="0">
                  <c:v>0</c:v>
                </c:pt>
                <c:pt idx="1">
                  <c:v>298052.85214757948</c:v>
                </c:pt>
                <c:pt idx="2">
                  <c:v>412133.77016779699</c:v>
                </c:pt>
                <c:pt idx="3">
                  <c:v>509522.48879278102</c:v>
                </c:pt>
                <c:pt idx="4">
                  <c:v>590327.8954089426</c:v>
                </c:pt>
              </c:numCache>
            </c:numRef>
          </c:xVal>
          <c:yVal>
            <c:numRef>
              <c:f>Spend!$AN$193:$AR$193</c:f>
              <c:numCache>
                <c:formatCode>_-* #,##0.0_-;\-* #,##0.0_-;_-* "-"_-;_-@_-</c:formatCode>
                <c:ptCount val="5"/>
                <c:pt idx="0">
                  <c:v>1.25</c:v>
                </c:pt>
                <c:pt idx="1">
                  <c:v>1</c:v>
                </c:pt>
                <c:pt idx="2">
                  <c:v>1.5999999999999999</c:v>
                </c:pt>
                <c:pt idx="3">
                  <c:v>2.8666666666666667</c:v>
                </c:pt>
                <c:pt idx="4">
                  <c:v>4.2766666666666664</c:v>
                </c:pt>
              </c:numCache>
            </c:numRef>
          </c:yVal>
          <c:smooth val="1"/>
        </c:ser>
        <c:ser>
          <c:idx val="1"/>
          <c:order val="1"/>
          <c:tx>
            <c:strRef>
              <c:f>Spend!$AG$266</c:f>
              <c:strCache>
                <c:ptCount val="1"/>
                <c:pt idx="0">
                  <c:v>Output 2</c:v>
                </c:pt>
              </c:strCache>
            </c:strRef>
          </c:tx>
          <c:marker>
            <c:symbol val="none"/>
          </c:marker>
          <c:xVal>
            <c:numRef>
              <c:f>Spend!$AH$268:$AL$268</c:f>
              <c:numCache>
                <c:formatCode>_(* #,##0_);_(* \(#,##0\);_(* "-"_);_(@_)</c:formatCode>
                <c:ptCount val="5"/>
                <c:pt idx="0">
                  <c:v>0</c:v>
                </c:pt>
                <c:pt idx="1">
                  <c:v>241485.85509747139</c:v>
                </c:pt>
                <c:pt idx="2">
                  <c:v>354076.33700435556</c:v>
                </c:pt>
                <c:pt idx="3">
                  <c:v>435587.03935910366</c:v>
                </c:pt>
                <c:pt idx="4">
                  <c:v>524908.68741165916</c:v>
                </c:pt>
              </c:numCache>
            </c:numRef>
          </c:xVal>
          <c:yVal>
            <c:numRef>
              <c:f>Spend!$AN$268:$AR$268</c:f>
              <c:numCache>
                <c:formatCode>_-* #,##0.0_-;\-* #,##0.0_-;_-* "-"_-;_-@_-</c:formatCode>
                <c:ptCount val="5"/>
                <c:pt idx="0">
                  <c:v>1</c:v>
                </c:pt>
                <c:pt idx="1">
                  <c:v>0</c:v>
                </c:pt>
                <c:pt idx="2">
                  <c:v>1.7</c:v>
                </c:pt>
                <c:pt idx="3">
                  <c:v>2.6999999999999997</c:v>
                </c:pt>
                <c:pt idx="4">
                  <c:v>3.6944444444444446</c:v>
                </c:pt>
              </c:numCache>
            </c:numRef>
          </c:yVal>
          <c:smooth val="1"/>
        </c:ser>
        <c:ser>
          <c:idx val="2"/>
          <c:order val="2"/>
          <c:tx>
            <c:strRef>
              <c:f>Spend!$AG$341</c:f>
              <c:strCache>
                <c:ptCount val="1"/>
                <c:pt idx="0">
                  <c:v>Output 3</c:v>
                </c:pt>
              </c:strCache>
            </c:strRef>
          </c:tx>
          <c:marker>
            <c:symbol val="none"/>
          </c:marker>
          <c:xVal>
            <c:numRef>
              <c:f>Spend!$AH$343:$AL$343</c:f>
              <c:numCache>
                <c:formatCode>_(* #,##0_);_(* \(#,##0\);_(* "-"_);_(@_)</c:formatCode>
                <c:ptCount val="5"/>
                <c:pt idx="0">
                  <c:v>0</c:v>
                </c:pt>
                <c:pt idx="1">
                  <c:v>133419.65788597369</c:v>
                </c:pt>
                <c:pt idx="2">
                  <c:v>197000.4696136908</c:v>
                </c:pt>
                <c:pt idx="3">
                  <c:v>292449.64390236186</c:v>
                </c:pt>
                <c:pt idx="4">
                  <c:v>396232.53893367504</c:v>
                </c:pt>
              </c:numCache>
            </c:numRef>
          </c:xVal>
          <c:yVal>
            <c:numRef>
              <c:f>Spend!$AN$343:$AR$343</c:f>
              <c:numCache>
                <c:formatCode>_-* #,##0.0_-;\-* #,##0.0_-;_-* "-"_-;_-@_-</c:formatCode>
                <c:ptCount val="5"/>
                <c:pt idx="0">
                  <c:v>0</c:v>
                </c:pt>
                <c:pt idx="1">
                  <c:v>0.1875</c:v>
                </c:pt>
                <c:pt idx="2">
                  <c:v>2.0531250000000001</c:v>
                </c:pt>
                <c:pt idx="3">
                  <c:v>2.609375</c:v>
                </c:pt>
                <c:pt idx="4">
                  <c:v>2.6906249999999998</c:v>
                </c:pt>
              </c:numCache>
            </c:numRef>
          </c:yVal>
          <c:smooth val="1"/>
        </c:ser>
        <c:ser>
          <c:idx val="3"/>
          <c:order val="3"/>
          <c:tx>
            <c:strRef>
              <c:f>Spend!$AG$442</c:f>
              <c:strCache>
                <c:ptCount val="1"/>
                <c:pt idx="0">
                  <c:v>Output 4</c:v>
                </c:pt>
              </c:strCache>
            </c:strRef>
          </c:tx>
          <c:marker>
            <c:symbol val="none"/>
          </c:marker>
          <c:xVal>
            <c:numRef>
              <c:f>Spend!$AH$444:$AL$444</c:f>
              <c:numCache>
                <c:formatCode>_(* #,##0_);_(* \(#,##0\);_(* "-"_);_(@_)</c:formatCode>
                <c:ptCount val="5"/>
                <c:pt idx="0">
                  <c:v>0</c:v>
                </c:pt>
                <c:pt idx="1">
                  <c:v>320296.58757722727</c:v>
                </c:pt>
                <c:pt idx="2">
                  <c:v>480422.0145782234</c:v>
                </c:pt>
                <c:pt idx="3">
                  <c:v>614695.28388825746</c:v>
                </c:pt>
                <c:pt idx="4">
                  <c:v>761865.246532702</c:v>
                </c:pt>
              </c:numCache>
            </c:numRef>
          </c:xVal>
          <c:yVal>
            <c:numRef>
              <c:f>Spend!$AN$444:$AR$444</c:f>
              <c:numCache>
                <c:formatCode>_-* #,##0.0_-;\-* #,##0.0_-;_-* "-"_-;_-@_-</c:formatCode>
                <c:ptCount val="5"/>
                <c:pt idx="0">
                  <c:v>0.8</c:v>
                </c:pt>
                <c:pt idx="1">
                  <c:v>1.55</c:v>
                </c:pt>
                <c:pt idx="2">
                  <c:v>2.1800000000000002</c:v>
                </c:pt>
                <c:pt idx="3">
                  <c:v>3.05</c:v>
                </c:pt>
                <c:pt idx="4">
                  <c:v>3.1599999999999997</c:v>
                </c:pt>
              </c:numCache>
            </c:numRef>
          </c:yVal>
          <c:smooth val="1"/>
        </c:ser>
        <c:ser>
          <c:idx val="4"/>
          <c:order val="4"/>
          <c:tx>
            <c:strRef>
              <c:f>Spend!$AG$564</c:f>
              <c:strCache>
                <c:ptCount val="1"/>
                <c:pt idx="0">
                  <c:v>Output 5</c:v>
                </c:pt>
              </c:strCache>
            </c:strRef>
          </c:tx>
          <c:marker>
            <c:symbol val="none"/>
          </c:marker>
          <c:xVal>
            <c:numRef>
              <c:f>Spend!$AH$566:$AL$566</c:f>
              <c:numCache>
                <c:formatCode>_(* #,##0_);_(* \(#,##0\);_(* "-"_);_(@_)</c:formatCode>
                <c:ptCount val="5"/>
                <c:pt idx="0">
                  <c:v>0</c:v>
                </c:pt>
                <c:pt idx="1">
                  <c:v>268342.30077722727</c:v>
                </c:pt>
                <c:pt idx="2">
                  <c:v>303218.33327762788</c:v>
                </c:pt>
                <c:pt idx="3">
                  <c:v>335250.4007446061</c:v>
                </c:pt>
                <c:pt idx="4">
                  <c:v>373046.37561177782</c:v>
                </c:pt>
              </c:numCache>
            </c:numRef>
          </c:xVal>
          <c:yVal>
            <c:numRef>
              <c:f>Spend!$AN$566:$AR$566</c:f>
              <c:numCache>
                <c:formatCode>_-* #,##0.0_-;\-* #,##0.0_-;_-* "-"_-;_-@_-</c:formatCode>
                <c:ptCount val="5"/>
                <c:pt idx="0">
                  <c:v>0</c:v>
                </c:pt>
                <c:pt idx="1">
                  <c:v>0.25</c:v>
                </c:pt>
                <c:pt idx="2">
                  <c:v>0.625</c:v>
                </c:pt>
                <c:pt idx="3">
                  <c:v>1.9583333333333333</c:v>
                </c:pt>
                <c:pt idx="4">
                  <c:v>1.625</c:v>
                </c:pt>
              </c:numCache>
            </c:numRef>
          </c:yVal>
          <c:smooth val="1"/>
        </c:ser>
        <c:dLbls>
          <c:showLegendKey val="0"/>
          <c:showVal val="0"/>
          <c:showCatName val="0"/>
          <c:showSerName val="0"/>
          <c:showPercent val="0"/>
          <c:showBubbleSize val="0"/>
        </c:dLbls>
        <c:axId val="126965248"/>
        <c:axId val="126984192"/>
      </c:scatterChart>
      <c:valAx>
        <c:axId val="126965248"/>
        <c:scaling>
          <c:orientation val="minMax"/>
          <c:min val="1"/>
        </c:scaling>
        <c:delete val="0"/>
        <c:axPos val="b"/>
        <c:title>
          <c:tx>
            <c:rich>
              <a:bodyPr/>
              <a:lstStyle/>
              <a:p>
                <a:pPr>
                  <a:defRPr/>
                </a:pPr>
                <a:r>
                  <a:rPr lang="en-US" sz="1200"/>
                  <a:t>Spend</a:t>
                </a:r>
              </a:p>
            </c:rich>
          </c:tx>
          <c:layout>
            <c:manualLayout>
              <c:xMode val="edge"/>
              <c:yMode val="edge"/>
              <c:x val="0.43348243703579598"/>
              <c:y val="0.89929078014184405"/>
            </c:manualLayout>
          </c:layout>
          <c:overlay val="0"/>
        </c:title>
        <c:numFmt formatCode="_(* #,##0_);_(* \(#,##0\);_(* &quot;-&quot;_);_(@_)" sourceLinked="1"/>
        <c:majorTickMark val="none"/>
        <c:minorTickMark val="none"/>
        <c:tickLblPos val="nextTo"/>
        <c:crossAx val="126984192"/>
        <c:crosses val="autoZero"/>
        <c:crossBetween val="midCat"/>
        <c:dispUnits>
          <c:builtInUnit val="thousands"/>
          <c:dispUnitsLbl>
            <c:txPr>
              <a:bodyPr/>
              <a:lstStyle/>
              <a:p>
                <a:pPr>
                  <a:defRPr b="0" i="0"/>
                </a:pPr>
                <a:endParaRPr lang="en-US"/>
              </a:p>
            </c:txPr>
          </c:dispUnitsLbl>
        </c:dispUnits>
      </c:valAx>
      <c:valAx>
        <c:axId val="126984192"/>
        <c:scaling>
          <c:orientation val="minMax"/>
          <c:max val="5"/>
          <c:min val="0"/>
        </c:scaling>
        <c:delete val="0"/>
        <c:axPos val="l"/>
        <c:majorGridlines/>
        <c:title>
          <c:tx>
            <c:rich>
              <a:bodyPr/>
              <a:lstStyle/>
              <a:p>
                <a:pPr>
                  <a:defRPr sz="1200"/>
                </a:pPr>
                <a:r>
                  <a:rPr lang="en-US" sz="1200"/>
                  <a:t>Score</a:t>
                </a:r>
              </a:p>
            </c:rich>
          </c:tx>
          <c:overlay val="0"/>
        </c:title>
        <c:numFmt formatCode="_-* #,##0.0_-;\-* #,##0.0_-;_-* &quot;-&quot;_-;_-@_-" sourceLinked="1"/>
        <c:majorTickMark val="none"/>
        <c:minorTickMark val="none"/>
        <c:tickLblPos val="nextTo"/>
        <c:crossAx val="126965248"/>
        <c:crosses val="autoZero"/>
        <c:crossBetween val="midCat"/>
        <c:majorUnit val="1"/>
        <c:minorUnit val="0.1"/>
      </c:valAx>
    </c:plotArea>
    <c:legend>
      <c:legendPos val="r"/>
      <c:layout>
        <c:manualLayout>
          <c:xMode val="edge"/>
          <c:yMode val="edge"/>
          <c:x val="0.81423391225033004"/>
          <c:y val="0.329311649648034"/>
          <c:w val="0.16645037071096"/>
          <c:h val="0.35482179126902402"/>
        </c:manualLayout>
      </c:layout>
      <c:overlay val="0"/>
    </c:legend>
    <c:plotVisOnly val="1"/>
    <c:dispBlanksAs val="gap"/>
    <c:showDLblsOverMax val="0"/>
  </c:chart>
  <c:printSettings>
    <c:headerFooter/>
    <c:pageMargins b="1" l="0.75" r="0.75" t="1" header="0.5" footer="0.5"/>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Impact Level</a:t>
            </a:r>
          </a:p>
        </c:rich>
      </c:tx>
      <c:overlay val="0"/>
    </c:title>
    <c:autoTitleDeleted val="0"/>
    <c:plotArea>
      <c:layout/>
      <c:lineChart>
        <c:grouping val="standard"/>
        <c:varyColors val="0"/>
        <c:ser>
          <c:idx val="8"/>
          <c:order val="8"/>
          <c:tx>
            <c:strRef>
              <c:f>'Composites (2014)'!$AH$5</c:f>
              <c:strCache>
                <c:ptCount val="1"/>
                <c:pt idx="0">
                  <c:v>Enugu</c:v>
                </c:pt>
              </c:strCache>
            </c:strRef>
          </c:tx>
          <c:marker>
            <c:symbol val="none"/>
          </c:marker>
          <c:cat>
            <c:strRef>
              <c:f>'Composites (2014)'!$AI$2:$AL$2</c:f>
              <c:strCache>
                <c:ptCount val="4"/>
                <c:pt idx="0">
                  <c:v>Year 2</c:v>
                </c:pt>
                <c:pt idx="1">
                  <c:v>Year 3</c:v>
                </c:pt>
                <c:pt idx="2">
                  <c:v>Year 4</c:v>
                </c:pt>
                <c:pt idx="3">
                  <c:v>Year 5</c:v>
                </c:pt>
              </c:strCache>
            </c:strRef>
          </c:cat>
          <c:val>
            <c:numRef>
              <c:f>'Composites (2014)'!$AI$5:$AL$5</c:f>
              <c:numCache>
                <c:formatCode>0</c:formatCode>
                <c:ptCount val="4"/>
                <c:pt idx="0">
                  <c:v>130.71072920159727</c:v>
                </c:pt>
                <c:pt idx="1">
                  <c:v>6.5799310661661652</c:v>
                </c:pt>
                <c:pt idx="2">
                  <c:v>66.216980849029497</c:v>
                </c:pt>
                <c:pt idx="3">
                  <c:v>301.89909831438007</c:v>
                </c:pt>
              </c:numCache>
            </c:numRef>
          </c:val>
          <c:smooth val="0"/>
        </c:ser>
        <c:ser>
          <c:idx val="9"/>
          <c:order val="9"/>
          <c:tx>
            <c:strRef>
              <c:f>'Composites (2014)'!$AH$6</c:f>
              <c:strCache>
                <c:ptCount val="1"/>
                <c:pt idx="0">
                  <c:v>Jigawa</c:v>
                </c:pt>
              </c:strCache>
            </c:strRef>
          </c:tx>
          <c:marker>
            <c:symbol val="none"/>
          </c:marker>
          <c:cat>
            <c:strRef>
              <c:f>'Composites (2014)'!$AI$2:$AL$2</c:f>
              <c:strCache>
                <c:ptCount val="4"/>
                <c:pt idx="0">
                  <c:v>Year 2</c:v>
                </c:pt>
                <c:pt idx="1">
                  <c:v>Year 3</c:v>
                </c:pt>
                <c:pt idx="2">
                  <c:v>Year 4</c:v>
                </c:pt>
                <c:pt idx="3">
                  <c:v>Year 5</c:v>
                </c:pt>
              </c:strCache>
            </c:strRef>
          </c:cat>
          <c:val>
            <c:numRef>
              <c:f>'Composites (2014)'!$AI$6:$AL$6</c:f>
              <c:numCache>
                <c:formatCode>0</c:formatCode>
                <c:ptCount val="4"/>
                <c:pt idx="0">
                  <c:v>-38.965582277440312</c:v>
                </c:pt>
                <c:pt idx="1">
                  <c:v>137.66297136774492</c:v>
                </c:pt>
                <c:pt idx="2">
                  <c:v>198.24699472455401</c:v>
                </c:pt>
                <c:pt idx="3">
                  <c:v>286.94461085018088</c:v>
                </c:pt>
              </c:numCache>
            </c:numRef>
          </c:val>
          <c:smooth val="0"/>
        </c:ser>
        <c:ser>
          <c:idx val="10"/>
          <c:order val="10"/>
          <c:tx>
            <c:strRef>
              <c:f>'Composites (2014)'!$AH$7</c:f>
              <c:strCache>
                <c:ptCount val="1"/>
                <c:pt idx="0">
                  <c:v>Kaduna</c:v>
                </c:pt>
              </c:strCache>
            </c:strRef>
          </c:tx>
          <c:marker>
            <c:symbol val="none"/>
          </c:marker>
          <c:cat>
            <c:strRef>
              <c:f>'Composites (2014)'!$AI$2:$AL$2</c:f>
              <c:strCache>
                <c:ptCount val="4"/>
                <c:pt idx="0">
                  <c:v>Year 2</c:v>
                </c:pt>
                <c:pt idx="1">
                  <c:v>Year 3</c:v>
                </c:pt>
                <c:pt idx="2">
                  <c:v>Year 4</c:v>
                </c:pt>
                <c:pt idx="3">
                  <c:v>Year 5</c:v>
                </c:pt>
              </c:strCache>
            </c:strRef>
          </c:cat>
          <c:val>
            <c:numRef>
              <c:f>'Composites (2014)'!$AI$7:$AL$7</c:f>
              <c:numCache>
                <c:formatCode>0</c:formatCode>
                <c:ptCount val="4"/>
                <c:pt idx="0">
                  <c:v>31.412154635239272</c:v>
                </c:pt>
                <c:pt idx="1">
                  <c:v>54.840786880454822</c:v>
                </c:pt>
                <c:pt idx="2">
                  <c:v>45.050909153193125</c:v>
                </c:pt>
                <c:pt idx="3">
                  <c:v>180.21049945409473</c:v>
                </c:pt>
              </c:numCache>
            </c:numRef>
          </c:val>
          <c:smooth val="0"/>
        </c:ser>
        <c:ser>
          <c:idx val="11"/>
          <c:order val="11"/>
          <c:tx>
            <c:strRef>
              <c:f>'Composites (2014)'!$AH$8</c:f>
              <c:strCache>
                <c:ptCount val="1"/>
                <c:pt idx="0">
                  <c:v>Kano</c:v>
                </c:pt>
              </c:strCache>
            </c:strRef>
          </c:tx>
          <c:marker>
            <c:symbol val="none"/>
          </c:marker>
          <c:cat>
            <c:strRef>
              <c:f>'Composites (2014)'!$AI$2:$AL$2</c:f>
              <c:strCache>
                <c:ptCount val="4"/>
                <c:pt idx="0">
                  <c:v>Year 2</c:v>
                </c:pt>
                <c:pt idx="1">
                  <c:v>Year 3</c:v>
                </c:pt>
                <c:pt idx="2">
                  <c:v>Year 4</c:v>
                </c:pt>
                <c:pt idx="3">
                  <c:v>Year 5</c:v>
                </c:pt>
              </c:strCache>
            </c:strRef>
          </c:cat>
          <c:val>
            <c:numRef>
              <c:f>'Composites (2014)'!$AI$8:$AL$8</c:f>
              <c:numCache>
                <c:formatCode>0</c:formatCode>
                <c:ptCount val="4"/>
                <c:pt idx="0">
                  <c:v>54.935861625295779</c:v>
                </c:pt>
                <c:pt idx="1">
                  <c:v>47.001468027776589</c:v>
                </c:pt>
                <c:pt idx="2">
                  <c:v>179.696408638977</c:v>
                </c:pt>
                <c:pt idx="3">
                  <c:v>193.51196823655206</c:v>
                </c:pt>
              </c:numCache>
            </c:numRef>
          </c:val>
          <c:smooth val="0"/>
        </c:ser>
        <c:ser>
          <c:idx val="12"/>
          <c:order val="12"/>
          <c:tx>
            <c:strRef>
              <c:f>'Composites (2014)'!$AH$9</c:f>
              <c:strCache>
                <c:ptCount val="1"/>
                <c:pt idx="0">
                  <c:v>Lagos</c:v>
                </c:pt>
              </c:strCache>
            </c:strRef>
          </c:tx>
          <c:marker>
            <c:symbol val="none"/>
          </c:marker>
          <c:cat>
            <c:strRef>
              <c:f>'Composites (2014)'!$AI$2:$AL$2</c:f>
              <c:strCache>
                <c:ptCount val="4"/>
                <c:pt idx="0">
                  <c:v>Year 2</c:v>
                </c:pt>
                <c:pt idx="1">
                  <c:v>Year 3</c:v>
                </c:pt>
                <c:pt idx="2">
                  <c:v>Year 4</c:v>
                </c:pt>
                <c:pt idx="3">
                  <c:v>Year 5</c:v>
                </c:pt>
              </c:strCache>
            </c:strRef>
          </c:cat>
          <c:val>
            <c:numRef>
              <c:f>'Composites (2014)'!$AI$9:$AL$9</c:f>
              <c:numCache>
                <c:formatCode>0</c:formatCode>
                <c:ptCount val="4"/>
                <c:pt idx="0">
                  <c:v>46.147030520934784</c:v>
                </c:pt>
                <c:pt idx="1">
                  <c:v>125.32031968511636</c:v>
                </c:pt>
                <c:pt idx="2">
                  <c:v>93.751779865484195</c:v>
                </c:pt>
                <c:pt idx="3">
                  <c:v>24.883239606021089</c:v>
                </c:pt>
              </c:numCache>
            </c:numRef>
          </c:val>
          <c:smooth val="0"/>
        </c:ser>
        <c:ser>
          <c:idx val="13"/>
          <c:order val="13"/>
          <c:tx>
            <c:strRef>
              <c:f>'Composites (2014)'!$AH$10</c:f>
              <c:strCache>
                <c:ptCount val="1"/>
                <c:pt idx="0">
                  <c:v>Zamfara</c:v>
                </c:pt>
              </c:strCache>
            </c:strRef>
          </c:tx>
          <c:marker>
            <c:symbol val="none"/>
          </c:marker>
          <c:cat>
            <c:strRef>
              <c:f>'Composites (2014)'!$AI$2:$AL$2</c:f>
              <c:strCache>
                <c:ptCount val="4"/>
                <c:pt idx="0">
                  <c:v>Year 2</c:v>
                </c:pt>
                <c:pt idx="1">
                  <c:v>Year 3</c:v>
                </c:pt>
                <c:pt idx="2">
                  <c:v>Year 4</c:v>
                </c:pt>
                <c:pt idx="3">
                  <c:v>Year 5</c:v>
                </c:pt>
              </c:strCache>
            </c:strRef>
          </c:cat>
          <c:val>
            <c:numRef>
              <c:f>'Composites (2014)'!$AI$10:$AL$10</c:f>
              <c:numCache>
                <c:formatCode>0</c:formatCode>
                <c:ptCount val="4"/>
                <c:pt idx="0">
                  <c:v>0</c:v>
                </c:pt>
                <c:pt idx="1">
                  <c:v>64.639257262533008</c:v>
                </c:pt>
                <c:pt idx="2">
                  <c:v>108.49214331584655</c:v>
                </c:pt>
                <c:pt idx="3">
                  <c:v>328.86766559890958</c:v>
                </c:pt>
              </c:numCache>
            </c:numRef>
          </c:val>
          <c:smooth val="0"/>
        </c:ser>
        <c:ser>
          <c:idx val="14"/>
          <c:order val="14"/>
          <c:tx>
            <c:strRef>
              <c:f>'Composites (2014)'!$AH$11</c:f>
              <c:strCache>
                <c:ptCount val="1"/>
                <c:pt idx="0">
                  <c:v>Katsina</c:v>
                </c:pt>
              </c:strCache>
            </c:strRef>
          </c:tx>
          <c:marker>
            <c:symbol val="none"/>
          </c:marker>
          <c:cat>
            <c:strRef>
              <c:f>'Composites (2014)'!$AI$2:$AL$2</c:f>
              <c:strCache>
                <c:ptCount val="4"/>
                <c:pt idx="0">
                  <c:v>Year 2</c:v>
                </c:pt>
                <c:pt idx="1">
                  <c:v>Year 3</c:v>
                </c:pt>
                <c:pt idx="2">
                  <c:v>Year 4</c:v>
                </c:pt>
                <c:pt idx="3">
                  <c:v>Year 5</c:v>
                </c:pt>
              </c:strCache>
            </c:strRef>
          </c:cat>
          <c:val>
            <c:numRef>
              <c:f>'Composites (2014)'!$AI$11:$AL$11</c:f>
              <c:numCache>
                <c:formatCode>0</c:formatCode>
                <c:ptCount val="4"/>
                <c:pt idx="0">
                  <c:v>0</c:v>
                </c:pt>
                <c:pt idx="1">
                  <c:v>64.927398948774496</c:v>
                </c:pt>
                <c:pt idx="2">
                  <c:v>194.49282765415578</c:v>
                </c:pt>
                <c:pt idx="3">
                  <c:v>427.6456897207101</c:v>
                </c:pt>
              </c:numCache>
            </c:numRef>
          </c:val>
          <c:smooth val="0"/>
        </c:ser>
        <c:ser>
          <c:idx val="15"/>
          <c:order val="15"/>
          <c:tx>
            <c:strRef>
              <c:f>'Composites (2014)'!$AH$12</c:f>
              <c:strCache>
                <c:ptCount val="1"/>
                <c:pt idx="0">
                  <c:v>Yobe</c:v>
                </c:pt>
              </c:strCache>
            </c:strRef>
          </c:tx>
          <c:marker>
            <c:symbol val="none"/>
          </c:marker>
          <c:cat>
            <c:strRef>
              <c:f>'Composites (2014)'!$AI$2:$AL$2</c:f>
              <c:strCache>
                <c:ptCount val="4"/>
                <c:pt idx="0">
                  <c:v>Year 2</c:v>
                </c:pt>
                <c:pt idx="1">
                  <c:v>Year 3</c:v>
                </c:pt>
                <c:pt idx="2">
                  <c:v>Year 4</c:v>
                </c:pt>
                <c:pt idx="3">
                  <c:v>Year 5</c:v>
                </c:pt>
              </c:strCache>
            </c:strRef>
          </c:cat>
          <c:val>
            <c:numRef>
              <c:f>'Composites (2014)'!$AI$12:$AL$12</c:f>
              <c:numCache>
                <c:formatCode>0</c:formatCode>
                <c:ptCount val="4"/>
                <c:pt idx="0">
                  <c:v>0</c:v>
                </c:pt>
                <c:pt idx="1">
                  <c:v>0</c:v>
                </c:pt>
                <c:pt idx="2">
                  <c:v>332.63807590705943</c:v>
                </c:pt>
                <c:pt idx="3">
                  <c:v>563.78751117356558</c:v>
                </c:pt>
              </c:numCache>
            </c:numRef>
          </c:val>
          <c:smooth val="0"/>
        </c:ser>
        <c:ser>
          <c:idx val="0"/>
          <c:order val="0"/>
          <c:tx>
            <c:strRef>
              <c:f>'Composites (2014)'!$AH$5</c:f>
              <c:strCache>
                <c:ptCount val="1"/>
                <c:pt idx="0">
                  <c:v>Enugu</c:v>
                </c:pt>
              </c:strCache>
            </c:strRef>
          </c:tx>
          <c:marker>
            <c:symbol val="none"/>
          </c:marker>
          <c:cat>
            <c:strRef>
              <c:f>'Composites (2014)'!$AI$2:$AL$2</c:f>
              <c:strCache>
                <c:ptCount val="4"/>
                <c:pt idx="0">
                  <c:v>Year 2</c:v>
                </c:pt>
                <c:pt idx="1">
                  <c:v>Year 3</c:v>
                </c:pt>
                <c:pt idx="2">
                  <c:v>Year 4</c:v>
                </c:pt>
                <c:pt idx="3">
                  <c:v>Year 5</c:v>
                </c:pt>
              </c:strCache>
            </c:strRef>
          </c:cat>
          <c:val>
            <c:numRef>
              <c:f>'Composites (2014)'!$AI$5:$AL$5</c:f>
              <c:numCache>
                <c:formatCode>0</c:formatCode>
                <c:ptCount val="4"/>
                <c:pt idx="0">
                  <c:v>130.71072920159727</c:v>
                </c:pt>
                <c:pt idx="1">
                  <c:v>6.5799310661661652</c:v>
                </c:pt>
                <c:pt idx="2">
                  <c:v>66.216980849029497</c:v>
                </c:pt>
                <c:pt idx="3">
                  <c:v>301.89909831438007</c:v>
                </c:pt>
              </c:numCache>
            </c:numRef>
          </c:val>
          <c:smooth val="0"/>
        </c:ser>
        <c:ser>
          <c:idx val="1"/>
          <c:order val="1"/>
          <c:tx>
            <c:strRef>
              <c:f>'Composites (2014)'!$AH$6</c:f>
              <c:strCache>
                <c:ptCount val="1"/>
                <c:pt idx="0">
                  <c:v>Jigawa</c:v>
                </c:pt>
              </c:strCache>
            </c:strRef>
          </c:tx>
          <c:marker>
            <c:symbol val="none"/>
          </c:marker>
          <c:cat>
            <c:strRef>
              <c:f>'Composites (2014)'!$AI$2:$AL$2</c:f>
              <c:strCache>
                <c:ptCount val="4"/>
                <c:pt idx="0">
                  <c:v>Year 2</c:v>
                </c:pt>
                <c:pt idx="1">
                  <c:v>Year 3</c:v>
                </c:pt>
                <c:pt idx="2">
                  <c:v>Year 4</c:v>
                </c:pt>
                <c:pt idx="3">
                  <c:v>Year 5</c:v>
                </c:pt>
              </c:strCache>
            </c:strRef>
          </c:cat>
          <c:val>
            <c:numRef>
              <c:f>'Composites (2014)'!$AI$6:$AL$6</c:f>
              <c:numCache>
                <c:formatCode>0</c:formatCode>
                <c:ptCount val="4"/>
                <c:pt idx="0">
                  <c:v>-38.965582277440312</c:v>
                </c:pt>
                <c:pt idx="1">
                  <c:v>137.66297136774492</c:v>
                </c:pt>
                <c:pt idx="2">
                  <c:v>198.24699472455401</c:v>
                </c:pt>
                <c:pt idx="3">
                  <c:v>286.94461085018088</c:v>
                </c:pt>
              </c:numCache>
            </c:numRef>
          </c:val>
          <c:smooth val="0"/>
        </c:ser>
        <c:ser>
          <c:idx val="2"/>
          <c:order val="2"/>
          <c:tx>
            <c:strRef>
              <c:f>'Composites (2014)'!$AH$7</c:f>
              <c:strCache>
                <c:ptCount val="1"/>
                <c:pt idx="0">
                  <c:v>Kaduna</c:v>
                </c:pt>
              </c:strCache>
            </c:strRef>
          </c:tx>
          <c:marker>
            <c:symbol val="none"/>
          </c:marker>
          <c:cat>
            <c:strRef>
              <c:f>'Composites (2014)'!$AI$2:$AL$2</c:f>
              <c:strCache>
                <c:ptCount val="4"/>
                <c:pt idx="0">
                  <c:v>Year 2</c:v>
                </c:pt>
                <c:pt idx="1">
                  <c:v>Year 3</c:v>
                </c:pt>
                <c:pt idx="2">
                  <c:v>Year 4</c:v>
                </c:pt>
                <c:pt idx="3">
                  <c:v>Year 5</c:v>
                </c:pt>
              </c:strCache>
            </c:strRef>
          </c:cat>
          <c:val>
            <c:numRef>
              <c:f>'Composites (2014)'!$AI$7:$AL$7</c:f>
              <c:numCache>
                <c:formatCode>0</c:formatCode>
                <c:ptCount val="4"/>
                <c:pt idx="0">
                  <c:v>31.412154635239272</c:v>
                </c:pt>
                <c:pt idx="1">
                  <c:v>54.840786880454822</c:v>
                </c:pt>
                <c:pt idx="2">
                  <c:v>45.050909153193125</c:v>
                </c:pt>
                <c:pt idx="3">
                  <c:v>180.21049945409473</c:v>
                </c:pt>
              </c:numCache>
            </c:numRef>
          </c:val>
          <c:smooth val="0"/>
        </c:ser>
        <c:ser>
          <c:idx val="3"/>
          <c:order val="3"/>
          <c:tx>
            <c:strRef>
              <c:f>'Composites (2014)'!$AH$8</c:f>
              <c:strCache>
                <c:ptCount val="1"/>
                <c:pt idx="0">
                  <c:v>Kano</c:v>
                </c:pt>
              </c:strCache>
            </c:strRef>
          </c:tx>
          <c:marker>
            <c:symbol val="none"/>
          </c:marker>
          <c:cat>
            <c:strRef>
              <c:f>'Composites (2014)'!$AI$2:$AL$2</c:f>
              <c:strCache>
                <c:ptCount val="4"/>
                <c:pt idx="0">
                  <c:v>Year 2</c:v>
                </c:pt>
                <c:pt idx="1">
                  <c:v>Year 3</c:v>
                </c:pt>
                <c:pt idx="2">
                  <c:v>Year 4</c:v>
                </c:pt>
                <c:pt idx="3">
                  <c:v>Year 5</c:v>
                </c:pt>
              </c:strCache>
            </c:strRef>
          </c:cat>
          <c:val>
            <c:numRef>
              <c:f>'Composites (2014)'!$AI$8:$AL$8</c:f>
              <c:numCache>
                <c:formatCode>0</c:formatCode>
                <c:ptCount val="4"/>
                <c:pt idx="0">
                  <c:v>54.935861625295779</c:v>
                </c:pt>
                <c:pt idx="1">
                  <c:v>47.001468027776589</c:v>
                </c:pt>
                <c:pt idx="2">
                  <c:v>179.696408638977</c:v>
                </c:pt>
                <c:pt idx="3">
                  <c:v>193.51196823655206</c:v>
                </c:pt>
              </c:numCache>
            </c:numRef>
          </c:val>
          <c:smooth val="0"/>
        </c:ser>
        <c:ser>
          <c:idx val="4"/>
          <c:order val="4"/>
          <c:tx>
            <c:strRef>
              <c:f>'Composites (2014)'!$AH$9</c:f>
              <c:strCache>
                <c:ptCount val="1"/>
                <c:pt idx="0">
                  <c:v>Lagos</c:v>
                </c:pt>
              </c:strCache>
            </c:strRef>
          </c:tx>
          <c:marker>
            <c:symbol val="none"/>
          </c:marker>
          <c:cat>
            <c:strRef>
              <c:f>'Composites (2014)'!$AI$2:$AL$2</c:f>
              <c:strCache>
                <c:ptCount val="4"/>
                <c:pt idx="0">
                  <c:v>Year 2</c:v>
                </c:pt>
                <c:pt idx="1">
                  <c:v>Year 3</c:v>
                </c:pt>
                <c:pt idx="2">
                  <c:v>Year 4</c:v>
                </c:pt>
                <c:pt idx="3">
                  <c:v>Year 5</c:v>
                </c:pt>
              </c:strCache>
            </c:strRef>
          </c:cat>
          <c:val>
            <c:numRef>
              <c:f>'Composites (2014)'!$AI$9:$AL$9</c:f>
              <c:numCache>
                <c:formatCode>0</c:formatCode>
                <c:ptCount val="4"/>
                <c:pt idx="0">
                  <c:v>46.147030520934784</c:v>
                </c:pt>
                <c:pt idx="1">
                  <c:v>125.32031968511636</c:v>
                </c:pt>
                <c:pt idx="2">
                  <c:v>93.751779865484195</c:v>
                </c:pt>
                <c:pt idx="3">
                  <c:v>24.883239606021089</c:v>
                </c:pt>
              </c:numCache>
            </c:numRef>
          </c:val>
          <c:smooth val="0"/>
        </c:ser>
        <c:ser>
          <c:idx val="5"/>
          <c:order val="5"/>
          <c:tx>
            <c:strRef>
              <c:f>'Composites (2014)'!$AH$10</c:f>
              <c:strCache>
                <c:ptCount val="1"/>
                <c:pt idx="0">
                  <c:v>Zamfara</c:v>
                </c:pt>
              </c:strCache>
            </c:strRef>
          </c:tx>
          <c:marker>
            <c:symbol val="none"/>
          </c:marker>
          <c:cat>
            <c:strRef>
              <c:f>'Composites (2014)'!$AI$2:$AL$2</c:f>
              <c:strCache>
                <c:ptCount val="4"/>
                <c:pt idx="0">
                  <c:v>Year 2</c:v>
                </c:pt>
                <c:pt idx="1">
                  <c:v>Year 3</c:v>
                </c:pt>
                <c:pt idx="2">
                  <c:v>Year 4</c:v>
                </c:pt>
                <c:pt idx="3">
                  <c:v>Year 5</c:v>
                </c:pt>
              </c:strCache>
            </c:strRef>
          </c:cat>
          <c:val>
            <c:numRef>
              <c:f>'Composites (2014)'!$AI$10:$AL$10</c:f>
              <c:numCache>
                <c:formatCode>0</c:formatCode>
                <c:ptCount val="4"/>
                <c:pt idx="0">
                  <c:v>0</c:v>
                </c:pt>
                <c:pt idx="1">
                  <c:v>64.639257262533008</c:v>
                </c:pt>
                <c:pt idx="2">
                  <c:v>108.49214331584655</c:v>
                </c:pt>
                <c:pt idx="3">
                  <c:v>328.86766559890958</c:v>
                </c:pt>
              </c:numCache>
            </c:numRef>
          </c:val>
          <c:smooth val="0"/>
        </c:ser>
        <c:ser>
          <c:idx val="6"/>
          <c:order val="6"/>
          <c:tx>
            <c:strRef>
              <c:f>'Composites (2014)'!$AH$11</c:f>
              <c:strCache>
                <c:ptCount val="1"/>
                <c:pt idx="0">
                  <c:v>Katsina</c:v>
                </c:pt>
              </c:strCache>
            </c:strRef>
          </c:tx>
          <c:marker>
            <c:symbol val="none"/>
          </c:marker>
          <c:cat>
            <c:strRef>
              <c:f>'Composites (2014)'!$AI$2:$AL$2</c:f>
              <c:strCache>
                <c:ptCount val="4"/>
                <c:pt idx="0">
                  <c:v>Year 2</c:v>
                </c:pt>
                <c:pt idx="1">
                  <c:v>Year 3</c:v>
                </c:pt>
                <c:pt idx="2">
                  <c:v>Year 4</c:v>
                </c:pt>
                <c:pt idx="3">
                  <c:v>Year 5</c:v>
                </c:pt>
              </c:strCache>
            </c:strRef>
          </c:cat>
          <c:val>
            <c:numRef>
              <c:f>'Composites (2014)'!$AI$11:$AL$11</c:f>
              <c:numCache>
                <c:formatCode>0</c:formatCode>
                <c:ptCount val="4"/>
                <c:pt idx="0">
                  <c:v>0</c:v>
                </c:pt>
                <c:pt idx="1">
                  <c:v>64.927398948774496</c:v>
                </c:pt>
                <c:pt idx="2">
                  <c:v>194.49282765415578</c:v>
                </c:pt>
                <c:pt idx="3">
                  <c:v>427.6456897207101</c:v>
                </c:pt>
              </c:numCache>
            </c:numRef>
          </c:val>
          <c:smooth val="0"/>
        </c:ser>
        <c:ser>
          <c:idx val="7"/>
          <c:order val="7"/>
          <c:tx>
            <c:strRef>
              <c:f>'Composites (2014)'!$AH$12</c:f>
              <c:strCache>
                <c:ptCount val="1"/>
                <c:pt idx="0">
                  <c:v>Yobe</c:v>
                </c:pt>
              </c:strCache>
            </c:strRef>
          </c:tx>
          <c:marker>
            <c:symbol val="none"/>
          </c:marker>
          <c:cat>
            <c:strRef>
              <c:f>'Composites (2014)'!$AI$2:$AL$2</c:f>
              <c:strCache>
                <c:ptCount val="4"/>
                <c:pt idx="0">
                  <c:v>Year 2</c:v>
                </c:pt>
                <c:pt idx="1">
                  <c:v>Year 3</c:v>
                </c:pt>
                <c:pt idx="2">
                  <c:v>Year 4</c:v>
                </c:pt>
                <c:pt idx="3">
                  <c:v>Year 5</c:v>
                </c:pt>
              </c:strCache>
            </c:strRef>
          </c:cat>
          <c:val>
            <c:numRef>
              <c:f>'Composites (2014)'!$AI$12:$AL$12</c:f>
              <c:numCache>
                <c:formatCode>0</c:formatCode>
                <c:ptCount val="4"/>
                <c:pt idx="0">
                  <c:v>0</c:v>
                </c:pt>
                <c:pt idx="1">
                  <c:v>0</c:v>
                </c:pt>
                <c:pt idx="2">
                  <c:v>332.63807590705943</c:v>
                </c:pt>
                <c:pt idx="3">
                  <c:v>563.78751117356558</c:v>
                </c:pt>
              </c:numCache>
            </c:numRef>
          </c:val>
          <c:smooth val="0"/>
        </c:ser>
        <c:dLbls>
          <c:showLegendKey val="0"/>
          <c:showVal val="0"/>
          <c:showCatName val="0"/>
          <c:showSerName val="0"/>
          <c:showPercent val="0"/>
          <c:showBubbleSize val="0"/>
        </c:dLbls>
        <c:marker val="1"/>
        <c:smooth val="0"/>
        <c:axId val="127677568"/>
        <c:axId val="127679104"/>
      </c:lineChart>
      <c:catAx>
        <c:axId val="127677568"/>
        <c:scaling>
          <c:orientation val="minMax"/>
        </c:scaling>
        <c:delete val="0"/>
        <c:axPos val="b"/>
        <c:majorTickMark val="none"/>
        <c:minorTickMark val="none"/>
        <c:tickLblPos val="nextTo"/>
        <c:crossAx val="127679104"/>
        <c:crosses val="autoZero"/>
        <c:auto val="1"/>
        <c:lblAlgn val="ctr"/>
        <c:lblOffset val="100"/>
        <c:noMultiLvlLbl val="0"/>
      </c:catAx>
      <c:valAx>
        <c:axId val="127679104"/>
        <c:scaling>
          <c:orientation val="minMax"/>
        </c:scaling>
        <c:delete val="0"/>
        <c:axPos val="l"/>
        <c:majorGridlines/>
        <c:title>
          <c:tx>
            <c:rich>
              <a:bodyPr/>
              <a:lstStyle/>
              <a:p>
                <a:pPr>
                  <a:defRPr/>
                </a:pPr>
                <a:r>
                  <a:rPr lang="en-US"/>
                  <a:t>Effectiveness Ratio</a:t>
                </a:r>
              </a:p>
            </c:rich>
          </c:tx>
          <c:overlay val="0"/>
        </c:title>
        <c:numFmt formatCode="0" sourceLinked="1"/>
        <c:majorTickMark val="none"/>
        <c:minorTickMark val="none"/>
        <c:tickLblPos val="nextTo"/>
        <c:crossAx val="127677568"/>
        <c:crosses val="autoZero"/>
        <c:crossBetween val="between"/>
      </c:valAx>
    </c:plotArea>
    <c:legend>
      <c:legendPos val="r"/>
      <c:overlay val="0"/>
    </c:legend>
    <c:plotVisOnly val="1"/>
    <c:dispBlanksAs val="gap"/>
    <c:showDLblsOverMax val="0"/>
  </c:chart>
  <c:printSettings>
    <c:headerFooter/>
    <c:pageMargins b="1" l="0.75" r="0.75" t="1" header="0.5" footer="0.5"/>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Outcome Level</a:t>
            </a:r>
          </a:p>
        </c:rich>
      </c:tx>
      <c:overlay val="0"/>
    </c:title>
    <c:autoTitleDeleted val="0"/>
    <c:plotArea>
      <c:layout/>
      <c:lineChart>
        <c:grouping val="standard"/>
        <c:varyColors val="0"/>
        <c:ser>
          <c:idx val="0"/>
          <c:order val="0"/>
          <c:tx>
            <c:strRef>
              <c:f>'Composites (2014)'!$AH$17</c:f>
              <c:strCache>
                <c:ptCount val="1"/>
                <c:pt idx="0">
                  <c:v>Enugu</c:v>
                </c:pt>
              </c:strCache>
            </c:strRef>
          </c:tx>
          <c:marker>
            <c:symbol val="none"/>
          </c:marker>
          <c:cat>
            <c:strRef>
              <c:f>'Composites (2014)'!$AI$2:$AL$2</c:f>
              <c:strCache>
                <c:ptCount val="4"/>
                <c:pt idx="0">
                  <c:v>Year 2</c:v>
                </c:pt>
                <c:pt idx="1">
                  <c:v>Year 3</c:v>
                </c:pt>
                <c:pt idx="2">
                  <c:v>Year 4</c:v>
                </c:pt>
                <c:pt idx="3">
                  <c:v>Year 5</c:v>
                </c:pt>
              </c:strCache>
            </c:strRef>
          </c:cat>
          <c:val>
            <c:numRef>
              <c:f>'Composites (2014)'!$AI$17:$AL$17</c:f>
              <c:numCache>
                <c:formatCode>0</c:formatCode>
                <c:ptCount val="4"/>
                <c:pt idx="0">
                  <c:v>119.42506094252833</c:v>
                </c:pt>
                <c:pt idx="1">
                  <c:v>118.91729963216669</c:v>
                </c:pt>
                <c:pt idx="2">
                  <c:v>569.99276128568022</c:v>
                </c:pt>
                <c:pt idx="3">
                  <c:v>269.98036683566107</c:v>
                </c:pt>
              </c:numCache>
            </c:numRef>
          </c:val>
          <c:smooth val="0"/>
        </c:ser>
        <c:ser>
          <c:idx val="1"/>
          <c:order val="1"/>
          <c:tx>
            <c:strRef>
              <c:f>'Composites (2014)'!$AH$18</c:f>
              <c:strCache>
                <c:ptCount val="1"/>
                <c:pt idx="0">
                  <c:v>Jigawa</c:v>
                </c:pt>
              </c:strCache>
            </c:strRef>
          </c:tx>
          <c:marker>
            <c:symbol val="none"/>
          </c:marker>
          <c:cat>
            <c:strRef>
              <c:f>'Composites (2014)'!$AI$2:$AL$2</c:f>
              <c:strCache>
                <c:ptCount val="4"/>
                <c:pt idx="0">
                  <c:v>Year 2</c:v>
                </c:pt>
                <c:pt idx="1">
                  <c:v>Year 3</c:v>
                </c:pt>
                <c:pt idx="2">
                  <c:v>Year 4</c:v>
                </c:pt>
                <c:pt idx="3">
                  <c:v>Year 5</c:v>
                </c:pt>
              </c:strCache>
            </c:strRef>
          </c:cat>
          <c:val>
            <c:numRef>
              <c:f>'Composites (2014)'!$AI$18:$AL$18</c:f>
              <c:numCache>
                <c:formatCode>0</c:formatCode>
                <c:ptCount val="4"/>
                <c:pt idx="0">
                  <c:v>23.572567129823383</c:v>
                </c:pt>
                <c:pt idx="1">
                  <c:v>138.29503276061794</c:v>
                </c:pt>
                <c:pt idx="2">
                  <c:v>773.00656243388335</c:v>
                </c:pt>
                <c:pt idx="3">
                  <c:v>147.62233078862619</c:v>
                </c:pt>
              </c:numCache>
            </c:numRef>
          </c:val>
          <c:smooth val="0"/>
        </c:ser>
        <c:ser>
          <c:idx val="2"/>
          <c:order val="2"/>
          <c:tx>
            <c:strRef>
              <c:f>'Composites (2014)'!$AH$19</c:f>
              <c:strCache>
                <c:ptCount val="1"/>
                <c:pt idx="0">
                  <c:v>Kaduna</c:v>
                </c:pt>
              </c:strCache>
            </c:strRef>
          </c:tx>
          <c:marker>
            <c:symbol val="none"/>
          </c:marker>
          <c:cat>
            <c:strRef>
              <c:f>'Composites (2014)'!$AI$2:$AL$2</c:f>
              <c:strCache>
                <c:ptCount val="4"/>
                <c:pt idx="0">
                  <c:v>Year 2</c:v>
                </c:pt>
                <c:pt idx="1">
                  <c:v>Year 3</c:v>
                </c:pt>
                <c:pt idx="2">
                  <c:v>Year 4</c:v>
                </c:pt>
                <c:pt idx="3">
                  <c:v>Year 5</c:v>
                </c:pt>
              </c:strCache>
            </c:strRef>
          </c:cat>
          <c:val>
            <c:numRef>
              <c:f>'Composites (2014)'!$AI$19:$AL$19</c:f>
              <c:numCache>
                <c:formatCode>0</c:formatCode>
                <c:ptCount val="4"/>
                <c:pt idx="0">
                  <c:v>117.82661956064055</c:v>
                </c:pt>
                <c:pt idx="1">
                  <c:v>57.225168918735456</c:v>
                </c:pt>
                <c:pt idx="2">
                  <c:v>167.91702502553807</c:v>
                </c:pt>
                <c:pt idx="3">
                  <c:v>349.84666381625487</c:v>
                </c:pt>
              </c:numCache>
            </c:numRef>
          </c:val>
          <c:smooth val="0"/>
        </c:ser>
        <c:ser>
          <c:idx val="3"/>
          <c:order val="3"/>
          <c:tx>
            <c:strRef>
              <c:f>'Composites (2014)'!$AH$20</c:f>
              <c:strCache>
                <c:ptCount val="1"/>
                <c:pt idx="0">
                  <c:v>Kano</c:v>
                </c:pt>
              </c:strCache>
            </c:strRef>
          </c:tx>
          <c:marker>
            <c:symbol val="none"/>
          </c:marker>
          <c:cat>
            <c:strRef>
              <c:f>'Composites (2014)'!$AI$2:$AL$2</c:f>
              <c:strCache>
                <c:ptCount val="4"/>
                <c:pt idx="0">
                  <c:v>Year 2</c:v>
                </c:pt>
                <c:pt idx="1">
                  <c:v>Year 3</c:v>
                </c:pt>
                <c:pt idx="2">
                  <c:v>Year 4</c:v>
                </c:pt>
                <c:pt idx="3">
                  <c:v>Year 5</c:v>
                </c:pt>
              </c:strCache>
            </c:strRef>
          </c:cat>
          <c:val>
            <c:numRef>
              <c:f>'Composites (2014)'!$AI$20:$AL$20</c:f>
              <c:numCache>
                <c:formatCode>0</c:formatCode>
                <c:ptCount val="4"/>
                <c:pt idx="0">
                  <c:v>18.60328041402062</c:v>
                </c:pt>
                <c:pt idx="1">
                  <c:v>337.5559976540319</c:v>
                </c:pt>
                <c:pt idx="2">
                  <c:v>361.33758360521574</c:v>
                </c:pt>
                <c:pt idx="3">
                  <c:v>190.22987922304199</c:v>
                </c:pt>
              </c:numCache>
            </c:numRef>
          </c:val>
          <c:smooth val="0"/>
        </c:ser>
        <c:ser>
          <c:idx val="4"/>
          <c:order val="4"/>
          <c:tx>
            <c:strRef>
              <c:f>'Composites (2014)'!$AH$21</c:f>
              <c:strCache>
                <c:ptCount val="1"/>
                <c:pt idx="0">
                  <c:v>Lagos</c:v>
                </c:pt>
              </c:strCache>
            </c:strRef>
          </c:tx>
          <c:marker>
            <c:symbol val="none"/>
          </c:marker>
          <c:cat>
            <c:strRef>
              <c:f>'Composites (2014)'!$AI$2:$AL$2</c:f>
              <c:strCache>
                <c:ptCount val="4"/>
                <c:pt idx="0">
                  <c:v>Year 2</c:v>
                </c:pt>
                <c:pt idx="1">
                  <c:v>Year 3</c:v>
                </c:pt>
                <c:pt idx="2">
                  <c:v>Year 4</c:v>
                </c:pt>
                <c:pt idx="3">
                  <c:v>Year 5</c:v>
                </c:pt>
              </c:strCache>
            </c:strRef>
          </c:cat>
          <c:val>
            <c:numRef>
              <c:f>'Composites (2014)'!$AI$21:$AL$21</c:f>
              <c:numCache>
                <c:formatCode>0</c:formatCode>
                <c:ptCount val="4"/>
                <c:pt idx="0">
                  <c:v>79.98818623628695</c:v>
                </c:pt>
                <c:pt idx="1">
                  <c:v>7.9183696512839417</c:v>
                </c:pt>
                <c:pt idx="2">
                  <c:v>452.61026738886881</c:v>
                </c:pt>
                <c:pt idx="3">
                  <c:v>192.05336750465335</c:v>
                </c:pt>
              </c:numCache>
            </c:numRef>
          </c:val>
          <c:smooth val="0"/>
        </c:ser>
        <c:ser>
          <c:idx val="5"/>
          <c:order val="5"/>
          <c:tx>
            <c:strRef>
              <c:f>'Composites (2014)'!$AH$22</c:f>
              <c:strCache>
                <c:ptCount val="1"/>
                <c:pt idx="0">
                  <c:v>Zamfara</c:v>
                </c:pt>
              </c:strCache>
            </c:strRef>
          </c:tx>
          <c:marker>
            <c:symbol val="none"/>
          </c:marker>
          <c:cat>
            <c:strRef>
              <c:f>'Composites (2014)'!$AI$2:$AL$2</c:f>
              <c:strCache>
                <c:ptCount val="4"/>
                <c:pt idx="0">
                  <c:v>Year 2</c:v>
                </c:pt>
                <c:pt idx="1">
                  <c:v>Year 3</c:v>
                </c:pt>
                <c:pt idx="2">
                  <c:v>Year 4</c:v>
                </c:pt>
                <c:pt idx="3">
                  <c:v>Year 5</c:v>
                </c:pt>
              </c:strCache>
            </c:strRef>
          </c:cat>
          <c:val>
            <c:numRef>
              <c:f>'Composites (2014)'!$AI$22:$AL$22</c:f>
              <c:numCache>
                <c:formatCode>0</c:formatCode>
                <c:ptCount val="4"/>
                <c:pt idx="0">
                  <c:v>0</c:v>
                </c:pt>
                <c:pt idx="1">
                  <c:v>0</c:v>
                </c:pt>
                <c:pt idx="2">
                  <c:v>193.38372298831081</c:v>
                </c:pt>
                <c:pt idx="3">
                  <c:v>597.81122296023113</c:v>
                </c:pt>
              </c:numCache>
            </c:numRef>
          </c:val>
          <c:smooth val="0"/>
        </c:ser>
        <c:ser>
          <c:idx val="6"/>
          <c:order val="6"/>
          <c:tx>
            <c:strRef>
              <c:f>'Composites (2014)'!$AH$23</c:f>
              <c:strCache>
                <c:ptCount val="1"/>
                <c:pt idx="0">
                  <c:v>Katsina</c:v>
                </c:pt>
              </c:strCache>
            </c:strRef>
          </c:tx>
          <c:marker>
            <c:symbol val="none"/>
          </c:marker>
          <c:cat>
            <c:strRef>
              <c:f>'Composites (2014)'!$AI$2:$AL$2</c:f>
              <c:strCache>
                <c:ptCount val="4"/>
                <c:pt idx="0">
                  <c:v>Year 2</c:v>
                </c:pt>
                <c:pt idx="1">
                  <c:v>Year 3</c:v>
                </c:pt>
                <c:pt idx="2">
                  <c:v>Year 4</c:v>
                </c:pt>
                <c:pt idx="3">
                  <c:v>Year 5</c:v>
                </c:pt>
              </c:strCache>
            </c:strRef>
          </c:cat>
          <c:val>
            <c:numRef>
              <c:f>'Composites (2014)'!$AI$23:$AL$23</c:f>
              <c:numCache>
                <c:formatCode>0</c:formatCode>
                <c:ptCount val="4"/>
                <c:pt idx="0">
                  <c:v>0</c:v>
                </c:pt>
                <c:pt idx="1">
                  <c:v>0</c:v>
                </c:pt>
                <c:pt idx="2">
                  <c:v>301.22669648875348</c:v>
                </c:pt>
                <c:pt idx="3">
                  <c:v>827.90377544139596</c:v>
                </c:pt>
              </c:numCache>
            </c:numRef>
          </c:val>
          <c:smooth val="0"/>
        </c:ser>
        <c:ser>
          <c:idx val="7"/>
          <c:order val="7"/>
          <c:tx>
            <c:strRef>
              <c:f>'Composites (2014)'!$AH$24</c:f>
              <c:strCache>
                <c:ptCount val="1"/>
                <c:pt idx="0">
                  <c:v>Yobe</c:v>
                </c:pt>
              </c:strCache>
            </c:strRef>
          </c:tx>
          <c:marker>
            <c:symbol val="none"/>
          </c:marker>
          <c:cat>
            <c:strRef>
              <c:f>'Composites (2014)'!$AI$2:$AL$2</c:f>
              <c:strCache>
                <c:ptCount val="4"/>
                <c:pt idx="0">
                  <c:v>Year 2</c:v>
                </c:pt>
                <c:pt idx="1">
                  <c:v>Year 3</c:v>
                </c:pt>
                <c:pt idx="2">
                  <c:v>Year 4</c:v>
                </c:pt>
                <c:pt idx="3">
                  <c:v>Year 5</c:v>
                </c:pt>
              </c:strCache>
            </c:strRef>
          </c:cat>
          <c:val>
            <c:numRef>
              <c:f>'Composites (2014)'!$AI$24:$AL$24</c:f>
              <c:numCache>
                <c:formatCode>0</c:formatCode>
                <c:ptCount val="4"/>
                <c:pt idx="0">
                  <c:v>0</c:v>
                </c:pt>
                <c:pt idx="1">
                  <c:v>0</c:v>
                </c:pt>
                <c:pt idx="2">
                  <c:v>602.40914703742578</c:v>
                </c:pt>
                <c:pt idx="3">
                  <c:v>585.15851791480179</c:v>
                </c:pt>
              </c:numCache>
            </c:numRef>
          </c:val>
          <c:smooth val="0"/>
        </c:ser>
        <c:dLbls>
          <c:showLegendKey val="0"/>
          <c:showVal val="0"/>
          <c:showCatName val="0"/>
          <c:showSerName val="0"/>
          <c:showPercent val="0"/>
          <c:showBubbleSize val="0"/>
        </c:dLbls>
        <c:marker val="1"/>
        <c:smooth val="0"/>
        <c:axId val="127734912"/>
        <c:axId val="127736448"/>
      </c:lineChart>
      <c:catAx>
        <c:axId val="127734912"/>
        <c:scaling>
          <c:orientation val="minMax"/>
        </c:scaling>
        <c:delete val="0"/>
        <c:axPos val="b"/>
        <c:majorTickMark val="none"/>
        <c:minorTickMark val="none"/>
        <c:tickLblPos val="nextTo"/>
        <c:crossAx val="127736448"/>
        <c:crosses val="autoZero"/>
        <c:auto val="1"/>
        <c:lblAlgn val="ctr"/>
        <c:lblOffset val="100"/>
        <c:noMultiLvlLbl val="0"/>
      </c:catAx>
      <c:valAx>
        <c:axId val="127736448"/>
        <c:scaling>
          <c:orientation val="minMax"/>
        </c:scaling>
        <c:delete val="0"/>
        <c:axPos val="l"/>
        <c:majorGridlines/>
        <c:title>
          <c:tx>
            <c:rich>
              <a:bodyPr/>
              <a:lstStyle/>
              <a:p>
                <a:pPr>
                  <a:defRPr/>
                </a:pPr>
                <a:r>
                  <a:rPr lang="en-US"/>
                  <a:t>Effectiveness Ratio</a:t>
                </a:r>
              </a:p>
            </c:rich>
          </c:tx>
          <c:overlay val="0"/>
        </c:title>
        <c:numFmt formatCode="0" sourceLinked="1"/>
        <c:majorTickMark val="none"/>
        <c:minorTickMark val="none"/>
        <c:tickLblPos val="nextTo"/>
        <c:crossAx val="127734912"/>
        <c:crosses val="autoZero"/>
        <c:crossBetween val="between"/>
      </c:valAx>
    </c:plotArea>
    <c:legend>
      <c:legendPos val="r"/>
      <c:overlay val="0"/>
    </c:legend>
    <c:plotVisOnly val="1"/>
    <c:dispBlanksAs val="gap"/>
    <c:showDLblsOverMax val="0"/>
  </c:chart>
  <c:printSettings>
    <c:headerFooter/>
    <c:pageMargins b="1" l="0.75" r="0.75" t="1" header="0.5" footer="0.5"/>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Output</a:t>
            </a:r>
            <a:r>
              <a:rPr lang="en-US" baseline="0"/>
              <a:t> 1</a:t>
            </a:r>
            <a:endParaRPr lang="en-US"/>
          </a:p>
        </c:rich>
      </c:tx>
      <c:overlay val="0"/>
    </c:title>
    <c:autoTitleDeleted val="0"/>
    <c:plotArea>
      <c:layout/>
      <c:lineChart>
        <c:grouping val="standard"/>
        <c:varyColors val="0"/>
        <c:ser>
          <c:idx val="0"/>
          <c:order val="0"/>
          <c:tx>
            <c:strRef>
              <c:f>'Composites (2014)'!$AH$29</c:f>
              <c:strCache>
                <c:ptCount val="1"/>
                <c:pt idx="0">
                  <c:v>Enugu</c:v>
                </c:pt>
              </c:strCache>
            </c:strRef>
          </c:tx>
          <c:marker>
            <c:symbol val="none"/>
          </c:marker>
          <c:cat>
            <c:strRef>
              <c:f>'Composites (2014)'!$AI$2:$AL$2</c:f>
              <c:strCache>
                <c:ptCount val="4"/>
                <c:pt idx="0">
                  <c:v>Year 2</c:v>
                </c:pt>
                <c:pt idx="1">
                  <c:v>Year 3</c:v>
                </c:pt>
                <c:pt idx="2">
                  <c:v>Year 4</c:v>
                </c:pt>
                <c:pt idx="3">
                  <c:v>Year 5</c:v>
                </c:pt>
              </c:strCache>
            </c:strRef>
          </c:cat>
          <c:val>
            <c:numRef>
              <c:f>'Composites (2014)'!$AI$29:$AL$29</c:f>
              <c:numCache>
                <c:formatCode>0</c:formatCode>
                <c:ptCount val="4"/>
                <c:pt idx="0">
                  <c:v>-6.7102192969779368</c:v>
                </c:pt>
                <c:pt idx="1">
                  <c:v>81.813273379157664</c:v>
                </c:pt>
                <c:pt idx="2">
                  <c:v>194.97292991705524</c:v>
                </c:pt>
                <c:pt idx="3">
                  <c:v>381.52841629444555</c:v>
                </c:pt>
              </c:numCache>
            </c:numRef>
          </c:val>
          <c:smooth val="0"/>
        </c:ser>
        <c:ser>
          <c:idx val="1"/>
          <c:order val="1"/>
          <c:tx>
            <c:strRef>
              <c:f>'Composites (2014)'!$AH$30</c:f>
              <c:strCache>
                <c:ptCount val="1"/>
                <c:pt idx="0">
                  <c:v>Jigawa</c:v>
                </c:pt>
              </c:strCache>
            </c:strRef>
          </c:tx>
          <c:marker>
            <c:symbol val="none"/>
          </c:marker>
          <c:cat>
            <c:strRef>
              <c:f>'Composites (2014)'!$AI$2:$AL$2</c:f>
              <c:strCache>
                <c:ptCount val="4"/>
                <c:pt idx="0">
                  <c:v>Year 2</c:v>
                </c:pt>
                <c:pt idx="1">
                  <c:v>Year 3</c:v>
                </c:pt>
                <c:pt idx="2">
                  <c:v>Year 4</c:v>
                </c:pt>
                <c:pt idx="3">
                  <c:v>Year 5</c:v>
                </c:pt>
              </c:strCache>
            </c:strRef>
          </c:cat>
          <c:val>
            <c:numRef>
              <c:f>'Composites (2014)'!$AI$30:$AL$30</c:f>
              <c:numCache>
                <c:formatCode>0</c:formatCode>
                <c:ptCount val="4"/>
                <c:pt idx="0">
                  <c:v>82.655435495965449</c:v>
                </c:pt>
                <c:pt idx="1">
                  <c:v>-32.083271069673906</c:v>
                </c:pt>
                <c:pt idx="2">
                  <c:v>262.59048533705931</c:v>
                </c:pt>
                <c:pt idx="3">
                  <c:v>92.656932371200341</c:v>
                </c:pt>
              </c:numCache>
            </c:numRef>
          </c:val>
          <c:smooth val="0"/>
        </c:ser>
        <c:ser>
          <c:idx val="2"/>
          <c:order val="2"/>
          <c:tx>
            <c:strRef>
              <c:f>'Composites (2014)'!$AH$31</c:f>
              <c:strCache>
                <c:ptCount val="1"/>
                <c:pt idx="0">
                  <c:v>Kaduna</c:v>
                </c:pt>
              </c:strCache>
            </c:strRef>
          </c:tx>
          <c:marker>
            <c:symbol val="none"/>
          </c:marker>
          <c:cat>
            <c:strRef>
              <c:f>'Composites (2014)'!$AI$2:$AL$2</c:f>
              <c:strCache>
                <c:ptCount val="4"/>
                <c:pt idx="0">
                  <c:v>Year 2</c:v>
                </c:pt>
                <c:pt idx="1">
                  <c:v>Year 3</c:v>
                </c:pt>
                <c:pt idx="2">
                  <c:v>Year 4</c:v>
                </c:pt>
                <c:pt idx="3">
                  <c:v>Year 5</c:v>
                </c:pt>
              </c:strCache>
            </c:strRef>
          </c:cat>
          <c:val>
            <c:numRef>
              <c:f>'Composites (2014)'!$AI$31:$AL$31</c:f>
              <c:numCache>
                <c:formatCode>0</c:formatCode>
                <c:ptCount val="4"/>
                <c:pt idx="0">
                  <c:v>26.572778608553332</c:v>
                </c:pt>
                <c:pt idx="1">
                  <c:v>106.54693228493686</c:v>
                </c:pt>
                <c:pt idx="2">
                  <c:v>110.75599043396028</c:v>
                </c:pt>
                <c:pt idx="3">
                  <c:v>246.08418777198713</c:v>
                </c:pt>
              </c:numCache>
            </c:numRef>
          </c:val>
          <c:smooth val="0"/>
        </c:ser>
        <c:ser>
          <c:idx val="3"/>
          <c:order val="3"/>
          <c:tx>
            <c:strRef>
              <c:f>'Composites (2014)'!$AH$32</c:f>
              <c:strCache>
                <c:ptCount val="1"/>
                <c:pt idx="0">
                  <c:v>Kano</c:v>
                </c:pt>
              </c:strCache>
            </c:strRef>
          </c:tx>
          <c:marker>
            <c:symbol val="none"/>
          </c:marker>
          <c:cat>
            <c:strRef>
              <c:f>'Composites (2014)'!$AI$2:$AL$2</c:f>
              <c:strCache>
                <c:ptCount val="4"/>
                <c:pt idx="0">
                  <c:v>Year 2</c:v>
                </c:pt>
                <c:pt idx="1">
                  <c:v>Year 3</c:v>
                </c:pt>
                <c:pt idx="2">
                  <c:v>Year 4</c:v>
                </c:pt>
                <c:pt idx="3">
                  <c:v>Year 5</c:v>
                </c:pt>
              </c:strCache>
            </c:strRef>
          </c:cat>
          <c:val>
            <c:numRef>
              <c:f>'Composites (2014)'!$AI$32:$AL$32</c:f>
              <c:numCache>
                <c:formatCode>0</c:formatCode>
                <c:ptCount val="4"/>
                <c:pt idx="0">
                  <c:v>15.619610415948294</c:v>
                </c:pt>
                <c:pt idx="1">
                  <c:v>130.61206896724758</c:v>
                </c:pt>
                <c:pt idx="2">
                  <c:v>241.85718589355633</c:v>
                </c:pt>
                <c:pt idx="3">
                  <c:v>78.40563371591476</c:v>
                </c:pt>
              </c:numCache>
            </c:numRef>
          </c:val>
          <c:smooth val="0"/>
        </c:ser>
        <c:ser>
          <c:idx val="4"/>
          <c:order val="4"/>
          <c:tx>
            <c:strRef>
              <c:f>'Composites (2014)'!$AH$33</c:f>
              <c:strCache>
                <c:ptCount val="1"/>
                <c:pt idx="0">
                  <c:v>Lagos</c:v>
                </c:pt>
              </c:strCache>
            </c:strRef>
          </c:tx>
          <c:marker>
            <c:symbol val="none"/>
          </c:marker>
          <c:cat>
            <c:strRef>
              <c:f>'Composites (2014)'!$AI$2:$AL$2</c:f>
              <c:strCache>
                <c:ptCount val="4"/>
                <c:pt idx="0">
                  <c:v>Year 2</c:v>
                </c:pt>
                <c:pt idx="1">
                  <c:v>Year 3</c:v>
                </c:pt>
                <c:pt idx="2">
                  <c:v>Year 4</c:v>
                </c:pt>
                <c:pt idx="3">
                  <c:v>Year 5</c:v>
                </c:pt>
              </c:strCache>
            </c:strRef>
          </c:cat>
          <c:val>
            <c:numRef>
              <c:f>'Composites (2014)'!$AI$33:$AL$33</c:f>
              <c:numCache>
                <c:formatCode>0</c:formatCode>
                <c:ptCount val="4"/>
                <c:pt idx="0">
                  <c:v>40.232006516607491</c:v>
                </c:pt>
                <c:pt idx="1">
                  <c:v>24.124467009382414</c:v>
                </c:pt>
                <c:pt idx="2">
                  <c:v>164.50908453064162</c:v>
                </c:pt>
                <c:pt idx="3">
                  <c:v>185.24509784161771</c:v>
                </c:pt>
              </c:numCache>
            </c:numRef>
          </c:val>
          <c:smooth val="0"/>
        </c:ser>
        <c:ser>
          <c:idx val="5"/>
          <c:order val="5"/>
          <c:tx>
            <c:strRef>
              <c:f>'Composites (2014)'!$AH$34</c:f>
              <c:strCache>
                <c:ptCount val="1"/>
                <c:pt idx="0">
                  <c:v>Zamfara</c:v>
                </c:pt>
              </c:strCache>
            </c:strRef>
          </c:tx>
          <c:marker>
            <c:symbol val="none"/>
          </c:marker>
          <c:cat>
            <c:strRef>
              <c:f>'Composites (2014)'!$AI$2:$AL$2</c:f>
              <c:strCache>
                <c:ptCount val="4"/>
                <c:pt idx="0">
                  <c:v>Year 2</c:v>
                </c:pt>
                <c:pt idx="1">
                  <c:v>Year 3</c:v>
                </c:pt>
                <c:pt idx="2">
                  <c:v>Year 4</c:v>
                </c:pt>
                <c:pt idx="3">
                  <c:v>Year 5</c:v>
                </c:pt>
              </c:strCache>
            </c:strRef>
          </c:cat>
          <c:val>
            <c:numRef>
              <c:f>'Composites (2014)'!$AI$34:$AL$34</c:f>
              <c:numCache>
                <c:formatCode>0</c:formatCode>
                <c:ptCount val="4"/>
                <c:pt idx="0">
                  <c:v>0</c:v>
                </c:pt>
                <c:pt idx="1">
                  <c:v>0</c:v>
                </c:pt>
                <c:pt idx="2">
                  <c:v>78.409374722834116</c:v>
                </c:pt>
                <c:pt idx="3">
                  <c:v>235.38007003913745</c:v>
                </c:pt>
              </c:numCache>
            </c:numRef>
          </c:val>
          <c:smooth val="0"/>
        </c:ser>
        <c:ser>
          <c:idx val="6"/>
          <c:order val="6"/>
          <c:tx>
            <c:strRef>
              <c:f>'Composites (2014)'!$AH$35</c:f>
              <c:strCache>
                <c:ptCount val="1"/>
                <c:pt idx="0">
                  <c:v>Katsina</c:v>
                </c:pt>
              </c:strCache>
            </c:strRef>
          </c:tx>
          <c:marker>
            <c:symbol val="none"/>
          </c:marker>
          <c:cat>
            <c:strRef>
              <c:f>'Composites (2014)'!$AI$2:$AL$2</c:f>
              <c:strCache>
                <c:ptCount val="4"/>
                <c:pt idx="0">
                  <c:v>Year 2</c:v>
                </c:pt>
                <c:pt idx="1">
                  <c:v>Year 3</c:v>
                </c:pt>
                <c:pt idx="2">
                  <c:v>Year 4</c:v>
                </c:pt>
                <c:pt idx="3">
                  <c:v>Year 5</c:v>
                </c:pt>
              </c:strCache>
            </c:strRef>
          </c:cat>
          <c:val>
            <c:numRef>
              <c:f>'Composites (2014)'!$AI$35:$AL$35</c:f>
              <c:numCache>
                <c:formatCode>0</c:formatCode>
                <c:ptCount val="4"/>
                <c:pt idx="0">
                  <c:v>0</c:v>
                </c:pt>
                <c:pt idx="1">
                  <c:v>47.135785353856612</c:v>
                </c:pt>
                <c:pt idx="2">
                  <c:v>-39.821421085438388</c:v>
                </c:pt>
                <c:pt idx="3">
                  <c:v>317.8958008187613</c:v>
                </c:pt>
              </c:numCache>
            </c:numRef>
          </c:val>
          <c:smooth val="0"/>
        </c:ser>
        <c:ser>
          <c:idx val="7"/>
          <c:order val="7"/>
          <c:tx>
            <c:strRef>
              <c:f>'Composites (2014)'!$AH$36</c:f>
              <c:strCache>
                <c:ptCount val="1"/>
                <c:pt idx="0">
                  <c:v>Yobe</c:v>
                </c:pt>
              </c:strCache>
            </c:strRef>
          </c:tx>
          <c:marker>
            <c:symbol val="none"/>
          </c:marker>
          <c:cat>
            <c:strRef>
              <c:f>'Composites (2014)'!$AI$2:$AL$2</c:f>
              <c:strCache>
                <c:ptCount val="4"/>
                <c:pt idx="0">
                  <c:v>Year 2</c:v>
                </c:pt>
                <c:pt idx="1">
                  <c:v>Year 3</c:v>
                </c:pt>
                <c:pt idx="2">
                  <c:v>Year 4</c:v>
                </c:pt>
                <c:pt idx="3">
                  <c:v>Year 5</c:v>
                </c:pt>
              </c:strCache>
            </c:strRef>
          </c:cat>
          <c:val>
            <c:numRef>
              <c:f>'Composites (2014)'!$AI$36:$AL$36</c:f>
              <c:numCache>
                <c:formatCode>0</c:formatCode>
                <c:ptCount val="4"/>
                <c:pt idx="0">
                  <c:v>0</c:v>
                </c:pt>
                <c:pt idx="1">
                  <c:v>0</c:v>
                </c:pt>
                <c:pt idx="2">
                  <c:v>226.40067175835961</c:v>
                </c:pt>
                <c:pt idx="3">
                  <c:v>392.10649859711276</c:v>
                </c:pt>
              </c:numCache>
            </c:numRef>
          </c:val>
          <c:smooth val="0"/>
        </c:ser>
        <c:dLbls>
          <c:showLegendKey val="0"/>
          <c:showVal val="0"/>
          <c:showCatName val="0"/>
          <c:showSerName val="0"/>
          <c:showPercent val="0"/>
          <c:showBubbleSize val="0"/>
        </c:dLbls>
        <c:marker val="1"/>
        <c:smooth val="0"/>
        <c:axId val="127803776"/>
        <c:axId val="127805312"/>
      </c:lineChart>
      <c:catAx>
        <c:axId val="127803776"/>
        <c:scaling>
          <c:orientation val="minMax"/>
        </c:scaling>
        <c:delete val="0"/>
        <c:axPos val="b"/>
        <c:majorTickMark val="none"/>
        <c:minorTickMark val="none"/>
        <c:tickLblPos val="nextTo"/>
        <c:crossAx val="127805312"/>
        <c:crosses val="autoZero"/>
        <c:auto val="1"/>
        <c:lblAlgn val="ctr"/>
        <c:lblOffset val="100"/>
        <c:noMultiLvlLbl val="0"/>
      </c:catAx>
      <c:valAx>
        <c:axId val="127805312"/>
        <c:scaling>
          <c:orientation val="minMax"/>
        </c:scaling>
        <c:delete val="0"/>
        <c:axPos val="l"/>
        <c:majorGridlines/>
        <c:title>
          <c:tx>
            <c:rich>
              <a:bodyPr/>
              <a:lstStyle/>
              <a:p>
                <a:pPr>
                  <a:defRPr/>
                </a:pPr>
                <a:r>
                  <a:rPr lang="en-US"/>
                  <a:t>Efficiency Ratio</a:t>
                </a:r>
              </a:p>
            </c:rich>
          </c:tx>
          <c:overlay val="0"/>
        </c:title>
        <c:numFmt formatCode="0" sourceLinked="1"/>
        <c:majorTickMark val="none"/>
        <c:minorTickMark val="none"/>
        <c:tickLblPos val="nextTo"/>
        <c:crossAx val="127803776"/>
        <c:crosses val="autoZero"/>
        <c:crossBetween val="between"/>
      </c:valAx>
    </c:plotArea>
    <c:legend>
      <c:legendPos val="r"/>
      <c:overlay val="0"/>
    </c:legend>
    <c:plotVisOnly val="1"/>
    <c:dispBlanksAs val="gap"/>
    <c:showDLblsOverMax val="0"/>
  </c:chart>
  <c:printSettings>
    <c:headerFooter/>
    <c:pageMargins b="1" l="0.75" r="0.75" t="1" header="0.5" footer="0.5"/>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Output</a:t>
            </a:r>
            <a:r>
              <a:rPr lang="en-US" baseline="0"/>
              <a:t> 2</a:t>
            </a:r>
            <a:endParaRPr lang="en-US"/>
          </a:p>
        </c:rich>
      </c:tx>
      <c:overlay val="0"/>
    </c:title>
    <c:autoTitleDeleted val="0"/>
    <c:plotArea>
      <c:layout/>
      <c:lineChart>
        <c:grouping val="standard"/>
        <c:varyColors val="0"/>
        <c:ser>
          <c:idx val="0"/>
          <c:order val="0"/>
          <c:tx>
            <c:strRef>
              <c:f>'Composites (2014)'!$AH$41</c:f>
              <c:strCache>
                <c:ptCount val="1"/>
                <c:pt idx="0">
                  <c:v>Enugu</c:v>
                </c:pt>
              </c:strCache>
            </c:strRef>
          </c:tx>
          <c:marker>
            <c:symbol val="none"/>
          </c:marker>
          <c:cat>
            <c:strRef>
              <c:f>'Composites (2014)'!$AI$2:$AL$2</c:f>
              <c:strCache>
                <c:ptCount val="4"/>
                <c:pt idx="0">
                  <c:v>Year 2</c:v>
                </c:pt>
                <c:pt idx="1">
                  <c:v>Year 3</c:v>
                </c:pt>
                <c:pt idx="2">
                  <c:v>Year 4</c:v>
                </c:pt>
                <c:pt idx="3">
                  <c:v>Year 5</c:v>
                </c:pt>
              </c:strCache>
            </c:strRef>
          </c:cat>
          <c:val>
            <c:numRef>
              <c:f>'Composites (2014)'!$AI$41:$AL$41</c:f>
              <c:numCache>
                <c:formatCode>0</c:formatCode>
                <c:ptCount val="4"/>
                <c:pt idx="0">
                  <c:v>-44.170979134000454</c:v>
                </c:pt>
                <c:pt idx="1">
                  <c:v>181.58235135144571</c:v>
                </c:pt>
                <c:pt idx="2">
                  <c:v>187.49772537629349</c:v>
                </c:pt>
                <c:pt idx="3">
                  <c:v>190.54002061438052</c:v>
                </c:pt>
              </c:numCache>
            </c:numRef>
          </c:val>
          <c:smooth val="0"/>
        </c:ser>
        <c:ser>
          <c:idx val="1"/>
          <c:order val="1"/>
          <c:tx>
            <c:strRef>
              <c:f>'Composites (2014)'!$AH$42</c:f>
              <c:strCache>
                <c:ptCount val="1"/>
                <c:pt idx="0">
                  <c:v>Jigawa</c:v>
                </c:pt>
              </c:strCache>
            </c:strRef>
          </c:tx>
          <c:marker>
            <c:symbol val="none"/>
          </c:marker>
          <c:cat>
            <c:strRef>
              <c:f>'Composites (2014)'!$AI$2:$AL$2</c:f>
              <c:strCache>
                <c:ptCount val="4"/>
                <c:pt idx="0">
                  <c:v>Year 2</c:v>
                </c:pt>
                <c:pt idx="1">
                  <c:v>Year 3</c:v>
                </c:pt>
                <c:pt idx="2">
                  <c:v>Year 4</c:v>
                </c:pt>
                <c:pt idx="3">
                  <c:v>Year 5</c:v>
                </c:pt>
              </c:strCache>
            </c:strRef>
          </c:cat>
          <c:val>
            <c:numRef>
              <c:f>'Composites (2014)'!$AI$42:$AL$42</c:f>
              <c:numCache>
                <c:formatCode>0</c:formatCode>
                <c:ptCount val="4"/>
                <c:pt idx="0">
                  <c:v>44.120869158320914</c:v>
                </c:pt>
                <c:pt idx="1">
                  <c:v>104.94831152364041</c:v>
                </c:pt>
                <c:pt idx="2">
                  <c:v>188.75578874613211</c:v>
                </c:pt>
                <c:pt idx="3">
                  <c:v>122.45875797495484</c:v>
                </c:pt>
              </c:numCache>
            </c:numRef>
          </c:val>
          <c:smooth val="0"/>
        </c:ser>
        <c:ser>
          <c:idx val="2"/>
          <c:order val="2"/>
          <c:tx>
            <c:strRef>
              <c:f>'Composites (2014)'!$AH$43</c:f>
              <c:strCache>
                <c:ptCount val="1"/>
                <c:pt idx="0">
                  <c:v>Kaduna</c:v>
                </c:pt>
              </c:strCache>
            </c:strRef>
          </c:tx>
          <c:marker>
            <c:symbol val="none"/>
          </c:marker>
          <c:cat>
            <c:strRef>
              <c:f>'Composites (2014)'!$AI$2:$AL$2</c:f>
              <c:strCache>
                <c:ptCount val="4"/>
                <c:pt idx="0">
                  <c:v>Year 2</c:v>
                </c:pt>
                <c:pt idx="1">
                  <c:v>Year 3</c:v>
                </c:pt>
                <c:pt idx="2">
                  <c:v>Year 4</c:v>
                </c:pt>
                <c:pt idx="3">
                  <c:v>Year 5</c:v>
                </c:pt>
              </c:strCache>
            </c:strRef>
          </c:cat>
          <c:val>
            <c:numRef>
              <c:f>'Composites (2014)'!$AI$43:$AL$43</c:f>
              <c:numCache>
                <c:formatCode>0</c:formatCode>
                <c:ptCount val="4"/>
                <c:pt idx="0">
                  <c:v>7.9872057965159842</c:v>
                </c:pt>
                <c:pt idx="1">
                  <c:v>121.43458301754087</c:v>
                </c:pt>
                <c:pt idx="2">
                  <c:v>99.403643723130855</c:v>
                </c:pt>
                <c:pt idx="3">
                  <c:v>147.25214352952901</c:v>
                </c:pt>
              </c:numCache>
            </c:numRef>
          </c:val>
          <c:smooth val="0"/>
        </c:ser>
        <c:ser>
          <c:idx val="3"/>
          <c:order val="3"/>
          <c:tx>
            <c:strRef>
              <c:f>'Composites (2014)'!$AH$44</c:f>
              <c:strCache>
                <c:ptCount val="1"/>
                <c:pt idx="0">
                  <c:v>Kano</c:v>
                </c:pt>
              </c:strCache>
            </c:strRef>
          </c:tx>
          <c:marker>
            <c:symbol val="none"/>
          </c:marker>
          <c:cat>
            <c:strRef>
              <c:f>'Composites (2014)'!$AI$2:$AL$2</c:f>
              <c:strCache>
                <c:ptCount val="4"/>
                <c:pt idx="0">
                  <c:v>Year 2</c:v>
                </c:pt>
                <c:pt idx="1">
                  <c:v>Year 3</c:v>
                </c:pt>
                <c:pt idx="2">
                  <c:v>Year 4</c:v>
                </c:pt>
                <c:pt idx="3">
                  <c:v>Year 5</c:v>
                </c:pt>
              </c:strCache>
            </c:strRef>
          </c:cat>
          <c:val>
            <c:numRef>
              <c:f>'Composites (2014)'!$AI$44:$AL$44</c:f>
              <c:numCache>
                <c:formatCode>0</c:formatCode>
                <c:ptCount val="4"/>
                <c:pt idx="0">
                  <c:v>32.860963570000365</c:v>
                </c:pt>
                <c:pt idx="1">
                  <c:v>150.58197173093859</c:v>
                </c:pt>
                <c:pt idx="2">
                  <c:v>173.93937917039992</c:v>
                </c:pt>
                <c:pt idx="3">
                  <c:v>10.563794741310867</c:v>
                </c:pt>
              </c:numCache>
            </c:numRef>
          </c:val>
          <c:smooth val="0"/>
        </c:ser>
        <c:ser>
          <c:idx val="4"/>
          <c:order val="4"/>
          <c:tx>
            <c:strRef>
              <c:f>'Composites (2014)'!$AH$45</c:f>
              <c:strCache>
                <c:ptCount val="1"/>
                <c:pt idx="0">
                  <c:v>Lagos</c:v>
                </c:pt>
              </c:strCache>
            </c:strRef>
          </c:tx>
          <c:marker>
            <c:symbol val="none"/>
          </c:marker>
          <c:cat>
            <c:strRef>
              <c:f>'Composites (2014)'!$AI$2:$AL$2</c:f>
              <c:strCache>
                <c:ptCount val="4"/>
                <c:pt idx="0">
                  <c:v>Year 2</c:v>
                </c:pt>
                <c:pt idx="1">
                  <c:v>Year 3</c:v>
                </c:pt>
                <c:pt idx="2">
                  <c:v>Year 4</c:v>
                </c:pt>
                <c:pt idx="3">
                  <c:v>Year 5</c:v>
                </c:pt>
              </c:strCache>
            </c:strRef>
          </c:cat>
          <c:val>
            <c:numRef>
              <c:f>'Composites (2014)'!$AI$45:$AL$45</c:f>
              <c:numCache>
                <c:formatCode>0</c:formatCode>
                <c:ptCount val="4"/>
                <c:pt idx="0">
                  <c:v>3.7868245803757321</c:v>
                </c:pt>
                <c:pt idx="1">
                  <c:v>103.43900502192325</c:v>
                </c:pt>
                <c:pt idx="2">
                  <c:v>150.62212538601838</c:v>
                </c:pt>
                <c:pt idx="3">
                  <c:v>160.85610815019552</c:v>
                </c:pt>
              </c:numCache>
            </c:numRef>
          </c:val>
          <c:smooth val="0"/>
        </c:ser>
        <c:ser>
          <c:idx val="5"/>
          <c:order val="5"/>
          <c:tx>
            <c:strRef>
              <c:f>'Composites (2014)'!$AH$46</c:f>
              <c:strCache>
                <c:ptCount val="1"/>
                <c:pt idx="0">
                  <c:v>Zamfara</c:v>
                </c:pt>
              </c:strCache>
            </c:strRef>
          </c:tx>
          <c:marker>
            <c:symbol val="none"/>
          </c:marker>
          <c:cat>
            <c:strRef>
              <c:f>'Composites (2014)'!$AI$2:$AL$2</c:f>
              <c:strCache>
                <c:ptCount val="4"/>
                <c:pt idx="0">
                  <c:v>Year 2</c:v>
                </c:pt>
                <c:pt idx="1">
                  <c:v>Year 3</c:v>
                </c:pt>
                <c:pt idx="2">
                  <c:v>Year 4</c:v>
                </c:pt>
                <c:pt idx="3">
                  <c:v>Year 5</c:v>
                </c:pt>
              </c:strCache>
            </c:strRef>
          </c:cat>
          <c:val>
            <c:numRef>
              <c:f>'Composites (2014)'!$AI$46:$AL$46</c:f>
              <c:numCache>
                <c:formatCode>0</c:formatCode>
                <c:ptCount val="4"/>
                <c:pt idx="0">
                  <c:v>0</c:v>
                </c:pt>
                <c:pt idx="1">
                  <c:v>0</c:v>
                </c:pt>
                <c:pt idx="2">
                  <c:v>271.86934912079772</c:v>
                </c:pt>
                <c:pt idx="3">
                  <c:v>-50.054243053621327</c:v>
                </c:pt>
              </c:numCache>
            </c:numRef>
          </c:val>
          <c:smooth val="0"/>
        </c:ser>
        <c:ser>
          <c:idx val="6"/>
          <c:order val="6"/>
          <c:tx>
            <c:strRef>
              <c:f>'Composites (2014)'!$AH$47</c:f>
              <c:strCache>
                <c:ptCount val="1"/>
                <c:pt idx="0">
                  <c:v>Katsina</c:v>
                </c:pt>
              </c:strCache>
            </c:strRef>
          </c:tx>
          <c:marker>
            <c:symbol val="none"/>
          </c:marker>
          <c:cat>
            <c:strRef>
              <c:f>'Composites (2014)'!$AI$2:$AL$2</c:f>
              <c:strCache>
                <c:ptCount val="4"/>
                <c:pt idx="0">
                  <c:v>Year 2</c:v>
                </c:pt>
                <c:pt idx="1">
                  <c:v>Year 3</c:v>
                </c:pt>
                <c:pt idx="2">
                  <c:v>Year 4</c:v>
                </c:pt>
                <c:pt idx="3">
                  <c:v>Year 5</c:v>
                </c:pt>
              </c:strCache>
            </c:strRef>
          </c:cat>
          <c:val>
            <c:numRef>
              <c:f>'Composites (2014)'!$AI$47:$AL$47</c:f>
              <c:numCache>
                <c:formatCode>0</c:formatCode>
                <c:ptCount val="4"/>
                <c:pt idx="0">
                  <c:v>0</c:v>
                </c:pt>
                <c:pt idx="1">
                  <c:v>0</c:v>
                </c:pt>
                <c:pt idx="2">
                  <c:v>9.3799819845074577</c:v>
                </c:pt>
                <c:pt idx="3">
                  <c:v>418.59742725197719</c:v>
                </c:pt>
              </c:numCache>
            </c:numRef>
          </c:val>
          <c:smooth val="0"/>
        </c:ser>
        <c:ser>
          <c:idx val="7"/>
          <c:order val="7"/>
          <c:tx>
            <c:strRef>
              <c:f>'Composites (2014)'!$AH$48</c:f>
              <c:strCache>
                <c:ptCount val="1"/>
                <c:pt idx="0">
                  <c:v>Yobe</c:v>
                </c:pt>
              </c:strCache>
            </c:strRef>
          </c:tx>
          <c:marker>
            <c:symbol val="none"/>
          </c:marker>
          <c:cat>
            <c:strRef>
              <c:f>'Composites (2014)'!$AI$2:$AL$2</c:f>
              <c:strCache>
                <c:ptCount val="4"/>
                <c:pt idx="0">
                  <c:v>Year 2</c:v>
                </c:pt>
                <c:pt idx="1">
                  <c:v>Year 3</c:v>
                </c:pt>
                <c:pt idx="2">
                  <c:v>Year 4</c:v>
                </c:pt>
                <c:pt idx="3">
                  <c:v>Year 5</c:v>
                </c:pt>
              </c:strCache>
            </c:strRef>
          </c:cat>
          <c:val>
            <c:numRef>
              <c:f>'Composites (2014)'!$AI$48:$AL$48</c:f>
              <c:numCache>
                <c:formatCode>0</c:formatCode>
                <c:ptCount val="4"/>
                <c:pt idx="0">
                  <c:v>0</c:v>
                </c:pt>
                <c:pt idx="1">
                  <c:v>0</c:v>
                </c:pt>
                <c:pt idx="2">
                  <c:v>591.27779326338361</c:v>
                </c:pt>
                <c:pt idx="3">
                  <c:v>164.31671848777475</c:v>
                </c:pt>
              </c:numCache>
            </c:numRef>
          </c:val>
          <c:smooth val="0"/>
        </c:ser>
        <c:dLbls>
          <c:showLegendKey val="0"/>
          <c:showVal val="0"/>
          <c:showCatName val="0"/>
          <c:showSerName val="0"/>
          <c:showPercent val="0"/>
          <c:showBubbleSize val="0"/>
        </c:dLbls>
        <c:marker val="1"/>
        <c:smooth val="0"/>
        <c:axId val="127852544"/>
        <c:axId val="127854080"/>
      </c:lineChart>
      <c:catAx>
        <c:axId val="127852544"/>
        <c:scaling>
          <c:orientation val="minMax"/>
        </c:scaling>
        <c:delete val="0"/>
        <c:axPos val="b"/>
        <c:majorTickMark val="none"/>
        <c:minorTickMark val="none"/>
        <c:tickLblPos val="nextTo"/>
        <c:crossAx val="127854080"/>
        <c:crosses val="autoZero"/>
        <c:auto val="1"/>
        <c:lblAlgn val="ctr"/>
        <c:lblOffset val="100"/>
        <c:noMultiLvlLbl val="0"/>
      </c:catAx>
      <c:valAx>
        <c:axId val="127854080"/>
        <c:scaling>
          <c:orientation val="minMax"/>
        </c:scaling>
        <c:delete val="0"/>
        <c:axPos val="l"/>
        <c:majorGridlines/>
        <c:title>
          <c:tx>
            <c:rich>
              <a:bodyPr/>
              <a:lstStyle/>
              <a:p>
                <a:pPr>
                  <a:defRPr/>
                </a:pPr>
                <a:r>
                  <a:rPr lang="en-US"/>
                  <a:t>Efficiency Ratio</a:t>
                </a:r>
              </a:p>
            </c:rich>
          </c:tx>
          <c:overlay val="0"/>
        </c:title>
        <c:numFmt formatCode="0" sourceLinked="1"/>
        <c:majorTickMark val="none"/>
        <c:minorTickMark val="none"/>
        <c:tickLblPos val="nextTo"/>
        <c:crossAx val="127852544"/>
        <c:crosses val="autoZero"/>
        <c:crossBetween val="between"/>
      </c:valAx>
    </c:plotArea>
    <c:legend>
      <c:legendPos val="r"/>
      <c:overlay val="0"/>
    </c:legend>
    <c:plotVisOnly val="1"/>
    <c:dispBlanksAs val="gap"/>
    <c:showDLblsOverMax val="0"/>
  </c:chart>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4.5855162381445803E-2"/>
          <c:y val="4.08479532163743E-2"/>
          <c:w val="0.80402559843072496"/>
          <c:h val="0.83174385964912301"/>
        </c:manualLayout>
      </c:layout>
      <c:lineChart>
        <c:grouping val="standard"/>
        <c:varyColors val="0"/>
        <c:ser>
          <c:idx val="0"/>
          <c:order val="0"/>
          <c:tx>
            <c:strRef>
              <c:f>'10 States AggWorkings'!$B$28</c:f>
              <c:strCache>
                <c:ptCount val="1"/>
                <c:pt idx="0">
                  <c:v>planned</c:v>
                </c:pt>
              </c:strCache>
            </c:strRef>
          </c:tx>
          <c:spPr>
            <a:ln w="38100">
              <a:solidFill>
                <a:srgbClr val="666699"/>
              </a:solidFill>
              <a:prstDash val="solid"/>
            </a:ln>
          </c:spPr>
          <c:marker>
            <c:symbol val="none"/>
          </c:marker>
          <c:cat>
            <c:strRef>
              <c:f>'10 States AggWorkings'!$C$2:$Y$2</c:f>
              <c:strCache>
                <c:ptCount val="23"/>
                <c:pt idx="0">
                  <c:v>early                                                                 
2010</c:v>
                </c:pt>
                <c:pt idx="1">
                  <c:v>Q1</c:v>
                </c:pt>
                <c:pt idx="2">
                  <c:v>Q2</c:v>
                </c:pt>
                <c:pt idx="3">
                  <c:v>Q3</c:v>
                </c:pt>
                <c:pt idx="4">
                  <c:v>Q4</c:v>
                </c:pt>
                <c:pt idx="5">
                  <c:v>Q1</c:v>
                </c:pt>
                <c:pt idx="6">
                  <c:v>Q2                                                                 
mid 2011</c:v>
                </c:pt>
                <c:pt idx="7">
                  <c:v>Q3</c:v>
                </c:pt>
                <c:pt idx="8">
                  <c:v>Q4</c:v>
                </c:pt>
                <c:pt idx="9">
                  <c:v>Q1</c:v>
                </c:pt>
                <c:pt idx="10">
                  <c:v>Q2</c:v>
                </c:pt>
                <c:pt idx="11">
                  <c:v>Q3/4                                                                 
late 2012</c:v>
                </c:pt>
                <c:pt idx="12">
                  <c:v>Q1</c:v>
                </c:pt>
                <c:pt idx="13">
                  <c:v>Q2</c:v>
                </c:pt>
                <c:pt idx="14">
                  <c:v>Q3</c:v>
                </c:pt>
                <c:pt idx="15">
                  <c:v> Q4                                                                
late 2013</c:v>
                </c:pt>
                <c:pt idx="16">
                  <c:v>Q1</c:v>
                </c:pt>
                <c:pt idx="17">
                  <c:v>Q2</c:v>
                </c:pt>
                <c:pt idx="18">
                  <c:v>Q3</c:v>
                </c:pt>
                <c:pt idx="19">
                  <c:v>Q4</c:v>
                </c:pt>
                <c:pt idx="20">
                  <c:v>Q1</c:v>
                </c:pt>
                <c:pt idx="21">
                  <c:v>Q2</c:v>
                </c:pt>
                <c:pt idx="22">
                  <c:v>Q3                                                                 
mid 2015</c:v>
                </c:pt>
              </c:strCache>
            </c:strRef>
          </c:cat>
          <c:val>
            <c:numRef>
              <c:f>'10 States AggWorkings'!$C$28:$Y$28</c:f>
              <c:numCache>
                <c:formatCode>0.0</c:formatCode>
                <c:ptCount val="23"/>
                <c:pt idx="0">
                  <c:v>0</c:v>
                </c:pt>
                <c:pt idx="1">
                  <c:v>0</c:v>
                </c:pt>
                <c:pt idx="2">
                  <c:v>0</c:v>
                </c:pt>
                <c:pt idx="3">
                  <c:v>0</c:v>
                </c:pt>
                <c:pt idx="4">
                  <c:v>0</c:v>
                </c:pt>
                <c:pt idx="5">
                  <c:v>0</c:v>
                </c:pt>
                <c:pt idx="6">
                  <c:v>0</c:v>
                </c:pt>
                <c:pt idx="7">
                  <c:v>0</c:v>
                </c:pt>
                <c:pt idx="8">
                  <c:v>0</c:v>
                </c:pt>
                <c:pt idx="9">
                  <c:v>0</c:v>
                </c:pt>
                <c:pt idx="10">
                  <c:v>0</c:v>
                </c:pt>
                <c:pt idx="11">
                  <c:v>2.8374999999999999</c:v>
                </c:pt>
                <c:pt idx="12">
                  <c:v>2.9015624999999998</c:v>
                </c:pt>
                <c:pt idx="13">
                  <c:v>2.9656249999999997</c:v>
                </c:pt>
                <c:pt idx="14">
                  <c:v>3.0296874999999996</c:v>
                </c:pt>
                <c:pt idx="15">
                  <c:v>3.09375</c:v>
                </c:pt>
                <c:pt idx="16">
                  <c:v>3.1614583333333335</c:v>
                </c:pt>
                <c:pt idx="17">
                  <c:v>3.2291666666666665</c:v>
                </c:pt>
                <c:pt idx="18">
                  <c:v>3.296875</c:v>
                </c:pt>
                <c:pt idx="19">
                  <c:v>3.3645833333333335</c:v>
                </c:pt>
                <c:pt idx="20">
                  <c:v>3.4758333333333327</c:v>
                </c:pt>
                <c:pt idx="21">
                  <c:v>3.5666666666666664</c:v>
                </c:pt>
                <c:pt idx="22">
                  <c:v>3.5799999999999996</c:v>
                </c:pt>
              </c:numCache>
            </c:numRef>
          </c:val>
          <c:smooth val="0"/>
        </c:ser>
        <c:ser>
          <c:idx val="1"/>
          <c:order val="1"/>
          <c:tx>
            <c:strRef>
              <c:f>'10 States AggWorkings'!$B$29</c:f>
              <c:strCache>
                <c:ptCount val="1"/>
                <c:pt idx="0">
                  <c:v>achieved</c:v>
                </c:pt>
              </c:strCache>
            </c:strRef>
          </c:tx>
          <c:spPr>
            <a:ln w="38100">
              <a:solidFill>
                <a:srgbClr val="993366"/>
              </a:solidFill>
              <a:prstDash val="solid"/>
            </a:ln>
          </c:spPr>
          <c:marker>
            <c:symbol val="none"/>
          </c:marker>
          <c:cat>
            <c:strRef>
              <c:f>'10 States AggWorkings'!$C$2:$Y$2</c:f>
              <c:strCache>
                <c:ptCount val="23"/>
                <c:pt idx="0">
                  <c:v>early                                                                 
2010</c:v>
                </c:pt>
                <c:pt idx="1">
                  <c:v>Q1</c:v>
                </c:pt>
                <c:pt idx="2">
                  <c:v>Q2</c:v>
                </c:pt>
                <c:pt idx="3">
                  <c:v>Q3</c:v>
                </c:pt>
                <c:pt idx="4">
                  <c:v>Q4</c:v>
                </c:pt>
                <c:pt idx="5">
                  <c:v>Q1</c:v>
                </c:pt>
                <c:pt idx="6">
                  <c:v>Q2                                                                 
mid 2011</c:v>
                </c:pt>
                <c:pt idx="7">
                  <c:v>Q3</c:v>
                </c:pt>
                <c:pt idx="8">
                  <c:v>Q4</c:v>
                </c:pt>
                <c:pt idx="9">
                  <c:v>Q1</c:v>
                </c:pt>
                <c:pt idx="10">
                  <c:v>Q2</c:v>
                </c:pt>
                <c:pt idx="11">
                  <c:v>Q3/4                                                                 
late 2012</c:v>
                </c:pt>
                <c:pt idx="12">
                  <c:v>Q1</c:v>
                </c:pt>
                <c:pt idx="13">
                  <c:v>Q2</c:v>
                </c:pt>
                <c:pt idx="14">
                  <c:v>Q3</c:v>
                </c:pt>
                <c:pt idx="15">
                  <c:v> Q4                                                                
late 2013</c:v>
                </c:pt>
                <c:pt idx="16">
                  <c:v>Q1</c:v>
                </c:pt>
                <c:pt idx="17">
                  <c:v>Q2</c:v>
                </c:pt>
                <c:pt idx="18">
                  <c:v>Q3</c:v>
                </c:pt>
                <c:pt idx="19">
                  <c:v>Q4</c:v>
                </c:pt>
                <c:pt idx="20">
                  <c:v>Q1</c:v>
                </c:pt>
                <c:pt idx="21">
                  <c:v>Q2</c:v>
                </c:pt>
                <c:pt idx="22">
                  <c:v>Q3                                                                 
mid 2015</c:v>
                </c:pt>
              </c:strCache>
            </c:strRef>
          </c:cat>
          <c:val>
            <c:numRef>
              <c:f>'10 States AggWorkings'!$C$29:$Y$29</c:f>
              <c:numCache>
                <c:formatCode>0.0</c:formatCode>
                <c:ptCount val="23"/>
                <c:pt idx="0">
                  <c:v>0</c:v>
                </c:pt>
                <c:pt idx="1">
                  <c:v>0</c:v>
                </c:pt>
                <c:pt idx="2">
                  <c:v>0</c:v>
                </c:pt>
                <c:pt idx="3">
                  <c:v>0</c:v>
                </c:pt>
                <c:pt idx="4">
                  <c:v>0</c:v>
                </c:pt>
                <c:pt idx="5">
                  <c:v>0</c:v>
                </c:pt>
                <c:pt idx="6">
                  <c:v>0</c:v>
                </c:pt>
                <c:pt idx="7">
                  <c:v>0</c:v>
                </c:pt>
                <c:pt idx="8">
                  <c:v>0</c:v>
                </c:pt>
                <c:pt idx="9">
                  <c:v>0</c:v>
                </c:pt>
                <c:pt idx="10">
                  <c:v>0</c:v>
                </c:pt>
                <c:pt idx="11">
                  <c:v>2.8374999999999999</c:v>
                </c:pt>
                <c:pt idx="12">
                  <c:v>2.5249999999999999</c:v>
                </c:pt>
                <c:pt idx="13">
                  <c:v>2.9750000000000001</c:v>
                </c:pt>
                <c:pt idx="14">
                  <c:v>3.0375000000000001</c:v>
                </c:pt>
                <c:pt idx="15">
                  <c:v>3.2</c:v>
                </c:pt>
                <c:pt idx="16">
                  <c:v>3.2125000000000004</c:v>
                </c:pt>
                <c:pt idx="17">
                  <c:v>3.4874999999999998</c:v>
                </c:pt>
                <c:pt idx="18">
                  <c:v>3.5</c:v>
                </c:pt>
                <c:pt idx="19">
                  <c:v>3.5875000000000004</c:v>
                </c:pt>
                <c:pt idx="20">
                  <c:v>3.54</c:v>
                </c:pt>
                <c:pt idx="21">
                  <c:v>3.6999999999999993</c:v>
                </c:pt>
                <c:pt idx="22">
                  <c:v>0</c:v>
                </c:pt>
              </c:numCache>
            </c:numRef>
          </c:val>
          <c:smooth val="0"/>
        </c:ser>
        <c:dLbls>
          <c:showLegendKey val="0"/>
          <c:showVal val="0"/>
          <c:showCatName val="0"/>
          <c:showSerName val="0"/>
          <c:showPercent val="0"/>
          <c:showBubbleSize val="0"/>
        </c:dLbls>
        <c:marker val="1"/>
        <c:smooth val="0"/>
        <c:axId val="110665088"/>
        <c:axId val="110670976"/>
      </c:lineChart>
      <c:catAx>
        <c:axId val="110665088"/>
        <c:scaling>
          <c:orientation val="minMax"/>
        </c:scaling>
        <c:delete val="0"/>
        <c:axPos val="b"/>
        <c:majorGridlines>
          <c:spPr>
            <a:ln w="3175">
              <a:solidFill>
                <a:srgbClr val="808080"/>
              </a:solidFill>
              <a:prstDash val="solid"/>
            </a:ln>
          </c:spPr>
        </c:majorGridlines>
        <c:numFmt formatCode="General" sourceLinked="1"/>
        <c:majorTickMark val="out"/>
        <c:minorTickMark val="none"/>
        <c:tickLblPos val="nextTo"/>
        <c:spPr>
          <a:ln w="3175">
            <a:solidFill>
              <a:srgbClr val="808080"/>
            </a:solidFill>
            <a:prstDash val="solid"/>
          </a:ln>
        </c:spPr>
        <c:txPr>
          <a:bodyPr rot="0" vert="horz"/>
          <a:lstStyle/>
          <a:p>
            <a:pPr>
              <a:defRPr sz="900" b="0" i="0" u="none" strike="noStrike" baseline="0">
                <a:solidFill>
                  <a:srgbClr val="666699"/>
                </a:solidFill>
                <a:latin typeface="Calibri"/>
                <a:ea typeface="Calibri"/>
                <a:cs typeface="Calibri"/>
              </a:defRPr>
            </a:pPr>
            <a:endParaRPr lang="en-US"/>
          </a:p>
        </c:txPr>
        <c:crossAx val="110670976"/>
        <c:crosses val="autoZero"/>
        <c:auto val="1"/>
        <c:lblAlgn val="ctr"/>
        <c:lblOffset val="100"/>
        <c:noMultiLvlLbl val="0"/>
      </c:catAx>
      <c:valAx>
        <c:axId val="110670976"/>
        <c:scaling>
          <c:orientation val="minMax"/>
          <c:max val="5"/>
        </c:scaling>
        <c:delete val="0"/>
        <c:axPos val="l"/>
        <c:majorGridlines>
          <c:spPr>
            <a:ln w="3175">
              <a:solidFill>
                <a:srgbClr val="808080"/>
              </a:solidFill>
              <a:prstDash val="solid"/>
            </a:ln>
          </c:spPr>
        </c:majorGridlines>
        <c:numFmt formatCode="0.0" sourceLinked="1"/>
        <c:majorTickMark val="out"/>
        <c:minorTickMark val="none"/>
        <c:tickLblPos val="nextTo"/>
        <c:spPr>
          <a:ln w="3175">
            <a:solidFill>
              <a:srgbClr val="808080"/>
            </a:solidFill>
            <a:prstDash val="solid"/>
          </a:ln>
        </c:spPr>
        <c:txPr>
          <a:bodyPr rot="0" vert="horz"/>
          <a:lstStyle/>
          <a:p>
            <a:pPr>
              <a:defRPr sz="900" b="0" i="0" u="none" strike="noStrike" baseline="0">
                <a:solidFill>
                  <a:srgbClr val="666699"/>
                </a:solidFill>
                <a:latin typeface="Calibri"/>
                <a:ea typeface="Calibri"/>
                <a:cs typeface="Calibri"/>
              </a:defRPr>
            </a:pPr>
            <a:endParaRPr lang="en-US"/>
          </a:p>
        </c:txPr>
        <c:crossAx val="110665088"/>
        <c:crosses val="autoZero"/>
        <c:crossBetween val="midCat"/>
      </c:valAx>
      <c:spPr>
        <a:solidFill>
          <a:srgbClr val="FFFFFF"/>
        </a:solidFill>
        <a:ln w="25400">
          <a:noFill/>
        </a:ln>
      </c:spPr>
    </c:plotArea>
    <c:legend>
      <c:legendPos val="r"/>
      <c:layout>
        <c:manualLayout>
          <c:xMode val="edge"/>
          <c:yMode val="edge"/>
          <c:x val="0.88870431893687696"/>
          <c:y val="0.39552202775001799"/>
          <c:w val="9.1362126245847206E-2"/>
          <c:h val="0.130596895955195"/>
        </c:manualLayout>
      </c:layout>
      <c:overlay val="0"/>
      <c:spPr>
        <a:noFill/>
        <a:ln w="25400">
          <a:noFill/>
        </a:ln>
      </c:spPr>
      <c:txPr>
        <a:bodyPr/>
        <a:lstStyle/>
        <a:p>
          <a:pPr>
            <a:defRPr sz="690" b="0" i="0" u="none" strike="noStrike" baseline="0">
              <a:solidFill>
                <a:srgbClr val="666699"/>
              </a:solidFill>
              <a:latin typeface="Calibri"/>
              <a:ea typeface="Calibri"/>
              <a:cs typeface="Calibri"/>
            </a:defRPr>
          </a:pPr>
          <a:endParaRPr lang="en-US"/>
        </a:p>
      </c:txPr>
    </c:legend>
    <c:plotVisOnly val="1"/>
    <c:dispBlanksAs val="gap"/>
    <c:showDLblsOverMax val="0"/>
  </c:chart>
  <c:spPr>
    <a:solidFill>
      <a:srgbClr val="B9CDE5"/>
    </a:solidFill>
    <a:ln w="9525">
      <a:noFill/>
    </a:ln>
  </c:spPr>
  <c:txPr>
    <a:bodyPr/>
    <a:lstStyle/>
    <a:p>
      <a:pPr>
        <a:defRPr sz="900" b="0" i="0" u="none" strike="noStrike" baseline="0">
          <a:solidFill>
            <a:srgbClr val="666699"/>
          </a:solidFill>
          <a:latin typeface="Calibri"/>
          <a:ea typeface="Calibri"/>
          <a:cs typeface="Calibri"/>
        </a:defRPr>
      </a:pPr>
      <a:endParaRPr lang="en-US"/>
    </a:p>
  </c:txPr>
  <c:printSettings>
    <c:headerFooter/>
    <c:pageMargins b="1" l="0.75" r="0.75" t="1" header="0.5" footer="0.5"/>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Output</a:t>
            </a:r>
            <a:r>
              <a:rPr lang="en-US" baseline="0"/>
              <a:t> 3</a:t>
            </a:r>
            <a:endParaRPr lang="en-US"/>
          </a:p>
        </c:rich>
      </c:tx>
      <c:overlay val="0"/>
    </c:title>
    <c:autoTitleDeleted val="0"/>
    <c:plotArea>
      <c:layout/>
      <c:lineChart>
        <c:grouping val="standard"/>
        <c:varyColors val="0"/>
        <c:ser>
          <c:idx val="0"/>
          <c:order val="0"/>
          <c:tx>
            <c:strRef>
              <c:f>'Composites (2014)'!$AH$53</c:f>
              <c:strCache>
                <c:ptCount val="1"/>
                <c:pt idx="0">
                  <c:v>Enugu</c:v>
                </c:pt>
              </c:strCache>
            </c:strRef>
          </c:tx>
          <c:marker>
            <c:symbol val="none"/>
          </c:marker>
          <c:cat>
            <c:strRef>
              <c:f>'Composites (2014)'!$AI$2:$AL$2</c:f>
              <c:strCache>
                <c:ptCount val="4"/>
                <c:pt idx="0">
                  <c:v>Year 2</c:v>
                </c:pt>
                <c:pt idx="1">
                  <c:v>Year 3</c:v>
                </c:pt>
                <c:pt idx="2">
                  <c:v>Year 4</c:v>
                </c:pt>
                <c:pt idx="3">
                  <c:v>Year 5</c:v>
                </c:pt>
              </c:strCache>
            </c:strRef>
          </c:cat>
          <c:val>
            <c:numRef>
              <c:f>'Composites (2014)'!$AI$53:$AL$53</c:f>
              <c:numCache>
                <c:formatCode>0</c:formatCode>
                <c:ptCount val="4"/>
                <c:pt idx="0">
                  <c:v>11.24272107849329</c:v>
                </c:pt>
                <c:pt idx="1">
                  <c:v>62.256728496716519</c:v>
                </c:pt>
                <c:pt idx="2">
                  <c:v>106.2156728071563</c:v>
                </c:pt>
                <c:pt idx="3">
                  <c:v>-7.052150442582481</c:v>
                </c:pt>
              </c:numCache>
            </c:numRef>
          </c:val>
          <c:smooth val="0"/>
        </c:ser>
        <c:ser>
          <c:idx val="1"/>
          <c:order val="1"/>
          <c:tx>
            <c:strRef>
              <c:f>'Composites (2014)'!$AH$54</c:f>
              <c:strCache>
                <c:ptCount val="1"/>
                <c:pt idx="0">
                  <c:v>Jigawa</c:v>
                </c:pt>
              </c:strCache>
            </c:strRef>
          </c:tx>
          <c:marker>
            <c:symbol val="none"/>
          </c:marker>
          <c:cat>
            <c:strRef>
              <c:f>'Composites (2014)'!$AI$2:$AL$2</c:f>
              <c:strCache>
                <c:ptCount val="4"/>
                <c:pt idx="0">
                  <c:v>Year 2</c:v>
                </c:pt>
                <c:pt idx="1">
                  <c:v>Year 3</c:v>
                </c:pt>
                <c:pt idx="2">
                  <c:v>Year 4</c:v>
                </c:pt>
                <c:pt idx="3">
                  <c:v>Year 5</c:v>
                </c:pt>
              </c:strCache>
            </c:strRef>
          </c:cat>
          <c:val>
            <c:numRef>
              <c:f>'Composites (2014)'!$AI$54:$AL$54</c:f>
              <c:numCache>
                <c:formatCode>0</c:formatCode>
                <c:ptCount val="4"/>
                <c:pt idx="0">
                  <c:v>27.670911003820972</c:v>
                </c:pt>
                <c:pt idx="1">
                  <c:v>67.841622221159128</c:v>
                </c:pt>
                <c:pt idx="2">
                  <c:v>65.954028445491772</c:v>
                </c:pt>
                <c:pt idx="3">
                  <c:v>61.071651217111871</c:v>
                </c:pt>
              </c:numCache>
            </c:numRef>
          </c:val>
          <c:smooth val="0"/>
        </c:ser>
        <c:ser>
          <c:idx val="2"/>
          <c:order val="2"/>
          <c:tx>
            <c:strRef>
              <c:f>'Composites (2014)'!$AH$55</c:f>
              <c:strCache>
                <c:ptCount val="1"/>
                <c:pt idx="0">
                  <c:v>Kaduna</c:v>
                </c:pt>
              </c:strCache>
            </c:strRef>
          </c:tx>
          <c:marker>
            <c:symbol val="none"/>
          </c:marker>
          <c:cat>
            <c:strRef>
              <c:f>'Composites (2014)'!$AI$2:$AL$2</c:f>
              <c:strCache>
                <c:ptCount val="4"/>
                <c:pt idx="0">
                  <c:v>Year 2</c:v>
                </c:pt>
                <c:pt idx="1">
                  <c:v>Year 3</c:v>
                </c:pt>
                <c:pt idx="2">
                  <c:v>Year 4</c:v>
                </c:pt>
                <c:pt idx="3">
                  <c:v>Year 5</c:v>
                </c:pt>
              </c:strCache>
            </c:strRef>
          </c:cat>
          <c:val>
            <c:numRef>
              <c:f>'Composites (2014)'!$AI$55:$AL$55</c:f>
              <c:numCache>
                <c:formatCode>0</c:formatCode>
                <c:ptCount val="4"/>
                <c:pt idx="0">
                  <c:v>15.847078553795178</c:v>
                </c:pt>
                <c:pt idx="1">
                  <c:v>81.805501508497471</c:v>
                </c:pt>
                <c:pt idx="2">
                  <c:v>51.546637483294177</c:v>
                </c:pt>
                <c:pt idx="3">
                  <c:v>264.42736384609157</c:v>
                </c:pt>
              </c:numCache>
            </c:numRef>
          </c:val>
          <c:smooth val="0"/>
        </c:ser>
        <c:ser>
          <c:idx val="3"/>
          <c:order val="3"/>
          <c:tx>
            <c:strRef>
              <c:f>'Composites (2014)'!$AH$56</c:f>
              <c:strCache>
                <c:ptCount val="1"/>
                <c:pt idx="0">
                  <c:v>Kano</c:v>
                </c:pt>
              </c:strCache>
            </c:strRef>
          </c:tx>
          <c:marker>
            <c:symbol val="none"/>
          </c:marker>
          <c:cat>
            <c:strRef>
              <c:f>'Composites (2014)'!$AI$2:$AL$2</c:f>
              <c:strCache>
                <c:ptCount val="4"/>
                <c:pt idx="0">
                  <c:v>Year 2</c:v>
                </c:pt>
                <c:pt idx="1">
                  <c:v>Year 3</c:v>
                </c:pt>
                <c:pt idx="2">
                  <c:v>Year 4</c:v>
                </c:pt>
                <c:pt idx="3">
                  <c:v>Year 5</c:v>
                </c:pt>
              </c:strCache>
            </c:strRef>
          </c:cat>
          <c:val>
            <c:numRef>
              <c:f>'Composites (2014)'!$AI$56:$AL$56</c:f>
              <c:numCache>
                <c:formatCode>0</c:formatCode>
                <c:ptCount val="4"/>
                <c:pt idx="0">
                  <c:v>27.615531155195633</c:v>
                </c:pt>
                <c:pt idx="1">
                  <c:v>19.704547872372039</c:v>
                </c:pt>
                <c:pt idx="2">
                  <c:v>139.11023617014422</c:v>
                </c:pt>
                <c:pt idx="3">
                  <c:v>37.937891775874739</c:v>
                </c:pt>
              </c:numCache>
            </c:numRef>
          </c:val>
          <c:smooth val="0"/>
        </c:ser>
        <c:ser>
          <c:idx val="4"/>
          <c:order val="4"/>
          <c:tx>
            <c:strRef>
              <c:f>'Composites (2014)'!$AH$57</c:f>
              <c:strCache>
                <c:ptCount val="1"/>
                <c:pt idx="0">
                  <c:v>Lagos</c:v>
                </c:pt>
              </c:strCache>
            </c:strRef>
          </c:tx>
          <c:marker>
            <c:symbol val="none"/>
          </c:marker>
          <c:cat>
            <c:strRef>
              <c:f>'Composites (2014)'!$AI$2:$AL$2</c:f>
              <c:strCache>
                <c:ptCount val="4"/>
                <c:pt idx="0">
                  <c:v>Year 2</c:v>
                </c:pt>
                <c:pt idx="1">
                  <c:v>Year 3</c:v>
                </c:pt>
                <c:pt idx="2">
                  <c:v>Year 4</c:v>
                </c:pt>
                <c:pt idx="3">
                  <c:v>Year 5</c:v>
                </c:pt>
              </c:strCache>
            </c:strRef>
          </c:cat>
          <c:val>
            <c:numRef>
              <c:f>'Composites (2014)'!$AI$57:$AL$57</c:f>
              <c:numCache>
                <c:formatCode>0</c:formatCode>
                <c:ptCount val="4"/>
                <c:pt idx="0">
                  <c:v>22.570226634510604</c:v>
                </c:pt>
                <c:pt idx="1">
                  <c:v>37.257119833004715</c:v>
                </c:pt>
                <c:pt idx="2">
                  <c:v>110.42525202311592</c:v>
                </c:pt>
                <c:pt idx="3">
                  <c:v>48.769059626172925</c:v>
                </c:pt>
              </c:numCache>
            </c:numRef>
          </c:val>
          <c:smooth val="0"/>
        </c:ser>
        <c:ser>
          <c:idx val="5"/>
          <c:order val="5"/>
          <c:tx>
            <c:strRef>
              <c:f>'Composites (2014)'!$AH$58</c:f>
              <c:strCache>
                <c:ptCount val="1"/>
                <c:pt idx="0">
                  <c:v>Zamfara</c:v>
                </c:pt>
              </c:strCache>
            </c:strRef>
          </c:tx>
          <c:marker>
            <c:symbol val="none"/>
          </c:marker>
          <c:cat>
            <c:strRef>
              <c:f>'Composites (2014)'!$AI$2:$AL$2</c:f>
              <c:strCache>
                <c:ptCount val="4"/>
                <c:pt idx="0">
                  <c:v>Year 2</c:v>
                </c:pt>
                <c:pt idx="1">
                  <c:v>Year 3</c:v>
                </c:pt>
                <c:pt idx="2">
                  <c:v>Year 4</c:v>
                </c:pt>
                <c:pt idx="3">
                  <c:v>Year 5</c:v>
                </c:pt>
              </c:strCache>
            </c:strRef>
          </c:cat>
          <c:val>
            <c:numRef>
              <c:f>'Composites (2014)'!$AI$58:$AL$58</c:f>
              <c:numCache>
                <c:formatCode>0</c:formatCode>
                <c:ptCount val="4"/>
                <c:pt idx="0">
                  <c:v>0</c:v>
                </c:pt>
                <c:pt idx="1">
                  <c:v>0</c:v>
                </c:pt>
                <c:pt idx="2">
                  <c:v>113.61711610757584</c:v>
                </c:pt>
                <c:pt idx="3">
                  <c:v>243.36342165861421</c:v>
                </c:pt>
              </c:numCache>
            </c:numRef>
          </c:val>
          <c:smooth val="0"/>
        </c:ser>
        <c:ser>
          <c:idx val="6"/>
          <c:order val="6"/>
          <c:tx>
            <c:strRef>
              <c:f>'Composites (2014)'!$AH$59</c:f>
              <c:strCache>
                <c:ptCount val="1"/>
                <c:pt idx="0">
                  <c:v>Katsina</c:v>
                </c:pt>
              </c:strCache>
            </c:strRef>
          </c:tx>
          <c:marker>
            <c:symbol val="none"/>
          </c:marker>
          <c:cat>
            <c:strRef>
              <c:f>'Composites (2014)'!$AI$2:$AL$2</c:f>
              <c:strCache>
                <c:ptCount val="4"/>
                <c:pt idx="0">
                  <c:v>Year 2</c:v>
                </c:pt>
                <c:pt idx="1">
                  <c:v>Year 3</c:v>
                </c:pt>
                <c:pt idx="2">
                  <c:v>Year 4</c:v>
                </c:pt>
                <c:pt idx="3">
                  <c:v>Year 5</c:v>
                </c:pt>
              </c:strCache>
            </c:strRef>
          </c:cat>
          <c:val>
            <c:numRef>
              <c:f>'Composites (2014)'!$AI$59:$AL$59</c:f>
              <c:numCache>
                <c:formatCode>0</c:formatCode>
                <c:ptCount val="4"/>
                <c:pt idx="0">
                  <c:v>0</c:v>
                </c:pt>
                <c:pt idx="1">
                  <c:v>0</c:v>
                </c:pt>
                <c:pt idx="2">
                  <c:v>133.41936925858872</c:v>
                </c:pt>
                <c:pt idx="3">
                  <c:v>168.22293520875132</c:v>
                </c:pt>
              </c:numCache>
            </c:numRef>
          </c:val>
          <c:smooth val="0"/>
        </c:ser>
        <c:ser>
          <c:idx val="7"/>
          <c:order val="7"/>
          <c:tx>
            <c:strRef>
              <c:f>'Composites (2014)'!$AH$60</c:f>
              <c:strCache>
                <c:ptCount val="1"/>
                <c:pt idx="0">
                  <c:v>Yobe</c:v>
                </c:pt>
              </c:strCache>
            </c:strRef>
          </c:tx>
          <c:marker>
            <c:symbol val="none"/>
          </c:marker>
          <c:cat>
            <c:strRef>
              <c:f>'Composites (2014)'!$AI$2:$AL$2</c:f>
              <c:strCache>
                <c:ptCount val="4"/>
                <c:pt idx="0">
                  <c:v>Year 2</c:v>
                </c:pt>
                <c:pt idx="1">
                  <c:v>Year 3</c:v>
                </c:pt>
                <c:pt idx="2">
                  <c:v>Year 4</c:v>
                </c:pt>
                <c:pt idx="3">
                  <c:v>Year 5</c:v>
                </c:pt>
              </c:strCache>
            </c:strRef>
          </c:cat>
          <c:val>
            <c:numRef>
              <c:f>'Composites (2014)'!$AI$60:$AL$60</c:f>
              <c:numCache>
                <c:formatCode>0</c:formatCode>
                <c:ptCount val="4"/>
                <c:pt idx="0">
                  <c:v>0</c:v>
                </c:pt>
                <c:pt idx="1">
                  <c:v>0</c:v>
                </c:pt>
                <c:pt idx="2">
                  <c:v>149.21117624439614</c:v>
                </c:pt>
                <c:pt idx="3">
                  <c:v>221.58264186905024</c:v>
                </c:pt>
              </c:numCache>
            </c:numRef>
          </c:val>
          <c:smooth val="0"/>
        </c:ser>
        <c:dLbls>
          <c:showLegendKey val="0"/>
          <c:showVal val="0"/>
          <c:showCatName val="0"/>
          <c:showSerName val="0"/>
          <c:showPercent val="0"/>
          <c:showBubbleSize val="0"/>
        </c:dLbls>
        <c:marker val="1"/>
        <c:smooth val="0"/>
        <c:axId val="127966592"/>
        <c:axId val="127972480"/>
      </c:lineChart>
      <c:catAx>
        <c:axId val="127966592"/>
        <c:scaling>
          <c:orientation val="minMax"/>
        </c:scaling>
        <c:delete val="0"/>
        <c:axPos val="b"/>
        <c:majorTickMark val="none"/>
        <c:minorTickMark val="none"/>
        <c:tickLblPos val="nextTo"/>
        <c:crossAx val="127972480"/>
        <c:crosses val="autoZero"/>
        <c:auto val="1"/>
        <c:lblAlgn val="ctr"/>
        <c:lblOffset val="100"/>
        <c:noMultiLvlLbl val="0"/>
      </c:catAx>
      <c:valAx>
        <c:axId val="127972480"/>
        <c:scaling>
          <c:orientation val="minMax"/>
        </c:scaling>
        <c:delete val="0"/>
        <c:axPos val="l"/>
        <c:majorGridlines/>
        <c:title>
          <c:tx>
            <c:rich>
              <a:bodyPr/>
              <a:lstStyle/>
              <a:p>
                <a:pPr>
                  <a:defRPr/>
                </a:pPr>
                <a:r>
                  <a:rPr lang="en-US"/>
                  <a:t>Efficiency Ratio</a:t>
                </a:r>
              </a:p>
            </c:rich>
          </c:tx>
          <c:overlay val="0"/>
        </c:title>
        <c:numFmt formatCode="0" sourceLinked="1"/>
        <c:majorTickMark val="none"/>
        <c:minorTickMark val="none"/>
        <c:tickLblPos val="nextTo"/>
        <c:crossAx val="127966592"/>
        <c:crosses val="autoZero"/>
        <c:crossBetween val="between"/>
      </c:valAx>
    </c:plotArea>
    <c:legend>
      <c:legendPos val="r"/>
      <c:overlay val="0"/>
    </c:legend>
    <c:plotVisOnly val="1"/>
    <c:dispBlanksAs val="gap"/>
    <c:showDLblsOverMax val="0"/>
  </c:chart>
  <c:printSettings>
    <c:headerFooter/>
    <c:pageMargins b="1" l="0.75" r="0.75" t="1" header="0.5" footer="0.5"/>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Output</a:t>
            </a:r>
            <a:r>
              <a:rPr lang="en-US" baseline="0"/>
              <a:t> 4</a:t>
            </a:r>
            <a:endParaRPr lang="en-US"/>
          </a:p>
        </c:rich>
      </c:tx>
      <c:overlay val="0"/>
    </c:title>
    <c:autoTitleDeleted val="0"/>
    <c:plotArea>
      <c:layout/>
      <c:lineChart>
        <c:grouping val="standard"/>
        <c:varyColors val="0"/>
        <c:ser>
          <c:idx val="0"/>
          <c:order val="0"/>
          <c:tx>
            <c:strRef>
              <c:f>'Composites (2014)'!$AH$65</c:f>
              <c:strCache>
                <c:ptCount val="1"/>
                <c:pt idx="0">
                  <c:v>Enugu</c:v>
                </c:pt>
              </c:strCache>
            </c:strRef>
          </c:tx>
          <c:marker>
            <c:symbol val="none"/>
          </c:marker>
          <c:cat>
            <c:strRef>
              <c:f>'Composites (2014)'!$AI$2:$AL$2</c:f>
              <c:strCache>
                <c:ptCount val="4"/>
                <c:pt idx="0">
                  <c:v>Year 2</c:v>
                </c:pt>
                <c:pt idx="1">
                  <c:v>Year 3</c:v>
                </c:pt>
                <c:pt idx="2">
                  <c:v>Year 4</c:v>
                </c:pt>
                <c:pt idx="3">
                  <c:v>Year 5</c:v>
                </c:pt>
              </c:strCache>
            </c:strRef>
          </c:cat>
          <c:val>
            <c:numRef>
              <c:f>'Composites (2014)'!$AI$65:$AL$65</c:f>
              <c:numCache>
                <c:formatCode>0</c:formatCode>
                <c:ptCount val="4"/>
                <c:pt idx="0">
                  <c:v>32.707780483813437</c:v>
                </c:pt>
                <c:pt idx="1">
                  <c:v>67.308346835576117</c:v>
                </c:pt>
                <c:pt idx="2">
                  <c:v>179.07051135726164</c:v>
                </c:pt>
                <c:pt idx="3">
                  <c:v>63.398033681363202</c:v>
                </c:pt>
              </c:numCache>
            </c:numRef>
          </c:val>
          <c:smooth val="0"/>
        </c:ser>
        <c:ser>
          <c:idx val="1"/>
          <c:order val="1"/>
          <c:tx>
            <c:strRef>
              <c:f>'Composites (2014)'!$AH$66</c:f>
              <c:strCache>
                <c:ptCount val="1"/>
                <c:pt idx="0">
                  <c:v>Jigawa</c:v>
                </c:pt>
              </c:strCache>
            </c:strRef>
          </c:tx>
          <c:marker>
            <c:symbol val="none"/>
          </c:marker>
          <c:cat>
            <c:strRef>
              <c:f>'Composites (2014)'!$AI$2:$AL$2</c:f>
              <c:strCache>
                <c:ptCount val="4"/>
                <c:pt idx="0">
                  <c:v>Year 2</c:v>
                </c:pt>
                <c:pt idx="1">
                  <c:v>Year 3</c:v>
                </c:pt>
                <c:pt idx="2">
                  <c:v>Year 4</c:v>
                </c:pt>
                <c:pt idx="3">
                  <c:v>Year 5</c:v>
                </c:pt>
              </c:strCache>
            </c:strRef>
          </c:cat>
          <c:val>
            <c:numRef>
              <c:f>'Composites (2014)'!$AI$66:$AL$66</c:f>
              <c:numCache>
                <c:formatCode>0</c:formatCode>
                <c:ptCount val="4"/>
                <c:pt idx="0">
                  <c:v>45.689760459539364</c:v>
                </c:pt>
                <c:pt idx="1">
                  <c:v>36.897943298008741</c:v>
                </c:pt>
                <c:pt idx="2">
                  <c:v>364.70117930871663</c:v>
                </c:pt>
                <c:pt idx="3">
                  <c:v>255.25617620772067</c:v>
                </c:pt>
              </c:numCache>
            </c:numRef>
          </c:val>
          <c:smooth val="0"/>
        </c:ser>
        <c:ser>
          <c:idx val="2"/>
          <c:order val="2"/>
          <c:tx>
            <c:strRef>
              <c:f>'Composites (2014)'!$AH$67</c:f>
              <c:strCache>
                <c:ptCount val="1"/>
                <c:pt idx="0">
                  <c:v>Kaduna</c:v>
                </c:pt>
              </c:strCache>
            </c:strRef>
          </c:tx>
          <c:marker>
            <c:symbol val="none"/>
          </c:marker>
          <c:cat>
            <c:strRef>
              <c:f>'Composites (2014)'!$AI$2:$AL$2</c:f>
              <c:strCache>
                <c:ptCount val="4"/>
                <c:pt idx="0">
                  <c:v>Year 2</c:v>
                </c:pt>
                <c:pt idx="1">
                  <c:v>Year 3</c:v>
                </c:pt>
                <c:pt idx="2">
                  <c:v>Year 4</c:v>
                </c:pt>
                <c:pt idx="3">
                  <c:v>Year 5</c:v>
                </c:pt>
              </c:strCache>
            </c:strRef>
          </c:cat>
          <c:val>
            <c:numRef>
              <c:f>'Composites (2014)'!$AI$67:$AL$67</c:f>
              <c:numCache>
                <c:formatCode>0</c:formatCode>
                <c:ptCount val="4"/>
                <c:pt idx="0">
                  <c:v>12.100159933901001</c:v>
                </c:pt>
                <c:pt idx="1">
                  <c:v>84.21736968245105</c:v>
                </c:pt>
                <c:pt idx="2">
                  <c:v>233.54315036118359</c:v>
                </c:pt>
                <c:pt idx="3">
                  <c:v>233.32307993343073</c:v>
                </c:pt>
              </c:numCache>
            </c:numRef>
          </c:val>
          <c:smooth val="0"/>
        </c:ser>
        <c:ser>
          <c:idx val="3"/>
          <c:order val="3"/>
          <c:tx>
            <c:strRef>
              <c:f>'Composites (2014)'!$AH$68</c:f>
              <c:strCache>
                <c:ptCount val="1"/>
                <c:pt idx="0">
                  <c:v>Kano</c:v>
                </c:pt>
              </c:strCache>
            </c:strRef>
          </c:tx>
          <c:marker>
            <c:symbol val="none"/>
          </c:marker>
          <c:cat>
            <c:strRef>
              <c:f>'Composites (2014)'!$AI$2:$AL$2</c:f>
              <c:strCache>
                <c:ptCount val="4"/>
                <c:pt idx="0">
                  <c:v>Year 2</c:v>
                </c:pt>
                <c:pt idx="1">
                  <c:v>Year 3</c:v>
                </c:pt>
                <c:pt idx="2">
                  <c:v>Year 4</c:v>
                </c:pt>
                <c:pt idx="3">
                  <c:v>Year 5</c:v>
                </c:pt>
              </c:strCache>
            </c:strRef>
          </c:cat>
          <c:val>
            <c:numRef>
              <c:f>'Composites (2014)'!$AI$68:$AL$68</c:f>
              <c:numCache>
                <c:formatCode>0</c:formatCode>
                <c:ptCount val="4"/>
                <c:pt idx="0">
                  <c:v>18.957250036346124</c:v>
                </c:pt>
                <c:pt idx="1">
                  <c:v>45.224625945106609</c:v>
                </c:pt>
                <c:pt idx="2">
                  <c:v>187.51903517405074</c:v>
                </c:pt>
                <c:pt idx="3">
                  <c:v>229.83744890691506</c:v>
                </c:pt>
              </c:numCache>
            </c:numRef>
          </c:val>
          <c:smooth val="0"/>
        </c:ser>
        <c:ser>
          <c:idx val="4"/>
          <c:order val="4"/>
          <c:tx>
            <c:strRef>
              <c:f>'Composites (2014)'!$AH$69</c:f>
              <c:strCache>
                <c:ptCount val="1"/>
                <c:pt idx="0">
                  <c:v>Lagos</c:v>
                </c:pt>
              </c:strCache>
            </c:strRef>
          </c:tx>
          <c:marker>
            <c:symbol val="none"/>
          </c:marker>
          <c:cat>
            <c:strRef>
              <c:f>'Composites (2014)'!$AI$2:$AL$2</c:f>
              <c:strCache>
                <c:ptCount val="4"/>
                <c:pt idx="0">
                  <c:v>Year 2</c:v>
                </c:pt>
                <c:pt idx="1">
                  <c:v>Year 3</c:v>
                </c:pt>
                <c:pt idx="2">
                  <c:v>Year 4</c:v>
                </c:pt>
                <c:pt idx="3">
                  <c:v>Year 5</c:v>
                </c:pt>
              </c:strCache>
            </c:strRef>
          </c:cat>
          <c:val>
            <c:numRef>
              <c:f>'Composites (2014)'!$AI$69:$AL$69</c:f>
              <c:numCache>
                <c:formatCode>0</c:formatCode>
                <c:ptCount val="4"/>
                <c:pt idx="0">
                  <c:v>40.297479215449506</c:v>
                </c:pt>
                <c:pt idx="1">
                  <c:v>27.504242182323971</c:v>
                </c:pt>
                <c:pt idx="2">
                  <c:v>184.6879827827085</c:v>
                </c:pt>
                <c:pt idx="3">
                  <c:v>45.548713422841764</c:v>
                </c:pt>
              </c:numCache>
            </c:numRef>
          </c:val>
          <c:smooth val="0"/>
        </c:ser>
        <c:ser>
          <c:idx val="5"/>
          <c:order val="5"/>
          <c:tx>
            <c:strRef>
              <c:f>'Composites (2014)'!$AH$70</c:f>
              <c:strCache>
                <c:ptCount val="1"/>
                <c:pt idx="0">
                  <c:v>Zamfara</c:v>
                </c:pt>
              </c:strCache>
            </c:strRef>
          </c:tx>
          <c:marker>
            <c:symbol val="none"/>
          </c:marker>
          <c:cat>
            <c:strRef>
              <c:f>'Composites (2014)'!$AI$2:$AL$2</c:f>
              <c:strCache>
                <c:ptCount val="4"/>
                <c:pt idx="0">
                  <c:v>Year 2</c:v>
                </c:pt>
                <c:pt idx="1">
                  <c:v>Year 3</c:v>
                </c:pt>
                <c:pt idx="2">
                  <c:v>Year 4</c:v>
                </c:pt>
                <c:pt idx="3">
                  <c:v>Year 5</c:v>
                </c:pt>
              </c:strCache>
            </c:strRef>
          </c:cat>
          <c:val>
            <c:numRef>
              <c:f>'Composites (2014)'!$AI$70:$AL$70</c:f>
              <c:numCache>
                <c:formatCode>0</c:formatCode>
                <c:ptCount val="4"/>
                <c:pt idx="0">
                  <c:v>0</c:v>
                </c:pt>
                <c:pt idx="1">
                  <c:v>51.774139637719955</c:v>
                </c:pt>
                <c:pt idx="2">
                  <c:v>813.00055020759623</c:v>
                </c:pt>
                <c:pt idx="3">
                  <c:v>229.98286742026102</c:v>
                </c:pt>
              </c:numCache>
            </c:numRef>
          </c:val>
          <c:smooth val="0"/>
        </c:ser>
        <c:ser>
          <c:idx val="6"/>
          <c:order val="6"/>
          <c:tx>
            <c:strRef>
              <c:f>'Composites (2014)'!$AH$71</c:f>
              <c:strCache>
                <c:ptCount val="1"/>
                <c:pt idx="0">
                  <c:v>Katsina</c:v>
                </c:pt>
              </c:strCache>
            </c:strRef>
          </c:tx>
          <c:marker>
            <c:symbol val="none"/>
          </c:marker>
          <c:cat>
            <c:strRef>
              <c:f>'Composites (2014)'!$AI$2:$AL$2</c:f>
              <c:strCache>
                <c:ptCount val="4"/>
                <c:pt idx="0">
                  <c:v>Year 2</c:v>
                </c:pt>
                <c:pt idx="1">
                  <c:v>Year 3</c:v>
                </c:pt>
                <c:pt idx="2">
                  <c:v>Year 4</c:v>
                </c:pt>
                <c:pt idx="3">
                  <c:v>Year 5</c:v>
                </c:pt>
              </c:strCache>
            </c:strRef>
          </c:cat>
          <c:val>
            <c:numRef>
              <c:f>'Composites (2014)'!$AI$71:$AL$71</c:f>
              <c:numCache>
                <c:formatCode>0</c:formatCode>
                <c:ptCount val="4"/>
                <c:pt idx="0">
                  <c:v>0</c:v>
                </c:pt>
                <c:pt idx="1">
                  <c:v>0</c:v>
                </c:pt>
                <c:pt idx="2">
                  <c:v>85.812379423551462</c:v>
                </c:pt>
                <c:pt idx="3">
                  <c:v>434.80369588119845</c:v>
                </c:pt>
              </c:numCache>
            </c:numRef>
          </c:val>
          <c:smooth val="0"/>
        </c:ser>
        <c:ser>
          <c:idx val="7"/>
          <c:order val="7"/>
          <c:tx>
            <c:strRef>
              <c:f>'Composites (2014)'!$AH$72</c:f>
              <c:strCache>
                <c:ptCount val="1"/>
                <c:pt idx="0">
                  <c:v>Yobe</c:v>
                </c:pt>
              </c:strCache>
            </c:strRef>
          </c:tx>
          <c:marker>
            <c:symbol val="none"/>
          </c:marker>
          <c:cat>
            <c:strRef>
              <c:f>'Composites (2014)'!$AI$2:$AL$2</c:f>
              <c:strCache>
                <c:ptCount val="4"/>
                <c:pt idx="0">
                  <c:v>Year 2</c:v>
                </c:pt>
                <c:pt idx="1">
                  <c:v>Year 3</c:v>
                </c:pt>
                <c:pt idx="2">
                  <c:v>Year 4</c:v>
                </c:pt>
                <c:pt idx="3">
                  <c:v>Year 5</c:v>
                </c:pt>
              </c:strCache>
            </c:strRef>
          </c:cat>
          <c:val>
            <c:numRef>
              <c:f>'Composites (2014)'!$AI$72:$AL$72</c:f>
              <c:numCache>
                <c:formatCode>0</c:formatCode>
                <c:ptCount val="4"/>
                <c:pt idx="0">
                  <c:v>0</c:v>
                </c:pt>
                <c:pt idx="1">
                  <c:v>0</c:v>
                </c:pt>
                <c:pt idx="2">
                  <c:v>346.65442573176807</c:v>
                </c:pt>
                <c:pt idx="3">
                  <c:v>409.21280691742993</c:v>
                </c:pt>
              </c:numCache>
            </c:numRef>
          </c:val>
          <c:smooth val="0"/>
        </c:ser>
        <c:dLbls>
          <c:showLegendKey val="0"/>
          <c:showVal val="0"/>
          <c:showCatName val="0"/>
          <c:showSerName val="0"/>
          <c:showPercent val="0"/>
          <c:showBubbleSize val="0"/>
        </c:dLbls>
        <c:marker val="1"/>
        <c:smooth val="0"/>
        <c:axId val="128031744"/>
        <c:axId val="128037632"/>
      </c:lineChart>
      <c:catAx>
        <c:axId val="128031744"/>
        <c:scaling>
          <c:orientation val="minMax"/>
        </c:scaling>
        <c:delete val="0"/>
        <c:axPos val="b"/>
        <c:majorTickMark val="none"/>
        <c:minorTickMark val="none"/>
        <c:tickLblPos val="nextTo"/>
        <c:crossAx val="128037632"/>
        <c:crosses val="autoZero"/>
        <c:auto val="1"/>
        <c:lblAlgn val="ctr"/>
        <c:lblOffset val="100"/>
        <c:noMultiLvlLbl val="0"/>
      </c:catAx>
      <c:valAx>
        <c:axId val="128037632"/>
        <c:scaling>
          <c:orientation val="minMax"/>
        </c:scaling>
        <c:delete val="0"/>
        <c:axPos val="l"/>
        <c:majorGridlines/>
        <c:title>
          <c:tx>
            <c:rich>
              <a:bodyPr/>
              <a:lstStyle/>
              <a:p>
                <a:pPr>
                  <a:defRPr/>
                </a:pPr>
                <a:r>
                  <a:rPr lang="en-US"/>
                  <a:t>Efficiency Ratio</a:t>
                </a:r>
              </a:p>
            </c:rich>
          </c:tx>
          <c:overlay val="0"/>
        </c:title>
        <c:numFmt formatCode="0" sourceLinked="1"/>
        <c:majorTickMark val="none"/>
        <c:minorTickMark val="none"/>
        <c:tickLblPos val="nextTo"/>
        <c:crossAx val="128031744"/>
        <c:crosses val="autoZero"/>
        <c:crossBetween val="between"/>
      </c:valAx>
    </c:plotArea>
    <c:legend>
      <c:legendPos val="r"/>
      <c:overlay val="0"/>
    </c:legend>
    <c:plotVisOnly val="1"/>
    <c:dispBlanksAs val="gap"/>
    <c:showDLblsOverMax val="0"/>
  </c:chart>
  <c:printSettings>
    <c:headerFooter/>
    <c:pageMargins b="1" l="0.75" r="0.75" t="1" header="0.5" footer="0.5"/>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Output</a:t>
            </a:r>
            <a:r>
              <a:rPr lang="en-US" baseline="0"/>
              <a:t> 5</a:t>
            </a:r>
            <a:endParaRPr lang="en-US"/>
          </a:p>
        </c:rich>
      </c:tx>
      <c:overlay val="0"/>
    </c:title>
    <c:autoTitleDeleted val="0"/>
    <c:plotArea>
      <c:layout/>
      <c:lineChart>
        <c:grouping val="standard"/>
        <c:varyColors val="0"/>
        <c:ser>
          <c:idx val="0"/>
          <c:order val="0"/>
          <c:tx>
            <c:strRef>
              <c:f>'Composites (2014)'!$AH$77</c:f>
              <c:strCache>
                <c:ptCount val="1"/>
                <c:pt idx="0">
                  <c:v>Enugu</c:v>
                </c:pt>
              </c:strCache>
            </c:strRef>
          </c:tx>
          <c:marker>
            <c:symbol val="none"/>
          </c:marker>
          <c:cat>
            <c:strRef>
              <c:f>'Composites (2014)'!$AI$2:$AL$2</c:f>
              <c:strCache>
                <c:ptCount val="4"/>
                <c:pt idx="0">
                  <c:v>Year 2</c:v>
                </c:pt>
                <c:pt idx="1">
                  <c:v>Year 3</c:v>
                </c:pt>
                <c:pt idx="2">
                  <c:v>Year 4</c:v>
                </c:pt>
                <c:pt idx="3">
                  <c:v>Year 5</c:v>
                </c:pt>
              </c:strCache>
            </c:strRef>
          </c:cat>
          <c:val>
            <c:numRef>
              <c:f>'Composites (2014)'!$AI$77:$AL$77</c:f>
              <c:numCache>
                <c:formatCode>0</c:formatCode>
                <c:ptCount val="4"/>
                <c:pt idx="0">
                  <c:v>5.5898753035037583</c:v>
                </c:pt>
                <c:pt idx="1">
                  <c:v>107.52369840109903</c:v>
                </c:pt>
                <c:pt idx="2">
                  <c:v>880.07891084382686</c:v>
                </c:pt>
                <c:pt idx="3">
                  <c:v>133.42548341033594</c:v>
                </c:pt>
              </c:numCache>
            </c:numRef>
          </c:val>
          <c:smooth val="0"/>
        </c:ser>
        <c:ser>
          <c:idx val="1"/>
          <c:order val="1"/>
          <c:tx>
            <c:strRef>
              <c:f>'Composites (2014)'!$AH$78</c:f>
              <c:strCache>
                <c:ptCount val="1"/>
                <c:pt idx="0">
                  <c:v>Jigawa</c:v>
                </c:pt>
              </c:strCache>
            </c:strRef>
          </c:tx>
          <c:marker>
            <c:symbol val="none"/>
          </c:marker>
          <c:cat>
            <c:strRef>
              <c:f>'Composites (2014)'!$AI$2:$AL$2</c:f>
              <c:strCache>
                <c:ptCount val="4"/>
                <c:pt idx="0">
                  <c:v>Year 2</c:v>
                </c:pt>
                <c:pt idx="1">
                  <c:v>Year 3</c:v>
                </c:pt>
                <c:pt idx="2">
                  <c:v>Year 4</c:v>
                </c:pt>
                <c:pt idx="3">
                  <c:v>Year 5</c:v>
                </c:pt>
              </c:strCache>
            </c:strRef>
          </c:cat>
          <c:val>
            <c:numRef>
              <c:f>'Composites (2014)'!$AI$78:$AL$78</c:f>
              <c:numCache>
                <c:formatCode>0</c:formatCode>
                <c:ptCount val="4"/>
                <c:pt idx="0">
                  <c:v>11.491565922971217</c:v>
                </c:pt>
                <c:pt idx="1">
                  <c:v>247.68652666894943</c:v>
                </c:pt>
                <c:pt idx="2">
                  <c:v>908.13522390902801</c:v>
                </c:pt>
                <c:pt idx="3">
                  <c:v>597.30143556786959</c:v>
                </c:pt>
              </c:numCache>
            </c:numRef>
          </c:val>
          <c:smooth val="0"/>
        </c:ser>
        <c:ser>
          <c:idx val="2"/>
          <c:order val="2"/>
          <c:tx>
            <c:strRef>
              <c:f>'Composites (2014)'!$AH$79</c:f>
              <c:strCache>
                <c:ptCount val="1"/>
                <c:pt idx="0">
                  <c:v>Kaduna</c:v>
                </c:pt>
              </c:strCache>
            </c:strRef>
          </c:tx>
          <c:marker>
            <c:symbol val="none"/>
          </c:marker>
          <c:cat>
            <c:strRef>
              <c:f>'Composites (2014)'!$AI$2:$AL$2</c:f>
              <c:strCache>
                <c:ptCount val="4"/>
                <c:pt idx="0">
                  <c:v>Year 2</c:v>
                </c:pt>
                <c:pt idx="1">
                  <c:v>Year 3</c:v>
                </c:pt>
                <c:pt idx="2">
                  <c:v>Year 4</c:v>
                </c:pt>
                <c:pt idx="3">
                  <c:v>Year 5</c:v>
                </c:pt>
              </c:strCache>
            </c:strRef>
          </c:cat>
          <c:val>
            <c:numRef>
              <c:f>'Composites (2014)'!$AI$79:$AL$79</c:f>
              <c:numCache>
                <c:formatCode>0</c:formatCode>
                <c:ptCount val="4"/>
                <c:pt idx="0">
                  <c:v>34.661316149361937</c:v>
                </c:pt>
                <c:pt idx="1">
                  <c:v>37.758575772076568</c:v>
                </c:pt>
                <c:pt idx="2">
                  <c:v>463.55164358794963</c:v>
                </c:pt>
                <c:pt idx="3">
                  <c:v>391.26197511622405</c:v>
                </c:pt>
              </c:numCache>
            </c:numRef>
          </c:val>
          <c:smooth val="0"/>
        </c:ser>
        <c:ser>
          <c:idx val="3"/>
          <c:order val="3"/>
          <c:tx>
            <c:strRef>
              <c:f>'Composites (2014)'!$AH$80</c:f>
              <c:strCache>
                <c:ptCount val="1"/>
                <c:pt idx="0">
                  <c:v>Kano</c:v>
                </c:pt>
              </c:strCache>
            </c:strRef>
          </c:tx>
          <c:marker>
            <c:symbol val="none"/>
          </c:marker>
          <c:cat>
            <c:strRef>
              <c:f>'Composites (2014)'!$AI$2:$AL$2</c:f>
              <c:strCache>
                <c:ptCount val="4"/>
                <c:pt idx="0">
                  <c:v>Year 2</c:v>
                </c:pt>
                <c:pt idx="1">
                  <c:v>Year 3</c:v>
                </c:pt>
                <c:pt idx="2">
                  <c:v>Year 4</c:v>
                </c:pt>
                <c:pt idx="3">
                  <c:v>Year 5</c:v>
                </c:pt>
              </c:strCache>
            </c:strRef>
          </c:cat>
          <c:val>
            <c:numRef>
              <c:f>'Composites (2014)'!$AI$80:$AL$80</c:f>
              <c:numCache>
                <c:formatCode>0</c:formatCode>
                <c:ptCount val="4"/>
                <c:pt idx="0">
                  <c:v>44.789456837988169</c:v>
                </c:pt>
                <c:pt idx="1">
                  <c:v>90.293303971720619</c:v>
                </c:pt>
                <c:pt idx="2">
                  <c:v>316.79402762869574</c:v>
                </c:pt>
                <c:pt idx="3">
                  <c:v>550.94131517049789</c:v>
                </c:pt>
              </c:numCache>
            </c:numRef>
          </c:val>
          <c:smooth val="0"/>
        </c:ser>
        <c:ser>
          <c:idx val="4"/>
          <c:order val="4"/>
          <c:tx>
            <c:strRef>
              <c:f>'Composites (2014)'!$AH$81</c:f>
              <c:strCache>
                <c:ptCount val="1"/>
                <c:pt idx="0">
                  <c:v>Lagos</c:v>
                </c:pt>
              </c:strCache>
            </c:strRef>
          </c:tx>
          <c:marker>
            <c:symbol val="none"/>
          </c:marker>
          <c:cat>
            <c:strRef>
              <c:f>'Composites (2014)'!$AI$2:$AL$2</c:f>
              <c:strCache>
                <c:ptCount val="4"/>
                <c:pt idx="0">
                  <c:v>Year 2</c:v>
                </c:pt>
                <c:pt idx="1">
                  <c:v>Year 3</c:v>
                </c:pt>
                <c:pt idx="2">
                  <c:v>Year 4</c:v>
                </c:pt>
                <c:pt idx="3">
                  <c:v>Year 5</c:v>
                </c:pt>
              </c:strCache>
            </c:strRef>
          </c:cat>
          <c:val>
            <c:numRef>
              <c:f>'Composites (2014)'!$AI$81:$AL$81</c:f>
              <c:numCache>
                <c:formatCode>0</c:formatCode>
                <c:ptCount val="4"/>
                <c:pt idx="0">
                  <c:v>34.301121374442609</c:v>
                </c:pt>
                <c:pt idx="1">
                  <c:v>0</c:v>
                </c:pt>
                <c:pt idx="2">
                  <c:v>385.55207776146483</c:v>
                </c:pt>
                <c:pt idx="3">
                  <c:v>535.76720772222711</c:v>
                </c:pt>
              </c:numCache>
            </c:numRef>
          </c:val>
          <c:smooth val="0"/>
        </c:ser>
        <c:ser>
          <c:idx val="5"/>
          <c:order val="5"/>
          <c:tx>
            <c:strRef>
              <c:f>'Composites (2014)'!$AH$82</c:f>
              <c:strCache>
                <c:ptCount val="1"/>
                <c:pt idx="0">
                  <c:v>Zamfara</c:v>
                </c:pt>
              </c:strCache>
            </c:strRef>
          </c:tx>
          <c:marker>
            <c:symbol val="none"/>
          </c:marker>
          <c:cat>
            <c:strRef>
              <c:f>'Composites (2014)'!$AI$2:$AL$2</c:f>
              <c:strCache>
                <c:ptCount val="4"/>
                <c:pt idx="0">
                  <c:v>Year 2</c:v>
                </c:pt>
                <c:pt idx="1">
                  <c:v>Year 3</c:v>
                </c:pt>
                <c:pt idx="2">
                  <c:v>Year 4</c:v>
                </c:pt>
                <c:pt idx="3">
                  <c:v>Year 5</c:v>
                </c:pt>
              </c:strCache>
            </c:strRef>
          </c:cat>
          <c:val>
            <c:numRef>
              <c:f>'Composites (2014)'!$AI$82:$AL$82</c:f>
              <c:numCache>
                <c:formatCode>0</c:formatCode>
                <c:ptCount val="4"/>
                <c:pt idx="0">
                  <c:v>0</c:v>
                </c:pt>
                <c:pt idx="1">
                  <c:v>346.35183923846722</c:v>
                </c:pt>
                <c:pt idx="2">
                  <c:v>181.92234191223611</c:v>
                </c:pt>
                <c:pt idx="3">
                  <c:v>186.00874767247907</c:v>
                </c:pt>
              </c:numCache>
            </c:numRef>
          </c:val>
          <c:smooth val="0"/>
        </c:ser>
        <c:ser>
          <c:idx val="6"/>
          <c:order val="6"/>
          <c:tx>
            <c:strRef>
              <c:f>'Composites (2014)'!$AH$83</c:f>
              <c:strCache>
                <c:ptCount val="1"/>
                <c:pt idx="0">
                  <c:v>Katsina</c:v>
                </c:pt>
              </c:strCache>
            </c:strRef>
          </c:tx>
          <c:marker>
            <c:symbol val="none"/>
          </c:marker>
          <c:cat>
            <c:strRef>
              <c:f>'Composites (2014)'!$AI$2:$AL$2</c:f>
              <c:strCache>
                <c:ptCount val="4"/>
                <c:pt idx="0">
                  <c:v>Year 2</c:v>
                </c:pt>
                <c:pt idx="1">
                  <c:v>Year 3</c:v>
                </c:pt>
                <c:pt idx="2">
                  <c:v>Year 4</c:v>
                </c:pt>
                <c:pt idx="3">
                  <c:v>Year 5</c:v>
                </c:pt>
              </c:strCache>
            </c:strRef>
          </c:cat>
          <c:val>
            <c:numRef>
              <c:f>'Composites (2014)'!$AI$83:$AL$83</c:f>
              <c:numCache>
                <c:formatCode>0</c:formatCode>
                <c:ptCount val="4"/>
                <c:pt idx="0">
                  <c:v>0</c:v>
                </c:pt>
                <c:pt idx="1">
                  <c:v>116.37224703952423</c:v>
                </c:pt>
                <c:pt idx="2">
                  <c:v>371.18883691694697</c:v>
                </c:pt>
                <c:pt idx="3">
                  <c:v>649.46434763385685</c:v>
                </c:pt>
              </c:numCache>
            </c:numRef>
          </c:val>
          <c:smooth val="0"/>
        </c:ser>
        <c:ser>
          <c:idx val="7"/>
          <c:order val="7"/>
          <c:tx>
            <c:strRef>
              <c:f>'Composites (2014)'!$AH$84</c:f>
              <c:strCache>
                <c:ptCount val="1"/>
                <c:pt idx="0">
                  <c:v>Yobe</c:v>
                </c:pt>
              </c:strCache>
            </c:strRef>
          </c:tx>
          <c:marker>
            <c:symbol val="none"/>
          </c:marker>
          <c:cat>
            <c:strRef>
              <c:f>'Composites (2014)'!$AI$2:$AL$2</c:f>
              <c:strCache>
                <c:ptCount val="4"/>
                <c:pt idx="0">
                  <c:v>Year 2</c:v>
                </c:pt>
                <c:pt idx="1">
                  <c:v>Year 3</c:v>
                </c:pt>
                <c:pt idx="2">
                  <c:v>Year 4</c:v>
                </c:pt>
                <c:pt idx="3">
                  <c:v>Year 5</c:v>
                </c:pt>
              </c:strCache>
            </c:strRef>
          </c:cat>
          <c:val>
            <c:numRef>
              <c:f>'Composites (2014)'!$AI$84:$AL$84</c:f>
              <c:numCache>
                <c:formatCode>0</c:formatCode>
                <c:ptCount val="4"/>
                <c:pt idx="0">
                  <c:v>0</c:v>
                </c:pt>
                <c:pt idx="1">
                  <c:v>97.999903221934431</c:v>
                </c:pt>
                <c:pt idx="2">
                  <c:v>57.546270320485924</c:v>
                </c:pt>
                <c:pt idx="3">
                  <c:v>532.17745952711266</c:v>
                </c:pt>
              </c:numCache>
            </c:numRef>
          </c:val>
          <c:smooth val="0"/>
        </c:ser>
        <c:dLbls>
          <c:showLegendKey val="0"/>
          <c:showVal val="0"/>
          <c:showCatName val="0"/>
          <c:showSerName val="0"/>
          <c:showPercent val="0"/>
          <c:showBubbleSize val="0"/>
        </c:dLbls>
        <c:marker val="1"/>
        <c:smooth val="0"/>
        <c:axId val="128412288"/>
        <c:axId val="128414080"/>
      </c:lineChart>
      <c:catAx>
        <c:axId val="128412288"/>
        <c:scaling>
          <c:orientation val="minMax"/>
        </c:scaling>
        <c:delete val="0"/>
        <c:axPos val="b"/>
        <c:majorTickMark val="none"/>
        <c:minorTickMark val="none"/>
        <c:tickLblPos val="nextTo"/>
        <c:crossAx val="128414080"/>
        <c:crosses val="autoZero"/>
        <c:auto val="1"/>
        <c:lblAlgn val="ctr"/>
        <c:lblOffset val="100"/>
        <c:noMultiLvlLbl val="0"/>
      </c:catAx>
      <c:valAx>
        <c:axId val="128414080"/>
        <c:scaling>
          <c:orientation val="minMax"/>
        </c:scaling>
        <c:delete val="0"/>
        <c:axPos val="l"/>
        <c:majorGridlines/>
        <c:title>
          <c:tx>
            <c:rich>
              <a:bodyPr/>
              <a:lstStyle/>
              <a:p>
                <a:pPr>
                  <a:defRPr/>
                </a:pPr>
                <a:r>
                  <a:rPr lang="en-US"/>
                  <a:t>Efficiency Ratio</a:t>
                </a:r>
              </a:p>
            </c:rich>
          </c:tx>
          <c:overlay val="0"/>
        </c:title>
        <c:numFmt formatCode="0" sourceLinked="1"/>
        <c:majorTickMark val="none"/>
        <c:minorTickMark val="none"/>
        <c:tickLblPos val="nextTo"/>
        <c:crossAx val="128412288"/>
        <c:crosses val="autoZero"/>
        <c:crossBetween val="between"/>
      </c:valAx>
    </c:plotArea>
    <c:legend>
      <c:legendPos val="r"/>
      <c:overlay val="0"/>
    </c:legend>
    <c:plotVisOnly val="1"/>
    <c:dispBlanksAs val="gap"/>
    <c:showDLblsOverMax val="0"/>
  </c:chart>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4.2501333279108697E-2"/>
          <c:y val="4.08479532163743E-2"/>
          <c:w val="0.80737942753306202"/>
          <c:h val="0.83174385964912301"/>
        </c:manualLayout>
      </c:layout>
      <c:lineChart>
        <c:grouping val="standard"/>
        <c:varyColors val="0"/>
        <c:ser>
          <c:idx val="0"/>
          <c:order val="0"/>
          <c:tx>
            <c:strRef>
              <c:f>'10 States AggWorkings'!$B$31</c:f>
              <c:strCache>
                <c:ptCount val="1"/>
                <c:pt idx="0">
                  <c:v>planned</c:v>
                </c:pt>
              </c:strCache>
            </c:strRef>
          </c:tx>
          <c:spPr>
            <a:ln w="38100">
              <a:solidFill>
                <a:srgbClr val="666699"/>
              </a:solidFill>
              <a:prstDash val="solid"/>
            </a:ln>
          </c:spPr>
          <c:marker>
            <c:symbol val="none"/>
          </c:marker>
          <c:cat>
            <c:strRef>
              <c:f>'10 States AggWorkings'!$C$2:$Y$2</c:f>
              <c:strCache>
                <c:ptCount val="23"/>
                <c:pt idx="0">
                  <c:v>early                                                                 
2010</c:v>
                </c:pt>
                <c:pt idx="1">
                  <c:v>Q1</c:v>
                </c:pt>
                <c:pt idx="2">
                  <c:v>Q2</c:v>
                </c:pt>
                <c:pt idx="3">
                  <c:v>Q3</c:v>
                </c:pt>
                <c:pt idx="4">
                  <c:v>Q4</c:v>
                </c:pt>
                <c:pt idx="5">
                  <c:v>Q1</c:v>
                </c:pt>
                <c:pt idx="6">
                  <c:v>Q2                                                                 
mid 2011</c:v>
                </c:pt>
                <c:pt idx="7">
                  <c:v>Q3</c:v>
                </c:pt>
                <c:pt idx="8">
                  <c:v>Q4</c:v>
                </c:pt>
                <c:pt idx="9">
                  <c:v>Q1</c:v>
                </c:pt>
                <c:pt idx="10">
                  <c:v>Q2</c:v>
                </c:pt>
                <c:pt idx="11">
                  <c:v>Q3/4                                                                 
late 2012</c:v>
                </c:pt>
                <c:pt idx="12">
                  <c:v>Q1</c:v>
                </c:pt>
                <c:pt idx="13">
                  <c:v>Q2</c:v>
                </c:pt>
                <c:pt idx="14">
                  <c:v>Q3</c:v>
                </c:pt>
                <c:pt idx="15">
                  <c:v> Q4                                                                
late 2013</c:v>
                </c:pt>
                <c:pt idx="16">
                  <c:v>Q1</c:v>
                </c:pt>
                <c:pt idx="17">
                  <c:v>Q2</c:v>
                </c:pt>
                <c:pt idx="18">
                  <c:v>Q3</c:v>
                </c:pt>
                <c:pt idx="19">
                  <c:v>Q4</c:v>
                </c:pt>
                <c:pt idx="20">
                  <c:v>Q1</c:v>
                </c:pt>
                <c:pt idx="21">
                  <c:v>Q2</c:v>
                </c:pt>
                <c:pt idx="22">
                  <c:v>Q3                                                                 
mid 2015</c:v>
                </c:pt>
              </c:strCache>
            </c:strRef>
          </c:cat>
          <c:val>
            <c:numRef>
              <c:f>'10 States AggWorkings'!$C$31:$Y$31</c:f>
              <c:numCache>
                <c:formatCode>0</c:formatCode>
                <c:ptCount val="23"/>
                <c:pt idx="0" formatCode="0.0">
                  <c:v>0</c:v>
                </c:pt>
                <c:pt idx="1">
                  <c:v>1.833333333333333</c:v>
                </c:pt>
                <c:pt idx="2">
                  <c:v>3.6666666666666661</c:v>
                </c:pt>
                <c:pt idx="3">
                  <c:v>5.5</c:v>
                </c:pt>
                <c:pt idx="4">
                  <c:v>7.3333333333333321</c:v>
                </c:pt>
                <c:pt idx="5">
                  <c:v>9.1666666666666643</c:v>
                </c:pt>
                <c:pt idx="6">
                  <c:v>11</c:v>
                </c:pt>
                <c:pt idx="7">
                  <c:v>12.833333333333336</c:v>
                </c:pt>
                <c:pt idx="8">
                  <c:v>14.666666666666668</c:v>
                </c:pt>
                <c:pt idx="9">
                  <c:v>16.5</c:v>
                </c:pt>
                <c:pt idx="10">
                  <c:v>18.333333333333336</c:v>
                </c:pt>
                <c:pt idx="11">
                  <c:v>22</c:v>
                </c:pt>
                <c:pt idx="12">
                  <c:v>27.25</c:v>
                </c:pt>
                <c:pt idx="13">
                  <c:v>32.5</c:v>
                </c:pt>
                <c:pt idx="14">
                  <c:v>37.75</c:v>
                </c:pt>
                <c:pt idx="15">
                  <c:v>43</c:v>
                </c:pt>
                <c:pt idx="16">
                  <c:v>45.5</c:v>
                </c:pt>
                <c:pt idx="17">
                  <c:v>48.000000000000007</c:v>
                </c:pt>
                <c:pt idx="18">
                  <c:v>50.5</c:v>
                </c:pt>
                <c:pt idx="19">
                  <c:v>53.000000000000014</c:v>
                </c:pt>
                <c:pt idx="20">
                  <c:v>83.666666666666671</c:v>
                </c:pt>
                <c:pt idx="21">
                  <c:v>92.333333333333329</c:v>
                </c:pt>
                <c:pt idx="22">
                  <c:v>93</c:v>
                </c:pt>
              </c:numCache>
            </c:numRef>
          </c:val>
          <c:smooth val="0"/>
        </c:ser>
        <c:ser>
          <c:idx val="1"/>
          <c:order val="1"/>
          <c:tx>
            <c:strRef>
              <c:f>'10 States AggWorkings'!$B$32</c:f>
              <c:strCache>
                <c:ptCount val="1"/>
                <c:pt idx="0">
                  <c:v>achieved</c:v>
                </c:pt>
              </c:strCache>
            </c:strRef>
          </c:tx>
          <c:spPr>
            <a:ln w="38100">
              <a:solidFill>
                <a:srgbClr val="993366"/>
              </a:solidFill>
              <a:prstDash val="solid"/>
            </a:ln>
          </c:spPr>
          <c:marker>
            <c:symbol val="none"/>
          </c:marker>
          <c:cat>
            <c:strRef>
              <c:f>'10 States AggWorkings'!$C$2:$Y$2</c:f>
              <c:strCache>
                <c:ptCount val="23"/>
                <c:pt idx="0">
                  <c:v>early                                                                 
2010</c:v>
                </c:pt>
                <c:pt idx="1">
                  <c:v>Q1</c:v>
                </c:pt>
                <c:pt idx="2">
                  <c:v>Q2</c:v>
                </c:pt>
                <c:pt idx="3">
                  <c:v>Q3</c:v>
                </c:pt>
                <c:pt idx="4">
                  <c:v>Q4</c:v>
                </c:pt>
                <c:pt idx="5">
                  <c:v>Q1</c:v>
                </c:pt>
                <c:pt idx="6">
                  <c:v>Q2                                                                 
mid 2011</c:v>
                </c:pt>
                <c:pt idx="7">
                  <c:v>Q3</c:v>
                </c:pt>
                <c:pt idx="8">
                  <c:v>Q4</c:v>
                </c:pt>
                <c:pt idx="9">
                  <c:v>Q1</c:v>
                </c:pt>
                <c:pt idx="10">
                  <c:v>Q2</c:v>
                </c:pt>
                <c:pt idx="11">
                  <c:v>Q3/4                                                                 
late 2012</c:v>
                </c:pt>
                <c:pt idx="12">
                  <c:v>Q1</c:v>
                </c:pt>
                <c:pt idx="13">
                  <c:v>Q2</c:v>
                </c:pt>
                <c:pt idx="14">
                  <c:v>Q3</c:v>
                </c:pt>
                <c:pt idx="15">
                  <c:v> Q4                                                                
late 2013</c:v>
                </c:pt>
                <c:pt idx="16">
                  <c:v>Q1</c:v>
                </c:pt>
                <c:pt idx="17">
                  <c:v>Q2</c:v>
                </c:pt>
                <c:pt idx="18">
                  <c:v>Q3</c:v>
                </c:pt>
                <c:pt idx="19">
                  <c:v>Q4</c:v>
                </c:pt>
                <c:pt idx="20">
                  <c:v>Q1</c:v>
                </c:pt>
                <c:pt idx="21">
                  <c:v>Q2</c:v>
                </c:pt>
                <c:pt idx="22">
                  <c:v>Q3                                                                 
mid 2015</c:v>
                </c:pt>
              </c:strCache>
            </c:strRef>
          </c:cat>
          <c:val>
            <c:numRef>
              <c:f>'10 States AggWorkings'!$C$32:$Y$32</c:f>
              <c:numCache>
                <c:formatCode>0</c:formatCode>
                <c:ptCount val="23"/>
                <c:pt idx="0" formatCode="0.0">
                  <c:v>0</c:v>
                </c:pt>
                <c:pt idx="1">
                  <c:v>1</c:v>
                </c:pt>
                <c:pt idx="2">
                  <c:v>2</c:v>
                </c:pt>
                <c:pt idx="3">
                  <c:v>2</c:v>
                </c:pt>
                <c:pt idx="4">
                  <c:v>2</c:v>
                </c:pt>
                <c:pt idx="5">
                  <c:v>3</c:v>
                </c:pt>
                <c:pt idx="6">
                  <c:v>10</c:v>
                </c:pt>
                <c:pt idx="7">
                  <c:v>9</c:v>
                </c:pt>
                <c:pt idx="8">
                  <c:v>9</c:v>
                </c:pt>
                <c:pt idx="9">
                  <c:v>21</c:v>
                </c:pt>
                <c:pt idx="10">
                  <c:v>27</c:v>
                </c:pt>
                <c:pt idx="11">
                  <c:v>29</c:v>
                </c:pt>
                <c:pt idx="12">
                  <c:v>34</c:v>
                </c:pt>
                <c:pt idx="13">
                  <c:v>44</c:v>
                </c:pt>
                <c:pt idx="14">
                  <c:v>55</c:v>
                </c:pt>
                <c:pt idx="15">
                  <c:v>75</c:v>
                </c:pt>
                <c:pt idx="16">
                  <c:v>90</c:v>
                </c:pt>
                <c:pt idx="17">
                  <c:v>107</c:v>
                </c:pt>
                <c:pt idx="18">
                  <c:v>117</c:v>
                </c:pt>
                <c:pt idx="19">
                  <c:v>89</c:v>
                </c:pt>
                <c:pt idx="20">
                  <c:v>88</c:v>
                </c:pt>
                <c:pt idx="21">
                  <c:v>90</c:v>
                </c:pt>
                <c:pt idx="22">
                  <c:v>0</c:v>
                </c:pt>
              </c:numCache>
            </c:numRef>
          </c:val>
          <c:smooth val="0"/>
        </c:ser>
        <c:dLbls>
          <c:showLegendKey val="0"/>
          <c:showVal val="0"/>
          <c:showCatName val="0"/>
          <c:showSerName val="0"/>
          <c:showPercent val="0"/>
          <c:showBubbleSize val="0"/>
        </c:dLbls>
        <c:marker val="1"/>
        <c:smooth val="0"/>
        <c:axId val="110710784"/>
        <c:axId val="110712320"/>
      </c:lineChart>
      <c:catAx>
        <c:axId val="110710784"/>
        <c:scaling>
          <c:orientation val="minMax"/>
        </c:scaling>
        <c:delete val="0"/>
        <c:axPos val="b"/>
        <c:majorGridlines>
          <c:spPr>
            <a:ln w="3175">
              <a:solidFill>
                <a:srgbClr val="808080"/>
              </a:solidFill>
              <a:prstDash val="solid"/>
            </a:ln>
          </c:spPr>
        </c:majorGridlines>
        <c:numFmt formatCode="General" sourceLinked="1"/>
        <c:majorTickMark val="out"/>
        <c:minorTickMark val="none"/>
        <c:tickLblPos val="nextTo"/>
        <c:spPr>
          <a:ln w="3175">
            <a:solidFill>
              <a:srgbClr val="808080"/>
            </a:solidFill>
            <a:prstDash val="solid"/>
          </a:ln>
        </c:spPr>
        <c:txPr>
          <a:bodyPr rot="0" vert="horz"/>
          <a:lstStyle/>
          <a:p>
            <a:pPr>
              <a:defRPr sz="900" b="0" i="0" u="none" strike="noStrike" baseline="0">
                <a:solidFill>
                  <a:srgbClr val="666699"/>
                </a:solidFill>
                <a:latin typeface="Calibri"/>
                <a:ea typeface="Calibri"/>
                <a:cs typeface="Calibri"/>
              </a:defRPr>
            </a:pPr>
            <a:endParaRPr lang="en-US"/>
          </a:p>
        </c:txPr>
        <c:crossAx val="110712320"/>
        <c:crosses val="autoZero"/>
        <c:auto val="1"/>
        <c:lblAlgn val="ctr"/>
        <c:lblOffset val="100"/>
        <c:noMultiLvlLbl val="0"/>
      </c:catAx>
      <c:valAx>
        <c:axId val="110712320"/>
        <c:scaling>
          <c:orientation val="minMax"/>
          <c:max val="50"/>
        </c:scaling>
        <c:delete val="0"/>
        <c:axPos val="l"/>
        <c:majorGridlines>
          <c:spPr>
            <a:ln w="3175">
              <a:solidFill>
                <a:srgbClr val="808080"/>
              </a:solidFill>
              <a:prstDash val="solid"/>
            </a:ln>
          </c:spPr>
        </c:majorGridlines>
        <c:numFmt formatCode="0.0" sourceLinked="1"/>
        <c:majorTickMark val="out"/>
        <c:minorTickMark val="none"/>
        <c:tickLblPos val="nextTo"/>
        <c:spPr>
          <a:ln w="3175">
            <a:solidFill>
              <a:srgbClr val="808080"/>
            </a:solidFill>
            <a:prstDash val="solid"/>
          </a:ln>
        </c:spPr>
        <c:txPr>
          <a:bodyPr rot="0" vert="horz"/>
          <a:lstStyle/>
          <a:p>
            <a:pPr>
              <a:defRPr sz="900" b="0" i="0" u="none" strike="noStrike" baseline="0">
                <a:solidFill>
                  <a:srgbClr val="666699"/>
                </a:solidFill>
                <a:latin typeface="Calibri"/>
                <a:ea typeface="Calibri"/>
                <a:cs typeface="Calibri"/>
              </a:defRPr>
            </a:pPr>
            <a:endParaRPr lang="en-US"/>
          </a:p>
        </c:txPr>
        <c:crossAx val="110710784"/>
        <c:crosses val="autoZero"/>
        <c:crossBetween val="midCat"/>
      </c:valAx>
      <c:spPr>
        <a:solidFill>
          <a:srgbClr val="FFFFFF"/>
        </a:solidFill>
        <a:ln w="25400">
          <a:noFill/>
        </a:ln>
      </c:spPr>
    </c:plotArea>
    <c:legend>
      <c:legendPos val="r"/>
      <c:layout>
        <c:manualLayout>
          <c:xMode val="edge"/>
          <c:yMode val="edge"/>
          <c:x val="0.88870431893687696"/>
          <c:y val="0.373133988443414"/>
          <c:w val="9.1362126245847206E-2"/>
          <c:h val="0.130596895955195"/>
        </c:manualLayout>
      </c:layout>
      <c:overlay val="0"/>
      <c:spPr>
        <a:noFill/>
        <a:ln w="25400">
          <a:noFill/>
        </a:ln>
      </c:spPr>
      <c:txPr>
        <a:bodyPr/>
        <a:lstStyle/>
        <a:p>
          <a:pPr>
            <a:defRPr sz="690" b="0" i="0" u="none" strike="noStrike" baseline="0">
              <a:solidFill>
                <a:srgbClr val="666699"/>
              </a:solidFill>
              <a:latin typeface="Calibri"/>
              <a:ea typeface="Calibri"/>
              <a:cs typeface="Calibri"/>
            </a:defRPr>
          </a:pPr>
          <a:endParaRPr lang="en-US"/>
        </a:p>
      </c:txPr>
    </c:legend>
    <c:plotVisOnly val="1"/>
    <c:dispBlanksAs val="gap"/>
    <c:showDLblsOverMax val="0"/>
  </c:chart>
  <c:spPr>
    <a:solidFill>
      <a:srgbClr val="DCE6F2"/>
    </a:solidFill>
    <a:ln w="9525">
      <a:noFill/>
    </a:ln>
  </c:spPr>
  <c:txPr>
    <a:bodyPr/>
    <a:lstStyle/>
    <a:p>
      <a:pPr>
        <a:defRPr sz="900" b="0" i="0" u="none" strike="noStrike" baseline="0">
          <a:solidFill>
            <a:srgbClr val="666699"/>
          </a:solidFill>
          <a:latin typeface="Calibri"/>
          <a:ea typeface="Calibri"/>
          <a:cs typeface="Calibri"/>
        </a:defRPr>
      </a:pPr>
      <a:endParaRPr lang="en-US"/>
    </a:p>
  </c:txPr>
  <c:printSettings>
    <c:headerFooter/>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4.5855162381445803E-2"/>
          <c:y val="3.34210526315789E-2"/>
          <c:w val="0.80402559843072496"/>
          <c:h val="0.83917076023391801"/>
        </c:manualLayout>
      </c:layout>
      <c:lineChart>
        <c:grouping val="standard"/>
        <c:varyColors val="0"/>
        <c:ser>
          <c:idx val="0"/>
          <c:order val="0"/>
          <c:tx>
            <c:strRef>
              <c:f>'10 States AggWorkings'!$B$43</c:f>
              <c:strCache>
                <c:ptCount val="1"/>
                <c:pt idx="0">
                  <c:v>planned</c:v>
                </c:pt>
              </c:strCache>
            </c:strRef>
          </c:tx>
          <c:spPr>
            <a:ln w="38100">
              <a:solidFill>
                <a:srgbClr val="666699"/>
              </a:solidFill>
              <a:prstDash val="solid"/>
            </a:ln>
          </c:spPr>
          <c:marker>
            <c:symbol val="none"/>
          </c:marker>
          <c:cat>
            <c:strRef>
              <c:f>'10 States AggWorkings'!$C$2:$Y$2</c:f>
              <c:strCache>
                <c:ptCount val="23"/>
                <c:pt idx="0">
                  <c:v>early                                                                 
2010</c:v>
                </c:pt>
                <c:pt idx="1">
                  <c:v>Q1</c:v>
                </c:pt>
                <c:pt idx="2">
                  <c:v>Q2</c:v>
                </c:pt>
                <c:pt idx="3">
                  <c:v>Q3</c:v>
                </c:pt>
                <c:pt idx="4">
                  <c:v>Q4</c:v>
                </c:pt>
                <c:pt idx="5">
                  <c:v>Q1</c:v>
                </c:pt>
                <c:pt idx="6">
                  <c:v>Q2                                                                 
mid 2011</c:v>
                </c:pt>
                <c:pt idx="7">
                  <c:v>Q3</c:v>
                </c:pt>
                <c:pt idx="8">
                  <c:v>Q4</c:v>
                </c:pt>
                <c:pt idx="9">
                  <c:v>Q1</c:v>
                </c:pt>
                <c:pt idx="10">
                  <c:v>Q2</c:v>
                </c:pt>
                <c:pt idx="11">
                  <c:v>Q3/4                                                                 
late 2012</c:v>
                </c:pt>
                <c:pt idx="12">
                  <c:v>Q1</c:v>
                </c:pt>
                <c:pt idx="13">
                  <c:v>Q2</c:v>
                </c:pt>
                <c:pt idx="14">
                  <c:v>Q3</c:v>
                </c:pt>
                <c:pt idx="15">
                  <c:v> Q4                                                                
late 2013</c:v>
                </c:pt>
                <c:pt idx="16">
                  <c:v>Q1</c:v>
                </c:pt>
                <c:pt idx="17">
                  <c:v>Q2</c:v>
                </c:pt>
                <c:pt idx="18">
                  <c:v>Q3</c:v>
                </c:pt>
                <c:pt idx="19">
                  <c:v>Q4</c:v>
                </c:pt>
                <c:pt idx="20">
                  <c:v>Q1</c:v>
                </c:pt>
                <c:pt idx="21">
                  <c:v>Q2</c:v>
                </c:pt>
                <c:pt idx="22">
                  <c:v>Q3                                                                 
mid 2015</c:v>
                </c:pt>
              </c:strCache>
            </c:strRef>
          </c:cat>
          <c:val>
            <c:numRef>
              <c:f>'10 States AggWorkings'!$C$43:$Y$43</c:f>
              <c:numCache>
                <c:formatCode>0.0</c:formatCode>
                <c:ptCount val="23"/>
                <c:pt idx="0">
                  <c:v>0</c:v>
                </c:pt>
                <c:pt idx="1">
                  <c:v>0</c:v>
                </c:pt>
                <c:pt idx="2">
                  <c:v>0</c:v>
                </c:pt>
                <c:pt idx="3">
                  <c:v>0</c:v>
                </c:pt>
                <c:pt idx="4">
                  <c:v>0</c:v>
                </c:pt>
                <c:pt idx="5">
                  <c:v>0</c:v>
                </c:pt>
                <c:pt idx="6">
                  <c:v>1.625</c:v>
                </c:pt>
                <c:pt idx="7">
                  <c:v>1.708333333333333</c:v>
                </c:pt>
                <c:pt idx="8">
                  <c:v>1.791666666666667</c:v>
                </c:pt>
                <c:pt idx="9">
                  <c:v>1.875</c:v>
                </c:pt>
                <c:pt idx="10">
                  <c:v>1.958333333333333</c:v>
                </c:pt>
                <c:pt idx="11">
                  <c:v>2.125</c:v>
                </c:pt>
                <c:pt idx="12">
                  <c:v>2.2406250000000001</c:v>
                </c:pt>
                <c:pt idx="13">
                  <c:v>2.3562500000000002</c:v>
                </c:pt>
                <c:pt idx="14">
                  <c:v>2.4718749999999998</c:v>
                </c:pt>
                <c:pt idx="15">
                  <c:v>2.5875000000000004</c:v>
                </c:pt>
                <c:pt idx="16">
                  <c:v>2.7104166666666667</c:v>
                </c:pt>
                <c:pt idx="17">
                  <c:v>2.833333333333333</c:v>
                </c:pt>
                <c:pt idx="18">
                  <c:v>2.9562499999999998</c:v>
                </c:pt>
                <c:pt idx="19">
                  <c:v>3.0791666666666666</c:v>
                </c:pt>
                <c:pt idx="20">
                  <c:v>3.0349999999999997</c:v>
                </c:pt>
                <c:pt idx="21">
                  <c:v>3.2033333333333331</c:v>
                </c:pt>
                <c:pt idx="22">
                  <c:v>3.2299999999999995</c:v>
                </c:pt>
              </c:numCache>
            </c:numRef>
          </c:val>
          <c:smooth val="0"/>
        </c:ser>
        <c:ser>
          <c:idx val="1"/>
          <c:order val="1"/>
          <c:tx>
            <c:strRef>
              <c:f>'10 States AggWorkings'!$B$44</c:f>
              <c:strCache>
                <c:ptCount val="1"/>
                <c:pt idx="0">
                  <c:v>achieved</c:v>
                </c:pt>
              </c:strCache>
            </c:strRef>
          </c:tx>
          <c:spPr>
            <a:ln w="38100">
              <a:solidFill>
                <a:srgbClr val="993366"/>
              </a:solidFill>
              <a:prstDash val="solid"/>
            </a:ln>
          </c:spPr>
          <c:marker>
            <c:symbol val="none"/>
          </c:marker>
          <c:cat>
            <c:strRef>
              <c:f>'10 States AggWorkings'!$C$2:$Y$2</c:f>
              <c:strCache>
                <c:ptCount val="23"/>
                <c:pt idx="0">
                  <c:v>early                                                                 
2010</c:v>
                </c:pt>
                <c:pt idx="1">
                  <c:v>Q1</c:v>
                </c:pt>
                <c:pt idx="2">
                  <c:v>Q2</c:v>
                </c:pt>
                <c:pt idx="3">
                  <c:v>Q3</c:v>
                </c:pt>
                <c:pt idx="4">
                  <c:v>Q4</c:v>
                </c:pt>
                <c:pt idx="5">
                  <c:v>Q1</c:v>
                </c:pt>
                <c:pt idx="6">
                  <c:v>Q2                                                                 
mid 2011</c:v>
                </c:pt>
                <c:pt idx="7">
                  <c:v>Q3</c:v>
                </c:pt>
                <c:pt idx="8">
                  <c:v>Q4</c:v>
                </c:pt>
                <c:pt idx="9">
                  <c:v>Q1</c:v>
                </c:pt>
                <c:pt idx="10">
                  <c:v>Q2</c:v>
                </c:pt>
                <c:pt idx="11">
                  <c:v>Q3/4                                                                 
late 2012</c:v>
                </c:pt>
                <c:pt idx="12">
                  <c:v>Q1</c:v>
                </c:pt>
                <c:pt idx="13">
                  <c:v>Q2</c:v>
                </c:pt>
                <c:pt idx="14">
                  <c:v>Q3</c:v>
                </c:pt>
                <c:pt idx="15">
                  <c:v> Q4                                                                
late 2013</c:v>
                </c:pt>
                <c:pt idx="16">
                  <c:v>Q1</c:v>
                </c:pt>
                <c:pt idx="17">
                  <c:v>Q2</c:v>
                </c:pt>
                <c:pt idx="18">
                  <c:v>Q3</c:v>
                </c:pt>
                <c:pt idx="19">
                  <c:v>Q4</c:v>
                </c:pt>
                <c:pt idx="20">
                  <c:v>Q1</c:v>
                </c:pt>
                <c:pt idx="21">
                  <c:v>Q2</c:v>
                </c:pt>
                <c:pt idx="22">
                  <c:v>Q3                                                                 
mid 2015</c:v>
                </c:pt>
              </c:strCache>
            </c:strRef>
          </c:cat>
          <c:val>
            <c:numRef>
              <c:f>'10 States AggWorkings'!$C$44:$Y$44</c:f>
              <c:numCache>
                <c:formatCode>0.0</c:formatCode>
                <c:ptCount val="23"/>
                <c:pt idx="0">
                  <c:v>0</c:v>
                </c:pt>
                <c:pt idx="1">
                  <c:v>0.67500000000000004</c:v>
                </c:pt>
                <c:pt idx="2">
                  <c:v>0.6875</c:v>
                </c:pt>
                <c:pt idx="3">
                  <c:v>0.71250000000000013</c:v>
                </c:pt>
                <c:pt idx="4">
                  <c:v>0.73750000000000004</c:v>
                </c:pt>
                <c:pt idx="5">
                  <c:v>0.75</c:v>
                </c:pt>
                <c:pt idx="6">
                  <c:v>1.3</c:v>
                </c:pt>
                <c:pt idx="7">
                  <c:v>1.4</c:v>
                </c:pt>
                <c:pt idx="8">
                  <c:v>1.4</c:v>
                </c:pt>
                <c:pt idx="9">
                  <c:v>1.3125</c:v>
                </c:pt>
                <c:pt idx="10">
                  <c:v>1.5625</c:v>
                </c:pt>
                <c:pt idx="11">
                  <c:v>2.0125000000000002</c:v>
                </c:pt>
                <c:pt idx="12">
                  <c:v>2.1624999999999996</c:v>
                </c:pt>
                <c:pt idx="13">
                  <c:v>2.3187500000000001</c:v>
                </c:pt>
                <c:pt idx="14">
                  <c:v>2.6749999999999998</c:v>
                </c:pt>
                <c:pt idx="15">
                  <c:v>2.5875000000000004</c:v>
                </c:pt>
                <c:pt idx="16">
                  <c:v>2.6</c:v>
                </c:pt>
                <c:pt idx="17">
                  <c:v>2.9375</c:v>
                </c:pt>
                <c:pt idx="18">
                  <c:v>3.3412500000000001</c:v>
                </c:pt>
                <c:pt idx="19">
                  <c:v>3.65</c:v>
                </c:pt>
                <c:pt idx="20">
                  <c:v>3.2233333333333336</c:v>
                </c:pt>
                <c:pt idx="21">
                  <c:v>3.4850000000000003</c:v>
                </c:pt>
                <c:pt idx="22">
                  <c:v>0</c:v>
                </c:pt>
              </c:numCache>
            </c:numRef>
          </c:val>
          <c:smooth val="0"/>
        </c:ser>
        <c:dLbls>
          <c:showLegendKey val="0"/>
          <c:showVal val="0"/>
          <c:showCatName val="0"/>
          <c:showSerName val="0"/>
          <c:showPercent val="0"/>
          <c:showBubbleSize val="0"/>
        </c:dLbls>
        <c:marker val="1"/>
        <c:smooth val="0"/>
        <c:axId val="110748800"/>
        <c:axId val="110750336"/>
      </c:lineChart>
      <c:catAx>
        <c:axId val="110748800"/>
        <c:scaling>
          <c:orientation val="minMax"/>
        </c:scaling>
        <c:delete val="0"/>
        <c:axPos val="b"/>
        <c:majorGridlines>
          <c:spPr>
            <a:ln w="3175">
              <a:solidFill>
                <a:srgbClr val="808080"/>
              </a:solidFill>
              <a:prstDash val="solid"/>
            </a:ln>
          </c:spPr>
        </c:majorGridlines>
        <c:numFmt formatCode="General" sourceLinked="1"/>
        <c:majorTickMark val="out"/>
        <c:minorTickMark val="none"/>
        <c:tickLblPos val="nextTo"/>
        <c:spPr>
          <a:ln w="3175">
            <a:solidFill>
              <a:srgbClr val="808080"/>
            </a:solidFill>
            <a:prstDash val="solid"/>
          </a:ln>
        </c:spPr>
        <c:txPr>
          <a:bodyPr rot="0" vert="horz"/>
          <a:lstStyle/>
          <a:p>
            <a:pPr>
              <a:defRPr sz="900" b="0" i="0" u="none" strike="noStrike" baseline="0">
                <a:solidFill>
                  <a:srgbClr val="666699"/>
                </a:solidFill>
                <a:latin typeface="Calibri"/>
                <a:ea typeface="Calibri"/>
                <a:cs typeface="Calibri"/>
              </a:defRPr>
            </a:pPr>
            <a:endParaRPr lang="en-US"/>
          </a:p>
        </c:txPr>
        <c:crossAx val="110750336"/>
        <c:crosses val="autoZero"/>
        <c:auto val="1"/>
        <c:lblAlgn val="ctr"/>
        <c:lblOffset val="100"/>
        <c:noMultiLvlLbl val="0"/>
      </c:catAx>
      <c:valAx>
        <c:axId val="110750336"/>
        <c:scaling>
          <c:orientation val="minMax"/>
          <c:max val="5"/>
        </c:scaling>
        <c:delete val="0"/>
        <c:axPos val="l"/>
        <c:majorGridlines>
          <c:spPr>
            <a:ln w="3175">
              <a:solidFill>
                <a:srgbClr val="808080"/>
              </a:solidFill>
              <a:prstDash val="solid"/>
            </a:ln>
          </c:spPr>
        </c:majorGridlines>
        <c:numFmt formatCode="0.0" sourceLinked="1"/>
        <c:majorTickMark val="out"/>
        <c:minorTickMark val="none"/>
        <c:tickLblPos val="nextTo"/>
        <c:spPr>
          <a:ln w="3175">
            <a:solidFill>
              <a:srgbClr val="808080"/>
            </a:solidFill>
            <a:prstDash val="solid"/>
          </a:ln>
        </c:spPr>
        <c:txPr>
          <a:bodyPr rot="0" vert="horz"/>
          <a:lstStyle/>
          <a:p>
            <a:pPr>
              <a:defRPr sz="900" b="0" i="0" u="none" strike="noStrike" baseline="0">
                <a:solidFill>
                  <a:srgbClr val="666699"/>
                </a:solidFill>
                <a:latin typeface="Calibri"/>
                <a:ea typeface="Calibri"/>
                <a:cs typeface="Calibri"/>
              </a:defRPr>
            </a:pPr>
            <a:endParaRPr lang="en-US"/>
          </a:p>
        </c:txPr>
        <c:crossAx val="110748800"/>
        <c:crosses val="autoZero"/>
        <c:crossBetween val="midCat"/>
      </c:valAx>
      <c:spPr>
        <a:solidFill>
          <a:srgbClr val="FFFFFF"/>
        </a:solidFill>
        <a:ln w="25400">
          <a:noFill/>
        </a:ln>
      </c:spPr>
    </c:plotArea>
    <c:legend>
      <c:legendPos val="r"/>
      <c:layout>
        <c:manualLayout>
          <c:xMode val="edge"/>
          <c:yMode val="edge"/>
          <c:x val="0.890365448504983"/>
          <c:y val="0.37686532832784803"/>
          <c:w val="9.1362126245847206E-2"/>
          <c:h val="0.130596895955195"/>
        </c:manualLayout>
      </c:layout>
      <c:overlay val="0"/>
      <c:spPr>
        <a:noFill/>
        <a:ln w="25400">
          <a:noFill/>
        </a:ln>
      </c:spPr>
      <c:txPr>
        <a:bodyPr/>
        <a:lstStyle/>
        <a:p>
          <a:pPr>
            <a:defRPr sz="690" b="0" i="0" u="none" strike="noStrike" baseline="0">
              <a:solidFill>
                <a:srgbClr val="666699"/>
              </a:solidFill>
              <a:latin typeface="Calibri"/>
              <a:ea typeface="Calibri"/>
              <a:cs typeface="Calibri"/>
            </a:defRPr>
          </a:pPr>
          <a:endParaRPr lang="en-US"/>
        </a:p>
      </c:txPr>
    </c:legend>
    <c:plotVisOnly val="1"/>
    <c:dispBlanksAs val="gap"/>
    <c:showDLblsOverMax val="0"/>
  </c:chart>
  <c:spPr>
    <a:solidFill>
      <a:srgbClr val="DCE6F2"/>
    </a:solidFill>
    <a:ln w="9525">
      <a:noFill/>
    </a:ln>
  </c:spPr>
  <c:txPr>
    <a:bodyPr/>
    <a:lstStyle/>
    <a:p>
      <a:pPr>
        <a:defRPr sz="900" b="0" i="0" u="none" strike="noStrike" baseline="0">
          <a:solidFill>
            <a:srgbClr val="666699"/>
          </a:solidFill>
          <a:latin typeface="Calibri"/>
          <a:ea typeface="Calibri"/>
          <a:cs typeface="Calibri"/>
        </a:defRPr>
      </a:pPr>
      <a:endParaRPr lang="en-US"/>
    </a:p>
  </c:txPr>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4.2501333279108697E-2"/>
          <c:y val="4.08479532163743E-2"/>
          <c:w val="0.80737942753306202"/>
          <c:h val="0.83174385964912301"/>
        </c:manualLayout>
      </c:layout>
      <c:lineChart>
        <c:grouping val="standard"/>
        <c:varyColors val="0"/>
        <c:ser>
          <c:idx val="0"/>
          <c:order val="0"/>
          <c:tx>
            <c:strRef>
              <c:f>'10 States AggWorkings'!$B$49</c:f>
              <c:strCache>
                <c:ptCount val="1"/>
                <c:pt idx="0">
                  <c:v>planned</c:v>
                </c:pt>
              </c:strCache>
            </c:strRef>
          </c:tx>
          <c:spPr>
            <a:ln w="38100">
              <a:solidFill>
                <a:srgbClr val="666699"/>
              </a:solidFill>
              <a:prstDash val="solid"/>
            </a:ln>
          </c:spPr>
          <c:marker>
            <c:symbol val="none"/>
          </c:marker>
          <c:cat>
            <c:strRef>
              <c:f>'10 States AggWorkings'!$C$2:$Y$2</c:f>
              <c:strCache>
                <c:ptCount val="23"/>
                <c:pt idx="0">
                  <c:v>early                                                                 
2010</c:v>
                </c:pt>
                <c:pt idx="1">
                  <c:v>Q1</c:v>
                </c:pt>
                <c:pt idx="2">
                  <c:v>Q2</c:v>
                </c:pt>
                <c:pt idx="3">
                  <c:v>Q3</c:v>
                </c:pt>
                <c:pt idx="4">
                  <c:v>Q4</c:v>
                </c:pt>
                <c:pt idx="5">
                  <c:v>Q1</c:v>
                </c:pt>
                <c:pt idx="6">
                  <c:v>Q2                                                                 
mid 2011</c:v>
                </c:pt>
                <c:pt idx="7">
                  <c:v>Q3</c:v>
                </c:pt>
                <c:pt idx="8">
                  <c:v>Q4</c:v>
                </c:pt>
                <c:pt idx="9">
                  <c:v>Q1</c:v>
                </c:pt>
                <c:pt idx="10">
                  <c:v>Q2</c:v>
                </c:pt>
                <c:pt idx="11">
                  <c:v>Q3/4                                                                 
late 2012</c:v>
                </c:pt>
                <c:pt idx="12">
                  <c:v>Q1</c:v>
                </c:pt>
                <c:pt idx="13">
                  <c:v>Q2</c:v>
                </c:pt>
                <c:pt idx="14">
                  <c:v>Q3</c:v>
                </c:pt>
                <c:pt idx="15">
                  <c:v> Q4                                                                
late 2013</c:v>
                </c:pt>
                <c:pt idx="16">
                  <c:v>Q1</c:v>
                </c:pt>
                <c:pt idx="17">
                  <c:v>Q2</c:v>
                </c:pt>
                <c:pt idx="18">
                  <c:v>Q3</c:v>
                </c:pt>
                <c:pt idx="19">
                  <c:v>Q4</c:v>
                </c:pt>
                <c:pt idx="20">
                  <c:v>Q1</c:v>
                </c:pt>
                <c:pt idx="21">
                  <c:v>Q2</c:v>
                </c:pt>
                <c:pt idx="22">
                  <c:v>Q3                                                                 
mid 2015</c:v>
                </c:pt>
              </c:strCache>
            </c:strRef>
          </c:cat>
          <c:val>
            <c:numRef>
              <c:f>'10 States AggWorkings'!$C$49:$Y$49</c:f>
              <c:numCache>
                <c:formatCode>0</c:formatCode>
                <c:ptCount val="23"/>
                <c:pt idx="0" formatCode="0.0">
                  <c:v>0</c:v>
                </c:pt>
                <c:pt idx="1">
                  <c:v>0</c:v>
                </c:pt>
                <c:pt idx="2">
                  <c:v>0</c:v>
                </c:pt>
                <c:pt idx="3">
                  <c:v>0</c:v>
                </c:pt>
                <c:pt idx="4">
                  <c:v>0</c:v>
                </c:pt>
                <c:pt idx="5">
                  <c:v>0</c:v>
                </c:pt>
                <c:pt idx="6">
                  <c:v>9</c:v>
                </c:pt>
                <c:pt idx="7">
                  <c:v>10.5</c:v>
                </c:pt>
                <c:pt idx="8">
                  <c:v>12</c:v>
                </c:pt>
                <c:pt idx="9">
                  <c:v>13.5</c:v>
                </c:pt>
                <c:pt idx="10">
                  <c:v>14.999999999999998</c:v>
                </c:pt>
                <c:pt idx="11">
                  <c:v>18</c:v>
                </c:pt>
                <c:pt idx="12">
                  <c:v>18.375</c:v>
                </c:pt>
                <c:pt idx="13">
                  <c:v>18.75</c:v>
                </c:pt>
                <c:pt idx="14">
                  <c:v>19.125</c:v>
                </c:pt>
                <c:pt idx="15">
                  <c:v>19.5</c:v>
                </c:pt>
                <c:pt idx="16">
                  <c:v>21.733333333333334</c:v>
                </c:pt>
                <c:pt idx="17">
                  <c:v>23.966666666666669</c:v>
                </c:pt>
                <c:pt idx="18">
                  <c:v>26.199999999999996</c:v>
                </c:pt>
                <c:pt idx="19">
                  <c:v>28.43333333333333</c:v>
                </c:pt>
                <c:pt idx="20">
                  <c:v>48.166666666666671</c:v>
                </c:pt>
                <c:pt idx="21">
                  <c:v>54</c:v>
                </c:pt>
                <c:pt idx="22">
                  <c:v>54</c:v>
                </c:pt>
              </c:numCache>
            </c:numRef>
          </c:val>
          <c:smooth val="0"/>
        </c:ser>
        <c:ser>
          <c:idx val="1"/>
          <c:order val="1"/>
          <c:tx>
            <c:strRef>
              <c:f>'10 States AggWorkings'!$B$50</c:f>
              <c:strCache>
                <c:ptCount val="1"/>
                <c:pt idx="0">
                  <c:v>achieved</c:v>
                </c:pt>
              </c:strCache>
            </c:strRef>
          </c:tx>
          <c:spPr>
            <a:ln w="38100">
              <a:solidFill>
                <a:srgbClr val="993366"/>
              </a:solidFill>
              <a:prstDash val="solid"/>
            </a:ln>
          </c:spPr>
          <c:marker>
            <c:symbol val="none"/>
          </c:marker>
          <c:cat>
            <c:strRef>
              <c:f>'10 States AggWorkings'!$C$2:$Y$2</c:f>
              <c:strCache>
                <c:ptCount val="23"/>
                <c:pt idx="0">
                  <c:v>early                                                                 
2010</c:v>
                </c:pt>
                <c:pt idx="1">
                  <c:v>Q1</c:v>
                </c:pt>
                <c:pt idx="2">
                  <c:v>Q2</c:v>
                </c:pt>
                <c:pt idx="3">
                  <c:v>Q3</c:v>
                </c:pt>
                <c:pt idx="4">
                  <c:v>Q4</c:v>
                </c:pt>
                <c:pt idx="5">
                  <c:v>Q1</c:v>
                </c:pt>
                <c:pt idx="6">
                  <c:v>Q2                                                                 
mid 2011</c:v>
                </c:pt>
                <c:pt idx="7">
                  <c:v>Q3</c:v>
                </c:pt>
                <c:pt idx="8">
                  <c:v>Q4</c:v>
                </c:pt>
                <c:pt idx="9">
                  <c:v>Q1</c:v>
                </c:pt>
                <c:pt idx="10">
                  <c:v>Q2</c:v>
                </c:pt>
                <c:pt idx="11">
                  <c:v>Q3/4                                                                 
late 2012</c:v>
                </c:pt>
                <c:pt idx="12">
                  <c:v>Q1</c:v>
                </c:pt>
                <c:pt idx="13">
                  <c:v>Q2</c:v>
                </c:pt>
                <c:pt idx="14">
                  <c:v>Q3</c:v>
                </c:pt>
                <c:pt idx="15">
                  <c:v> Q4                                                                
late 2013</c:v>
                </c:pt>
                <c:pt idx="16">
                  <c:v>Q1</c:v>
                </c:pt>
                <c:pt idx="17">
                  <c:v>Q2</c:v>
                </c:pt>
                <c:pt idx="18">
                  <c:v>Q3</c:v>
                </c:pt>
                <c:pt idx="19">
                  <c:v>Q4</c:v>
                </c:pt>
                <c:pt idx="20">
                  <c:v>Q1</c:v>
                </c:pt>
                <c:pt idx="21">
                  <c:v>Q2</c:v>
                </c:pt>
                <c:pt idx="22">
                  <c:v>Q3                                                                 
mid 2015</c:v>
                </c:pt>
              </c:strCache>
            </c:strRef>
          </c:cat>
          <c:val>
            <c:numRef>
              <c:f>'10 States AggWorkings'!$C$50:$Y$50</c:f>
              <c:numCache>
                <c:formatCode>0</c:formatCode>
                <c:ptCount val="23"/>
                <c:pt idx="0" formatCode="0.0">
                  <c:v>0</c:v>
                </c:pt>
                <c:pt idx="1">
                  <c:v>1</c:v>
                </c:pt>
                <c:pt idx="2">
                  <c:v>1</c:v>
                </c:pt>
                <c:pt idx="3">
                  <c:v>1</c:v>
                </c:pt>
                <c:pt idx="4">
                  <c:v>1</c:v>
                </c:pt>
                <c:pt idx="5">
                  <c:v>1</c:v>
                </c:pt>
                <c:pt idx="6">
                  <c:v>1</c:v>
                </c:pt>
                <c:pt idx="7">
                  <c:v>1</c:v>
                </c:pt>
                <c:pt idx="8">
                  <c:v>1</c:v>
                </c:pt>
                <c:pt idx="9">
                  <c:v>11</c:v>
                </c:pt>
                <c:pt idx="10">
                  <c:v>9</c:v>
                </c:pt>
                <c:pt idx="11">
                  <c:v>11</c:v>
                </c:pt>
                <c:pt idx="12">
                  <c:v>18</c:v>
                </c:pt>
                <c:pt idx="13">
                  <c:v>26</c:v>
                </c:pt>
                <c:pt idx="14">
                  <c:v>31</c:v>
                </c:pt>
                <c:pt idx="15">
                  <c:v>38</c:v>
                </c:pt>
                <c:pt idx="16">
                  <c:v>34</c:v>
                </c:pt>
                <c:pt idx="17">
                  <c:v>49</c:v>
                </c:pt>
                <c:pt idx="18">
                  <c:v>54</c:v>
                </c:pt>
                <c:pt idx="19">
                  <c:v>61</c:v>
                </c:pt>
                <c:pt idx="20">
                  <c:v>67</c:v>
                </c:pt>
                <c:pt idx="21">
                  <c:v>77</c:v>
                </c:pt>
                <c:pt idx="22">
                  <c:v>0</c:v>
                </c:pt>
              </c:numCache>
            </c:numRef>
          </c:val>
          <c:smooth val="0"/>
        </c:ser>
        <c:dLbls>
          <c:showLegendKey val="0"/>
          <c:showVal val="0"/>
          <c:showCatName val="0"/>
          <c:showSerName val="0"/>
          <c:showPercent val="0"/>
          <c:showBubbleSize val="0"/>
        </c:dLbls>
        <c:marker val="1"/>
        <c:smooth val="0"/>
        <c:axId val="110763392"/>
        <c:axId val="110797952"/>
      </c:lineChart>
      <c:catAx>
        <c:axId val="110763392"/>
        <c:scaling>
          <c:orientation val="minMax"/>
        </c:scaling>
        <c:delete val="0"/>
        <c:axPos val="b"/>
        <c:majorGridlines>
          <c:spPr>
            <a:ln w="3175">
              <a:solidFill>
                <a:srgbClr val="808080"/>
              </a:solidFill>
              <a:prstDash val="solid"/>
            </a:ln>
          </c:spPr>
        </c:majorGridlines>
        <c:numFmt formatCode="General" sourceLinked="1"/>
        <c:majorTickMark val="out"/>
        <c:minorTickMark val="none"/>
        <c:tickLblPos val="nextTo"/>
        <c:spPr>
          <a:ln w="3175">
            <a:solidFill>
              <a:srgbClr val="808080"/>
            </a:solidFill>
            <a:prstDash val="solid"/>
          </a:ln>
        </c:spPr>
        <c:txPr>
          <a:bodyPr rot="0" vert="horz"/>
          <a:lstStyle/>
          <a:p>
            <a:pPr>
              <a:defRPr sz="900" b="0" i="0" u="none" strike="noStrike" baseline="0">
                <a:solidFill>
                  <a:srgbClr val="666699"/>
                </a:solidFill>
                <a:latin typeface="Calibri"/>
                <a:ea typeface="Calibri"/>
                <a:cs typeface="Calibri"/>
              </a:defRPr>
            </a:pPr>
            <a:endParaRPr lang="en-US"/>
          </a:p>
        </c:txPr>
        <c:crossAx val="110797952"/>
        <c:crosses val="autoZero"/>
        <c:auto val="1"/>
        <c:lblAlgn val="ctr"/>
        <c:lblOffset val="100"/>
        <c:noMultiLvlLbl val="0"/>
      </c:catAx>
      <c:valAx>
        <c:axId val="110797952"/>
        <c:scaling>
          <c:orientation val="minMax"/>
          <c:max val="40"/>
        </c:scaling>
        <c:delete val="0"/>
        <c:axPos val="l"/>
        <c:majorGridlines>
          <c:spPr>
            <a:ln w="3175">
              <a:solidFill>
                <a:srgbClr val="808080"/>
              </a:solidFill>
              <a:prstDash val="solid"/>
            </a:ln>
          </c:spPr>
        </c:majorGridlines>
        <c:numFmt formatCode="0.0" sourceLinked="1"/>
        <c:majorTickMark val="out"/>
        <c:minorTickMark val="none"/>
        <c:tickLblPos val="nextTo"/>
        <c:spPr>
          <a:ln w="3175">
            <a:solidFill>
              <a:srgbClr val="808080"/>
            </a:solidFill>
            <a:prstDash val="solid"/>
          </a:ln>
        </c:spPr>
        <c:txPr>
          <a:bodyPr rot="0" vert="horz"/>
          <a:lstStyle/>
          <a:p>
            <a:pPr>
              <a:defRPr sz="900" b="0" i="0" u="none" strike="noStrike" baseline="0">
                <a:solidFill>
                  <a:srgbClr val="666699"/>
                </a:solidFill>
                <a:latin typeface="Calibri"/>
                <a:ea typeface="Calibri"/>
                <a:cs typeface="Calibri"/>
              </a:defRPr>
            </a:pPr>
            <a:endParaRPr lang="en-US"/>
          </a:p>
        </c:txPr>
        <c:crossAx val="110763392"/>
        <c:crosses val="autoZero"/>
        <c:crossBetween val="midCat"/>
      </c:valAx>
      <c:spPr>
        <a:solidFill>
          <a:srgbClr val="FFFFFF"/>
        </a:solidFill>
        <a:ln w="25400">
          <a:noFill/>
        </a:ln>
      </c:spPr>
    </c:plotArea>
    <c:legend>
      <c:legendPos val="r"/>
      <c:layout>
        <c:manualLayout>
          <c:xMode val="edge"/>
          <c:yMode val="edge"/>
          <c:x val="0.88704318936877102"/>
          <c:y val="0.38805934798114999"/>
          <c:w val="9.1362126245847206E-2"/>
          <c:h val="0.130596895955195"/>
        </c:manualLayout>
      </c:layout>
      <c:overlay val="0"/>
      <c:spPr>
        <a:noFill/>
        <a:ln w="25400">
          <a:noFill/>
        </a:ln>
      </c:spPr>
      <c:txPr>
        <a:bodyPr/>
        <a:lstStyle/>
        <a:p>
          <a:pPr>
            <a:defRPr sz="690" b="0" i="0" u="none" strike="noStrike" baseline="0">
              <a:solidFill>
                <a:srgbClr val="666699"/>
              </a:solidFill>
              <a:latin typeface="Calibri"/>
              <a:ea typeface="Calibri"/>
              <a:cs typeface="Calibri"/>
            </a:defRPr>
          </a:pPr>
          <a:endParaRPr lang="en-US"/>
        </a:p>
      </c:txPr>
    </c:legend>
    <c:plotVisOnly val="1"/>
    <c:dispBlanksAs val="gap"/>
    <c:showDLblsOverMax val="0"/>
  </c:chart>
  <c:spPr>
    <a:solidFill>
      <a:srgbClr val="DCE6F2"/>
    </a:solidFill>
    <a:ln w="9525">
      <a:noFill/>
    </a:ln>
  </c:spPr>
  <c:txPr>
    <a:bodyPr/>
    <a:lstStyle/>
    <a:p>
      <a:pPr>
        <a:defRPr sz="900" b="0" i="0" u="none" strike="noStrike" baseline="0">
          <a:solidFill>
            <a:srgbClr val="666699"/>
          </a:solidFill>
          <a:latin typeface="Calibri"/>
          <a:ea typeface="Calibri"/>
          <a:cs typeface="Calibri"/>
        </a:defRPr>
      </a:pPr>
      <a:endParaRPr lang="en-US"/>
    </a:p>
  </c:txPr>
  <c:printSettings>
    <c:headerFooter/>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4.5855162381445803E-2"/>
          <c:y val="4.08479532163743E-2"/>
          <c:w val="0.80402559843072496"/>
          <c:h val="0.83174385964912301"/>
        </c:manualLayout>
      </c:layout>
      <c:lineChart>
        <c:grouping val="standard"/>
        <c:varyColors val="0"/>
        <c:ser>
          <c:idx val="0"/>
          <c:order val="0"/>
          <c:tx>
            <c:strRef>
              <c:f>'10 States AggWorkings'!$B$55</c:f>
              <c:strCache>
                <c:ptCount val="1"/>
                <c:pt idx="0">
                  <c:v>planned</c:v>
                </c:pt>
              </c:strCache>
            </c:strRef>
          </c:tx>
          <c:spPr>
            <a:ln w="38100">
              <a:solidFill>
                <a:srgbClr val="666699"/>
              </a:solidFill>
              <a:prstDash val="solid"/>
            </a:ln>
          </c:spPr>
          <c:marker>
            <c:symbol val="none"/>
          </c:marker>
          <c:cat>
            <c:strRef>
              <c:f>'10 States AggWorkings'!$C$2:$Y$2</c:f>
              <c:strCache>
                <c:ptCount val="23"/>
                <c:pt idx="0">
                  <c:v>early                                                                 
2010</c:v>
                </c:pt>
                <c:pt idx="1">
                  <c:v>Q1</c:v>
                </c:pt>
                <c:pt idx="2">
                  <c:v>Q2</c:v>
                </c:pt>
                <c:pt idx="3">
                  <c:v>Q3</c:v>
                </c:pt>
                <c:pt idx="4">
                  <c:v>Q4</c:v>
                </c:pt>
                <c:pt idx="5">
                  <c:v>Q1</c:v>
                </c:pt>
                <c:pt idx="6">
                  <c:v>Q2                                                                 
mid 2011</c:v>
                </c:pt>
                <c:pt idx="7">
                  <c:v>Q3</c:v>
                </c:pt>
                <c:pt idx="8">
                  <c:v>Q4</c:v>
                </c:pt>
                <c:pt idx="9">
                  <c:v>Q1</c:v>
                </c:pt>
                <c:pt idx="10">
                  <c:v>Q2</c:v>
                </c:pt>
                <c:pt idx="11">
                  <c:v>Q3/4                                                                 
late 2012</c:v>
                </c:pt>
                <c:pt idx="12">
                  <c:v>Q1</c:v>
                </c:pt>
                <c:pt idx="13">
                  <c:v>Q2</c:v>
                </c:pt>
                <c:pt idx="14">
                  <c:v>Q3</c:v>
                </c:pt>
                <c:pt idx="15">
                  <c:v> Q4                                                                
late 2013</c:v>
                </c:pt>
                <c:pt idx="16">
                  <c:v>Q1</c:v>
                </c:pt>
                <c:pt idx="17">
                  <c:v>Q2</c:v>
                </c:pt>
                <c:pt idx="18">
                  <c:v>Q3</c:v>
                </c:pt>
                <c:pt idx="19">
                  <c:v>Q4</c:v>
                </c:pt>
                <c:pt idx="20">
                  <c:v>Q1</c:v>
                </c:pt>
                <c:pt idx="21">
                  <c:v>Q2</c:v>
                </c:pt>
                <c:pt idx="22">
                  <c:v>Q3                                                                 
mid 2015</c:v>
                </c:pt>
              </c:strCache>
            </c:strRef>
          </c:cat>
          <c:val>
            <c:numRef>
              <c:f>'10 States AggWorkings'!$C$55:$Y$55</c:f>
              <c:numCache>
                <c:formatCode>0.0</c:formatCode>
                <c:ptCount val="23"/>
                <c:pt idx="0">
                  <c:v>0</c:v>
                </c:pt>
                <c:pt idx="1">
                  <c:v>0</c:v>
                </c:pt>
                <c:pt idx="2">
                  <c:v>0</c:v>
                </c:pt>
                <c:pt idx="3">
                  <c:v>0</c:v>
                </c:pt>
                <c:pt idx="4">
                  <c:v>0</c:v>
                </c:pt>
                <c:pt idx="5">
                  <c:v>0</c:v>
                </c:pt>
                <c:pt idx="6">
                  <c:v>1.4</c:v>
                </c:pt>
                <c:pt idx="7">
                  <c:v>1.4895833333333333</c:v>
                </c:pt>
                <c:pt idx="8">
                  <c:v>1.5791666666666666</c:v>
                </c:pt>
                <c:pt idx="9">
                  <c:v>1.66875</c:v>
                </c:pt>
                <c:pt idx="10">
                  <c:v>1.7583333333333331</c:v>
                </c:pt>
                <c:pt idx="11">
                  <c:v>1.9375</c:v>
                </c:pt>
                <c:pt idx="12">
                  <c:v>2.0750000000000002</c:v>
                </c:pt>
                <c:pt idx="13">
                  <c:v>2.2124999999999999</c:v>
                </c:pt>
                <c:pt idx="14">
                  <c:v>2.35</c:v>
                </c:pt>
                <c:pt idx="15">
                  <c:v>2.4874999999999998</c:v>
                </c:pt>
                <c:pt idx="16">
                  <c:v>2.625</c:v>
                </c:pt>
                <c:pt idx="17">
                  <c:v>2.7625000000000002</c:v>
                </c:pt>
                <c:pt idx="18">
                  <c:v>2.8999999999999995</c:v>
                </c:pt>
                <c:pt idx="19">
                  <c:v>3.0374999999999996</c:v>
                </c:pt>
                <c:pt idx="20">
                  <c:v>2.9833333333333329</c:v>
                </c:pt>
                <c:pt idx="21">
                  <c:v>3.1633333333333331</c:v>
                </c:pt>
                <c:pt idx="22">
                  <c:v>3.1900000000000004</c:v>
                </c:pt>
              </c:numCache>
            </c:numRef>
          </c:val>
          <c:smooth val="0"/>
        </c:ser>
        <c:ser>
          <c:idx val="1"/>
          <c:order val="1"/>
          <c:tx>
            <c:strRef>
              <c:f>'10 States AggWorkings'!$B$56</c:f>
              <c:strCache>
                <c:ptCount val="1"/>
                <c:pt idx="0">
                  <c:v>achieved</c:v>
                </c:pt>
              </c:strCache>
            </c:strRef>
          </c:tx>
          <c:spPr>
            <a:ln w="38100">
              <a:solidFill>
                <a:srgbClr val="993366"/>
              </a:solidFill>
              <a:prstDash val="solid"/>
            </a:ln>
          </c:spPr>
          <c:marker>
            <c:symbol val="none"/>
          </c:marker>
          <c:cat>
            <c:strRef>
              <c:f>'10 States AggWorkings'!$C$2:$Y$2</c:f>
              <c:strCache>
                <c:ptCount val="23"/>
                <c:pt idx="0">
                  <c:v>early                                                                 
2010</c:v>
                </c:pt>
                <c:pt idx="1">
                  <c:v>Q1</c:v>
                </c:pt>
                <c:pt idx="2">
                  <c:v>Q2</c:v>
                </c:pt>
                <c:pt idx="3">
                  <c:v>Q3</c:v>
                </c:pt>
                <c:pt idx="4">
                  <c:v>Q4</c:v>
                </c:pt>
                <c:pt idx="5">
                  <c:v>Q1</c:v>
                </c:pt>
                <c:pt idx="6">
                  <c:v>Q2                                                                 
mid 2011</c:v>
                </c:pt>
                <c:pt idx="7">
                  <c:v>Q3</c:v>
                </c:pt>
                <c:pt idx="8">
                  <c:v>Q4</c:v>
                </c:pt>
                <c:pt idx="9">
                  <c:v>Q1</c:v>
                </c:pt>
                <c:pt idx="10">
                  <c:v>Q2</c:v>
                </c:pt>
                <c:pt idx="11">
                  <c:v>Q3/4                                                                 
late 2012</c:v>
                </c:pt>
                <c:pt idx="12">
                  <c:v>Q1</c:v>
                </c:pt>
                <c:pt idx="13">
                  <c:v>Q2</c:v>
                </c:pt>
                <c:pt idx="14">
                  <c:v>Q3</c:v>
                </c:pt>
                <c:pt idx="15">
                  <c:v> Q4                                                                
late 2013</c:v>
                </c:pt>
                <c:pt idx="16">
                  <c:v>Q1</c:v>
                </c:pt>
                <c:pt idx="17">
                  <c:v>Q2</c:v>
                </c:pt>
                <c:pt idx="18">
                  <c:v>Q3</c:v>
                </c:pt>
                <c:pt idx="19">
                  <c:v>Q4</c:v>
                </c:pt>
                <c:pt idx="20">
                  <c:v>Q1</c:v>
                </c:pt>
                <c:pt idx="21">
                  <c:v>Q2</c:v>
                </c:pt>
                <c:pt idx="22">
                  <c:v>Q3                                                                 
mid 2015</c:v>
                </c:pt>
              </c:strCache>
            </c:strRef>
          </c:cat>
          <c:val>
            <c:numRef>
              <c:f>'10 States AggWorkings'!$C$56:$Y$56</c:f>
              <c:numCache>
                <c:formatCode>0.0</c:formatCode>
                <c:ptCount val="23"/>
                <c:pt idx="0">
                  <c:v>0</c:v>
                </c:pt>
                <c:pt idx="1">
                  <c:v>0.63749999999999996</c:v>
                </c:pt>
                <c:pt idx="2">
                  <c:v>0.6875</c:v>
                </c:pt>
                <c:pt idx="3">
                  <c:v>0.66250000000000009</c:v>
                </c:pt>
                <c:pt idx="4">
                  <c:v>0.67500000000000004</c:v>
                </c:pt>
                <c:pt idx="5">
                  <c:v>0.6875</c:v>
                </c:pt>
                <c:pt idx="6">
                  <c:v>0.5625</c:v>
                </c:pt>
                <c:pt idx="7">
                  <c:v>0.6875</c:v>
                </c:pt>
                <c:pt idx="8">
                  <c:v>0.6875</c:v>
                </c:pt>
                <c:pt idx="9">
                  <c:v>1.25</c:v>
                </c:pt>
                <c:pt idx="10">
                  <c:v>1.4375</c:v>
                </c:pt>
                <c:pt idx="11">
                  <c:v>2.1875</c:v>
                </c:pt>
                <c:pt idx="12">
                  <c:v>2.1375000000000002</c:v>
                </c:pt>
                <c:pt idx="13">
                  <c:v>2.2250000000000001</c:v>
                </c:pt>
                <c:pt idx="14">
                  <c:v>2.5374999999999996</c:v>
                </c:pt>
                <c:pt idx="15">
                  <c:v>3.0999999999999996</c:v>
                </c:pt>
                <c:pt idx="16">
                  <c:v>3.3125</c:v>
                </c:pt>
                <c:pt idx="17">
                  <c:v>3.1062500000000002</c:v>
                </c:pt>
                <c:pt idx="18">
                  <c:v>3.375</c:v>
                </c:pt>
                <c:pt idx="19">
                  <c:v>3.5</c:v>
                </c:pt>
                <c:pt idx="20">
                  <c:v>3.1599999999999997</c:v>
                </c:pt>
                <c:pt idx="21">
                  <c:v>3.22</c:v>
                </c:pt>
                <c:pt idx="22">
                  <c:v>0</c:v>
                </c:pt>
              </c:numCache>
            </c:numRef>
          </c:val>
          <c:smooth val="0"/>
        </c:ser>
        <c:dLbls>
          <c:showLegendKey val="0"/>
          <c:showVal val="0"/>
          <c:showCatName val="0"/>
          <c:showSerName val="0"/>
          <c:showPercent val="0"/>
          <c:showBubbleSize val="0"/>
        </c:dLbls>
        <c:marker val="1"/>
        <c:smooth val="0"/>
        <c:axId val="110827008"/>
        <c:axId val="110828544"/>
      </c:lineChart>
      <c:catAx>
        <c:axId val="110827008"/>
        <c:scaling>
          <c:orientation val="minMax"/>
        </c:scaling>
        <c:delete val="0"/>
        <c:axPos val="b"/>
        <c:majorGridlines>
          <c:spPr>
            <a:ln w="3175">
              <a:solidFill>
                <a:srgbClr val="808080"/>
              </a:solidFill>
              <a:prstDash val="solid"/>
            </a:ln>
          </c:spPr>
        </c:majorGridlines>
        <c:numFmt formatCode="General" sourceLinked="1"/>
        <c:majorTickMark val="out"/>
        <c:minorTickMark val="none"/>
        <c:tickLblPos val="nextTo"/>
        <c:spPr>
          <a:ln w="3175">
            <a:solidFill>
              <a:srgbClr val="808080"/>
            </a:solidFill>
            <a:prstDash val="solid"/>
          </a:ln>
        </c:spPr>
        <c:txPr>
          <a:bodyPr rot="0" vert="horz"/>
          <a:lstStyle/>
          <a:p>
            <a:pPr>
              <a:defRPr sz="900" b="0" i="0" u="none" strike="noStrike" baseline="0">
                <a:solidFill>
                  <a:srgbClr val="666699"/>
                </a:solidFill>
                <a:latin typeface="Calibri"/>
                <a:ea typeface="Calibri"/>
                <a:cs typeface="Calibri"/>
              </a:defRPr>
            </a:pPr>
            <a:endParaRPr lang="en-US"/>
          </a:p>
        </c:txPr>
        <c:crossAx val="110828544"/>
        <c:crosses val="autoZero"/>
        <c:auto val="1"/>
        <c:lblAlgn val="ctr"/>
        <c:lblOffset val="100"/>
        <c:noMultiLvlLbl val="0"/>
      </c:catAx>
      <c:valAx>
        <c:axId val="110828544"/>
        <c:scaling>
          <c:orientation val="minMax"/>
          <c:max val="5"/>
        </c:scaling>
        <c:delete val="0"/>
        <c:axPos val="l"/>
        <c:majorGridlines>
          <c:spPr>
            <a:ln w="3175">
              <a:solidFill>
                <a:srgbClr val="808080"/>
              </a:solidFill>
              <a:prstDash val="solid"/>
            </a:ln>
          </c:spPr>
        </c:majorGridlines>
        <c:numFmt formatCode="0.0" sourceLinked="1"/>
        <c:majorTickMark val="out"/>
        <c:minorTickMark val="none"/>
        <c:tickLblPos val="nextTo"/>
        <c:spPr>
          <a:ln w="3175">
            <a:solidFill>
              <a:srgbClr val="808080"/>
            </a:solidFill>
            <a:prstDash val="solid"/>
          </a:ln>
        </c:spPr>
        <c:txPr>
          <a:bodyPr rot="0" vert="horz"/>
          <a:lstStyle/>
          <a:p>
            <a:pPr>
              <a:defRPr sz="900" b="0" i="0" u="none" strike="noStrike" baseline="0">
                <a:solidFill>
                  <a:srgbClr val="666699"/>
                </a:solidFill>
                <a:latin typeface="Calibri"/>
                <a:ea typeface="Calibri"/>
                <a:cs typeface="Calibri"/>
              </a:defRPr>
            </a:pPr>
            <a:endParaRPr lang="en-US"/>
          </a:p>
        </c:txPr>
        <c:crossAx val="110827008"/>
        <c:crosses val="autoZero"/>
        <c:crossBetween val="midCat"/>
      </c:valAx>
      <c:spPr>
        <a:solidFill>
          <a:srgbClr val="FFFFFF"/>
        </a:solidFill>
        <a:ln w="25400">
          <a:noFill/>
        </a:ln>
      </c:spPr>
    </c:plotArea>
    <c:legend>
      <c:legendPos val="r"/>
      <c:layout>
        <c:manualLayout>
          <c:xMode val="edge"/>
          <c:yMode val="edge"/>
          <c:x val="0.88870431893687696"/>
          <c:y val="0.37686532832784803"/>
          <c:w val="9.1362126245847206E-2"/>
          <c:h val="0.130596895955195"/>
        </c:manualLayout>
      </c:layout>
      <c:overlay val="0"/>
      <c:spPr>
        <a:noFill/>
        <a:ln w="25400">
          <a:noFill/>
        </a:ln>
      </c:spPr>
      <c:txPr>
        <a:bodyPr/>
        <a:lstStyle/>
        <a:p>
          <a:pPr>
            <a:defRPr sz="690" b="0" i="0" u="none" strike="noStrike" baseline="0">
              <a:solidFill>
                <a:srgbClr val="666699"/>
              </a:solidFill>
              <a:latin typeface="Calibri"/>
              <a:ea typeface="Calibri"/>
              <a:cs typeface="Calibri"/>
            </a:defRPr>
          </a:pPr>
          <a:endParaRPr lang="en-US"/>
        </a:p>
      </c:txPr>
    </c:legend>
    <c:plotVisOnly val="1"/>
    <c:dispBlanksAs val="gap"/>
    <c:showDLblsOverMax val="0"/>
  </c:chart>
  <c:spPr>
    <a:solidFill>
      <a:srgbClr val="DCE6F2"/>
    </a:solidFill>
    <a:ln w="9525">
      <a:noFill/>
    </a:ln>
  </c:spPr>
  <c:txPr>
    <a:bodyPr/>
    <a:lstStyle/>
    <a:p>
      <a:pPr>
        <a:defRPr sz="900" b="0" i="0" u="none" strike="noStrike" baseline="0">
          <a:solidFill>
            <a:srgbClr val="666699"/>
          </a:solidFill>
          <a:latin typeface="Calibri"/>
          <a:ea typeface="Calibri"/>
          <a:cs typeface="Calibri"/>
        </a:defRPr>
      </a:pPr>
      <a:endParaRPr lang="en-US"/>
    </a:p>
  </c:txPr>
  <c:printSettings>
    <c:headerFooter/>
    <c:pageMargins b="1" l="0.75" r="0.75" t="1" header="0.5" footer="0.5"/>
    <c:pageSetup/>
  </c:printSettings>
</c:chartSpace>
</file>

<file path=xl/diagrams/colors1.xml><?xml version="1.0" encoding="utf-8"?>
<dgm:colorsDef xmlns:dgm="http://schemas.openxmlformats.org/drawingml/2006/diagram" xmlns:a="http://schemas.openxmlformats.org/drawingml/2006/main" uniqueId="urn:microsoft.com/office/officeart/2005/8/colors/accent3_2">
  <dgm:title val=""/>
  <dgm:desc val=""/>
  <dgm:catLst>
    <dgm:cat type="accent3" pri="11200"/>
  </dgm:catLst>
  <dgm:styleLbl name="node0">
    <dgm:fillClrLst meth="repeat">
      <a:schemeClr val="accent3"/>
    </dgm:fillClrLst>
    <dgm:linClrLst meth="repeat">
      <a:schemeClr val="lt1"/>
    </dgm:linClrLst>
    <dgm:effectClrLst/>
    <dgm:txLinClrLst/>
    <dgm:txFillClrLst/>
    <dgm:txEffectClrLst/>
  </dgm:styleLbl>
  <dgm:styleLbl name="node1">
    <dgm:fillClrLst meth="repeat">
      <a:schemeClr val="accent3"/>
    </dgm:fillClrLst>
    <dgm:linClrLst meth="repeat">
      <a:schemeClr val="lt1"/>
    </dgm:linClrLst>
    <dgm:effectClrLst/>
    <dgm:txLinClrLst/>
    <dgm:txFillClrLst/>
    <dgm:txEffectClrLst/>
  </dgm:styleLbl>
  <dgm:styleLbl name="alignNode1">
    <dgm:fillClrLst meth="repeat">
      <a:schemeClr val="accent3"/>
    </dgm:fillClrLst>
    <dgm:linClrLst meth="repeat">
      <a:schemeClr val="accent3"/>
    </dgm:linClrLst>
    <dgm:effectClrLst/>
    <dgm:txLinClrLst/>
    <dgm:txFillClrLst/>
    <dgm:txEffectClrLst/>
  </dgm:styleLbl>
  <dgm:styleLbl name="lnNode1">
    <dgm:fillClrLst meth="repeat">
      <a:schemeClr val="accent3"/>
    </dgm:fillClrLst>
    <dgm:linClrLst meth="repeat">
      <a:schemeClr val="lt1"/>
    </dgm:linClrLst>
    <dgm:effectClrLst/>
    <dgm:txLinClrLst/>
    <dgm:txFillClrLst/>
    <dgm:txEffectClrLst/>
  </dgm:styleLbl>
  <dgm:styleLbl name="vennNode1">
    <dgm:fillClrLst meth="repeat">
      <a:schemeClr val="accent3">
        <a:alpha val="50000"/>
      </a:schemeClr>
    </dgm:fillClrLst>
    <dgm:linClrLst meth="repeat">
      <a:schemeClr val="lt1"/>
    </dgm:linClrLst>
    <dgm:effectClrLst/>
    <dgm:txLinClrLst/>
    <dgm:txFillClrLst/>
    <dgm:txEffectClrLst/>
  </dgm:styleLbl>
  <dgm:styleLbl name="node2">
    <dgm:fillClrLst meth="repeat">
      <a:schemeClr val="accent3"/>
    </dgm:fillClrLst>
    <dgm:linClrLst meth="repeat">
      <a:schemeClr val="lt1"/>
    </dgm:linClrLst>
    <dgm:effectClrLst/>
    <dgm:txLinClrLst/>
    <dgm:txFillClrLst/>
    <dgm:txEffectClrLst/>
  </dgm:styleLbl>
  <dgm:styleLbl name="node3">
    <dgm:fillClrLst meth="repeat">
      <a:schemeClr val="accent3"/>
    </dgm:fillClrLst>
    <dgm:linClrLst meth="repeat">
      <a:schemeClr val="lt1"/>
    </dgm:linClrLst>
    <dgm:effectClrLst/>
    <dgm:txLinClrLst/>
    <dgm:txFillClrLst/>
    <dgm:txEffectClrLst/>
  </dgm:styleLbl>
  <dgm:styleLbl name="node4">
    <dgm:fillClrLst meth="repeat">
      <a:schemeClr val="accent3"/>
    </dgm:fillClrLst>
    <dgm:linClrLst meth="repeat">
      <a:schemeClr val="lt1"/>
    </dgm:linClrLst>
    <dgm:effectClrLst/>
    <dgm:txLinClrLst/>
    <dgm:txFillClrLst/>
    <dgm:txEffectClrLst/>
  </dgm:styleLbl>
  <dgm:styleLbl name="fgImgPlace1">
    <dgm:fillClrLst meth="repeat">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3">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3">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3">
        <a:tint val="60000"/>
      </a:schemeClr>
    </dgm:fillClrLst>
    <dgm:linClrLst meth="repeat">
      <a:schemeClr val="accent3">
        <a:tint val="60000"/>
      </a:schemeClr>
    </dgm:linClrLst>
    <dgm:effectClrLst/>
    <dgm:txLinClrLst/>
    <dgm:txFillClrLst/>
    <dgm:txEffectClrLst/>
  </dgm:styleLbl>
  <dgm:styleLbl name="fgSibTrans2D1">
    <dgm:fillClrLst meth="repeat">
      <a:schemeClr val="accent3">
        <a:tint val="60000"/>
      </a:schemeClr>
    </dgm:fillClrLst>
    <dgm:linClrLst meth="repeat">
      <a:schemeClr val="accent3">
        <a:tint val="60000"/>
      </a:schemeClr>
    </dgm:linClrLst>
    <dgm:effectClrLst/>
    <dgm:txLinClrLst/>
    <dgm:txFillClrLst/>
    <dgm:txEffectClrLst/>
  </dgm:styleLbl>
  <dgm:styleLbl name="bgSibTrans2D1">
    <dgm:fillClrLst meth="repeat">
      <a:schemeClr val="accent3">
        <a:tint val="60000"/>
      </a:schemeClr>
    </dgm:fillClrLst>
    <dgm:linClrLst meth="repeat">
      <a:schemeClr val="accent3">
        <a:tint val="60000"/>
      </a:schemeClr>
    </dgm:linClrLst>
    <dgm:effectClrLst/>
    <dgm:txLinClrLst/>
    <dgm:txFillClrLst/>
    <dgm:txEffectClrLst/>
  </dgm:styleLbl>
  <dgm:styleLbl name="sibTrans1D1">
    <dgm:fillClrLst meth="repeat">
      <a:schemeClr val="accent3"/>
    </dgm:fillClrLst>
    <dgm:linClrLst meth="repeat">
      <a:schemeClr val="accent3"/>
    </dgm:linClrLst>
    <dgm:effectClrLst/>
    <dgm:txLinClrLst/>
    <dgm:txFillClrLst meth="repeat">
      <a:schemeClr val="tx1"/>
    </dgm:txFillClrLst>
    <dgm:txEffectClrLst/>
  </dgm:styleLbl>
  <dgm:styleLbl name="callout">
    <dgm:fillClrLst meth="repeat">
      <a:schemeClr val="accent3"/>
    </dgm:fillClrLst>
    <dgm:linClrLst meth="repeat">
      <a:schemeClr val="accent3">
        <a:tint val="50000"/>
      </a:schemeClr>
    </dgm:linClrLst>
    <dgm:effectClrLst/>
    <dgm:txLinClrLst/>
    <dgm:txFillClrLst meth="repeat">
      <a:schemeClr val="tx1"/>
    </dgm:txFillClrLst>
    <dgm:txEffectClrLst/>
  </dgm:styleLbl>
  <dgm:styleLbl name="asst0">
    <dgm:fillClrLst meth="repeat">
      <a:schemeClr val="accent3"/>
    </dgm:fillClrLst>
    <dgm:linClrLst meth="repeat">
      <a:schemeClr val="lt1"/>
    </dgm:linClrLst>
    <dgm:effectClrLst/>
    <dgm:txLinClrLst/>
    <dgm:txFillClrLst/>
    <dgm:txEffectClrLst/>
  </dgm:styleLbl>
  <dgm:styleLbl name="asst1">
    <dgm:fillClrLst meth="repeat">
      <a:schemeClr val="accent3"/>
    </dgm:fillClrLst>
    <dgm:linClrLst meth="repeat">
      <a:schemeClr val="lt1"/>
    </dgm:linClrLst>
    <dgm:effectClrLst/>
    <dgm:txLinClrLst/>
    <dgm:txFillClrLst/>
    <dgm:txEffectClrLst/>
  </dgm:styleLbl>
  <dgm:styleLbl name="asst2">
    <dgm:fillClrLst meth="repeat">
      <a:schemeClr val="accent3"/>
    </dgm:fillClrLst>
    <dgm:linClrLst meth="repeat">
      <a:schemeClr val="lt1"/>
    </dgm:linClrLst>
    <dgm:effectClrLst/>
    <dgm:txLinClrLst/>
    <dgm:txFillClrLst/>
    <dgm:txEffectClrLst/>
  </dgm:styleLbl>
  <dgm:styleLbl name="asst3">
    <dgm:fillClrLst meth="repeat">
      <a:schemeClr val="accent3"/>
    </dgm:fillClrLst>
    <dgm:linClrLst meth="repeat">
      <a:schemeClr val="lt1"/>
    </dgm:linClrLst>
    <dgm:effectClrLst/>
    <dgm:txLinClrLst/>
    <dgm:txFillClrLst/>
    <dgm:txEffectClrLst/>
  </dgm:styleLbl>
  <dgm:styleLbl name="asst4">
    <dgm:fillClrLst meth="repeat">
      <a:schemeClr val="accent3"/>
    </dgm:fillClrLst>
    <dgm:linClrLst meth="repeat">
      <a:schemeClr val="lt1"/>
    </dgm:linClrLst>
    <dgm:effectClrLst/>
    <dgm:txLinClrLst/>
    <dgm:txFillClrLst/>
    <dgm:txEffectClrLst/>
  </dgm:styleLbl>
  <dgm:styleLbl name="parChTrans2D1">
    <dgm:fillClrLst meth="repeat">
      <a:schemeClr val="accent3">
        <a:tint val="60000"/>
      </a:schemeClr>
    </dgm:fillClrLst>
    <dgm:linClrLst meth="repeat">
      <a:schemeClr val="accent3">
        <a:tint val="60000"/>
      </a:schemeClr>
    </dgm:linClrLst>
    <dgm:effectClrLst/>
    <dgm:txLinClrLst/>
    <dgm:txFillClrLst meth="repeat">
      <a:schemeClr val="lt1"/>
    </dgm:txFillClrLst>
    <dgm:txEffectClrLst/>
  </dgm:styleLbl>
  <dgm:styleLbl name="parChTrans2D2">
    <dgm:fillClrLst meth="repeat">
      <a:schemeClr val="accent3"/>
    </dgm:fillClrLst>
    <dgm:linClrLst meth="repeat">
      <a:schemeClr val="accent3"/>
    </dgm:linClrLst>
    <dgm:effectClrLst/>
    <dgm:txLinClrLst/>
    <dgm:txFillClrLst meth="repeat">
      <a:schemeClr val="lt1"/>
    </dgm:txFillClrLst>
    <dgm:txEffectClrLst/>
  </dgm:styleLbl>
  <dgm:styleLbl name="parChTrans2D3">
    <dgm:fillClrLst meth="repeat">
      <a:schemeClr val="accent3"/>
    </dgm:fillClrLst>
    <dgm:linClrLst meth="repeat">
      <a:schemeClr val="accent3"/>
    </dgm:linClrLst>
    <dgm:effectClrLst/>
    <dgm:txLinClrLst/>
    <dgm:txFillClrLst meth="repeat">
      <a:schemeClr val="lt1"/>
    </dgm:txFillClrLst>
    <dgm:txEffectClrLst/>
  </dgm:styleLbl>
  <dgm:styleLbl name="parChTrans2D4">
    <dgm:fillClrLst meth="repeat">
      <a:schemeClr val="accent3"/>
    </dgm:fillClrLst>
    <dgm:linClrLst meth="repeat">
      <a:schemeClr val="accent3"/>
    </dgm:linClrLst>
    <dgm:effectClrLst/>
    <dgm:txLinClrLst/>
    <dgm:txFillClrLst meth="repeat">
      <a:schemeClr val="lt1"/>
    </dgm:txFillClrLst>
    <dgm:txEffectClrLst/>
  </dgm:styleLbl>
  <dgm:styleLbl name="parChTrans1D1">
    <dgm:fillClrLst meth="repeat">
      <a:schemeClr val="accent3"/>
    </dgm:fillClrLst>
    <dgm:linClrLst meth="repeat">
      <a:schemeClr val="accent3">
        <a:shade val="60000"/>
      </a:schemeClr>
    </dgm:linClrLst>
    <dgm:effectClrLst/>
    <dgm:txLinClrLst/>
    <dgm:txFillClrLst meth="repeat">
      <a:schemeClr val="tx1"/>
    </dgm:txFillClrLst>
    <dgm:txEffectClrLst/>
  </dgm:styleLbl>
  <dgm:styleLbl name="parChTrans1D2">
    <dgm:fillClrLst meth="repeat">
      <a:schemeClr val="accent3"/>
    </dgm:fillClrLst>
    <dgm:linClrLst meth="repeat">
      <a:schemeClr val="accent3">
        <a:shade val="60000"/>
      </a:schemeClr>
    </dgm:linClrLst>
    <dgm:effectClrLst/>
    <dgm:txLinClrLst/>
    <dgm:txFillClrLst meth="repeat">
      <a:schemeClr val="tx1"/>
    </dgm:txFillClrLst>
    <dgm:txEffectClrLst/>
  </dgm:styleLbl>
  <dgm:styleLbl name="parChTrans1D3">
    <dgm:fillClrLst meth="repeat">
      <a:schemeClr val="accent3"/>
    </dgm:fillClrLst>
    <dgm:linClrLst meth="repeat">
      <a:schemeClr val="accent3">
        <a:shade val="80000"/>
      </a:schemeClr>
    </dgm:linClrLst>
    <dgm:effectClrLst/>
    <dgm:txLinClrLst/>
    <dgm:txFillClrLst meth="repeat">
      <a:schemeClr val="tx1"/>
    </dgm:txFillClrLst>
    <dgm:txEffectClrLst/>
  </dgm:styleLbl>
  <dgm:styleLbl name="parChTrans1D4">
    <dgm:fillClrLst meth="repeat">
      <a:schemeClr val="accent3"/>
    </dgm:fillClrLst>
    <dgm:linClrLst meth="repeat">
      <a:schemeClr val="accent3">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3"/>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solidFgAcc1">
    <dgm:fillClrLst meth="repeat">
      <a:schemeClr val="lt1"/>
    </dgm:fillClrLst>
    <dgm:linClrLst meth="repeat">
      <a:schemeClr val="accent3"/>
    </dgm:linClrLst>
    <dgm:effectClrLst/>
    <dgm:txLinClrLst/>
    <dgm:txFillClrLst meth="repeat">
      <a:schemeClr val="dk1"/>
    </dgm:txFillClrLst>
    <dgm:txEffectClrLst/>
  </dgm:styleLbl>
  <dgm:styleLbl name="solidAlignAcc1">
    <dgm:fillClrLst meth="repeat">
      <a:schemeClr val="lt1"/>
    </dgm:fillClrLst>
    <dgm:linClrLst meth="repeat">
      <a:schemeClr val="accent3"/>
    </dgm:linClrLst>
    <dgm:effectClrLst/>
    <dgm:txLinClrLst/>
    <dgm:txFillClrLst meth="repeat">
      <a:schemeClr val="dk1"/>
    </dgm:txFillClrLst>
    <dgm:txEffectClrLst/>
  </dgm:styleLbl>
  <dgm:styleLbl name="solidBgAcc1">
    <dgm:fillClrLst meth="repeat">
      <a:schemeClr val="lt1"/>
    </dgm:fillClrLst>
    <dgm:linClrLst meth="repeat">
      <a:schemeClr val="accent3"/>
    </dgm:linClrLst>
    <dgm:effectClrLst/>
    <dgm:txLinClrLst/>
    <dgm:txFillClrLst meth="repeat">
      <a:schemeClr val="dk1"/>
    </dgm:txFillClrLst>
    <dgm:txEffectClrLst/>
  </dgm:styleLbl>
  <dgm:styleLbl name="fgAccFollowNode1">
    <dgm:fillClrLst meth="repeat">
      <a:schemeClr val="accent3">
        <a:alpha val="90000"/>
        <a:tint val="40000"/>
      </a:schemeClr>
    </dgm:fillClrLst>
    <dgm:linClrLst meth="repeat">
      <a:schemeClr val="accent3">
        <a:alpha val="90000"/>
        <a:tint val="40000"/>
      </a:schemeClr>
    </dgm:linClrLst>
    <dgm:effectClrLst/>
    <dgm:txLinClrLst/>
    <dgm:txFillClrLst meth="repeat">
      <a:schemeClr val="dk1"/>
    </dgm:txFillClrLst>
    <dgm:txEffectClrLst/>
  </dgm:styleLbl>
  <dgm:styleLbl name="alignAccFollowNode1">
    <dgm:fillClrLst meth="repeat">
      <a:schemeClr val="accent3">
        <a:alpha val="90000"/>
        <a:tint val="40000"/>
      </a:schemeClr>
    </dgm:fillClrLst>
    <dgm:linClrLst meth="repeat">
      <a:schemeClr val="accent3">
        <a:alpha val="90000"/>
        <a:tint val="40000"/>
      </a:schemeClr>
    </dgm:linClrLst>
    <dgm:effectClrLst/>
    <dgm:txLinClrLst/>
    <dgm:txFillClrLst meth="repeat">
      <a:schemeClr val="dk1"/>
    </dgm:txFillClrLst>
    <dgm:txEffectClrLst/>
  </dgm:styleLbl>
  <dgm:styleLbl name="bgAccFollowNode1">
    <dgm:fillClrLst meth="repeat">
      <a:schemeClr val="accent3">
        <a:alpha val="90000"/>
        <a:tint val="40000"/>
      </a:schemeClr>
    </dgm:fillClrLst>
    <dgm:linClrLst meth="repeat">
      <a:schemeClr val="accent3">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bgShp">
    <dgm:fillClrLst meth="repeat">
      <a:schemeClr val="accent3">
        <a:tint val="40000"/>
      </a:schemeClr>
    </dgm:fillClrLst>
    <dgm:linClrLst meth="repeat">
      <a:schemeClr val="accent3"/>
    </dgm:linClrLst>
    <dgm:effectClrLst/>
    <dgm:txLinClrLst/>
    <dgm:txFillClrLst meth="repeat">
      <a:schemeClr val="dk1"/>
    </dgm:txFillClrLst>
    <dgm:txEffectClrLst/>
  </dgm:styleLbl>
  <dgm:styleLbl name="dkBgShp">
    <dgm:fillClrLst meth="repeat">
      <a:schemeClr val="accent3">
        <a:shade val="80000"/>
      </a:schemeClr>
    </dgm:fillClrLst>
    <dgm:linClrLst meth="repeat">
      <a:schemeClr val="accent3"/>
    </dgm:linClrLst>
    <dgm:effectClrLst/>
    <dgm:txLinClrLst/>
    <dgm:txFillClrLst meth="repeat">
      <a:schemeClr val="lt1"/>
    </dgm:txFillClrLst>
    <dgm:txEffectClrLst/>
  </dgm:styleLbl>
  <dgm:styleLbl name="trBgShp">
    <dgm:fillClrLst meth="repeat">
      <a:schemeClr val="accent3">
        <a:tint val="50000"/>
        <a:alpha val="40000"/>
      </a:schemeClr>
    </dgm:fillClrLst>
    <dgm:linClrLst meth="repeat">
      <a:schemeClr val="accent3"/>
    </dgm:linClrLst>
    <dgm:effectClrLst/>
    <dgm:txLinClrLst/>
    <dgm:txFillClrLst meth="repeat">
      <a:schemeClr val="lt1"/>
    </dgm:txFillClrLst>
    <dgm:txEffectClrLst/>
  </dgm:styleLbl>
  <dgm:styleLbl name="fgShp">
    <dgm:fillClrLst meth="repeat">
      <a:schemeClr val="accent3">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3_2">
  <dgm:title val=""/>
  <dgm:desc val=""/>
  <dgm:catLst>
    <dgm:cat type="accent3" pri="11200"/>
  </dgm:catLst>
  <dgm:styleLbl name="node0">
    <dgm:fillClrLst meth="repeat">
      <a:schemeClr val="accent3"/>
    </dgm:fillClrLst>
    <dgm:linClrLst meth="repeat">
      <a:schemeClr val="lt1"/>
    </dgm:linClrLst>
    <dgm:effectClrLst/>
    <dgm:txLinClrLst/>
    <dgm:txFillClrLst/>
    <dgm:txEffectClrLst/>
  </dgm:styleLbl>
  <dgm:styleLbl name="node1">
    <dgm:fillClrLst meth="repeat">
      <a:schemeClr val="accent3"/>
    </dgm:fillClrLst>
    <dgm:linClrLst meth="repeat">
      <a:schemeClr val="lt1"/>
    </dgm:linClrLst>
    <dgm:effectClrLst/>
    <dgm:txLinClrLst/>
    <dgm:txFillClrLst/>
    <dgm:txEffectClrLst/>
  </dgm:styleLbl>
  <dgm:styleLbl name="alignNode1">
    <dgm:fillClrLst meth="repeat">
      <a:schemeClr val="accent3"/>
    </dgm:fillClrLst>
    <dgm:linClrLst meth="repeat">
      <a:schemeClr val="accent3"/>
    </dgm:linClrLst>
    <dgm:effectClrLst/>
    <dgm:txLinClrLst/>
    <dgm:txFillClrLst/>
    <dgm:txEffectClrLst/>
  </dgm:styleLbl>
  <dgm:styleLbl name="lnNode1">
    <dgm:fillClrLst meth="repeat">
      <a:schemeClr val="accent3"/>
    </dgm:fillClrLst>
    <dgm:linClrLst meth="repeat">
      <a:schemeClr val="lt1"/>
    </dgm:linClrLst>
    <dgm:effectClrLst/>
    <dgm:txLinClrLst/>
    <dgm:txFillClrLst/>
    <dgm:txEffectClrLst/>
  </dgm:styleLbl>
  <dgm:styleLbl name="vennNode1">
    <dgm:fillClrLst meth="repeat">
      <a:schemeClr val="accent3">
        <a:alpha val="50000"/>
      </a:schemeClr>
    </dgm:fillClrLst>
    <dgm:linClrLst meth="repeat">
      <a:schemeClr val="lt1"/>
    </dgm:linClrLst>
    <dgm:effectClrLst/>
    <dgm:txLinClrLst/>
    <dgm:txFillClrLst/>
    <dgm:txEffectClrLst/>
  </dgm:styleLbl>
  <dgm:styleLbl name="node2">
    <dgm:fillClrLst meth="repeat">
      <a:schemeClr val="accent3"/>
    </dgm:fillClrLst>
    <dgm:linClrLst meth="repeat">
      <a:schemeClr val="lt1"/>
    </dgm:linClrLst>
    <dgm:effectClrLst/>
    <dgm:txLinClrLst/>
    <dgm:txFillClrLst/>
    <dgm:txEffectClrLst/>
  </dgm:styleLbl>
  <dgm:styleLbl name="node3">
    <dgm:fillClrLst meth="repeat">
      <a:schemeClr val="accent3"/>
    </dgm:fillClrLst>
    <dgm:linClrLst meth="repeat">
      <a:schemeClr val="lt1"/>
    </dgm:linClrLst>
    <dgm:effectClrLst/>
    <dgm:txLinClrLst/>
    <dgm:txFillClrLst/>
    <dgm:txEffectClrLst/>
  </dgm:styleLbl>
  <dgm:styleLbl name="node4">
    <dgm:fillClrLst meth="repeat">
      <a:schemeClr val="accent3"/>
    </dgm:fillClrLst>
    <dgm:linClrLst meth="repeat">
      <a:schemeClr val="lt1"/>
    </dgm:linClrLst>
    <dgm:effectClrLst/>
    <dgm:txLinClrLst/>
    <dgm:txFillClrLst/>
    <dgm:txEffectClrLst/>
  </dgm:styleLbl>
  <dgm:styleLbl name="fgImgPlace1">
    <dgm:fillClrLst meth="repeat">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3">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3">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3">
        <a:tint val="60000"/>
      </a:schemeClr>
    </dgm:fillClrLst>
    <dgm:linClrLst meth="repeat">
      <a:schemeClr val="accent3">
        <a:tint val="60000"/>
      </a:schemeClr>
    </dgm:linClrLst>
    <dgm:effectClrLst/>
    <dgm:txLinClrLst/>
    <dgm:txFillClrLst/>
    <dgm:txEffectClrLst/>
  </dgm:styleLbl>
  <dgm:styleLbl name="fgSibTrans2D1">
    <dgm:fillClrLst meth="repeat">
      <a:schemeClr val="accent3">
        <a:tint val="60000"/>
      </a:schemeClr>
    </dgm:fillClrLst>
    <dgm:linClrLst meth="repeat">
      <a:schemeClr val="accent3">
        <a:tint val="60000"/>
      </a:schemeClr>
    </dgm:linClrLst>
    <dgm:effectClrLst/>
    <dgm:txLinClrLst/>
    <dgm:txFillClrLst/>
    <dgm:txEffectClrLst/>
  </dgm:styleLbl>
  <dgm:styleLbl name="bgSibTrans2D1">
    <dgm:fillClrLst meth="repeat">
      <a:schemeClr val="accent3">
        <a:tint val="60000"/>
      </a:schemeClr>
    </dgm:fillClrLst>
    <dgm:linClrLst meth="repeat">
      <a:schemeClr val="accent3">
        <a:tint val="60000"/>
      </a:schemeClr>
    </dgm:linClrLst>
    <dgm:effectClrLst/>
    <dgm:txLinClrLst/>
    <dgm:txFillClrLst/>
    <dgm:txEffectClrLst/>
  </dgm:styleLbl>
  <dgm:styleLbl name="sibTrans1D1">
    <dgm:fillClrLst meth="repeat">
      <a:schemeClr val="accent3"/>
    </dgm:fillClrLst>
    <dgm:linClrLst meth="repeat">
      <a:schemeClr val="accent3"/>
    </dgm:linClrLst>
    <dgm:effectClrLst/>
    <dgm:txLinClrLst/>
    <dgm:txFillClrLst meth="repeat">
      <a:schemeClr val="tx1"/>
    </dgm:txFillClrLst>
    <dgm:txEffectClrLst/>
  </dgm:styleLbl>
  <dgm:styleLbl name="callout">
    <dgm:fillClrLst meth="repeat">
      <a:schemeClr val="accent3"/>
    </dgm:fillClrLst>
    <dgm:linClrLst meth="repeat">
      <a:schemeClr val="accent3">
        <a:tint val="50000"/>
      </a:schemeClr>
    </dgm:linClrLst>
    <dgm:effectClrLst/>
    <dgm:txLinClrLst/>
    <dgm:txFillClrLst meth="repeat">
      <a:schemeClr val="tx1"/>
    </dgm:txFillClrLst>
    <dgm:txEffectClrLst/>
  </dgm:styleLbl>
  <dgm:styleLbl name="asst0">
    <dgm:fillClrLst meth="repeat">
      <a:schemeClr val="accent3"/>
    </dgm:fillClrLst>
    <dgm:linClrLst meth="repeat">
      <a:schemeClr val="lt1"/>
    </dgm:linClrLst>
    <dgm:effectClrLst/>
    <dgm:txLinClrLst/>
    <dgm:txFillClrLst/>
    <dgm:txEffectClrLst/>
  </dgm:styleLbl>
  <dgm:styleLbl name="asst1">
    <dgm:fillClrLst meth="repeat">
      <a:schemeClr val="accent3"/>
    </dgm:fillClrLst>
    <dgm:linClrLst meth="repeat">
      <a:schemeClr val="lt1"/>
    </dgm:linClrLst>
    <dgm:effectClrLst/>
    <dgm:txLinClrLst/>
    <dgm:txFillClrLst/>
    <dgm:txEffectClrLst/>
  </dgm:styleLbl>
  <dgm:styleLbl name="asst2">
    <dgm:fillClrLst meth="repeat">
      <a:schemeClr val="accent3"/>
    </dgm:fillClrLst>
    <dgm:linClrLst meth="repeat">
      <a:schemeClr val="lt1"/>
    </dgm:linClrLst>
    <dgm:effectClrLst/>
    <dgm:txLinClrLst/>
    <dgm:txFillClrLst/>
    <dgm:txEffectClrLst/>
  </dgm:styleLbl>
  <dgm:styleLbl name="asst3">
    <dgm:fillClrLst meth="repeat">
      <a:schemeClr val="accent3"/>
    </dgm:fillClrLst>
    <dgm:linClrLst meth="repeat">
      <a:schemeClr val="lt1"/>
    </dgm:linClrLst>
    <dgm:effectClrLst/>
    <dgm:txLinClrLst/>
    <dgm:txFillClrLst/>
    <dgm:txEffectClrLst/>
  </dgm:styleLbl>
  <dgm:styleLbl name="asst4">
    <dgm:fillClrLst meth="repeat">
      <a:schemeClr val="accent3"/>
    </dgm:fillClrLst>
    <dgm:linClrLst meth="repeat">
      <a:schemeClr val="lt1"/>
    </dgm:linClrLst>
    <dgm:effectClrLst/>
    <dgm:txLinClrLst/>
    <dgm:txFillClrLst/>
    <dgm:txEffectClrLst/>
  </dgm:styleLbl>
  <dgm:styleLbl name="parChTrans2D1">
    <dgm:fillClrLst meth="repeat">
      <a:schemeClr val="accent3">
        <a:tint val="60000"/>
      </a:schemeClr>
    </dgm:fillClrLst>
    <dgm:linClrLst meth="repeat">
      <a:schemeClr val="accent3">
        <a:tint val="60000"/>
      </a:schemeClr>
    </dgm:linClrLst>
    <dgm:effectClrLst/>
    <dgm:txLinClrLst/>
    <dgm:txFillClrLst meth="repeat">
      <a:schemeClr val="lt1"/>
    </dgm:txFillClrLst>
    <dgm:txEffectClrLst/>
  </dgm:styleLbl>
  <dgm:styleLbl name="parChTrans2D2">
    <dgm:fillClrLst meth="repeat">
      <a:schemeClr val="accent3"/>
    </dgm:fillClrLst>
    <dgm:linClrLst meth="repeat">
      <a:schemeClr val="accent3"/>
    </dgm:linClrLst>
    <dgm:effectClrLst/>
    <dgm:txLinClrLst/>
    <dgm:txFillClrLst meth="repeat">
      <a:schemeClr val="lt1"/>
    </dgm:txFillClrLst>
    <dgm:txEffectClrLst/>
  </dgm:styleLbl>
  <dgm:styleLbl name="parChTrans2D3">
    <dgm:fillClrLst meth="repeat">
      <a:schemeClr val="accent3"/>
    </dgm:fillClrLst>
    <dgm:linClrLst meth="repeat">
      <a:schemeClr val="accent3"/>
    </dgm:linClrLst>
    <dgm:effectClrLst/>
    <dgm:txLinClrLst/>
    <dgm:txFillClrLst meth="repeat">
      <a:schemeClr val="lt1"/>
    </dgm:txFillClrLst>
    <dgm:txEffectClrLst/>
  </dgm:styleLbl>
  <dgm:styleLbl name="parChTrans2D4">
    <dgm:fillClrLst meth="repeat">
      <a:schemeClr val="accent3"/>
    </dgm:fillClrLst>
    <dgm:linClrLst meth="repeat">
      <a:schemeClr val="accent3"/>
    </dgm:linClrLst>
    <dgm:effectClrLst/>
    <dgm:txLinClrLst/>
    <dgm:txFillClrLst meth="repeat">
      <a:schemeClr val="lt1"/>
    </dgm:txFillClrLst>
    <dgm:txEffectClrLst/>
  </dgm:styleLbl>
  <dgm:styleLbl name="parChTrans1D1">
    <dgm:fillClrLst meth="repeat">
      <a:schemeClr val="accent3"/>
    </dgm:fillClrLst>
    <dgm:linClrLst meth="repeat">
      <a:schemeClr val="accent3">
        <a:shade val="60000"/>
      </a:schemeClr>
    </dgm:linClrLst>
    <dgm:effectClrLst/>
    <dgm:txLinClrLst/>
    <dgm:txFillClrLst meth="repeat">
      <a:schemeClr val="tx1"/>
    </dgm:txFillClrLst>
    <dgm:txEffectClrLst/>
  </dgm:styleLbl>
  <dgm:styleLbl name="parChTrans1D2">
    <dgm:fillClrLst meth="repeat">
      <a:schemeClr val="accent3"/>
    </dgm:fillClrLst>
    <dgm:linClrLst meth="repeat">
      <a:schemeClr val="accent3">
        <a:shade val="60000"/>
      </a:schemeClr>
    </dgm:linClrLst>
    <dgm:effectClrLst/>
    <dgm:txLinClrLst/>
    <dgm:txFillClrLst meth="repeat">
      <a:schemeClr val="tx1"/>
    </dgm:txFillClrLst>
    <dgm:txEffectClrLst/>
  </dgm:styleLbl>
  <dgm:styleLbl name="parChTrans1D3">
    <dgm:fillClrLst meth="repeat">
      <a:schemeClr val="accent3"/>
    </dgm:fillClrLst>
    <dgm:linClrLst meth="repeat">
      <a:schemeClr val="accent3">
        <a:shade val="80000"/>
      </a:schemeClr>
    </dgm:linClrLst>
    <dgm:effectClrLst/>
    <dgm:txLinClrLst/>
    <dgm:txFillClrLst meth="repeat">
      <a:schemeClr val="tx1"/>
    </dgm:txFillClrLst>
    <dgm:txEffectClrLst/>
  </dgm:styleLbl>
  <dgm:styleLbl name="parChTrans1D4">
    <dgm:fillClrLst meth="repeat">
      <a:schemeClr val="accent3"/>
    </dgm:fillClrLst>
    <dgm:linClrLst meth="repeat">
      <a:schemeClr val="accent3">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3"/>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solidFgAcc1">
    <dgm:fillClrLst meth="repeat">
      <a:schemeClr val="lt1"/>
    </dgm:fillClrLst>
    <dgm:linClrLst meth="repeat">
      <a:schemeClr val="accent3"/>
    </dgm:linClrLst>
    <dgm:effectClrLst/>
    <dgm:txLinClrLst/>
    <dgm:txFillClrLst meth="repeat">
      <a:schemeClr val="dk1"/>
    </dgm:txFillClrLst>
    <dgm:txEffectClrLst/>
  </dgm:styleLbl>
  <dgm:styleLbl name="solidAlignAcc1">
    <dgm:fillClrLst meth="repeat">
      <a:schemeClr val="lt1"/>
    </dgm:fillClrLst>
    <dgm:linClrLst meth="repeat">
      <a:schemeClr val="accent3"/>
    </dgm:linClrLst>
    <dgm:effectClrLst/>
    <dgm:txLinClrLst/>
    <dgm:txFillClrLst meth="repeat">
      <a:schemeClr val="dk1"/>
    </dgm:txFillClrLst>
    <dgm:txEffectClrLst/>
  </dgm:styleLbl>
  <dgm:styleLbl name="solidBgAcc1">
    <dgm:fillClrLst meth="repeat">
      <a:schemeClr val="lt1"/>
    </dgm:fillClrLst>
    <dgm:linClrLst meth="repeat">
      <a:schemeClr val="accent3"/>
    </dgm:linClrLst>
    <dgm:effectClrLst/>
    <dgm:txLinClrLst/>
    <dgm:txFillClrLst meth="repeat">
      <a:schemeClr val="dk1"/>
    </dgm:txFillClrLst>
    <dgm:txEffectClrLst/>
  </dgm:styleLbl>
  <dgm:styleLbl name="fgAccFollowNode1">
    <dgm:fillClrLst meth="repeat">
      <a:schemeClr val="accent3">
        <a:alpha val="90000"/>
        <a:tint val="40000"/>
      </a:schemeClr>
    </dgm:fillClrLst>
    <dgm:linClrLst meth="repeat">
      <a:schemeClr val="accent3">
        <a:alpha val="90000"/>
        <a:tint val="40000"/>
      </a:schemeClr>
    </dgm:linClrLst>
    <dgm:effectClrLst/>
    <dgm:txLinClrLst/>
    <dgm:txFillClrLst meth="repeat">
      <a:schemeClr val="dk1"/>
    </dgm:txFillClrLst>
    <dgm:txEffectClrLst/>
  </dgm:styleLbl>
  <dgm:styleLbl name="alignAccFollowNode1">
    <dgm:fillClrLst meth="repeat">
      <a:schemeClr val="accent3">
        <a:alpha val="90000"/>
        <a:tint val="40000"/>
      </a:schemeClr>
    </dgm:fillClrLst>
    <dgm:linClrLst meth="repeat">
      <a:schemeClr val="accent3">
        <a:alpha val="90000"/>
        <a:tint val="40000"/>
      </a:schemeClr>
    </dgm:linClrLst>
    <dgm:effectClrLst/>
    <dgm:txLinClrLst/>
    <dgm:txFillClrLst meth="repeat">
      <a:schemeClr val="dk1"/>
    </dgm:txFillClrLst>
    <dgm:txEffectClrLst/>
  </dgm:styleLbl>
  <dgm:styleLbl name="bgAccFollowNode1">
    <dgm:fillClrLst meth="repeat">
      <a:schemeClr val="accent3">
        <a:alpha val="90000"/>
        <a:tint val="40000"/>
      </a:schemeClr>
    </dgm:fillClrLst>
    <dgm:linClrLst meth="repeat">
      <a:schemeClr val="accent3">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bgShp">
    <dgm:fillClrLst meth="repeat">
      <a:schemeClr val="accent3">
        <a:tint val="40000"/>
      </a:schemeClr>
    </dgm:fillClrLst>
    <dgm:linClrLst meth="repeat">
      <a:schemeClr val="accent3"/>
    </dgm:linClrLst>
    <dgm:effectClrLst/>
    <dgm:txLinClrLst/>
    <dgm:txFillClrLst meth="repeat">
      <a:schemeClr val="dk1"/>
    </dgm:txFillClrLst>
    <dgm:txEffectClrLst/>
  </dgm:styleLbl>
  <dgm:styleLbl name="dkBgShp">
    <dgm:fillClrLst meth="repeat">
      <a:schemeClr val="accent3">
        <a:shade val="80000"/>
      </a:schemeClr>
    </dgm:fillClrLst>
    <dgm:linClrLst meth="repeat">
      <a:schemeClr val="accent3"/>
    </dgm:linClrLst>
    <dgm:effectClrLst/>
    <dgm:txLinClrLst/>
    <dgm:txFillClrLst meth="repeat">
      <a:schemeClr val="lt1"/>
    </dgm:txFillClrLst>
    <dgm:txEffectClrLst/>
  </dgm:styleLbl>
  <dgm:styleLbl name="trBgShp">
    <dgm:fillClrLst meth="repeat">
      <a:schemeClr val="accent3">
        <a:tint val="50000"/>
        <a:alpha val="40000"/>
      </a:schemeClr>
    </dgm:fillClrLst>
    <dgm:linClrLst meth="repeat">
      <a:schemeClr val="accent3"/>
    </dgm:linClrLst>
    <dgm:effectClrLst/>
    <dgm:txLinClrLst/>
    <dgm:txFillClrLst meth="repeat">
      <a:schemeClr val="lt1"/>
    </dgm:txFillClrLst>
    <dgm:txEffectClrLst/>
  </dgm:styleLbl>
  <dgm:styleLbl name="fgShp">
    <dgm:fillClrLst meth="repeat">
      <a:schemeClr val="accent3">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xml><?xml version="1.0" encoding="utf-8"?>
<dgm:colorsDef xmlns:dgm="http://schemas.openxmlformats.org/drawingml/2006/diagram" xmlns:a="http://schemas.openxmlformats.org/drawingml/2006/main" uniqueId="urn:microsoft.com/office/officeart/2005/8/colors/accent3_2">
  <dgm:title val=""/>
  <dgm:desc val=""/>
  <dgm:catLst>
    <dgm:cat type="accent3" pri="11200"/>
  </dgm:catLst>
  <dgm:styleLbl name="node0">
    <dgm:fillClrLst meth="repeat">
      <a:schemeClr val="accent3"/>
    </dgm:fillClrLst>
    <dgm:linClrLst meth="repeat">
      <a:schemeClr val="lt1"/>
    </dgm:linClrLst>
    <dgm:effectClrLst/>
    <dgm:txLinClrLst/>
    <dgm:txFillClrLst/>
    <dgm:txEffectClrLst/>
  </dgm:styleLbl>
  <dgm:styleLbl name="node1">
    <dgm:fillClrLst meth="repeat">
      <a:schemeClr val="accent3"/>
    </dgm:fillClrLst>
    <dgm:linClrLst meth="repeat">
      <a:schemeClr val="lt1"/>
    </dgm:linClrLst>
    <dgm:effectClrLst/>
    <dgm:txLinClrLst/>
    <dgm:txFillClrLst/>
    <dgm:txEffectClrLst/>
  </dgm:styleLbl>
  <dgm:styleLbl name="alignNode1">
    <dgm:fillClrLst meth="repeat">
      <a:schemeClr val="accent3"/>
    </dgm:fillClrLst>
    <dgm:linClrLst meth="repeat">
      <a:schemeClr val="accent3"/>
    </dgm:linClrLst>
    <dgm:effectClrLst/>
    <dgm:txLinClrLst/>
    <dgm:txFillClrLst/>
    <dgm:txEffectClrLst/>
  </dgm:styleLbl>
  <dgm:styleLbl name="lnNode1">
    <dgm:fillClrLst meth="repeat">
      <a:schemeClr val="accent3"/>
    </dgm:fillClrLst>
    <dgm:linClrLst meth="repeat">
      <a:schemeClr val="lt1"/>
    </dgm:linClrLst>
    <dgm:effectClrLst/>
    <dgm:txLinClrLst/>
    <dgm:txFillClrLst/>
    <dgm:txEffectClrLst/>
  </dgm:styleLbl>
  <dgm:styleLbl name="vennNode1">
    <dgm:fillClrLst meth="repeat">
      <a:schemeClr val="accent3">
        <a:alpha val="50000"/>
      </a:schemeClr>
    </dgm:fillClrLst>
    <dgm:linClrLst meth="repeat">
      <a:schemeClr val="lt1"/>
    </dgm:linClrLst>
    <dgm:effectClrLst/>
    <dgm:txLinClrLst/>
    <dgm:txFillClrLst/>
    <dgm:txEffectClrLst/>
  </dgm:styleLbl>
  <dgm:styleLbl name="node2">
    <dgm:fillClrLst meth="repeat">
      <a:schemeClr val="accent3"/>
    </dgm:fillClrLst>
    <dgm:linClrLst meth="repeat">
      <a:schemeClr val="lt1"/>
    </dgm:linClrLst>
    <dgm:effectClrLst/>
    <dgm:txLinClrLst/>
    <dgm:txFillClrLst/>
    <dgm:txEffectClrLst/>
  </dgm:styleLbl>
  <dgm:styleLbl name="node3">
    <dgm:fillClrLst meth="repeat">
      <a:schemeClr val="accent3"/>
    </dgm:fillClrLst>
    <dgm:linClrLst meth="repeat">
      <a:schemeClr val="lt1"/>
    </dgm:linClrLst>
    <dgm:effectClrLst/>
    <dgm:txLinClrLst/>
    <dgm:txFillClrLst/>
    <dgm:txEffectClrLst/>
  </dgm:styleLbl>
  <dgm:styleLbl name="node4">
    <dgm:fillClrLst meth="repeat">
      <a:schemeClr val="accent3"/>
    </dgm:fillClrLst>
    <dgm:linClrLst meth="repeat">
      <a:schemeClr val="lt1"/>
    </dgm:linClrLst>
    <dgm:effectClrLst/>
    <dgm:txLinClrLst/>
    <dgm:txFillClrLst/>
    <dgm:txEffectClrLst/>
  </dgm:styleLbl>
  <dgm:styleLbl name="fgImgPlace1">
    <dgm:fillClrLst meth="repeat">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3">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3">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3">
        <a:tint val="60000"/>
      </a:schemeClr>
    </dgm:fillClrLst>
    <dgm:linClrLst meth="repeat">
      <a:schemeClr val="accent3">
        <a:tint val="60000"/>
      </a:schemeClr>
    </dgm:linClrLst>
    <dgm:effectClrLst/>
    <dgm:txLinClrLst/>
    <dgm:txFillClrLst/>
    <dgm:txEffectClrLst/>
  </dgm:styleLbl>
  <dgm:styleLbl name="fgSibTrans2D1">
    <dgm:fillClrLst meth="repeat">
      <a:schemeClr val="accent3">
        <a:tint val="60000"/>
      </a:schemeClr>
    </dgm:fillClrLst>
    <dgm:linClrLst meth="repeat">
      <a:schemeClr val="accent3">
        <a:tint val="60000"/>
      </a:schemeClr>
    </dgm:linClrLst>
    <dgm:effectClrLst/>
    <dgm:txLinClrLst/>
    <dgm:txFillClrLst/>
    <dgm:txEffectClrLst/>
  </dgm:styleLbl>
  <dgm:styleLbl name="bgSibTrans2D1">
    <dgm:fillClrLst meth="repeat">
      <a:schemeClr val="accent3">
        <a:tint val="60000"/>
      </a:schemeClr>
    </dgm:fillClrLst>
    <dgm:linClrLst meth="repeat">
      <a:schemeClr val="accent3">
        <a:tint val="60000"/>
      </a:schemeClr>
    </dgm:linClrLst>
    <dgm:effectClrLst/>
    <dgm:txLinClrLst/>
    <dgm:txFillClrLst/>
    <dgm:txEffectClrLst/>
  </dgm:styleLbl>
  <dgm:styleLbl name="sibTrans1D1">
    <dgm:fillClrLst meth="repeat">
      <a:schemeClr val="accent3"/>
    </dgm:fillClrLst>
    <dgm:linClrLst meth="repeat">
      <a:schemeClr val="accent3"/>
    </dgm:linClrLst>
    <dgm:effectClrLst/>
    <dgm:txLinClrLst/>
    <dgm:txFillClrLst meth="repeat">
      <a:schemeClr val="tx1"/>
    </dgm:txFillClrLst>
    <dgm:txEffectClrLst/>
  </dgm:styleLbl>
  <dgm:styleLbl name="callout">
    <dgm:fillClrLst meth="repeat">
      <a:schemeClr val="accent3"/>
    </dgm:fillClrLst>
    <dgm:linClrLst meth="repeat">
      <a:schemeClr val="accent3">
        <a:tint val="50000"/>
      </a:schemeClr>
    </dgm:linClrLst>
    <dgm:effectClrLst/>
    <dgm:txLinClrLst/>
    <dgm:txFillClrLst meth="repeat">
      <a:schemeClr val="tx1"/>
    </dgm:txFillClrLst>
    <dgm:txEffectClrLst/>
  </dgm:styleLbl>
  <dgm:styleLbl name="asst0">
    <dgm:fillClrLst meth="repeat">
      <a:schemeClr val="accent3"/>
    </dgm:fillClrLst>
    <dgm:linClrLst meth="repeat">
      <a:schemeClr val="lt1"/>
    </dgm:linClrLst>
    <dgm:effectClrLst/>
    <dgm:txLinClrLst/>
    <dgm:txFillClrLst/>
    <dgm:txEffectClrLst/>
  </dgm:styleLbl>
  <dgm:styleLbl name="asst1">
    <dgm:fillClrLst meth="repeat">
      <a:schemeClr val="accent3"/>
    </dgm:fillClrLst>
    <dgm:linClrLst meth="repeat">
      <a:schemeClr val="lt1"/>
    </dgm:linClrLst>
    <dgm:effectClrLst/>
    <dgm:txLinClrLst/>
    <dgm:txFillClrLst/>
    <dgm:txEffectClrLst/>
  </dgm:styleLbl>
  <dgm:styleLbl name="asst2">
    <dgm:fillClrLst meth="repeat">
      <a:schemeClr val="accent3"/>
    </dgm:fillClrLst>
    <dgm:linClrLst meth="repeat">
      <a:schemeClr val="lt1"/>
    </dgm:linClrLst>
    <dgm:effectClrLst/>
    <dgm:txLinClrLst/>
    <dgm:txFillClrLst/>
    <dgm:txEffectClrLst/>
  </dgm:styleLbl>
  <dgm:styleLbl name="asst3">
    <dgm:fillClrLst meth="repeat">
      <a:schemeClr val="accent3"/>
    </dgm:fillClrLst>
    <dgm:linClrLst meth="repeat">
      <a:schemeClr val="lt1"/>
    </dgm:linClrLst>
    <dgm:effectClrLst/>
    <dgm:txLinClrLst/>
    <dgm:txFillClrLst/>
    <dgm:txEffectClrLst/>
  </dgm:styleLbl>
  <dgm:styleLbl name="asst4">
    <dgm:fillClrLst meth="repeat">
      <a:schemeClr val="accent3"/>
    </dgm:fillClrLst>
    <dgm:linClrLst meth="repeat">
      <a:schemeClr val="lt1"/>
    </dgm:linClrLst>
    <dgm:effectClrLst/>
    <dgm:txLinClrLst/>
    <dgm:txFillClrLst/>
    <dgm:txEffectClrLst/>
  </dgm:styleLbl>
  <dgm:styleLbl name="parChTrans2D1">
    <dgm:fillClrLst meth="repeat">
      <a:schemeClr val="accent3">
        <a:tint val="60000"/>
      </a:schemeClr>
    </dgm:fillClrLst>
    <dgm:linClrLst meth="repeat">
      <a:schemeClr val="accent3">
        <a:tint val="60000"/>
      </a:schemeClr>
    </dgm:linClrLst>
    <dgm:effectClrLst/>
    <dgm:txLinClrLst/>
    <dgm:txFillClrLst meth="repeat">
      <a:schemeClr val="lt1"/>
    </dgm:txFillClrLst>
    <dgm:txEffectClrLst/>
  </dgm:styleLbl>
  <dgm:styleLbl name="parChTrans2D2">
    <dgm:fillClrLst meth="repeat">
      <a:schemeClr val="accent3"/>
    </dgm:fillClrLst>
    <dgm:linClrLst meth="repeat">
      <a:schemeClr val="accent3"/>
    </dgm:linClrLst>
    <dgm:effectClrLst/>
    <dgm:txLinClrLst/>
    <dgm:txFillClrLst meth="repeat">
      <a:schemeClr val="lt1"/>
    </dgm:txFillClrLst>
    <dgm:txEffectClrLst/>
  </dgm:styleLbl>
  <dgm:styleLbl name="parChTrans2D3">
    <dgm:fillClrLst meth="repeat">
      <a:schemeClr val="accent3"/>
    </dgm:fillClrLst>
    <dgm:linClrLst meth="repeat">
      <a:schemeClr val="accent3"/>
    </dgm:linClrLst>
    <dgm:effectClrLst/>
    <dgm:txLinClrLst/>
    <dgm:txFillClrLst meth="repeat">
      <a:schemeClr val="lt1"/>
    </dgm:txFillClrLst>
    <dgm:txEffectClrLst/>
  </dgm:styleLbl>
  <dgm:styleLbl name="parChTrans2D4">
    <dgm:fillClrLst meth="repeat">
      <a:schemeClr val="accent3"/>
    </dgm:fillClrLst>
    <dgm:linClrLst meth="repeat">
      <a:schemeClr val="accent3"/>
    </dgm:linClrLst>
    <dgm:effectClrLst/>
    <dgm:txLinClrLst/>
    <dgm:txFillClrLst meth="repeat">
      <a:schemeClr val="lt1"/>
    </dgm:txFillClrLst>
    <dgm:txEffectClrLst/>
  </dgm:styleLbl>
  <dgm:styleLbl name="parChTrans1D1">
    <dgm:fillClrLst meth="repeat">
      <a:schemeClr val="accent3"/>
    </dgm:fillClrLst>
    <dgm:linClrLst meth="repeat">
      <a:schemeClr val="accent3">
        <a:shade val="60000"/>
      </a:schemeClr>
    </dgm:linClrLst>
    <dgm:effectClrLst/>
    <dgm:txLinClrLst/>
    <dgm:txFillClrLst meth="repeat">
      <a:schemeClr val="tx1"/>
    </dgm:txFillClrLst>
    <dgm:txEffectClrLst/>
  </dgm:styleLbl>
  <dgm:styleLbl name="parChTrans1D2">
    <dgm:fillClrLst meth="repeat">
      <a:schemeClr val="accent3"/>
    </dgm:fillClrLst>
    <dgm:linClrLst meth="repeat">
      <a:schemeClr val="accent3">
        <a:shade val="60000"/>
      </a:schemeClr>
    </dgm:linClrLst>
    <dgm:effectClrLst/>
    <dgm:txLinClrLst/>
    <dgm:txFillClrLst meth="repeat">
      <a:schemeClr val="tx1"/>
    </dgm:txFillClrLst>
    <dgm:txEffectClrLst/>
  </dgm:styleLbl>
  <dgm:styleLbl name="parChTrans1D3">
    <dgm:fillClrLst meth="repeat">
      <a:schemeClr val="accent3"/>
    </dgm:fillClrLst>
    <dgm:linClrLst meth="repeat">
      <a:schemeClr val="accent3">
        <a:shade val="80000"/>
      </a:schemeClr>
    </dgm:linClrLst>
    <dgm:effectClrLst/>
    <dgm:txLinClrLst/>
    <dgm:txFillClrLst meth="repeat">
      <a:schemeClr val="tx1"/>
    </dgm:txFillClrLst>
    <dgm:txEffectClrLst/>
  </dgm:styleLbl>
  <dgm:styleLbl name="parChTrans1D4">
    <dgm:fillClrLst meth="repeat">
      <a:schemeClr val="accent3"/>
    </dgm:fillClrLst>
    <dgm:linClrLst meth="repeat">
      <a:schemeClr val="accent3">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3"/>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solidFgAcc1">
    <dgm:fillClrLst meth="repeat">
      <a:schemeClr val="lt1"/>
    </dgm:fillClrLst>
    <dgm:linClrLst meth="repeat">
      <a:schemeClr val="accent3"/>
    </dgm:linClrLst>
    <dgm:effectClrLst/>
    <dgm:txLinClrLst/>
    <dgm:txFillClrLst meth="repeat">
      <a:schemeClr val="dk1"/>
    </dgm:txFillClrLst>
    <dgm:txEffectClrLst/>
  </dgm:styleLbl>
  <dgm:styleLbl name="solidAlignAcc1">
    <dgm:fillClrLst meth="repeat">
      <a:schemeClr val="lt1"/>
    </dgm:fillClrLst>
    <dgm:linClrLst meth="repeat">
      <a:schemeClr val="accent3"/>
    </dgm:linClrLst>
    <dgm:effectClrLst/>
    <dgm:txLinClrLst/>
    <dgm:txFillClrLst meth="repeat">
      <a:schemeClr val="dk1"/>
    </dgm:txFillClrLst>
    <dgm:txEffectClrLst/>
  </dgm:styleLbl>
  <dgm:styleLbl name="solidBgAcc1">
    <dgm:fillClrLst meth="repeat">
      <a:schemeClr val="lt1"/>
    </dgm:fillClrLst>
    <dgm:linClrLst meth="repeat">
      <a:schemeClr val="accent3"/>
    </dgm:linClrLst>
    <dgm:effectClrLst/>
    <dgm:txLinClrLst/>
    <dgm:txFillClrLst meth="repeat">
      <a:schemeClr val="dk1"/>
    </dgm:txFillClrLst>
    <dgm:txEffectClrLst/>
  </dgm:styleLbl>
  <dgm:styleLbl name="fgAccFollowNode1">
    <dgm:fillClrLst meth="repeat">
      <a:schemeClr val="accent3">
        <a:alpha val="90000"/>
        <a:tint val="40000"/>
      </a:schemeClr>
    </dgm:fillClrLst>
    <dgm:linClrLst meth="repeat">
      <a:schemeClr val="accent3">
        <a:alpha val="90000"/>
        <a:tint val="40000"/>
      </a:schemeClr>
    </dgm:linClrLst>
    <dgm:effectClrLst/>
    <dgm:txLinClrLst/>
    <dgm:txFillClrLst meth="repeat">
      <a:schemeClr val="dk1"/>
    </dgm:txFillClrLst>
    <dgm:txEffectClrLst/>
  </dgm:styleLbl>
  <dgm:styleLbl name="alignAccFollowNode1">
    <dgm:fillClrLst meth="repeat">
      <a:schemeClr val="accent3">
        <a:alpha val="90000"/>
        <a:tint val="40000"/>
      </a:schemeClr>
    </dgm:fillClrLst>
    <dgm:linClrLst meth="repeat">
      <a:schemeClr val="accent3">
        <a:alpha val="90000"/>
        <a:tint val="40000"/>
      </a:schemeClr>
    </dgm:linClrLst>
    <dgm:effectClrLst/>
    <dgm:txLinClrLst/>
    <dgm:txFillClrLst meth="repeat">
      <a:schemeClr val="dk1"/>
    </dgm:txFillClrLst>
    <dgm:txEffectClrLst/>
  </dgm:styleLbl>
  <dgm:styleLbl name="bgAccFollowNode1">
    <dgm:fillClrLst meth="repeat">
      <a:schemeClr val="accent3">
        <a:alpha val="90000"/>
        <a:tint val="40000"/>
      </a:schemeClr>
    </dgm:fillClrLst>
    <dgm:linClrLst meth="repeat">
      <a:schemeClr val="accent3">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bgShp">
    <dgm:fillClrLst meth="repeat">
      <a:schemeClr val="accent3">
        <a:tint val="40000"/>
      </a:schemeClr>
    </dgm:fillClrLst>
    <dgm:linClrLst meth="repeat">
      <a:schemeClr val="accent3"/>
    </dgm:linClrLst>
    <dgm:effectClrLst/>
    <dgm:txLinClrLst/>
    <dgm:txFillClrLst meth="repeat">
      <a:schemeClr val="dk1"/>
    </dgm:txFillClrLst>
    <dgm:txEffectClrLst/>
  </dgm:styleLbl>
  <dgm:styleLbl name="dkBgShp">
    <dgm:fillClrLst meth="repeat">
      <a:schemeClr val="accent3">
        <a:shade val="80000"/>
      </a:schemeClr>
    </dgm:fillClrLst>
    <dgm:linClrLst meth="repeat">
      <a:schemeClr val="accent3"/>
    </dgm:linClrLst>
    <dgm:effectClrLst/>
    <dgm:txLinClrLst/>
    <dgm:txFillClrLst meth="repeat">
      <a:schemeClr val="lt1"/>
    </dgm:txFillClrLst>
    <dgm:txEffectClrLst/>
  </dgm:styleLbl>
  <dgm:styleLbl name="trBgShp">
    <dgm:fillClrLst meth="repeat">
      <a:schemeClr val="accent3">
        <a:tint val="50000"/>
        <a:alpha val="40000"/>
      </a:schemeClr>
    </dgm:fillClrLst>
    <dgm:linClrLst meth="repeat">
      <a:schemeClr val="accent3"/>
    </dgm:linClrLst>
    <dgm:effectClrLst/>
    <dgm:txLinClrLst/>
    <dgm:txFillClrLst meth="repeat">
      <a:schemeClr val="lt1"/>
    </dgm:txFillClrLst>
    <dgm:txEffectClrLst/>
  </dgm:styleLbl>
  <dgm:styleLbl name="fgShp">
    <dgm:fillClrLst meth="repeat">
      <a:schemeClr val="accent3">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4.xml><?xml version="1.0" encoding="utf-8"?>
<dgm:colorsDef xmlns:dgm="http://schemas.openxmlformats.org/drawingml/2006/diagram" xmlns:a="http://schemas.openxmlformats.org/drawingml/2006/main" uniqueId="urn:microsoft.com/office/officeart/2005/8/colors/accent3_2">
  <dgm:title val=""/>
  <dgm:desc val=""/>
  <dgm:catLst>
    <dgm:cat type="accent3" pri="11200"/>
  </dgm:catLst>
  <dgm:styleLbl name="node0">
    <dgm:fillClrLst meth="repeat">
      <a:schemeClr val="accent3"/>
    </dgm:fillClrLst>
    <dgm:linClrLst meth="repeat">
      <a:schemeClr val="lt1"/>
    </dgm:linClrLst>
    <dgm:effectClrLst/>
    <dgm:txLinClrLst/>
    <dgm:txFillClrLst/>
    <dgm:txEffectClrLst/>
  </dgm:styleLbl>
  <dgm:styleLbl name="node1">
    <dgm:fillClrLst meth="repeat">
      <a:schemeClr val="accent3"/>
    </dgm:fillClrLst>
    <dgm:linClrLst meth="repeat">
      <a:schemeClr val="lt1"/>
    </dgm:linClrLst>
    <dgm:effectClrLst/>
    <dgm:txLinClrLst/>
    <dgm:txFillClrLst/>
    <dgm:txEffectClrLst/>
  </dgm:styleLbl>
  <dgm:styleLbl name="alignNode1">
    <dgm:fillClrLst meth="repeat">
      <a:schemeClr val="accent3"/>
    </dgm:fillClrLst>
    <dgm:linClrLst meth="repeat">
      <a:schemeClr val="accent3"/>
    </dgm:linClrLst>
    <dgm:effectClrLst/>
    <dgm:txLinClrLst/>
    <dgm:txFillClrLst/>
    <dgm:txEffectClrLst/>
  </dgm:styleLbl>
  <dgm:styleLbl name="lnNode1">
    <dgm:fillClrLst meth="repeat">
      <a:schemeClr val="accent3"/>
    </dgm:fillClrLst>
    <dgm:linClrLst meth="repeat">
      <a:schemeClr val="lt1"/>
    </dgm:linClrLst>
    <dgm:effectClrLst/>
    <dgm:txLinClrLst/>
    <dgm:txFillClrLst/>
    <dgm:txEffectClrLst/>
  </dgm:styleLbl>
  <dgm:styleLbl name="vennNode1">
    <dgm:fillClrLst meth="repeat">
      <a:schemeClr val="accent3">
        <a:alpha val="50000"/>
      </a:schemeClr>
    </dgm:fillClrLst>
    <dgm:linClrLst meth="repeat">
      <a:schemeClr val="lt1"/>
    </dgm:linClrLst>
    <dgm:effectClrLst/>
    <dgm:txLinClrLst/>
    <dgm:txFillClrLst/>
    <dgm:txEffectClrLst/>
  </dgm:styleLbl>
  <dgm:styleLbl name="node2">
    <dgm:fillClrLst meth="repeat">
      <a:schemeClr val="accent3"/>
    </dgm:fillClrLst>
    <dgm:linClrLst meth="repeat">
      <a:schemeClr val="lt1"/>
    </dgm:linClrLst>
    <dgm:effectClrLst/>
    <dgm:txLinClrLst/>
    <dgm:txFillClrLst/>
    <dgm:txEffectClrLst/>
  </dgm:styleLbl>
  <dgm:styleLbl name="node3">
    <dgm:fillClrLst meth="repeat">
      <a:schemeClr val="accent3"/>
    </dgm:fillClrLst>
    <dgm:linClrLst meth="repeat">
      <a:schemeClr val="lt1"/>
    </dgm:linClrLst>
    <dgm:effectClrLst/>
    <dgm:txLinClrLst/>
    <dgm:txFillClrLst/>
    <dgm:txEffectClrLst/>
  </dgm:styleLbl>
  <dgm:styleLbl name="node4">
    <dgm:fillClrLst meth="repeat">
      <a:schemeClr val="accent3"/>
    </dgm:fillClrLst>
    <dgm:linClrLst meth="repeat">
      <a:schemeClr val="lt1"/>
    </dgm:linClrLst>
    <dgm:effectClrLst/>
    <dgm:txLinClrLst/>
    <dgm:txFillClrLst/>
    <dgm:txEffectClrLst/>
  </dgm:styleLbl>
  <dgm:styleLbl name="fgImgPlace1">
    <dgm:fillClrLst meth="repeat">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3">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3">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3">
        <a:tint val="60000"/>
      </a:schemeClr>
    </dgm:fillClrLst>
    <dgm:linClrLst meth="repeat">
      <a:schemeClr val="accent3">
        <a:tint val="60000"/>
      </a:schemeClr>
    </dgm:linClrLst>
    <dgm:effectClrLst/>
    <dgm:txLinClrLst/>
    <dgm:txFillClrLst/>
    <dgm:txEffectClrLst/>
  </dgm:styleLbl>
  <dgm:styleLbl name="fgSibTrans2D1">
    <dgm:fillClrLst meth="repeat">
      <a:schemeClr val="accent3">
        <a:tint val="60000"/>
      </a:schemeClr>
    </dgm:fillClrLst>
    <dgm:linClrLst meth="repeat">
      <a:schemeClr val="accent3">
        <a:tint val="60000"/>
      </a:schemeClr>
    </dgm:linClrLst>
    <dgm:effectClrLst/>
    <dgm:txLinClrLst/>
    <dgm:txFillClrLst/>
    <dgm:txEffectClrLst/>
  </dgm:styleLbl>
  <dgm:styleLbl name="bgSibTrans2D1">
    <dgm:fillClrLst meth="repeat">
      <a:schemeClr val="accent3">
        <a:tint val="60000"/>
      </a:schemeClr>
    </dgm:fillClrLst>
    <dgm:linClrLst meth="repeat">
      <a:schemeClr val="accent3">
        <a:tint val="60000"/>
      </a:schemeClr>
    </dgm:linClrLst>
    <dgm:effectClrLst/>
    <dgm:txLinClrLst/>
    <dgm:txFillClrLst/>
    <dgm:txEffectClrLst/>
  </dgm:styleLbl>
  <dgm:styleLbl name="sibTrans1D1">
    <dgm:fillClrLst meth="repeat">
      <a:schemeClr val="accent3"/>
    </dgm:fillClrLst>
    <dgm:linClrLst meth="repeat">
      <a:schemeClr val="accent3"/>
    </dgm:linClrLst>
    <dgm:effectClrLst/>
    <dgm:txLinClrLst/>
    <dgm:txFillClrLst meth="repeat">
      <a:schemeClr val="tx1"/>
    </dgm:txFillClrLst>
    <dgm:txEffectClrLst/>
  </dgm:styleLbl>
  <dgm:styleLbl name="callout">
    <dgm:fillClrLst meth="repeat">
      <a:schemeClr val="accent3"/>
    </dgm:fillClrLst>
    <dgm:linClrLst meth="repeat">
      <a:schemeClr val="accent3">
        <a:tint val="50000"/>
      </a:schemeClr>
    </dgm:linClrLst>
    <dgm:effectClrLst/>
    <dgm:txLinClrLst/>
    <dgm:txFillClrLst meth="repeat">
      <a:schemeClr val="tx1"/>
    </dgm:txFillClrLst>
    <dgm:txEffectClrLst/>
  </dgm:styleLbl>
  <dgm:styleLbl name="asst0">
    <dgm:fillClrLst meth="repeat">
      <a:schemeClr val="accent3"/>
    </dgm:fillClrLst>
    <dgm:linClrLst meth="repeat">
      <a:schemeClr val="lt1"/>
    </dgm:linClrLst>
    <dgm:effectClrLst/>
    <dgm:txLinClrLst/>
    <dgm:txFillClrLst/>
    <dgm:txEffectClrLst/>
  </dgm:styleLbl>
  <dgm:styleLbl name="asst1">
    <dgm:fillClrLst meth="repeat">
      <a:schemeClr val="accent3"/>
    </dgm:fillClrLst>
    <dgm:linClrLst meth="repeat">
      <a:schemeClr val="lt1"/>
    </dgm:linClrLst>
    <dgm:effectClrLst/>
    <dgm:txLinClrLst/>
    <dgm:txFillClrLst/>
    <dgm:txEffectClrLst/>
  </dgm:styleLbl>
  <dgm:styleLbl name="asst2">
    <dgm:fillClrLst meth="repeat">
      <a:schemeClr val="accent3"/>
    </dgm:fillClrLst>
    <dgm:linClrLst meth="repeat">
      <a:schemeClr val="lt1"/>
    </dgm:linClrLst>
    <dgm:effectClrLst/>
    <dgm:txLinClrLst/>
    <dgm:txFillClrLst/>
    <dgm:txEffectClrLst/>
  </dgm:styleLbl>
  <dgm:styleLbl name="asst3">
    <dgm:fillClrLst meth="repeat">
      <a:schemeClr val="accent3"/>
    </dgm:fillClrLst>
    <dgm:linClrLst meth="repeat">
      <a:schemeClr val="lt1"/>
    </dgm:linClrLst>
    <dgm:effectClrLst/>
    <dgm:txLinClrLst/>
    <dgm:txFillClrLst/>
    <dgm:txEffectClrLst/>
  </dgm:styleLbl>
  <dgm:styleLbl name="asst4">
    <dgm:fillClrLst meth="repeat">
      <a:schemeClr val="accent3"/>
    </dgm:fillClrLst>
    <dgm:linClrLst meth="repeat">
      <a:schemeClr val="lt1"/>
    </dgm:linClrLst>
    <dgm:effectClrLst/>
    <dgm:txLinClrLst/>
    <dgm:txFillClrLst/>
    <dgm:txEffectClrLst/>
  </dgm:styleLbl>
  <dgm:styleLbl name="parChTrans2D1">
    <dgm:fillClrLst meth="repeat">
      <a:schemeClr val="accent3">
        <a:tint val="60000"/>
      </a:schemeClr>
    </dgm:fillClrLst>
    <dgm:linClrLst meth="repeat">
      <a:schemeClr val="accent3">
        <a:tint val="60000"/>
      </a:schemeClr>
    </dgm:linClrLst>
    <dgm:effectClrLst/>
    <dgm:txLinClrLst/>
    <dgm:txFillClrLst meth="repeat">
      <a:schemeClr val="lt1"/>
    </dgm:txFillClrLst>
    <dgm:txEffectClrLst/>
  </dgm:styleLbl>
  <dgm:styleLbl name="parChTrans2D2">
    <dgm:fillClrLst meth="repeat">
      <a:schemeClr val="accent3"/>
    </dgm:fillClrLst>
    <dgm:linClrLst meth="repeat">
      <a:schemeClr val="accent3"/>
    </dgm:linClrLst>
    <dgm:effectClrLst/>
    <dgm:txLinClrLst/>
    <dgm:txFillClrLst meth="repeat">
      <a:schemeClr val="lt1"/>
    </dgm:txFillClrLst>
    <dgm:txEffectClrLst/>
  </dgm:styleLbl>
  <dgm:styleLbl name="parChTrans2D3">
    <dgm:fillClrLst meth="repeat">
      <a:schemeClr val="accent3"/>
    </dgm:fillClrLst>
    <dgm:linClrLst meth="repeat">
      <a:schemeClr val="accent3"/>
    </dgm:linClrLst>
    <dgm:effectClrLst/>
    <dgm:txLinClrLst/>
    <dgm:txFillClrLst meth="repeat">
      <a:schemeClr val="lt1"/>
    </dgm:txFillClrLst>
    <dgm:txEffectClrLst/>
  </dgm:styleLbl>
  <dgm:styleLbl name="parChTrans2D4">
    <dgm:fillClrLst meth="repeat">
      <a:schemeClr val="accent3"/>
    </dgm:fillClrLst>
    <dgm:linClrLst meth="repeat">
      <a:schemeClr val="accent3"/>
    </dgm:linClrLst>
    <dgm:effectClrLst/>
    <dgm:txLinClrLst/>
    <dgm:txFillClrLst meth="repeat">
      <a:schemeClr val="lt1"/>
    </dgm:txFillClrLst>
    <dgm:txEffectClrLst/>
  </dgm:styleLbl>
  <dgm:styleLbl name="parChTrans1D1">
    <dgm:fillClrLst meth="repeat">
      <a:schemeClr val="accent3"/>
    </dgm:fillClrLst>
    <dgm:linClrLst meth="repeat">
      <a:schemeClr val="accent3">
        <a:shade val="60000"/>
      </a:schemeClr>
    </dgm:linClrLst>
    <dgm:effectClrLst/>
    <dgm:txLinClrLst/>
    <dgm:txFillClrLst meth="repeat">
      <a:schemeClr val="tx1"/>
    </dgm:txFillClrLst>
    <dgm:txEffectClrLst/>
  </dgm:styleLbl>
  <dgm:styleLbl name="parChTrans1D2">
    <dgm:fillClrLst meth="repeat">
      <a:schemeClr val="accent3"/>
    </dgm:fillClrLst>
    <dgm:linClrLst meth="repeat">
      <a:schemeClr val="accent3">
        <a:shade val="60000"/>
      </a:schemeClr>
    </dgm:linClrLst>
    <dgm:effectClrLst/>
    <dgm:txLinClrLst/>
    <dgm:txFillClrLst meth="repeat">
      <a:schemeClr val="tx1"/>
    </dgm:txFillClrLst>
    <dgm:txEffectClrLst/>
  </dgm:styleLbl>
  <dgm:styleLbl name="parChTrans1D3">
    <dgm:fillClrLst meth="repeat">
      <a:schemeClr val="accent3"/>
    </dgm:fillClrLst>
    <dgm:linClrLst meth="repeat">
      <a:schemeClr val="accent3">
        <a:shade val="80000"/>
      </a:schemeClr>
    </dgm:linClrLst>
    <dgm:effectClrLst/>
    <dgm:txLinClrLst/>
    <dgm:txFillClrLst meth="repeat">
      <a:schemeClr val="tx1"/>
    </dgm:txFillClrLst>
    <dgm:txEffectClrLst/>
  </dgm:styleLbl>
  <dgm:styleLbl name="parChTrans1D4">
    <dgm:fillClrLst meth="repeat">
      <a:schemeClr val="accent3"/>
    </dgm:fillClrLst>
    <dgm:linClrLst meth="repeat">
      <a:schemeClr val="accent3">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3"/>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solidFgAcc1">
    <dgm:fillClrLst meth="repeat">
      <a:schemeClr val="lt1"/>
    </dgm:fillClrLst>
    <dgm:linClrLst meth="repeat">
      <a:schemeClr val="accent3"/>
    </dgm:linClrLst>
    <dgm:effectClrLst/>
    <dgm:txLinClrLst/>
    <dgm:txFillClrLst meth="repeat">
      <a:schemeClr val="dk1"/>
    </dgm:txFillClrLst>
    <dgm:txEffectClrLst/>
  </dgm:styleLbl>
  <dgm:styleLbl name="solidAlignAcc1">
    <dgm:fillClrLst meth="repeat">
      <a:schemeClr val="lt1"/>
    </dgm:fillClrLst>
    <dgm:linClrLst meth="repeat">
      <a:schemeClr val="accent3"/>
    </dgm:linClrLst>
    <dgm:effectClrLst/>
    <dgm:txLinClrLst/>
    <dgm:txFillClrLst meth="repeat">
      <a:schemeClr val="dk1"/>
    </dgm:txFillClrLst>
    <dgm:txEffectClrLst/>
  </dgm:styleLbl>
  <dgm:styleLbl name="solidBgAcc1">
    <dgm:fillClrLst meth="repeat">
      <a:schemeClr val="lt1"/>
    </dgm:fillClrLst>
    <dgm:linClrLst meth="repeat">
      <a:schemeClr val="accent3"/>
    </dgm:linClrLst>
    <dgm:effectClrLst/>
    <dgm:txLinClrLst/>
    <dgm:txFillClrLst meth="repeat">
      <a:schemeClr val="dk1"/>
    </dgm:txFillClrLst>
    <dgm:txEffectClrLst/>
  </dgm:styleLbl>
  <dgm:styleLbl name="fgAccFollowNode1">
    <dgm:fillClrLst meth="repeat">
      <a:schemeClr val="accent3">
        <a:alpha val="90000"/>
        <a:tint val="40000"/>
      </a:schemeClr>
    </dgm:fillClrLst>
    <dgm:linClrLst meth="repeat">
      <a:schemeClr val="accent3">
        <a:alpha val="90000"/>
        <a:tint val="40000"/>
      </a:schemeClr>
    </dgm:linClrLst>
    <dgm:effectClrLst/>
    <dgm:txLinClrLst/>
    <dgm:txFillClrLst meth="repeat">
      <a:schemeClr val="dk1"/>
    </dgm:txFillClrLst>
    <dgm:txEffectClrLst/>
  </dgm:styleLbl>
  <dgm:styleLbl name="alignAccFollowNode1">
    <dgm:fillClrLst meth="repeat">
      <a:schemeClr val="accent3">
        <a:alpha val="90000"/>
        <a:tint val="40000"/>
      </a:schemeClr>
    </dgm:fillClrLst>
    <dgm:linClrLst meth="repeat">
      <a:schemeClr val="accent3">
        <a:alpha val="90000"/>
        <a:tint val="40000"/>
      </a:schemeClr>
    </dgm:linClrLst>
    <dgm:effectClrLst/>
    <dgm:txLinClrLst/>
    <dgm:txFillClrLst meth="repeat">
      <a:schemeClr val="dk1"/>
    </dgm:txFillClrLst>
    <dgm:txEffectClrLst/>
  </dgm:styleLbl>
  <dgm:styleLbl name="bgAccFollowNode1">
    <dgm:fillClrLst meth="repeat">
      <a:schemeClr val="accent3">
        <a:alpha val="90000"/>
        <a:tint val="40000"/>
      </a:schemeClr>
    </dgm:fillClrLst>
    <dgm:linClrLst meth="repeat">
      <a:schemeClr val="accent3">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bgShp">
    <dgm:fillClrLst meth="repeat">
      <a:schemeClr val="accent3">
        <a:tint val="40000"/>
      </a:schemeClr>
    </dgm:fillClrLst>
    <dgm:linClrLst meth="repeat">
      <a:schemeClr val="accent3"/>
    </dgm:linClrLst>
    <dgm:effectClrLst/>
    <dgm:txLinClrLst/>
    <dgm:txFillClrLst meth="repeat">
      <a:schemeClr val="dk1"/>
    </dgm:txFillClrLst>
    <dgm:txEffectClrLst/>
  </dgm:styleLbl>
  <dgm:styleLbl name="dkBgShp">
    <dgm:fillClrLst meth="repeat">
      <a:schemeClr val="accent3">
        <a:shade val="80000"/>
      </a:schemeClr>
    </dgm:fillClrLst>
    <dgm:linClrLst meth="repeat">
      <a:schemeClr val="accent3"/>
    </dgm:linClrLst>
    <dgm:effectClrLst/>
    <dgm:txLinClrLst/>
    <dgm:txFillClrLst meth="repeat">
      <a:schemeClr val="lt1"/>
    </dgm:txFillClrLst>
    <dgm:txEffectClrLst/>
  </dgm:styleLbl>
  <dgm:styleLbl name="trBgShp">
    <dgm:fillClrLst meth="repeat">
      <a:schemeClr val="accent3">
        <a:tint val="50000"/>
        <a:alpha val="40000"/>
      </a:schemeClr>
    </dgm:fillClrLst>
    <dgm:linClrLst meth="repeat">
      <a:schemeClr val="accent3"/>
    </dgm:linClrLst>
    <dgm:effectClrLst/>
    <dgm:txLinClrLst/>
    <dgm:txFillClrLst meth="repeat">
      <a:schemeClr val="lt1"/>
    </dgm:txFillClrLst>
    <dgm:txEffectClrLst/>
  </dgm:styleLbl>
  <dgm:styleLbl name="fgShp">
    <dgm:fillClrLst meth="repeat">
      <a:schemeClr val="accent3">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5.xml><?xml version="1.0" encoding="utf-8"?>
<dgm:colorsDef xmlns:dgm="http://schemas.openxmlformats.org/drawingml/2006/diagram" xmlns:a="http://schemas.openxmlformats.org/drawingml/2006/main" uniqueId="urn:microsoft.com/office/officeart/2005/8/colors/accent3_2">
  <dgm:title val=""/>
  <dgm:desc val=""/>
  <dgm:catLst>
    <dgm:cat type="accent3" pri="11200"/>
  </dgm:catLst>
  <dgm:styleLbl name="node0">
    <dgm:fillClrLst meth="repeat">
      <a:schemeClr val="accent3"/>
    </dgm:fillClrLst>
    <dgm:linClrLst meth="repeat">
      <a:schemeClr val="lt1"/>
    </dgm:linClrLst>
    <dgm:effectClrLst/>
    <dgm:txLinClrLst/>
    <dgm:txFillClrLst/>
    <dgm:txEffectClrLst/>
  </dgm:styleLbl>
  <dgm:styleLbl name="node1">
    <dgm:fillClrLst meth="repeat">
      <a:schemeClr val="accent3"/>
    </dgm:fillClrLst>
    <dgm:linClrLst meth="repeat">
      <a:schemeClr val="lt1"/>
    </dgm:linClrLst>
    <dgm:effectClrLst/>
    <dgm:txLinClrLst/>
    <dgm:txFillClrLst/>
    <dgm:txEffectClrLst/>
  </dgm:styleLbl>
  <dgm:styleLbl name="alignNode1">
    <dgm:fillClrLst meth="repeat">
      <a:schemeClr val="accent3"/>
    </dgm:fillClrLst>
    <dgm:linClrLst meth="repeat">
      <a:schemeClr val="accent3"/>
    </dgm:linClrLst>
    <dgm:effectClrLst/>
    <dgm:txLinClrLst/>
    <dgm:txFillClrLst/>
    <dgm:txEffectClrLst/>
  </dgm:styleLbl>
  <dgm:styleLbl name="lnNode1">
    <dgm:fillClrLst meth="repeat">
      <a:schemeClr val="accent3"/>
    </dgm:fillClrLst>
    <dgm:linClrLst meth="repeat">
      <a:schemeClr val="lt1"/>
    </dgm:linClrLst>
    <dgm:effectClrLst/>
    <dgm:txLinClrLst/>
    <dgm:txFillClrLst/>
    <dgm:txEffectClrLst/>
  </dgm:styleLbl>
  <dgm:styleLbl name="vennNode1">
    <dgm:fillClrLst meth="repeat">
      <a:schemeClr val="accent3">
        <a:alpha val="50000"/>
      </a:schemeClr>
    </dgm:fillClrLst>
    <dgm:linClrLst meth="repeat">
      <a:schemeClr val="lt1"/>
    </dgm:linClrLst>
    <dgm:effectClrLst/>
    <dgm:txLinClrLst/>
    <dgm:txFillClrLst/>
    <dgm:txEffectClrLst/>
  </dgm:styleLbl>
  <dgm:styleLbl name="node2">
    <dgm:fillClrLst meth="repeat">
      <a:schemeClr val="accent3"/>
    </dgm:fillClrLst>
    <dgm:linClrLst meth="repeat">
      <a:schemeClr val="lt1"/>
    </dgm:linClrLst>
    <dgm:effectClrLst/>
    <dgm:txLinClrLst/>
    <dgm:txFillClrLst/>
    <dgm:txEffectClrLst/>
  </dgm:styleLbl>
  <dgm:styleLbl name="node3">
    <dgm:fillClrLst meth="repeat">
      <a:schemeClr val="accent3"/>
    </dgm:fillClrLst>
    <dgm:linClrLst meth="repeat">
      <a:schemeClr val="lt1"/>
    </dgm:linClrLst>
    <dgm:effectClrLst/>
    <dgm:txLinClrLst/>
    <dgm:txFillClrLst/>
    <dgm:txEffectClrLst/>
  </dgm:styleLbl>
  <dgm:styleLbl name="node4">
    <dgm:fillClrLst meth="repeat">
      <a:schemeClr val="accent3"/>
    </dgm:fillClrLst>
    <dgm:linClrLst meth="repeat">
      <a:schemeClr val="lt1"/>
    </dgm:linClrLst>
    <dgm:effectClrLst/>
    <dgm:txLinClrLst/>
    <dgm:txFillClrLst/>
    <dgm:txEffectClrLst/>
  </dgm:styleLbl>
  <dgm:styleLbl name="fgImgPlace1">
    <dgm:fillClrLst meth="repeat">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3">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3">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3">
        <a:tint val="60000"/>
      </a:schemeClr>
    </dgm:fillClrLst>
    <dgm:linClrLst meth="repeat">
      <a:schemeClr val="accent3">
        <a:tint val="60000"/>
      </a:schemeClr>
    </dgm:linClrLst>
    <dgm:effectClrLst/>
    <dgm:txLinClrLst/>
    <dgm:txFillClrLst/>
    <dgm:txEffectClrLst/>
  </dgm:styleLbl>
  <dgm:styleLbl name="fgSibTrans2D1">
    <dgm:fillClrLst meth="repeat">
      <a:schemeClr val="accent3">
        <a:tint val="60000"/>
      </a:schemeClr>
    </dgm:fillClrLst>
    <dgm:linClrLst meth="repeat">
      <a:schemeClr val="accent3">
        <a:tint val="60000"/>
      </a:schemeClr>
    </dgm:linClrLst>
    <dgm:effectClrLst/>
    <dgm:txLinClrLst/>
    <dgm:txFillClrLst/>
    <dgm:txEffectClrLst/>
  </dgm:styleLbl>
  <dgm:styleLbl name="bgSibTrans2D1">
    <dgm:fillClrLst meth="repeat">
      <a:schemeClr val="accent3">
        <a:tint val="60000"/>
      </a:schemeClr>
    </dgm:fillClrLst>
    <dgm:linClrLst meth="repeat">
      <a:schemeClr val="accent3">
        <a:tint val="60000"/>
      </a:schemeClr>
    </dgm:linClrLst>
    <dgm:effectClrLst/>
    <dgm:txLinClrLst/>
    <dgm:txFillClrLst/>
    <dgm:txEffectClrLst/>
  </dgm:styleLbl>
  <dgm:styleLbl name="sibTrans1D1">
    <dgm:fillClrLst meth="repeat">
      <a:schemeClr val="accent3"/>
    </dgm:fillClrLst>
    <dgm:linClrLst meth="repeat">
      <a:schemeClr val="accent3"/>
    </dgm:linClrLst>
    <dgm:effectClrLst/>
    <dgm:txLinClrLst/>
    <dgm:txFillClrLst meth="repeat">
      <a:schemeClr val="tx1"/>
    </dgm:txFillClrLst>
    <dgm:txEffectClrLst/>
  </dgm:styleLbl>
  <dgm:styleLbl name="callout">
    <dgm:fillClrLst meth="repeat">
      <a:schemeClr val="accent3"/>
    </dgm:fillClrLst>
    <dgm:linClrLst meth="repeat">
      <a:schemeClr val="accent3">
        <a:tint val="50000"/>
      </a:schemeClr>
    </dgm:linClrLst>
    <dgm:effectClrLst/>
    <dgm:txLinClrLst/>
    <dgm:txFillClrLst meth="repeat">
      <a:schemeClr val="tx1"/>
    </dgm:txFillClrLst>
    <dgm:txEffectClrLst/>
  </dgm:styleLbl>
  <dgm:styleLbl name="asst0">
    <dgm:fillClrLst meth="repeat">
      <a:schemeClr val="accent3"/>
    </dgm:fillClrLst>
    <dgm:linClrLst meth="repeat">
      <a:schemeClr val="lt1"/>
    </dgm:linClrLst>
    <dgm:effectClrLst/>
    <dgm:txLinClrLst/>
    <dgm:txFillClrLst/>
    <dgm:txEffectClrLst/>
  </dgm:styleLbl>
  <dgm:styleLbl name="asst1">
    <dgm:fillClrLst meth="repeat">
      <a:schemeClr val="accent3"/>
    </dgm:fillClrLst>
    <dgm:linClrLst meth="repeat">
      <a:schemeClr val="lt1"/>
    </dgm:linClrLst>
    <dgm:effectClrLst/>
    <dgm:txLinClrLst/>
    <dgm:txFillClrLst/>
    <dgm:txEffectClrLst/>
  </dgm:styleLbl>
  <dgm:styleLbl name="asst2">
    <dgm:fillClrLst meth="repeat">
      <a:schemeClr val="accent3"/>
    </dgm:fillClrLst>
    <dgm:linClrLst meth="repeat">
      <a:schemeClr val="lt1"/>
    </dgm:linClrLst>
    <dgm:effectClrLst/>
    <dgm:txLinClrLst/>
    <dgm:txFillClrLst/>
    <dgm:txEffectClrLst/>
  </dgm:styleLbl>
  <dgm:styleLbl name="asst3">
    <dgm:fillClrLst meth="repeat">
      <a:schemeClr val="accent3"/>
    </dgm:fillClrLst>
    <dgm:linClrLst meth="repeat">
      <a:schemeClr val="lt1"/>
    </dgm:linClrLst>
    <dgm:effectClrLst/>
    <dgm:txLinClrLst/>
    <dgm:txFillClrLst/>
    <dgm:txEffectClrLst/>
  </dgm:styleLbl>
  <dgm:styleLbl name="asst4">
    <dgm:fillClrLst meth="repeat">
      <a:schemeClr val="accent3"/>
    </dgm:fillClrLst>
    <dgm:linClrLst meth="repeat">
      <a:schemeClr val="lt1"/>
    </dgm:linClrLst>
    <dgm:effectClrLst/>
    <dgm:txLinClrLst/>
    <dgm:txFillClrLst/>
    <dgm:txEffectClrLst/>
  </dgm:styleLbl>
  <dgm:styleLbl name="parChTrans2D1">
    <dgm:fillClrLst meth="repeat">
      <a:schemeClr val="accent3">
        <a:tint val="60000"/>
      </a:schemeClr>
    </dgm:fillClrLst>
    <dgm:linClrLst meth="repeat">
      <a:schemeClr val="accent3">
        <a:tint val="60000"/>
      </a:schemeClr>
    </dgm:linClrLst>
    <dgm:effectClrLst/>
    <dgm:txLinClrLst/>
    <dgm:txFillClrLst meth="repeat">
      <a:schemeClr val="lt1"/>
    </dgm:txFillClrLst>
    <dgm:txEffectClrLst/>
  </dgm:styleLbl>
  <dgm:styleLbl name="parChTrans2D2">
    <dgm:fillClrLst meth="repeat">
      <a:schemeClr val="accent3"/>
    </dgm:fillClrLst>
    <dgm:linClrLst meth="repeat">
      <a:schemeClr val="accent3"/>
    </dgm:linClrLst>
    <dgm:effectClrLst/>
    <dgm:txLinClrLst/>
    <dgm:txFillClrLst meth="repeat">
      <a:schemeClr val="lt1"/>
    </dgm:txFillClrLst>
    <dgm:txEffectClrLst/>
  </dgm:styleLbl>
  <dgm:styleLbl name="parChTrans2D3">
    <dgm:fillClrLst meth="repeat">
      <a:schemeClr val="accent3"/>
    </dgm:fillClrLst>
    <dgm:linClrLst meth="repeat">
      <a:schemeClr val="accent3"/>
    </dgm:linClrLst>
    <dgm:effectClrLst/>
    <dgm:txLinClrLst/>
    <dgm:txFillClrLst meth="repeat">
      <a:schemeClr val="lt1"/>
    </dgm:txFillClrLst>
    <dgm:txEffectClrLst/>
  </dgm:styleLbl>
  <dgm:styleLbl name="parChTrans2D4">
    <dgm:fillClrLst meth="repeat">
      <a:schemeClr val="accent3"/>
    </dgm:fillClrLst>
    <dgm:linClrLst meth="repeat">
      <a:schemeClr val="accent3"/>
    </dgm:linClrLst>
    <dgm:effectClrLst/>
    <dgm:txLinClrLst/>
    <dgm:txFillClrLst meth="repeat">
      <a:schemeClr val="lt1"/>
    </dgm:txFillClrLst>
    <dgm:txEffectClrLst/>
  </dgm:styleLbl>
  <dgm:styleLbl name="parChTrans1D1">
    <dgm:fillClrLst meth="repeat">
      <a:schemeClr val="accent3"/>
    </dgm:fillClrLst>
    <dgm:linClrLst meth="repeat">
      <a:schemeClr val="accent3">
        <a:shade val="60000"/>
      </a:schemeClr>
    </dgm:linClrLst>
    <dgm:effectClrLst/>
    <dgm:txLinClrLst/>
    <dgm:txFillClrLst meth="repeat">
      <a:schemeClr val="tx1"/>
    </dgm:txFillClrLst>
    <dgm:txEffectClrLst/>
  </dgm:styleLbl>
  <dgm:styleLbl name="parChTrans1D2">
    <dgm:fillClrLst meth="repeat">
      <a:schemeClr val="accent3"/>
    </dgm:fillClrLst>
    <dgm:linClrLst meth="repeat">
      <a:schemeClr val="accent3">
        <a:shade val="60000"/>
      </a:schemeClr>
    </dgm:linClrLst>
    <dgm:effectClrLst/>
    <dgm:txLinClrLst/>
    <dgm:txFillClrLst meth="repeat">
      <a:schemeClr val="tx1"/>
    </dgm:txFillClrLst>
    <dgm:txEffectClrLst/>
  </dgm:styleLbl>
  <dgm:styleLbl name="parChTrans1D3">
    <dgm:fillClrLst meth="repeat">
      <a:schemeClr val="accent3"/>
    </dgm:fillClrLst>
    <dgm:linClrLst meth="repeat">
      <a:schemeClr val="accent3">
        <a:shade val="80000"/>
      </a:schemeClr>
    </dgm:linClrLst>
    <dgm:effectClrLst/>
    <dgm:txLinClrLst/>
    <dgm:txFillClrLst meth="repeat">
      <a:schemeClr val="tx1"/>
    </dgm:txFillClrLst>
    <dgm:txEffectClrLst/>
  </dgm:styleLbl>
  <dgm:styleLbl name="parChTrans1D4">
    <dgm:fillClrLst meth="repeat">
      <a:schemeClr val="accent3"/>
    </dgm:fillClrLst>
    <dgm:linClrLst meth="repeat">
      <a:schemeClr val="accent3">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3"/>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solidFgAcc1">
    <dgm:fillClrLst meth="repeat">
      <a:schemeClr val="lt1"/>
    </dgm:fillClrLst>
    <dgm:linClrLst meth="repeat">
      <a:schemeClr val="accent3"/>
    </dgm:linClrLst>
    <dgm:effectClrLst/>
    <dgm:txLinClrLst/>
    <dgm:txFillClrLst meth="repeat">
      <a:schemeClr val="dk1"/>
    </dgm:txFillClrLst>
    <dgm:txEffectClrLst/>
  </dgm:styleLbl>
  <dgm:styleLbl name="solidAlignAcc1">
    <dgm:fillClrLst meth="repeat">
      <a:schemeClr val="lt1"/>
    </dgm:fillClrLst>
    <dgm:linClrLst meth="repeat">
      <a:schemeClr val="accent3"/>
    </dgm:linClrLst>
    <dgm:effectClrLst/>
    <dgm:txLinClrLst/>
    <dgm:txFillClrLst meth="repeat">
      <a:schemeClr val="dk1"/>
    </dgm:txFillClrLst>
    <dgm:txEffectClrLst/>
  </dgm:styleLbl>
  <dgm:styleLbl name="solidBgAcc1">
    <dgm:fillClrLst meth="repeat">
      <a:schemeClr val="lt1"/>
    </dgm:fillClrLst>
    <dgm:linClrLst meth="repeat">
      <a:schemeClr val="accent3"/>
    </dgm:linClrLst>
    <dgm:effectClrLst/>
    <dgm:txLinClrLst/>
    <dgm:txFillClrLst meth="repeat">
      <a:schemeClr val="dk1"/>
    </dgm:txFillClrLst>
    <dgm:txEffectClrLst/>
  </dgm:styleLbl>
  <dgm:styleLbl name="fgAccFollowNode1">
    <dgm:fillClrLst meth="repeat">
      <a:schemeClr val="accent3">
        <a:alpha val="90000"/>
        <a:tint val="40000"/>
      </a:schemeClr>
    </dgm:fillClrLst>
    <dgm:linClrLst meth="repeat">
      <a:schemeClr val="accent3">
        <a:alpha val="90000"/>
        <a:tint val="40000"/>
      </a:schemeClr>
    </dgm:linClrLst>
    <dgm:effectClrLst/>
    <dgm:txLinClrLst/>
    <dgm:txFillClrLst meth="repeat">
      <a:schemeClr val="dk1"/>
    </dgm:txFillClrLst>
    <dgm:txEffectClrLst/>
  </dgm:styleLbl>
  <dgm:styleLbl name="alignAccFollowNode1">
    <dgm:fillClrLst meth="repeat">
      <a:schemeClr val="accent3">
        <a:alpha val="90000"/>
        <a:tint val="40000"/>
      </a:schemeClr>
    </dgm:fillClrLst>
    <dgm:linClrLst meth="repeat">
      <a:schemeClr val="accent3">
        <a:alpha val="90000"/>
        <a:tint val="40000"/>
      </a:schemeClr>
    </dgm:linClrLst>
    <dgm:effectClrLst/>
    <dgm:txLinClrLst/>
    <dgm:txFillClrLst meth="repeat">
      <a:schemeClr val="dk1"/>
    </dgm:txFillClrLst>
    <dgm:txEffectClrLst/>
  </dgm:styleLbl>
  <dgm:styleLbl name="bgAccFollowNode1">
    <dgm:fillClrLst meth="repeat">
      <a:schemeClr val="accent3">
        <a:alpha val="90000"/>
        <a:tint val="40000"/>
      </a:schemeClr>
    </dgm:fillClrLst>
    <dgm:linClrLst meth="repeat">
      <a:schemeClr val="accent3">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bgShp">
    <dgm:fillClrLst meth="repeat">
      <a:schemeClr val="accent3">
        <a:tint val="40000"/>
      </a:schemeClr>
    </dgm:fillClrLst>
    <dgm:linClrLst meth="repeat">
      <a:schemeClr val="accent3"/>
    </dgm:linClrLst>
    <dgm:effectClrLst/>
    <dgm:txLinClrLst/>
    <dgm:txFillClrLst meth="repeat">
      <a:schemeClr val="dk1"/>
    </dgm:txFillClrLst>
    <dgm:txEffectClrLst/>
  </dgm:styleLbl>
  <dgm:styleLbl name="dkBgShp">
    <dgm:fillClrLst meth="repeat">
      <a:schemeClr val="accent3">
        <a:shade val="80000"/>
      </a:schemeClr>
    </dgm:fillClrLst>
    <dgm:linClrLst meth="repeat">
      <a:schemeClr val="accent3"/>
    </dgm:linClrLst>
    <dgm:effectClrLst/>
    <dgm:txLinClrLst/>
    <dgm:txFillClrLst meth="repeat">
      <a:schemeClr val="lt1"/>
    </dgm:txFillClrLst>
    <dgm:txEffectClrLst/>
  </dgm:styleLbl>
  <dgm:styleLbl name="trBgShp">
    <dgm:fillClrLst meth="repeat">
      <a:schemeClr val="accent3">
        <a:tint val="50000"/>
        <a:alpha val="40000"/>
      </a:schemeClr>
    </dgm:fillClrLst>
    <dgm:linClrLst meth="repeat">
      <a:schemeClr val="accent3"/>
    </dgm:linClrLst>
    <dgm:effectClrLst/>
    <dgm:txLinClrLst/>
    <dgm:txFillClrLst meth="repeat">
      <a:schemeClr val="lt1"/>
    </dgm:txFillClrLst>
    <dgm:txEffectClrLst/>
  </dgm:styleLbl>
  <dgm:styleLbl name="fgShp">
    <dgm:fillClrLst meth="repeat">
      <a:schemeClr val="accent3">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6.xml><?xml version="1.0" encoding="utf-8"?>
<dgm:colorsDef xmlns:dgm="http://schemas.openxmlformats.org/drawingml/2006/diagram" xmlns:a="http://schemas.openxmlformats.org/drawingml/2006/main" uniqueId="urn:microsoft.com/office/officeart/2005/8/colors/accent3_2">
  <dgm:title val=""/>
  <dgm:desc val=""/>
  <dgm:catLst>
    <dgm:cat type="accent3" pri="11200"/>
  </dgm:catLst>
  <dgm:styleLbl name="node0">
    <dgm:fillClrLst meth="repeat">
      <a:schemeClr val="accent3"/>
    </dgm:fillClrLst>
    <dgm:linClrLst meth="repeat">
      <a:schemeClr val="lt1"/>
    </dgm:linClrLst>
    <dgm:effectClrLst/>
    <dgm:txLinClrLst/>
    <dgm:txFillClrLst/>
    <dgm:txEffectClrLst/>
  </dgm:styleLbl>
  <dgm:styleLbl name="node1">
    <dgm:fillClrLst meth="repeat">
      <a:schemeClr val="accent3"/>
    </dgm:fillClrLst>
    <dgm:linClrLst meth="repeat">
      <a:schemeClr val="lt1"/>
    </dgm:linClrLst>
    <dgm:effectClrLst/>
    <dgm:txLinClrLst/>
    <dgm:txFillClrLst/>
    <dgm:txEffectClrLst/>
  </dgm:styleLbl>
  <dgm:styleLbl name="alignNode1">
    <dgm:fillClrLst meth="repeat">
      <a:schemeClr val="accent3"/>
    </dgm:fillClrLst>
    <dgm:linClrLst meth="repeat">
      <a:schemeClr val="accent3"/>
    </dgm:linClrLst>
    <dgm:effectClrLst/>
    <dgm:txLinClrLst/>
    <dgm:txFillClrLst/>
    <dgm:txEffectClrLst/>
  </dgm:styleLbl>
  <dgm:styleLbl name="lnNode1">
    <dgm:fillClrLst meth="repeat">
      <a:schemeClr val="accent3"/>
    </dgm:fillClrLst>
    <dgm:linClrLst meth="repeat">
      <a:schemeClr val="lt1"/>
    </dgm:linClrLst>
    <dgm:effectClrLst/>
    <dgm:txLinClrLst/>
    <dgm:txFillClrLst/>
    <dgm:txEffectClrLst/>
  </dgm:styleLbl>
  <dgm:styleLbl name="vennNode1">
    <dgm:fillClrLst meth="repeat">
      <a:schemeClr val="accent3">
        <a:alpha val="50000"/>
      </a:schemeClr>
    </dgm:fillClrLst>
    <dgm:linClrLst meth="repeat">
      <a:schemeClr val="lt1"/>
    </dgm:linClrLst>
    <dgm:effectClrLst/>
    <dgm:txLinClrLst/>
    <dgm:txFillClrLst/>
    <dgm:txEffectClrLst/>
  </dgm:styleLbl>
  <dgm:styleLbl name="node2">
    <dgm:fillClrLst meth="repeat">
      <a:schemeClr val="accent3"/>
    </dgm:fillClrLst>
    <dgm:linClrLst meth="repeat">
      <a:schemeClr val="lt1"/>
    </dgm:linClrLst>
    <dgm:effectClrLst/>
    <dgm:txLinClrLst/>
    <dgm:txFillClrLst/>
    <dgm:txEffectClrLst/>
  </dgm:styleLbl>
  <dgm:styleLbl name="node3">
    <dgm:fillClrLst meth="repeat">
      <a:schemeClr val="accent3"/>
    </dgm:fillClrLst>
    <dgm:linClrLst meth="repeat">
      <a:schemeClr val="lt1"/>
    </dgm:linClrLst>
    <dgm:effectClrLst/>
    <dgm:txLinClrLst/>
    <dgm:txFillClrLst/>
    <dgm:txEffectClrLst/>
  </dgm:styleLbl>
  <dgm:styleLbl name="node4">
    <dgm:fillClrLst meth="repeat">
      <a:schemeClr val="accent3"/>
    </dgm:fillClrLst>
    <dgm:linClrLst meth="repeat">
      <a:schemeClr val="lt1"/>
    </dgm:linClrLst>
    <dgm:effectClrLst/>
    <dgm:txLinClrLst/>
    <dgm:txFillClrLst/>
    <dgm:txEffectClrLst/>
  </dgm:styleLbl>
  <dgm:styleLbl name="fgImgPlace1">
    <dgm:fillClrLst meth="repeat">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3">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3">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3">
        <a:tint val="60000"/>
      </a:schemeClr>
    </dgm:fillClrLst>
    <dgm:linClrLst meth="repeat">
      <a:schemeClr val="accent3">
        <a:tint val="60000"/>
      </a:schemeClr>
    </dgm:linClrLst>
    <dgm:effectClrLst/>
    <dgm:txLinClrLst/>
    <dgm:txFillClrLst/>
    <dgm:txEffectClrLst/>
  </dgm:styleLbl>
  <dgm:styleLbl name="fgSibTrans2D1">
    <dgm:fillClrLst meth="repeat">
      <a:schemeClr val="accent3">
        <a:tint val="60000"/>
      </a:schemeClr>
    </dgm:fillClrLst>
    <dgm:linClrLst meth="repeat">
      <a:schemeClr val="accent3">
        <a:tint val="60000"/>
      </a:schemeClr>
    </dgm:linClrLst>
    <dgm:effectClrLst/>
    <dgm:txLinClrLst/>
    <dgm:txFillClrLst/>
    <dgm:txEffectClrLst/>
  </dgm:styleLbl>
  <dgm:styleLbl name="bgSibTrans2D1">
    <dgm:fillClrLst meth="repeat">
      <a:schemeClr val="accent3">
        <a:tint val="60000"/>
      </a:schemeClr>
    </dgm:fillClrLst>
    <dgm:linClrLst meth="repeat">
      <a:schemeClr val="accent3">
        <a:tint val="60000"/>
      </a:schemeClr>
    </dgm:linClrLst>
    <dgm:effectClrLst/>
    <dgm:txLinClrLst/>
    <dgm:txFillClrLst/>
    <dgm:txEffectClrLst/>
  </dgm:styleLbl>
  <dgm:styleLbl name="sibTrans1D1">
    <dgm:fillClrLst meth="repeat">
      <a:schemeClr val="accent3"/>
    </dgm:fillClrLst>
    <dgm:linClrLst meth="repeat">
      <a:schemeClr val="accent3"/>
    </dgm:linClrLst>
    <dgm:effectClrLst/>
    <dgm:txLinClrLst/>
    <dgm:txFillClrLst meth="repeat">
      <a:schemeClr val="tx1"/>
    </dgm:txFillClrLst>
    <dgm:txEffectClrLst/>
  </dgm:styleLbl>
  <dgm:styleLbl name="callout">
    <dgm:fillClrLst meth="repeat">
      <a:schemeClr val="accent3"/>
    </dgm:fillClrLst>
    <dgm:linClrLst meth="repeat">
      <a:schemeClr val="accent3">
        <a:tint val="50000"/>
      </a:schemeClr>
    </dgm:linClrLst>
    <dgm:effectClrLst/>
    <dgm:txLinClrLst/>
    <dgm:txFillClrLst meth="repeat">
      <a:schemeClr val="tx1"/>
    </dgm:txFillClrLst>
    <dgm:txEffectClrLst/>
  </dgm:styleLbl>
  <dgm:styleLbl name="asst0">
    <dgm:fillClrLst meth="repeat">
      <a:schemeClr val="accent3"/>
    </dgm:fillClrLst>
    <dgm:linClrLst meth="repeat">
      <a:schemeClr val="lt1"/>
    </dgm:linClrLst>
    <dgm:effectClrLst/>
    <dgm:txLinClrLst/>
    <dgm:txFillClrLst/>
    <dgm:txEffectClrLst/>
  </dgm:styleLbl>
  <dgm:styleLbl name="asst1">
    <dgm:fillClrLst meth="repeat">
      <a:schemeClr val="accent3"/>
    </dgm:fillClrLst>
    <dgm:linClrLst meth="repeat">
      <a:schemeClr val="lt1"/>
    </dgm:linClrLst>
    <dgm:effectClrLst/>
    <dgm:txLinClrLst/>
    <dgm:txFillClrLst/>
    <dgm:txEffectClrLst/>
  </dgm:styleLbl>
  <dgm:styleLbl name="asst2">
    <dgm:fillClrLst meth="repeat">
      <a:schemeClr val="accent3"/>
    </dgm:fillClrLst>
    <dgm:linClrLst meth="repeat">
      <a:schemeClr val="lt1"/>
    </dgm:linClrLst>
    <dgm:effectClrLst/>
    <dgm:txLinClrLst/>
    <dgm:txFillClrLst/>
    <dgm:txEffectClrLst/>
  </dgm:styleLbl>
  <dgm:styleLbl name="asst3">
    <dgm:fillClrLst meth="repeat">
      <a:schemeClr val="accent3"/>
    </dgm:fillClrLst>
    <dgm:linClrLst meth="repeat">
      <a:schemeClr val="lt1"/>
    </dgm:linClrLst>
    <dgm:effectClrLst/>
    <dgm:txLinClrLst/>
    <dgm:txFillClrLst/>
    <dgm:txEffectClrLst/>
  </dgm:styleLbl>
  <dgm:styleLbl name="asst4">
    <dgm:fillClrLst meth="repeat">
      <a:schemeClr val="accent3"/>
    </dgm:fillClrLst>
    <dgm:linClrLst meth="repeat">
      <a:schemeClr val="lt1"/>
    </dgm:linClrLst>
    <dgm:effectClrLst/>
    <dgm:txLinClrLst/>
    <dgm:txFillClrLst/>
    <dgm:txEffectClrLst/>
  </dgm:styleLbl>
  <dgm:styleLbl name="parChTrans2D1">
    <dgm:fillClrLst meth="repeat">
      <a:schemeClr val="accent3">
        <a:tint val="60000"/>
      </a:schemeClr>
    </dgm:fillClrLst>
    <dgm:linClrLst meth="repeat">
      <a:schemeClr val="accent3">
        <a:tint val="60000"/>
      </a:schemeClr>
    </dgm:linClrLst>
    <dgm:effectClrLst/>
    <dgm:txLinClrLst/>
    <dgm:txFillClrLst meth="repeat">
      <a:schemeClr val="lt1"/>
    </dgm:txFillClrLst>
    <dgm:txEffectClrLst/>
  </dgm:styleLbl>
  <dgm:styleLbl name="parChTrans2D2">
    <dgm:fillClrLst meth="repeat">
      <a:schemeClr val="accent3"/>
    </dgm:fillClrLst>
    <dgm:linClrLst meth="repeat">
      <a:schemeClr val="accent3"/>
    </dgm:linClrLst>
    <dgm:effectClrLst/>
    <dgm:txLinClrLst/>
    <dgm:txFillClrLst meth="repeat">
      <a:schemeClr val="lt1"/>
    </dgm:txFillClrLst>
    <dgm:txEffectClrLst/>
  </dgm:styleLbl>
  <dgm:styleLbl name="parChTrans2D3">
    <dgm:fillClrLst meth="repeat">
      <a:schemeClr val="accent3"/>
    </dgm:fillClrLst>
    <dgm:linClrLst meth="repeat">
      <a:schemeClr val="accent3"/>
    </dgm:linClrLst>
    <dgm:effectClrLst/>
    <dgm:txLinClrLst/>
    <dgm:txFillClrLst meth="repeat">
      <a:schemeClr val="lt1"/>
    </dgm:txFillClrLst>
    <dgm:txEffectClrLst/>
  </dgm:styleLbl>
  <dgm:styleLbl name="parChTrans2D4">
    <dgm:fillClrLst meth="repeat">
      <a:schemeClr val="accent3"/>
    </dgm:fillClrLst>
    <dgm:linClrLst meth="repeat">
      <a:schemeClr val="accent3"/>
    </dgm:linClrLst>
    <dgm:effectClrLst/>
    <dgm:txLinClrLst/>
    <dgm:txFillClrLst meth="repeat">
      <a:schemeClr val="lt1"/>
    </dgm:txFillClrLst>
    <dgm:txEffectClrLst/>
  </dgm:styleLbl>
  <dgm:styleLbl name="parChTrans1D1">
    <dgm:fillClrLst meth="repeat">
      <a:schemeClr val="accent3"/>
    </dgm:fillClrLst>
    <dgm:linClrLst meth="repeat">
      <a:schemeClr val="accent3">
        <a:shade val="60000"/>
      </a:schemeClr>
    </dgm:linClrLst>
    <dgm:effectClrLst/>
    <dgm:txLinClrLst/>
    <dgm:txFillClrLst meth="repeat">
      <a:schemeClr val="tx1"/>
    </dgm:txFillClrLst>
    <dgm:txEffectClrLst/>
  </dgm:styleLbl>
  <dgm:styleLbl name="parChTrans1D2">
    <dgm:fillClrLst meth="repeat">
      <a:schemeClr val="accent3"/>
    </dgm:fillClrLst>
    <dgm:linClrLst meth="repeat">
      <a:schemeClr val="accent3">
        <a:shade val="60000"/>
      </a:schemeClr>
    </dgm:linClrLst>
    <dgm:effectClrLst/>
    <dgm:txLinClrLst/>
    <dgm:txFillClrLst meth="repeat">
      <a:schemeClr val="tx1"/>
    </dgm:txFillClrLst>
    <dgm:txEffectClrLst/>
  </dgm:styleLbl>
  <dgm:styleLbl name="parChTrans1D3">
    <dgm:fillClrLst meth="repeat">
      <a:schemeClr val="accent3"/>
    </dgm:fillClrLst>
    <dgm:linClrLst meth="repeat">
      <a:schemeClr val="accent3">
        <a:shade val="80000"/>
      </a:schemeClr>
    </dgm:linClrLst>
    <dgm:effectClrLst/>
    <dgm:txLinClrLst/>
    <dgm:txFillClrLst meth="repeat">
      <a:schemeClr val="tx1"/>
    </dgm:txFillClrLst>
    <dgm:txEffectClrLst/>
  </dgm:styleLbl>
  <dgm:styleLbl name="parChTrans1D4">
    <dgm:fillClrLst meth="repeat">
      <a:schemeClr val="accent3"/>
    </dgm:fillClrLst>
    <dgm:linClrLst meth="repeat">
      <a:schemeClr val="accent3">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3"/>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solidFgAcc1">
    <dgm:fillClrLst meth="repeat">
      <a:schemeClr val="lt1"/>
    </dgm:fillClrLst>
    <dgm:linClrLst meth="repeat">
      <a:schemeClr val="accent3"/>
    </dgm:linClrLst>
    <dgm:effectClrLst/>
    <dgm:txLinClrLst/>
    <dgm:txFillClrLst meth="repeat">
      <a:schemeClr val="dk1"/>
    </dgm:txFillClrLst>
    <dgm:txEffectClrLst/>
  </dgm:styleLbl>
  <dgm:styleLbl name="solidAlignAcc1">
    <dgm:fillClrLst meth="repeat">
      <a:schemeClr val="lt1"/>
    </dgm:fillClrLst>
    <dgm:linClrLst meth="repeat">
      <a:schemeClr val="accent3"/>
    </dgm:linClrLst>
    <dgm:effectClrLst/>
    <dgm:txLinClrLst/>
    <dgm:txFillClrLst meth="repeat">
      <a:schemeClr val="dk1"/>
    </dgm:txFillClrLst>
    <dgm:txEffectClrLst/>
  </dgm:styleLbl>
  <dgm:styleLbl name="solidBgAcc1">
    <dgm:fillClrLst meth="repeat">
      <a:schemeClr val="lt1"/>
    </dgm:fillClrLst>
    <dgm:linClrLst meth="repeat">
      <a:schemeClr val="accent3"/>
    </dgm:linClrLst>
    <dgm:effectClrLst/>
    <dgm:txLinClrLst/>
    <dgm:txFillClrLst meth="repeat">
      <a:schemeClr val="dk1"/>
    </dgm:txFillClrLst>
    <dgm:txEffectClrLst/>
  </dgm:styleLbl>
  <dgm:styleLbl name="fgAccFollowNode1">
    <dgm:fillClrLst meth="repeat">
      <a:schemeClr val="accent3">
        <a:alpha val="90000"/>
        <a:tint val="40000"/>
      </a:schemeClr>
    </dgm:fillClrLst>
    <dgm:linClrLst meth="repeat">
      <a:schemeClr val="accent3">
        <a:alpha val="90000"/>
        <a:tint val="40000"/>
      </a:schemeClr>
    </dgm:linClrLst>
    <dgm:effectClrLst/>
    <dgm:txLinClrLst/>
    <dgm:txFillClrLst meth="repeat">
      <a:schemeClr val="dk1"/>
    </dgm:txFillClrLst>
    <dgm:txEffectClrLst/>
  </dgm:styleLbl>
  <dgm:styleLbl name="alignAccFollowNode1">
    <dgm:fillClrLst meth="repeat">
      <a:schemeClr val="accent3">
        <a:alpha val="90000"/>
        <a:tint val="40000"/>
      </a:schemeClr>
    </dgm:fillClrLst>
    <dgm:linClrLst meth="repeat">
      <a:schemeClr val="accent3">
        <a:alpha val="90000"/>
        <a:tint val="40000"/>
      </a:schemeClr>
    </dgm:linClrLst>
    <dgm:effectClrLst/>
    <dgm:txLinClrLst/>
    <dgm:txFillClrLst meth="repeat">
      <a:schemeClr val="dk1"/>
    </dgm:txFillClrLst>
    <dgm:txEffectClrLst/>
  </dgm:styleLbl>
  <dgm:styleLbl name="bgAccFollowNode1">
    <dgm:fillClrLst meth="repeat">
      <a:schemeClr val="accent3">
        <a:alpha val="90000"/>
        <a:tint val="40000"/>
      </a:schemeClr>
    </dgm:fillClrLst>
    <dgm:linClrLst meth="repeat">
      <a:schemeClr val="accent3">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bgShp">
    <dgm:fillClrLst meth="repeat">
      <a:schemeClr val="accent3">
        <a:tint val="40000"/>
      </a:schemeClr>
    </dgm:fillClrLst>
    <dgm:linClrLst meth="repeat">
      <a:schemeClr val="accent3"/>
    </dgm:linClrLst>
    <dgm:effectClrLst/>
    <dgm:txLinClrLst/>
    <dgm:txFillClrLst meth="repeat">
      <a:schemeClr val="dk1"/>
    </dgm:txFillClrLst>
    <dgm:txEffectClrLst/>
  </dgm:styleLbl>
  <dgm:styleLbl name="dkBgShp">
    <dgm:fillClrLst meth="repeat">
      <a:schemeClr val="accent3">
        <a:shade val="80000"/>
      </a:schemeClr>
    </dgm:fillClrLst>
    <dgm:linClrLst meth="repeat">
      <a:schemeClr val="accent3"/>
    </dgm:linClrLst>
    <dgm:effectClrLst/>
    <dgm:txLinClrLst/>
    <dgm:txFillClrLst meth="repeat">
      <a:schemeClr val="lt1"/>
    </dgm:txFillClrLst>
    <dgm:txEffectClrLst/>
  </dgm:styleLbl>
  <dgm:styleLbl name="trBgShp">
    <dgm:fillClrLst meth="repeat">
      <a:schemeClr val="accent3">
        <a:tint val="50000"/>
        <a:alpha val="40000"/>
      </a:schemeClr>
    </dgm:fillClrLst>
    <dgm:linClrLst meth="repeat">
      <a:schemeClr val="accent3"/>
    </dgm:linClrLst>
    <dgm:effectClrLst/>
    <dgm:txLinClrLst/>
    <dgm:txFillClrLst meth="repeat">
      <a:schemeClr val="lt1"/>
    </dgm:txFillClrLst>
    <dgm:txEffectClrLst/>
  </dgm:styleLbl>
  <dgm:styleLbl name="fgShp">
    <dgm:fillClrLst meth="repeat">
      <a:schemeClr val="accent3">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B75F7F44-6A6F-F74D-ACBF-14ADFD65835F}" type="doc">
      <dgm:prSet loTypeId="urn:microsoft.com/office/officeart/2005/8/layout/cycle1" loCatId="" qsTypeId="urn:microsoft.com/office/officeart/2005/8/quickstyle/simple4" qsCatId="simple" csTypeId="urn:microsoft.com/office/officeart/2005/8/colors/accent3_2" csCatId="accent3" phldr="1"/>
      <dgm:spPr/>
      <dgm:t>
        <a:bodyPr/>
        <a:lstStyle/>
        <a:p>
          <a:endParaRPr lang="en-US"/>
        </a:p>
      </dgm:t>
    </dgm:pt>
    <dgm:pt modelId="{B46C9681-66D3-1647-BDC1-8F615A598165}">
      <dgm:prSet phldrT="[Text]" custT="1"/>
      <dgm:spPr/>
      <dgm:t>
        <a:bodyPr/>
        <a:lstStyle/>
        <a:p>
          <a:r>
            <a:rPr lang="en-US" sz="1000" b="1">
              <a:latin typeface="Arial"/>
              <a:cs typeface="Arial"/>
            </a:rPr>
            <a:t>Strategising</a:t>
          </a:r>
        </a:p>
      </dgm:t>
    </dgm:pt>
    <dgm:pt modelId="{97787AC8-5C0E-044E-813B-646A01AEB16C}" type="parTrans" cxnId="{95DAD797-C535-0840-84FA-F250BF2F29E2}">
      <dgm:prSet/>
      <dgm:spPr/>
      <dgm:t>
        <a:bodyPr/>
        <a:lstStyle/>
        <a:p>
          <a:endParaRPr lang="en-US"/>
        </a:p>
      </dgm:t>
    </dgm:pt>
    <dgm:pt modelId="{8B453E06-B6E0-2A43-B46C-2B8DEBDEF303}" type="sibTrans" cxnId="{95DAD797-C535-0840-84FA-F250BF2F29E2}">
      <dgm:prSet/>
      <dgm:spPr/>
      <dgm:t>
        <a:bodyPr/>
        <a:lstStyle/>
        <a:p>
          <a:endParaRPr lang="en-US"/>
        </a:p>
      </dgm:t>
    </dgm:pt>
    <dgm:pt modelId="{0DC80E09-D85D-774E-A687-6E259498E81D}">
      <dgm:prSet phldrT="[Text]" custT="1"/>
      <dgm:spPr/>
      <dgm:t>
        <a:bodyPr/>
        <a:lstStyle/>
        <a:p>
          <a:r>
            <a:rPr lang="en-US" sz="1000" b="1">
              <a:latin typeface="Arial"/>
              <a:cs typeface="Arial"/>
            </a:rPr>
            <a:t>Work Planning</a:t>
          </a:r>
        </a:p>
      </dgm:t>
    </dgm:pt>
    <dgm:pt modelId="{DC2F0CE8-BD55-0247-A8A5-2B654F990F93}" type="parTrans" cxnId="{E6761EE1-B17D-EA48-99EC-85877251D753}">
      <dgm:prSet/>
      <dgm:spPr/>
      <dgm:t>
        <a:bodyPr/>
        <a:lstStyle/>
        <a:p>
          <a:endParaRPr lang="en-US"/>
        </a:p>
      </dgm:t>
    </dgm:pt>
    <dgm:pt modelId="{D2CFF3A0-8533-5449-9112-D78BC9EE81E9}" type="sibTrans" cxnId="{E6761EE1-B17D-EA48-99EC-85877251D753}">
      <dgm:prSet/>
      <dgm:spPr/>
      <dgm:t>
        <a:bodyPr/>
        <a:lstStyle/>
        <a:p>
          <a:endParaRPr lang="en-US"/>
        </a:p>
      </dgm:t>
    </dgm:pt>
    <dgm:pt modelId="{32348127-CAD9-5F41-9DDA-DA64D05DC419}">
      <dgm:prSet phldrT="[Text]" custT="1"/>
      <dgm:spPr/>
      <dgm:t>
        <a:bodyPr/>
        <a:lstStyle/>
        <a:p>
          <a:r>
            <a:rPr lang="en-US" sz="1000" b="1">
              <a:latin typeface="Arial"/>
              <a:cs typeface="Arial"/>
            </a:rPr>
            <a:t>Budgeting</a:t>
          </a:r>
        </a:p>
      </dgm:t>
    </dgm:pt>
    <dgm:pt modelId="{DC3C3514-C20B-664F-A938-A764C329A9C3}" type="parTrans" cxnId="{93D31496-6BE0-B24F-87EE-3BE5A0C3EA83}">
      <dgm:prSet/>
      <dgm:spPr/>
      <dgm:t>
        <a:bodyPr/>
        <a:lstStyle/>
        <a:p>
          <a:endParaRPr lang="en-US"/>
        </a:p>
      </dgm:t>
    </dgm:pt>
    <dgm:pt modelId="{B29A10C8-7C47-2A44-AF88-5DCFBB73A216}" type="sibTrans" cxnId="{93D31496-6BE0-B24F-87EE-3BE5A0C3EA83}">
      <dgm:prSet/>
      <dgm:spPr/>
      <dgm:t>
        <a:bodyPr/>
        <a:lstStyle/>
        <a:p>
          <a:endParaRPr lang="en-US"/>
        </a:p>
      </dgm:t>
    </dgm:pt>
    <dgm:pt modelId="{1C898F6B-6209-4144-A192-81DD20A9232C}">
      <dgm:prSet phldrT="[Text]" custT="1"/>
      <dgm:spPr/>
      <dgm:t>
        <a:bodyPr/>
        <a:lstStyle/>
        <a:p>
          <a:r>
            <a:rPr lang="en-US" sz="1000" b="1">
              <a:latin typeface="Arial"/>
              <a:cs typeface="Arial"/>
            </a:rPr>
            <a:t>Forecasting</a:t>
          </a:r>
        </a:p>
      </dgm:t>
    </dgm:pt>
    <dgm:pt modelId="{19E004DB-8563-0246-A75E-9111B80F7C86}" type="parTrans" cxnId="{85D7C4CC-7810-244D-BFBC-BFA715D2A6C9}">
      <dgm:prSet/>
      <dgm:spPr/>
      <dgm:t>
        <a:bodyPr/>
        <a:lstStyle/>
        <a:p>
          <a:endParaRPr lang="en-US"/>
        </a:p>
      </dgm:t>
    </dgm:pt>
    <dgm:pt modelId="{808E46B1-EED0-C04B-A1B2-2AEC8EEE4170}" type="sibTrans" cxnId="{85D7C4CC-7810-244D-BFBC-BFA715D2A6C9}">
      <dgm:prSet/>
      <dgm:spPr/>
      <dgm:t>
        <a:bodyPr/>
        <a:lstStyle/>
        <a:p>
          <a:endParaRPr lang="en-US"/>
        </a:p>
      </dgm:t>
    </dgm:pt>
    <dgm:pt modelId="{812F2212-EBA4-C045-9D60-E82892400887}">
      <dgm:prSet custT="1"/>
      <dgm:spPr/>
      <dgm:t>
        <a:bodyPr/>
        <a:lstStyle/>
        <a:p>
          <a:r>
            <a:rPr lang="en-US" sz="1000" b="1">
              <a:latin typeface="Arial"/>
              <a:cs typeface="Arial"/>
            </a:rPr>
            <a:t>Implement-ation</a:t>
          </a:r>
        </a:p>
      </dgm:t>
    </dgm:pt>
    <dgm:pt modelId="{C7466B36-BAE5-9F41-A698-1A4194DCE109}" type="parTrans" cxnId="{81E00960-25F1-F549-892D-2A10DE7E28BC}">
      <dgm:prSet/>
      <dgm:spPr/>
      <dgm:t>
        <a:bodyPr/>
        <a:lstStyle/>
        <a:p>
          <a:endParaRPr lang="en-US"/>
        </a:p>
      </dgm:t>
    </dgm:pt>
    <dgm:pt modelId="{02B5B6A9-637A-D540-A38B-03C3C5AB2D3B}" type="sibTrans" cxnId="{81E00960-25F1-F549-892D-2A10DE7E28BC}">
      <dgm:prSet/>
      <dgm:spPr/>
      <dgm:t>
        <a:bodyPr/>
        <a:lstStyle/>
        <a:p>
          <a:endParaRPr lang="en-US"/>
        </a:p>
      </dgm:t>
    </dgm:pt>
    <dgm:pt modelId="{F8483152-590D-FC4C-B41F-A59814629BCB}">
      <dgm:prSet/>
      <dgm:spPr/>
      <dgm:t>
        <a:bodyPr/>
        <a:lstStyle/>
        <a:p>
          <a:r>
            <a:rPr lang="en-US" b="1">
              <a:latin typeface="Arial"/>
              <a:cs typeface="Arial"/>
            </a:rPr>
            <a:t>Monitoring &amp; Evaluation</a:t>
          </a:r>
        </a:p>
      </dgm:t>
    </dgm:pt>
    <dgm:pt modelId="{1379D354-B1CA-C547-89FB-8CC76B194280}" type="parTrans" cxnId="{CC23614A-6FAF-F847-B7D4-F8540ACBC2FF}">
      <dgm:prSet/>
      <dgm:spPr/>
      <dgm:t>
        <a:bodyPr/>
        <a:lstStyle/>
        <a:p>
          <a:endParaRPr lang="en-US"/>
        </a:p>
      </dgm:t>
    </dgm:pt>
    <dgm:pt modelId="{9FC9FBAC-B1C9-8742-AA92-D476A89E65E3}" type="sibTrans" cxnId="{CC23614A-6FAF-F847-B7D4-F8540ACBC2FF}">
      <dgm:prSet/>
      <dgm:spPr/>
      <dgm:t>
        <a:bodyPr/>
        <a:lstStyle/>
        <a:p>
          <a:endParaRPr lang="en-US"/>
        </a:p>
      </dgm:t>
    </dgm:pt>
    <dgm:pt modelId="{881B9FEF-0625-E249-BF43-F35C35C134F9}">
      <dgm:prSet/>
      <dgm:spPr/>
      <dgm:t>
        <a:bodyPr/>
        <a:lstStyle/>
        <a:p>
          <a:r>
            <a:rPr lang="en-US" b="1">
              <a:latin typeface="Arial"/>
              <a:cs typeface="Arial"/>
            </a:rPr>
            <a:t>Reflection &amp; Reporting</a:t>
          </a:r>
        </a:p>
      </dgm:t>
    </dgm:pt>
    <dgm:pt modelId="{6328397F-FF74-7847-B6BD-C4E766C813C4}" type="parTrans" cxnId="{AF0F8E0D-21C9-0A45-A52F-DF7809F19147}">
      <dgm:prSet/>
      <dgm:spPr/>
      <dgm:t>
        <a:bodyPr/>
        <a:lstStyle/>
        <a:p>
          <a:endParaRPr lang="en-US"/>
        </a:p>
      </dgm:t>
    </dgm:pt>
    <dgm:pt modelId="{A89BA115-FAF7-8E4B-9C55-F56ABD5CCE06}" type="sibTrans" cxnId="{AF0F8E0D-21C9-0A45-A52F-DF7809F19147}">
      <dgm:prSet/>
      <dgm:spPr/>
      <dgm:t>
        <a:bodyPr/>
        <a:lstStyle/>
        <a:p>
          <a:endParaRPr lang="en-US" b="1"/>
        </a:p>
      </dgm:t>
    </dgm:pt>
    <dgm:pt modelId="{ECEADE51-0159-B448-BE98-AA7148CE9CC3}">
      <dgm:prSet custT="1"/>
      <dgm:spPr/>
      <dgm:t>
        <a:bodyPr/>
        <a:lstStyle/>
        <a:p>
          <a:r>
            <a:rPr lang="en-US" sz="1000" b="1">
              <a:latin typeface="Arial"/>
              <a:cs typeface="Arial"/>
            </a:rPr>
            <a:t>Analysis</a:t>
          </a:r>
        </a:p>
      </dgm:t>
    </dgm:pt>
    <dgm:pt modelId="{65498A84-7A29-FB48-A480-30DBBFA25E1C}" type="parTrans" cxnId="{937BB626-F1DC-B44E-AD15-74B3B2613712}">
      <dgm:prSet/>
      <dgm:spPr/>
      <dgm:t>
        <a:bodyPr/>
        <a:lstStyle/>
        <a:p>
          <a:endParaRPr lang="en-US"/>
        </a:p>
      </dgm:t>
    </dgm:pt>
    <dgm:pt modelId="{4F10BA6C-5B66-C149-AC59-011F85292F6B}" type="sibTrans" cxnId="{937BB626-F1DC-B44E-AD15-74B3B2613712}">
      <dgm:prSet/>
      <dgm:spPr/>
      <dgm:t>
        <a:bodyPr/>
        <a:lstStyle/>
        <a:p>
          <a:endParaRPr lang="en-US">
            <a:latin typeface="Arial"/>
            <a:cs typeface="Arial"/>
          </a:endParaRPr>
        </a:p>
      </dgm:t>
    </dgm:pt>
    <dgm:pt modelId="{279B863D-9135-D345-B0F1-2E63580045D7}">
      <dgm:prSet custT="1"/>
      <dgm:spPr/>
      <dgm:t>
        <a:bodyPr/>
        <a:lstStyle/>
        <a:p>
          <a:r>
            <a:rPr lang="en-US" sz="1000" b="1">
              <a:latin typeface="Arial"/>
              <a:cs typeface="Arial"/>
            </a:rPr>
            <a:t>Objective Setting</a:t>
          </a:r>
        </a:p>
      </dgm:t>
    </dgm:pt>
    <dgm:pt modelId="{7EB0B8E0-B8BE-1348-A4C3-9E52AFB83589}" type="parTrans" cxnId="{109E67DD-8D94-0547-8273-1A03970D0C8A}">
      <dgm:prSet/>
      <dgm:spPr/>
      <dgm:t>
        <a:bodyPr/>
        <a:lstStyle/>
        <a:p>
          <a:endParaRPr lang="en-US"/>
        </a:p>
      </dgm:t>
    </dgm:pt>
    <dgm:pt modelId="{395FA40E-D804-ED4A-B2CF-FDD128F8EB2D}" type="sibTrans" cxnId="{109E67DD-8D94-0547-8273-1A03970D0C8A}">
      <dgm:prSet/>
      <dgm:spPr/>
      <dgm:t>
        <a:bodyPr/>
        <a:lstStyle/>
        <a:p>
          <a:endParaRPr lang="en-US"/>
        </a:p>
      </dgm:t>
    </dgm:pt>
    <dgm:pt modelId="{ADC3DFFC-6486-2549-B945-9F6087ACA98A}" type="pres">
      <dgm:prSet presAssocID="{B75F7F44-6A6F-F74D-ACBF-14ADFD65835F}" presName="cycle" presStyleCnt="0">
        <dgm:presLayoutVars>
          <dgm:dir/>
          <dgm:resizeHandles val="exact"/>
        </dgm:presLayoutVars>
      </dgm:prSet>
      <dgm:spPr/>
      <dgm:t>
        <a:bodyPr/>
        <a:lstStyle/>
        <a:p>
          <a:endParaRPr lang="en-US"/>
        </a:p>
      </dgm:t>
    </dgm:pt>
    <dgm:pt modelId="{8FA8495D-C073-8847-95C2-7E61C7AC0CD8}" type="pres">
      <dgm:prSet presAssocID="{279B863D-9135-D345-B0F1-2E63580045D7}" presName="dummy" presStyleCnt="0"/>
      <dgm:spPr/>
    </dgm:pt>
    <dgm:pt modelId="{3154E763-F5CB-1947-8E72-ED26AF246E4B}" type="pres">
      <dgm:prSet presAssocID="{279B863D-9135-D345-B0F1-2E63580045D7}" presName="node" presStyleLbl="revTx" presStyleIdx="0" presStyleCnt="9" custScaleX="120300">
        <dgm:presLayoutVars>
          <dgm:bulletEnabled val="1"/>
        </dgm:presLayoutVars>
      </dgm:prSet>
      <dgm:spPr/>
      <dgm:t>
        <a:bodyPr/>
        <a:lstStyle/>
        <a:p>
          <a:endParaRPr lang="en-US"/>
        </a:p>
      </dgm:t>
    </dgm:pt>
    <dgm:pt modelId="{8C9CFF9C-EA60-7E48-A2FB-C384EAFB4D44}" type="pres">
      <dgm:prSet presAssocID="{395FA40E-D804-ED4A-B2CF-FDD128F8EB2D}" presName="sibTrans" presStyleLbl="node1" presStyleIdx="0" presStyleCnt="9"/>
      <dgm:spPr/>
      <dgm:t>
        <a:bodyPr/>
        <a:lstStyle/>
        <a:p>
          <a:endParaRPr lang="en-US"/>
        </a:p>
      </dgm:t>
    </dgm:pt>
    <dgm:pt modelId="{E2F1E172-71DE-7744-BBE4-6E824344AB09}" type="pres">
      <dgm:prSet presAssocID="{B46C9681-66D3-1647-BDC1-8F615A598165}" presName="dummy" presStyleCnt="0"/>
      <dgm:spPr/>
    </dgm:pt>
    <dgm:pt modelId="{3E9DFDEF-F794-B44E-817F-547A228237BD}" type="pres">
      <dgm:prSet presAssocID="{B46C9681-66D3-1647-BDC1-8F615A598165}" presName="node" presStyleLbl="revTx" presStyleIdx="1" presStyleCnt="9" custScaleX="129826">
        <dgm:presLayoutVars>
          <dgm:bulletEnabled val="1"/>
        </dgm:presLayoutVars>
      </dgm:prSet>
      <dgm:spPr/>
      <dgm:t>
        <a:bodyPr/>
        <a:lstStyle/>
        <a:p>
          <a:endParaRPr lang="en-US"/>
        </a:p>
      </dgm:t>
    </dgm:pt>
    <dgm:pt modelId="{F3275831-5130-A647-9AE6-2A1811422F28}" type="pres">
      <dgm:prSet presAssocID="{8B453E06-B6E0-2A43-B46C-2B8DEBDEF303}" presName="sibTrans" presStyleLbl="node1" presStyleIdx="1" presStyleCnt="9"/>
      <dgm:spPr/>
      <dgm:t>
        <a:bodyPr/>
        <a:lstStyle/>
        <a:p>
          <a:endParaRPr lang="en-US"/>
        </a:p>
      </dgm:t>
    </dgm:pt>
    <dgm:pt modelId="{FFF10128-42F4-904D-A8AA-6E244667B8F5}" type="pres">
      <dgm:prSet presAssocID="{0DC80E09-D85D-774E-A687-6E259498E81D}" presName="dummy" presStyleCnt="0"/>
      <dgm:spPr/>
    </dgm:pt>
    <dgm:pt modelId="{6D4788A6-4022-CB48-A0DE-C5BE18DA9BD4}" type="pres">
      <dgm:prSet presAssocID="{0DC80E09-D85D-774E-A687-6E259498E81D}" presName="node" presStyleLbl="revTx" presStyleIdx="2" presStyleCnt="9">
        <dgm:presLayoutVars>
          <dgm:bulletEnabled val="1"/>
        </dgm:presLayoutVars>
      </dgm:prSet>
      <dgm:spPr/>
      <dgm:t>
        <a:bodyPr/>
        <a:lstStyle/>
        <a:p>
          <a:endParaRPr lang="en-US"/>
        </a:p>
      </dgm:t>
    </dgm:pt>
    <dgm:pt modelId="{10377AFC-3931-764D-B025-5FC3AD8D0128}" type="pres">
      <dgm:prSet presAssocID="{D2CFF3A0-8533-5449-9112-D78BC9EE81E9}" presName="sibTrans" presStyleLbl="node1" presStyleIdx="2" presStyleCnt="9"/>
      <dgm:spPr/>
      <dgm:t>
        <a:bodyPr/>
        <a:lstStyle/>
        <a:p>
          <a:endParaRPr lang="en-US"/>
        </a:p>
      </dgm:t>
    </dgm:pt>
    <dgm:pt modelId="{DFFEA32A-8939-1E44-A4DD-4EAD959B53A5}" type="pres">
      <dgm:prSet presAssocID="{32348127-CAD9-5F41-9DDA-DA64D05DC419}" presName="dummy" presStyleCnt="0"/>
      <dgm:spPr/>
    </dgm:pt>
    <dgm:pt modelId="{12F7E10F-D187-EE4B-9C89-C1EA0C61BBC2}" type="pres">
      <dgm:prSet presAssocID="{32348127-CAD9-5F41-9DDA-DA64D05DC419}" presName="node" presStyleLbl="revTx" presStyleIdx="3" presStyleCnt="9">
        <dgm:presLayoutVars>
          <dgm:bulletEnabled val="1"/>
        </dgm:presLayoutVars>
      </dgm:prSet>
      <dgm:spPr/>
      <dgm:t>
        <a:bodyPr/>
        <a:lstStyle/>
        <a:p>
          <a:endParaRPr lang="en-US"/>
        </a:p>
      </dgm:t>
    </dgm:pt>
    <dgm:pt modelId="{33C0DAA2-F4B2-7B43-94BE-EE2A49B3E2B2}" type="pres">
      <dgm:prSet presAssocID="{B29A10C8-7C47-2A44-AF88-5DCFBB73A216}" presName="sibTrans" presStyleLbl="node1" presStyleIdx="3" presStyleCnt="9"/>
      <dgm:spPr/>
      <dgm:t>
        <a:bodyPr/>
        <a:lstStyle/>
        <a:p>
          <a:endParaRPr lang="en-US"/>
        </a:p>
      </dgm:t>
    </dgm:pt>
    <dgm:pt modelId="{C37B981A-64F1-8946-A435-0C2DF0313B44}" type="pres">
      <dgm:prSet presAssocID="{1C898F6B-6209-4144-A192-81DD20A9232C}" presName="dummy" presStyleCnt="0"/>
      <dgm:spPr/>
    </dgm:pt>
    <dgm:pt modelId="{84E67944-B303-7E43-BDA2-C6DD4B92BDE0}" type="pres">
      <dgm:prSet presAssocID="{1C898F6B-6209-4144-A192-81DD20A9232C}" presName="node" presStyleLbl="revTx" presStyleIdx="4" presStyleCnt="9" custScaleX="117531">
        <dgm:presLayoutVars>
          <dgm:bulletEnabled val="1"/>
        </dgm:presLayoutVars>
      </dgm:prSet>
      <dgm:spPr/>
      <dgm:t>
        <a:bodyPr/>
        <a:lstStyle/>
        <a:p>
          <a:endParaRPr lang="en-US"/>
        </a:p>
      </dgm:t>
    </dgm:pt>
    <dgm:pt modelId="{8E58548D-C9F9-7542-8D23-B3E92EA1A0AA}" type="pres">
      <dgm:prSet presAssocID="{808E46B1-EED0-C04B-A1B2-2AEC8EEE4170}" presName="sibTrans" presStyleLbl="node1" presStyleIdx="4" presStyleCnt="9"/>
      <dgm:spPr/>
      <dgm:t>
        <a:bodyPr/>
        <a:lstStyle/>
        <a:p>
          <a:endParaRPr lang="en-US"/>
        </a:p>
      </dgm:t>
    </dgm:pt>
    <dgm:pt modelId="{8DA97D3A-8C1D-9D46-85AE-BD62663DF9E3}" type="pres">
      <dgm:prSet presAssocID="{812F2212-EBA4-C045-9D60-E82892400887}" presName="dummy" presStyleCnt="0"/>
      <dgm:spPr/>
    </dgm:pt>
    <dgm:pt modelId="{6ADF2404-F0F4-E24D-AF03-326A0534C6DB}" type="pres">
      <dgm:prSet presAssocID="{812F2212-EBA4-C045-9D60-E82892400887}" presName="node" presStyleLbl="revTx" presStyleIdx="5" presStyleCnt="9" custScaleX="107895">
        <dgm:presLayoutVars>
          <dgm:bulletEnabled val="1"/>
        </dgm:presLayoutVars>
      </dgm:prSet>
      <dgm:spPr/>
      <dgm:t>
        <a:bodyPr/>
        <a:lstStyle/>
        <a:p>
          <a:endParaRPr lang="en-US"/>
        </a:p>
      </dgm:t>
    </dgm:pt>
    <dgm:pt modelId="{D45E2600-09F6-3F49-AAA3-4D0F4ED8B196}" type="pres">
      <dgm:prSet presAssocID="{02B5B6A9-637A-D540-A38B-03C3C5AB2D3B}" presName="sibTrans" presStyleLbl="node1" presStyleIdx="5" presStyleCnt="9"/>
      <dgm:spPr/>
      <dgm:t>
        <a:bodyPr/>
        <a:lstStyle/>
        <a:p>
          <a:endParaRPr lang="en-US"/>
        </a:p>
      </dgm:t>
    </dgm:pt>
    <dgm:pt modelId="{0BA7EBB2-2946-044A-9E8B-06AE3B9400E5}" type="pres">
      <dgm:prSet presAssocID="{F8483152-590D-FC4C-B41F-A59814629BCB}" presName="dummy" presStyleCnt="0"/>
      <dgm:spPr/>
    </dgm:pt>
    <dgm:pt modelId="{D9AB7F56-7667-3B4A-9D58-A0EAAE76C952}" type="pres">
      <dgm:prSet presAssocID="{F8483152-590D-FC4C-B41F-A59814629BCB}" presName="node" presStyleLbl="revTx" presStyleIdx="6" presStyleCnt="9">
        <dgm:presLayoutVars>
          <dgm:bulletEnabled val="1"/>
        </dgm:presLayoutVars>
      </dgm:prSet>
      <dgm:spPr/>
      <dgm:t>
        <a:bodyPr/>
        <a:lstStyle/>
        <a:p>
          <a:endParaRPr lang="en-US"/>
        </a:p>
      </dgm:t>
    </dgm:pt>
    <dgm:pt modelId="{535F6F6D-707A-DA43-9DEC-5C3FF63E64E7}" type="pres">
      <dgm:prSet presAssocID="{9FC9FBAC-B1C9-8742-AA92-D476A89E65E3}" presName="sibTrans" presStyleLbl="node1" presStyleIdx="6" presStyleCnt="9"/>
      <dgm:spPr/>
      <dgm:t>
        <a:bodyPr/>
        <a:lstStyle/>
        <a:p>
          <a:endParaRPr lang="en-US"/>
        </a:p>
      </dgm:t>
    </dgm:pt>
    <dgm:pt modelId="{E5CE830D-CDD6-B147-8B7A-2637CEA429C1}" type="pres">
      <dgm:prSet presAssocID="{881B9FEF-0625-E249-BF43-F35C35C134F9}" presName="dummy" presStyleCnt="0"/>
      <dgm:spPr/>
    </dgm:pt>
    <dgm:pt modelId="{2FA433EE-5646-6B43-BC47-6B0166939CC3}" type="pres">
      <dgm:prSet presAssocID="{881B9FEF-0625-E249-BF43-F35C35C134F9}" presName="node" presStyleLbl="revTx" presStyleIdx="7" presStyleCnt="9">
        <dgm:presLayoutVars>
          <dgm:bulletEnabled val="1"/>
        </dgm:presLayoutVars>
      </dgm:prSet>
      <dgm:spPr/>
      <dgm:t>
        <a:bodyPr/>
        <a:lstStyle/>
        <a:p>
          <a:endParaRPr lang="en-US"/>
        </a:p>
      </dgm:t>
    </dgm:pt>
    <dgm:pt modelId="{5E91E276-C285-EC4B-95C2-1EA1BCE21F1C}" type="pres">
      <dgm:prSet presAssocID="{A89BA115-FAF7-8E4B-9C55-F56ABD5CCE06}" presName="sibTrans" presStyleLbl="node1" presStyleIdx="7" presStyleCnt="9"/>
      <dgm:spPr/>
      <dgm:t>
        <a:bodyPr/>
        <a:lstStyle/>
        <a:p>
          <a:endParaRPr lang="en-US"/>
        </a:p>
      </dgm:t>
    </dgm:pt>
    <dgm:pt modelId="{17262509-C3E0-F749-8656-C805C8DD58EE}" type="pres">
      <dgm:prSet presAssocID="{ECEADE51-0159-B448-BE98-AA7148CE9CC3}" presName="dummy" presStyleCnt="0"/>
      <dgm:spPr/>
    </dgm:pt>
    <dgm:pt modelId="{267571A2-FDAC-3344-B2A1-A8515408A4C0}" type="pres">
      <dgm:prSet presAssocID="{ECEADE51-0159-B448-BE98-AA7148CE9CC3}" presName="node" presStyleLbl="revTx" presStyleIdx="8" presStyleCnt="9">
        <dgm:presLayoutVars>
          <dgm:bulletEnabled val="1"/>
        </dgm:presLayoutVars>
      </dgm:prSet>
      <dgm:spPr/>
      <dgm:t>
        <a:bodyPr/>
        <a:lstStyle/>
        <a:p>
          <a:endParaRPr lang="en-US"/>
        </a:p>
      </dgm:t>
    </dgm:pt>
    <dgm:pt modelId="{B1454B0E-F18A-6F49-A738-96CCFFF5F204}" type="pres">
      <dgm:prSet presAssocID="{4F10BA6C-5B66-C149-AC59-011F85292F6B}" presName="sibTrans" presStyleLbl="node1" presStyleIdx="8" presStyleCnt="9"/>
      <dgm:spPr/>
      <dgm:t>
        <a:bodyPr/>
        <a:lstStyle/>
        <a:p>
          <a:endParaRPr lang="en-US"/>
        </a:p>
      </dgm:t>
    </dgm:pt>
  </dgm:ptLst>
  <dgm:cxnLst>
    <dgm:cxn modelId="{937BB626-F1DC-B44E-AD15-74B3B2613712}" srcId="{B75F7F44-6A6F-F74D-ACBF-14ADFD65835F}" destId="{ECEADE51-0159-B448-BE98-AA7148CE9CC3}" srcOrd="8" destOrd="0" parTransId="{65498A84-7A29-FB48-A480-30DBBFA25E1C}" sibTransId="{4F10BA6C-5B66-C149-AC59-011F85292F6B}"/>
    <dgm:cxn modelId="{7D80A103-F065-E94A-8F72-A0C4690262A2}" type="presOf" srcId="{B46C9681-66D3-1647-BDC1-8F615A598165}" destId="{3E9DFDEF-F794-B44E-817F-547A228237BD}" srcOrd="0" destOrd="0" presId="urn:microsoft.com/office/officeart/2005/8/layout/cycle1"/>
    <dgm:cxn modelId="{36F7EBE5-BB45-A24C-A3B7-8CA90C671E7B}" type="presOf" srcId="{1C898F6B-6209-4144-A192-81DD20A9232C}" destId="{84E67944-B303-7E43-BDA2-C6DD4B92BDE0}" srcOrd="0" destOrd="0" presId="urn:microsoft.com/office/officeart/2005/8/layout/cycle1"/>
    <dgm:cxn modelId="{DDF9EE41-464B-1B40-92B1-EAAE1C8E194D}" type="presOf" srcId="{32348127-CAD9-5F41-9DDA-DA64D05DC419}" destId="{12F7E10F-D187-EE4B-9C89-C1EA0C61BBC2}" srcOrd="0" destOrd="0" presId="urn:microsoft.com/office/officeart/2005/8/layout/cycle1"/>
    <dgm:cxn modelId="{A0DC3F8C-CF04-E149-916E-642CF4AE388E}" type="presOf" srcId="{02B5B6A9-637A-D540-A38B-03C3C5AB2D3B}" destId="{D45E2600-09F6-3F49-AAA3-4D0F4ED8B196}" srcOrd="0" destOrd="0" presId="urn:microsoft.com/office/officeart/2005/8/layout/cycle1"/>
    <dgm:cxn modelId="{B25CA9B3-7FEF-364D-83CA-D33321CAEFE3}" type="presOf" srcId="{D2CFF3A0-8533-5449-9112-D78BC9EE81E9}" destId="{10377AFC-3931-764D-B025-5FC3AD8D0128}" srcOrd="0" destOrd="0" presId="urn:microsoft.com/office/officeart/2005/8/layout/cycle1"/>
    <dgm:cxn modelId="{E6761EE1-B17D-EA48-99EC-85877251D753}" srcId="{B75F7F44-6A6F-F74D-ACBF-14ADFD65835F}" destId="{0DC80E09-D85D-774E-A687-6E259498E81D}" srcOrd="2" destOrd="0" parTransId="{DC2F0CE8-BD55-0247-A8A5-2B654F990F93}" sibTransId="{D2CFF3A0-8533-5449-9112-D78BC9EE81E9}"/>
    <dgm:cxn modelId="{93D31496-6BE0-B24F-87EE-3BE5A0C3EA83}" srcId="{B75F7F44-6A6F-F74D-ACBF-14ADFD65835F}" destId="{32348127-CAD9-5F41-9DDA-DA64D05DC419}" srcOrd="3" destOrd="0" parTransId="{DC3C3514-C20B-664F-A938-A764C329A9C3}" sibTransId="{B29A10C8-7C47-2A44-AF88-5DCFBB73A216}"/>
    <dgm:cxn modelId="{109E67DD-8D94-0547-8273-1A03970D0C8A}" srcId="{B75F7F44-6A6F-F74D-ACBF-14ADFD65835F}" destId="{279B863D-9135-D345-B0F1-2E63580045D7}" srcOrd="0" destOrd="0" parTransId="{7EB0B8E0-B8BE-1348-A4C3-9E52AFB83589}" sibTransId="{395FA40E-D804-ED4A-B2CF-FDD128F8EB2D}"/>
    <dgm:cxn modelId="{640BFA77-B477-CB40-97BD-512481DA7814}" type="presOf" srcId="{395FA40E-D804-ED4A-B2CF-FDD128F8EB2D}" destId="{8C9CFF9C-EA60-7E48-A2FB-C384EAFB4D44}" srcOrd="0" destOrd="0" presId="urn:microsoft.com/office/officeart/2005/8/layout/cycle1"/>
    <dgm:cxn modelId="{E6F92872-7EB5-7445-B5DE-11F7BDF9069C}" type="presOf" srcId="{881B9FEF-0625-E249-BF43-F35C35C134F9}" destId="{2FA433EE-5646-6B43-BC47-6B0166939CC3}" srcOrd="0" destOrd="0" presId="urn:microsoft.com/office/officeart/2005/8/layout/cycle1"/>
    <dgm:cxn modelId="{95DAD797-C535-0840-84FA-F250BF2F29E2}" srcId="{B75F7F44-6A6F-F74D-ACBF-14ADFD65835F}" destId="{B46C9681-66D3-1647-BDC1-8F615A598165}" srcOrd="1" destOrd="0" parTransId="{97787AC8-5C0E-044E-813B-646A01AEB16C}" sibTransId="{8B453E06-B6E0-2A43-B46C-2B8DEBDEF303}"/>
    <dgm:cxn modelId="{85D7C4CC-7810-244D-BFBC-BFA715D2A6C9}" srcId="{B75F7F44-6A6F-F74D-ACBF-14ADFD65835F}" destId="{1C898F6B-6209-4144-A192-81DD20A9232C}" srcOrd="4" destOrd="0" parTransId="{19E004DB-8563-0246-A75E-9111B80F7C86}" sibTransId="{808E46B1-EED0-C04B-A1B2-2AEC8EEE4170}"/>
    <dgm:cxn modelId="{BD638202-4608-924D-AFD4-01C1FF75248D}" type="presOf" srcId="{A89BA115-FAF7-8E4B-9C55-F56ABD5CCE06}" destId="{5E91E276-C285-EC4B-95C2-1EA1BCE21F1C}" srcOrd="0" destOrd="0" presId="urn:microsoft.com/office/officeart/2005/8/layout/cycle1"/>
    <dgm:cxn modelId="{9D5D1406-0404-D442-B5B1-229F8E0302FB}" type="presOf" srcId="{9FC9FBAC-B1C9-8742-AA92-D476A89E65E3}" destId="{535F6F6D-707A-DA43-9DEC-5C3FF63E64E7}" srcOrd="0" destOrd="0" presId="urn:microsoft.com/office/officeart/2005/8/layout/cycle1"/>
    <dgm:cxn modelId="{FDFF3D47-FB1D-DA4B-8889-42A47C130900}" type="presOf" srcId="{B29A10C8-7C47-2A44-AF88-5DCFBB73A216}" destId="{33C0DAA2-F4B2-7B43-94BE-EE2A49B3E2B2}" srcOrd="0" destOrd="0" presId="urn:microsoft.com/office/officeart/2005/8/layout/cycle1"/>
    <dgm:cxn modelId="{B2BF48A8-1008-B144-94AE-1992967EB7A5}" type="presOf" srcId="{8B453E06-B6E0-2A43-B46C-2B8DEBDEF303}" destId="{F3275831-5130-A647-9AE6-2A1811422F28}" srcOrd="0" destOrd="0" presId="urn:microsoft.com/office/officeart/2005/8/layout/cycle1"/>
    <dgm:cxn modelId="{47E70302-53C1-A74F-BD03-3BD50F18899E}" type="presOf" srcId="{4F10BA6C-5B66-C149-AC59-011F85292F6B}" destId="{B1454B0E-F18A-6F49-A738-96CCFFF5F204}" srcOrd="0" destOrd="0" presId="urn:microsoft.com/office/officeart/2005/8/layout/cycle1"/>
    <dgm:cxn modelId="{557A85AF-170F-3649-A161-5CDFB260AD43}" type="presOf" srcId="{812F2212-EBA4-C045-9D60-E82892400887}" destId="{6ADF2404-F0F4-E24D-AF03-326A0534C6DB}" srcOrd="0" destOrd="0" presId="urn:microsoft.com/office/officeart/2005/8/layout/cycle1"/>
    <dgm:cxn modelId="{81E00960-25F1-F549-892D-2A10DE7E28BC}" srcId="{B75F7F44-6A6F-F74D-ACBF-14ADFD65835F}" destId="{812F2212-EBA4-C045-9D60-E82892400887}" srcOrd="5" destOrd="0" parTransId="{C7466B36-BAE5-9F41-A698-1A4194DCE109}" sibTransId="{02B5B6A9-637A-D540-A38B-03C3C5AB2D3B}"/>
    <dgm:cxn modelId="{FB107AE1-C3A8-1344-BE44-C962ED510957}" type="presOf" srcId="{808E46B1-EED0-C04B-A1B2-2AEC8EEE4170}" destId="{8E58548D-C9F9-7542-8D23-B3E92EA1A0AA}" srcOrd="0" destOrd="0" presId="urn:microsoft.com/office/officeart/2005/8/layout/cycle1"/>
    <dgm:cxn modelId="{AF0F8E0D-21C9-0A45-A52F-DF7809F19147}" srcId="{B75F7F44-6A6F-F74D-ACBF-14ADFD65835F}" destId="{881B9FEF-0625-E249-BF43-F35C35C134F9}" srcOrd="7" destOrd="0" parTransId="{6328397F-FF74-7847-B6BD-C4E766C813C4}" sibTransId="{A89BA115-FAF7-8E4B-9C55-F56ABD5CCE06}"/>
    <dgm:cxn modelId="{6CA8363A-F20D-2A41-8C1A-D8482567565E}" type="presOf" srcId="{F8483152-590D-FC4C-B41F-A59814629BCB}" destId="{D9AB7F56-7667-3B4A-9D58-A0EAAE76C952}" srcOrd="0" destOrd="0" presId="urn:microsoft.com/office/officeart/2005/8/layout/cycle1"/>
    <dgm:cxn modelId="{43FE14A3-BEB0-6F49-84FD-02ACA82E2506}" type="presOf" srcId="{0DC80E09-D85D-774E-A687-6E259498E81D}" destId="{6D4788A6-4022-CB48-A0DE-C5BE18DA9BD4}" srcOrd="0" destOrd="0" presId="urn:microsoft.com/office/officeart/2005/8/layout/cycle1"/>
    <dgm:cxn modelId="{0D99A03F-8014-E34B-8C9E-8F528EBC2410}" type="presOf" srcId="{B75F7F44-6A6F-F74D-ACBF-14ADFD65835F}" destId="{ADC3DFFC-6486-2549-B945-9F6087ACA98A}" srcOrd="0" destOrd="0" presId="urn:microsoft.com/office/officeart/2005/8/layout/cycle1"/>
    <dgm:cxn modelId="{CC23614A-6FAF-F847-B7D4-F8540ACBC2FF}" srcId="{B75F7F44-6A6F-F74D-ACBF-14ADFD65835F}" destId="{F8483152-590D-FC4C-B41F-A59814629BCB}" srcOrd="6" destOrd="0" parTransId="{1379D354-B1CA-C547-89FB-8CC76B194280}" sibTransId="{9FC9FBAC-B1C9-8742-AA92-D476A89E65E3}"/>
    <dgm:cxn modelId="{EE803F45-3FCF-5E46-87A2-C2954D2800D7}" type="presOf" srcId="{279B863D-9135-D345-B0F1-2E63580045D7}" destId="{3154E763-F5CB-1947-8E72-ED26AF246E4B}" srcOrd="0" destOrd="0" presId="urn:microsoft.com/office/officeart/2005/8/layout/cycle1"/>
    <dgm:cxn modelId="{AF8C5F29-882A-0640-9FD4-F5C3D72681F8}" type="presOf" srcId="{ECEADE51-0159-B448-BE98-AA7148CE9CC3}" destId="{267571A2-FDAC-3344-B2A1-A8515408A4C0}" srcOrd="0" destOrd="0" presId="urn:microsoft.com/office/officeart/2005/8/layout/cycle1"/>
    <dgm:cxn modelId="{C2B36A32-4A87-0F4F-9D05-3DE7E6654DCC}" type="presParOf" srcId="{ADC3DFFC-6486-2549-B945-9F6087ACA98A}" destId="{8FA8495D-C073-8847-95C2-7E61C7AC0CD8}" srcOrd="0" destOrd="0" presId="urn:microsoft.com/office/officeart/2005/8/layout/cycle1"/>
    <dgm:cxn modelId="{FD73CEBC-7EE2-6048-9B13-5FDA8BA1A2C3}" type="presParOf" srcId="{ADC3DFFC-6486-2549-B945-9F6087ACA98A}" destId="{3154E763-F5CB-1947-8E72-ED26AF246E4B}" srcOrd="1" destOrd="0" presId="urn:microsoft.com/office/officeart/2005/8/layout/cycle1"/>
    <dgm:cxn modelId="{77763FBF-903C-D44D-A254-A02F37697680}" type="presParOf" srcId="{ADC3DFFC-6486-2549-B945-9F6087ACA98A}" destId="{8C9CFF9C-EA60-7E48-A2FB-C384EAFB4D44}" srcOrd="2" destOrd="0" presId="urn:microsoft.com/office/officeart/2005/8/layout/cycle1"/>
    <dgm:cxn modelId="{7C73226C-C345-6642-9CE4-2D6D70784BF9}" type="presParOf" srcId="{ADC3DFFC-6486-2549-B945-9F6087ACA98A}" destId="{E2F1E172-71DE-7744-BBE4-6E824344AB09}" srcOrd="3" destOrd="0" presId="urn:microsoft.com/office/officeart/2005/8/layout/cycle1"/>
    <dgm:cxn modelId="{25253DC2-CEA8-E04C-89F5-EEDED633DACA}" type="presParOf" srcId="{ADC3DFFC-6486-2549-B945-9F6087ACA98A}" destId="{3E9DFDEF-F794-B44E-817F-547A228237BD}" srcOrd="4" destOrd="0" presId="urn:microsoft.com/office/officeart/2005/8/layout/cycle1"/>
    <dgm:cxn modelId="{F643D001-07BF-0A49-B827-16984FE90084}" type="presParOf" srcId="{ADC3DFFC-6486-2549-B945-9F6087ACA98A}" destId="{F3275831-5130-A647-9AE6-2A1811422F28}" srcOrd="5" destOrd="0" presId="urn:microsoft.com/office/officeart/2005/8/layout/cycle1"/>
    <dgm:cxn modelId="{3DE4508A-2E01-E04B-9F1B-4D6B9C68EC7B}" type="presParOf" srcId="{ADC3DFFC-6486-2549-B945-9F6087ACA98A}" destId="{FFF10128-42F4-904D-A8AA-6E244667B8F5}" srcOrd="6" destOrd="0" presId="urn:microsoft.com/office/officeart/2005/8/layout/cycle1"/>
    <dgm:cxn modelId="{ABB73719-23CD-444D-8C6D-C8A5EDFDD824}" type="presParOf" srcId="{ADC3DFFC-6486-2549-B945-9F6087ACA98A}" destId="{6D4788A6-4022-CB48-A0DE-C5BE18DA9BD4}" srcOrd="7" destOrd="0" presId="urn:microsoft.com/office/officeart/2005/8/layout/cycle1"/>
    <dgm:cxn modelId="{7161DFB7-A9A4-0D45-B9F2-ACBA3F1DF0E7}" type="presParOf" srcId="{ADC3DFFC-6486-2549-B945-9F6087ACA98A}" destId="{10377AFC-3931-764D-B025-5FC3AD8D0128}" srcOrd="8" destOrd="0" presId="urn:microsoft.com/office/officeart/2005/8/layout/cycle1"/>
    <dgm:cxn modelId="{CAD42285-029C-4548-A851-4D8BA105D14F}" type="presParOf" srcId="{ADC3DFFC-6486-2549-B945-9F6087ACA98A}" destId="{DFFEA32A-8939-1E44-A4DD-4EAD959B53A5}" srcOrd="9" destOrd="0" presId="urn:microsoft.com/office/officeart/2005/8/layout/cycle1"/>
    <dgm:cxn modelId="{ED49DAED-173E-D147-9495-599294100C63}" type="presParOf" srcId="{ADC3DFFC-6486-2549-B945-9F6087ACA98A}" destId="{12F7E10F-D187-EE4B-9C89-C1EA0C61BBC2}" srcOrd="10" destOrd="0" presId="urn:microsoft.com/office/officeart/2005/8/layout/cycle1"/>
    <dgm:cxn modelId="{C4B2B5E1-FC39-3D4D-B7FD-07281A3D1C15}" type="presParOf" srcId="{ADC3DFFC-6486-2549-B945-9F6087ACA98A}" destId="{33C0DAA2-F4B2-7B43-94BE-EE2A49B3E2B2}" srcOrd="11" destOrd="0" presId="urn:microsoft.com/office/officeart/2005/8/layout/cycle1"/>
    <dgm:cxn modelId="{63FE5F9C-74CB-994E-BA4F-30201A0FBAF6}" type="presParOf" srcId="{ADC3DFFC-6486-2549-B945-9F6087ACA98A}" destId="{C37B981A-64F1-8946-A435-0C2DF0313B44}" srcOrd="12" destOrd="0" presId="urn:microsoft.com/office/officeart/2005/8/layout/cycle1"/>
    <dgm:cxn modelId="{A34830B7-6C9D-ED4A-9657-7D984D5DB0CC}" type="presParOf" srcId="{ADC3DFFC-6486-2549-B945-9F6087ACA98A}" destId="{84E67944-B303-7E43-BDA2-C6DD4B92BDE0}" srcOrd="13" destOrd="0" presId="urn:microsoft.com/office/officeart/2005/8/layout/cycle1"/>
    <dgm:cxn modelId="{4812818F-2050-7645-A0BB-F81B1127C3F9}" type="presParOf" srcId="{ADC3DFFC-6486-2549-B945-9F6087ACA98A}" destId="{8E58548D-C9F9-7542-8D23-B3E92EA1A0AA}" srcOrd="14" destOrd="0" presId="urn:microsoft.com/office/officeart/2005/8/layout/cycle1"/>
    <dgm:cxn modelId="{7DCB8CAA-FF1E-1D4B-B45C-9228819BC2AE}" type="presParOf" srcId="{ADC3DFFC-6486-2549-B945-9F6087ACA98A}" destId="{8DA97D3A-8C1D-9D46-85AE-BD62663DF9E3}" srcOrd="15" destOrd="0" presId="urn:microsoft.com/office/officeart/2005/8/layout/cycle1"/>
    <dgm:cxn modelId="{1AC3FA2F-1B4C-5B42-977E-25A678DA05B3}" type="presParOf" srcId="{ADC3DFFC-6486-2549-B945-9F6087ACA98A}" destId="{6ADF2404-F0F4-E24D-AF03-326A0534C6DB}" srcOrd="16" destOrd="0" presId="urn:microsoft.com/office/officeart/2005/8/layout/cycle1"/>
    <dgm:cxn modelId="{B42DF328-AF20-8548-B44F-6F3C0AE2CC0A}" type="presParOf" srcId="{ADC3DFFC-6486-2549-B945-9F6087ACA98A}" destId="{D45E2600-09F6-3F49-AAA3-4D0F4ED8B196}" srcOrd="17" destOrd="0" presId="urn:microsoft.com/office/officeart/2005/8/layout/cycle1"/>
    <dgm:cxn modelId="{DC1C91FE-FE61-CF4A-A791-AFA6E880CC06}" type="presParOf" srcId="{ADC3DFFC-6486-2549-B945-9F6087ACA98A}" destId="{0BA7EBB2-2946-044A-9E8B-06AE3B9400E5}" srcOrd="18" destOrd="0" presId="urn:microsoft.com/office/officeart/2005/8/layout/cycle1"/>
    <dgm:cxn modelId="{4D8C795A-03B9-DD4D-B4E4-0C99C60E5423}" type="presParOf" srcId="{ADC3DFFC-6486-2549-B945-9F6087ACA98A}" destId="{D9AB7F56-7667-3B4A-9D58-A0EAAE76C952}" srcOrd="19" destOrd="0" presId="urn:microsoft.com/office/officeart/2005/8/layout/cycle1"/>
    <dgm:cxn modelId="{88C5EDA0-3260-FA42-BB2C-863669A05574}" type="presParOf" srcId="{ADC3DFFC-6486-2549-B945-9F6087ACA98A}" destId="{535F6F6D-707A-DA43-9DEC-5C3FF63E64E7}" srcOrd="20" destOrd="0" presId="urn:microsoft.com/office/officeart/2005/8/layout/cycle1"/>
    <dgm:cxn modelId="{2455809D-C292-B34F-8056-98F9C625C7CD}" type="presParOf" srcId="{ADC3DFFC-6486-2549-B945-9F6087ACA98A}" destId="{E5CE830D-CDD6-B147-8B7A-2637CEA429C1}" srcOrd="21" destOrd="0" presId="urn:microsoft.com/office/officeart/2005/8/layout/cycle1"/>
    <dgm:cxn modelId="{F840E66D-B1AE-D445-BE74-34E60E0301A4}" type="presParOf" srcId="{ADC3DFFC-6486-2549-B945-9F6087ACA98A}" destId="{2FA433EE-5646-6B43-BC47-6B0166939CC3}" srcOrd="22" destOrd="0" presId="urn:microsoft.com/office/officeart/2005/8/layout/cycle1"/>
    <dgm:cxn modelId="{06A877A1-0486-8446-8348-1CC94432783D}" type="presParOf" srcId="{ADC3DFFC-6486-2549-B945-9F6087ACA98A}" destId="{5E91E276-C285-EC4B-95C2-1EA1BCE21F1C}" srcOrd="23" destOrd="0" presId="urn:microsoft.com/office/officeart/2005/8/layout/cycle1"/>
    <dgm:cxn modelId="{BDC9099F-37DC-E74D-BEB2-916221580A86}" type="presParOf" srcId="{ADC3DFFC-6486-2549-B945-9F6087ACA98A}" destId="{17262509-C3E0-F749-8656-C805C8DD58EE}" srcOrd="24" destOrd="0" presId="urn:microsoft.com/office/officeart/2005/8/layout/cycle1"/>
    <dgm:cxn modelId="{390B2F13-A05C-7445-8D95-3978E0B820AF}" type="presParOf" srcId="{ADC3DFFC-6486-2549-B945-9F6087ACA98A}" destId="{267571A2-FDAC-3344-B2A1-A8515408A4C0}" srcOrd="25" destOrd="0" presId="urn:microsoft.com/office/officeart/2005/8/layout/cycle1"/>
    <dgm:cxn modelId="{8EF7AF40-BC0A-3A48-9157-A0B1328EA2F6}" type="presParOf" srcId="{ADC3DFFC-6486-2549-B945-9F6087ACA98A}" destId="{B1454B0E-F18A-6F49-A738-96CCFFF5F204}" srcOrd="26" destOrd="0" presId="urn:microsoft.com/office/officeart/2005/8/layout/cycle1"/>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B75F7F44-6A6F-F74D-ACBF-14ADFD65835F}" type="doc">
      <dgm:prSet loTypeId="urn:microsoft.com/office/officeart/2005/8/layout/cycle1" loCatId="" qsTypeId="urn:microsoft.com/office/officeart/2005/8/quickstyle/simple4" qsCatId="simple" csTypeId="urn:microsoft.com/office/officeart/2005/8/colors/accent3_2" csCatId="accent3" phldr="1"/>
      <dgm:spPr/>
      <dgm:t>
        <a:bodyPr/>
        <a:lstStyle/>
        <a:p>
          <a:endParaRPr lang="en-US"/>
        </a:p>
      </dgm:t>
    </dgm:pt>
    <dgm:pt modelId="{B46C9681-66D3-1647-BDC1-8F615A598165}">
      <dgm:prSet phldrT="[Text]" custT="1"/>
      <dgm:spPr/>
      <dgm:t>
        <a:bodyPr/>
        <a:lstStyle/>
        <a:p>
          <a:r>
            <a:rPr lang="en-US" sz="1000" b="1">
              <a:latin typeface="Arial"/>
              <a:cs typeface="Arial"/>
            </a:rPr>
            <a:t>Strategising</a:t>
          </a:r>
        </a:p>
      </dgm:t>
    </dgm:pt>
    <dgm:pt modelId="{97787AC8-5C0E-044E-813B-646A01AEB16C}" type="parTrans" cxnId="{95DAD797-C535-0840-84FA-F250BF2F29E2}">
      <dgm:prSet/>
      <dgm:spPr/>
      <dgm:t>
        <a:bodyPr/>
        <a:lstStyle/>
        <a:p>
          <a:endParaRPr lang="en-US"/>
        </a:p>
      </dgm:t>
    </dgm:pt>
    <dgm:pt modelId="{8B453E06-B6E0-2A43-B46C-2B8DEBDEF303}" type="sibTrans" cxnId="{95DAD797-C535-0840-84FA-F250BF2F29E2}">
      <dgm:prSet/>
      <dgm:spPr/>
      <dgm:t>
        <a:bodyPr/>
        <a:lstStyle/>
        <a:p>
          <a:endParaRPr lang="en-US"/>
        </a:p>
      </dgm:t>
    </dgm:pt>
    <dgm:pt modelId="{0DC80E09-D85D-774E-A687-6E259498E81D}">
      <dgm:prSet phldrT="[Text]" custT="1"/>
      <dgm:spPr/>
      <dgm:t>
        <a:bodyPr/>
        <a:lstStyle/>
        <a:p>
          <a:r>
            <a:rPr lang="en-US" sz="1000" b="1">
              <a:latin typeface="Arial"/>
              <a:cs typeface="Arial"/>
            </a:rPr>
            <a:t>Work Planning</a:t>
          </a:r>
        </a:p>
      </dgm:t>
    </dgm:pt>
    <dgm:pt modelId="{DC2F0CE8-BD55-0247-A8A5-2B654F990F93}" type="parTrans" cxnId="{E6761EE1-B17D-EA48-99EC-85877251D753}">
      <dgm:prSet/>
      <dgm:spPr/>
      <dgm:t>
        <a:bodyPr/>
        <a:lstStyle/>
        <a:p>
          <a:endParaRPr lang="en-US"/>
        </a:p>
      </dgm:t>
    </dgm:pt>
    <dgm:pt modelId="{D2CFF3A0-8533-5449-9112-D78BC9EE81E9}" type="sibTrans" cxnId="{E6761EE1-B17D-EA48-99EC-85877251D753}">
      <dgm:prSet/>
      <dgm:spPr/>
      <dgm:t>
        <a:bodyPr/>
        <a:lstStyle/>
        <a:p>
          <a:endParaRPr lang="en-US"/>
        </a:p>
      </dgm:t>
    </dgm:pt>
    <dgm:pt modelId="{32348127-CAD9-5F41-9DDA-DA64D05DC419}">
      <dgm:prSet phldrT="[Text]" custT="1"/>
      <dgm:spPr/>
      <dgm:t>
        <a:bodyPr/>
        <a:lstStyle/>
        <a:p>
          <a:r>
            <a:rPr lang="en-US" sz="1000" b="1">
              <a:latin typeface="Arial"/>
              <a:cs typeface="Arial"/>
            </a:rPr>
            <a:t>Budgeting</a:t>
          </a:r>
        </a:p>
      </dgm:t>
    </dgm:pt>
    <dgm:pt modelId="{DC3C3514-C20B-664F-A938-A764C329A9C3}" type="parTrans" cxnId="{93D31496-6BE0-B24F-87EE-3BE5A0C3EA83}">
      <dgm:prSet/>
      <dgm:spPr/>
      <dgm:t>
        <a:bodyPr/>
        <a:lstStyle/>
        <a:p>
          <a:endParaRPr lang="en-US"/>
        </a:p>
      </dgm:t>
    </dgm:pt>
    <dgm:pt modelId="{B29A10C8-7C47-2A44-AF88-5DCFBB73A216}" type="sibTrans" cxnId="{93D31496-6BE0-B24F-87EE-3BE5A0C3EA83}">
      <dgm:prSet/>
      <dgm:spPr/>
      <dgm:t>
        <a:bodyPr/>
        <a:lstStyle/>
        <a:p>
          <a:endParaRPr lang="en-US"/>
        </a:p>
      </dgm:t>
    </dgm:pt>
    <dgm:pt modelId="{1C898F6B-6209-4144-A192-81DD20A9232C}">
      <dgm:prSet phldrT="[Text]" custT="1"/>
      <dgm:spPr/>
      <dgm:t>
        <a:bodyPr/>
        <a:lstStyle/>
        <a:p>
          <a:r>
            <a:rPr lang="en-US" sz="1000" b="1">
              <a:latin typeface="Arial"/>
              <a:cs typeface="Arial"/>
            </a:rPr>
            <a:t>Forecasting</a:t>
          </a:r>
        </a:p>
      </dgm:t>
    </dgm:pt>
    <dgm:pt modelId="{19E004DB-8563-0246-A75E-9111B80F7C86}" type="parTrans" cxnId="{85D7C4CC-7810-244D-BFBC-BFA715D2A6C9}">
      <dgm:prSet/>
      <dgm:spPr/>
      <dgm:t>
        <a:bodyPr/>
        <a:lstStyle/>
        <a:p>
          <a:endParaRPr lang="en-US"/>
        </a:p>
      </dgm:t>
    </dgm:pt>
    <dgm:pt modelId="{808E46B1-EED0-C04B-A1B2-2AEC8EEE4170}" type="sibTrans" cxnId="{85D7C4CC-7810-244D-BFBC-BFA715D2A6C9}">
      <dgm:prSet/>
      <dgm:spPr/>
      <dgm:t>
        <a:bodyPr/>
        <a:lstStyle/>
        <a:p>
          <a:endParaRPr lang="en-US"/>
        </a:p>
      </dgm:t>
    </dgm:pt>
    <dgm:pt modelId="{812F2212-EBA4-C045-9D60-E82892400887}">
      <dgm:prSet custT="1"/>
      <dgm:spPr/>
      <dgm:t>
        <a:bodyPr/>
        <a:lstStyle/>
        <a:p>
          <a:r>
            <a:rPr lang="en-US" sz="1000" b="1">
              <a:latin typeface="Arial"/>
              <a:cs typeface="Arial"/>
            </a:rPr>
            <a:t>Implement-ation</a:t>
          </a:r>
        </a:p>
      </dgm:t>
    </dgm:pt>
    <dgm:pt modelId="{C7466B36-BAE5-9F41-A698-1A4194DCE109}" type="parTrans" cxnId="{81E00960-25F1-F549-892D-2A10DE7E28BC}">
      <dgm:prSet/>
      <dgm:spPr/>
      <dgm:t>
        <a:bodyPr/>
        <a:lstStyle/>
        <a:p>
          <a:endParaRPr lang="en-US"/>
        </a:p>
      </dgm:t>
    </dgm:pt>
    <dgm:pt modelId="{02B5B6A9-637A-D540-A38B-03C3C5AB2D3B}" type="sibTrans" cxnId="{81E00960-25F1-F549-892D-2A10DE7E28BC}">
      <dgm:prSet/>
      <dgm:spPr/>
      <dgm:t>
        <a:bodyPr/>
        <a:lstStyle/>
        <a:p>
          <a:endParaRPr lang="en-US"/>
        </a:p>
      </dgm:t>
    </dgm:pt>
    <dgm:pt modelId="{F8483152-590D-FC4C-B41F-A59814629BCB}">
      <dgm:prSet/>
      <dgm:spPr/>
      <dgm:t>
        <a:bodyPr/>
        <a:lstStyle/>
        <a:p>
          <a:r>
            <a:rPr lang="en-US" b="1">
              <a:latin typeface="Arial"/>
              <a:cs typeface="Arial"/>
            </a:rPr>
            <a:t>Monitoring &amp; Evaluation</a:t>
          </a:r>
        </a:p>
      </dgm:t>
    </dgm:pt>
    <dgm:pt modelId="{1379D354-B1CA-C547-89FB-8CC76B194280}" type="parTrans" cxnId="{CC23614A-6FAF-F847-B7D4-F8540ACBC2FF}">
      <dgm:prSet/>
      <dgm:spPr/>
      <dgm:t>
        <a:bodyPr/>
        <a:lstStyle/>
        <a:p>
          <a:endParaRPr lang="en-US"/>
        </a:p>
      </dgm:t>
    </dgm:pt>
    <dgm:pt modelId="{9FC9FBAC-B1C9-8742-AA92-D476A89E65E3}" type="sibTrans" cxnId="{CC23614A-6FAF-F847-B7D4-F8540ACBC2FF}">
      <dgm:prSet/>
      <dgm:spPr/>
      <dgm:t>
        <a:bodyPr/>
        <a:lstStyle/>
        <a:p>
          <a:endParaRPr lang="en-US"/>
        </a:p>
      </dgm:t>
    </dgm:pt>
    <dgm:pt modelId="{881B9FEF-0625-E249-BF43-F35C35C134F9}">
      <dgm:prSet/>
      <dgm:spPr/>
      <dgm:t>
        <a:bodyPr/>
        <a:lstStyle/>
        <a:p>
          <a:r>
            <a:rPr lang="en-US" b="1">
              <a:latin typeface="Arial"/>
              <a:cs typeface="Arial"/>
            </a:rPr>
            <a:t>Reflection &amp; Reporting</a:t>
          </a:r>
        </a:p>
      </dgm:t>
    </dgm:pt>
    <dgm:pt modelId="{6328397F-FF74-7847-B6BD-C4E766C813C4}" type="parTrans" cxnId="{AF0F8E0D-21C9-0A45-A52F-DF7809F19147}">
      <dgm:prSet/>
      <dgm:spPr/>
      <dgm:t>
        <a:bodyPr/>
        <a:lstStyle/>
        <a:p>
          <a:endParaRPr lang="en-US"/>
        </a:p>
      </dgm:t>
    </dgm:pt>
    <dgm:pt modelId="{A89BA115-FAF7-8E4B-9C55-F56ABD5CCE06}" type="sibTrans" cxnId="{AF0F8E0D-21C9-0A45-A52F-DF7809F19147}">
      <dgm:prSet/>
      <dgm:spPr/>
      <dgm:t>
        <a:bodyPr/>
        <a:lstStyle/>
        <a:p>
          <a:endParaRPr lang="en-US" b="1"/>
        </a:p>
      </dgm:t>
    </dgm:pt>
    <dgm:pt modelId="{ECEADE51-0159-B448-BE98-AA7148CE9CC3}">
      <dgm:prSet custT="1"/>
      <dgm:spPr/>
      <dgm:t>
        <a:bodyPr/>
        <a:lstStyle/>
        <a:p>
          <a:r>
            <a:rPr lang="en-US" sz="1000" b="1">
              <a:latin typeface="Arial"/>
              <a:cs typeface="Arial"/>
            </a:rPr>
            <a:t>Analysis</a:t>
          </a:r>
        </a:p>
      </dgm:t>
    </dgm:pt>
    <dgm:pt modelId="{65498A84-7A29-FB48-A480-30DBBFA25E1C}" type="parTrans" cxnId="{937BB626-F1DC-B44E-AD15-74B3B2613712}">
      <dgm:prSet/>
      <dgm:spPr/>
      <dgm:t>
        <a:bodyPr/>
        <a:lstStyle/>
        <a:p>
          <a:endParaRPr lang="en-US"/>
        </a:p>
      </dgm:t>
    </dgm:pt>
    <dgm:pt modelId="{4F10BA6C-5B66-C149-AC59-011F85292F6B}" type="sibTrans" cxnId="{937BB626-F1DC-B44E-AD15-74B3B2613712}">
      <dgm:prSet/>
      <dgm:spPr/>
      <dgm:t>
        <a:bodyPr/>
        <a:lstStyle/>
        <a:p>
          <a:endParaRPr lang="en-US">
            <a:latin typeface="Arial"/>
            <a:cs typeface="Arial"/>
          </a:endParaRPr>
        </a:p>
      </dgm:t>
    </dgm:pt>
    <dgm:pt modelId="{279B863D-9135-D345-B0F1-2E63580045D7}">
      <dgm:prSet custT="1"/>
      <dgm:spPr/>
      <dgm:t>
        <a:bodyPr/>
        <a:lstStyle/>
        <a:p>
          <a:r>
            <a:rPr lang="en-US" sz="1000" b="1">
              <a:latin typeface="Arial"/>
              <a:cs typeface="Arial"/>
            </a:rPr>
            <a:t>Objective Setting</a:t>
          </a:r>
        </a:p>
      </dgm:t>
    </dgm:pt>
    <dgm:pt modelId="{7EB0B8E0-B8BE-1348-A4C3-9E52AFB83589}" type="parTrans" cxnId="{109E67DD-8D94-0547-8273-1A03970D0C8A}">
      <dgm:prSet/>
      <dgm:spPr/>
      <dgm:t>
        <a:bodyPr/>
        <a:lstStyle/>
        <a:p>
          <a:endParaRPr lang="en-US"/>
        </a:p>
      </dgm:t>
    </dgm:pt>
    <dgm:pt modelId="{395FA40E-D804-ED4A-B2CF-FDD128F8EB2D}" type="sibTrans" cxnId="{109E67DD-8D94-0547-8273-1A03970D0C8A}">
      <dgm:prSet/>
      <dgm:spPr/>
      <dgm:t>
        <a:bodyPr/>
        <a:lstStyle/>
        <a:p>
          <a:endParaRPr lang="en-US"/>
        </a:p>
      </dgm:t>
    </dgm:pt>
    <dgm:pt modelId="{ADC3DFFC-6486-2549-B945-9F6087ACA98A}" type="pres">
      <dgm:prSet presAssocID="{B75F7F44-6A6F-F74D-ACBF-14ADFD65835F}" presName="cycle" presStyleCnt="0">
        <dgm:presLayoutVars>
          <dgm:dir/>
          <dgm:resizeHandles val="exact"/>
        </dgm:presLayoutVars>
      </dgm:prSet>
      <dgm:spPr/>
      <dgm:t>
        <a:bodyPr/>
        <a:lstStyle/>
        <a:p>
          <a:endParaRPr lang="en-US"/>
        </a:p>
      </dgm:t>
    </dgm:pt>
    <dgm:pt modelId="{8FA8495D-C073-8847-95C2-7E61C7AC0CD8}" type="pres">
      <dgm:prSet presAssocID="{279B863D-9135-D345-B0F1-2E63580045D7}" presName="dummy" presStyleCnt="0"/>
      <dgm:spPr/>
    </dgm:pt>
    <dgm:pt modelId="{3154E763-F5CB-1947-8E72-ED26AF246E4B}" type="pres">
      <dgm:prSet presAssocID="{279B863D-9135-D345-B0F1-2E63580045D7}" presName="node" presStyleLbl="revTx" presStyleIdx="0" presStyleCnt="9" custScaleX="120300">
        <dgm:presLayoutVars>
          <dgm:bulletEnabled val="1"/>
        </dgm:presLayoutVars>
      </dgm:prSet>
      <dgm:spPr/>
      <dgm:t>
        <a:bodyPr/>
        <a:lstStyle/>
        <a:p>
          <a:endParaRPr lang="en-US"/>
        </a:p>
      </dgm:t>
    </dgm:pt>
    <dgm:pt modelId="{8C9CFF9C-EA60-7E48-A2FB-C384EAFB4D44}" type="pres">
      <dgm:prSet presAssocID="{395FA40E-D804-ED4A-B2CF-FDD128F8EB2D}" presName="sibTrans" presStyleLbl="node1" presStyleIdx="0" presStyleCnt="9"/>
      <dgm:spPr/>
      <dgm:t>
        <a:bodyPr/>
        <a:lstStyle/>
        <a:p>
          <a:endParaRPr lang="en-US"/>
        </a:p>
      </dgm:t>
    </dgm:pt>
    <dgm:pt modelId="{E2F1E172-71DE-7744-BBE4-6E824344AB09}" type="pres">
      <dgm:prSet presAssocID="{B46C9681-66D3-1647-BDC1-8F615A598165}" presName="dummy" presStyleCnt="0"/>
      <dgm:spPr/>
    </dgm:pt>
    <dgm:pt modelId="{3E9DFDEF-F794-B44E-817F-547A228237BD}" type="pres">
      <dgm:prSet presAssocID="{B46C9681-66D3-1647-BDC1-8F615A598165}" presName="node" presStyleLbl="revTx" presStyleIdx="1" presStyleCnt="9" custScaleX="115493">
        <dgm:presLayoutVars>
          <dgm:bulletEnabled val="1"/>
        </dgm:presLayoutVars>
      </dgm:prSet>
      <dgm:spPr/>
      <dgm:t>
        <a:bodyPr/>
        <a:lstStyle/>
        <a:p>
          <a:endParaRPr lang="en-US"/>
        </a:p>
      </dgm:t>
    </dgm:pt>
    <dgm:pt modelId="{F3275831-5130-A647-9AE6-2A1811422F28}" type="pres">
      <dgm:prSet presAssocID="{8B453E06-B6E0-2A43-B46C-2B8DEBDEF303}" presName="sibTrans" presStyleLbl="node1" presStyleIdx="1" presStyleCnt="9"/>
      <dgm:spPr/>
      <dgm:t>
        <a:bodyPr/>
        <a:lstStyle/>
        <a:p>
          <a:endParaRPr lang="en-US"/>
        </a:p>
      </dgm:t>
    </dgm:pt>
    <dgm:pt modelId="{FFF10128-42F4-904D-A8AA-6E244667B8F5}" type="pres">
      <dgm:prSet presAssocID="{0DC80E09-D85D-774E-A687-6E259498E81D}" presName="dummy" presStyleCnt="0"/>
      <dgm:spPr/>
    </dgm:pt>
    <dgm:pt modelId="{6D4788A6-4022-CB48-A0DE-C5BE18DA9BD4}" type="pres">
      <dgm:prSet presAssocID="{0DC80E09-D85D-774E-A687-6E259498E81D}" presName="node" presStyleLbl="revTx" presStyleIdx="2" presStyleCnt="9">
        <dgm:presLayoutVars>
          <dgm:bulletEnabled val="1"/>
        </dgm:presLayoutVars>
      </dgm:prSet>
      <dgm:spPr/>
      <dgm:t>
        <a:bodyPr/>
        <a:lstStyle/>
        <a:p>
          <a:endParaRPr lang="en-US"/>
        </a:p>
      </dgm:t>
    </dgm:pt>
    <dgm:pt modelId="{10377AFC-3931-764D-B025-5FC3AD8D0128}" type="pres">
      <dgm:prSet presAssocID="{D2CFF3A0-8533-5449-9112-D78BC9EE81E9}" presName="sibTrans" presStyleLbl="node1" presStyleIdx="2" presStyleCnt="9"/>
      <dgm:spPr/>
      <dgm:t>
        <a:bodyPr/>
        <a:lstStyle/>
        <a:p>
          <a:endParaRPr lang="en-US"/>
        </a:p>
      </dgm:t>
    </dgm:pt>
    <dgm:pt modelId="{DFFEA32A-8939-1E44-A4DD-4EAD959B53A5}" type="pres">
      <dgm:prSet presAssocID="{32348127-CAD9-5F41-9DDA-DA64D05DC419}" presName="dummy" presStyleCnt="0"/>
      <dgm:spPr/>
    </dgm:pt>
    <dgm:pt modelId="{12F7E10F-D187-EE4B-9C89-C1EA0C61BBC2}" type="pres">
      <dgm:prSet presAssocID="{32348127-CAD9-5F41-9DDA-DA64D05DC419}" presName="node" presStyleLbl="revTx" presStyleIdx="3" presStyleCnt="9">
        <dgm:presLayoutVars>
          <dgm:bulletEnabled val="1"/>
        </dgm:presLayoutVars>
      </dgm:prSet>
      <dgm:spPr/>
      <dgm:t>
        <a:bodyPr/>
        <a:lstStyle/>
        <a:p>
          <a:endParaRPr lang="en-US"/>
        </a:p>
      </dgm:t>
    </dgm:pt>
    <dgm:pt modelId="{33C0DAA2-F4B2-7B43-94BE-EE2A49B3E2B2}" type="pres">
      <dgm:prSet presAssocID="{B29A10C8-7C47-2A44-AF88-5DCFBB73A216}" presName="sibTrans" presStyleLbl="node1" presStyleIdx="3" presStyleCnt="9"/>
      <dgm:spPr/>
      <dgm:t>
        <a:bodyPr/>
        <a:lstStyle/>
        <a:p>
          <a:endParaRPr lang="en-US"/>
        </a:p>
      </dgm:t>
    </dgm:pt>
    <dgm:pt modelId="{C37B981A-64F1-8946-A435-0C2DF0313B44}" type="pres">
      <dgm:prSet presAssocID="{1C898F6B-6209-4144-A192-81DD20A9232C}" presName="dummy" presStyleCnt="0"/>
      <dgm:spPr/>
    </dgm:pt>
    <dgm:pt modelId="{84E67944-B303-7E43-BDA2-C6DD4B92BDE0}" type="pres">
      <dgm:prSet presAssocID="{1C898F6B-6209-4144-A192-81DD20A9232C}" presName="node" presStyleLbl="revTx" presStyleIdx="4" presStyleCnt="9" custScaleX="117531">
        <dgm:presLayoutVars>
          <dgm:bulletEnabled val="1"/>
        </dgm:presLayoutVars>
      </dgm:prSet>
      <dgm:spPr/>
      <dgm:t>
        <a:bodyPr/>
        <a:lstStyle/>
        <a:p>
          <a:endParaRPr lang="en-US"/>
        </a:p>
      </dgm:t>
    </dgm:pt>
    <dgm:pt modelId="{8E58548D-C9F9-7542-8D23-B3E92EA1A0AA}" type="pres">
      <dgm:prSet presAssocID="{808E46B1-EED0-C04B-A1B2-2AEC8EEE4170}" presName="sibTrans" presStyleLbl="node1" presStyleIdx="4" presStyleCnt="9"/>
      <dgm:spPr/>
      <dgm:t>
        <a:bodyPr/>
        <a:lstStyle/>
        <a:p>
          <a:endParaRPr lang="en-US"/>
        </a:p>
      </dgm:t>
    </dgm:pt>
    <dgm:pt modelId="{8DA97D3A-8C1D-9D46-85AE-BD62663DF9E3}" type="pres">
      <dgm:prSet presAssocID="{812F2212-EBA4-C045-9D60-E82892400887}" presName="dummy" presStyleCnt="0"/>
      <dgm:spPr/>
    </dgm:pt>
    <dgm:pt modelId="{6ADF2404-F0F4-E24D-AF03-326A0534C6DB}" type="pres">
      <dgm:prSet presAssocID="{812F2212-EBA4-C045-9D60-E82892400887}" presName="node" presStyleLbl="revTx" presStyleIdx="5" presStyleCnt="9" custScaleX="107895">
        <dgm:presLayoutVars>
          <dgm:bulletEnabled val="1"/>
        </dgm:presLayoutVars>
      </dgm:prSet>
      <dgm:spPr/>
      <dgm:t>
        <a:bodyPr/>
        <a:lstStyle/>
        <a:p>
          <a:endParaRPr lang="en-US"/>
        </a:p>
      </dgm:t>
    </dgm:pt>
    <dgm:pt modelId="{D45E2600-09F6-3F49-AAA3-4D0F4ED8B196}" type="pres">
      <dgm:prSet presAssocID="{02B5B6A9-637A-D540-A38B-03C3C5AB2D3B}" presName="sibTrans" presStyleLbl="node1" presStyleIdx="5" presStyleCnt="9"/>
      <dgm:spPr/>
      <dgm:t>
        <a:bodyPr/>
        <a:lstStyle/>
        <a:p>
          <a:endParaRPr lang="en-US"/>
        </a:p>
      </dgm:t>
    </dgm:pt>
    <dgm:pt modelId="{0BA7EBB2-2946-044A-9E8B-06AE3B9400E5}" type="pres">
      <dgm:prSet presAssocID="{F8483152-590D-FC4C-B41F-A59814629BCB}" presName="dummy" presStyleCnt="0"/>
      <dgm:spPr/>
    </dgm:pt>
    <dgm:pt modelId="{D9AB7F56-7667-3B4A-9D58-A0EAAE76C952}" type="pres">
      <dgm:prSet presAssocID="{F8483152-590D-FC4C-B41F-A59814629BCB}" presName="node" presStyleLbl="revTx" presStyleIdx="6" presStyleCnt="9">
        <dgm:presLayoutVars>
          <dgm:bulletEnabled val="1"/>
        </dgm:presLayoutVars>
      </dgm:prSet>
      <dgm:spPr/>
      <dgm:t>
        <a:bodyPr/>
        <a:lstStyle/>
        <a:p>
          <a:endParaRPr lang="en-US"/>
        </a:p>
      </dgm:t>
    </dgm:pt>
    <dgm:pt modelId="{535F6F6D-707A-DA43-9DEC-5C3FF63E64E7}" type="pres">
      <dgm:prSet presAssocID="{9FC9FBAC-B1C9-8742-AA92-D476A89E65E3}" presName="sibTrans" presStyleLbl="node1" presStyleIdx="6" presStyleCnt="9"/>
      <dgm:spPr/>
      <dgm:t>
        <a:bodyPr/>
        <a:lstStyle/>
        <a:p>
          <a:endParaRPr lang="en-US"/>
        </a:p>
      </dgm:t>
    </dgm:pt>
    <dgm:pt modelId="{E5CE830D-CDD6-B147-8B7A-2637CEA429C1}" type="pres">
      <dgm:prSet presAssocID="{881B9FEF-0625-E249-BF43-F35C35C134F9}" presName="dummy" presStyleCnt="0"/>
      <dgm:spPr/>
    </dgm:pt>
    <dgm:pt modelId="{2FA433EE-5646-6B43-BC47-6B0166939CC3}" type="pres">
      <dgm:prSet presAssocID="{881B9FEF-0625-E249-BF43-F35C35C134F9}" presName="node" presStyleLbl="revTx" presStyleIdx="7" presStyleCnt="9">
        <dgm:presLayoutVars>
          <dgm:bulletEnabled val="1"/>
        </dgm:presLayoutVars>
      </dgm:prSet>
      <dgm:spPr/>
      <dgm:t>
        <a:bodyPr/>
        <a:lstStyle/>
        <a:p>
          <a:endParaRPr lang="en-US"/>
        </a:p>
      </dgm:t>
    </dgm:pt>
    <dgm:pt modelId="{5E91E276-C285-EC4B-95C2-1EA1BCE21F1C}" type="pres">
      <dgm:prSet presAssocID="{A89BA115-FAF7-8E4B-9C55-F56ABD5CCE06}" presName="sibTrans" presStyleLbl="node1" presStyleIdx="7" presStyleCnt="9"/>
      <dgm:spPr/>
      <dgm:t>
        <a:bodyPr/>
        <a:lstStyle/>
        <a:p>
          <a:endParaRPr lang="en-US"/>
        </a:p>
      </dgm:t>
    </dgm:pt>
    <dgm:pt modelId="{17262509-C3E0-F749-8656-C805C8DD58EE}" type="pres">
      <dgm:prSet presAssocID="{ECEADE51-0159-B448-BE98-AA7148CE9CC3}" presName="dummy" presStyleCnt="0"/>
      <dgm:spPr/>
    </dgm:pt>
    <dgm:pt modelId="{267571A2-FDAC-3344-B2A1-A8515408A4C0}" type="pres">
      <dgm:prSet presAssocID="{ECEADE51-0159-B448-BE98-AA7148CE9CC3}" presName="node" presStyleLbl="revTx" presStyleIdx="8" presStyleCnt="9">
        <dgm:presLayoutVars>
          <dgm:bulletEnabled val="1"/>
        </dgm:presLayoutVars>
      </dgm:prSet>
      <dgm:spPr/>
      <dgm:t>
        <a:bodyPr/>
        <a:lstStyle/>
        <a:p>
          <a:endParaRPr lang="en-US"/>
        </a:p>
      </dgm:t>
    </dgm:pt>
    <dgm:pt modelId="{B1454B0E-F18A-6F49-A738-96CCFFF5F204}" type="pres">
      <dgm:prSet presAssocID="{4F10BA6C-5B66-C149-AC59-011F85292F6B}" presName="sibTrans" presStyleLbl="node1" presStyleIdx="8" presStyleCnt="9"/>
      <dgm:spPr/>
      <dgm:t>
        <a:bodyPr/>
        <a:lstStyle/>
        <a:p>
          <a:endParaRPr lang="en-US"/>
        </a:p>
      </dgm:t>
    </dgm:pt>
  </dgm:ptLst>
  <dgm:cxnLst>
    <dgm:cxn modelId="{26869A04-4CA9-B34F-B5FC-DECDDB18FF9B}" type="presOf" srcId="{F8483152-590D-FC4C-B41F-A59814629BCB}" destId="{D9AB7F56-7667-3B4A-9D58-A0EAAE76C952}" srcOrd="0" destOrd="0" presId="urn:microsoft.com/office/officeart/2005/8/layout/cycle1"/>
    <dgm:cxn modelId="{937BB626-F1DC-B44E-AD15-74B3B2613712}" srcId="{B75F7F44-6A6F-F74D-ACBF-14ADFD65835F}" destId="{ECEADE51-0159-B448-BE98-AA7148CE9CC3}" srcOrd="8" destOrd="0" parTransId="{65498A84-7A29-FB48-A480-30DBBFA25E1C}" sibTransId="{4F10BA6C-5B66-C149-AC59-011F85292F6B}"/>
    <dgm:cxn modelId="{401E8855-FF36-3140-8461-DF215BF11EB3}" type="presOf" srcId="{9FC9FBAC-B1C9-8742-AA92-D476A89E65E3}" destId="{535F6F6D-707A-DA43-9DEC-5C3FF63E64E7}" srcOrd="0" destOrd="0" presId="urn:microsoft.com/office/officeart/2005/8/layout/cycle1"/>
    <dgm:cxn modelId="{E6761EE1-B17D-EA48-99EC-85877251D753}" srcId="{B75F7F44-6A6F-F74D-ACBF-14ADFD65835F}" destId="{0DC80E09-D85D-774E-A687-6E259498E81D}" srcOrd="2" destOrd="0" parTransId="{DC2F0CE8-BD55-0247-A8A5-2B654F990F93}" sibTransId="{D2CFF3A0-8533-5449-9112-D78BC9EE81E9}"/>
    <dgm:cxn modelId="{22938C67-D7D8-A64A-9AA7-24EC42C9BF8A}" type="presOf" srcId="{B29A10C8-7C47-2A44-AF88-5DCFBB73A216}" destId="{33C0DAA2-F4B2-7B43-94BE-EE2A49B3E2B2}" srcOrd="0" destOrd="0" presId="urn:microsoft.com/office/officeart/2005/8/layout/cycle1"/>
    <dgm:cxn modelId="{93D31496-6BE0-B24F-87EE-3BE5A0C3EA83}" srcId="{B75F7F44-6A6F-F74D-ACBF-14ADFD65835F}" destId="{32348127-CAD9-5F41-9DDA-DA64D05DC419}" srcOrd="3" destOrd="0" parTransId="{DC3C3514-C20B-664F-A938-A764C329A9C3}" sibTransId="{B29A10C8-7C47-2A44-AF88-5DCFBB73A216}"/>
    <dgm:cxn modelId="{109E67DD-8D94-0547-8273-1A03970D0C8A}" srcId="{B75F7F44-6A6F-F74D-ACBF-14ADFD65835F}" destId="{279B863D-9135-D345-B0F1-2E63580045D7}" srcOrd="0" destOrd="0" parTransId="{7EB0B8E0-B8BE-1348-A4C3-9E52AFB83589}" sibTransId="{395FA40E-D804-ED4A-B2CF-FDD128F8EB2D}"/>
    <dgm:cxn modelId="{95DAD797-C535-0840-84FA-F250BF2F29E2}" srcId="{B75F7F44-6A6F-F74D-ACBF-14ADFD65835F}" destId="{B46C9681-66D3-1647-BDC1-8F615A598165}" srcOrd="1" destOrd="0" parTransId="{97787AC8-5C0E-044E-813B-646A01AEB16C}" sibTransId="{8B453E06-B6E0-2A43-B46C-2B8DEBDEF303}"/>
    <dgm:cxn modelId="{CFD1A871-7D56-AD4A-8AEA-CD5F45404386}" type="presOf" srcId="{395FA40E-D804-ED4A-B2CF-FDD128F8EB2D}" destId="{8C9CFF9C-EA60-7E48-A2FB-C384EAFB4D44}" srcOrd="0" destOrd="0" presId="urn:microsoft.com/office/officeart/2005/8/layout/cycle1"/>
    <dgm:cxn modelId="{1C1E70A4-39D0-D543-9BFE-9E30BD1C2D4F}" type="presOf" srcId="{D2CFF3A0-8533-5449-9112-D78BC9EE81E9}" destId="{10377AFC-3931-764D-B025-5FC3AD8D0128}" srcOrd="0" destOrd="0" presId="urn:microsoft.com/office/officeart/2005/8/layout/cycle1"/>
    <dgm:cxn modelId="{C31C93C7-BC1D-EC40-95D2-A8DD87104F35}" type="presOf" srcId="{279B863D-9135-D345-B0F1-2E63580045D7}" destId="{3154E763-F5CB-1947-8E72-ED26AF246E4B}" srcOrd="0" destOrd="0" presId="urn:microsoft.com/office/officeart/2005/8/layout/cycle1"/>
    <dgm:cxn modelId="{85D7C4CC-7810-244D-BFBC-BFA715D2A6C9}" srcId="{B75F7F44-6A6F-F74D-ACBF-14ADFD65835F}" destId="{1C898F6B-6209-4144-A192-81DD20A9232C}" srcOrd="4" destOrd="0" parTransId="{19E004DB-8563-0246-A75E-9111B80F7C86}" sibTransId="{808E46B1-EED0-C04B-A1B2-2AEC8EEE4170}"/>
    <dgm:cxn modelId="{3B29E1E3-DF4A-EC43-8BF2-F5DA785B418B}" type="presOf" srcId="{02B5B6A9-637A-D540-A38B-03C3C5AB2D3B}" destId="{D45E2600-09F6-3F49-AAA3-4D0F4ED8B196}" srcOrd="0" destOrd="0" presId="urn:microsoft.com/office/officeart/2005/8/layout/cycle1"/>
    <dgm:cxn modelId="{02A26612-65A5-2B41-A3BF-8EBA5F218236}" type="presOf" srcId="{1C898F6B-6209-4144-A192-81DD20A9232C}" destId="{84E67944-B303-7E43-BDA2-C6DD4B92BDE0}" srcOrd="0" destOrd="0" presId="urn:microsoft.com/office/officeart/2005/8/layout/cycle1"/>
    <dgm:cxn modelId="{161E2CBC-A9F6-5C45-B31C-703636776766}" type="presOf" srcId="{808E46B1-EED0-C04B-A1B2-2AEC8EEE4170}" destId="{8E58548D-C9F9-7542-8D23-B3E92EA1A0AA}" srcOrd="0" destOrd="0" presId="urn:microsoft.com/office/officeart/2005/8/layout/cycle1"/>
    <dgm:cxn modelId="{8B50854B-EC01-6C41-B090-30F8428F0E7B}" type="presOf" srcId="{B46C9681-66D3-1647-BDC1-8F615A598165}" destId="{3E9DFDEF-F794-B44E-817F-547A228237BD}" srcOrd="0" destOrd="0" presId="urn:microsoft.com/office/officeart/2005/8/layout/cycle1"/>
    <dgm:cxn modelId="{81E00960-25F1-F549-892D-2A10DE7E28BC}" srcId="{B75F7F44-6A6F-F74D-ACBF-14ADFD65835F}" destId="{812F2212-EBA4-C045-9D60-E82892400887}" srcOrd="5" destOrd="0" parTransId="{C7466B36-BAE5-9F41-A698-1A4194DCE109}" sibTransId="{02B5B6A9-637A-D540-A38B-03C3C5AB2D3B}"/>
    <dgm:cxn modelId="{6838E766-BE77-7943-9352-7288357DB4D2}" type="presOf" srcId="{4F10BA6C-5B66-C149-AC59-011F85292F6B}" destId="{B1454B0E-F18A-6F49-A738-96CCFFF5F204}" srcOrd="0" destOrd="0" presId="urn:microsoft.com/office/officeart/2005/8/layout/cycle1"/>
    <dgm:cxn modelId="{9B040421-3895-EE46-ABB1-A55F55EBC6F3}" type="presOf" srcId="{8B453E06-B6E0-2A43-B46C-2B8DEBDEF303}" destId="{F3275831-5130-A647-9AE6-2A1811422F28}" srcOrd="0" destOrd="0" presId="urn:microsoft.com/office/officeart/2005/8/layout/cycle1"/>
    <dgm:cxn modelId="{294023A3-3166-5A47-B985-F18D82FC1EDB}" type="presOf" srcId="{32348127-CAD9-5F41-9DDA-DA64D05DC419}" destId="{12F7E10F-D187-EE4B-9C89-C1EA0C61BBC2}" srcOrd="0" destOrd="0" presId="urn:microsoft.com/office/officeart/2005/8/layout/cycle1"/>
    <dgm:cxn modelId="{100C1D2B-A497-0B42-BEF2-6BB85E305B7C}" type="presOf" srcId="{812F2212-EBA4-C045-9D60-E82892400887}" destId="{6ADF2404-F0F4-E24D-AF03-326A0534C6DB}" srcOrd="0" destOrd="0" presId="urn:microsoft.com/office/officeart/2005/8/layout/cycle1"/>
    <dgm:cxn modelId="{4FE94DC3-5D9C-004C-AB43-69C2E7593071}" type="presOf" srcId="{ECEADE51-0159-B448-BE98-AA7148CE9CC3}" destId="{267571A2-FDAC-3344-B2A1-A8515408A4C0}" srcOrd="0" destOrd="0" presId="urn:microsoft.com/office/officeart/2005/8/layout/cycle1"/>
    <dgm:cxn modelId="{AF0F8E0D-21C9-0A45-A52F-DF7809F19147}" srcId="{B75F7F44-6A6F-F74D-ACBF-14ADFD65835F}" destId="{881B9FEF-0625-E249-BF43-F35C35C134F9}" srcOrd="7" destOrd="0" parTransId="{6328397F-FF74-7847-B6BD-C4E766C813C4}" sibTransId="{A89BA115-FAF7-8E4B-9C55-F56ABD5CCE06}"/>
    <dgm:cxn modelId="{18654C86-C4A1-CF42-8FBE-0486467A2DE1}" type="presOf" srcId="{A89BA115-FAF7-8E4B-9C55-F56ABD5CCE06}" destId="{5E91E276-C285-EC4B-95C2-1EA1BCE21F1C}" srcOrd="0" destOrd="0" presId="urn:microsoft.com/office/officeart/2005/8/layout/cycle1"/>
    <dgm:cxn modelId="{876D3806-AB92-DD49-9144-F97CBDB8A4B6}" type="presOf" srcId="{B75F7F44-6A6F-F74D-ACBF-14ADFD65835F}" destId="{ADC3DFFC-6486-2549-B945-9F6087ACA98A}" srcOrd="0" destOrd="0" presId="urn:microsoft.com/office/officeart/2005/8/layout/cycle1"/>
    <dgm:cxn modelId="{4A1E53CF-0673-8840-9CB0-4A0645882DAE}" type="presOf" srcId="{881B9FEF-0625-E249-BF43-F35C35C134F9}" destId="{2FA433EE-5646-6B43-BC47-6B0166939CC3}" srcOrd="0" destOrd="0" presId="urn:microsoft.com/office/officeart/2005/8/layout/cycle1"/>
    <dgm:cxn modelId="{CC23614A-6FAF-F847-B7D4-F8540ACBC2FF}" srcId="{B75F7F44-6A6F-F74D-ACBF-14ADFD65835F}" destId="{F8483152-590D-FC4C-B41F-A59814629BCB}" srcOrd="6" destOrd="0" parTransId="{1379D354-B1CA-C547-89FB-8CC76B194280}" sibTransId="{9FC9FBAC-B1C9-8742-AA92-D476A89E65E3}"/>
    <dgm:cxn modelId="{97324E57-6029-1E47-9EE7-B01B5BC08437}" type="presOf" srcId="{0DC80E09-D85D-774E-A687-6E259498E81D}" destId="{6D4788A6-4022-CB48-A0DE-C5BE18DA9BD4}" srcOrd="0" destOrd="0" presId="urn:microsoft.com/office/officeart/2005/8/layout/cycle1"/>
    <dgm:cxn modelId="{1E1096C0-550B-AD45-B162-33380578CF9C}" type="presParOf" srcId="{ADC3DFFC-6486-2549-B945-9F6087ACA98A}" destId="{8FA8495D-C073-8847-95C2-7E61C7AC0CD8}" srcOrd="0" destOrd="0" presId="urn:microsoft.com/office/officeart/2005/8/layout/cycle1"/>
    <dgm:cxn modelId="{D4C6B4B6-828E-6A44-B0EF-3FDE9BC7EB90}" type="presParOf" srcId="{ADC3DFFC-6486-2549-B945-9F6087ACA98A}" destId="{3154E763-F5CB-1947-8E72-ED26AF246E4B}" srcOrd="1" destOrd="0" presId="urn:microsoft.com/office/officeart/2005/8/layout/cycle1"/>
    <dgm:cxn modelId="{C78866A3-459B-594C-B48C-7D8C3FE2BBC0}" type="presParOf" srcId="{ADC3DFFC-6486-2549-B945-9F6087ACA98A}" destId="{8C9CFF9C-EA60-7E48-A2FB-C384EAFB4D44}" srcOrd="2" destOrd="0" presId="urn:microsoft.com/office/officeart/2005/8/layout/cycle1"/>
    <dgm:cxn modelId="{44FDB90B-0E54-4A48-B465-30E475368B5E}" type="presParOf" srcId="{ADC3DFFC-6486-2549-B945-9F6087ACA98A}" destId="{E2F1E172-71DE-7744-BBE4-6E824344AB09}" srcOrd="3" destOrd="0" presId="urn:microsoft.com/office/officeart/2005/8/layout/cycle1"/>
    <dgm:cxn modelId="{5435546D-75FE-5D43-B09B-65848790EA37}" type="presParOf" srcId="{ADC3DFFC-6486-2549-B945-9F6087ACA98A}" destId="{3E9DFDEF-F794-B44E-817F-547A228237BD}" srcOrd="4" destOrd="0" presId="urn:microsoft.com/office/officeart/2005/8/layout/cycle1"/>
    <dgm:cxn modelId="{EDAF508A-18D8-3E42-99D0-EEAA5221B8AE}" type="presParOf" srcId="{ADC3DFFC-6486-2549-B945-9F6087ACA98A}" destId="{F3275831-5130-A647-9AE6-2A1811422F28}" srcOrd="5" destOrd="0" presId="urn:microsoft.com/office/officeart/2005/8/layout/cycle1"/>
    <dgm:cxn modelId="{D03D750C-4FD6-2F4A-B2C7-4D480FA21BA3}" type="presParOf" srcId="{ADC3DFFC-6486-2549-B945-9F6087ACA98A}" destId="{FFF10128-42F4-904D-A8AA-6E244667B8F5}" srcOrd="6" destOrd="0" presId="urn:microsoft.com/office/officeart/2005/8/layout/cycle1"/>
    <dgm:cxn modelId="{BE233B14-18DD-FE4A-AFD6-A1152A7242A6}" type="presParOf" srcId="{ADC3DFFC-6486-2549-B945-9F6087ACA98A}" destId="{6D4788A6-4022-CB48-A0DE-C5BE18DA9BD4}" srcOrd="7" destOrd="0" presId="urn:microsoft.com/office/officeart/2005/8/layout/cycle1"/>
    <dgm:cxn modelId="{BC4CA57D-A1E3-8C44-AE7B-C18B6A8BA99E}" type="presParOf" srcId="{ADC3DFFC-6486-2549-B945-9F6087ACA98A}" destId="{10377AFC-3931-764D-B025-5FC3AD8D0128}" srcOrd="8" destOrd="0" presId="urn:microsoft.com/office/officeart/2005/8/layout/cycle1"/>
    <dgm:cxn modelId="{53473921-F4F4-0145-8FB9-0324163291B9}" type="presParOf" srcId="{ADC3DFFC-6486-2549-B945-9F6087ACA98A}" destId="{DFFEA32A-8939-1E44-A4DD-4EAD959B53A5}" srcOrd="9" destOrd="0" presId="urn:microsoft.com/office/officeart/2005/8/layout/cycle1"/>
    <dgm:cxn modelId="{DB2F7C0B-079F-0A48-9A8F-C26B052D9F5C}" type="presParOf" srcId="{ADC3DFFC-6486-2549-B945-9F6087ACA98A}" destId="{12F7E10F-D187-EE4B-9C89-C1EA0C61BBC2}" srcOrd="10" destOrd="0" presId="urn:microsoft.com/office/officeart/2005/8/layout/cycle1"/>
    <dgm:cxn modelId="{0A9E01E1-985A-8E4A-A744-83F459315315}" type="presParOf" srcId="{ADC3DFFC-6486-2549-B945-9F6087ACA98A}" destId="{33C0DAA2-F4B2-7B43-94BE-EE2A49B3E2B2}" srcOrd="11" destOrd="0" presId="urn:microsoft.com/office/officeart/2005/8/layout/cycle1"/>
    <dgm:cxn modelId="{8DA309E9-007D-3B48-A21F-FA1F94224C34}" type="presParOf" srcId="{ADC3DFFC-6486-2549-B945-9F6087ACA98A}" destId="{C37B981A-64F1-8946-A435-0C2DF0313B44}" srcOrd="12" destOrd="0" presId="urn:microsoft.com/office/officeart/2005/8/layout/cycle1"/>
    <dgm:cxn modelId="{0788B17E-4301-4443-B1B2-C2FEB2E7D70E}" type="presParOf" srcId="{ADC3DFFC-6486-2549-B945-9F6087ACA98A}" destId="{84E67944-B303-7E43-BDA2-C6DD4B92BDE0}" srcOrd="13" destOrd="0" presId="urn:microsoft.com/office/officeart/2005/8/layout/cycle1"/>
    <dgm:cxn modelId="{685FFAF6-D84D-1E4F-8B7E-AF75C3BD1410}" type="presParOf" srcId="{ADC3DFFC-6486-2549-B945-9F6087ACA98A}" destId="{8E58548D-C9F9-7542-8D23-B3E92EA1A0AA}" srcOrd="14" destOrd="0" presId="urn:microsoft.com/office/officeart/2005/8/layout/cycle1"/>
    <dgm:cxn modelId="{9E4B0DB4-71A6-8C47-86B7-CCE38103C19D}" type="presParOf" srcId="{ADC3DFFC-6486-2549-B945-9F6087ACA98A}" destId="{8DA97D3A-8C1D-9D46-85AE-BD62663DF9E3}" srcOrd="15" destOrd="0" presId="urn:microsoft.com/office/officeart/2005/8/layout/cycle1"/>
    <dgm:cxn modelId="{52237AB7-3568-FF4F-9A53-5840042021F6}" type="presParOf" srcId="{ADC3DFFC-6486-2549-B945-9F6087ACA98A}" destId="{6ADF2404-F0F4-E24D-AF03-326A0534C6DB}" srcOrd="16" destOrd="0" presId="urn:microsoft.com/office/officeart/2005/8/layout/cycle1"/>
    <dgm:cxn modelId="{AAAB2102-E0FB-4D44-8768-5E85B8C4F2BD}" type="presParOf" srcId="{ADC3DFFC-6486-2549-B945-9F6087ACA98A}" destId="{D45E2600-09F6-3F49-AAA3-4D0F4ED8B196}" srcOrd="17" destOrd="0" presId="urn:microsoft.com/office/officeart/2005/8/layout/cycle1"/>
    <dgm:cxn modelId="{85CD86B9-ADE2-A540-BF4C-52CD18FB4636}" type="presParOf" srcId="{ADC3DFFC-6486-2549-B945-9F6087ACA98A}" destId="{0BA7EBB2-2946-044A-9E8B-06AE3B9400E5}" srcOrd="18" destOrd="0" presId="urn:microsoft.com/office/officeart/2005/8/layout/cycle1"/>
    <dgm:cxn modelId="{E4CDEEC4-8CAD-804D-BF30-7A455A619295}" type="presParOf" srcId="{ADC3DFFC-6486-2549-B945-9F6087ACA98A}" destId="{D9AB7F56-7667-3B4A-9D58-A0EAAE76C952}" srcOrd="19" destOrd="0" presId="urn:microsoft.com/office/officeart/2005/8/layout/cycle1"/>
    <dgm:cxn modelId="{6D596126-E47A-894C-9B38-C061FA718F95}" type="presParOf" srcId="{ADC3DFFC-6486-2549-B945-9F6087ACA98A}" destId="{535F6F6D-707A-DA43-9DEC-5C3FF63E64E7}" srcOrd="20" destOrd="0" presId="urn:microsoft.com/office/officeart/2005/8/layout/cycle1"/>
    <dgm:cxn modelId="{C7AD1FFA-453E-BA4E-8D93-5BD10AD3190F}" type="presParOf" srcId="{ADC3DFFC-6486-2549-B945-9F6087ACA98A}" destId="{E5CE830D-CDD6-B147-8B7A-2637CEA429C1}" srcOrd="21" destOrd="0" presId="urn:microsoft.com/office/officeart/2005/8/layout/cycle1"/>
    <dgm:cxn modelId="{79602233-82EC-CB4C-B2F5-8717B99A7BAA}" type="presParOf" srcId="{ADC3DFFC-6486-2549-B945-9F6087ACA98A}" destId="{2FA433EE-5646-6B43-BC47-6B0166939CC3}" srcOrd="22" destOrd="0" presId="urn:microsoft.com/office/officeart/2005/8/layout/cycle1"/>
    <dgm:cxn modelId="{816D4158-0243-984E-A2AA-2FDE5FDEC00F}" type="presParOf" srcId="{ADC3DFFC-6486-2549-B945-9F6087ACA98A}" destId="{5E91E276-C285-EC4B-95C2-1EA1BCE21F1C}" srcOrd="23" destOrd="0" presId="urn:microsoft.com/office/officeart/2005/8/layout/cycle1"/>
    <dgm:cxn modelId="{F889BEBF-EC95-0B44-A646-B86D7EB7BAA4}" type="presParOf" srcId="{ADC3DFFC-6486-2549-B945-9F6087ACA98A}" destId="{17262509-C3E0-F749-8656-C805C8DD58EE}" srcOrd="24" destOrd="0" presId="urn:microsoft.com/office/officeart/2005/8/layout/cycle1"/>
    <dgm:cxn modelId="{1EBD6F1F-15B9-F943-A20C-A1682FB5CD2D}" type="presParOf" srcId="{ADC3DFFC-6486-2549-B945-9F6087ACA98A}" destId="{267571A2-FDAC-3344-B2A1-A8515408A4C0}" srcOrd="25" destOrd="0" presId="urn:microsoft.com/office/officeart/2005/8/layout/cycle1"/>
    <dgm:cxn modelId="{BC003CC4-AA9A-3747-87B5-3E659C39A07A}" type="presParOf" srcId="{ADC3DFFC-6486-2549-B945-9F6087ACA98A}" destId="{B1454B0E-F18A-6F49-A738-96CCFFF5F204}" srcOrd="26" destOrd="0" presId="urn:microsoft.com/office/officeart/2005/8/layout/cycle1"/>
  </dgm:cxnLst>
  <dgm:bg/>
  <dgm:whole/>
  <dgm:extLst>
    <a:ext uri="http://schemas.microsoft.com/office/drawing/2008/diagram">
      <dsp:dataModelExt xmlns:dsp="http://schemas.microsoft.com/office/drawing/2008/diagram" relId="rId10" minVer="http://schemas.openxmlformats.org/drawingml/2006/diagram"/>
    </a:ext>
  </dgm:extLst>
</dgm:dataModel>
</file>

<file path=xl/diagrams/data3.xml><?xml version="1.0" encoding="utf-8"?>
<dgm:dataModel xmlns:dgm="http://schemas.openxmlformats.org/drawingml/2006/diagram" xmlns:a="http://schemas.openxmlformats.org/drawingml/2006/main">
  <dgm:ptLst>
    <dgm:pt modelId="{B75F7F44-6A6F-F74D-ACBF-14ADFD65835F}" type="doc">
      <dgm:prSet loTypeId="urn:microsoft.com/office/officeart/2005/8/layout/cycle1" loCatId="" qsTypeId="urn:microsoft.com/office/officeart/2005/8/quickstyle/simple4" qsCatId="simple" csTypeId="urn:microsoft.com/office/officeart/2005/8/colors/accent3_2" csCatId="accent3" phldr="1"/>
      <dgm:spPr/>
      <dgm:t>
        <a:bodyPr/>
        <a:lstStyle/>
        <a:p>
          <a:endParaRPr lang="en-US"/>
        </a:p>
      </dgm:t>
    </dgm:pt>
    <dgm:pt modelId="{B46C9681-66D3-1647-BDC1-8F615A598165}">
      <dgm:prSet phldrT="[Text]" custT="1"/>
      <dgm:spPr/>
      <dgm:t>
        <a:bodyPr/>
        <a:lstStyle/>
        <a:p>
          <a:r>
            <a:rPr lang="en-US" sz="1000" b="1">
              <a:latin typeface="Arial"/>
              <a:cs typeface="Arial"/>
            </a:rPr>
            <a:t>Strategising</a:t>
          </a:r>
        </a:p>
      </dgm:t>
    </dgm:pt>
    <dgm:pt modelId="{97787AC8-5C0E-044E-813B-646A01AEB16C}" type="parTrans" cxnId="{95DAD797-C535-0840-84FA-F250BF2F29E2}">
      <dgm:prSet/>
      <dgm:spPr/>
      <dgm:t>
        <a:bodyPr/>
        <a:lstStyle/>
        <a:p>
          <a:endParaRPr lang="en-US"/>
        </a:p>
      </dgm:t>
    </dgm:pt>
    <dgm:pt modelId="{8B453E06-B6E0-2A43-B46C-2B8DEBDEF303}" type="sibTrans" cxnId="{95DAD797-C535-0840-84FA-F250BF2F29E2}">
      <dgm:prSet/>
      <dgm:spPr/>
      <dgm:t>
        <a:bodyPr/>
        <a:lstStyle/>
        <a:p>
          <a:endParaRPr lang="en-US"/>
        </a:p>
      </dgm:t>
    </dgm:pt>
    <dgm:pt modelId="{0DC80E09-D85D-774E-A687-6E259498E81D}">
      <dgm:prSet phldrT="[Text]" custT="1"/>
      <dgm:spPr/>
      <dgm:t>
        <a:bodyPr/>
        <a:lstStyle/>
        <a:p>
          <a:r>
            <a:rPr lang="en-US" sz="1000" b="1">
              <a:latin typeface="Arial"/>
              <a:cs typeface="Arial"/>
            </a:rPr>
            <a:t>Work Planning</a:t>
          </a:r>
        </a:p>
      </dgm:t>
    </dgm:pt>
    <dgm:pt modelId="{DC2F0CE8-BD55-0247-A8A5-2B654F990F93}" type="parTrans" cxnId="{E6761EE1-B17D-EA48-99EC-85877251D753}">
      <dgm:prSet/>
      <dgm:spPr/>
      <dgm:t>
        <a:bodyPr/>
        <a:lstStyle/>
        <a:p>
          <a:endParaRPr lang="en-US"/>
        </a:p>
      </dgm:t>
    </dgm:pt>
    <dgm:pt modelId="{D2CFF3A0-8533-5449-9112-D78BC9EE81E9}" type="sibTrans" cxnId="{E6761EE1-B17D-EA48-99EC-85877251D753}">
      <dgm:prSet/>
      <dgm:spPr/>
      <dgm:t>
        <a:bodyPr/>
        <a:lstStyle/>
        <a:p>
          <a:endParaRPr lang="en-US"/>
        </a:p>
      </dgm:t>
    </dgm:pt>
    <dgm:pt modelId="{32348127-CAD9-5F41-9DDA-DA64D05DC419}">
      <dgm:prSet phldrT="[Text]" custT="1"/>
      <dgm:spPr/>
      <dgm:t>
        <a:bodyPr/>
        <a:lstStyle/>
        <a:p>
          <a:r>
            <a:rPr lang="en-US" sz="1000" b="1">
              <a:latin typeface="Arial"/>
              <a:cs typeface="Arial"/>
            </a:rPr>
            <a:t>Budgeting</a:t>
          </a:r>
        </a:p>
      </dgm:t>
    </dgm:pt>
    <dgm:pt modelId="{DC3C3514-C20B-664F-A938-A764C329A9C3}" type="parTrans" cxnId="{93D31496-6BE0-B24F-87EE-3BE5A0C3EA83}">
      <dgm:prSet/>
      <dgm:spPr/>
      <dgm:t>
        <a:bodyPr/>
        <a:lstStyle/>
        <a:p>
          <a:endParaRPr lang="en-US"/>
        </a:p>
      </dgm:t>
    </dgm:pt>
    <dgm:pt modelId="{B29A10C8-7C47-2A44-AF88-5DCFBB73A216}" type="sibTrans" cxnId="{93D31496-6BE0-B24F-87EE-3BE5A0C3EA83}">
      <dgm:prSet/>
      <dgm:spPr/>
      <dgm:t>
        <a:bodyPr/>
        <a:lstStyle/>
        <a:p>
          <a:endParaRPr lang="en-US"/>
        </a:p>
      </dgm:t>
    </dgm:pt>
    <dgm:pt modelId="{1C898F6B-6209-4144-A192-81DD20A9232C}">
      <dgm:prSet phldrT="[Text]" custT="1"/>
      <dgm:spPr/>
      <dgm:t>
        <a:bodyPr/>
        <a:lstStyle/>
        <a:p>
          <a:r>
            <a:rPr lang="en-US" sz="1000" b="1">
              <a:latin typeface="Arial"/>
              <a:cs typeface="Arial"/>
            </a:rPr>
            <a:t>Forecasting</a:t>
          </a:r>
        </a:p>
      </dgm:t>
    </dgm:pt>
    <dgm:pt modelId="{19E004DB-8563-0246-A75E-9111B80F7C86}" type="parTrans" cxnId="{85D7C4CC-7810-244D-BFBC-BFA715D2A6C9}">
      <dgm:prSet/>
      <dgm:spPr/>
      <dgm:t>
        <a:bodyPr/>
        <a:lstStyle/>
        <a:p>
          <a:endParaRPr lang="en-US"/>
        </a:p>
      </dgm:t>
    </dgm:pt>
    <dgm:pt modelId="{808E46B1-EED0-C04B-A1B2-2AEC8EEE4170}" type="sibTrans" cxnId="{85D7C4CC-7810-244D-BFBC-BFA715D2A6C9}">
      <dgm:prSet/>
      <dgm:spPr/>
      <dgm:t>
        <a:bodyPr/>
        <a:lstStyle/>
        <a:p>
          <a:endParaRPr lang="en-US"/>
        </a:p>
      </dgm:t>
    </dgm:pt>
    <dgm:pt modelId="{812F2212-EBA4-C045-9D60-E82892400887}">
      <dgm:prSet custT="1"/>
      <dgm:spPr/>
      <dgm:t>
        <a:bodyPr/>
        <a:lstStyle/>
        <a:p>
          <a:r>
            <a:rPr lang="en-US" sz="1000" b="1">
              <a:latin typeface="Arial"/>
              <a:cs typeface="Arial"/>
            </a:rPr>
            <a:t>Implement-ation</a:t>
          </a:r>
        </a:p>
      </dgm:t>
    </dgm:pt>
    <dgm:pt modelId="{C7466B36-BAE5-9F41-A698-1A4194DCE109}" type="parTrans" cxnId="{81E00960-25F1-F549-892D-2A10DE7E28BC}">
      <dgm:prSet/>
      <dgm:spPr/>
      <dgm:t>
        <a:bodyPr/>
        <a:lstStyle/>
        <a:p>
          <a:endParaRPr lang="en-US"/>
        </a:p>
      </dgm:t>
    </dgm:pt>
    <dgm:pt modelId="{02B5B6A9-637A-D540-A38B-03C3C5AB2D3B}" type="sibTrans" cxnId="{81E00960-25F1-F549-892D-2A10DE7E28BC}">
      <dgm:prSet/>
      <dgm:spPr/>
      <dgm:t>
        <a:bodyPr/>
        <a:lstStyle/>
        <a:p>
          <a:endParaRPr lang="en-US"/>
        </a:p>
      </dgm:t>
    </dgm:pt>
    <dgm:pt modelId="{F8483152-590D-FC4C-B41F-A59814629BCB}">
      <dgm:prSet/>
      <dgm:spPr/>
      <dgm:t>
        <a:bodyPr/>
        <a:lstStyle/>
        <a:p>
          <a:r>
            <a:rPr lang="en-US" b="1">
              <a:latin typeface="Arial"/>
              <a:cs typeface="Arial"/>
            </a:rPr>
            <a:t>Monitoring &amp; Evaluation</a:t>
          </a:r>
        </a:p>
      </dgm:t>
    </dgm:pt>
    <dgm:pt modelId="{1379D354-B1CA-C547-89FB-8CC76B194280}" type="parTrans" cxnId="{CC23614A-6FAF-F847-B7D4-F8540ACBC2FF}">
      <dgm:prSet/>
      <dgm:spPr/>
      <dgm:t>
        <a:bodyPr/>
        <a:lstStyle/>
        <a:p>
          <a:endParaRPr lang="en-US"/>
        </a:p>
      </dgm:t>
    </dgm:pt>
    <dgm:pt modelId="{9FC9FBAC-B1C9-8742-AA92-D476A89E65E3}" type="sibTrans" cxnId="{CC23614A-6FAF-F847-B7D4-F8540ACBC2FF}">
      <dgm:prSet/>
      <dgm:spPr/>
      <dgm:t>
        <a:bodyPr/>
        <a:lstStyle/>
        <a:p>
          <a:endParaRPr lang="en-US"/>
        </a:p>
      </dgm:t>
    </dgm:pt>
    <dgm:pt modelId="{881B9FEF-0625-E249-BF43-F35C35C134F9}">
      <dgm:prSet/>
      <dgm:spPr/>
      <dgm:t>
        <a:bodyPr/>
        <a:lstStyle/>
        <a:p>
          <a:r>
            <a:rPr lang="en-US" b="1">
              <a:latin typeface="Arial"/>
              <a:cs typeface="Arial"/>
            </a:rPr>
            <a:t>Reflection &amp; Reporting</a:t>
          </a:r>
        </a:p>
      </dgm:t>
    </dgm:pt>
    <dgm:pt modelId="{6328397F-FF74-7847-B6BD-C4E766C813C4}" type="parTrans" cxnId="{AF0F8E0D-21C9-0A45-A52F-DF7809F19147}">
      <dgm:prSet/>
      <dgm:spPr/>
      <dgm:t>
        <a:bodyPr/>
        <a:lstStyle/>
        <a:p>
          <a:endParaRPr lang="en-US"/>
        </a:p>
      </dgm:t>
    </dgm:pt>
    <dgm:pt modelId="{A89BA115-FAF7-8E4B-9C55-F56ABD5CCE06}" type="sibTrans" cxnId="{AF0F8E0D-21C9-0A45-A52F-DF7809F19147}">
      <dgm:prSet/>
      <dgm:spPr/>
      <dgm:t>
        <a:bodyPr/>
        <a:lstStyle/>
        <a:p>
          <a:endParaRPr lang="en-US" b="1"/>
        </a:p>
      </dgm:t>
    </dgm:pt>
    <dgm:pt modelId="{ECEADE51-0159-B448-BE98-AA7148CE9CC3}">
      <dgm:prSet custT="1"/>
      <dgm:spPr/>
      <dgm:t>
        <a:bodyPr/>
        <a:lstStyle/>
        <a:p>
          <a:r>
            <a:rPr lang="en-US" sz="1000" b="1">
              <a:latin typeface="Arial"/>
              <a:cs typeface="Arial"/>
            </a:rPr>
            <a:t>Analysis</a:t>
          </a:r>
        </a:p>
      </dgm:t>
    </dgm:pt>
    <dgm:pt modelId="{65498A84-7A29-FB48-A480-30DBBFA25E1C}" type="parTrans" cxnId="{937BB626-F1DC-B44E-AD15-74B3B2613712}">
      <dgm:prSet/>
      <dgm:spPr/>
      <dgm:t>
        <a:bodyPr/>
        <a:lstStyle/>
        <a:p>
          <a:endParaRPr lang="en-US"/>
        </a:p>
      </dgm:t>
    </dgm:pt>
    <dgm:pt modelId="{4F10BA6C-5B66-C149-AC59-011F85292F6B}" type="sibTrans" cxnId="{937BB626-F1DC-B44E-AD15-74B3B2613712}">
      <dgm:prSet/>
      <dgm:spPr/>
      <dgm:t>
        <a:bodyPr/>
        <a:lstStyle/>
        <a:p>
          <a:endParaRPr lang="en-US">
            <a:latin typeface="Arial"/>
            <a:cs typeface="Arial"/>
          </a:endParaRPr>
        </a:p>
      </dgm:t>
    </dgm:pt>
    <dgm:pt modelId="{279B863D-9135-D345-B0F1-2E63580045D7}">
      <dgm:prSet custT="1"/>
      <dgm:spPr/>
      <dgm:t>
        <a:bodyPr/>
        <a:lstStyle/>
        <a:p>
          <a:r>
            <a:rPr lang="en-US" sz="1000" b="1">
              <a:latin typeface="Arial"/>
              <a:cs typeface="Arial"/>
            </a:rPr>
            <a:t>Objective Setting</a:t>
          </a:r>
        </a:p>
      </dgm:t>
    </dgm:pt>
    <dgm:pt modelId="{7EB0B8E0-B8BE-1348-A4C3-9E52AFB83589}" type="parTrans" cxnId="{109E67DD-8D94-0547-8273-1A03970D0C8A}">
      <dgm:prSet/>
      <dgm:spPr/>
      <dgm:t>
        <a:bodyPr/>
        <a:lstStyle/>
        <a:p>
          <a:endParaRPr lang="en-US"/>
        </a:p>
      </dgm:t>
    </dgm:pt>
    <dgm:pt modelId="{395FA40E-D804-ED4A-B2CF-FDD128F8EB2D}" type="sibTrans" cxnId="{109E67DD-8D94-0547-8273-1A03970D0C8A}">
      <dgm:prSet/>
      <dgm:spPr/>
      <dgm:t>
        <a:bodyPr/>
        <a:lstStyle/>
        <a:p>
          <a:endParaRPr lang="en-US"/>
        </a:p>
      </dgm:t>
    </dgm:pt>
    <dgm:pt modelId="{ADC3DFFC-6486-2549-B945-9F6087ACA98A}" type="pres">
      <dgm:prSet presAssocID="{B75F7F44-6A6F-F74D-ACBF-14ADFD65835F}" presName="cycle" presStyleCnt="0">
        <dgm:presLayoutVars>
          <dgm:dir/>
          <dgm:resizeHandles val="exact"/>
        </dgm:presLayoutVars>
      </dgm:prSet>
      <dgm:spPr/>
      <dgm:t>
        <a:bodyPr/>
        <a:lstStyle/>
        <a:p>
          <a:endParaRPr lang="en-US"/>
        </a:p>
      </dgm:t>
    </dgm:pt>
    <dgm:pt modelId="{8FA8495D-C073-8847-95C2-7E61C7AC0CD8}" type="pres">
      <dgm:prSet presAssocID="{279B863D-9135-D345-B0F1-2E63580045D7}" presName="dummy" presStyleCnt="0"/>
      <dgm:spPr/>
    </dgm:pt>
    <dgm:pt modelId="{3154E763-F5CB-1947-8E72-ED26AF246E4B}" type="pres">
      <dgm:prSet presAssocID="{279B863D-9135-D345-B0F1-2E63580045D7}" presName="node" presStyleLbl="revTx" presStyleIdx="0" presStyleCnt="9" custScaleX="120300">
        <dgm:presLayoutVars>
          <dgm:bulletEnabled val="1"/>
        </dgm:presLayoutVars>
      </dgm:prSet>
      <dgm:spPr/>
      <dgm:t>
        <a:bodyPr/>
        <a:lstStyle/>
        <a:p>
          <a:endParaRPr lang="en-US"/>
        </a:p>
      </dgm:t>
    </dgm:pt>
    <dgm:pt modelId="{8C9CFF9C-EA60-7E48-A2FB-C384EAFB4D44}" type="pres">
      <dgm:prSet presAssocID="{395FA40E-D804-ED4A-B2CF-FDD128F8EB2D}" presName="sibTrans" presStyleLbl="node1" presStyleIdx="0" presStyleCnt="9"/>
      <dgm:spPr/>
      <dgm:t>
        <a:bodyPr/>
        <a:lstStyle/>
        <a:p>
          <a:endParaRPr lang="en-US"/>
        </a:p>
      </dgm:t>
    </dgm:pt>
    <dgm:pt modelId="{E2F1E172-71DE-7744-BBE4-6E824344AB09}" type="pres">
      <dgm:prSet presAssocID="{B46C9681-66D3-1647-BDC1-8F615A598165}" presName="dummy" presStyleCnt="0"/>
      <dgm:spPr/>
    </dgm:pt>
    <dgm:pt modelId="{3E9DFDEF-F794-B44E-817F-547A228237BD}" type="pres">
      <dgm:prSet presAssocID="{B46C9681-66D3-1647-BDC1-8F615A598165}" presName="node" presStyleLbl="revTx" presStyleIdx="1" presStyleCnt="9" custScaleX="115493">
        <dgm:presLayoutVars>
          <dgm:bulletEnabled val="1"/>
        </dgm:presLayoutVars>
      </dgm:prSet>
      <dgm:spPr/>
      <dgm:t>
        <a:bodyPr/>
        <a:lstStyle/>
        <a:p>
          <a:endParaRPr lang="en-US"/>
        </a:p>
      </dgm:t>
    </dgm:pt>
    <dgm:pt modelId="{F3275831-5130-A647-9AE6-2A1811422F28}" type="pres">
      <dgm:prSet presAssocID="{8B453E06-B6E0-2A43-B46C-2B8DEBDEF303}" presName="sibTrans" presStyleLbl="node1" presStyleIdx="1" presStyleCnt="9"/>
      <dgm:spPr/>
      <dgm:t>
        <a:bodyPr/>
        <a:lstStyle/>
        <a:p>
          <a:endParaRPr lang="en-US"/>
        </a:p>
      </dgm:t>
    </dgm:pt>
    <dgm:pt modelId="{FFF10128-42F4-904D-A8AA-6E244667B8F5}" type="pres">
      <dgm:prSet presAssocID="{0DC80E09-D85D-774E-A687-6E259498E81D}" presName="dummy" presStyleCnt="0"/>
      <dgm:spPr/>
    </dgm:pt>
    <dgm:pt modelId="{6D4788A6-4022-CB48-A0DE-C5BE18DA9BD4}" type="pres">
      <dgm:prSet presAssocID="{0DC80E09-D85D-774E-A687-6E259498E81D}" presName="node" presStyleLbl="revTx" presStyleIdx="2" presStyleCnt="9">
        <dgm:presLayoutVars>
          <dgm:bulletEnabled val="1"/>
        </dgm:presLayoutVars>
      </dgm:prSet>
      <dgm:spPr/>
      <dgm:t>
        <a:bodyPr/>
        <a:lstStyle/>
        <a:p>
          <a:endParaRPr lang="en-US"/>
        </a:p>
      </dgm:t>
    </dgm:pt>
    <dgm:pt modelId="{10377AFC-3931-764D-B025-5FC3AD8D0128}" type="pres">
      <dgm:prSet presAssocID="{D2CFF3A0-8533-5449-9112-D78BC9EE81E9}" presName="sibTrans" presStyleLbl="node1" presStyleIdx="2" presStyleCnt="9"/>
      <dgm:spPr/>
      <dgm:t>
        <a:bodyPr/>
        <a:lstStyle/>
        <a:p>
          <a:endParaRPr lang="en-US"/>
        </a:p>
      </dgm:t>
    </dgm:pt>
    <dgm:pt modelId="{DFFEA32A-8939-1E44-A4DD-4EAD959B53A5}" type="pres">
      <dgm:prSet presAssocID="{32348127-CAD9-5F41-9DDA-DA64D05DC419}" presName="dummy" presStyleCnt="0"/>
      <dgm:spPr/>
    </dgm:pt>
    <dgm:pt modelId="{12F7E10F-D187-EE4B-9C89-C1EA0C61BBC2}" type="pres">
      <dgm:prSet presAssocID="{32348127-CAD9-5F41-9DDA-DA64D05DC419}" presName="node" presStyleLbl="revTx" presStyleIdx="3" presStyleCnt="9">
        <dgm:presLayoutVars>
          <dgm:bulletEnabled val="1"/>
        </dgm:presLayoutVars>
      </dgm:prSet>
      <dgm:spPr/>
      <dgm:t>
        <a:bodyPr/>
        <a:lstStyle/>
        <a:p>
          <a:endParaRPr lang="en-US"/>
        </a:p>
      </dgm:t>
    </dgm:pt>
    <dgm:pt modelId="{33C0DAA2-F4B2-7B43-94BE-EE2A49B3E2B2}" type="pres">
      <dgm:prSet presAssocID="{B29A10C8-7C47-2A44-AF88-5DCFBB73A216}" presName="sibTrans" presStyleLbl="node1" presStyleIdx="3" presStyleCnt="9"/>
      <dgm:spPr/>
      <dgm:t>
        <a:bodyPr/>
        <a:lstStyle/>
        <a:p>
          <a:endParaRPr lang="en-US"/>
        </a:p>
      </dgm:t>
    </dgm:pt>
    <dgm:pt modelId="{C37B981A-64F1-8946-A435-0C2DF0313B44}" type="pres">
      <dgm:prSet presAssocID="{1C898F6B-6209-4144-A192-81DD20A9232C}" presName="dummy" presStyleCnt="0"/>
      <dgm:spPr/>
    </dgm:pt>
    <dgm:pt modelId="{84E67944-B303-7E43-BDA2-C6DD4B92BDE0}" type="pres">
      <dgm:prSet presAssocID="{1C898F6B-6209-4144-A192-81DD20A9232C}" presName="node" presStyleLbl="revTx" presStyleIdx="4" presStyleCnt="9" custScaleX="117531">
        <dgm:presLayoutVars>
          <dgm:bulletEnabled val="1"/>
        </dgm:presLayoutVars>
      </dgm:prSet>
      <dgm:spPr/>
      <dgm:t>
        <a:bodyPr/>
        <a:lstStyle/>
        <a:p>
          <a:endParaRPr lang="en-US"/>
        </a:p>
      </dgm:t>
    </dgm:pt>
    <dgm:pt modelId="{8E58548D-C9F9-7542-8D23-B3E92EA1A0AA}" type="pres">
      <dgm:prSet presAssocID="{808E46B1-EED0-C04B-A1B2-2AEC8EEE4170}" presName="sibTrans" presStyleLbl="node1" presStyleIdx="4" presStyleCnt="9"/>
      <dgm:spPr/>
      <dgm:t>
        <a:bodyPr/>
        <a:lstStyle/>
        <a:p>
          <a:endParaRPr lang="en-US"/>
        </a:p>
      </dgm:t>
    </dgm:pt>
    <dgm:pt modelId="{8DA97D3A-8C1D-9D46-85AE-BD62663DF9E3}" type="pres">
      <dgm:prSet presAssocID="{812F2212-EBA4-C045-9D60-E82892400887}" presName="dummy" presStyleCnt="0"/>
      <dgm:spPr/>
    </dgm:pt>
    <dgm:pt modelId="{6ADF2404-F0F4-E24D-AF03-326A0534C6DB}" type="pres">
      <dgm:prSet presAssocID="{812F2212-EBA4-C045-9D60-E82892400887}" presName="node" presStyleLbl="revTx" presStyleIdx="5" presStyleCnt="9" custScaleX="107895">
        <dgm:presLayoutVars>
          <dgm:bulletEnabled val="1"/>
        </dgm:presLayoutVars>
      </dgm:prSet>
      <dgm:spPr/>
      <dgm:t>
        <a:bodyPr/>
        <a:lstStyle/>
        <a:p>
          <a:endParaRPr lang="en-US"/>
        </a:p>
      </dgm:t>
    </dgm:pt>
    <dgm:pt modelId="{D45E2600-09F6-3F49-AAA3-4D0F4ED8B196}" type="pres">
      <dgm:prSet presAssocID="{02B5B6A9-637A-D540-A38B-03C3C5AB2D3B}" presName="sibTrans" presStyleLbl="node1" presStyleIdx="5" presStyleCnt="9"/>
      <dgm:spPr/>
      <dgm:t>
        <a:bodyPr/>
        <a:lstStyle/>
        <a:p>
          <a:endParaRPr lang="en-US"/>
        </a:p>
      </dgm:t>
    </dgm:pt>
    <dgm:pt modelId="{0BA7EBB2-2946-044A-9E8B-06AE3B9400E5}" type="pres">
      <dgm:prSet presAssocID="{F8483152-590D-FC4C-B41F-A59814629BCB}" presName="dummy" presStyleCnt="0"/>
      <dgm:spPr/>
    </dgm:pt>
    <dgm:pt modelId="{D9AB7F56-7667-3B4A-9D58-A0EAAE76C952}" type="pres">
      <dgm:prSet presAssocID="{F8483152-590D-FC4C-B41F-A59814629BCB}" presName="node" presStyleLbl="revTx" presStyleIdx="6" presStyleCnt="9">
        <dgm:presLayoutVars>
          <dgm:bulletEnabled val="1"/>
        </dgm:presLayoutVars>
      </dgm:prSet>
      <dgm:spPr/>
      <dgm:t>
        <a:bodyPr/>
        <a:lstStyle/>
        <a:p>
          <a:endParaRPr lang="en-US"/>
        </a:p>
      </dgm:t>
    </dgm:pt>
    <dgm:pt modelId="{535F6F6D-707A-DA43-9DEC-5C3FF63E64E7}" type="pres">
      <dgm:prSet presAssocID="{9FC9FBAC-B1C9-8742-AA92-D476A89E65E3}" presName="sibTrans" presStyleLbl="node1" presStyleIdx="6" presStyleCnt="9"/>
      <dgm:spPr/>
      <dgm:t>
        <a:bodyPr/>
        <a:lstStyle/>
        <a:p>
          <a:endParaRPr lang="en-US"/>
        </a:p>
      </dgm:t>
    </dgm:pt>
    <dgm:pt modelId="{E5CE830D-CDD6-B147-8B7A-2637CEA429C1}" type="pres">
      <dgm:prSet presAssocID="{881B9FEF-0625-E249-BF43-F35C35C134F9}" presName="dummy" presStyleCnt="0"/>
      <dgm:spPr/>
    </dgm:pt>
    <dgm:pt modelId="{2FA433EE-5646-6B43-BC47-6B0166939CC3}" type="pres">
      <dgm:prSet presAssocID="{881B9FEF-0625-E249-BF43-F35C35C134F9}" presName="node" presStyleLbl="revTx" presStyleIdx="7" presStyleCnt="9">
        <dgm:presLayoutVars>
          <dgm:bulletEnabled val="1"/>
        </dgm:presLayoutVars>
      </dgm:prSet>
      <dgm:spPr/>
      <dgm:t>
        <a:bodyPr/>
        <a:lstStyle/>
        <a:p>
          <a:endParaRPr lang="en-US"/>
        </a:p>
      </dgm:t>
    </dgm:pt>
    <dgm:pt modelId="{5E91E276-C285-EC4B-95C2-1EA1BCE21F1C}" type="pres">
      <dgm:prSet presAssocID="{A89BA115-FAF7-8E4B-9C55-F56ABD5CCE06}" presName="sibTrans" presStyleLbl="node1" presStyleIdx="7" presStyleCnt="9"/>
      <dgm:spPr/>
      <dgm:t>
        <a:bodyPr/>
        <a:lstStyle/>
        <a:p>
          <a:endParaRPr lang="en-US"/>
        </a:p>
      </dgm:t>
    </dgm:pt>
    <dgm:pt modelId="{17262509-C3E0-F749-8656-C805C8DD58EE}" type="pres">
      <dgm:prSet presAssocID="{ECEADE51-0159-B448-BE98-AA7148CE9CC3}" presName="dummy" presStyleCnt="0"/>
      <dgm:spPr/>
    </dgm:pt>
    <dgm:pt modelId="{267571A2-FDAC-3344-B2A1-A8515408A4C0}" type="pres">
      <dgm:prSet presAssocID="{ECEADE51-0159-B448-BE98-AA7148CE9CC3}" presName="node" presStyleLbl="revTx" presStyleIdx="8" presStyleCnt="9">
        <dgm:presLayoutVars>
          <dgm:bulletEnabled val="1"/>
        </dgm:presLayoutVars>
      </dgm:prSet>
      <dgm:spPr/>
      <dgm:t>
        <a:bodyPr/>
        <a:lstStyle/>
        <a:p>
          <a:endParaRPr lang="en-US"/>
        </a:p>
      </dgm:t>
    </dgm:pt>
    <dgm:pt modelId="{B1454B0E-F18A-6F49-A738-96CCFFF5F204}" type="pres">
      <dgm:prSet presAssocID="{4F10BA6C-5B66-C149-AC59-011F85292F6B}" presName="sibTrans" presStyleLbl="node1" presStyleIdx="8" presStyleCnt="9"/>
      <dgm:spPr/>
      <dgm:t>
        <a:bodyPr/>
        <a:lstStyle/>
        <a:p>
          <a:endParaRPr lang="en-US"/>
        </a:p>
      </dgm:t>
    </dgm:pt>
  </dgm:ptLst>
  <dgm:cxnLst>
    <dgm:cxn modelId="{DA691727-2B35-8540-A6C3-A7C853E33B6B}" type="presOf" srcId="{ECEADE51-0159-B448-BE98-AA7148CE9CC3}" destId="{267571A2-FDAC-3344-B2A1-A8515408A4C0}" srcOrd="0" destOrd="0" presId="urn:microsoft.com/office/officeart/2005/8/layout/cycle1"/>
    <dgm:cxn modelId="{D0A7F99F-0C5A-E444-A65A-82FD8FE3E09E}" type="presOf" srcId="{B46C9681-66D3-1647-BDC1-8F615A598165}" destId="{3E9DFDEF-F794-B44E-817F-547A228237BD}" srcOrd="0" destOrd="0" presId="urn:microsoft.com/office/officeart/2005/8/layout/cycle1"/>
    <dgm:cxn modelId="{BBFA3647-A10B-CB45-B6E3-2A8923A2D508}" type="presOf" srcId="{9FC9FBAC-B1C9-8742-AA92-D476A89E65E3}" destId="{535F6F6D-707A-DA43-9DEC-5C3FF63E64E7}" srcOrd="0" destOrd="0" presId="urn:microsoft.com/office/officeart/2005/8/layout/cycle1"/>
    <dgm:cxn modelId="{937BB626-F1DC-B44E-AD15-74B3B2613712}" srcId="{B75F7F44-6A6F-F74D-ACBF-14ADFD65835F}" destId="{ECEADE51-0159-B448-BE98-AA7148CE9CC3}" srcOrd="8" destOrd="0" parTransId="{65498A84-7A29-FB48-A480-30DBBFA25E1C}" sibTransId="{4F10BA6C-5B66-C149-AC59-011F85292F6B}"/>
    <dgm:cxn modelId="{983390FF-F7F2-804F-9C9F-BF51C7356C11}" type="presOf" srcId="{4F10BA6C-5B66-C149-AC59-011F85292F6B}" destId="{B1454B0E-F18A-6F49-A738-96CCFFF5F204}" srcOrd="0" destOrd="0" presId="urn:microsoft.com/office/officeart/2005/8/layout/cycle1"/>
    <dgm:cxn modelId="{E6761EE1-B17D-EA48-99EC-85877251D753}" srcId="{B75F7F44-6A6F-F74D-ACBF-14ADFD65835F}" destId="{0DC80E09-D85D-774E-A687-6E259498E81D}" srcOrd="2" destOrd="0" parTransId="{DC2F0CE8-BD55-0247-A8A5-2B654F990F93}" sibTransId="{D2CFF3A0-8533-5449-9112-D78BC9EE81E9}"/>
    <dgm:cxn modelId="{93D31496-6BE0-B24F-87EE-3BE5A0C3EA83}" srcId="{B75F7F44-6A6F-F74D-ACBF-14ADFD65835F}" destId="{32348127-CAD9-5F41-9DDA-DA64D05DC419}" srcOrd="3" destOrd="0" parTransId="{DC3C3514-C20B-664F-A938-A764C329A9C3}" sibTransId="{B29A10C8-7C47-2A44-AF88-5DCFBB73A216}"/>
    <dgm:cxn modelId="{109E67DD-8D94-0547-8273-1A03970D0C8A}" srcId="{B75F7F44-6A6F-F74D-ACBF-14ADFD65835F}" destId="{279B863D-9135-D345-B0F1-2E63580045D7}" srcOrd="0" destOrd="0" parTransId="{7EB0B8E0-B8BE-1348-A4C3-9E52AFB83589}" sibTransId="{395FA40E-D804-ED4A-B2CF-FDD128F8EB2D}"/>
    <dgm:cxn modelId="{95DAD797-C535-0840-84FA-F250BF2F29E2}" srcId="{B75F7F44-6A6F-F74D-ACBF-14ADFD65835F}" destId="{B46C9681-66D3-1647-BDC1-8F615A598165}" srcOrd="1" destOrd="0" parTransId="{97787AC8-5C0E-044E-813B-646A01AEB16C}" sibTransId="{8B453E06-B6E0-2A43-B46C-2B8DEBDEF303}"/>
    <dgm:cxn modelId="{FCEF4C5C-46AB-584A-AA31-F74C759D8B79}" type="presOf" srcId="{B75F7F44-6A6F-F74D-ACBF-14ADFD65835F}" destId="{ADC3DFFC-6486-2549-B945-9F6087ACA98A}" srcOrd="0" destOrd="0" presId="urn:microsoft.com/office/officeart/2005/8/layout/cycle1"/>
    <dgm:cxn modelId="{AE8D9544-9CD9-524A-80A5-FDE4B64E5D96}" type="presOf" srcId="{02B5B6A9-637A-D540-A38B-03C3C5AB2D3B}" destId="{D45E2600-09F6-3F49-AAA3-4D0F4ED8B196}" srcOrd="0" destOrd="0" presId="urn:microsoft.com/office/officeart/2005/8/layout/cycle1"/>
    <dgm:cxn modelId="{0A8D98DE-4635-4C4C-82E1-682AA3D601AB}" type="presOf" srcId="{395FA40E-D804-ED4A-B2CF-FDD128F8EB2D}" destId="{8C9CFF9C-EA60-7E48-A2FB-C384EAFB4D44}" srcOrd="0" destOrd="0" presId="urn:microsoft.com/office/officeart/2005/8/layout/cycle1"/>
    <dgm:cxn modelId="{85D7C4CC-7810-244D-BFBC-BFA715D2A6C9}" srcId="{B75F7F44-6A6F-F74D-ACBF-14ADFD65835F}" destId="{1C898F6B-6209-4144-A192-81DD20A9232C}" srcOrd="4" destOrd="0" parTransId="{19E004DB-8563-0246-A75E-9111B80F7C86}" sibTransId="{808E46B1-EED0-C04B-A1B2-2AEC8EEE4170}"/>
    <dgm:cxn modelId="{85423D8A-2EF8-1B43-9F09-4FFFFFD44DFF}" type="presOf" srcId="{32348127-CAD9-5F41-9DDA-DA64D05DC419}" destId="{12F7E10F-D187-EE4B-9C89-C1EA0C61BBC2}" srcOrd="0" destOrd="0" presId="urn:microsoft.com/office/officeart/2005/8/layout/cycle1"/>
    <dgm:cxn modelId="{E31DD034-EC7C-C34D-ABC4-CF7847E6F965}" type="presOf" srcId="{F8483152-590D-FC4C-B41F-A59814629BCB}" destId="{D9AB7F56-7667-3B4A-9D58-A0EAAE76C952}" srcOrd="0" destOrd="0" presId="urn:microsoft.com/office/officeart/2005/8/layout/cycle1"/>
    <dgm:cxn modelId="{E85FC2A6-1583-BA44-8C11-6BC400C89684}" type="presOf" srcId="{812F2212-EBA4-C045-9D60-E82892400887}" destId="{6ADF2404-F0F4-E24D-AF03-326A0534C6DB}" srcOrd="0" destOrd="0" presId="urn:microsoft.com/office/officeart/2005/8/layout/cycle1"/>
    <dgm:cxn modelId="{3DF4FF3B-9795-4945-84EB-E1901F8D6AA1}" type="presOf" srcId="{B29A10C8-7C47-2A44-AF88-5DCFBB73A216}" destId="{33C0DAA2-F4B2-7B43-94BE-EE2A49B3E2B2}" srcOrd="0" destOrd="0" presId="urn:microsoft.com/office/officeart/2005/8/layout/cycle1"/>
    <dgm:cxn modelId="{3A4FDCFB-15A7-F54F-A5A0-BBB47D9E6A85}" type="presOf" srcId="{279B863D-9135-D345-B0F1-2E63580045D7}" destId="{3154E763-F5CB-1947-8E72-ED26AF246E4B}" srcOrd="0" destOrd="0" presId="urn:microsoft.com/office/officeart/2005/8/layout/cycle1"/>
    <dgm:cxn modelId="{D5BA6CA1-9014-F344-8FF7-FC0C0499E134}" type="presOf" srcId="{8B453E06-B6E0-2A43-B46C-2B8DEBDEF303}" destId="{F3275831-5130-A647-9AE6-2A1811422F28}" srcOrd="0" destOrd="0" presId="urn:microsoft.com/office/officeart/2005/8/layout/cycle1"/>
    <dgm:cxn modelId="{81E00960-25F1-F549-892D-2A10DE7E28BC}" srcId="{B75F7F44-6A6F-F74D-ACBF-14ADFD65835F}" destId="{812F2212-EBA4-C045-9D60-E82892400887}" srcOrd="5" destOrd="0" parTransId="{C7466B36-BAE5-9F41-A698-1A4194DCE109}" sibTransId="{02B5B6A9-637A-D540-A38B-03C3C5AB2D3B}"/>
    <dgm:cxn modelId="{5312E70D-4EFE-3640-ADF8-252A9EBEF2E2}" type="presOf" srcId="{D2CFF3A0-8533-5449-9112-D78BC9EE81E9}" destId="{10377AFC-3931-764D-B025-5FC3AD8D0128}" srcOrd="0" destOrd="0" presId="urn:microsoft.com/office/officeart/2005/8/layout/cycle1"/>
    <dgm:cxn modelId="{B1B30761-F8DC-8041-90C4-2E3FE3D9BDCA}" type="presOf" srcId="{881B9FEF-0625-E249-BF43-F35C35C134F9}" destId="{2FA433EE-5646-6B43-BC47-6B0166939CC3}" srcOrd="0" destOrd="0" presId="urn:microsoft.com/office/officeart/2005/8/layout/cycle1"/>
    <dgm:cxn modelId="{AF0F8E0D-21C9-0A45-A52F-DF7809F19147}" srcId="{B75F7F44-6A6F-F74D-ACBF-14ADFD65835F}" destId="{881B9FEF-0625-E249-BF43-F35C35C134F9}" srcOrd="7" destOrd="0" parTransId="{6328397F-FF74-7847-B6BD-C4E766C813C4}" sibTransId="{A89BA115-FAF7-8E4B-9C55-F56ABD5CCE06}"/>
    <dgm:cxn modelId="{C9E3E019-9DC5-6445-B2C6-392C66D50E27}" type="presOf" srcId="{0DC80E09-D85D-774E-A687-6E259498E81D}" destId="{6D4788A6-4022-CB48-A0DE-C5BE18DA9BD4}" srcOrd="0" destOrd="0" presId="urn:microsoft.com/office/officeart/2005/8/layout/cycle1"/>
    <dgm:cxn modelId="{37ADBC33-7AA7-364B-A45D-A7DA2D7D6065}" type="presOf" srcId="{A89BA115-FAF7-8E4B-9C55-F56ABD5CCE06}" destId="{5E91E276-C285-EC4B-95C2-1EA1BCE21F1C}" srcOrd="0" destOrd="0" presId="urn:microsoft.com/office/officeart/2005/8/layout/cycle1"/>
    <dgm:cxn modelId="{ACB96D24-F2EB-4B40-BF5B-68B3FDA0B5CA}" type="presOf" srcId="{808E46B1-EED0-C04B-A1B2-2AEC8EEE4170}" destId="{8E58548D-C9F9-7542-8D23-B3E92EA1A0AA}" srcOrd="0" destOrd="0" presId="urn:microsoft.com/office/officeart/2005/8/layout/cycle1"/>
    <dgm:cxn modelId="{CC23614A-6FAF-F847-B7D4-F8540ACBC2FF}" srcId="{B75F7F44-6A6F-F74D-ACBF-14ADFD65835F}" destId="{F8483152-590D-FC4C-B41F-A59814629BCB}" srcOrd="6" destOrd="0" parTransId="{1379D354-B1CA-C547-89FB-8CC76B194280}" sibTransId="{9FC9FBAC-B1C9-8742-AA92-D476A89E65E3}"/>
    <dgm:cxn modelId="{9C81E29D-C961-F746-9EA6-BAA16883BA8C}" type="presOf" srcId="{1C898F6B-6209-4144-A192-81DD20A9232C}" destId="{84E67944-B303-7E43-BDA2-C6DD4B92BDE0}" srcOrd="0" destOrd="0" presId="urn:microsoft.com/office/officeart/2005/8/layout/cycle1"/>
    <dgm:cxn modelId="{F4495D38-489E-6F47-9185-A5D38B8E2DAC}" type="presParOf" srcId="{ADC3DFFC-6486-2549-B945-9F6087ACA98A}" destId="{8FA8495D-C073-8847-95C2-7E61C7AC0CD8}" srcOrd="0" destOrd="0" presId="urn:microsoft.com/office/officeart/2005/8/layout/cycle1"/>
    <dgm:cxn modelId="{7937CF1E-20C1-7249-9399-C04CDA595B80}" type="presParOf" srcId="{ADC3DFFC-6486-2549-B945-9F6087ACA98A}" destId="{3154E763-F5CB-1947-8E72-ED26AF246E4B}" srcOrd="1" destOrd="0" presId="urn:microsoft.com/office/officeart/2005/8/layout/cycle1"/>
    <dgm:cxn modelId="{03F6FCAB-EFBB-E24B-BB72-C58537C71163}" type="presParOf" srcId="{ADC3DFFC-6486-2549-B945-9F6087ACA98A}" destId="{8C9CFF9C-EA60-7E48-A2FB-C384EAFB4D44}" srcOrd="2" destOrd="0" presId="urn:microsoft.com/office/officeart/2005/8/layout/cycle1"/>
    <dgm:cxn modelId="{A7241680-38F1-CF42-8411-9592AD700600}" type="presParOf" srcId="{ADC3DFFC-6486-2549-B945-9F6087ACA98A}" destId="{E2F1E172-71DE-7744-BBE4-6E824344AB09}" srcOrd="3" destOrd="0" presId="urn:microsoft.com/office/officeart/2005/8/layout/cycle1"/>
    <dgm:cxn modelId="{1F3F3FF0-ABBC-B447-9E19-B665A513A8E2}" type="presParOf" srcId="{ADC3DFFC-6486-2549-B945-9F6087ACA98A}" destId="{3E9DFDEF-F794-B44E-817F-547A228237BD}" srcOrd="4" destOrd="0" presId="urn:microsoft.com/office/officeart/2005/8/layout/cycle1"/>
    <dgm:cxn modelId="{5F3B66C5-68E4-9B4D-9822-4E8558CB822A}" type="presParOf" srcId="{ADC3DFFC-6486-2549-B945-9F6087ACA98A}" destId="{F3275831-5130-A647-9AE6-2A1811422F28}" srcOrd="5" destOrd="0" presId="urn:microsoft.com/office/officeart/2005/8/layout/cycle1"/>
    <dgm:cxn modelId="{EF6274D9-47CA-3C45-9A6C-69DDF09C57D9}" type="presParOf" srcId="{ADC3DFFC-6486-2549-B945-9F6087ACA98A}" destId="{FFF10128-42F4-904D-A8AA-6E244667B8F5}" srcOrd="6" destOrd="0" presId="urn:microsoft.com/office/officeart/2005/8/layout/cycle1"/>
    <dgm:cxn modelId="{7C3C6D3D-D5CC-8E44-B2F6-54094F19E7EC}" type="presParOf" srcId="{ADC3DFFC-6486-2549-B945-9F6087ACA98A}" destId="{6D4788A6-4022-CB48-A0DE-C5BE18DA9BD4}" srcOrd="7" destOrd="0" presId="urn:microsoft.com/office/officeart/2005/8/layout/cycle1"/>
    <dgm:cxn modelId="{A4CAF7C5-2661-1548-84F3-1B676FAD1AF7}" type="presParOf" srcId="{ADC3DFFC-6486-2549-B945-9F6087ACA98A}" destId="{10377AFC-3931-764D-B025-5FC3AD8D0128}" srcOrd="8" destOrd="0" presId="urn:microsoft.com/office/officeart/2005/8/layout/cycle1"/>
    <dgm:cxn modelId="{CC9C0EC3-25ED-C54E-8E58-9ADCCD99BF87}" type="presParOf" srcId="{ADC3DFFC-6486-2549-B945-9F6087ACA98A}" destId="{DFFEA32A-8939-1E44-A4DD-4EAD959B53A5}" srcOrd="9" destOrd="0" presId="urn:microsoft.com/office/officeart/2005/8/layout/cycle1"/>
    <dgm:cxn modelId="{F9624413-3816-5844-97DE-3437FE18D9CC}" type="presParOf" srcId="{ADC3DFFC-6486-2549-B945-9F6087ACA98A}" destId="{12F7E10F-D187-EE4B-9C89-C1EA0C61BBC2}" srcOrd="10" destOrd="0" presId="urn:microsoft.com/office/officeart/2005/8/layout/cycle1"/>
    <dgm:cxn modelId="{E0C987B4-3163-C947-A61F-392176636422}" type="presParOf" srcId="{ADC3DFFC-6486-2549-B945-9F6087ACA98A}" destId="{33C0DAA2-F4B2-7B43-94BE-EE2A49B3E2B2}" srcOrd="11" destOrd="0" presId="urn:microsoft.com/office/officeart/2005/8/layout/cycle1"/>
    <dgm:cxn modelId="{B00AB277-8C8E-5947-AF67-714B57403BBB}" type="presParOf" srcId="{ADC3DFFC-6486-2549-B945-9F6087ACA98A}" destId="{C37B981A-64F1-8946-A435-0C2DF0313B44}" srcOrd="12" destOrd="0" presId="urn:microsoft.com/office/officeart/2005/8/layout/cycle1"/>
    <dgm:cxn modelId="{D2EDA311-DDFD-E443-9BDC-98A5B2A26913}" type="presParOf" srcId="{ADC3DFFC-6486-2549-B945-9F6087ACA98A}" destId="{84E67944-B303-7E43-BDA2-C6DD4B92BDE0}" srcOrd="13" destOrd="0" presId="urn:microsoft.com/office/officeart/2005/8/layout/cycle1"/>
    <dgm:cxn modelId="{95EC53CD-1F86-4542-85F8-8A54109F06FD}" type="presParOf" srcId="{ADC3DFFC-6486-2549-B945-9F6087ACA98A}" destId="{8E58548D-C9F9-7542-8D23-B3E92EA1A0AA}" srcOrd="14" destOrd="0" presId="urn:microsoft.com/office/officeart/2005/8/layout/cycle1"/>
    <dgm:cxn modelId="{0F63694C-BC5A-C64D-8C8D-B82F0D0297D8}" type="presParOf" srcId="{ADC3DFFC-6486-2549-B945-9F6087ACA98A}" destId="{8DA97D3A-8C1D-9D46-85AE-BD62663DF9E3}" srcOrd="15" destOrd="0" presId="urn:microsoft.com/office/officeart/2005/8/layout/cycle1"/>
    <dgm:cxn modelId="{9EFFFAED-A3F3-0D45-B1CA-C22F2A3EC3B8}" type="presParOf" srcId="{ADC3DFFC-6486-2549-B945-9F6087ACA98A}" destId="{6ADF2404-F0F4-E24D-AF03-326A0534C6DB}" srcOrd="16" destOrd="0" presId="urn:microsoft.com/office/officeart/2005/8/layout/cycle1"/>
    <dgm:cxn modelId="{008BFE7D-E482-DD41-9DAB-A717667DAFD4}" type="presParOf" srcId="{ADC3DFFC-6486-2549-B945-9F6087ACA98A}" destId="{D45E2600-09F6-3F49-AAA3-4D0F4ED8B196}" srcOrd="17" destOrd="0" presId="urn:microsoft.com/office/officeart/2005/8/layout/cycle1"/>
    <dgm:cxn modelId="{8757BB49-0F02-144E-8D10-E611FFACC56B}" type="presParOf" srcId="{ADC3DFFC-6486-2549-B945-9F6087ACA98A}" destId="{0BA7EBB2-2946-044A-9E8B-06AE3B9400E5}" srcOrd="18" destOrd="0" presId="urn:microsoft.com/office/officeart/2005/8/layout/cycle1"/>
    <dgm:cxn modelId="{E69778B1-B03C-6E47-8147-B4793C3300A0}" type="presParOf" srcId="{ADC3DFFC-6486-2549-B945-9F6087ACA98A}" destId="{D9AB7F56-7667-3B4A-9D58-A0EAAE76C952}" srcOrd="19" destOrd="0" presId="urn:microsoft.com/office/officeart/2005/8/layout/cycle1"/>
    <dgm:cxn modelId="{6BA0033D-19BF-D746-838B-0F879D19444B}" type="presParOf" srcId="{ADC3DFFC-6486-2549-B945-9F6087ACA98A}" destId="{535F6F6D-707A-DA43-9DEC-5C3FF63E64E7}" srcOrd="20" destOrd="0" presId="urn:microsoft.com/office/officeart/2005/8/layout/cycle1"/>
    <dgm:cxn modelId="{31FCBE90-1811-4244-A547-59C3920A11B1}" type="presParOf" srcId="{ADC3DFFC-6486-2549-B945-9F6087ACA98A}" destId="{E5CE830D-CDD6-B147-8B7A-2637CEA429C1}" srcOrd="21" destOrd="0" presId="urn:microsoft.com/office/officeart/2005/8/layout/cycle1"/>
    <dgm:cxn modelId="{C96A60A1-52E7-8F44-955F-3D3C7AD743C6}" type="presParOf" srcId="{ADC3DFFC-6486-2549-B945-9F6087ACA98A}" destId="{2FA433EE-5646-6B43-BC47-6B0166939CC3}" srcOrd="22" destOrd="0" presId="urn:microsoft.com/office/officeart/2005/8/layout/cycle1"/>
    <dgm:cxn modelId="{FD671CB0-6415-D24B-9494-F4F5C1C05B01}" type="presParOf" srcId="{ADC3DFFC-6486-2549-B945-9F6087ACA98A}" destId="{5E91E276-C285-EC4B-95C2-1EA1BCE21F1C}" srcOrd="23" destOrd="0" presId="urn:microsoft.com/office/officeart/2005/8/layout/cycle1"/>
    <dgm:cxn modelId="{ECA8EED2-47A2-AB45-BA3A-9B165589266B}" type="presParOf" srcId="{ADC3DFFC-6486-2549-B945-9F6087ACA98A}" destId="{17262509-C3E0-F749-8656-C805C8DD58EE}" srcOrd="24" destOrd="0" presId="urn:microsoft.com/office/officeart/2005/8/layout/cycle1"/>
    <dgm:cxn modelId="{EB62A2AB-ED7D-E640-8E23-2514C1F50B84}" type="presParOf" srcId="{ADC3DFFC-6486-2549-B945-9F6087ACA98A}" destId="{267571A2-FDAC-3344-B2A1-A8515408A4C0}" srcOrd="25" destOrd="0" presId="urn:microsoft.com/office/officeart/2005/8/layout/cycle1"/>
    <dgm:cxn modelId="{69527993-20D0-5044-B23E-9CB663817914}" type="presParOf" srcId="{ADC3DFFC-6486-2549-B945-9F6087ACA98A}" destId="{B1454B0E-F18A-6F49-A738-96CCFFF5F204}" srcOrd="26" destOrd="0" presId="urn:microsoft.com/office/officeart/2005/8/layout/cycle1"/>
  </dgm:cxnLst>
  <dgm:bg/>
  <dgm:whole/>
  <dgm:extLst>
    <a:ext uri="http://schemas.microsoft.com/office/drawing/2008/diagram">
      <dsp:dataModelExt xmlns:dsp="http://schemas.microsoft.com/office/drawing/2008/diagram" relId="rId15" minVer="http://schemas.openxmlformats.org/drawingml/2006/diagram"/>
    </a:ext>
  </dgm:extLst>
</dgm:dataModel>
</file>

<file path=xl/diagrams/data4.xml><?xml version="1.0" encoding="utf-8"?>
<dgm:dataModel xmlns:dgm="http://schemas.openxmlformats.org/drawingml/2006/diagram" xmlns:a="http://schemas.openxmlformats.org/drawingml/2006/main">
  <dgm:ptLst>
    <dgm:pt modelId="{B75F7F44-6A6F-F74D-ACBF-14ADFD65835F}" type="doc">
      <dgm:prSet loTypeId="urn:microsoft.com/office/officeart/2005/8/layout/cycle1" loCatId="" qsTypeId="urn:microsoft.com/office/officeart/2005/8/quickstyle/simple4" qsCatId="simple" csTypeId="urn:microsoft.com/office/officeart/2005/8/colors/accent3_2" csCatId="accent3" phldr="1"/>
      <dgm:spPr/>
      <dgm:t>
        <a:bodyPr/>
        <a:lstStyle/>
        <a:p>
          <a:endParaRPr lang="en-US"/>
        </a:p>
      </dgm:t>
    </dgm:pt>
    <dgm:pt modelId="{B46C9681-66D3-1647-BDC1-8F615A598165}">
      <dgm:prSet phldrT="[Text]" custT="1"/>
      <dgm:spPr/>
      <dgm:t>
        <a:bodyPr/>
        <a:lstStyle/>
        <a:p>
          <a:r>
            <a:rPr lang="en-US" sz="1000" b="1">
              <a:latin typeface="Arial"/>
              <a:cs typeface="Arial"/>
            </a:rPr>
            <a:t>Strategising</a:t>
          </a:r>
        </a:p>
      </dgm:t>
    </dgm:pt>
    <dgm:pt modelId="{97787AC8-5C0E-044E-813B-646A01AEB16C}" type="parTrans" cxnId="{95DAD797-C535-0840-84FA-F250BF2F29E2}">
      <dgm:prSet/>
      <dgm:spPr/>
      <dgm:t>
        <a:bodyPr/>
        <a:lstStyle/>
        <a:p>
          <a:endParaRPr lang="en-US"/>
        </a:p>
      </dgm:t>
    </dgm:pt>
    <dgm:pt modelId="{8B453E06-B6E0-2A43-B46C-2B8DEBDEF303}" type="sibTrans" cxnId="{95DAD797-C535-0840-84FA-F250BF2F29E2}">
      <dgm:prSet/>
      <dgm:spPr/>
      <dgm:t>
        <a:bodyPr/>
        <a:lstStyle/>
        <a:p>
          <a:endParaRPr lang="en-US"/>
        </a:p>
      </dgm:t>
    </dgm:pt>
    <dgm:pt modelId="{0DC80E09-D85D-774E-A687-6E259498E81D}">
      <dgm:prSet phldrT="[Text]" custT="1"/>
      <dgm:spPr/>
      <dgm:t>
        <a:bodyPr/>
        <a:lstStyle/>
        <a:p>
          <a:r>
            <a:rPr lang="en-US" sz="1000" b="1">
              <a:latin typeface="Arial"/>
              <a:cs typeface="Arial"/>
            </a:rPr>
            <a:t>Work Planning</a:t>
          </a:r>
        </a:p>
      </dgm:t>
    </dgm:pt>
    <dgm:pt modelId="{DC2F0CE8-BD55-0247-A8A5-2B654F990F93}" type="parTrans" cxnId="{E6761EE1-B17D-EA48-99EC-85877251D753}">
      <dgm:prSet/>
      <dgm:spPr/>
      <dgm:t>
        <a:bodyPr/>
        <a:lstStyle/>
        <a:p>
          <a:endParaRPr lang="en-US"/>
        </a:p>
      </dgm:t>
    </dgm:pt>
    <dgm:pt modelId="{D2CFF3A0-8533-5449-9112-D78BC9EE81E9}" type="sibTrans" cxnId="{E6761EE1-B17D-EA48-99EC-85877251D753}">
      <dgm:prSet/>
      <dgm:spPr/>
      <dgm:t>
        <a:bodyPr/>
        <a:lstStyle/>
        <a:p>
          <a:endParaRPr lang="en-US"/>
        </a:p>
      </dgm:t>
    </dgm:pt>
    <dgm:pt modelId="{32348127-CAD9-5F41-9DDA-DA64D05DC419}">
      <dgm:prSet phldrT="[Text]" custT="1"/>
      <dgm:spPr/>
      <dgm:t>
        <a:bodyPr/>
        <a:lstStyle/>
        <a:p>
          <a:r>
            <a:rPr lang="en-US" sz="1000" b="1">
              <a:latin typeface="Arial"/>
              <a:cs typeface="Arial"/>
            </a:rPr>
            <a:t>Budgeting</a:t>
          </a:r>
        </a:p>
      </dgm:t>
    </dgm:pt>
    <dgm:pt modelId="{DC3C3514-C20B-664F-A938-A764C329A9C3}" type="parTrans" cxnId="{93D31496-6BE0-B24F-87EE-3BE5A0C3EA83}">
      <dgm:prSet/>
      <dgm:spPr/>
      <dgm:t>
        <a:bodyPr/>
        <a:lstStyle/>
        <a:p>
          <a:endParaRPr lang="en-US"/>
        </a:p>
      </dgm:t>
    </dgm:pt>
    <dgm:pt modelId="{B29A10C8-7C47-2A44-AF88-5DCFBB73A216}" type="sibTrans" cxnId="{93D31496-6BE0-B24F-87EE-3BE5A0C3EA83}">
      <dgm:prSet/>
      <dgm:spPr/>
      <dgm:t>
        <a:bodyPr/>
        <a:lstStyle/>
        <a:p>
          <a:endParaRPr lang="en-US"/>
        </a:p>
      </dgm:t>
    </dgm:pt>
    <dgm:pt modelId="{1C898F6B-6209-4144-A192-81DD20A9232C}">
      <dgm:prSet phldrT="[Text]" custT="1"/>
      <dgm:spPr/>
      <dgm:t>
        <a:bodyPr/>
        <a:lstStyle/>
        <a:p>
          <a:r>
            <a:rPr lang="en-US" sz="1000" b="1">
              <a:latin typeface="Arial"/>
              <a:cs typeface="Arial"/>
            </a:rPr>
            <a:t>Forecasting</a:t>
          </a:r>
        </a:p>
      </dgm:t>
    </dgm:pt>
    <dgm:pt modelId="{19E004DB-8563-0246-A75E-9111B80F7C86}" type="parTrans" cxnId="{85D7C4CC-7810-244D-BFBC-BFA715D2A6C9}">
      <dgm:prSet/>
      <dgm:spPr/>
      <dgm:t>
        <a:bodyPr/>
        <a:lstStyle/>
        <a:p>
          <a:endParaRPr lang="en-US"/>
        </a:p>
      </dgm:t>
    </dgm:pt>
    <dgm:pt modelId="{808E46B1-EED0-C04B-A1B2-2AEC8EEE4170}" type="sibTrans" cxnId="{85D7C4CC-7810-244D-BFBC-BFA715D2A6C9}">
      <dgm:prSet/>
      <dgm:spPr/>
      <dgm:t>
        <a:bodyPr/>
        <a:lstStyle/>
        <a:p>
          <a:endParaRPr lang="en-US"/>
        </a:p>
      </dgm:t>
    </dgm:pt>
    <dgm:pt modelId="{812F2212-EBA4-C045-9D60-E82892400887}">
      <dgm:prSet custT="1"/>
      <dgm:spPr/>
      <dgm:t>
        <a:bodyPr/>
        <a:lstStyle/>
        <a:p>
          <a:r>
            <a:rPr lang="en-US" sz="1000" b="1">
              <a:latin typeface="Arial"/>
              <a:cs typeface="Arial"/>
            </a:rPr>
            <a:t>Implement-ation</a:t>
          </a:r>
        </a:p>
      </dgm:t>
    </dgm:pt>
    <dgm:pt modelId="{C7466B36-BAE5-9F41-A698-1A4194DCE109}" type="parTrans" cxnId="{81E00960-25F1-F549-892D-2A10DE7E28BC}">
      <dgm:prSet/>
      <dgm:spPr/>
      <dgm:t>
        <a:bodyPr/>
        <a:lstStyle/>
        <a:p>
          <a:endParaRPr lang="en-US"/>
        </a:p>
      </dgm:t>
    </dgm:pt>
    <dgm:pt modelId="{02B5B6A9-637A-D540-A38B-03C3C5AB2D3B}" type="sibTrans" cxnId="{81E00960-25F1-F549-892D-2A10DE7E28BC}">
      <dgm:prSet/>
      <dgm:spPr/>
      <dgm:t>
        <a:bodyPr/>
        <a:lstStyle/>
        <a:p>
          <a:endParaRPr lang="en-US"/>
        </a:p>
      </dgm:t>
    </dgm:pt>
    <dgm:pt modelId="{F8483152-590D-FC4C-B41F-A59814629BCB}">
      <dgm:prSet/>
      <dgm:spPr/>
      <dgm:t>
        <a:bodyPr/>
        <a:lstStyle/>
        <a:p>
          <a:r>
            <a:rPr lang="en-US" b="1">
              <a:latin typeface="Arial"/>
              <a:cs typeface="Arial"/>
            </a:rPr>
            <a:t>Monitoring &amp; Evaluation</a:t>
          </a:r>
        </a:p>
      </dgm:t>
    </dgm:pt>
    <dgm:pt modelId="{1379D354-B1CA-C547-89FB-8CC76B194280}" type="parTrans" cxnId="{CC23614A-6FAF-F847-B7D4-F8540ACBC2FF}">
      <dgm:prSet/>
      <dgm:spPr/>
      <dgm:t>
        <a:bodyPr/>
        <a:lstStyle/>
        <a:p>
          <a:endParaRPr lang="en-US"/>
        </a:p>
      </dgm:t>
    </dgm:pt>
    <dgm:pt modelId="{9FC9FBAC-B1C9-8742-AA92-D476A89E65E3}" type="sibTrans" cxnId="{CC23614A-6FAF-F847-B7D4-F8540ACBC2FF}">
      <dgm:prSet/>
      <dgm:spPr/>
      <dgm:t>
        <a:bodyPr/>
        <a:lstStyle/>
        <a:p>
          <a:endParaRPr lang="en-US"/>
        </a:p>
      </dgm:t>
    </dgm:pt>
    <dgm:pt modelId="{881B9FEF-0625-E249-BF43-F35C35C134F9}">
      <dgm:prSet/>
      <dgm:spPr/>
      <dgm:t>
        <a:bodyPr/>
        <a:lstStyle/>
        <a:p>
          <a:r>
            <a:rPr lang="en-US" b="1">
              <a:latin typeface="Arial"/>
              <a:cs typeface="Arial"/>
            </a:rPr>
            <a:t>Reflection &amp; Reporting</a:t>
          </a:r>
        </a:p>
      </dgm:t>
    </dgm:pt>
    <dgm:pt modelId="{6328397F-FF74-7847-B6BD-C4E766C813C4}" type="parTrans" cxnId="{AF0F8E0D-21C9-0A45-A52F-DF7809F19147}">
      <dgm:prSet/>
      <dgm:spPr/>
      <dgm:t>
        <a:bodyPr/>
        <a:lstStyle/>
        <a:p>
          <a:endParaRPr lang="en-US"/>
        </a:p>
      </dgm:t>
    </dgm:pt>
    <dgm:pt modelId="{A89BA115-FAF7-8E4B-9C55-F56ABD5CCE06}" type="sibTrans" cxnId="{AF0F8E0D-21C9-0A45-A52F-DF7809F19147}">
      <dgm:prSet/>
      <dgm:spPr/>
      <dgm:t>
        <a:bodyPr/>
        <a:lstStyle/>
        <a:p>
          <a:endParaRPr lang="en-US" b="1"/>
        </a:p>
      </dgm:t>
    </dgm:pt>
    <dgm:pt modelId="{ECEADE51-0159-B448-BE98-AA7148CE9CC3}">
      <dgm:prSet custT="1"/>
      <dgm:spPr/>
      <dgm:t>
        <a:bodyPr/>
        <a:lstStyle/>
        <a:p>
          <a:r>
            <a:rPr lang="en-US" sz="1000" b="1">
              <a:latin typeface="Arial"/>
              <a:cs typeface="Arial"/>
            </a:rPr>
            <a:t>Analysis</a:t>
          </a:r>
        </a:p>
      </dgm:t>
    </dgm:pt>
    <dgm:pt modelId="{65498A84-7A29-FB48-A480-30DBBFA25E1C}" type="parTrans" cxnId="{937BB626-F1DC-B44E-AD15-74B3B2613712}">
      <dgm:prSet/>
      <dgm:spPr/>
      <dgm:t>
        <a:bodyPr/>
        <a:lstStyle/>
        <a:p>
          <a:endParaRPr lang="en-US"/>
        </a:p>
      </dgm:t>
    </dgm:pt>
    <dgm:pt modelId="{4F10BA6C-5B66-C149-AC59-011F85292F6B}" type="sibTrans" cxnId="{937BB626-F1DC-B44E-AD15-74B3B2613712}">
      <dgm:prSet/>
      <dgm:spPr/>
      <dgm:t>
        <a:bodyPr/>
        <a:lstStyle/>
        <a:p>
          <a:endParaRPr lang="en-US">
            <a:latin typeface="Arial"/>
            <a:cs typeface="Arial"/>
          </a:endParaRPr>
        </a:p>
      </dgm:t>
    </dgm:pt>
    <dgm:pt modelId="{279B863D-9135-D345-B0F1-2E63580045D7}">
      <dgm:prSet custT="1"/>
      <dgm:spPr/>
      <dgm:t>
        <a:bodyPr/>
        <a:lstStyle/>
        <a:p>
          <a:r>
            <a:rPr lang="en-US" sz="1000" b="1">
              <a:latin typeface="Arial"/>
              <a:cs typeface="Arial"/>
            </a:rPr>
            <a:t>Objective Setting</a:t>
          </a:r>
        </a:p>
      </dgm:t>
    </dgm:pt>
    <dgm:pt modelId="{7EB0B8E0-B8BE-1348-A4C3-9E52AFB83589}" type="parTrans" cxnId="{109E67DD-8D94-0547-8273-1A03970D0C8A}">
      <dgm:prSet/>
      <dgm:spPr/>
      <dgm:t>
        <a:bodyPr/>
        <a:lstStyle/>
        <a:p>
          <a:endParaRPr lang="en-US"/>
        </a:p>
      </dgm:t>
    </dgm:pt>
    <dgm:pt modelId="{395FA40E-D804-ED4A-B2CF-FDD128F8EB2D}" type="sibTrans" cxnId="{109E67DD-8D94-0547-8273-1A03970D0C8A}">
      <dgm:prSet/>
      <dgm:spPr/>
      <dgm:t>
        <a:bodyPr/>
        <a:lstStyle/>
        <a:p>
          <a:endParaRPr lang="en-US"/>
        </a:p>
      </dgm:t>
    </dgm:pt>
    <dgm:pt modelId="{ADC3DFFC-6486-2549-B945-9F6087ACA98A}" type="pres">
      <dgm:prSet presAssocID="{B75F7F44-6A6F-F74D-ACBF-14ADFD65835F}" presName="cycle" presStyleCnt="0">
        <dgm:presLayoutVars>
          <dgm:dir/>
          <dgm:resizeHandles val="exact"/>
        </dgm:presLayoutVars>
      </dgm:prSet>
      <dgm:spPr/>
      <dgm:t>
        <a:bodyPr/>
        <a:lstStyle/>
        <a:p>
          <a:endParaRPr lang="en-US"/>
        </a:p>
      </dgm:t>
    </dgm:pt>
    <dgm:pt modelId="{8FA8495D-C073-8847-95C2-7E61C7AC0CD8}" type="pres">
      <dgm:prSet presAssocID="{279B863D-9135-D345-B0F1-2E63580045D7}" presName="dummy" presStyleCnt="0"/>
      <dgm:spPr/>
    </dgm:pt>
    <dgm:pt modelId="{3154E763-F5CB-1947-8E72-ED26AF246E4B}" type="pres">
      <dgm:prSet presAssocID="{279B863D-9135-D345-B0F1-2E63580045D7}" presName="node" presStyleLbl="revTx" presStyleIdx="0" presStyleCnt="9" custScaleX="120300">
        <dgm:presLayoutVars>
          <dgm:bulletEnabled val="1"/>
        </dgm:presLayoutVars>
      </dgm:prSet>
      <dgm:spPr/>
      <dgm:t>
        <a:bodyPr/>
        <a:lstStyle/>
        <a:p>
          <a:endParaRPr lang="en-US"/>
        </a:p>
      </dgm:t>
    </dgm:pt>
    <dgm:pt modelId="{8C9CFF9C-EA60-7E48-A2FB-C384EAFB4D44}" type="pres">
      <dgm:prSet presAssocID="{395FA40E-D804-ED4A-B2CF-FDD128F8EB2D}" presName="sibTrans" presStyleLbl="node1" presStyleIdx="0" presStyleCnt="9"/>
      <dgm:spPr/>
      <dgm:t>
        <a:bodyPr/>
        <a:lstStyle/>
        <a:p>
          <a:endParaRPr lang="en-US"/>
        </a:p>
      </dgm:t>
    </dgm:pt>
    <dgm:pt modelId="{E2F1E172-71DE-7744-BBE4-6E824344AB09}" type="pres">
      <dgm:prSet presAssocID="{B46C9681-66D3-1647-BDC1-8F615A598165}" presName="dummy" presStyleCnt="0"/>
      <dgm:spPr/>
    </dgm:pt>
    <dgm:pt modelId="{3E9DFDEF-F794-B44E-817F-547A228237BD}" type="pres">
      <dgm:prSet presAssocID="{B46C9681-66D3-1647-BDC1-8F615A598165}" presName="node" presStyleLbl="revTx" presStyleIdx="1" presStyleCnt="9" custScaleX="130178">
        <dgm:presLayoutVars>
          <dgm:bulletEnabled val="1"/>
        </dgm:presLayoutVars>
      </dgm:prSet>
      <dgm:spPr/>
      <dgm:t>
        <a:bodyPr/>
        <a:lstStyle/>
        <a:p>
          <a:endParaRPr lang="en-US"/>
        </a:p>
      </dgm:t>
    </dgm:pt>
    <dgm:pt modelId="{F3275831-5130-A647-9AE6-2A1811422F28}" type="pres">
      <dgm:prSet presAssocID="{8B453E06-B6E0-2A43-B46C-2B8DEBDEF303}" presName="sibTrans" presStyleLbl="node1" presStyleIdx="1" presStyleCnt="9"/>
      <dgm:spPr/>
      <dgm:t>
        <a:bodyPr/>
        <a:lstStyle/>
        <a:p>
          <a:endParaRPr lang="en-US"/>
        </a:p>
      </dgm:t>
    </dgm:pt>
    <dgm:pt modelId="{FFF10128-42F4-904D-A8AA-6E244667B8F5}" type="pres">
      <dgm:prSet presAssocID="{0DC80E09-D85D-774E-A687-6E259498E81D}" presName="dummy" presStyleCnt="0"/>
      <dgm:spPr/>
    </dgm:pt>
    <dgm:pt modelId="{6D4788A6-4022-CB48-A0DE-C5BE18DA9BD4}" type="pres">
      <dgm:prSet presAssocID="{0DC80E09-D85D-774E-A687-6E259498E81D}" presName="node" presStyleLbl="revTx" presStyleIdx="2" presStyleCnt="9">
        <dgm:presLayoutVars>
          <dgm:bulletEnabled val="1"/>
        </dgm:presLayoutVars>
      </dgm:prSet>
      <dgm:spPr/>
      <dgm:t>
        <a:bodyPr/>
        <a:lstStyle/>
        <a:p>
          <a:endParaRPr lang="en-US"/>
        </a:p>
      </dgm:t>
    </dgm:pt>
    <dgm:pt modelId="{10377AFC-3931-764D-B025-5FC3AD8D0128}" type="pres">
      <dgm:prSet presAssocID="{D2CFF3A0-8533-5449-9112-D78BC9EE81E9}" presName="sibTrans" presStyleLbl="node1" presStyleIdx="2" presStyleCnt="9"/>
      <dgm:spPr/>
      <dgm:t>
        <a:bodyPr/>
        <a:lstStyle/>
        <a:p>
          <a:endParaRPr lang="en-US"/>
        </a:p>
      </dgm:t>
    </dgm:pt>
    <dgm:pt modelId="{DFFEA32A-8939-1E44-A4DD-4EAD959B53A5}" type="pres">
      <dgm:prSet presAssocID="{32348127-CAD9-5F41-9DDA-DA64D05DC419}" presName="dummy" presStyleCnt="0"/>
      <dgm:spPr/>
    </dgm:pt>
    <dgm:pt modelId="{12F7E10F-D187-EE4B-9C89-C1EA0C61BBC2}" type="pres">
      <dgm:prSet presAssocID="{32348127-CAD9-5F41-9DDA-DA64D05DC419}" presName="node" presStyleLbl="revTx" presStyleIdx="3" presStyleCnt="9">
        <dgm:presLayoutVars>
          <dgm:bulletEnabled val="1"/>
        </dgm:presLayoutVars>
      </dgm:prSet>
      <dgm:spPr/>
      <dgm:t>
        <a:bodyPr/>
        <a:lstStyle/>
        <a:p>
          <a:endParaRPr lang="en-US"/>
        </a:p>
      </dgm:t>
    </dgm:pt>
    <dgm:pt modelId="{33C0DAA2-F4B2-7B43-94BE-EE2A49B3E2B2}" type="pres">
      <dgm:prSet presAssocID="{B29A10C8-7C47-2A44-AF88-5DCFBB73A216}" presName="sibTrans" presStyleLbl="node1" presStyleIdx="3" presStyleCnt="9"/>
      <dgm:spPr/>
      <dgm:t>
        <a:bodyPr/>
        <a:lstStyle/>
        <a:p>
          <a:endParaRPr lang="en-US"/>
        </a:p>
      </dgm:t>
    </dgm:pt>
    <dgm:pt modelId="{C37B981A-64F1-8946-A435-0C2DF0313B44}" type="pres">
      <dgm:prSet presAssocID="{1C898F6B-6209-4144-A192-81DD20A9232C}" presName="dummy" presStyleCnt="0"/>
      <dgm:spPr/>
    </dgm:pt>
    <dgm:pt modelId="{84E67944-B303-7E43-BDA2-C6DD4B92BDE0}" type="pres">
      <dgm:prSet presAssocID="{1C898F6B-6209-4144-A192-81DD20A9232C}" presName="node" presStyleLbl="revTx" presStyleIdx="4" presStyleCnt="9" custScaleX="117531">
        <dgm:presLayoutVars>
          <dgm:bulletEnabled val="1"/>
        </dgm:presLayoutVars>
      </dgm:prSet>
      <dgm:spPr/>
      <dgm:t>
        <a:bodyPr/>
        <a:lstStyle/>
        <a:p>
          <a:endParaRPr lang="en-US"/>
        </a:p>
      </dgm:t>
    </dgm:pt>
    <dgm:pt modelId="{8E58548D-C9F9-7542-8D23-B3E92EA1A0AA}" type="pres">
      <dgm:prSet presAssocID="{808E46B1-EED0-C04B-A1B2-2AEC8EEE4170}" presName="sibTrans" presStyleLbl="node1" presStyleIdx="4" presStyleCnt="9"/>
      <dgm:spPr/>
      <dgm:t>
        <a:bodyPr/>
        <a:lstStyle/>
        <a:p>
          <a:endParaRPr lang="en-US"/>
        </a:p>
      </dgm:t>
    </dgm:pt>
    <dgm:pt modelId="{8DA97D3A-8C1D-9D46-85AE-BD62663DF9E3}" type="pres">
      <dgm:prSet presAssocID="{812F2212-EBA4-C045-9D60-E82892400887}" presName="dummy" presStyleCnt="0"/>
      <dgm:spPr/>
    </dgm:pt>
    <dgm:pt modelId="{6ADF2404-F0F4-E24D-AF03-326A0534C6DB}" type="pres">
      <dgm:prSet presAssocID="{812F2212-EBA4-C045-9D60-E82892400887}" presName="node" presStyleLbl="revTx" presStyleIdx="5" presStyleCnt="9" custScaleX="107895">
        <dgm:presLayoutVars>
          <dgm:bulletEnabled val="1"/>
        </dgm:presLayoutVars>
      </dgm:prSet>
      <dgm:spPr/>
      <dgm:t>
        <a:bodyPr/>
        <a:lstStyle/>
        <a:p>
          <a:endParaRPr lang="en-US"/>
        </a:p>
      </dgm:t>
    </dgm:pt>
    <dgm:pt modelId="{D45E2600-09F6-3F49-AAA3-4D0F4ED8B196}" type="pres">
      <dgm:prSet presAssocID="{02B5B6A9-637A-D540-A38B-03C3C5AB2D3B}" presName="sibTrans" presStyleLbl="node1" presStyleIdx="5" presStyleCnt="9"/>
      <dgm:spPr/>
      <dgm:t>
        <a:bodyPr/>
        <a:lstStyle/>
        <a:p>
          <a:endParaRPr lang="en-US"/>
        </a:p>
      </dgm:t>
    </dgm:pt>
    <dgm:pt modelId="{0BA7EBB2-2946-044A-9E8B-06AE3B9400E5}" type="pres">
      <dgm:prSet presAssocID="{F8483152-590D-FC4C-B41F-A59814629BCB}" presName="dummy" presStyleCnt="0"/>
      <dgm:spPr/>
    </dgm:pt>
    <dgm:pt modelId="{D9AB7F56-7667-3B4A-9D58-A0EAAE76C952}" type="pres">
      <dgm:prSet presAssocID="{F8483152-590D-FC4C-B41F-A59814629BCB}" presName="node" presStyleLbl="revTx" presStyleIdx="6" presStyleCnt="9">
        <dgm:presLayoutVars>
          <dgm:bulletEnabled val="1"/>
        </dgm:presLayoutVars>
      </dgm:prSet>
      <dgm:spPr/>
      <dgm:t>
        <a:bodyPr/>
        <a:lstStyle/>
        <a:p>
          <a:endParaRPr lang="en-US"/>
        </a:p>
      </dgm:t>
    </dgm:pt>
    <dgm:pt modelId="{535F6F6D-707A-DA43-9DEC-5C3FF63E64E7}" type="pres">
      <dgm:prSet presAssocID="{9FC9FBAC-B1C9-8742-AA92-D476A89E65E3}" presName="sibTrans" presStyleLbl="node1" presStyleIdx="6" presStyleCnt="9"/>
      <dgm:spPr/>
      <dgm:t>
        <a:bodyPr/>
        <a:lstStyle/>
        <a:p>
          <a:endParaRPr lang="en-US"/>
        </a:p>
      </dgm:t>
    </dgm:pt>
    <dgm:pt modelId="{E5CE830D-CDD6-B147-8B7A-2637CEA429C1}" type="pres">
      <dgm:prSet presAssocID="{881B9FEF-0625-E249-BF43-F35C35C134F9}" presName="dummy" presStyleCnt="0"/>
      <dgm:spPr/>
    </dgm:pt>
    <dgm:pt modelId="{2FA433EE-5646-6B43-BC47-6B0166939CC3}" type="pres">
      <dgm:prSet presAssocID="{881B9FEF-0625-E249-BF43-F35C35C134F9}" presName="node" presStyleLbl="revTx" presStyleIdx="7" presStyleCnt="9">
        <dgm:presLayoutVars>
          <dgm:bulletEnabled val="1"/>
        </dgm:presLayoutVars>
      </dgm:prSet>
      <dgm:spPr/>
      <dgm:t>
        <a:bodyPr/>
        <a:lstStyle/>
        <a:p>
          <a:endParaRPr lang="en-US"/>
        </a:p>
      </dgm:t>
    </dgm:pt>
    <dgm:pt modelId="{5E91E276-C285-EC4B-95C2-1EA1BCE21F1C}" type="pres">
      <dgm:prSet presAssocID="{A89BA115-FAF7-8E4B-9C55-F56ABD5CCE06}" presName="sibTrans" presStyleLbl="node1" presStyleIdx="7" presStyleCnt="9"/>
      <dgm:spPr/>
      <dgm:t>
        <a:bodyPr/>
        <a:lstStyle/>
        <a:p>
          <a:endParaRPr lang="en-US"/>
        </a:p>
      </dgm:t>
    </dgm:pt>
    <dgm:pt modelId="{17262509-C3E0-F749-8656-C805C8DD58EE}" type="pres">
      <dgm:prSet presAssocID="{ECEADE51-0159-B448-BE98-AA7148CE9CC3}" presName="dummy" presStyleCnt="0"/>
      <dgm:spPr/>
    </dgm:pt>
    <dgm:pt modelId="{267571A2-FDAC-3344-B2A1-A8515408A4C0}" type="pres">
      <dgm:prSet presAssocID="{ECEADE51-0159-B448-BE98-AA7148CE9CC3}" presName="node" presStyleLbl="revTx" presStyleIdx="8" presStyleCnt="9">
        <dgm:presLayoutVars>
          <dgm:bulletEnabled val="1"/>
        </dgm:presLayoutVars>
      </dgm:prSet>
      <dgm:spPr/>
      <dgm:t>
        <a:bodyPr/>
        <a:lstStyle/>
        <a:p>
          <a:endParaRPr lang="en-US"/>
        </a:p>
      </dgm:t>
    </dgm:pt>
    <dgm:pt modelId="{B1454B0E-F18A-6F49-A738-96CCFFF5F204}" type="pres">
      <dgm:prSet presAssocID="{4F10BA6C-5B66-C149-AC59-011F85292F6B}" presName="sibTrans" presStyleLbl="node1" presStyleIdx="8" presStyleCnt="9"/>
      <dgm:spPr/>
      <dgm:t>
        <a:bodyPr/>
        <a:lstStyle/>
        <a:p>
          <a:endParaRPr lang="en-US"/>
        </a:p>
      </dgm:t>
    </dgm:pt>
  </dgm:ptLst>
  <dgm:cxnLst>
    <dgm:cxn modelId="{937BB626-F1DC-B44E-AD15-74B3B2613712}" srcId="{B75F7F44-6A6F-F74D-ACBF-14ADFD65835F}" destId="{ECEADE51-0159-B448-BE98-AA7148CE9CC3}" srcOrd="8" destOrd="0" parTransId="{65498A84-7A29-FB48-A480-30DBBFA25E1C}" sibTransId="{4F10BA6C-5B66-C149-AC59-011F85292F6B}"/>
    <dgm:cxn modelId="{C0D19937-5A2F-CA48-96F4-8A0FC5071B5F}" type="presOf" srcId="{02B5B6A9-637A-D540-A38B-03C3C5AB2D3B}" destId="{D45E2600-09F6-3F49-AAA3-4D0F4ED8B196}" srcOrd="0" destOrd="0" presId="urn:microsoft.com/office/officeart/2005/8/layout/cycle1"/>
    <dgm:cxn modelId="{7C22DFA8-B60C-2748-BFB1-7E97D51761F4}" type="presOf" srcId="{B46C9681-66D3-1647-BDC1-8F615A598165}" destId="{3E9DFDEF-F794-B44E-817F-547A228237BD}" srcOrd="0" destOrd="0" presId="urn:microsoft.com/office/officeart/2005/8/layout/cycle1"/>
    <dgm:cxn modelId="{BAE84D3A-775B-2847-BE65-869BE6528F2B}" type="presOf" srcId="{812F2212-EBA4-C045-9D60-E82892400887}" destId="{6ADF2404-F0F4-E24D-AF03-326A0534C6DB}" srcOrd="0" destOrd="0" presId="urn:microsoft.com/office/officeart/2005/8/layout/cycle1"/>
    <dgm:cxn modelId="{E6761EE1-B17D-EA48-99EC-85877251D753}" srcId="{B75F7F44-6A6F-F74D-ACBF-14ADFD65835F}" destId="{0DC80E09-D85D-774E-A687-6E259498E81D}" srcOrd="2" destOrd="0" parTransId="{DC2F0CE8-BD55-0247-A8A5-2B654F990F93}" sibTransId="{D2CFF3A0-8533-5449-9112-D78BC9EE81E9}"/>
    <dgm:cxn modelId="{93D31496-6BE0-B24F-87EE-3BE5A0C3EA83}" srcId="{B75F7F44-6A6F-F74D-ACBF-14ADFD65835F}" destId="{32348127-CAD9-5F41-9DDA-DA64D05DC419}" srcOrd="3" destOrd="0" parTransId="{DC3C3514-C20B-664F-A938-A764C329A9C3}" sibTransId="{B29A10C8-7C47-2A44-AF88-5DCFBB73A216}"/>
    <dgm:cxn modelId="{109E67DD-8D94-0547-8273-1A03970D0C8A}" srcId="{B75F7F44-6A6F-F74D-ACBF-14ADFD65835F}" destId="{279B863D-9135-D345-B0F1-2E63580045D7}" srcOrd="0" destOrd="0" parTransId="{7EB0B8E0-B8BE-1348-A4C3-9E52AFB83589}" sibTransId="{395FA40E-D804-ED4A-B2CF-FDD128F8EB2D}"/>
    <dgm:cxn modelId="{D2195FDC-C8C8-2B49-95D5-2F070E8A6E3A}" type="presOf" srcId="{9FC9FBAC-B1C9-8742-AA92-D476A89E65E3}" destId="{535F6F6D-707A-DA43-9DEC-5C3FF63E64E7}" srcOrd="0" destOrd="0" presId="urn:microsoft.com/office/officeart/2005/8/layout/cycle1"/>
    <dgm:cxn modelId="{95DAD797-C535-0840-84FA-F250BF2F29E2}" srcId="{B75F7F44-6A6F-F74D-ACBF-14ADFD65835F}" destId="{B46C9681-66D3-1647-BDC1-8F615A598165}" srcOrd="1" destOrd="0" parTransId="{97787AC8-5C0E-044E-813B-646A01AEB16C}" sibTransId="{8B453E06-B6E0-2A43-B46C-2B8DEBDEF303}"/>
    <dgm:cxn modelId="{B0A3A9A0-9937-8345-8762-A1BAE7228CBC}" type="presOf" srcId="{32348127-CAD9-5F41-9DDA-DA64D05DC419}" destId="{12F7E10F-D187-EE4B-9C89-C1EA0C61BBC2}" srcOrd="0" destOrd="0" presId="urn:microsoft.com/office/officeart/2005/8/layout/cycle1"/>
    <dgm:cxn modelId="{85D7C4CC-7810-244D-BFBC-BFA715D2A6C9}" srcId="{B75F7F44-6A6F-F74D-ACBF-14ADFD65835F}" destId="{1C898F6B-6209-4144-A192-81DD20A9232C}" srcOrd="4" destOrd="0" parTransId="{19E004DB-8563-0246-A75E-9111B80F7C86}" sibTransId="{808E46B1-EED0-C04B-A1B2-2AEC8EEE4170}"/>
    <dgm:cxn modelId="{2E1A4EAB-D978-444B-9F3E-C50F48D5C38B}" type="presOf" srcId="{ECEADE51-0159-B448-BE98-AA7148CE9CC3}" destId="{267571A2-FDAC-3344-B2A1-A8515408A4C0}" srcOrd="0" destOrd="0" presId="urn:microsoft.com/office/officeart/2005/8/layout/cycle1"/>
    <dgm:cxn modelId="{2E234905-5793-B34A-A5DD-0733A8CD1DA1}" type="presOf" srcId="{808E46B1-EED0-C04B-A1B2-2AEC8EEE4170}" destId="{8E58548D-C9F9-7542-8D23-B3E92EA1A0AA}" srcOrd="0" destOrd="0" presId="urn:microsoft.com/office/officeart/2005/8/layout/cycle1"/>
    <dgm:cxn modelId="{73A5BE1D-231F-BD45-9458-21B5B2FDCA25}" type="presOf" srcId="{4F10BA6C-5B66-C149-AC59-011F85292F6B}" destId="{B1454B0E-F18A-6F49-A738-96CCFFF5F204}" srcOrd="0" destOrd="0" presId="urn:microsoft.com/office/officeart/2005/8/layout/cycle1"/>
    <dgm:cxn modelId="{A73E9C05-59BD-4041-ABDB-F3568F486711}" type="presOf" srcId="{A89BA115-FAF7-8E4B-9C55-F56ABD5CCE06}" destId="{5E91E276-C285-EC4B-95C2-1EA1BCE21F1C}" srcOrd="0" destOrd="0" presId="urn:microsoft.com/office/officeart/2005/8/layout/cycle1"/>
    <dgm:cxn modelId="{76747F1C-03C7-D04D-9B95-D4AAD4DAA863}" type="presOf" srcId="{F8483152-590D-FC4C-B41F-A59814629BCB}" destId="{D9AB7F56-7667-3B4A-9D58-A0EAAE76C952}" srcOrd="0" destOrd="0" presId="urn:microsoft.com/office/officeart/2005/8/layout/cycle1"/>
    <dgm:cxn modelId="{A8201750-D5F0-E143-8A77-6409F69C0F01}" type="presOf" srcId="{395FA40E-D804-ED4A-B2CF-FDD128F8EB2D}" destId="{8C9CFF9C-EA60-7E48-A2FB-C384EAFB4D44}" srcOrd="0" destOrd="0" presId="urn:microsoft.com/office/officeart/2005/8/layout/cycle1"/>
    <dgm:cxn modelId="{81E00960-25F1-F549-892D-2A10DE7E28BC}" srcId="{B75F7F44-6A6F-F74D-ACBF-14ADFD65835F}" destId="{812F2212-EBA4-C045-9D60-E82892400887}" srcOrd="5" destOrd="0" parTransId="{C7466B36-BAE5-9F41-A698-1A4194DCE109}" sibTransId="{02B5B6A9-637A-D540-A38B-03C3C5AB2D3B}"/>
    <dgm:cxn modelId="{CA949436-C26A-C74B-AFBD-71F75C400FDB}" type="presOf" srcId="{881B9FEF-0625-E249-BF43-F35C35C134F9}" destId="{2FA433EE-5646-6B43-BC47-6B0166939CC3}" srcOrd="0" destOrd="0" presId="urn:microsoft.com/office/officeart/2005/8/layout/cycle1"/>
    <dgm:cxn modelId="{EA9192D7-5088-3C4D-9D58-9D77CE64B77E}" type="presOf" srcId="{1C898F6B-6209-4144-A192-81DD20A9232C}" destId="{84E67944-B303-7E43-BDA2-C6DD4B92BDE0}" srcOrd="0" destOrd="0" presId="urn:microsoft.com/office/officeart/2005/8/layout/cycle1"/>
    <dgm:cxn modelId="{AF0F8E0D-21C9-0A45-A52F-DF7809F19147}" srcId="{B75F7F44-6A6F-F74D-ACBF-14ADFD65835F}" destId="{881B9FEF-0625-E249-BF43-F35C35C134F9}" srcOrd="7" destOrd="0" parTransId="{6328397F-FF74-7847-B6BD-C4E766C813C4}" sibTransId="{A89BA115-FAF7-8E4B-9C55-F56ABD5CCE06}"/>
    <dgm:cxn modelId="{B26460D6-4CD2-3A46-929F-A00715FEA225}" type="presOf" srcId="{0DC80E09-D85D-774E-A687-6E259498E81D}" destId="{6D4788A6-4022-CB48-A0DE-C5BE18DA9BD4}" srcOrd="0" destOrd="0" presId="urn:microsoft.com/office/officeart/2005/8/layout/cycle1"/>
    <dgm:cxn modelId="{AA0CF169-239B-9E48-99DE-BF6DD0D7763E}" type="presOf" srcId="{D2CFF3A0-8533-5449-9112-D78BC9EE81E9}" destId="{10377AFC-3931-764D-B025-5FC3AD8D0128}" srcOrd="0" destOrd="0" presId="urn:microsoft.com/office/officeart/2005/8/layout/cycle1"/>
    <dgm:cxn modelId="{1469E4D4-BA4A-B348-8AC1-9DA8E189EEAB}" type="presOf" srcId="{B29A10C8-7C47-2A44-AF88-5DCFBB73A216}" destId="{33C0DAA2-F4B2-7B43-94BE-EE2A49B3E2B2}" srcOrd="0" destOrd="0" presId="urn:microsoft.com/office/officeart/2005/8/layout/cycle1"/>
    <dgm:cxn modelId="{130280C2-041B-D048-80C8-903F5295B3D3}" type="presOf" srcId="{8B453E06-B6E0-2A43-B46C-2B8DEBDEF303}" destId="{F3275831-5130-A647-9AE6-2A1811422F28}" srcOrd="0" destOrd="0" presId="urn:microsoft.com/office/officeart/2005/8/layout/cycle1"/>
    <dgm:cxn modelId="{777249BA-1C1D-8C48-86FB-A1F876A8F30D}" type="presOf" srcId="{279B863D-9135-D345-B0F1-2E63580045D7}" destId="{3154E763-F5CB-1947-8E72-ED26AF246E4B}" srcOrd="0" destOrd="0" presId="urn:microsoft.com/office/officeart/2005/8/layout/cycle1"/>
    <dgm:cxn modelId="{D0398D0E-82D7-BB42-9AA5-19FD8F510F2E}" type="presOf" srcId="{B75F7F44-6A6F-F74D-ACBF-14ADFD65835F}" destId="{ADC3DFFC-6486-2549-B945-9F6087ACA98A}" srcOrd="0" destOrd="0" presId="urn:microsoft.com/office/officeart/2005/8/layout/cycle1"/>
    <dgm:cxn modelId="{CC23614A-6FAF-F847-B7D4-F8540ACBC2FF}" srcId="{B75F7F44-6A6F-F74D-ACBF-14ADFD65835F}" destId="{F8483152-590D-FC4C-B41F-A59814629BCB}" srcOrd="6" destOrd="0" parTransId="{1379D354-B1CA-C547-89FB-8CC76B194280}" sibTransId="{9FC9FBAC-B1C9-8742-AA92-D476A89E65E3}"/>
    <dgm:cxn modelId="{B34A9011-EE55-E940-B22E-F0F3E4ED960D}" type="presParOf" srcId="{ADC3DFFC-6486-2549-B945-9F6087ACA98A}" destId="{8FA8495D-C073-8847-95C2-7E61C7AC0CD8}" srcOrd="0" destOrd="0" presId="urn:microsoft.com/office/officeart/2005/8/layout/cycle1"/>
    <dgm:cxn modelId="{C4F86CB8-7534-3B49-99E9-5E857DB72BC8}" type="presParOf" srcId="{ADC3DFFC-6486-2549-B945-9F6087ACA98A}" destId="{3154E763-F5CB-1947-8E72-ED26AF246E4B}" srcOrd="1" destOrd="0" presId="urn:microsoft.com/office/officeart/2005/8/layout/cycle1"/>
    <dgm:cxn modelId="{0871CE37-A07A-2545-9C0E-6B9DF446DACB}" type="presParOf" srcId="{ADC3DFFC-6486-2549-B945-9F6087ACA98A}" destId="{8C9CFF9C-EA60-7E48-A2FB-C384EAFB4D44}" srcOrd="2" destOrd="0" presId="urn:microsoft.com/office/officeart/2005/8/layout/cycle1"/>
    <dgm:cxn modelId="{BB008E19-48E1-2243-B073-855BA6FC1E46}" type="presParOf" srcId="{ADC3DFFC-6486-2549-B945-9F6087ACA98A}" destId="{E2F1E172-71DE-7744-BBE4-6E824344AB09}" srcOrd="3" destOrd="0" presId="urn:microsoft.com/office/officeart/2005/8/layout/cycle1"/>
    <dgm:cxn modelId="{F1B0D3B6-A1DA-6743-A77B-AEF21F2109F0}" type="presParOf" srcId="{ADC3DFFC-6486-2549-B945-9F6087ACA98A}" destId="{3E9DFDEF-F794-B44E-817F-547A228237BD}" srcOrd="4" destOrd="0" presId="urn:microsoft.com/office/officeart/2005/8/layout/cycle1"/>
    <dgm:cxn modelId="{96A0A8B7-981F-DA4F-BF7D-B1923417C5A2}" type="presParOf" srcId="{ADC3DFFC-6486-2549-B945-9F6087ACA98A}" destId="{F3275831-5130-A647-9AE6-2A1811422F28}" srcOrd="5" destOrd="0" presId="urn:microsoft.com/office/officeart/2005/8/layout/cycle1"/>
    <dgm:cxn modelId="{9DFF3DAC-CE66-9C4F-83DD-20E4C344A677}" type="presParOf" srcId="{ADC3DFFC-6486-2549-B945-9F6087ACA98A}" destId="{FFF10128-42F4-904D-A8AA-6E244667B8F5}" srcOrd="6" destOrd="0" presId="urn:microsoft.com/office/officeart/2005/8/layout/cycle1"/>
    <dgm:cxn modelId="{11598AF5-B92A-6C43-9260-145EE7766CCC}" type="presParOf" srcId="{ADC3DFFC-6486-2549-B945-9F6087ACA98A}" destId="{6D4788A6-4022-CB48-A0DE-C5BE18DA9BD4}" srcOrd="7" destOrd="0" presId="urn:microsoft.com/office/officeart/2005/8/layout/cycle1"/>
    <dgm:cxn modelId="{9D4AD7F7-08FD-FB4D-884F-8DA248C2F574}" type="presParOf" srcId="{ADC3DFFC-6486-2549-B945-9F6087ACA98A}" destId="{10377AFC-3931-764D-B025-5FC3AD8D0128}" srcOrd="8" destOrd="0" presId="urn:microsoft.com/office/officeart/2005/8/layout/cycle1"/>
    <dgm:cxn modelId="{4BC7A4E9-069A-9244-A68E-DF9A09F09D31}" type="presParOf" srcId="{ADC3DFFC-6486-2549-B945-9F6087ACA98A}" destId="{DFFEA32A-8939-1E44-A4DD-4EAD959B53A5}" srcOrd="9" destOrd="0" presId="urn:microsoft.com/office/officeart/2005/8/layout/cycle1"/>
    <dgm:cxn modelId="{2B795608-735A-1841-ACED-C191989BF4B8}" type="presParOf" srcId="{ADC3DFFC-6486-2549-B945-9F6087ACA98A}" destId="{12F7E10F-D187-EE4B-9C89-C1EA0C61BBC2}" srcOrd="10" destOrd="0" presId="urn:microsoft.com/office/officeart/2005/8/layout/cycle1"/>
    <dgm:cxn modelId="{C822EAE5-CE78-DB40-9CC3-094908079F5A}" type="presParOf" srcId="{ADC3DFFC-6486-2549-B945-9F6087ACA98A}" destId="{33C0DAA2-F4B2-7B43-94BE-EE2A49B3E2B2}" srcOrd="11" destOrd="0" presId="urn:microsoft.com/office/officeart/2005/8/layout/cycle1"/>
    <dgm:cxn modelId="{A113F193-2EBB-E44B-871B-06F3C572345C}" type="presParOf" srcId="{ADC3DFFC-6486-2549-B945-9F6087ACA98A}" destId="{C37B981A-64F1-8946-A435-0C2DF0313B44}" srcOrd="12" destOrd="0" presId="urn:microsoft.com/office/officeart/2005/8/layout/cycle1"/>
    <dgm:cxn modelId="{4A374966-9AB4-6740-A8D4-07E61A3C360D}" type="presParOf" srcId="{ADC3DFFC-6486-2549-B945-9F6087ACA98A}" destId="{84E67944-B303-7E43-BDA2-C6DD4B92BDE0}" srcOrd="13" destOrd="0" presId="urn:microsoft.com/office/officeart/2005/8/layout/cycle1"/>
    <dgm:cxn modelId="{CAF34D83-C6E8-A847-8884-9244D56CEAE0}" type="presParOf" srcId="{ADC3DFFC-6486-2549-B945-9F6087ACA98A}" destId="{8E58548D-C9F9-7542-8D23-B3E92EA1A0AA}" srcOrd="14" destOrd="0" presId="urn:microsoft.com/office/officeart/2005/8/layout/cycle1"/>
    <dgm:cxn modelId="{D32B985B-D54B-F241-99D8-5E2A70CF9B20}" type="presParOf" srcId="{ADC3DFFC-6486-2549-B945-9F6087ACA98A}" destId="{8DA97D3A-8C1D-9D46-85AE-BD62663DF9E3}" srcOrd="15" destOrd="0" presId="urn:microsoft.com/office/officeart/2005/8/layout/cycle1"/>
    <dgm:cxn modelId="{B7C2DF38-D17B-614C-84EF-127B1912E6C8}" type="presParOf" srcId="{ADC3DFFC-6486-2549-B945-9F6087ACA98A}" destId="{6ADF2404-F0F4-E24D-AF03-326A0534C6DB}" srcOrd="16" destOrd="0" presId="urn:microsoft.com/office/officeart/2005/8/layout/cycle1"/>
    <dgm:cxn modelId="{4345D854-864D-3040-8F6B-A690F98359A1}" type="presParOf" srcId="{ADC3DFFC-6486-2549-B945-9F6087ACA98A}" destId="{D45E2600-09F6-3F49-AAA3-4D0F4ED8B196}" srcOrd="17" destOrd="0" presId="urn:microsoft.com/office/officeart/2005/8/layout/cycle1"/>
    <dgm:cxn modelId="{9134BB6C-747B-8644-BE81-B5BD59C76F1F}" type="presParOf" srcId="{ADC3DFFC-6486-2549-B945-9F6087ACA98A}" destId="{0BA7EBB2-2946-044A-9E8B-06AE3B9400E5}" srcOrd="18" destOrd="0" presId="urn:microsoft.com/office/officeart/2005/8/layout/cycle1"/>
    <dgm:cxn modelId="{B0B4C568-672E-834B-9F83-3A69DFE4A849}" type="presParOf" srcId="{ADC3DFFC-6486-2549-B945-9F6087ACA98A}" destId="{D9AB7F56-7667-3B4A-9D58-A0EAAE76C952}" srcOrd="19" destOrd="0" presId="urn:microsoft.com/office/officeart/2005/8/layout/cycle1"/>
    <dgm:cxn modelId="{F8CCC98A-FD17-A646-AED2-F53E63AD4CD8}" type="presParOf" srcId="{ADC3DFFC-6486-2549-B945-9F6087ACA98A}" destId="{535F6F6D-707A-DA43-9DEC-5C3FF63E64E7}" srcOrd="20" destOrd="0" presId="urn:microsoft.com/office/officeart/2005/8/layout/cycle1"/>
    <dgm:cxn modelId="{3676F843-13A5-F942-A7C7-837B87F5A5E0}" type="presParOf" srcId="{ADC3DFFC-6486-2549-B945-9F6087ACA98A}" destId="{E5CE830D-CDD6-B147-8B7A-2637CEA429C1}" srcOrd="21" destOrd="0" presId="urn:microsoft.com/office/officeart/2005/8/layout/cycle1"/>
    <dgm:cxn modelId="{AA053846-BF42-8246-926E-5365067787E2}" type="presParOf" srcId="{ADC3DFFC-6486-2549-B945-9F6087ACA98A}" destId="{2FA433EE-5646-6B43-BC47-6B0166939CC3}" srcOrd="22" destOrd="0" presId="urn:microsoft.com/office/officeart/2005/8/layout/cycle1"/>
    <dgm:cxn modelId="{884A6E5A-6D86-BC44-B8C0-2922D2A2BEB2}" type="presParOf" srcId="{ADC3DFFC-6486-2549-B945-9F6087ACA98A}" destId="{5E91E276-C285-EC4B-95C2-1EA1BCE21F1C}" srcOrd="23" destOrd="0" presId="urn:microsoft.com/office/officeart/2005/8/layout/cycle1"/>
    <dgm:cxn modelId="{F4B7E0B2-8A0E-B048-AF35-CADA9C84AB67}" type="presParOf" srcId="{ADC3DFFC-6486-2549-B945-9F6087ACA98A}" destId="{17262509-C3E0-F749-8656-C805C8DD58EE}" srcOrd="24" destOrd="0" presId="urn:microsoft.com/office/officeart/2005/8/layout/cycle1"/>
    <dgm:cxn modelId="{5EF1C348-1D27-B04D-B88B-B00C4404B48E}" type="presParOf" srcId="{ADC3DFFC-6486-2549-B945-9F6087ACA98A}" destId="{267571A2-FDAC-3344-B2A1-A8515408A4C0}" srcOrd="25" destOrd="0" presId="urn:microsoft.com/office/officeart/2005/8/layout/cycle1"/>
    <dgm:cxn modelId="{F2A50BA9-7464-3448-AA5B-71607CB17981}" type="presParOf" srcId="{ADC3DFFC-6486-2549-B945-9F6087ACA98A}" destId="{B1454B0E-F18A-6F49-A738-96CCFFF5F204}" srcOrd="26" destOrd="0" presId="urn:microsoft.com/office/officeart/2005/8/layout/cycle1"/>
  </dgm:cxnLst>
  <dgm:bg/>
  <dgm:whole/>
  <dgm:extLst>
    <a:ext uri="http://schemas.microsoft.com/office/drawing/2008/diagram">
      <dsp:dataModelExt xmlns:dsp="http://schemas.microsoft.com/office/drawing/2008/diagram" relId="rId20" minVer="http://schemas.openxmlformats.org/drawingml/2006/diagram"/>
    </a:ext>
  </dgm:extLst>
</dgm:dataModel>
</file>

<file path=xl/diagrams/data5.xml><?xml version="1.0" encoding="utf-8"?>
<dgm:dataModel xmlns:dgm="http://schemas.openxmlformats.org/drawingml/2006/diagram" xmlns:a="http://schemas.openxmlformats.org/drawingml/2006/main">
  <dgm:ptLst>
    <dgm:pt modelId="{B75F7F44-6A6F-F74D-ACBF-14ADFD65835F}" type="doc">
      <dgm:prSet loTypeId="urn:microsoft.com/office/officeart/2005/8/layout/cycle1" loCatId="" qsTypeId="urn:microsoft.com/office/officeart/2005/8/quickstyle/simple4" qsCatId="simple" csTypeId="urn:microsoft.com/office/officeart/2005/8/colors/accent3_2" csCatId="accent3" phldr="1"/>
      <dgm:spPr/>
      <dgm:t>
        <a:bodyPr/>
        <a:lstStyle/>
        <a:p>
          <a:endParaRPr lang="en-US"/>
        </a:p>
      </dgm:t>
    </dgm:pt>
    <dgm:pt modelId="{B46C9681-66D3-1647-BDC1-8F615A598165}">
      <dgm:prSet phldrT="[Text]" custT="1"/>
      <dgm:spPr/>
      <dgm:t>
        <a:bodyPr/>
        <a:lstStyle/>
        <a:p>
          <a:r>
            <a:rPr lang="en-US" sz="1000" b="1">
              <a:latin typeface="Arial"/>
              <a:cs typeface="Arial"/>
            </a:rPr>
            <a:t>Strategising</a:t>
          </a:r>
        </a:p>
      </dgm:t>
    </dgm:pt>
    <dgm:pt modelId="{97787AC8-5C0E-044E-813B-646A01AEB16C}" type="parTrans" cxnId="{95DAD797-C535-0840-84FA-F250BF2F29E2}">
      <dgm:prSet/>
      <dgm:spPr/>
      <dgm:t>
        <a:bodyPr/>
        <a:lstStyle/>
        <a:p>
          <a:endParaRPr lang="en-US"/>
        </a:p>
      </dgm:t>
    </dgm:pt>
    <dgm:pt modelId="{8B453E06-B6E0-2A43-B46C-2B8DEBDEF303}" type="sibTrans" cxnId="{95DAD797-C535-0840-84FA-F250BF2F29E2}">
      <dgm:prSet/>
      <dgm:spPr/>
      <dgm:t>
        <a:bodyPr/>
        <a:lstStyle/>
        <a:p>
          <a:endParaRPr lang="en-US"/>
        </a:p>
      </dgm:t>
    </dgm:pt>
    <dgm:pt modelId="{0DC80E09-D85D-774E-A687-6E259498E81D}">
      <dgm:prSet phldrT="[Text]" custT="1"/>
      <dgm:spPr/>
      <dgm:t>
        <a:bodyPr/>
        <a:lstStyle/>
        <a:p>
          <a:r>
            <a:rPr lang="en-US" sz="1000" b="1">
              <a:latin typeface="Arial"/>
              <a:cs typeface="Arial"/>
            </a:rPr>
            <a:t>Work Planning</a:t>
          </a:r>
        </a:p>
      </dgm:t>
    </dgm:pt>
    <dgm:pt modelId="{DC2F0CE8-BD55-0247-A8A5-2B654F990F93}" type="parTrans" cxnId="{E6761EE1-B17D-EA48-99EC-85877251D753}">
      <dgm:prSet/>
      <dgm:spPr/>
      <dgm:t>
        <a:bodyPr/>
        <a:lstStyle/>
        <a:p>
          <a:endParaRPr lang="en-US"/>
        </a:p>
      </dgm:t>
    </dgm:pt>
    <dgm:pt modelId="{D2CFF3A0-8533-5449-9112-D78BC9EE81E9}" type="sibTrans" cxnId="{E6761EE1-B17D-EA48-99EC-85877251D753}">
      <dgm:prSet/>
      <dgm:spPr/>
      <dgm:t>
        <a:bodyPr/>
        <a:lstStyle/>
        <a:p>
          <a:endParaRPr lang="en-US"/>
        </a:p>
      </dgm:t>
    </dgm:pt>
    <dgm:pt modelId="{32348127-CAD9-5F41-9DDA-DA64D05DC419}">
      <dgm:prSet phldrT="[Text]" custT="1"/>
      <dgm:spPr/>
      <dgm:t>
        <a:bodyPr/>
        <a:lstStyle/>
        <a:p>
          <a:r>
            <a:rPr lang="en-US" sz="1000" b="1">
              <a:latin typeface="Arial"/>
              <a:cs typeface="Arial"/>
            </a:rPr>
            <a:t>Budgeting</a:t>
          </a:r>
        </a:p>
      </dgm:t>
    </dgm:pt>
    <dgm:pt modelId="{DC3C3514-C20B-664F-A938-A764C329A9C3}" type="parTrans" cxnId="{93D31496-6BE0-B24F-87EE-3BE5A0C3EA83}">
      <dgm:prSet/>
      <dgm:spPr/>
      <dgm:t>
        <a:bodyPr/>
        <a:lstStyle/>
        <a:p>
          <a:endParaRPr lang="en-US"/>
        </a:p>
      </dgm:t>
    </dgm:pt>
    <dgm:pt modelId="{B29A10C8-7C47-2A44-AF88-5DCFBB73A216}" type="sibTrans" cxnId="{93D31496-6BE0-B24F-87EE-3BE5A0C3EA83}">
      <dgm:prSet/>
      <dgm:spPr/>
      <dgm:t>
        <a:bodyPr/>
        <a:lstStyle/>
        <a:p>
          <a:endParaRPr lang="en-US"/>
        </a:p>
      </dgm:t>
    </dgm:pt>
    <dgm:pt modelId="{1C898F6B-6209-4144-A192-81DD20A9232C}">
      <dgm:prSet phldrT="[Text]" custT="1"/>
      <dgm:spPr/>
      <dgm:t>
        <a:bodyPr/>
        <a:lstStyle/>
        <a:p>
          <a:r>
            <a:rPr lang="en-US" sz="1000" b="1">
              <a:latin typeface="Arial"/>
              <a:cs typeface="Arial"/>
            </a:rPr>
            <a:t>Forecasting</a:t>
          </a:r>
        </a:p>
      </dgm:t>
    </dgm:pt>
    <dgm:pt modelId="{19E004DB-8563-0246-A75E-9111B80F7C86}" type="parTrans" cxnId="{85D7C4CC-7810-244D-BFBC-BFA715D2A6C9}">
      <dgm:prSet/>
      <dgm:spPr/>
      <dgm:t>
        <a:bodyPr/>
        <a:lstStyle/>
        <a:p>
          <a:endParaRPr lang="en-US"/>
        </a:p>
      </dgm:t>
    </dgm:pt>
    <dgm:pt modelId="{808E46B1-EED0-C04B-A1B2-2AEC8EEE4170}" type="sibTrans" cxnId="{85D7C4CC-7810-244D-BFBC-BFA715D2A6C9}">
      <dgm:prSet/>
      <dgm:spPr/>
      <dgm:t>
        <a:bodyPr/>
        <a:lstStyle/>
        <a:p>
          <a:endParaRPr lang="en-US"/>
        </a:p>
      </dgm:t>
    </dgm:pt>
    <dgm:pt modelId="{812F2212-EBA4-C045-9D60-E82892400887}">
      <dgm:prSet custT="1"/>
      <dgm:spPr/>
      <dgm:t>
        <a:bodyPr/>
        <a:lstStyle/>
        <a:p>
          <a:r>
            <a:rPr lang="en-US" sz="1000" b="1">
              <a:latin typeface="Arial"/>
              <a:cs typeface="Arial"/>
            </a:rPr>
            <a:t>Implement-ation</a:t>
          </a:r>
        </a:p>
      </dgm:t>
    </dgm:pt>
    <dgm:pt modelId="{C7466B36-BAE5-9F41-A698-1A4194DCE109}" type="parTrans" cxnId="{81E00960-25F1-F549-892D-2A10DE7E28BC}">
      <dgm:prSet/>
      <dgm:spPr/>
      <dgm:t>
        <a:bodyPr/>
        <a:lstStyle/>
        <a:p>
          <a:endParaRPr lang="en-US"/>
        </a:p>
      </dgm:t>
    </dgm:pt>
    <dgm:pt modelId="{02B5B6A9-637A-D540-A38B-03C3C5AB2D3B}" type="sibTrans" cxnId="{81E00960-25F1-F549-892D-2A10DE7E28BC}">
      <dgm:prSet/>
      <dgm:spPr/>
      <dgm:t>
        <a:bodyPr/>
        <a:lstStyle/>
        <a:p>
          <a:endParaRPr lang="en-US"/>
        </a:p>
      </dgm:t>
    </dgm:pt>
    <dgm:pt modelId="{F8483152-590D-FC4C-B41F-A59814629BCB}">
      <dgm:prSet/>
      <dgm:spPr/>
      <dgm:t>
        <a:bodyPr/>
        <a:lstStyle/>
        <a:p>
          <a:r>
            <a:rPr lang="en-US" b="1">
              <a:latin typeface="Arial"/>
              <a:cs typeface="Arial"/>
            </a:rPr>
            <a:t>Monitoring &amp; Evaluation</a:t>
          </a:r>
        </a:p>
      </dgm:t>
    </dgm:pt>
    <dgm:pt modelId="{1379D354-B1CA-C547-89FB-8CC76B194280}" type="parTrans" cxnId="{CC23614A-6FAF-F847-B7D4-F8540ACBC2FF}">
      <dgm:prSet/>
      <dgm:spPr/>
      <dgm:t>
        <a:bodyPr/>
        <a:lstStyle/>
        <a:p>
          <a:endParaRPr lang="en-US"/>
        </a:p>
      </dgm:t>
    </dgm:pt>
    <dgm:pt modelId="{9FC9FBAC-B1C9-8742-AA92-D476A89E65E3}" type="sibTrans" cxnId="{CC23614A-6FAF-F847-B7D4-F8540ACBC2FF}">
      <dgm:prSet/>
      <dgm:spPr/>
      <dgm:t>
        <a:bodyPr/>
        <a:lstStyle/>
        <a:p>
          <a:endParaRPr lang="en-US"/>
        </a:p>
      </dgm:t>
    </dgm:pt>
    <dgm:pt modelId="{881B9FEF-0625-E249-BF43-F35C35C134F9}">
      <dgm:prSet/>
      <dgm:spPr/>
      <dgm:t>
        <a:bodyPr/>
        <a:lstStyle/>
        <a:p>
          <a:r>
            <a:rPr lang="en-US" b="1">
              <a:latin typeface="Arial"/>
              <a:cs typeface="Arial"/>
            </a:rPr>
            <a:t>Reflection &amp; Reporting</a:t>
          </a:r>
        </a:p>
      </dgm:t>
    </dgm:pt>
    <dgm:pt modelId="{6328397F-FF74-7847-B6BD-C4E766C813C4}" type="parTrans" cxnId="{AF0F8E0D-21C9-0A45-A52F-DF7809F19147}">
      <dgm:prSet/>
      <dgm:spPr/>
      <dgm:t>
        <a:bodyPr/>
        <a:lstStyle/>
        <a:p>
          <a:endParaRPr lang="en-US"/>
        </a:p>
      </dgm:t>
    </dgm:pt>
    <dgm:pt modelId="{A89BA115-FAF7-8E4B-9C55-F56ABD5CCE06}" type="sibTrans" cxnId="{AF0F8E0D-21C9-0A45-A52F-DF7809F19147}">
      <dgm:prSet/>
      <dgm:spPr/>
      <dgm:t>
        <a:bodyPr/>
        <a:lstStyle/>
        <a:p>
          <a:endParaRPr lang="en-US" b="1"/>
        </a:p>
      </dgm:t>
    </dgm:pt>
    <dgm:pt modelId="{ECEADE51-0159-B448-BE98-AA7148CE9CC3}">
      <dgm:prSet custT="1"/>
      <dgm:spPr/>
      <dgm:t>
        <a:bodyPr/>
        <a:lstStyle/>
        <a:p>
          <a:r>
            <a:rPr lang="en-US" sz="1000" b="1">
              <a:latin typeface="Arial"/>
              <a:cs typeface="Arial"/>
            </a:rPr>
            <a:t>Analysis</a:t>
          </a:r>
        </a:p>
      </dgm:t>
    </dgm:pt>
    <dgm:pt modelId="{65498A84-7A29-FB48-A480-30DBBFA25E1C}" type="parTrans" cxnId="{937BB626-F1DC-B44E-AD15-74B3B2613712}">
      <dgm:prSet/>
      <dgm:spPr/>
      <dgm:t>
        <a:bodyPr/>
        <a:lstStyle/>
        <a:p>
          <a:endParaRPr lang="en-US"/>
        </a:p>
      </dgm:t>
    </dgm:pt>
    <dgm:pt modelId="{4F10BA6C-5B66-C149-AC59-011F85292F6B}" type="sibTrans" cxnId="{937BB626-F1DC-B44E-AD15-74B3B2613712}">
      <dgm:prSet/>
      <dgm:spPr/>
      <dgm:t>
        <a:bodyPr/>
        <a:lstStyle/>
        <a:p>
          <a:endParaRPr lang="en-US">
            <a:latin typeface="Arial"/>
            <a:cs typeface="Arial"/>
          </a:endParaRPr>
        </a:p>
      </dgm:t>
    </dgm:pt>
    <dgm:pt modelId="{279B863D-9135-D345-B0F1-2E63580045D7}">
      <dgm:prSet custT="1"/>
      <dgm:spPr/>
      <dgm:t>
        <a:bodyPr/>
        <a:lstStyle/>
        <a:p>
          <a:r>
            <a:rPr lang="en-US" sz="1000" b="1">
              <a:latin typeface="Arial"/>
              <a:cs typeface="Arial"/>
            </a:rPr>
            <a:t>Objective Setting</a:t>
          </a:r>
        </a:p>
      </dgm:t>
    </dgm:pt>
    <dgm:pt modelId="{7EB0B8E0-B8BE-1348-A4C3-9E52AFB83589}" type="parTrans" cxnId="{109E67DD-8D94-0547-8273-1A03970D0C8A}">
      <dgm:prSet/>
      <dgm:spPr/>
      <dgm:t>
        <a:bodyPr/>
        <a:lstStyle/>
        <a:p>
          <a:endParaRPr lang="en-US"/>
        </a:p>
      </dgm:t>
    </dgm:pt>
    <dgm:pt modelId="{395FA40E-D804-ED4A-B2CF-FDD128F8EB2D}" type="sibTrans" cxnId="{109E67DD-8D94-0547-8273-1A03970D0C8A}">
      <dgm:prSet/>
      <dgm:spPr/>
      <dgm:t>
        <a:bodyPr/>
        <a:lstStyle/>
        <a:p>
          <a:endParaRPr lang="en-US"/>
        </a:p>
      </dgm:t>
    </dgm:pt>
    <dgm:pt modelId="{ADC3DFFC-6486-2549-B945-9F6087ACA98A}" type="pres">
      <dgm:prSet presAssocID="{B75F7F44-6A6F-F74D-ACBF-14ADFD65835F}" presName="cycle" presStyleCnt="0">
        <dgm:presLayoutVars>
          <dgm:dir/>
          <dgm:resizeHandles val="exact"/>
        </dgm:presLayoutVars>
      </dgm:prSet>
      <dgm:spPr/>
      <dgm:t>
        <a:bodyPr/>
        <a:lstStyle/>
        <a:p>
          <a:endParaRPr lang="en-US"/>
        </a:p>
      </dgm:t>
    </dgm:pt>
    <dgm:pt modelId="{8FA8495D-C073-8847-95C2-7E61C7AC0CD8}" type="pres">
      <dgm:prSet presAssocID="{279B863D-9135-D345-B0F1-2E63580045D7}" presName="dummy" presStyleCnt="0"/>
      <dgm:spPr/>
    </dgm:pt>
    <dgm:pt modelId="{3154E763-F5CB-1947-8E72-ED26AF246E4B}" type="pres">
      <dgm:prSet presAssocID="{279B863D-9135-D345-B0F1-2E63580045D7}" presName="node" presStyleLbl="revTx" presStyleIdx="0" presStyleCnt="9" custScaleX="120300">
        <dgm:presLayoutVars>
          <dgm:bulletEnabled val="1"/>
        </dgm:presLayoutVars>
      </dgm:prSet>
      <dgm:spPr/>
      <dgm:t>
        <a:bodyPr/>
        <a:lstStyle/>
        <a:p>
          <a:endParaRPr lang="en-US"/>
        </a:p>
      </dgm:t>
    </dgm:pt>
    <dgm:pt modelId="{8C9CFF9C-EA60-7E48-A2FB-C384EAFB4D44}" type="pres">
      <dgm:prSet presAssocID="{395FA40E-D804-ED4A-B2CF-FDD128F8EB2D}" presName="sibTrans" presStyleLbl="node1" presStyleIdx="0" presStyleCnt="9"/>
      <dgm:spPr/>
      <dgm:t>
        <a:bodyPr/>
        <a:lstStyle/>
        <a:p>
          <a:endParaRPr lang="en-US"/>
        </a:p>
      </dgm:t>
    </dgm:pt>
    <dgm:pt modelId="{E2F1E172-71DE-7744-BBE4-6E824344AB09}" type="pres">
      <dgm:prSet presAssocID="{B46C9681-66D3-1647-BDC1-8F615A598165}" presName="dummy" presStyleCnt="0"/>
      <dgm:spPr/>
    </dgm:pt>
    <dgm:pt modelId="{3E9DFDEF-F794-B44E-817F-547A228237BD}" type="pres">
      <dgm:prSet presAssocID="{B46C9681-66D3-1647-BDC1-8F615A598165}" presName="node" presStyleLbl="revTx" presStyleIdx="1" presStyleCnt="9" custScaleX="129826">
        <dgm:presLayoutVars>
          <dgm:bulletEnabled val="1"/>
        </dgm:presLayoutVars>
      </dgm:prSet>
      <dgm:spPr/>
      <dgm:t>
        <a:bodyPr/>
        <a:lstStyle/>
        <a:p>
          <a:endParaRPr lang="en-US"/>
        </a:p>
      </dgm:t>
    </dgm:pt>
    <dgm:pt modelId="{F3275831-5130-A647-9AE6-2A1811422F28}" type="pres">
      <dgm:prSet presAssocID="{8B453E06-B6E0-2A43-B46C-2B8DEBDEF303}" presName="sibTrans" presStyleLbl="node1" presStyleIdx="1" presStyleCnt="9"/>
      <dgm:spPr/>
      <dgm:t>
        <a:bodyPr/>
        <a:lstStyle/>
        <a:p>
          <a:endParaRPr lang="en-US"/>
        </a:p>
      </dgm:t>
    </dgm:pt>
    <dgm:pt modelId="{FFF10128-42F4-904D-A8AA-6E244667B8F5}" type="pres">
      <dgm:prSet presAssocID="{0DC80E09-D85D-774E-A687-6E259498E81D}" presName="dummy" presStyleCnt="0"/>
      <dgm:spPr/>
    </dgm:pt>
    <dgm:pt modelId="{6D4788A6-4022-CB48-A0DE-C5BE18DA9BD4}" type="pres">
      <dgm:prSet presAssocID="{0DC80E09-D85D-774E-A687-6E259498E81D}" presName="node" presStyleLbl="revTx" presStyleIdx="2" presStyleCnt="9">
        <dgm:presLayoutVars>
          <dgm:bulletEnabled val="1"/>
        </dgm:presLayoutVars>
      </dgm:prSet>
      <dgm:spPr/>
      <dgm:t>
        <a:bodyPr/>
        <a:lstStyle/>
        <a:p>
          <a:endParaRPr lang="en-US"/>
        </a:p>
      </dgm:t>
    </dgm:pt>
    <dgm:pt modelId="{10377AFC-3931-764D-B025-5FC3AD8D0128}" type="pres">
      <dgm:prSet presAssocID="{D2CFF3A0-8533-5449-9112-D78BC9EE81E9}" presName="sibTrans" presStyleLbl="node1" presStyleIdx="2" presStyleCnt="9"/>
      <dgm:spPr/>
      <dgm:t>
        <a:bodyPr/>
        <a:lstStyle/>
        <a:p>
          <a:endParaRPr lang="en-US"/>
        </a:p>
      </dgm:t>
    </dgm:pt>
    <dgm:pt modelId="{DFFEA32A-8939-1E44-A4DD-4EAD959B53A5}" type="pres">
      <dgm:prSet presAssocID="{32348127-CAD9-5F41-9DDA-DA64D05DC419}" presName="dummy" presStyleCnt="0"/>
      <dgm:spPr/>
    </dgm:pt>
    <dgm:pt modelId="{12F7E10F-D187-EE4B-9C89-C1EA0C61BBC2}" type="pres">
      <dgm:prSet presAssocID="{32348127-CAD9-5F41-9DDA-DA64D05DC419}" presName="node" presStyleLbl="revTx" presStyleIdx="3" presStyleCnt="9">
        <dgm:presLayoutVars>
          <dgm:bulletEnabled val="1"/>
        </dgm:presLayoutVars>
      </dgm:prSet>
      <dgm:spPr/>
      <dgm:t>
        <a:bodyPr/>
        <a:lstStyle/>
        <a:p>
          <a:endParaRPr lang="en-US"/>
        </a:p>
      </dgm:t>
    </dgm:pt>
    <dgm:pt modelId="{33C0DAA2-F4B2-7B43-94BE-EE2A49B3E2B2}" type="pres">
      <dgm:prSet presAssocID="{B29A10C8-7C47-2A44-AF88-5DCFBB73A216}" presName="sibTrans" presStyleLbl="node1" presStyleIdx="3" presStyleCnt="9"/>
      <dgm:spPr/>
      <dgm:t>
        <a:bodyPr/>
        <a:lstStyle/>
        <a:p>
          <a:endParaRPr lang="en-US"/>
        </a:p>
      </dgm:t>
    </dgm:pt>
    <dgm:pt modelId="{C37B981A-64F1-8946-A435-0C2DF0313B44}" type="pres">
      <dgm:prSet presAssocID="{1C898F6B-6209-4144-A192-81DD20A9232C}" presName="dummy" presStyleCnt="0"/>
      <dgm:spPr/>
    </dgm:pt>
    <dgm:pt modelId="{84E67944-B303-7E43-BDA2-C6DD4B92BDE0}" type="pres">
      <dgm:prSet presAssocID="{1C898F6B-6209-4144-A192-81DD20A9232C}" presName="node" presStyleLbl="revTx" presStyleIdx="4" presStyleCnt="9" custScaleX="117531">
        <dgm:presLayoutVars>
          <dgm:bulletEnabled val="1"/>
        </dgm:presLayoutVars>
      </dgm:prSet>
      <dgm:spPr/>
      <dgm:t>
        <a:bodyPr/>
        <a:lstStyle/>
        <a:p>
          <a:endParaRPr lang="en-US"/>
        </a:p>
      </dgm:t>
    </dgm:pt>
    <dgm:pt modelId="{8E58548D-C9F9-7542-8D23-B3E92EA1A0AA}" type="pres">
      <dgm:prSet presAssocID="{808E46B1-EED0-C04B-A1B2-2AEC8EEE4170}" presName="sibTrans" presStyleLbl="node1" presStyleIdx="4" presStyleCnt="9"/>
      <dgm:spPr/>
      <dgm:t>
        <a:bodyPr/>
        <a:lstStyle/>
        <a:p>
          <a:endParaRPr lang="en-US"/>
        </a:p>
      </dgm:t>
    </dgm:pt>
    <dgm:pt modelId="{8DA97D3A-8C1D-9D46-85AE-BD62663DF9E3}" type="pres">
      <dgm:prSet presAssocID="{812F2212-EBA4-C045-9D60-E82892400887}" presName="dummy" presStyleCnt="0"/>
      <dgm:spPr/>
    </dgm:pt>
    <dgm:pt modelId="{6ADF2404-F0F4-E24D-AF03-326A0534C6DB}" type="pres">
      <dgm:prSet presAssocID="{812F2212-EBA4-C045-9D60-E82892400887}" presName="node" presStyleLbl="revTx" presStyleIdx="5" presStyleCnt="9" custScaleX="107895">
        <dgm:presLayoutVars>
          <dgm:bulletEnabled val="1"/>
        </dgm:presLayoutVars>
      </dgm:prSet>
      <dgm:spPr/>
      <dgm:t>
        <a:bodyPr/>
        <a:lstStyle/>
        <a:p>
          <a:endParaRPr lang="en-US"/>
        </a:p>
      </dgm:t>
    </dgm:pt>
    <dgm:pt modelId="{D45E2600-09F6-3F49-AAA3-4D0F4ED8B196}" type="pres">
      <dgm:prSet presAssocID="{02B5B6A9-637A-D540-A38B-03C3C5AB2D3B}" presName="sibTrans" presStyleLbl="node1" presStyleIdx="5" presStyleCnt="9"/>
      <dgm:spPr/>
      <dgm:t>
        <a:bodyPr/>
        <a:lstStyle/>
        <a:p>
          <a:endParaRPr lang="en-US"/>
        </a:p>
      </dgm:t>
    </dgm:pt>
    <dgm:pt modelId="{0BA7EBB2-2946-044A-9E8B-06AE3B9400E5}" type="pres">
      <dgm:prSet presAssocID="{F8483152-590D-FC4C-B41F-A59814629BCB}" presName="dummy" presStyleCnt="0"/>
      <dgm:spPr/>
    </dgm:pt>
    <dgm:pt modelId="{D9AB7F56-7667-3B4A-9D58-A0EAAE76C952}" type="pres">
      <dgm:prSet presAssocID="{F8483152-590D-FC4C-B41F-A59814629BCB}" presName="node" presStyleLbl="revTx" presStyleIdx="6" presStyleCnt="9">
        <dgm:presLayoutVars>
          <dgm:bulletEnabled val="1"/>
        </dgm:presLayoutVars>
      </dgm:prSet>
      <dgm:spPr/>
      <dgm:t>
        <a:bodyPr/>
        <a:lstStyle/>
        <a:p>
          <a:endParaRPr lang="en-US"/>
        </a:p>
      </dgm:t>
    </dgm:pt>
    <dgm:pt modelId="{535F6F6D-707A-DA43-9DEC-5C3FF63E64E7}" type="pres">
      <dgm:prSet presAssocID="{9FC9FBAC-B1C9-8742-AA92-D476A89E65E3}" presName="sibTrans" presStyleLbl="node1" presStyleIdx="6" presStyleCnt="9"/>
      <dgm:spPr/>
      <dgm:t>
        <a:bodyPr/>
        <a:lstStyle/>
        <a:p>
          <a:endParaRPr lang="en-US"/>
        </a:p>
      </dgm:t>
    </dgm:pt>
    <dgm:pt modelId="{E5CE830D-CDD6-B147-8B7A-2637CEA429C1}" type="pres">
      <dgm:prSet presAssocID="{881B9FEF-0625-E249-BF43-F35C35C134F9}" presName="dummy" presStyleCnt="0"/>
      <dgm:spPr/>
    </dgm:pt>
    <dgm:pt modelId="{2FA433EE-5646-6B43-BC47-6B0166939CC3}" type="pres">
      <dgm:prSet presAssocID="{881B9FEF-0625-E249-BF43-F35C35C134F9}" presName="node" presStyleLbl="revTx" presStyleIdx="7" presStyleCnt="9">
        <dgm:presLayoutVars>
          <dgm:bulletEnabled val="1"/>
        </dgm:presLayoutVars>
      </dgm:prSet>
      <dgm:spPr/>
      <dgm:t>
        <a:bodyPr/>
        <a:lstStyle/>
        <a:p>
          <a:endParaRPr lang="en-US"/>
        </a:p>
      </dgm:t>
    </dgm:pt>
    <dgm:pt modelId="{5E91E276-C285-EC4B-95C2-1EA1BCE21F1C}" type="pres">
      <dgm:prSet presAssocID="{A89BA115-FAF7-8E4B-9C55-F56ABD5CCE06}" presName="sibTrans" presStyleLbl="node1" presStyleIdx="7" presStyleCnt="9"/>
      <dgm:spPr/>
      <dgm:t>
        <a:bodyPr/>
        <a:lstStyle/>
        <a:p>
          <a:endParaRPr lang="en-US"/>
        </a:p>
      </dgm:t>
    </dgm:pt>
    <dgm:pt modelId="{17262509-C3E0-F749-8656-C805C8DD58EE}" type="pres">
      <dgm:prSet presAssocID="{ECEADE51-0159-B448-BE98-AA7148CE9CC3}" presName="dummy" presStyleCnt="0"/>
      <dgm:spPr/>
    </dgm:pt>
    <dgm:pt modelId="{267571A2-FDAC-3344-B2A1-A8515408A4C0}" type="pres">
      <dgm:prSet presAssocID="{ECEADE51-0159-B448-BE98-AA7148CE9CC3}" presName="node" presStyleLbl="revTx" presStyleIdx="8" presStyleCnt="9">
        <dgm:presLayoutVars>
          <dgm:bulletEnabled val="1"/>
        </dgm:presLayoutVars>
      </dgm:prSet>
      <dgm:spPr/>
      <dgm:t>
        <a:bodyPr/>
        <a:lstStyle/>
        <a:p>
          <a:endParaRPr lang="en-US"/>
        </a:p>
      </dgm:t>
    </dgm:pt>
    <dgm:pt modelId="{B1454B0E-F18A-6F49-A738-96CCFFF5F204}" type="pres">
      <dgm:prSet presAssocID="{4F10BA6C-5B66-C149-AC59-011F85292F6B}" presName="sibTrans" presStyleLbl="node1" presStyleIdx="8" presStyleCnt="9"/>
      <dgm:spPr/>
      <dgm:t>
        <a:bodyPr/>
        <a:lstStyle/>
        <a:p>
          <a:endParaRPr lang="en-US"/>
        </a:p>
      </dgm:t>
    </dgm:pt>
  </dgm:ptLst>
  <dgm:cxnLst>
    <dgm:cxn modelId="{42F46601-3169-6548-8EA8-311A78181098}" type="presOf" srcId="{32348127-CAD9-5F41-9DDA-DA64D05DC419}" destId="{12F7E10F-D187-EE4B-9C89-C1EA0C61BBC2}" srcOrd="0" destOrd="0" presId="urn:microsoft.com/office/officeart/2005/8/layout/cycle1"/>
    <dgm:cxn modelId="{937BB626-F1DC-B44E-AD15-74B3B2613712}" srcId="{B75F7F44-6A6F-F74D-ACBF-14ADFD65835F}" destId="{ECEADE51-0159-B448-BE98-AA7148CE9CC3}" srcOrd="8" destOrd="0" parTransId="{65498A84-7A29-FB48-A480-30DBBFA25E1C}" sibTransId="{4F10BA6C-5B66-C149-AC59-011F85292F6B}"/>
    <dgm:cxn modelId="{87C21D52-CADF-6445-A0BA-36FC0EA0FB1B}" type="presOf" srcId="{B29A10C8-7C47-2A44-AF88-5DCFBB73A216}" destId="{33C0DAA2-F4B2-7B43-94BE-EE2A49B3E2B2}" srcOrd="0" destOrd="0" presId="urn:microsoft.com/office/officeart/2005/8/layout/cycle1"/>
    <dgm:cxn modelId="{E6761EE1-B17D-EA48-99EC-85877251D753}" srcId="{B75F7F44-6A6F-F74D-ACBF-14ADFD65835F}" destId="{0DC80E09-D85D-774E-A687-6E259498E81D}" srcOrd="2" destOrd="0" parTransId="{DC2F0CE8-BD55-0247-A8A5-2B654F990F93}" sibTransId="{D2CFF3A0-8533-5449-9112-D78BC9EE81E9}"/>
    <dgm:cxn modelId="{273D0A33-DD4D-AE43-9A70-0865E6A8A36C}" type="presOf" srcId="{9FC9FBAC-B1C9-8742-AA92-D476A89E65E3}" destId="{535F6F6D-707A-DA43-9DEC-5C3FF63E64E7}" srcOrd="0" destOrd="0" presId="urn:microsoft.com/office/officeart/2005/8/layout/cycle1"/>
    <dgm:cxn modelId="{93D31496-6BE0-B24F-87EE-3BE5A0C3EA83}" srcId="{B75F7F44-6A6F-F74D-ACBF-14ADFD65835F}" destId="{32348127-CAD9-5F41-9DDA-DA64D05DC419}" srcOrd="3" destOrd="0" parTransId="{DC3C3514-C20B-664F-A938-A764C329A9C3}" sibTransId="{B29A10C8-7C47-2A44-AF88-5DCFBB73A216}"/>
    <dgm:cxn modelId="{109E67DD-8D94-0547-8273-1A03970D0C8A}" srcId="{B75F7F44-6A6F-F74D-ACBF-14ADFD65835F}" destId="{279B863D-9135-D345-B0F1-2E63580045D7}" srcOrd="0" destOrd="0" parTransId="{7EB0B8E0-B8BE-1348-A4C3-9E52AFB83589}" sibTransId="{395FA40E-D804-ED4A-B2CF-FDD128F8EB2D}"/>
    <dgm:cxn modelId="{BC758EC2-BB75-D14C-BB93-D2DC31F2E9E0}" type="presOf" srcId="{1C898F6B-6209-4144-A192-81DD20A9232C}" destId="{84E67944-B303-7E43-BDA2-C6DD4B92BDE0}" srcOrd="0" destOrd="0" presId="urn:microsoft.com/office/officeart/2005/8/layout/cycle1"/>
    <dgm:cxn modelId="{95DAD797-C535-0840-84FA-F250BF2F29E2}" srcId="{B75F7F44-6A6F-F74D-ACBF-14ADFD65835F}" destId="{B46C9681-66D3-1647-BDC1-8F615A598165}" srcOrd="1" destOrd="0" parTransId="{97787AC8-5C0E-044E-813B-646A01AEB16C}" sibTransId="{8B453E06-B6E0-2A43-B46C-2B8DEBDEF303}"/>
    <dgm:cxn modelId="{FF70B0BC-4D25-F447-873C-241E590BC84D}" type="presOf" srcId="{02B5B6A9-637A-D540-A38B-03C3C5AB2D3B}" destId="{D45E2600-09F6-3F49-AAA3-4D0F4ED8B196}" srcOrd="0" destOrd="0" presId="urn:microsoft.com/office/officeart/2005/8/layout/cycle1"/>
    <dgm:cxn modelId="{85D7C4CC-7810-244D-BFBC-BFA715D2A6C9}" srcId="{B75F7F44-6A6F-F74D-ACBF-14ADFD65835F}" destId="{1C898F6B-6209-4144-A192-81DD20A9232C}" srcOrd="4" destOrd="0" parTransId="{19E004DB-8563-0246-A75E-9111B80F7C86}" sibTransId="{808E46B1-EED0-C04B-A1B2-2AEC8EEE4170}"/>
    <dgm:cxn modelId="{52430499-4366-5B4B-A647-33DFF49D0063}" type="presOf" srcId="{808E46B1-EED0-C04B-A1B2-2AEC8EEE4170}" destId="{8E58548D-C9F9-7542-8D23-B3E92EA1A0AA}" srcOrd="0" destOrd="0" presId="urn:microsoft.com/office/officeart/2005/8/layout/cycle1"/>
    <dgm:cxn modelId="{08392A90-E9E1-8446-812D-4F045047D04A}" type="presOf" srcId="{395FA40E-D804-ED4A-B2CF-FDD128F8EB2D}" destId="{8C9CFF9C-EA60-7E48-A2FB-C384EAFB4D44}" srcOrd="0" destOrd="0" presId="urn:microsoft.com/office/officeart/2005/8/layout/cycle1"/>
    <dgm:cxn modelId="{A50E6E21-15B7-2048-A89E-44F393DDD931}" type="presOf" srcId="{B46C9681-66D3-1647-BDC1-8F615A598165}" destId="{3E9DFDEF-F794-B44E-817F-547A228237BD}" srcOrd="0" destOrd="0" presId="urn:microsoft.com/office/officeart/2005/8/layout/cycle1"/>
    <dgm:cxn modelId="{8AAAF05B-4E5F-A945-9EFA-57610F66E949}" type="presOf" srcId="{881B9FEF-0625-E249-BF43-F35C35C134F9}" destId="{2FA433EE-5646-6B43-BC47-6B0166939CC3}" srcOrd="0" destOrd="0" presId="urn:microsoft.com/office/officeart/2005/8/layout/cycle1"/>
    <dgm:cxn modelId="{60A9EE89-C815-A843-9275-DC2A8E638681}" type="presOf" srcId="{A89BA115-FAF7-8E4B-9C55-F56ABD5CCE06}" destId="{5E91E276-C285-EC4B-95C2-1EA1BCE21F1C}" srcOrd="0" destOrd="0" presId="urn:microsoft.com/office/officeart/2005/8/layout/cycle1"/>
    <dgm:cxn modelId="{81E00960-25F1-F549-892D-2A10DE7E28BC}" srcId="{B75F7F44-6A6F-F74D-ACBF-14ADFD65835F}" destId="{812F2212-EBA4-C045-9D60-E82892400887}" srcOrd="5" destOrd="0" parTransId="{C7466B36-BAE5-9F41-A698-1A4194DCE109}" sibTransId="{02B5B6A9-637A-D540-A38B-03C3C5AB2D3B}"/>
    <dgm:cxn modelId="{5E5A724B-6EA2-3646-8DA6-96523A18DBF7}" type="presOf" srcId="{ECEADE51-0159-B448-BE98-AA7148CE9CC3}" destId="{267571A2-FDAC-3344-B2A1-A8515408A4C0}" srcOrd="0" destOrd="0" presId="urn:microsoft.com/office/officeart/2005/8/layout/cycle1"/>
    <dgm:cxn modelId="{10864203-86FF-B64C-9713-34ADF5B63072}" type="presOf" srcId="{279B863D-9135-D345-B0F1-2E63580045D7}" destId="{3154E763-F5CB-1947-8E72-ED26AF246E4B}" srcOrd="0" destOrd="0" presId="urn:microsoft.com/office/officeart/2005/8/layout/cycle1"/>
    <dgm:cxn modelId="{1A14E355-913F-4D4E-B1AF-2B956EDF39CB}" type="presOf" srcId="{4F10BA6C-5B66-C149-AC59-011F85292F6B}" destId="{B1454B0E-F18A-6F49-A738-96CCFFF5F204}" srcOrd="0" destOrd="0" presId="urn:microsoft.com/office/officeart/2005/8/layout/cycle1"/>
    <dgm:cxn modelId="{AF0F8E0D-21C9-0A45-A52F-DF7809F19147}" srcId="{B75F7F44-6A6F-F74D-ACBF-14ADFD65835F}" destId="{881B9FEF-0625-E249-BF43-F35C35C134F9}" srcOrd="7" destOrd="0" parTransId="{6328397F-FF74-7847-B6BD-C4E766C813C4}" sibTransId="{A89BA115-FAF7-8E4B-9C55-F56ABD5CCE06}"/>
    <dgm:cxn modelId="{9051BD5A-4B04-0641-992A-875FB1290939}" type="presOf" srcId="{0DC80E09-D85D-774E-A687-6E259498E81D}" destId="{6D4788A6-4022-CB48-A0DE-C5BE18DA9BD4}" srcOrd="0" destOrd="0" presId="urn:microsoft.com/office/officeart/2005/8/layout/cycle1"/>
    <dgm:cxn modelId="{478C7F02-3DA4-7A41-8E6E-23DBE105822C}" type="presOf" srcId="{D2CFF3A0-8533-5449-9112-D78BC9EE81E9}" destId="{10377AFC-3931-764D-B025-5FC3AD8D0128}" srcOrd="0" destOrd="0" presId="urn:microsoft.com/office/officeart/2005/8/layout/cycle1"/>
    <dgm:cxn modelId="{E0372818-41FB-7B47-8BA1-35F6C897ED0C}" type="presOf" srcId="{8B453E06-B6E0-2A43-B46C-2B8DEBDEF303}" destId="{F3275831-5130-A647-9AE6-2A1811422F28}" srcOrd="0" destOrd="0" presId="urn:microsoft.com/office/officeart/2005/8/layout/cycle1"/>
    <dgm:cxn modelId="{1EF9F7A1-FA28-234B-A27A-BF9881A54C09}" type="presOf" srcId="{812F2212-EBA4-C045-9D60-E82892400887}" destId="{6ADF2404-F0F4-E24D-AF03-326A0534C6DB}" srcOrd="0" destOrd="0" presId="urn:microsoft.com/office/officeart/2005/8/layout/cycle1"/>
    <dgm:cxn modelId="{DA91B314-AEF3-2949-A3B1-5C7A7CF67449}" type="presOf" srcId="{F8483152-590D-FC4C-B41F-A59814629BCB}" destId="{D9AB7F56-7667-3B4A-9D58-A0EAAE76C952}" srcOrd="0" destOrd="0" presId="urn:microsoft.com/office/officeart/2005/8/layout/cycle1"/>
    <dgm:cxn modelId="{CC23614A-6FAF-F847-B7D4-F8540ACBC2FF}" srcId="{B75F7F44-6A6F-F74D-ACBF-14ADFD65835F}" destId="{F8483152-590D-FC4C-B41F-A59814629BCB}" srcOrd="6" destOrd="0" parTransId="{1379D354-B1CA-C547-89FB-8CC76B194280}" sibTransId="{9FC9FBAC-B1C9-8742-AA92-D476A89E65E3}"/>
    <dgm:cxn modelId="{F7C5C5FB-76AD-EB45-A9C1-4A1B5D48AECA}" type="presOf" srcId="{B75F7F44-6A6F-F74D-ACBF-14ADFD65835F}" destId="{ADC3DFFC-6486-2549-B945-9F6087ACA98A}" srcOrd="0" destOrd="0" presId="urn:microsoft.com/office/officeart/2005/8/layout/cycle1"/>
    <dgm:cxn modelId="{EF5DEFB7-97B4-7942-8A43-EEC079B46586}" type="presParOf" srcId="{ADC3DFFC-6486-2549-B945-9F6087ACA98A}" destId="{8FA8495D-C073-8847-95C2-7E61C7AC0CD8}" srcOrd="0" destOrd="0" presId="urn:microsoft.com/office/officeart/2005/8/layout/cycle1"/>
    <dgm:cxn modelId="{84D70C90-5537-8743-90DE-946779656FB3}" type="presParOf" srcId="{ADC3DFFC-6486-2549-B945-9F6087ACA98A}" destId="{3154E763-F5CB-1947-8E72-ED26AF246E4B}" srcOrd="1" destOrd="0" presId="urn:microsoft.com/office/officeart/2005/8/layout/cycle1"/>
    <dgm:cxn modelId="{74D60E96-FE31-6A41-9B25-0F4A079C3B02}" type="presParOf" srcId="{ADC3DFFC-6486-2549-B945-9F6087ACA98A}" destId="{8C9CFF9C-EA60-7E48-A2FB-C384EAFB4D44}" srcOrd="2" destOrd="0" presId="urn:microsoft.com/office/officeart/2005/8/layout/cycle1"/>
    <dgm:cxn modelId="{B899A33F-CD28-2640-B4B4-AA7782253436}" type="presParOf" srcId="{ADC3DFFC-6486-2549-B945-9F6087ACA98A}" destId="{E2F1E172-71DE-7744-BBE4-6E824344AB09}" srcOrd="3" destOrd="0" presId="urn:microsoft.com/office/officeart/2005/8/layout/cycle1"/>
    <dgm:cxn modelId="{CDD31726-3291-1D47-8E18-D4C5E60013AC}" type="presParOf" srcId="{ADC3DFFC-6486-2549-B945-9F6087ACA98A}" destId="{3E9DFDEF-F794-B44E-817F-547A228237BD}" srcOrd="4" destOrd="0" presId="urn:microsoft.com/office/officeart/2005/8/layout/cycle1"/>
    <dgm:cxn modelId="{BB0FFC73-BD1E-434E-84C9-D42608000868}" type="presParOf" srcId="{ADC3DFFC-6486-2549-B945-9F6087ACA98A}" destId="{F3275831-5130-A647-9AE6-2A1811422F28}" srcOrd="5" destOrd="0" presId="urn:microsoft.com/office/officeart/2005/8/layout/cycle1"/>
    <dgm:cxn modelId="{9FF4C5E9-8F0E-AC49-A0B3-88E44C9D4266}" type="presParOf" srcId="{ADC3DFFC-6486-2549-B945-9F6087ACA98A}" destId="{FFF10128-42F4-904D-A8AA-6E244667B8F5}" srcOrd="6" destOrd="0" presId="urn:microsoft.com/office/officeart/2005/8/layout/cycle1"/>
    <dgm:cxn modelId="{7851508E-49A6-514F-89D2-2D7C5C013CBF}" type="presParOf" srcId="{ADC3DFFC-6486-2549-B945-9F6087ACA98A}" destId="{6D4788A6-4022-CB48-A0DE-C5BE18DA9BD4}" srcOrd="7" destOrd="0" presId="urn:microsoft.com/office/officeart/2005/8/layout/cycle1"/>
    <dgm:cxn modelId="{D191CFB3-D376-1943-84DF-4562F804BA51}" type="presParOf" srcId="{ADC3DFFC-6486-2549-B945-9F6087ACA98A}" destId="{10377AFC-3931-764D-B025-5FC3AD8D0128}" srcOrd="8" destOrd="0" presId="urn:microsoft.com/office/officeart/2005/8/layout/cycle1"/>
    <dgm:cxn modelId="{96FF1A1A-BC50-364C-ABE5-C0BCB525ECE5}" type="presParOf" srcId="{ADC3DFFC-6486-2549-B945-9F6087ACA98A}" destId="{DFFEA32A-8939-1E44-A4DD-4EAD959B53A5}" srcOrd="9" destOrd="0" presId="urn:microsoft.com/office/officeart/2005/8/layout/cycle1"/>
    <dgm:cxn modelId="{B4493ABD-8AAD-134B-AE60-BBD8402087F4}" type="presParOf" srcId="{ADC3DFFC-6486-2549-B945-9F6087ACA98A}" destId="{12F7E10F-D187-EE4B-9C89-C1EA0C61BBC2}" srcOrd="10" destOrd="0" presId="urn:microsoft.com/office/officeart/2005/8/layout/cycle1"/>
    <dgm:cxn modelId="{416F988E-3A43-854E-92F5-821AA4C1DF93}" type="presParOf" srcId="{ADC3DFFC-6486-2549-B945-9F6087ACA98A}" destId="{33C0DAA2-F4B2-7B43-94BE-EE2A49B3E2B2}" srcOrd="11" destOrd="0" presId="urn:microsoft.com/office/officeart/2005/8/layout/cycle1"/>
    <dgm:cxn modelId="{966F78C3-3E41-A341-8282-4BD48DE891D3}" type="presParOf" srcId="{ADC3DFFC-6486-2549-B945-9F6087ACA98A}" destId="{C37B981A-64F1-8946-A435-0C2DF0313B44}" srcOrd="12" destOrd="0" presId="urn:microsoft.com/office/officeart/2005/8/layout/cycle1"/>
    <dgm:cxn modelId="{B08B8036-7BF2-5E40-B088-7993F9D6BFC6}" type="presParOf" srcId="{ADC3DFFC-6486-2549-B945-9F6087ACA98A}" destId="{84E67944-B303-7E43-BDA2-C6DD4B92BDE0}" srcOrd="13" destOrd="0" presId="urn:microsoft.com/office/officeart/2005/8/layout/cycle1"/>
    <dgm:cxn modelId="{FEB1EC55-C355-D842-ABFD-FF328C282B31}" type="presParOf" srcId="{ADC3DFFC-6486-2549-B945-9F6087ACA98A}" destId="{8E58548D-C9F9-7542-8D23-B3E92EA1A0AA}" srcOrd="14" destOrd="0" presId="urn:microsoft.com/office/officeart/2005/8/layout/cycle1"/>
    <dgm:cxn modelId="{EC70975C-6D50-3542-9982-C9EE47BA2326}" type="presParOf" srcId="{ADC3DFFC-6486-2549-B945-9F6087ACA98A}" destId="{8DA97D3A-8C1D-9D46-85AE-BD62663DF9E3}" srcOrd="15" destOrd="0" presId="urn:microsoft.com/office/officeart/2005/8/layout/cycle1"/>
    <dgm:cxn modelId="{03B3FD4C-D1C1-104A-9A6B-3282550AAD4C}" type="presParOf" srcId="{ADC3DFFC-6486-2549-B945-9F6087ACA98A}" destId="{6ADF2404-F0F4-E24D-AF03-326A0534C6DB}" srcOrd="16" destOrd="0" presId="urn:microsoft.com/office/officeart/2005/8/layout/cycle1"/>
    <dgm:cxn modelId="{537A0F34-41A0-1649-86D4-96CEDF85CD57}" type="presParOf" srcId="{ADC3DFFC-6486-2549-B945-9F6087ACA98A}" destId="{D45E2600-09F6-3F49-AAA3-4D0F4ED8B196}" srcOrd="17" destOrd="0" presId="urn:microsoft.com/office/officeart/2005/8/layout/cycle1"/>
    <dgm:cxn modelId="{A3D6F9FA-5D86-A046-A5A0-17A09657E715}" type="presParOf" srcId="{ADC3DFFC-6486-2549-B945-9F6087ACA98A}" destId="{0BA7EBB2-2946-044A-9E8B-06AE3B9400E5}" srcOrd="18" destOrd="0" presId="urn:microsoft.com/office/officeart/2005/8/layout/cycle1"/>
    <dgm:cxn modelId="{3D2A3F1D-D675-6642-850E-DAC6A7ACA450}" type="presParOf" srcId="{ADC3DFFC-6486-2549-B945-9F6087ACA98A}" destId="{D9AB7F56-7667-3B4A-9D58-A0EAAE76C952}" srcOrd="19" destOrd="0" presId="urn:microsoft.com/office/officeart/2005/8/layout/cycle1"/>
    <dgm:cxn modelId="{29149734-CE1E-FB44-88AD-275A73AED564}" type="presParOf" srcId="{ADC3DFFC-6486-2549-B945-9F6087ACA98A}" destId="{535F6F6D-707A-DA43-9DEC-5C3FF63E64E7}" srcOrd="20" destOrd="0" presId="urn:microsoft.com/office/officeart/2005/8/layout/cycle1"/>
    <dgm:cxn modelId="{56421E81-D53B-054A-8B78-2510246A6227}" type="presParOf" srcId="{ADC3DFFC-6486-2549-B945-9F6087ACA98A}" destId="{E5CE830D-CDD6-B147-8B7A-2637CEA429C1}" srcOrd="21" destOrd="0" presId="urn:microsoft.com/office/officeart/2005/8/layout/cycle1"/>
    <dgm:cxn modelId="{2BC6D61B-FB59-C941-8FED-AD979C6160C2}" type="presParOf" srcId="{ADC3DFFC-6486-2549-B945-9F6087ACA98A}" destId="{2FA433EE-5646-6B43-BC47-6B0166939CC3}" srcOrd="22" destOrd="0" presId="urn:microsoft.com/office/officeart/2005/8/layout/cycle1"/>
    <dgm:cxn modelId="{5A52A527-ABD4-5245-BB69-6C5499234780}" type="presParOf" srcId="{ADC3DFFC-6486-2549-B945-9F6087ACA98A}" destId="{5E91E276-C285-EC4B-95C2-1EA1BCE21F1C}" srcOrd="23" destOrd="0" presId="urn:microsoft.com/office/officeart/2005/8/layout/cycle1"/>
    <dgm:cxn modelId="{060D97D1-9461-684F-9DB8-63D8CD683013}" type="presParOf" srcId="{ADC3DFFC-6486-2549-B945-9F6087ACA98A}" destId="{17262509-C3E0-F749-8656-C805C8DD58EE}" srcOrd="24" destOrd="0" presId="urn:microsoft.com/office/officeart/2005/8/layout/cycle1"/>
    <dgm:cxn modelId="{8048B76E-4DCB-9C41-8BE7-76FEFCF5CDDF}" type="presParOf" srcId="{ADC3DFFC-6486-2549-B945-9F6087ACA98A}" destId="{267571A2-FDAC-3344-B2A1-A8515408A4C0}" srcOrd="25" destOrd="0" presId="urn:microsoft.com/office/officeart/2005/8/layout/cycle1"/>
    <dgm:cxn modelId="{176BA699-4130-6D45-AC92-BF7758F357F5}" type="presParOf" srcId="{ADC3DFFC-6486-2549-B945-9F6087ACA98A}" destId="{B1454B0E-F18A-6F49-A738-96CCFFF5F204}" srcOrd="26" destOrd="0" presId="urn:microsoft.com/office/officeart/2005/8/layout/cycle1"/>
  </dgm:cxnLst>
  <dgm:bg/>
  <dgm:whole/>
  <dgm:extLst>
    <a:ext uri="http://schemas.microsoft.com/office/drawing/2008/diagram">
      <dsp:dataModelExt xmlns:dsp="http://schemas.microsoft.com/office/drawing/2008/diagram" relId="rId25" minVer="http://schemas.openxmlformats.org/drawingml/2006/diagram"/>
    </a:ext>
  </dgm:extLst>
</dgm:dataModel>
</file>

<file path=xl/diagrams/data6.xml><?xml version="1.0" encoding="utf-8"?>
<dgm:dataModel xmlns:dgm="http://schemas.openxmlformats.org/drawingml/2006/diagram" xmlns:a="http://schemas.openxmlformats.org/drawingml/2006/main">
  <dgm:ptLst>
    <dgm:pt modelId="{B75F7F44-6A6F-F74D-ACBF-14ADFD65835F}" type="doc">
      <dgm:prSet loTypeId="urn:microsoft.com/office/officeart/2005/8/layout/cycle1" loCatId="" qsTypeId="urn:microsoft.com/office/officeart/2005/8/quickstyle/simple4" qsCatId="simple" csTypeId="urn:microsoft.com/office/officeart/2005/8/colors/accent3_2" csCatId="accent3" phldr="1"/>
      <dgm:spPr/>
      <dgm:t>
        <a:bodyPr/>
        <a:lstStyle/>
        <a:p>
          <a:endParaRPr lang="en-US"/>
        </a:p>
      </dgm:t>
    </dgm:pt>
    <dgm:pt modelId="{B46C9681-66D3-1647-BDC1-8F615A598165}">
      <dgm:prSet phldrT="[Text]" custT="1"/>
      <dgm:spPr/>
      <dgm:t>
        <a:bodyPr/>
        <a:lstStyle/>
        <a:p>
          <a:r>
            <a:rPr lang="en-US" sz="1000" b="1">
              <a:latin typeface="Arial"/>
              <a:cs typeface="Arial"/>
            </a:rPr>
            <a:t>Strategising</a:t>
          </a:r>
        </a:p>
      </dgm:t>
    </dgm:pt>
    <dgm:pt modelId="{97787AC8-5C0E-044E-813B-646A01AEB16C}" type="parTrans" cxnId="{95DAD797-C535-0840-84FA-F250BF2F29E2}">
      <dgm:prSet/>
      <dgm:spPr/>
      <dgm:t>
        <a:bodyPr/>
        <a:lstStyle/>
        <a:p>
          <a:endParaRPr lang="en-US"/>
        </a:p>
      </dgm:t>
    </dgm:pt>
    <dgm:pt modelId="{8B453E06-B6E0-2A43-B46C-2B8DEBDEF303}" type="sibTrans" cxnId="{95DAD797-C535-0840-84FA-F250BF2F29E2}">
      <dgm:prSet/>
      <dgm:spPr/>
      <dgm:t>
        <a:bodyPr/>
        <a:lstStyle/>
        <a:p>
          <a:endParaRPr lang="en-US"/>
        </a:p>
      </dgm:t>
    </dgm:pt>
    <dgm:pt modelId="{0DC80E09-D85D-774E-A687-6E259498E81D}">
      <dgm:prSet phldrT="[Text]" custT="1"/>
      <dgm:spPr/>
      <dgm:t>
        <a:bodyPr/>
        <a:lstStyle/>
        <a:p>
          <a:r>
            <a:rPr lang="en-US" sz="1000" b="1">
              <a:latin typeface="Arial"/>
              <a:cs typeface="Arial"/>
            </a:rPr>
            <a:t>Work Planning</a:t>
          </a:r>
        </a:p>
      </dgm:t>
    </dgm:pt>
    <dgm:pt modelId="{DC2F0CE8-BD55-0247-A8A5-2B654F990F93}" type="parTrans" cxnId="{E6761EE1-B17D-EA48-99EC-85877251D753}">
      <dgm:prSet/>
      <dgm:spPr/>
      <dgm:t>
        <a:bodyPr/>
        <a:lstStyle/>
        <a:p>
          <a:endParaRPr lang="en-US"/>
        </a:p>
      </dgm:t>
    </dgm:pt>
    <dgm:pt modelId="{D2CFF3A0-8533-5449-9112-D78BC9EE81E9}" type="sibTrans" cxnId="{E6761EE1-B17D-EA48-99EC-85877251D753}">
      <dgm:prSet/>
      <dgm:spPr/>
      <dgm:t>
        <a:bodyPr/>
        <a:lstStyle/>
        <a:p>
          <a:endParaRPr lang="en-US"/>
        </a:p>
      </dgm:t>
    </dgm:pt>
    <dgm:pt modelId="{32348127-CAD9-5F41-9DDA-DA64D05DC419}">
      <dgm:prSet phldrT="[Text]" custT="1"/>
      <dgm:spPr/>
      <dgm:t>
        <a:bodyPr/>
        <a:lstStyle/>
        <a:p>
          <a:r>
            <a:rPr lang="en-US" sz="1000" b="1">
              <a:latin typeface="Arial"/>
              <a:cs typeface="Arial"/>
            </a:rPr>
            <a:t>Budgeting</a:t>
          </a:r>
        </a:p>
      </dgm:t>
    </dgm:pt>
    <dgm:pt modelId="{DC3C3514-C20B-664F-A938-A764C329A9C3}" type="parTrans" cxnId="{93D31496-6BE0-B24F-87EE-3BE5A0C3EA83}">
      <dgm:prSet/>
      <dgm:spPr/>
      <dgm:t>
        <a:bodyPr/>
        <a:lstStyle/>
        <a:p>
          <a:endParaRPr lang="en-US"/>
        </a:p>
      </dgm:t>
    </dgm:pt>
    <dgm:pt modelId="{B29A10C8-7C47-2A44-AF88-5DCFBB73A216}" type="sibTrans" cxnId="{93D31496-6BE0-B24F-87EE-3BE5A0C3EA83}">
      <dgm:prSet/>
      <dgm:spPr/>
      <dgm:t>
        <a:bodyPr/>
        <a:lstStyle/>
        <a:p>
          <a:endParaRPr lang="en-US"/>
        </a:p>
      </dgm:t>
    </dgm:pt>
    <dgm:pt modelId="{1C898F6B-6209-4144-A192-81DD20A9232C}">
      <dgm:prSet phldrT="[Text]" custT="1"/>
      <dgm:spPr/>
      <dgm:t>
        <a:bodyPr/>
        <a:lstStyle/>
        <a:p>
          <a:r>
            <a:rPr lang="en-US" sz="1000" b="1">
              <a:latin typeface="Arial"/>
              <a:cs typeface="Arial"/>
            </a:rPr>
            <a:t>Forecasting</a:t>
          </a:r>
        </a:p>
      </dgm:t>
    </dgm:pt>
    <dgm:pt modelId="{19E004DB-8563-0246-A75E-9111B80F7C86}" type="parTrans" cxnId="{85D7C4CC-7810-244D-BFBC-BFA715D2A6C9}">
      <dgm:prSet/>
      <dgm:spPr/>
      <dgm:t>
        <a:bodyPr/>
        <a:lstStyle/>
        <a:p>
          <a:endParaRPr lang="en-US"/>
        </a:p>
      </dgm:t>
    </dgm:pt>
    <dgm:pt modelId="{808E46B1-EED0-C04B-A1B2-2AEC8EEE4170}" type="sibTrans" cxnId="{85D7C4CC-7810-244D-BFBC-BFA715D2A6C9}">
      <dgm:prSet/>
      <dgm:spPr/>
      <dgm:t>
        <a:bodyPr/>
        <a:lstStyle/>
        <a:p>
          <a:endParaRPr lang="en-US"/>
        </a:p>
      </dgm:t>
    </dgm:pt>
    <dgm:pt modelId="{812F2212-EBA4-C045-9D60-E82892400887}">
      <dgm:prSet custT="1"/>
      <dgm:spPr/>
      <dgm:t>
        <a:bodyPr/>
        <a:lstStyle/>
        <a:p>
          <a:r>
            <a:rPr lang="en-US" sz="1000" b="1">
              <a:latin typeface="Arial"/>
              <a:cs typeface="Arial"/>
            </a:rPr>
            <a:t>Implement-ation</a:t>
          </a:r>
        </a:p>
      </dgm:t>
    </dgm:pt>
    <dgm:pt modelId="{C7466B36-BAE5-9F41-A698-1A4194DCE109}" type="parTrans" cxnId="{81E00960-25F1-F549-892D-2A10DE7E28BC}">
      <dgm:prSet/>
      <dgm:spPr/>
      <dgm:t>
        <a:bodyPr/>
        <a:lstStyle/>
        <a:p>
          <a:endParaRPr lang="en-US"/>
        </a:p>
      </dgm:t>
    </dgm:pt>
    <dgm:pt modelId="{02B5B6A9-637A-D540-A38B-03C3C5AB2D3B}" type="sibTrans" cxnId="{81E00960-25F1-F549-892D-2A10DE7E28BC}">
      <dgm:prSet/>
      <dgm:spPr/>
      <dgm:t>
        <a:bodyPr/>
        <a:lstStyle/>
        <a:p>
          <a:endParaRPr lang="en-US"/>
        </a:p>
      </dgm:t>
    </dgm:pt>
    <dgm:pt modelId="{F8483152-590D-FC4C-B41F-A59814629BCB}">
      <dgm:prSet/>
      <dgm:spPr/>
      <dgm:t>
        <a:bodyPr/>
        <a:lstStyle/>
        <a:p>
          <a:r>
            <a:rPr lang="en-US" b="1">
              <a:latin typeface="Arial"/>
              <a:cs typeface="Arial"/>
            </a:rPr>
            <a:t>Monitoring &amp; Evaluation</a:t>
          </a:r>
        </a:p>
      </dgm:t>
    </dgm:pt>
    <dgm:pt modelId="{1379D354-B1CA-C547-89FB-8CC76B194280}" type="parTrans" cxnId="{CC23614A-6FAF-F847-B7D4-F8540ACBC2FF}">
      <dgm:prSet/>
      <dgm:spPr/>
      <dgm:t>
        <a:bodyPr/>
        <a:lstStyle/>
        <a:p>
          <a:endParaRPr lang="en-US"/>
        </a:p>
      </dgm:t>
    </dgm:pt>
    <dgm:pt modelId="{9FC9FBAC-B1C9-8742-AA92-D476A89E65E3}" type="sibTrans" cxnId="{CC23614A-6FAF-F847-B7D4-F8540ACBC2FF}">
      <dgm:prSet/>
      <dgm:spPr/>
      <dgm:t>
        <a:bodyPr/>
        <a:lstStyle/>
        <a:p>
          <a:endParaRPr lang="en-US"/>
        </a:p>
      </dgm:t>
    </dgm:pt>
    <dgm:pt modelId="{881B9FEF-0625-E249-BF43-F35C35C134F9}">
      <dgm:prSet/>
      <dgm:spPr/>
      <dgm:t>
        <a:bodyPr/>
        <a:lstStyle/>
        <a:p>
          <a:r>
            <a:rPr lang="en-US" b="1">
              <a:latin typeface="Arial"/>
              <a:cs typeface="Arial"/>
            </a:rPr>
            <a:t>Reflection &amp; Reporting</a:t>
          </a:r>
        </a:p>
      </dgm:t>
    </dgm:pt>
    <dgm:pt modelId="{6328397F-FF74-7847-B6BD-C4E766C813C4}" type="parTrans" cxnId="{AF0F8E0D-21C9-0A45-A52F-DF7809F19147}">
      <dgm:prSet/>
      <dgm:spPr/>
      <dgm:t>
        <a:bodyPr/>
        <a:lstStyle/>
        <a:p>
          <a:endParaRPr lang="en-US"/>
        </a:p>
      </dgm:t>
    </dgm:pt>
    <dgm:pt modelId="{A89BA115-FAF7-8E4B-9C55-F56ABD5CCE06}" type="sibTrans" cxnId="{AF0F8E0D-21C9-0A45-A52F-DF7809F19147}">
      <dgm:prSet/>
      <dgm:spPr/>
      <dgm:t>
        <a:bodyPr/>
        <a:lstStyle/>
        <a:p>
          <a:endParaRPr lang="en-US" b="1"/>
        </a:p>
      </dgm:t>
    </dgm:pt>
    <dgm:pt modelId="{ECEADE51-0159-B448-BE98-AA7148CE9CC3}">
      <dgm:prSet custT="1"/>
      <dgm:spPr/>
      <dgm:t>
        <a:bodyPr/>
        <a:lstStyle/>
        <a:p>
          <a:r>
            <a:rPr lang="en-US" sz="1000" b="1">
              <a:latin typeface="Arial"/>
              <a:cs typeface="Arial"/>
            </a:rPr>
            <a:t>Analysis</a:t>
          </a:r>
        </a:p>
      </dgm:t>
    </dgm:pt>
    <dgm:pt modelId="{65498A84-7A29-FB48-A480-30DBBFA25E1C}" type="parTrans" cxnId="{937BB626-F1DC-B44E-AD15-74B3B2613712}">
      <dgm:prSet/>
      <dgm:spPr/>
      <dgm:t>
        <a:bodyPr/>
        <a:lstStyle/>
        <a:p>
          <a:endParaRPr lang="en-US"/>
        </a:p>
      </dgm:t>
    </dgm:pt>
    <dgm:pt modelId="{4F10BA6C-5B66-C149-AC59-011F85292F6B}" type="sibTrans" cxnId="{937BB626-F1DC-B44E-AD15-74B3B2613712}">
      <dgm:prSet/>
      <dgm:spPr/>
      <dgm:t>
        <a:bodyPr/>
        <a:lstStyle/>
        <a:p>
          <a:endParaRPr lang="en-US">
            <a:latin typeface="Arial"/>
            <a:cs typeface="Arial"/>
          </a:endParaRPr>
        </a:p>
      </dgm:t>
    </dgm:pt>
    <dgm:pt modelId="{279B863D-9135-D345-B0F1-2E63580045D7}">
      <dgm:prSet custT="1"/>
      <dgm:spPr/>
      <dgm:t>
        <a:bodyPr/>
        <a:lstStyle/>
        <a:p>
          <a:r>
            <a:rPr lang="en-US" sz="1000" b="1">
              <a:latin typeface="Arial"/>
              <a:cs typeface="Arial"/>
            </a:rPr>
            <a:t>Objective Setting</a:t>
          </a:r>
        </a:p>
      </dgm:t>
    </dgm:pt>
    <dgm:pt modelId="{7EB0B8E0-B8BE-1348-A4C3-9E52AFB83589}" type="parTrans" cxnId="{109E67DD-8D94-0547-8273-1A03970D0C8A}">
      <dgm:prSet/>
      <dgm:spPr/>
      <dgm:t>
        <a:bodyPr/>
        <a:lstStyle/>
        <a:p>
          <a:endParaRPr lang="en-US"/>
        </a:p>
      </dgm:t>
    </dgm:pt>
    <dgm:pt modelId="{395FA40E-D804-ED4A-B2CF-FDD128F8EB2D}" type="sibTrans" cxnId="{109E67DD-8D94-0547-8273-1A03970D0C8A}">
      <dgm:prSet/>
      <dgm:spPr/>
      <dgm:t>
        <a:bodyPr/>
        <a:lstStyle/>
        <a:p>
          <a:endParaRPr lang="en-US"/>
        </a:p>
      </dgm:t>
    </dgm:pt>
    <dgm:pt modelId="{ADC3DFFC-6486-2549-B945-9F6087ACA98A}" type="pres">
      <dgm:prSet presAssocID="{B75F7F44-6A6F-F74D-ACBF-14ADFD65835F}" presName="cycle" presStyleCnt="0">
        <dgm:presLayoutVars>
          <dgm:dir/>
          <dgm:resizeHandles val="exact"/>
        </dgm:presLayoutVars>
      </dgm:prSet>
      <dgm:spPr/>
      <dgm:t>
        <a:bodyPr/>
        <a:lstStyle/>
        <a:p>
          <a:endParaRPr lang="en-US"/>
        </a:p>
      </dgm:t>
    </dgm:pt>
    <dgm:pt modelId="{8FA8495D-C073-8847-95C2-7E61C7AC0CD8}" type="pres">
      <dgm:prSet presAssocID="{279B863D-9135-D345-B0F1-2E63580045D7}" presName="dummy" presStyleCnt="0"/>
      <dgm:spPr/>
    </dgm:pt>
    <dgm:pt modelId="{3154E763-F5CB-1947-8E72-ED26AF246E4B}" type="pres">
      <dgm:prSet presAssocID="{279B863D-9135-D345-B0F1-2E63580045D7}" presName="node" presStyleLbl="revTx" presStyleIdx="0" presStyleCnt="9" custScaleX="120300">
        <dgm:presLayoutVars>
          <dgm:bulletEnabled val="1"/>
        </dgm:presLayoutVars>
      </dgm:prSet>
      <dgm:spPr/>
      <dgm:t>
        <a:bodyPr/>
        <a:lstStyle/>
        <a:p>
          <a:endParaRPr lang="en-US"/>
        </a:p>
      </dgm:t>
    </dgm:pt>
    <dgm:pt modelId="{8C9CFF9C-EA60-7E48-A2FB-C384EAFB4D44}" type="pres">
      <dgm:prSet presAssocID="{395FA40E-D804-ED4A-B2CF-FDD128F8EB2D}" presName="sibTrans" presStyleLbl="node1" presStyleIdx="0" presStyleCnt="9"/>
      <dgm:spPr/>
      <dgm:t>
        <a:bodyPr/>
        <a:lstStyle/>
        <a:p>
          <a:endParaRPr lang="en-US"/>
        </a:p>
      </dgm:t>
    </dgm:pt>
    <dgm:pt modelId="{E2F1E172-71DE-7744-BBE4-6E824344AB09}" type="pres">
      <dgm:prSet presAssocID="{B46C9681-66D3-1647-BDC1-8F615A598165}" presName="dummy" presStyleCnt="0"/>
      <dgm:spPr/>
    </dgm:pt>
    <dgm:pt modelId="{3E9DFDEF-F794-B44E-817F-547A228237BD}" type="pres">
      <dgm:prSet presAssocID="{B46C9681-66D3-1647-BDC1-8F615A598165}" presName="node" presStyleLbl="revTx" presStyleIdx="1" presStyleCnt="9" custScaleX="115493">
        <dgm:presLayoutVars>
          <dgm:bulletEnabled val="1"/>
        </dgm:presLayoutVars>
      </dgm:prSet>
      <dgm:spPr/>
      <dgm:t>
        <a:bodyPr/>
        <a:lstStyle/>
        <a:p>
          <a:endParaRPr lang="en-US"/>
        </a:p>
      </dgm:t>
    </dgm:pt>
    <dgm:pt modelId="{F3275831-5130-A647-9AE6-2A1811422F28}" type="pres">
      <dgm:prSet presAssocID="{8B453E06-B6E0-2A43-B46C-2B8DEBDEF303}" presName="sibTrans" presStyleLbl="node1" presStyleIdx="1" presStyleCnt="9"/>
      <dgm:spPr/>
      <dgm:t>
        <a:bodyPr/>
        <a:lstStyle/>
        <a:p>
          <a:endParaRPr lang="en-US"/>
        </a:p>
      </dgm:t>
    </dgm:pt>
    <dgm:pt modelId="{FFF10128-42F4-904D-A8AA-6E244667B8F5}" type="pres">
      <dgm:prSet presAssocID="{0DC80E09-D85D-774E-A687-6E259498E81D}" presName="dummy" presStyleCnt="0"/>
      <dgm:spPr/>
    </dgm:pt>
    <dgm:pt modelId="{6D4788A6-4022-CB48-A0DE-C5BE18DA9BD4}" type="pres">
      <dgm:prSet presAssocID="{0DC80E09-D85D-774E-A687-6E259498E81D}" presName="node" presStyleLbl="revTx" presStyleIdx="2" presStyleCnt="9">
        <dgm:presLayoutVars>
          <dgm:bulletEnabled val="1"/>
        </dgm:presLayoutVars>
      </dgm:prSet>
      <dgm:spPr/>
      <dgm:t>
        <a:bodyPr/>
        <a:lstStyle/>
        <a:p>
          <a:endParaRPr lang="en-US"/>
        </a:p>
      </dgm:t>
    </dgm:pt>
    <dgm:pt modelId="{10377AFC-3931-764D-B025-5FC3AD8D0128}" type="pres">
      <dgm:prSet presAssocID="{D2CFF3A0-8533-5449-9112-D78BC9EE81E9}" presName="sibTrans" presStyleLbl="node1" presStyleIdx="2" presStyleCnt="9"/>
      <dgm:spPr/>
      <dgm:t>
        <a:bodyPr/>
        <a:lstStyle/>
        <a:p>
          <a:endParaRPr lang="en-US"/>
        </a:p>
      </dgm:t>
    </dgm:pt>
    <dgm:pt modelId="{DFFEA32A-8939-1E44-A4DD-4EAD959B53A5}" type="pres">
      <dgm:prSet presAssocID="{32348127-CAD9-5F41-9DDA-DA64D05DC419}" presName="dummy" presStyleCnt="0"/>
      <dgm:spPr/>
    </dgm:pt>
    <dgm:pt modelId="{12F7E10F-D187-EE4B-9C89-C1EA0C61BBC2}" type="pres">
      <dgm:prSet presAssocID="{32348127-CAD9-5F41-9DDA-DA64D05DC419}" presName="node" presStyleLbl="revTx" presStyleIdx="3" presStyleCnt="9">
        <dgm:presLayoutVars>
          <dgm:bulletEnabled val="1"/>
        </dgm:presLayoutVars>
      </dgm:prSet>
      <dgm:spPr/>
      <dgm:t>
        <a:bodyPr/>
        <a:lstStyle/>
        <a:p>
          <a:endParaRPr lang="en-US"/>
        </a:p>
      </dgm:t>
    </dgm:pt>
    <dgm:pt modelId="{33C0DAA2-F4B2-7B43-94BE-EE2A49B3E2B2}" type="pres">
      <dgm:prSet presAssocID="{B29A10C8-7C47-2A44-AF88-5DCFBB73A216}" presName="sibTrans" presStyleLbl="node1" presStyleIdx="3" presStyleCnt="9"/>
      <dgm:spPr/>
      <dgm:t>
        <a:bodyPr/>
        <a:lstStyle/>
        <a:p>
          <a:endParaRPr lang="en-US"/>
        </a:p>
      </dgm:t>
    </dgm:pt>
    <dgm:pt modelId="{C37B981A-64F1-8946-A435-0C2DF0313B44}" type="pres">
      <dgm:prSet presAssocID="{1C898F6B-6209-4144-A192-81DD20A9232C}" presName="dummy" presStyleCnt="0"/>
      <dgm:spPr/>
    </dgm:pt>
    <dgm:pt modelId="{84E67944-B303-7E43-BDA2-C6DD4B92BDE0}" type="pres">
      <dgm:prSet presAssocID="{1C898F6B-6209-4144-A192-81DD20A9232C}" presName="node" presStyleLbl="revTx" presStyleIdx="4" presStyleCnt="9" custScaleX="117531">
        <dgm:presLayoutVars>
          <dgm:bulletEnabled val="1"/>
        </dgm:presLayoutVars>
      </dgm:prSet>
      <dgm:spPr/>
      <dgm:t>
        <a:bodyPr/>
        <a:lstStyle/>
        <a:p>
          <a:endParaRPr lang="en-US"/>
        </a:p>
      </dgm:t>
    </dgm:pt>
    <dgm:pt modelId="{8E58548D-C9F9-7542-8D23-B3E92EA1A0AA}" type="pres">
      <dgm:prSet presAssocID="{808E46B1-EED0-C04B-A1B2-2AEC8EEE4170}" presName="sibTrans" presStyleLbl="node1" presStyleIdx="4" presStyleCnt="9"/>
      <dgm:spPr/>
      <dgm:t>
        <a:bodyPr/>
        <a:lstStyle/>
        <a:p>
          <a:endParaRPr lang="en-US"/>
        </a:p>
      </dgm:t>
    </dgm:pt>
    <dgm:pt modelId="{8DA97D3A-8C1D-9D46-85AE-BD62663DF9E3}" type="pres">
      <dgm:prSet presAssocID="{812F2212-EBA4-C045-9D60-E82892400887}" presName="dummy" presStyleCnt="0"/>
      <dgm:spPr/>
    </dgm:pt>
    <dgm:pt modelId="{6ADF2404-F0F4-E24D-AF03-326A0534C6DB}" type="pres">
      <dgm:prSet presAssocID="{812F2212-EBA4-C045-9D60-E82892400887}" presName="node" presStyleLbl="revTx" presStyleIdx="5" presStyleCnt="9" custScaleX="107895">
        <dgm:presLayoutVars>
          <dgm:bulletEnabled val="1"/>
        </dgm:presLayoutVars>
      </dgm:prSet>
      <dgm:spPr/>
      <dgm:t>
        <a:bodyPr/>
        <a:lstStyle/>
        <a:p>
          <a:endParaRPr lang="en-US"/>
        </a:p>
      </dgm:t>
    </dgm:pt>
    <dgm:pt modelId="{D45E2600-09F6-3F49-AAA3-4D0F4ED8B196}" type="pres">
      <dgm:prSet presAssocID="{02B5B6A9-637A-D540-A38B-03C3C5AB2D3B}" presName="sibTrans" presStyleLbl="node1" presStyleIdx="5" presStyleCnt="9"/>
      <dgm:spPr/>
      <dgm:t>
        <a:bodyPr/>
        <a:lstStyle/>
        <a:p>
          <a:endParaRPr lang="en-US"/>
        </a:p>
      </dgm:t>
    </dgm:pt>
    <dgm:pt modelId="{0BA7EBB2-2946-044A-9E8B-06AE3B9400E5}" type="pres">
      <dgm:prSet presAssocID="{F8483152-590D-FC4C-B41F-A59814629BCB}" presName="dummy" presStyleCnt="0"/>
      <dgm:spPr/>
    </dgm:pt>
    <dgm:pt modelId="{D9AB7F56-7667-3B4A-9D58-A0EAAE76C952}" type="pres">
      <dgm:prSet presAssocID="{F8483152-590D-FC4C-B41F-A59814629BCB}" presName="node" presStyleLbl="revTx" presStyleIdx="6" presStyleCnt="9">
        <dgm:presLayoutVars>
          <dgm:bulletEnabled val="1"/>
        </dgm:presLayoutVars>
      </dgm:prSet>
      <dgm:spPr/>
      <dgm:t>
        <a:bodyPr/>
        <a:lstStyle/>
        <a:p>
          <a:endParaRPr lang="en-US"/>
        </a:p>
      </dgm:t>
    </dgm:pt>
    <dgm:pt modelId="{535F6F6D-707A-DA43-9DEC-5C3FF63E64E7}" type="pres">
      <dgm:prSet presAssocID="{9FC9FBAC-B1C9-8742-AA92-D476A89E65E3}" presName="sibTrans" presStyleLbl="node1" presStyleIdx="6" presStyleCnt="9"/>
      <dgm:spPr/>
      <dgm:t>
        <a:bodyPr/>
        <a:lstStyle/>
        <a:p>
          <a:endParaRPr lang="en-US"/>
        </a:p>
      </dgm:t>
    </dgm:pt>
    <dgm:pt modelId="{E5CE830D-CDD6-B147-8B7A-2637CEA429C1}" type="pres">
      <dgm:prSet presAssocID="{881B9FEF-0625-E249-BF43-F35C35C134F9}" presName="dummy" presStyleCnt="0"/>
      <dgm:spPr/>
    </dgm:pt>
    <dgm:pt modelId="{2FA433EE-5646-6B43-BC47-6B0166939CC3}" type="pres">
      <dgm:prSet presAssocID="{881B9FEF-0625-E249-BF43-F35C35C134F9}" presName="node" presStyleLbl="revTx" presStyleIdx="7" presStyleCnt="9">
        <dgm:presLayoutVars>
          <dgm:bulletEnabled val="1"/>
        </dgm:presLayoutVars>
      </dgm:prSet>
      <dgm:spPr/>
      <dgm:t>
        <a:bodyPr/>
        <a:lstStyle/>
        <a:p>
          <a:endParaRPr lang="en-US"/>
        </a:p>
      </dgm:t>
    </dgm:pt>
    <dgm:pt modelId="{5E91E276-C285-EC4B-95C2-1EA1BCE21F1C}" type="pres">
      <dgm:prSet presAssocID="{A89BA115-FAF7-8E4B-9C55-F56ABD5CCE06}" presName="sibTrans" presStyleLbl="node1" presStyleIdx="7" presStyleCnt="9"/>
      <dgm:spPr/>
      <dgm:t>
        <a:bodyPr/>
        <a:lstStyle/>
        <a:p>
          <a:endParaRPr lang="en-US"/>
        </a:p>
      </dgm:t>
    </dgm:pt>
    <dgm:pt modelId="{17262509-C3E0-F749-8656-C805C8DD58EE}" type="pres">
      <dgm:prSet presAssocID="{ECEADE51-0159-B448-BE98-AA7148CE9CC3}" presName="dummy" presStyleCnt="0"/>
      <dgm:spPr/>
    </dgm:pt>
    <dgm:pt modelId="{267571A2-FDAC-3344-B2A1-A8515408A4C0}" type="pres">
      <dgm:prSet presAssocID="{ECEADE51-0159-B448-BE98-AA7148CE9CC3}" presName="node" presStyleLbl="revTx" presStyleIdx="8" presStyleCnt="9">
        <dgm:presLayoutVars>
          <dgm:bulletEnabled val="1"/>
        </dgm:presLayoutVars>
      </dgm:prSet>
      <dgm:spPr/>
      <dgm:t>
        <a:bodyPr/>
        <a:lstStyle/>
        <a:p>
          <a:endParaRPr lang="en-US"/>
        </a:p>
      </dgm:t>
    </dgm:pt>
    <dgm:pt modelId="{B1454B0E-F18A-6F49-A738-96CCFFF5F204}" type="pres">
      <dgm:prSet presAssocID="{4F10BA6C-5B66-C149-AC59-011F85292F6B}" presName="sibTrans" presStyleLbl="node1" presStyleIdx="8" presStyleCnt="9"/>
      <dgm:spPr/>
      <dgm:t>
        <a:bodyPr/>
        <a:lstStyle/>
        <a:p>
          <a:endParaRPr lang="en-US"/>
        </a:p>
      </dgm:t>
    </dgm:pt>
  </dgm:ptLst>
  <dgm:cxnLst>
    <dgm:cxn modelId="{1054F311-5841-A84D-BCA9-4B6A0457D50A}" type="presOf" srcId="{8B453E06-B6E0-2A43-B46C-2B8DEBDEF303}" destId="{F3275831-5130-A647-9AE6-2A1811422F28}" srcOrd="0" destOrd="0" presId="urn:microsoft.com/office/officeart/2005/8/layout/cycle1"/>
    <dgm:cxn modelId="{6F3EA22D-C3BC-D944-A5E7-CF09B2C7333B}" type="presOf" srcId="{02B5B6A9-637A-D540-A38B-03C3C5AB2D3B}" destId="{D45E2600-09F6-3F49-AAA3-4D0F4ED8B196}" srcOrd="0" destOrd="0" presId="urn:microsoft.com/office/officeart/2005/8/layout/cycle1"/>
    <dgm:cxn modelId="{937BB626-F1DC-B44E-AD15-74B3B2613712}" srcId="{B75F7F44-6A6F-F74D-ACBF-14ADFD65835F}" destId="{ECEADE51-0159-B448-BE98-AA7148CE9CC3}" srcOrd="8" destOrd="0" parTransId="{65498A84-7A29-FB48-A480-30DBBFA25E1C}" sibTransId="{4F10BA6C-5B66-C149-AC59-011F85292F6B}"/>
    <dgm:cxn modelId="{E6B9B7BA-7BB2-4747-B447-39E5059D2261}" type="presOf" srcId="{D2CFF3A0-8533-5449-9112-D78BC9EE81E9}" destId="{10377AFC-3931-764D-B025-5FC3AD8D0128}" srcOrd="0" destOrd="0" presId="urn:microsoft.com/office/officeart/2005/8/layout/cycle1"/>
    <dgm:cxn modelId="{4315858D-A1FD-E04A-B4A6-61D7D8FE5850}" type="presOf" srcId="{0DC80E09-D85D-774E-A687-6E259498E81D}" destId="{6D4788A6-4022-CB48-A0DE-C5BE18DA9BD4}" srcOrd="0" destOrd="0" presId="urn:microsoft.com/office/officeart/2005/8/layout/cycle1"/>
    <dgm:cxn modelId="{F002F2F6-4E98-3644-97BF-EDED1766BF36}" type="presOf" srcId="{B46C9681-66D3-1647-BDC1-8F615A598165}" destId="{3E9DFDEF-F794-B44E-817F-547A228237BD}" srcOrd="0" destOrd="0" presId="urn:microsoft.com/office/officeart/2005/8/layout/cycle1"/>
    <dgm:cxn modelId="{3B6ECA8D-6557-1447-85A4-A1EE1A5ED3C3}" type="presOf" srcId="{ECEADE51-0159-B448-BE98-AA7148CE9CC3}" destId="{267571A2-FDAC-3344-B2A1-A8515408A4C0}" srcOrd="0" destOrd="0" presId="urn:microsoft.com/office/officeart/2005/8/layout/cycle1"/>
    <dgm:cxn modelId="{E6761EE1-B17D-EA48-99EC-85877251D753}" srcId="{B75F7F44-6A6F-F74D-ACBF-14ADFD65835F}" destId="{0DC80E09-D85D-774E-A687-6E259498E81D}" srcOrd="2" destOrd="0" parTransId="{DC2F0CE8-BD55-0247-A8A5-2B654F990F93}" sibTransId="{D2CFF3A0-8533-5449-9112-D78BC9EE81E9}"/>
    <dgm:cxn modelId="{93D31496-6BE0-B24F-87EE-3BE5A0C3EA83}" srcId="{B75F7F44-6A6F-F74D-ACBF-14ADFD65835F}" destId="{32348127-CAD9-5F41-9DDA-DA64D05DC419}" srcOrd="3" destOrd="0" parTransId="{DC3C3514-C20B-664F-A938-A764C329A9C3}" sibTransId="{B29A10C8-7C47-2A44-AF88-5DCFBB73A216}"/>
    <dgm:cxn modelId="{109E67DD-8D94-0547-8273-1A03970D0C8A}" srcId="{B75F7F44-6A6F-F74D-ACBF-14ADFD65835F}" destId="{279B863D-9135-D345-B0F1-2E63580045D7}" srcOrd="0" destOrd="0" parTransId="{7EB0B8E0-B8BE-1348-A4C3-9E52AFB83589}" sibTransId="{395FA40E-D804-ED4A-B2CF-FDD128F8EB2D}"/>
    <dgm:cxn modelId="{95DAD797-C535-0840-84FA-F250BF2F29E2}" srcId="{B75F7F44-6A6F-F74D-ACBF-14ADFD65835F}" destId="{B46C9681-66D3-1647-BDC1-8F615A598165}" srcOrd="1" destOrd="0" parTransId="{97787AC8-5C0E-044E-813B-646A01AEB16C}" sibTransId="{8B453E06-B6E0-2A43-B46C-2B8DEBDEF303}"/>
    <dgm:cxn modelId="{85D7C4CC-7810-244D-BFBC-BFA715D2A6C9}" srcId="{B75F7F44-6A6F-F74D-ACBF-14ADFD65835F}" destId="{1C898F6B-6209-4144-A192-81DD20A9232C}" srcOrd="4" destOrd="0" parTransId="{19E004DB-8563-0246-A75E-9111B80F7C86}" sibTransId="{808E46B1-EED0-C04B-A1B2-2AEC8EEE4170}"/>
    <dgm:cxn modelId="{205C017A-D122-9C48-805F-B130B9EB74EF}" type="presOf" srcId="{32348127-CAD9-5F41-9DDA-DA64D05DC419}" destId="{12F7E10F-D187-EE4B-9C89-C1EA0C61BBC2}" srcOrd="0" destOrd="0" presId="urn:microsoft.com/office/officeart/2005/8/layout/cycle1"/>
    <dgm:cxn modelId="{9CE6F96B-D9AB-8B46-81FC-969AD19D8BD0}" type="presOf" srcId="{1C898F6B-6209-4144-A192-81DD20A9232C}" destId="{84E67944-B303-7E43-BDA2-C6DD4B92BDE0}" srcOrd="0" destOrd="0" presId="urn:microsoft.com/office/officeart/2005/8/layout/cycle1"/>
    <dgm:cxn modelId="{8BA1E565-07FE-9348-A117-D800F2F8A67C}" type="presOf" srcId="{395FA40E-D804-ED4A-B2CF-FDD128F8EB2D}" destId="{8C9CFF9C-EA60-7E48-A2FB-C384EAFB4D44}" srcOrd="0" destOrd="0" presId="urn:microsoft.com/office/officeart/2005/8/layout/cycle1"/>
    <dgm:cxn modelId="{80809AA5-E5A1-B242-B73C-3B7481C0521F}" type="presOf" srcId="{B29A10C8-7C47-2A44-AF88-5DCFBB73A216}" destId="{33C0DAA2-F4B2-7B43-94BE-EE2A49B3E2B2}" srcOrd="0" destOrd="0" presId="urn:microsoft.com/office/officeart/2005/8/layout/cycle1"/>
    <dgm:cxn modelId="{28AE77B1-68BD-8D42-A056-87AAC4E5FAAF}" type="presOf" srcId="{F8483152-590D-FC4C-B41F-A59814629BCB}" destId="{D9AB7F56-7667-3B4A-9D58-A0EAAE76C952}" srcOrd="0" destOrd="0" presId="urn:microsoft.com/office/officeart/2005/8/layout/cycle1"/>
    <dgm:cxn modelId="{521EF3E3-D48D-8947-A8A7-50E550BC2700}" type="presOf" srcId="{9FC9FBAC-B1C9-8742-AA92-D476A89E65E3}" destId="{535F6F6D-707A-DA43-9DEC-5C3FF63E64E7}" srcOrd="0" destOrd="0" presId="urn:microsoft.com/office/officeart/2005/8/layout/cycle1"/>
    <dgm:cxn modelId="{81E00960-25F1-F549-892D-2A10DE7E28BC}" srcId="{B75F7F44-6A6F-F74D-ACBF-14ADFD65835F}" destId="{812F2212-EBA4-C045-9D60-E82892400887}" srcOrd="5" destOrd="0" parTransId="{C7466B36-BAE5-9F41-A698-1A4194DCE109}" sibTransId="{02B5B6A9-637A-D540-A38B-03C3C5AB2D3B}"/>
    <dgm:cxn modelId="{C416C3B7-786B-E64F-9F7D-7D7F07083628}" type="presOf" srcId="{4F10BA6C-5B66-C149-AC59-011F85292F6B}" destId="{B1454B0E-F18A-6F49-A738-96CCFFF5F204}" srcOrd="0" destOrd="0" presId="urn:microsoft.com/office/officeart/2005/8/layout/cycle1"/>
    <dgm:cxn modelId="{AF0F8E0D-21C9-0A45-A52F-DF7809F19147}" srcId="{B75F7F44-6A6F-F74D-ACBF-14ADFD65835F}" destId="{881B9FEF-0625-E249-BF43-F35C35C134F9}" srcOrd="7" destOrd="0" parTransId="{6328397F-FF74-7847-B6BD-C4E766C813C4}" sibTransId="{A89BA115-FAF7-8E4B-9C55-F56ABD5CCE06}"/>
    <dgm:cxn modelId="{BE64756C-087C-F742-AAD0-ED8AC4F0346E}" type="presOf" srcId="{808E46B1-EED0-C04B-A1B2-2AEC8EEE4170}" destId="{8E58548D-C9F9-7542-8D23-B3E92EA1A0AA}" srcOrd="0" destOrd="0" presId="urn:microsoft.com/office/officeart/2005/8/layout/cycle1"/>
    <dgm:cxn modelId="{A1C1D554-A033-354D-99E0-5E0E1FB2CA45}" type="presOf" srcId="{279B863D-9135-D345-B0F1-2E63580045D7}" destId="{3154E763-F5CB-1947-8E72-ED26AF246E4B}" srcOrd="0" destOrd="0" presId="urn:microsoft.com/office/officeart/2005/8/layout/cycle1"/>
    <dgm:cxn modelId="{6708B38F-B3DA-EF4D-88EC-7BA8C46F9B24}" type="presOf" srcId="{812F2212-EBA4-C045-9D60-E82892400887}" destId="{6ADF2404-F0F4-E24D-AF03-326A0534C6DB}" srcOrd="0" destOrd="0" presId="urn:microsoft.com/office/officeart/2005/8/layout/cycle1"/>
    <dgm:cxn modelId="{CC23614A-6FAF-F847-B7D4-F8540ACBC2FF}" srcId="{B75F7F44-6A6F-F74D-ACBF-14ADFD65835F}" destId="{F8483152-590D-FC4C-B41F-A59814629BCB}" srcOrd="6" destOrd="0" parTransId="{1379D354-B1CA-C547-89FB-8CC76B194280}" sibTransId="{9FC9FBAC-B1C9-8742-AA92-D476A89E65E3}"/>
    <dgm:cxn modelId="{391C63E5-3468-3241-AB2E-E2FBA187F4C7}" type="presOf" srcId="{B75F7F44-6A6F-F74D-ACBF-14ADFD65835F}" destId="{ADC3DFFC-6486-2549-B945-9F6087ACA98A}" srcOrd="0" destOrd="0" presId="urn:microsoft.com/office/officeart/2005/8/layout/cycle1"/>
    <dgm:cxn modelId="{37D34A5B-5840-274C-AD84-93922765500B}" type="presOf" srcId="{881B9FEF-0625-E249-BF43-F35C35C134F9}" destId="{2FA433EE-5646-6B43-BC47-6B0166939CC3}" srcOrd="0" destOrd="0" presId="urn:microsoft.com/office/officeart/2005/8/layout/cycle1"/>
    <dgm:cxn modelId="{E87C75EF-8DF0-5141-9A61-2DDC0A2948B2}" type="presOf" srcId="{A89BA115-FAF7-8E4B-9C55-F56ABD5CCE06}" destId="{5E91E276-C285-EC4B-95C2-1EA1BCE21F1C}" srcOrd="0" destOrd="0" presId="urn:microsoft.com/office/officeart/2005/8/layout/cycle1"/>
    <dgm:cxn modelId="{35AF0E80-33CB-FA4E-9519-38DF8829E745}" type="presParOf" srcId="{ADC3DFFC-6486-2549-B945-9F6087ACA98A}" destId="{8FA8495D-C073-8847-95C2-7E61C7AC0CD8}" srcOrd="0" destOrd="0" presId="urn:microsoft.com/office/officeart/2005/8/layout/cycle1"/>
    <dgm:cxn modelId="{D8BB1C65-4E44-A145-BD02-4394548EFD16}" type="presParOf" srcId="{ADC3DFFC-6486-2549-B945-9F6087ACA98A}" destId="{3154E763-F5CB-1947-8E72-ED26AF246E4B}" srcOrd="1" destOrd="0" presId="urn:microsoft.com/office/officeart/2005/8/layout/cycle1"/>
    <dgm:cxn modelId="{81213F71-D116-0349-AAC9-EC76E41DF20C}" type="presParOf" srcId="{ADC3DFFC-6486-2549-B945-9F6087ACA98A}" destId="{8C9CFF9C-EA60-7E48-A2FB-C384EAFB4D44}" srcOrd="2" destOrd="0" presId="urn:microsoft.com/office/officeart/2005/8/layout/cycle1"/>
    <dgm:cxn modelId="{D4998EB8-B214-1244-8603-283E58A19688}" type="presParOf" srcId="{ADC3DFFC-6486-2549-B945-9F6087ACA98A}" destId="{E2F1E172-71DE-7744-BBE4-6E824344AB09}" srcOrd="3" destOrd="0" presId="urn:microsoft.com/office/officeart/2005/8/layout/cycle1"/>
    <dgm:cxn modelId="{5B188677-F216-914C-9D9B-D0AAF68054EB}" type="presParOf" srcId="{ADC3DFFC-6486-2549-B945-9F6087ACA98A}" destId="{3E9DFDEF-F794-B44E-817F-547A228237BD}" srcOrd="4" destOrd="0" presId="urn:microsoft.com/office/officeart/2005/8/layout/cycle1"/>
    <dgm:cxn modelId="{843819B7-5DEA-1D4B-B0BA-541F8AD49265}" type="presParOf" srcId="{ADC3DFFC-6486-2549-B945-9F6087ACA98A}" destId="{F3275831-5130-A647-9AE6-2A1811422F28}" srcOrd="5" destOrd="0" presId="urn:microsoft.com/office/officeart/2005/8/layout/cycle1"/>
    <dgm:cxn modelId="{18C42C72-54BB-F746-8E2E-3793BDAE21F1}" type="presParOf" srcId="{ADC3DFFC-6486-2549-B945-9F6087ACA98A}" destId="{FFF10128-42F4-904D-A8AA-6E244667B8F5}" srcOrd="6" destOrd="0" presId="urn:microsoft.com/office/officeart/2005/8/layout/cycle1"/>
    <dgm:cxn modelId="{7BACA6C5-BA05-1D4F-9D5D-9A4B206988A2}" type="presParOf" srcId="{ADC3DFFC-6486-2549-B945-9F6087ACA98A}" destId="{6D4788A6-4022-CB48-A0DE-C5BE18DA9BD4}" srcOrd="7" destOrd="0" presId="urn:microsoft.com/office/officeart/2005/8/layout/cycle1"/>
    <dgm:cxn modelId="{228C036D-8D3A-0041-9F94-2B81DB70EAE8}" type="presParOf" srcId="{ADC3DFFC-6486-2549-B945-9F6087ACA98A}" destId="{10377AFC-3931-764D-B025-5FC3AD8D0128}" srcOrd="8" destOrd="0" presId="urn:microsoft.com/office/officeart/2005/8/layout/cycle1"/>
    <dgm:cxn modelId="{8CEAB598-861A-FF40-A1C8-2229C7472ADF}" type="presParOf" srcId="{ADC3DFFC-6486-2549-B945-9F6087ACA98A}" destId="{DFFEA32A-8939-1E44-A4DD-4EAD959B53A5}" srcOrd="9" destOrd="0" presId="urn:microsoft.com/office/officeart/2005/8/layout/cycle1"/>
    <dgm:cxn modelId="{13C76B0D-A0EF-3A43-A68D-2EA4E530C704}" type="presParOf" srcId="{ADC3DFFC-6486-2549-B945-9F6087ACA98A}" destId="{12F7E10F-D187-EE4B-9C89-C1EA0C61BBC2}" srcOrd="10" destOrd="0" presId="urn:microsoft.com/office/officeart/2005/8/layout/cycle1"/>
    <dgm:cxn modelId="{39DD4CA3-426C-D141-BEFB-34C6974C1E1C}" type="presParOf" srcId="{ADC3DFFC-6486-2549-B945-9F6087ACA98A}" destId="{33C0DAA2-F4B2-7B43-94BE-EE2A49B3E2B2}" srcOrd="11" destOrd="0" presId="urn:microsoft.com/office/officeart/2005/8/layout/cycle1"/>
    <dgm:cxn modelId="{6FBFA346-31C9-BB4B-8DE6-28AAC39C45B0}" type="presParOf" srcId="{ADC3DFFC-6486-2549-B945-9F6087ACA98A}" destId="{C37B981A-64F1-8946-A435-0C2DF0313B44}" srcOrd="12" destOrd="0" presId="urn:microsoft.com/office/officeart/2005/8/layout/cycle1"/>
    <dgm:cxn modelId="{39276040-9CD4-BB44-9377-8BD269AA0AD9}" type="presParOf" srcId="{ADC3DFFC-6486-2549-B945-9F6087ACA98A}" destId="{84E67944-B303-7E43-BDA2-C6DD4B92BDE0}" srcOrd="13" destOrd="0" presId="urn:microsoft.com/office/officeart/2005/8/layout/cycle1"/>
    <dgm:cxn modelId="{E3C6B81A-5C7C-3047-954A-79E36E0521C1}" type="presParOf" srcId="{ADC3DFFC-6486-2549-B945-9F6087ACA98A}" destId="{8E58548D-C9F9-7542-8D23-B3E92EA1A0AA}" srcOrd="14" destOrd="0" presId="urn:microsoft.com/office/officeart/2005/8/layout/cycle1"/>
    <dgm:cxn modelId="{29DFA2FF-24FE-AC4D-B7CB-E9BC3E66B303}" type="presParOf" srcId="{ADC3DFFC-6486-2549-B945-9F6087ACA98A}" destId="{8DA97D3A-8C1D-9D46-85AE-BD62663DF9E3}" srcOrd="15" destOrd="0" presId="urn:microsoft.com/office/officeart/2005/8/layout/cycle1"/>
    <dgm:cxn modelId="{5E00A274-7343-8F4F-8101-60D96C4A1E1C}" type="presParOf" srcId="{ADC3DFFC-6486-2549-B945-9F6087ACA98A}" destId="{6ADF2404-F0F4-E24D-AF03-326A0534C6DB}" srcOrd="16" destOrd="0" presId="urn:microsoft.com/office/officeart/2005/8/layout/cycle1"/>
    <dgm:cxn modelId="{5CCF1934-3B8C-D547-8C94-4C2FA391D2A9}" type="presParOf" srcId="{ADC3DFFC-6486-2549-B945-9F6087ACA98A}" destId="{D45E2600-09F6-3F49-AAA3-4D0F4ED8B196}" srcOrd="17" destOrd="0" presId="urn:microsoft.com/office/officeart/2005/8/layout/cycle1"/>
    <dgm:cxn modelId="{B0B49893-318E-104F-ACB2-6A55C14A65DB}" type="presParOf" srcId="{ADC3DFFC-6486-2549-B945-9F6087ACA98A}" destId="{0BA7EBB2-2946-044A-9E8B-06AE3B9400E5}" srcOrd="18" destOrd="0" presId="urn:microsoft.com/office/officeart/2005/8/layout/cycle1"/>
    <dgm:cxn modelId="{FD96E018-B93A-7A44-82CC-4EB69F7D7828}" type="presParOf" srcId="{ADC3DFFC-6486-2549-B945-9F6087ACA98A}" destId="{D9AB7F56-7667-3B4A-9D58-A0EAAE76C952}" srcOrd="19" destOrd="0" presId="urn:microsoft.com/office/officeart/2005/8/layout/cycle1"/>
    <dgm:cxn modelId="{CD23D3D9-2030-1D45-81E0-C5BAE26BCBA3}" type="presParOf" srcId="{ADC3DFFC-6486-2549-B945-9F6087ACA98A}" destId="{535F6F6D-707A-DA43-9DEC-5C3FF63E64E7}" srcOrd="20" destOrd="0" presId="urn:microsoft.com/office/officeart/2005/8/layout/cycle1"/>
    <dgm:cxn modelId="{2B2934BF-1D61-4746-83A1-3AC93D96345B}" type="presParOf" srcId="{ADC3DFFC-6486-2549-B945-9F6087ACA98A}" destId="{E5CE830D-CDD6-B147-8B7A-2637CEA429C1}" srcOrd="21" destOrd="0" presId="urn:microsoft.com/office/officeart/2005/8/layout/cycle1"/>
    <dgm:cxn modelId="{8621B85A-3468-2340-8F44-9D425E0B8E74}" type="presParOf" srcId="{ADC3DFFC-6486-2549-B945-9F6087ACA98A}" destId="{2FA433EE-5646-6B43-BC47-6B0166939CC3}" srcOrd="22" destOrd="0" presId="urn:microsoft.com/office/officeart/2005/8/layout/cycle1"/>
    <dgm:cxn modelId="{0E8E48AD-1830-CE4C-B51D-F75FB10128AE}" type="presParOf" srcId="{ADC3DFFC-6486-2549-B945-9F6087ACA98A}" destId="{5E91E276-C285-EC4B-95C2-1EA1BCE21F1C}" srcOrd="23" destOrd="0" presId="urn:microsoft.com/office/officeart/2005/8/layout/cycle1"/>
    <dgm:cxn modelId="{F320404F-4E6B-FA48-93B5-3C1E6F71EB11}" type="presParOf" srcId="{ADC3DFFC-6486-2549-B945-9F6087ACA98A}" destId="{17262509-C3E0-F749-8656-C805C8DD58EE}" srcOrd="24" destOrd="0" presId="urn:microsoft.com/office/officeart/2005/8/layout/cycle1"/>
    <dgm:cxn modelId="{96087346-E762-6242-8D07-C069F7ED6BCD}" type="presParOf" srcId="{ADC3DFFC-6486-2549-B945-9F6087ACA98A}" destId="{267571A2-FDAC-3344-B2A1-A8515408A4C0}" srcOrd="25" destOrd="0" presId="urn:microsoft.com/office/officeart/2005/8/layout/cycle1"/>
    <dgm:cxn modelId="{DD59501F-5AB8-4649-A7F1-D72FB8369878}" type="presParOf" srcId="{ADC3DFFC-6486-2549-B945-9F6087ACA98A}" destId="{B1454B0E-F18A-6F49-A738-96CCFFF5F204}" srcOrd="26" destOrd="0" presId="urn:microsoft.com/office/officeart/2005/8/layout/cycle1"/>
  </dgm:cxnLst>
  <dgm:bg/>
  <dgm:whole/>
  <dgm:extLst>
    <a:ext uri="http://schemas.microsoft.com/office/drawing/2008/diagram">
      <dsp:dataModelExt xmlns:dsp="http://schemas.microsoft.com/office/drawing/2008/diagram" relId="rId30"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3154E763-F5CB-1947-8E72-ED26AF246E4B}">
      <dsp:nvSpPr>
        <dsp:cNvPr id="0" name=""/>
        <dsp:cNvSpPr/>
      </dsp:nvSpPr>
      <dsp:spPr>
        <a:xfrm>
          <a:off x="1413843" y="1"/>
          <a:ext cx="869" cy="722"/>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2700" tIns="12700" rIns="12700" bIns="12700" numCol="1" spcCol="1270" anchor="ctr" anchorCtr="0">
          <a:noAutofit/>
        </a:bodyPr>
        <a:lstStyle/>
        <a:p>
          <a:pPr lvl="0" algn="ctr" defTabSz="444500">
            <a:lnSpc>
              <a:spcPct val="90000"/>
            </a:lnSpc>
            <a:spcBef>
              <a:spcPct val="0"/>
            </a:spcBef>
            <a:spcAft>
              <a:spcPct val="35000"/>
            </a:spcAft>
          </a:pPr>
          <a:r>
            <a:rPr lang="en-US" sz="1000" b="1" kern="1200">
              <a:latin typeface="Arial"/>
              <a:cs typeface="Arial"/>
            </a:rPr>
            <a:t>Objective Setting</a:t>
          </a:r>
        </a:p>
      </dsp:txBody>
      <dsp:txXfrm>
        <a:off x="1413843" y="1"/>
        <a:ext cx="869" cy="722"/>
      </dsp:txXfrm>
    </dsp:sp>
    <dsp:sp modelId="{8C9CFF9C-EA60-7E48-A2FB-C384EAFB4D44}">
      <dsp:nvSpPr>
        <dsp:cNvPr id="0" name=""/>
        <dsp:cNvSpPr/>
      </dsp:nvSpPr>
      <dsp:spPr>
        <a:xfrm>
          <a:off x="1411112" y="75"/>
          <a:ext cx="4794" cy="4794"/>
        </a:xfrm>
        <a:prstGeom prst="circularArrow">
          <a:avLst>
            <a:gd name="adj1" fmla="val 75088"/>
            <a:gd name="adj2" fmla="val 6397934"/>
            <a:gd name="adj3" fmla="val 12719700"/>
            <a:gd name="adj4" fmla="val 18143277"/>
            <a:gd name="adj5" fmla="val 37544"/>
          </a:avLst>
        </a:prstGeom>
        <a:gradFill rotWithShape="0">
          <a:gsLst>
            <a:gs pos="0">
              <a:schemeClr val="accent3">
                <a:hueOff val="0"/>
                <a:satOff val="0"/>
                <a:lumOff val="0"/>
                <a:alphaOff val="0"/>
                <a:tint val="100000"/>
                <a:shade val="100000"/>
                <a:satMod val="130000"/>
              </a:schemeClr>
            </a:gs>
            <a:gs pos="100000">
              <a:schemeClr val="accent3">
                <a:hueOff val="0"/>
                <a:satOff val="0"/>
                <a:lumOff val="0"/>
                <a:alphaOff val="0"/>
                <a:tint val="50000"/>
                <a:shade val="100000"/>
                <a:satMod val="350000"/>
              </a:scheme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sp>
    <dsp:sp modelId="{3E9DFDEF-F794-B44E-817F-547A228237BD}">
      <dsp:nvSpPr>
        <dsp:cNvPr id="0" name=""/>
        <dsp:cNvSpPr/>
      </dsp:nvSpPr>
      <dsp:spPr>
        <a:xfrm>
          <a:off x="1414984" y="988"/>
          <a:ext cx="938" cy="722"/>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2700" tIns="12700" rIns="12700" bIns="12700" numCol="1" spcCol="1270" anchor="ctr" anchorCtr="0">
          <a:noAutofit/>
        </a:bodyPr>
        <a:lstStyle/>
        <a:p>
          <a:pPr lvl="0" algn="ctr" defTabSz="444500">
            <a:lnSpc>
              <a:spcPct val="90000"/>
            </a:lnSpc>
            <a:spcBef>
              <a:spcPct val="0"/>
            </a:spcBef>
            <a:spcAft>
              <a:spcPct val="35000"/>
            </a:spcAft>
          </a:pPr>
          <a:r>
            <a:rPr lang="en-US" sz="1000" b="1" kern="1200">
              <a:latin typeface="Arial"/>
              <a:cs typeface="Arial"/>
            </a:rPr>
            <a:t>Strategising</a:t>
          </a:r>
        </a:p>
      </dsp:txBody>
      <dsp:txXfrm>
        <a:off x="1414984" y="988"/>
        <a:ext cx="938" cy="722"/>
      </dsp:txXfrm>
    </dsp:sp>
    <dsp:sp modelId="{F3275831-5130-A647-9AE6-2A1811422F28}">
      <dsp:nvSpPr>
        <dsp:cNvPr id="0" name=""/>
        <dsp:cNvSpPr/>
      </dsp:nvSpPr>
      <dsp:spPr>
        <a:xfrm>
          <a:off x="1411112" y="75"/>
          <a:ext cx="4794" cy="4794"/>
        </a:xfrm>
        <a:prstGeom prst="circularArrow">
          <a:avLst>
            <a:gd name="adj1" fmla="val 75088"/>
            <a:gd name="adj2" fmla="val 6397934"/>
            <a:gd name="adj3" fmla="val 15245702"/>
            <a:gd name="adj4" fmla="val 20410879"/>
            <a:gd name="adj5" fmla="val 37544"/>
          </a:avLst>
        </a:prstGeom>
        <a:gradFill rotWithShape="0">
          <a:gsLst>
            <a:gs pos="0">
              <a:schemeClr val="accent3">
                <a:hueOff val="0"/>
                <a:satOff val="0"/>
                <a:lumOff val="0"/>
                <a:alphaOff val="0"/>
                <a:tint val="100000"/>
                <a:shade val="100000"/>
                <a:satMod val="130000"/>
              </a:schemeClr>
            </a:gs>
            <a:gs pos="100000">
              <a:schemeClr val="accent3">
                <a:hueOff val="0"/>
                <a:satOff val="0"/>
                <a:lumOff val="0"/>
                <a:alphaOff val="0"/>
                <a:tint val="50000"/>
                <a:shade val="100000"/>
                <a:satMod val="350000"/>
              </a:scheme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sp>
    <dsp:sp modelId="{6D4788A6-4022-CB48-A0DE-C5BE18DA9BD4}">
      <dsp:nvSpPr>
        <dsp:cNvPr id="0" name=""/>
        <dsp:cNvSpPr/>
      </dsp:nvSpPr>
      <dsp:spPr>
        <a:xfrm>
          <a:off x="1415359" y="2500"/>
          <a:ext cx="722" cy="722"/>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2700" tIns="12700" rIns="12700" bIns="12700" numCol="1" spcCol="1270" anchor="ctr" anchorCtr="0">
          <a:noAutofit/>
        </a:bodyPr>
        <a:lstStyle/>
        <a:p>
          <a:pPr lvl="0" algn="ctr" defTabSz="444500">
            <a:lnSpc>
              <a:spcPct val="90000"/>
            </a:lnSpc>
            <a:spcBef>
              <a:spcPct val="0"/>
            </a:spcBef>
            <a:spcAft>
              <a:spcPct val="35000"/>
            </a:spcAft>
          </a:pPr>
          <a:r>
            <a:rPr lang="en-US" sz="1000" b="1" kern="1200">
              <a:latin typeface="Arial"/>
              <a:cs typeface="Arial"/>
            </a:rPr>
            <a:t>Work Planning</a:t>
          </a:r>
        </a:p>
      </dsp:txBody>
      <dsp:txXfrm>
        <a:off x="1415359" y="2500"/>
        <a:ext cx="722" cy="722"/>
      </dsp:txXfrm>
    </dsp:sp>
    <dsp:sp modelId="{10377AFC-3931-764D-B025-5FC3AD8D0128}">
      <dsp:nvSpPr>
        <dsp:cNvPr id="0" name=""/>
        <dsp:cNvSpPr/>
      </dsp:nvSpPr>
      <dsp:spPr>
        <a:xfrm>
          <a:off x="1411112" y="75"/>
          <a:ext cx="4794" cy="4794"/>
        </a:xfrm>
        <a:prstGeom prst="circularArrow">
          <a:avLst>
            <a:gd name="adj1" fmla="val 75088"/>
            <a:gd name="adj2" fmla="val 6397934"/>
            <a:gd name="adj3" fmla="val 17436182"/>
            <a:gd name="adj4" fmla="val 1172905"/>
            <a:gd name="adj5" fmla="val 37544"/>
          </a:avLst>
        </a:prstGeom>
        <a:gradFill rotWithShape="0">
          <a:gsLst>
            <a:gs pos="0">
              <a:schemeClr val="accent3">
                <a:hueOff val="0"/>
                <a:satOff val="0"/>
                <a:lumOff val="0"/>
                <a:alphaOff val="0"/>
                <a:tint val="100000"/>
                <a:shade val="100000"/>
                <a:satMod val="130000"/>
              </a:schemeClr>
            </a:gs>
            <a:gs pos="100000">
              <a:schemeClr val="accent3">
                <a:hueOff val="0"/>
                <a:satOff val="0"/>
                <a:lumOff val="0"/>
                <a:alphaOff val="0"/>
                <a:tint val="50000"/>
                <a:shade val="100000"/>
                <a:satMod val="350000"/>
              </a:scheme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sp>
    <dsp:sp modelId="{12F7E10F-D187-EE4B-9C89-C1EA0C61BBC2}">
      <dsp:nvSpPr>
        <dsp:cNvPr id="0" name=""/>
        <dsp:cNvSpPr/>
      </dsp:nvSpPr>
      <dsp:spPr>
        <a:xfrm>
          <a:off x="1414591" y="3830"/>
          <a:ext cx="722" cy="722"/>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2700" tIns="12700" rIns="12700" bIns="12700" numCol="1" spcCol="1270" anchor="ctr" anchorCtr="0">
          <a:noAutofit/>
        </a:bodyPr>
        <a:lstStyle/>
        <a:p>
          <a:pPr lvl="0" algn="ctr" defTabSz="444500">
            <a:lnSpc>
              <a:spcPct val="90000"/>
            </a:lnSpc>
            <a:spcBef>
              <a:spcPct val="0"/>
            </a:spcBef>
            <a:spcAft>
              <a:spcPct val="35000"/>
            </a:spcAft>
          </a:pPr>
          <a:r>
            <a:rPr lang="en-US" sz="1000" b="1" kern="1200">
              <a:latin typeface="Arial"/>
              <a:cs typeface="Arial"/>
            </a:rPr>
            <a:t>Budgeting</a:t>
          </a:r>
        </a:p>
      </dsp:txBody>
      <dsp:txXfrm>
        <a:off x="1414591" y="3830"/>
        <a:ext cx="722" cy="722"/>
      </dsp:txXfrm>
    </dsp:sp>
    <dsp:sp modelId="{33C0DAA2-F4B2-7B43-94BE-EE2A49B3E2B2}">
      <dsp:nvSpPr>
        <dsp:cNvPr id="0" name=""/>
        <dsp:cNvSpPr/>
      </dsp:nvSpPr>
      <dsp:spPr>
        <a:xfrm>
          <a:off x="1411112" y="75"/>
          <a:ext cx="4794" cy="4794"/>
        </a:xfrm>
        <a:prstGeom prst="circularArrow">
          <a:avLst>
            <a:gd name="adj1" fmla="val 75088"/>
            <a:gd name="adj2" fmla="val 6397934"/>
            <a:gd name="adj3" fmla="val 19947797"/>
            <a:gd name="adj4" fmla="val 3671691"/>
            <a:gd name="adj5" fmla="val 37544"/>
          </a:avLst>
        </a:prstGeom>
        <a:gradFill rotWithShape="0">
          <a:gsLst>
            <a:gs pos="0">
              <a:schemeClr val="accent3">
                <a:hueOff val="0"/>
                <a:satOff val="0"/>
                <a:lumOff val="0"/>
                <a:alphaOff val="0"/>
                <a:tint val="100000"/>
                <a:shade val="100000"/>
                <a:satMod val="130000"/>
              </a:schemeClr>
            </a:gs>
            <a:gs pos="100000">
              <a:schemeClr val="accent3">
                <a:hueOff val="0"/>
                <a:satOff val="0"/>
                <a:lumOff val="0"/>
                <a:alphaOff val="0"/>
                <a:tint val="50000"/>
                <a:shade val="100000"/>
                <a:satMod val="350000"/>
              </a:scheme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sp>
    <dsp:sp modelId="{84E67944-B303-7E43-BDA2-C6DD4B92BDE0}">
      <dsp:nvSpPr>
        <dsp:cNvPr id="0" name=""/>
        <dsp:cNvSpPr/>
      </dsp:nvSpPr>
      <dsp:spPr>
        <a:xfrm>
          <a:off x="1413085" y="4355"/>
          <a:ext cx="849" cy="722"/>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2700" tIns="12700" rIns="12700" bIns="12700" numCol="1" spcCol="1270" anchor="ctr" anchorCtr="0">
          <a:noAutofit/>
        </a:bodyPr>
        <a:lstStyle/>
        <a:p>
          <a:pPr lvl="0" algn="ctr" defTabSz="444500">
            <a:lnSpc>
              <a:spcPct val="90000"/>
            </a:lnSpc>
            <a:spcBef>
              <a:spcPct val="0"/>
            </a:spcBef>
            <a:spcAft>
              <a:spcPct val="35000"/>
            </a:spcAft>
          </a:pPr>
          <a:r>
            <a:rPr lang="en-US" sz="1000" b="1" kern="1200">
              <a:latin typeface="Arial"/>
              <a:cs typeface="Arial"/>
            </a:rPr>
            <a:t>Forecasting</a:t>
          </a:r>
        </a:p>
      </dsp:txBody>
      <dsp:txXfrm>
        <a:off x="1413085" y="4355"/>
        <a:ext cx="849" cy="722"/>
      </dsp:txXfrm>
    </dsp:sp>
    <dsp:sp modelId="{8E58548D-C9F9-7542-8D23-B3E92EA1A0AA}">
      <dsp:nvSpPr>
        <dsp:cNvPr id="0" name=""/>
        <dsp:cNvSpPr/>
      </dsp:nvSpPr>
      <dsp:spPr>
        <a:xfrm>
          <a:off x="1411112" y="75"/>
          <a:ext cx="4794" cy="4794"/>
        </a:xfrm>
        <a:prstGeom prst="circularArrow">
          <a:avLst>
            <a:gd name="adj1" fmla="val 75088"/>
            <a:gd name="adj2" fmla="val 6397934"/>
            <a:gd name="adj3" fmla="val 680716"/>
            <a:gd name="adj4" fmla="val 6054269"/>
            <a:gd name="adj5" fmla="val 37544"/>
          </a:avLst>
        </a:prstGeom>
        <a:gradFill rotWithShape="0">
          <a:gsLst>
            <a:gs pos="0">
              <a:schemeClr val="accent3">
                <a:hueOff val="0"/>
                <a:satOff val="0"/>
                <a:lumOff val="0"/>
                <a:alphaOff val="0"/>
                <a:tint val="100000"/>
                <a:shade val="100000"/>
                <a:satMod val="130000"/>
              </a:schemeClr>
            </a:gs>
            <a:gs pos="100000">
              <a:schemeClr val="accent3">
                <a:hueOff val="0"/>
                <a:satOff val="0"/>
                <a:lumOff val="0"/>
                <a:alphaOff val="0"/>
                <a:tint val="50000"/>
                <a:shade val="100000"/>
                <a:satMod val="350000"/>
              </a:scheme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sp>
    <dsp:sp modelId="{6ADF2404-F0F4-E24D-AF03-326A0534C6DB}">
      <dsp:nvSpPr>
        <dsp:cNvPr id="0" name=""/>
        <dsp:cNvSpPr/>
      </dsp:nvSpPr>
      <dsp:spPr>
        <a:xfrm>
          <a:off x="1411677" y="3830"/>
          <a:ext cx="779" cy="722"/>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2700" tIns="12700" rIns="12700" bIns="12700" numCol="1" spcCol="1270" anchor="ctr" anchorCtr="0">
          <a:noAutofit/>
        </a:bodyPr>
        <a:lstStyle/>
        <a:p>
          <a:pPr lvl="0" algn="ctr" defTabSz="444500">
            <a:lnSpc>
              <a:spcPct val="90000"/>
            </a:lnSpc>
            <a:spcBef>
              <a:spcPct val="0"/>
            </a:spcBef>
            <a:spcAft>
              <a:spcPct val="35000"/>
            </a:spcAft>
          </a:pPr>
          <a:r>
            <a:rPr lang="en-US" sz="1000" b="1" kern="1200">
              <a:latin typeface="Arial"/>
              <a:cs typeface="Arial"/>
            </a:rPr>
            <a:t>Implement-ation</a:t>
          </a:r>
        </a:p>
      </dsp:txBody>
      <dsp:txXfrm>
        <a:off x="1411677" y="3830"/>
        <a:ext cx="779" cy="722"/>
      </dsp:txXfrm>
    </dsp:sp>
    <dsp:sp modelId="{D45E2600-09F6-3F49-AAA3-4D0F4ED8B196}">
      <dsp:nvSpPr>
        <dsp:cNvPr id="0" name=""/>
        <dsp:cNvSpPr/>
      </dsp:nvSpPr>
      <dsp:spPr>
        <a:xfrm>
          <a:off x="1411112" y="75"/>
          <a:ext cx="4794" cy="4794"/>
        </a:xfrm>
        <a:prstGeom prst="circularArrow">
          <a:avLst>
            <a:gd name="adj1" fmla="val 75088"/>
            <a:gd name="adj2" fmla="val 6397934"/>
            <a:gd name="adj3" fmla="val 3229160"/>
            <a:gd name="adj4" fmla="val 8565884"/>
            <a:gd name="adj5" fmla="val 37544"/>
          </a:avLst>
        </a:prstGeom>
        <a:gradFill rotWithShape="0">
          <a:gsLst>
            <a:gs pos="0">
              <a:schemeClr val="accent3">
                <a:hueOff val="0"/>
                <a:satOff val="0"/>
                <a:lumOff val="0"/>
                <a:alphaOff val="0"/>
                <a:tint val="100000"/>
                <a:shade val="100000"/>
                <a:satMod val="130000"/>
              </a:schemeClr>
            </a:gs>
            <a:gs pos="100000">
              <a:schemeClr val="accent3">
                <a:hueOff val="0"/>
                <a:satOff val="0"/>
                <a:lumOff val="0"/>
                <a:alphaOff val="0"/>
                <a:tint val="50000"/>
                <a:shade val="100000"/>
                <a:satMod val="350000"/>
              </a:scheme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sp>
    <dsp:sp modelId="{D9AB7F56-7667-3B4A-9D58-A0EAAE76C952}">
      <dsp:nvSpPr>
        <dsp:cNvPr id="0" name=""/>
        <dsp:cNvSpPr/>
      </dsp:nvSpPr>
      <dsp:spPr>
        <a:xfrm>
          <a:off x="1410938" y="2500"/>
          <a:ext cx="722" cy="722"/>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6350" tIns="6350" rIns="6350" bIns="6350" numCol="1" spcCol="1270" anchor="ctr" anchorCtr="0">
          <a:noAutofit/>
        </a:bodyPr>
        <a:lstStyle/>
        <a:p>
          <a:pPr lvl="0" algn="ctr" defTabSz="222250">
            <a:lnSpc>
              <a:spcPct val="90000"/>
            </a:lnSpc>
            <a:spcBef>
              <a:spcPct val="0"/>
            </a:spcBef>
            <a:spcAft>
              <a:spcPct val="35000"/>
            </a:spcAft>
          </a:pPr>
          <a:r>
            <a:rPr lang="en-US" sz="500" b="1" kern="1200">
              <a:latin typeface="Arial"/>
              <a:cs typeface="Arial"/>
            </a:rPr>
            <a:t>Monitoring &amp; Evaluation</a:t>
          </a:r>
        </a:p>
      </dsp:txBody>
      <dsp:txXfrm>
        <a:off x="1410938" y="2500"/>
        <a:ext cx="722" cy="722"/>
      </dsp:txXfrm>
    </dsp:sp>
    <dsp:sp modelId="{535F6F6D-707A-DA43-9DEC-5C3FF63E64E7}">
      <dsp:nvSpPr>
        <dsp:cNvPr id="0" name=""/>
        <dsp:cNvSpPr/>
      </dsp:nvSpPr>
      <dsp:spPr>
        <a:xfrm>
          <a:off x="1411112" y="75"/>
          <a:ext cx="4794" cy="4794"/>
        </a:xfrm>
        <a:prstGeom prst="circularArrow">
          <a:avLst>
            <a:gd name="adj1" fmla="val 75088"/>
            <a:gd name="adj2" fmla="val 6397934"/>
            <a:gd name="adj3" fmla="val 5591187"/>
            <a:gd name="adj4" fmla="val 10756364"/>
            <a:gd name="adj5" fmla="val 37544"/>
          </a:avLst>
        </a:prstGeom>
        <a:gradFill rotWithShape="0">
          <a:gsLst>
            <a:gs pos="0">
              <a:schemeClr val="accent3">
                <a:hueOff val="0"/>
                <a:satOff val="0"/>
                <a:lumOff val="0"/>
                <a:alphaOff val="0"/>
                <a:tint val="100000"/>
                <a:shade val="100000"/>
                <a:satMod val="130000"/>
              </a:schemeClr>
            </a:gs>
            <a:gs pos="100000">
              <a:schemeClr val="accent3">
                <a:hueOff val="0"/>
                <a:satOff val="0"/>
                <a:lumOff val="0"/>
                <a:alphaOff val="0"/>
                <a:tint val="50000"/>
                <a:shade val="100000"/>
                <a:satMod val="350000"/>
              </a:scheme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sp>
    <dsp:sp modelId="{2FA433EE-5646-6B43-BC47-6B0166939CC3}">
      <dsp:nvSpPr>
        <dsp:cNvPr id="0" name=""/>
        <dsp:cNvSpPr/>
      </dsp:nvSpPr>
      <dsp:spPr>
        <a:xfrm>
          <a:off x="1411204" y="988"/>
          <a:ext cx="722" cy="722"/>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6350" tIns="6350" rIns="6350" bIns="6350" numCol="1" spcCol="1270" anchor="ctr" anchorCtr="0">
          <a:noAutofit/>
        </a:bodyPr>
        <a:lstStyle/>
        <a:p>
          <a:pPr lvl="0" algn="ctr" defTabSz="222250">
            <a:lnSpc>
              <a:spcPct val="90000"/>
            </a:lnSpc>
            <a:spcBef>
              <a:spcPct val="0"/>
            </a:spcBef>
            <a:spcAft>
              <a:spcPct val="35000"/>
            </a:spcAft>
          </a:pPr>
          <a:r>
            <a:rPr lang="en-US" sz="500" b="1" kern="1200">
              <a:latin typeface="Arial"/>
              <a:cs typeface="Arial"/>
            </a:rPr>
            <a:t>Reflection &amp; Reporting</a:t>
          </a:r>
        </a:p>
      </dsp:txBody>
      <dsp:txXfrm>
        <a:off x="1411204" y="988"/>
        <a:ext cx="722" cy="722"/>
      </dsp:txXfrm>
    </dsp:sp>
    <dsp:sp modelId="{5E91E276-C285-EC4B-95C2-1EA1BCE21F1C}">
      <dsp:nvSpPr>
        <dsp:cNvPr id="0" name=""/>
        <dsp:cNvSpPr/>
      </dsp:nvSpPr>
      <dsp:spPr>
        <a:xfrm>
          <a:off x="1411112" y="75"/>
          <a:ext cx="4794" cy="4794"/>
        </a:xfrm>
        <a:prstGeom prst="circularArrow">
          <a:avLst>
            <a:gd name="adj1" fmla="val 75088"/>
            <a:gd name="adj2" fmla="val 6397934"/>
            <a:gd name="adj3" fmla="val 7990243"/>
            <a:gd name="adj4" fmla="val 13282366"/>
            <a:gd name="adj5" fmla="val 37544"/>
          </a:avLst>
        </a:prstGeom>
        <a:gradFill rotWithShape="0">
          <a:gsLst>
            <a:gs pos="0">
              <a:schemeClr val="accent3">
                <a:hueOff val="0"/>
                <a:satOff val="0"/>
                <a:lumOff val="0"/>
                <a:alphaOff val="0"/>
                <a:tint val="100000"/>
                <a:shade val="100000"/>
                <a:satMod val="130000"/>
              </a:schemeClr>
            </a:gs>
            <a:gs pos="100000">
              <a:schemeClr val="accent3">
                <a:hueOff val="0"/>
                <a:satOff val="0"/>
                <a:lumOff val="0"/>
                <a:alphaOff val="0"/>
                <a:tint val="50000"/>
                <a:shade val="100000"/>
                <a:satMod val="350000"/>
              </a:scheme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sp>
    <dsp:sp modelId="{267571A2-FDAC-3344-B2A1-A8515408A4C0}">
      <dsp:nvSpPr>
        <dsp:cNvPr id="0" name=""/>
        <dsp:cNvSpPr/>
      </dsp:nvSpPr>
      <dsp:spPr>
        <a:xfrm>
          <a:off x="1412381" y="1"/>
          <a:ext cx="722" cy="722"/>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2700" tIns="12700" rIns="12700" bIns="12700" numCol="1" spcCol="1270" anchor="ctr" anchorCtr="0">
          <a:noAutofit/>
        </a:bodyPr>
        <a:lstStyle/>
        <a:p>
          <a:pPr lvl="0" algn="ctr" defTabSz="444500">
            <a:lnSpc>
              <a:spcPct val="90000"/>
            </a:lnSpc>
            <a:spcBef>
              <a:spcPct val="0"/>
            </a:spcBef>
            <a:spcAft>
              <a:spcPct val="35000"/>
            </a:spcAft>
          </a:pPr>
          <a:r>
            <a:rPr lang="en-US" sz="1000" b="1" kern="1200">
              <a:latin typeface="Arial"/>
              <a:cs typeface="Arial"/>
            </a:rPr>
            <a:t>Analysis</a:t>
          </a:r>
        </a:p>
      </dsp:txBody>
      <dsp:txXfrm>
        <a:off x="1412381" y="1"/>
        <a:ext cx="722" cy="722"/>
      </dsp:txXfrm>
    </dsp:sp>
    <dsp:sp modelId="{B1454B0E-F18A-6F49-A738-96CCFFF5F204}">
      <dsp:nvSpPr>
        <dsp:cNvPr id="0" name=""/>
        <dsp:cNvSpPr/>
      </dsp:nvSpPr>
      <dsp:spPr>
        <a:xfrm>
          <a:off x="1411112" y="75"/>
          <a:ext cx="4794" cy="4794"/>
        </a:xfrm>
        <a:prstGeom prst="circularArrow">
          <a:avLst>
            <a:gd name="adj1" fmla="val 75088"/>
            <a:gd name="adj2" fmla="val 6397934"/>
            <a:gd name="adj3" fmla="val 10314087"/>
            <a:gd name="adj4" fmla="val 15574092"/>
            <a:gd name="adj5" fmla="val 37544"/>
          </a:avLst>
        </a:prstGeom>
        <a:gradFill rotWithShape="0">
          <a:gsLst>
            <a:gs pos="0">
              <a:schemeClr val="accent3">
                <a:hueOff val="0"/>
                <a:satOff val="0"/>
                <a:lumOff val="0"/>
                <a:alphaOff val="0"/>
                <a:tint val="100000"/>
                <a:shade val="100000"/>
                <a:satMod val="130000"/>
              </a:schemeClr>
            </a:gs>
            <a:gs pos="100000">
              <a:schemeClr val="accent3">
                <a:hueOff val="0"/>
                <a:satOff val="0"/>
                <a:lumOff val="0"/>
                <a:alphaOff val="0"/>
                <a:tint val="50000"/>
                <a:shade val="100000"/>
                <a:satMod val="350000"/>
              </a:scheme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3154E763-F5CB-1947-8E72-ED26AF246E4B}">
      <dsp:nvSpPr>
        <dsp:cNvPr id="0" name=""/>
        <dsp:cNvSpPr/>
      </dsp:nvSpPr>
      <dsp:spPr>
        <a:xfrm>
          <a:off x="2525100" y="1"/>
          <a:ext cx="857" cy="712"/>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2700" tIns="12700" rIns="12700" bIns="12700" numCol="1" spcCol="1270" anchor="ctr" anchorCtr="0">
          <a:noAutofit/>
        </a:bodyPr>
        <a:lstStyle/>
        <a:p>
          <a:pPr lvl="0" algn="ctr" defTabSz="444500">
            <a:lnSpc>
              <a:spcPct val="90000"/>
            </a:lnSpc>
            <a:spcBef>
              <a:spcPct val="0"/>
            </a:spcBef>
            <a:spcAft>
              <a:spcPct val="35000"/>
            </a:spcAft>
          </a:pPr>
          <a:r>
            <a:rPr lang="en-US" sz="1000" b="1" kern="1200">
              <a:latin typeface="Arial"/>
              <a:cs typeface="Arial"/>
            </a:rPr>
            <a:t>Objective Setting</a:t>
          </a:r>
        </a:p>
      </dsp:txBody>
      <dsp:txXfrm>
        <a:off x="2525100" y="1"/>
        <a:ext cx="857" cy="712"/>
      </dsp:txXfrm>
    </dsp:sp>
    <dsp:sp modelId="{8C9CFF9C-EA60-7E48-A2FB-C384EAFB4D44}">
      <dsp:nvSpPr>
        <dsp:cNvPr id="0" name=""/>
        <dsp:cNvSpPr/>
      </dsp:nvSpPr>
      <dsp:spPr>
        <a:xfrm>
          <a:off x="2522359" y="71"/>
          <a:ext cx="4801" cy="4801"/>
        </a:xfrm>
        <a:prstGeom prst="circularArrow">
          <a:avLst>
            <a:gd name="adj1" fmla="val 74977"/>
            <a:gd name="adj2" fmla="val 6374880"/>
            <a:gd name="adj3" fmla="val 12754594"/>
            <a:gd name="adj4" fmla="val 18130616"/>
            <a:gd name="adj5" fmla="val 37488"/>
          </a:avLst>
        </a:prstGeom>
        <a:gradFill rotWithShape="0">
          <a:gsLst>
            <a:gs pos="0">
              <a:schemeClr val="accent3">
                <a:hueOff val="0"/>
                <a:satOff val="0"/>
                <a:lumOff val="0"/>
                <a:alphaOff val="0"/>
                <a:tint val="100000"/>
                <a:shade val="100000"/>
                <a:satMod val="130000"/>
              </a:schemeClr>
            </a:gs>
            <a:gs pos="100000">
              <a:schemeClr val="accent3">
                <a:hueOff val="0"/>
                <a:satOff val="0"/>
                <a:lumOff val="0"/>
                <a:alphaOff val="0"/>
                <a:tint val="50000"/>
                <a:shade val="100000"/>
                <a:satMod val="350000"/>
              </a:scheme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sp>
    <dsp:sp modelId="{3E9DFDEF-F794-B44E-817F-547A228237BD}">
      <dsp:nvSpPr>
        <dsp:cNvPr id="0" name=""/>
        <dsp:cNvSpPr/>
      </dsp:nvSpPr>
      <dsp:spPr>
        <a:xfrm>
          <a:off x="2526297" y="990"/>
          <a:ext cx="823" cy="712"/>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2700" tIns="12700" rIns="12700" bIns="12700" numCol="1" spcCol="1270" anchor="ctr" anchorCtr="0">
          <a:noAutofit/>
        </a:bodyPr>
        <a:lstStyle/>
        <a:p>
          <a:pPr lvl="0" algn="ctr" defTabSz="444500">
            <a:lnSpc>
              <a:spcPct val="90000"/>
            </a:lnSpc>
            <a:spcBef>
              <a:spcPct val="0"/>
            </a:spcBef>
            <a:spcAft>
              <a:spcPct val="35000"/>
            </a:spcAft>
          </a:pPr>
          <a:r>
            <a:rPr lang="en-US" sz="1000" b="1" kern="1200">
              <a:latin typeface="Arial"/>
              <a:cs typeface="Arial"/>
            </a:rPr>
            <a:t>Strategising</a:t>
          </a:r>
        </a:p>
      </dsp:txBody>
      <dsp:txXfrm>
        <a:off x="2526297" y="990"/>
        <a:ext cx="823" cy="712"/>
      </dsp:txXfrm>
    </dsp:sp>
    <dsp:sp modelId="{F3275831-5130-A647-9AE6-2A1811422F28}">
      <dsp:nvSpPr>
        <dsp:cNvPr id="0" name=""/>
        <dsp:cNvSpPr/>
      </dsp:nvSpPr>
      <dsp:spPr>
        <a:xfrm>
          <a:off x="2522359" y="71"/>
          <a:ext cx="4801" cy="4801"/>
        </a:xfrm>
        <a:prstGeom prst="circularArrow">
          <a:avLst>
            <a:gd name="adj1" fmla="val 74977"/>
            <a:gd name="adj2" fmla="val 6374880"/>
            <a:gd name="adj3" fmla="val 15277655"/>
            <a:gd name="adj4" fmla="val 20401416"/>
            <a:gd name="adj5" fmla="val 37488"/>
          </a:avLst>
        </a:prstGeom>
        <a:gradFill rotWithShape="0">
          <a:gsLst>
            <a:gs pos="0">
              <a:schemeClr val="accent3">
                <a:hueOff val="0"/>
                <a:satOff val="0"/>
                <a:lumOff val="0"/>
                <a:alphaOff val="0"/>
                <a:tint val="100000"/>
                <a:shade val="100000"/>
                <a:satMod val="130000"/>
              </a:schemeClr>
            </a:gs>
            <a:gs pos="100000">
              <a:schemeClr val="accent3">
                <a:hueOff val="0"/>
                <a:satOff val="0"/>
                <a:lumOff val="0"/>
                <a:alphaOff val="0"/>
                <a:tint val="50000"/>
                <a:shade val="100000"/>
                <a:satMod val="350000"/>
              </a:scheme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sp>
    <dsp:sp modelId="{6D4788A6-4022-CB48-A0DE-C5BE18DA9BD4}">
      <dsp:nvSpPr>
        <dsp:cNvPr id="0" name=""/>
        <dsp:cNvSpPr/>
      </dsp:nvSpPr>
      <dsp:spPr>
        <a:xfrm>
          <a:off x="2526619" y="2506"/>
          <a:ext cx="712" cy="712"/>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2700" tIns="12700" rIns="12700" bIns="12700" numCol="1" spcCol="1270" anchor="ctr" anchorCtr="0">
          <a:noAutofit/>
        </a:bodyPr>
        <a:lstStyle/>
        <a:p>
          <a:pPr lvl="0" algn="ctr" defTabSz="444500">
            <a:lnSpc>
              <a:spcPct val="90000"/>
            </a:lnSpc>
            <a:spcBef>
              <a:spcPct val="0"/>
            </a:spcBef>
            <a:spcAft>
              <a:spcPct val="35000"/>
            </a:spcAft>
          </a:pPr>
          <a:r>
            <a:rPr lang="en-US" sz="1000" b="1" kern="1200">
              <a:latin typeface="Arial"/>
              <a:cs typeface="Arial"/>
            </a:rPr>
            <a:t>Work Planning</a:t>
          </a:r>
        </a:p>
      </dsp:txBody>
      <dsp:txXfrm>
        <a:off x="2526619" y="2506"/>
        <a:ext cx="712" cy="712"/>
      </dsp:txXfrm>
    </dsp:sp>
    <dsp:sp modelId="{10377AFC-3931-764D-B025-5FC3AD8D0128}">
      <dsp:nvSpPr>
        <dsp:cNvPr id="0" name=""/>
        <dsp:cNvSpPr/>
      </dsp:nvSpPr>
      <dsp:spPr>
        <a:xfrm>
          <a:off x="2522359" y="71"/>
          <a:ext cx="4801" cy="4801"/>
        </a:xfrm>
        <a:prstGeom prst="circularArrow">
          <a:avLst>
            <a:gd name="adj1" fmla="val 74977"/>
            <a:gd name="adj2" fmla="val 6374880"/>
            <a:gd name="adj3" fmla="val 17470426"/>
            <a:gd name="adj4" fmla="val 1163468"/>
            <a:gd name="adj5" fmla="val 37488"/>
          </a:avLst>
        </a:prstGeom>
        <a:gradFill rotWithShape="0">
          <a:gsLst>
            <a:gs pos="0">
              <a:schemeClr val="accent3">
                <a:hueOff val="0"/>
                <a:satOff val="0"/>
                <a:lumOff val="0"/>
                <a:alphaOff val="0"/>
                <a:tint val="100000"/>
                <a:shade val="100000"/>
                <a:satMod val="130000"/>
              </a:schemeClr>
            </a:gs>
            <a:gs pos="100000">
              <a:schemeClr val="accent3">
                <a:hueOff val="0"/>
                <a:satOff val="0"/>
                <a:lumOff val="0"/>
                <a:alphaOff val="0"/>
                <a:tint val="50000"/>
                <a:shade val="100000"/>
                <a:satMod val="350000"/>
              </a:scheme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sp>
    <dsp:sp modelId="{12F7E10F-D187-EE4B-9C89-C1EA0C61BBC2}">
      <dsp:nvSpPr>
        <dsp:cNvPr id="0" name=""/>
        <dsp:cNvSpPr/>
      </dsp:nvSpPr>
      <dsp:spPr>
        <a:xfrm>
          <a:off x="2525850" y="3839"/>
          <a:ext cx="712" cy="712"/>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2700" tIns="12700" rIns="12700" bIns="12700" numCol="1" spcCol="1270" anchor="ctr" anchorCtr="0">
          <a:noAutofit/>
        </a:bodyPr>
        <a:lstStyle/>
        <a:p>
          <a:pPr lvl="0" algn="ctr" defTabSz="444500">
            <a:lnSpc>
              <a:spcPct val="90000"/>
            </a:lnSpc>
            <a:spcBef>
              <a:spcPct val="0"/>
            </a:spcBef>
            <a:spcAft>
              <a:spcPct val="35000"/>
            </a:spcAft>
          </a:pPr>
          <a:r>
            <a:rPr lang="en-US" sz="1000" b="1" kern="1200">
              <a:latin typeface="Arial"/>
              <a:cs typeface="Arial"/>
            </a:rPr>
            <a:t>Budgeting</a:t>
          </a:r>
        </a:p>
      </dsp:txBody>
      <dsp:txXfrm>
        <a:off x="2525850" y="3839"/>
        <a:ext cx="712" cy="712"/>
      </dsp:txXfrm>
    </dsp:sp>
    <dsp:sp modelId="{33C0DAA2-F4B2-7B43-94BE-EE2A49B3E2B2}">
      <dsp:nvSpPr>
        <dsp:cNvPr id="0" name=""/>
        <dsp:cNvSpPr/>
      </dsp:nvSpPr>
      <dsp:spPr>
        <a:xfrm>
          <a:off x="2522359" y="71"/>
          <a:ext cx="4801" cy="4801"/>
        </a:xfrm>
        <a:prstGeom prst="circularArrow">
          <a:avLst>
            <a:gd name="adj1" fmla="val 74977"/>
            <a:gd name="adj2" fmla="val 6374880"/>
            <a:gd name="adj3" fmla="val 19981498"/>
            <a:gd name="adj4" fmla="val 3661529"/>
            <a:gd name="adj5" fmla="val 37488"/>
          </a:avLst>
        </a:prstGeom>
        <a:gradFill rotWithShape="0">
          <a:gsLst>
            <a:gs pos="0">
              <a:schemeClr val="accent3">
                <a:hueOff val="0"/>
                <a:satOff val="0"/>
                <a:lumOff val="0"/>
                <a:alphaOff val="0"/>
                <a:tint val="100000"/>
                <a:shade val="100000"/>
                <a:satMod val="130000"/>
              </a:schemeClr>
            </a:gs>
            <a:gs pos="100000">
              <a:schemeClr val="accent3">
                <a:hueOff val="0"/>
                <a:satOff val="0"/>
                <a:lumOff val="0"/>
                <a:alphaOff val="0"/>
                <a:tint val="50000"/>
                <a:shade val="100000"/>
                <a:satMod val="350000"/>
              </a:scheme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sp>
    <dsp:sp modelId="{84E67944-B303-7E43-BDA2-C6DD4B92BDE0}">
      <dsp:nvSpPr>
        <dsp:cNvPr id="0" name=""/>
        <dsp:cNvSpPr/>
      </dsp:nvSpPr>
      <dsp:spPr>
        <a:xfrm>
          <a:off x="2524341" y="4365"/>
          <a:ext cx="837" cy="712"/>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2700" tIns="12700" rIns="12700" bIns="12700" numCol="1" spcCol="1270" anchor="ctr" anchorCtr="0">
          <a:noAutofit/>
        </a:bodyPr>
        <a:lstStyle/>
        <a:p>
          <a:pPr lvl="0" algn="ctr" defTabSz="444500">
            <a:lnSpc>
              <a:spcPct val="90000"/>
            </a:lnSpc>
            <a:spcBef>
              <a:spcPct val="0"/>
            </a:spcBef>
            <a:spcAft>
              <a:spcPct val="35000"/>
            </a:spcAft>
          </a:pPr>
          <a:r>
            <a:rPr lang="en-US" sz="1000" b="1" kern="1200">
              <a:latin typeface="Arial"/>
              <a:cs typeface="Arial"/>
            </a:rPr>
            <a:t>Forecasting</a:t>
          </a:r>
        </a:p>
      </dsp:txBody>
      <dsp:txXfrm>
        <a:off x="2524341" y="4365"/>
        <a:ext cx="837" cy="712"/>
      </dsp:txXfrm>
    </dsp:sp>
    <dsp:sp modelId="{8E58548D-C9F9-7542-8D23-B3E92EA1A0AA}">
      <dsp:nvSpPr>
        <dsp:cNvPr id="0" name=""/>
        <dsp:cNvSpPr/>
      </dsp:nvSpPr>
      <dsp:spPr>
        <a:xfrm>
          <a:off x="2522359" y="71"/>
          <a:ext cx="4801" cy="4801"/>
        </a:xfrm>
        <a:prstGeom prst="circularArrow">
          <a:avLst>
            <a:gd name="adj1" fmla="val 74977"/>
            <a:gd name="adj2" fmla="val 6374880"/>
            <a:gd name="adj3" fmla="val 714651"/>
            <a:gd name="adj4" fmla="val 6043622"/>
            <a:gd name="adj5" fmla="val 37488"/>
          </a:avLst>
        </a:prstGeom>
        <a:gradFill rotWithShape="0">
          <a:gsLst>
            <a:gs pos="0">
              <a:schemeClr val="accent3">
                <a:hueOff val="0"/>
                <a:satOff val="0"/>
                <a:lumOff val="0"/>
                <a:alphaOff val="0"/>
                <a:tint val="100000"/>
                <a:shade val="100000"/>
                <a:satMod val="130000"/>
              </a:schemeClr>
            </a:gs>
            <a:gs pos="100000">
              <a:schemeClr val="accent3">
                <a:hueOff val="0"/>
                <a:satOff val="0"/>
                <a:lumOff val="0"/>
                <a:alphaOff val="0"/>
                <a:tint val="50000"/>
                <a:shade val="100000"/>
                <a:satMod val="350000"/>
              </a:scheme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sp>
    <dsp:sp modelId="{6ADF2404-F0F4-E24D-AF03-326A0534C6DB}">
      <dsp:nvSpPr>
        <dsp:cNvPr id="0" name=""/>
        <dsp:cNvSpPr/>
      </dsp:nvSpPr>
      <dsp:spPr>
        <a:xfrm>
          <a:off x="2522929" y="3839"/>
          <a:ext cx="768" cy="712"/>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2700" tIns="12700" rIns="12700" bIns="12700" numCol="1" spcCol="1270" anchor="ctr" anchorCtr="0">
          <a:noAutofit/>
        </a:bodyPr>
        <a:lstStyle/>
        <a:p>
          <a:pPr lvl="0" algn="ctr" defTabSz="444500">
            <a:lnSpc>
              <a:spcPct val="90000"/>
            </a:lnSpc>
            <a:spcBef>
              <a:spcPct val="0"/>
            </a:spcBef>
            <a:spcAft>
              <a:spcPct val="35000"/>
            </a:spcAft>
          </a:pPr>
          <a:r>
            <a:rPr lang="en-US" sz="1000" b="1" kern="1200">
              <a:latin typeface="Arial"/>
              <a:cs typeface="Arial"/>
            </a:rPr>
            <a:t>Implement-ation</a:t>
          </a:r>
        </a:p>
      </dsp:txBody>
      <dsp:txXfrm>
        <a:off x="2522929" y="3839"/>
        <a:ext cx="768" cy="712"/>
      </dsp:txXfrm>
    </dsp:sp>
    <dsp:sp modelId="{D45E2600-09F6-3F49-AAA3-4D0F4ED8B196}">
      <dsp:nvSpPr>
        <dsp:cNvPr id="0" name=""/>
        <dsp:cNvSpPr/>
      </dsp:nvSpPr>
      <dsp:spPr>
        <a:xfrm>
          <a:off x="2522359" y="71"/>
          <a:ext cx="4801" cy="4801"/>
        </a:xfrm>
        <a:prstGeom prst="circularArrow">
          <a:avLst>
            <a:gd name="adj1" fmla="val 74977"/>
            <a:gd name="adj2" fmla="val 6374880"/>
            <a:gd name="adj3" fmla="val 3261652"/>
            <a:gd name="adj4" fmla="val 8554695"/>
            <a:gd name="adj5" fmla="val 37488"/>
          </a:avLst>
        </a:prstGeom>
        <a:gradFill rotWithShape="0">
          <a:gsLst>
            <a:gs pos="0">
              <a:schemeClr val="accent3">
                <a:hueOff val="0"/>
                <a:satOff val="0"/>
                <a:lumOff val="0"/>
                <a:alphaOff val="0"/>
                <a:tint val="100000"/>
                <a:shade val="100000"/>
                <a:satMod val="130000"/>
              </a:schemeClr>
            </a:gs>
            <a:gs pos="100000">
              <a:schemeClr val="accent3">
                <a:hueOff val="0"/>
                <a:satOff val="0"/>
                <a:lumOff val="0"/>
                <a:alphaOff val="0"/>
                <a:tint val="50000"/>
                <a:shade val="100000"/>
                <a:satMod val="350000"/>
              </a:scheme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sp>
    <dsp:sp modelId="{D9AB7F56-7667-3B4A-9D58-A0EAAE76C952}">
      <dsp:nvSpPr>
        <dsp:cNvPr id="0" name=""/>
        <dsp:cNvSpPr/>
      </dsp:nvSpPr>
      <dsp:spPr>
        <a:xfrm>
          <a:off x="2522187" y="2506"/>
          <a:ext cx="712" cy="712"/>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6350" tIns="6350" rIns="6350" bIns="6350" numCol="1" spcCol="1270" anchor="ctr" anchorCtr="0">
          <a:noAutofit/>
        </a:bodyPr>
        <a:lstStyle/>
        <a:p>
          <a:pPr lvl="0" algn="ctr" defTabSz="222250">
            <a:lnSpc>
              <a:spcPct val="90000"/>
            </a:lnSpc>
            <a:spcBef>
              <a:spcPct val="0"/>
            </a:spcBef>
            <a:spcAft>
              <a:spcPct val="35000"/>
            </a:spcAft>
          </a:pPr>
          <a:r>
            <a:rPr lang="en-US" sz="500" b="1" kern="1200">
              <a:latin typeface="Arial"/>
              <a:cs typeface="Arial"/>
            </a:rPr>
            <a:t>Monitoring &amp; Evaluation</a:t>
          </a:r>
        </a:p>
      </dsp:txBody>
      <dsp:txXfrm>
        <a:off x="2522187" y="2506"/>
        <a:ext cx="712" cy="712"/>
      </dsp:txXfrm>
    </dsp:sp>
    <dsp:sp modelId="{535F6F6D-707A-DA43-9DEC-5C3FF63E64E7}">
      <dsp:nvSpPr>
        <dsp:cNvPr id="0" name=""/>
        <dsp:cNvSpPr/>
      </dsp:nvSpPr>
      <dsp:spPr>
        <a:xfrm>
          <a:off x="2522359" y="71"/>
          <a:ext cx="4801" cy="4801"/>
        </a:xfrm>
        <a:prstGeom prst="circularArrow">
          <a:avLst>
            <a:gd name="adj1" fmla="val 74977"/>
            <a:gd name="adj2" fmla="val 6374880"/>
            <a:gd name="adj3" fmla="val 5623704"/>
            <a:gd name="adj4" fmla="val 10747465"/>
            <a:gd name="adj5" fmla="val 37488"/>
          </a:avLst>
        </a:prstGeom>
        <a:gradFill rotWithShape="0">
          <a:gsLst>
            <a:gs pos="0">
              <a:schemeClr val="accent3">
                <a:hueOff val="0"/>
                <a:satOff val="0"/>
                <a:lumOff val="0"/>
                <a:alphaOff val="0"/>
                <a:tint val="100000"/>
                <a:shade val="100000"/>
                <a:satMod val="130000"/>
              </a:schemeClr>
            </a:gs>
            <a:gs pos="100000">
              <a:schemeClr val="accent3">
                <a:hueOff val="0"/>
                <a:satOff val="0"/>
                <a:lumOff val="0"/>
                <a:alphaOff val="0"/>
                <a:tint val="50000"/>
                <a:shade val="100000"/>
                <a:satMod val="350000"/>
              </a:scheme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sp>
    <dsp:sp modelId="{2FA433EE-5646-6B43-BC47-6B0166939CC3}">
      <dsp:nvSpPr>
        <dsp:cNvPr id="0" name=""/>
        <dsp:cNvSpPr/>
      </dsp:nvSpPr>
      <dsp:spPr>
        <a:xfrm>
          <a:off x="2522454" y="990"/>
          <a:ext cx="712" cy="712"/>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6350" tIns="6350" rIns="6350" bIns="6350" numCol="1" spcCol="1270" anchor="ctr" anchorCtr="0">
          <a:noAutofit/>
        </a:bodyPr>
        <a:lstStyle/>
        <a:p>
          <a:pPr lvl="0" algn="ctr" defTabSz="222250">
            <a:lnSpc>
              <a:spcPct val="90000"/>
            </a:lnSpc>
            <a:spcBef>
              <a:spcPct val="0"/>
            </a:spcBef>
            <a:spcAft>
              <a:spcPct val="35000"/>
            </a:spcAft>
          </a:pPr>
          <a:r>
            <a:rPr lang="en-US" sz="500" b="1" kern="1200">
              <a:latin typeface="Arial"/>
              <a:cs typeface="Arial"/>
            </a:rPr>
            <a:t>Reflection &amp; Reporting</a:t>
          </a:r>
        </a:p>
      </dsp:txBody>
      <dsp:txXfrm>
        <a:off x="2522454" y="990"/>
        <a:ext cx="712" cy="712"/>
      </dsp:txXfrm>
    </dsp:sp>
    <dsp:sp modelId="{5E91E276-C285-EC4B-95C2-1EA1BCE21F1C}">
      <dsp:nvSpPr>
        <dsp:cNvPr id="0" name=""/>
        <dsp:cNvSpPr/>
      </dsp:nvSpPr>
      <dsp:spPr>
        <a:xfrm>
          <a:off x="2522359" y="71"/>
          <a:ext cx="4801" cy="4801"/>
        </a:xfrm>
        <a:prstGeom prst="circularArrow">
          <a:avLst>
            <a:gd name="adj1" fmla="val 74977"/>
            <a:gd name="adj2" fmla="val 6374880"/>
            <a:gd name="adj3" fmla="val 8023584"/>
            <a:gd name="adj4" fmla="val 13270527"/>
            <a:gd name="adj5" fmla="val 37488"/>
          </a:avLst>
        </a:prstGeom>
        <a:gradFill rotWithShape="0">
          <a:gsLst>
            <a:gs pos="0">
              <a:schemeClr val="accent3">
                <a:hueOff val="0"/>
                <a:satOff val="0"/>
                <a:lumOff val="0"/>
                <a:alphaOff val="0"/>
                <a:tint val="100000"/>
                <a:shade val="100000"/>
                <a:satMod val="130000"/>
              </a:schemeClr>
            </a:gs>
            <a:gs pos="100000">
              <a:schemeClr val="accent3">
                <a:hueOff val="0"/>
                <a:satOff val="0"/>
                <a:lumOff val="0"/>
                <a:alphaOff val="0"/>
                <a:tint val="50000"/>
                <a:shade val="100000"/>
                <a:satMod val="350000"/>
              </a:scheme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sp>
    <dsp:sp modelId="{267571A2-FDAC-3344-B2A1-A8515408A4C0}">
      <dsp:nvSpPr>
        <dsp:cNvPr id="0" name=""/>
        <dsp:cNvSpPr/>
      </dsp:nvSpPr>
      <dsp:spPr>
        <a:xfrm>
          <a:off x="2523634" y="1"/>
          <a:ext cx="712" cy="712"/>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2700" tIns="12700" rIns="12700" bIns="12700" numCol="1" spcCol="1270" anchor="ctr" anchorCtr="0">
          <a:noAutofit/>
        </a:bodyPr>
        <a:lstStyle/>
        <a:p>
          <a:pPr lvl="0" algn="ctr" defTabSz="444500">
            <a:lnSpc>
              <a:spcPct val="90000"/>
            </a:lnSpc>
            <a:spcBef>
              <a:spcPct val="0"/>
            </a:spcBef>
            <a:spcAft>
              <a:spcPct val="35000"/>
            </a:spcAft>
          </a:pPr>
          <a:r>
            <a:rPr lang="en-US" sz="1000" b="1" kern="1200">
              <a:latin typeface="Arial"/>
              <a:cs typeface="Arial"/>
            </a:rPr>
            <a:t>Analysis</a:t>
          </a:r>
        </a:p>
      </dsp:txBody>
      <dsp:txXfrm>
        <a:off x="2523634" y="1"/>
        <a:ext cx="712" cy="712"/>
      </dsp:txXfrm>
    </dsp:sp>
    <dsp:sp modelId="{B1454B0E-F18A-6F49-A738-96CCFFF5F204}">
      <dsp:nvSpPr>
        <dsp:cNvPr id="0" name=""/>
        <dsp:cNvSpPr/>
      </dsp:nvSpPr>
      <dsp:spPr>
        <a:xfrm>
          <a:off x="2522359" y="71"/>
          <a:ext cx="4801" cy="4801"/>
        </a:xfrm>
        <a:prstGeom prst="circularArrow">
          <a:avLst>
            <a:gd name="adj1" fmla="val 74977"/>
            <a:gd name="adj2" fmla="val 6374880"/>
            <a:gd name="adj3" fmla="val 10347968"/>
            <a:gd name="adj4" fmla="val 15565043"/>
            <a:gd name="adj5" fmla="val 37488"/>
          </a:avLst>
        </a:prstGeom>
        <a:gradFill rotWithShape="0">
          <a:gsLst>
            <a:gs pos="0">
              <a:schemeClr val="accent3">
                <a:hueOff val="0"/>
                <a:satOff val="0"/>
                <a:lumOff val="0"/>
                <a:alphaOff val="0"/>
                <a:tint val="100000"/>
                <a:shade val="100000"/>
                <a:satMod val="130000"/>
              </a:schemeClr>
            </a:gs>
            <a:gs pos="100000">
              <a:schemeClr val="accent3">
                <a:hueOff val="0"/>
                <a:satOff val="0"/>
                <a:lumOff val="0"/>
                <a:alphaOff val="0"/>
                <a:tint val="50000"/>
                <a:shade val="100000"/>
                <a:satMod val="350000"/>
              </a:scheme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sp>
  </dsp:spTree>
</dsp:drawing>
</file>

<file path=xl/diagrams/drawing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3154E763-F5CB-1947-8E72-ED26AF246E4B}">
      <dsp:nvSpPr>
        <dsp:cNvPr id="0" name=""/>
        <dsp:cNvSpPr/>
      </dsp:nvSpPr>
      <dsp:spPr>
        <a:xfrm>
          <a:off x="2850708" y="110250"/>
          <a:ext cx="854236" cy="710088"/>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2700" tIns="12700" rIns="12700" bIns="12700" numCol="1" spcCol="1270" anchor="ctr" anchorCtr="0">
          <a:noAutofit/>
        </a:bodyPr>
        <a:lstStyle/>
        <a:p>
          <a:pPr lvl="0" algn="ctr" defTabSz="444500">
            <a:lnSpc>
              <a:spcPct val="90000"/>
            </a:lnSpc>
            <a:spcBef>
              <a:spcPct val="0"/>
            </a:spcBef>
            <a:spcAft>
              <a:spcPct val="35000"/>
            </a:spcAft>
          </a:pPr>
          <a:r>
            <a:rPr lang="en-US" sz="1000" b="1" kern="1200">
              <a:latin typeface="Arial"/>
              <a:cs typeface="Arial"/>
            </a:rPr>
            <a:t>Objective Setting</a:t>
          </a:r>
        </a:p>
      </dsp:txBody>
      <dsp:txXfrm>
        <a:off x="2850708" y="110250"/>
        <a:ext cx="854236" cy="710088"/>
      </dsp:txXfrm>
    </dsp:sp>
    <dsp:sp modelId="{8C9CFF9C-EA60-7E48-A2FB-C384EAFB4D44}">
      <dsp:nvSpPr>
        <dsp:cNvPr id="0" name=""/>
        <dsp:cNvSpPr/>
      </dsp:nvSpPr>
      <dsp:spPr>
        <a:xfrm>
          <a:off x="172932" y="182502"/>
          <a:ext cx="4703654" cy="4703654"/>
        </a:xfrm>
        <a:prstGeom prst="circularArrow">
          <a:avLst>
            <a:gd name="adj1" fmla="val 2944"/>
            <a:gd name="adj2" fmla="val 180180"/>
            <a:gd name="adj3" fmla="val 18936102"/>
            <a:gd name="adj4" fmla="val 18144723"/>
            <a:gd name="adj5" fmla="val 3434"/>
          </a:avLst>
        </a:prstGeom>
        <a:gradFill rotWithShape="0">
          <a:gsLst>
            <a:gs pos="0">
              <a:schemeClr val="accent3">
                <a:hueOff val="0"/>
                <a:satOff val="0"/>
                <a:lumOff val="0"/>
                <a:alphaOff val="0"/>
                <a:tint val="100000"/>
                <a:shade val="100000"/>
                <a:satMod val="130000"/>
              </a:schemeClr>
            </a:gs>
            <a:gs pos="100000">
              <a:schemeClr val="accent3">
                <a:hueOff val="0"/>
                <a:satOff val="0"/>
                <a:lumOff val="0"/>
                <a:alphaOff val="0"/>
                <a:tint val="50000"/>
                <a:shade val="100000"/>
                <a:satMod val="350000"/>
              </a:scheme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sp>
    <dsp:sp modelId="{3E9DFDEF-F794-B44E-817F-547A228237BD}">
      <dsp:nvSpPr>
        <dsp:cNvPr id="0" name=""/>
        <dsp:cNvSpPr/>
      </dsp:nvSpPr>
      <dsp:spPr>
        <a:xfrm>
          <a:off x="4021541" y="1078374"/>
          <a:ext cx="820102" cy="710088"/>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2700" tIns="12700" rIns="12700" bIns="12700" numCol="1" spcCol="1270" anchor="ctr" anchorCtr="0">
          <a:noAutofit/>
        </a:bodyPr>
        <a:lstStyle/>
        <a:p>
          <a:pPr lvl="0" algn="ctr" defTabSz="444500">
            <a:lnSpc>
              <a:spcPct val="90000"/>
            </a:lnSpc>
            <a:spcBef>
              <a:spcPct val="0"/>
            </a:spcBef>
            <a:spcAft>
              <a:spcPct val="35000"/>
            </a:spcAft>
          </a:pPr>
          <a:r>
            <a:rPr lang="en-US" sz="1000" b="1" kern="1200">
              <a:latin typeface="Arial"/>
              <a:cs typeface="Arial"/>
            </a:rPr>
            <a:t>Strategising</a:t>
          </a:r>
        </a:p>
      </dsp:txBody>
      <dsp:txXfrm>
        <a:off x="4021541" y="1078374"/>
        <a:ext cx="820102" cy="710088"/>
      </dsp:txXfrm>
    </dsp:sp>
    <dsp:sp modelId="{F3275831-5130-A647-9AE6-2A1811422F28}">
      <dsp:nvSpPr>
        <dsp:cNvPr id="0" name=""/>
        <dsp:cNvSpPr/>
      </dsp:nvSpPr>
      <dsp:spPr>
        <a:xfrm>
          <a:off x="172932" y="182502"/>
          <a:ext cx="4703654" cy="4703654"/>
        </a:xfrm>
        <a:prstGeom prst="circularArrow">
          <a:avLst>
            <a:gd name="adj1" fmla="val 2944"/>
            <a:gd name="adj2" fmla="val 180180"/>
            <a:gd name="adj3" fmla="val 21462441"/>
            <a:gd name="adj4" fmla="val 20411957"/>
            <a:gd name="adj5" fmla="val 3434"/>
          </a:avLst>
        </a:prstGeom>
        <a:gradFill rotWithShape="0">
          <a:gsLst>
            <a:gs pos="0">
              <a:schemeClr val="accent3">
                <a:hueOff val="0"/>
                <a:satOff val="0"/>
                <a:lumOff val="0"/>
                <a:alphaOff val="0"/>
                <a:tint val="100000"/>
                <a:shade val="100000"/>
                <a:satMod val="130000"/>
              </a:schemeClr>
            </a:gs>
            <a:gs pos="100000">
              <a:schemeClr val="accent3">
                <a:hueOff val="0"/>
                <a:satOff val="0"/>
                <a:lumOff val="0"/>
                <a:alphaOff val="0"/>
                <a:tint val="50000"/>
                <a:shade val="100000"/>
                <a:satMod val="350000"/>
              </a:scheme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sp>
    <dsp:sp modelId="{6D4788A6-4022-CB48-A0DE-C5BE18DA9BD4}">
      <dsp:nvSpPr>
        <dsp:cNvPr id="0" name=""/>
        <dsp:cNvSpPr/>
      </dsp:nvSpPr>
      <dsp:spPr>
        <a:xfrm>
          <a:off x="4338086" y="2561627"/>
          <a:ext cx="710088" cy="710088"/>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2700" tIns="12700" rIns="12700" bIns="12700" numCol="1" spcCol="1270" anchor="ctr" anchorCtr="0">
          <a:noAutofit/>
        </a:bodyPr>
        <a:lstStyle/>
        <a:p>
          <a:pPr lvl="0" algn="ctr" defTabSz="444500">
            <a:lnSpc>
              <a:spcPct val="90000"/>
            </a:lnSpc>
            <a:spcBef>
              <a:spcPct val="0"/>
            </a:spcBef>
            <a:spcAft>
              <a:spcPct val="35000"/>
            </a:spcAft>
          </a:pPr>
          <a:r>
            <a:rPr lang="en-US" sz="1000" b="1" kern="1200">
              <a:latin typeface="Arial"/>
              <a:cs typeface="Arial"/>
            </a:rPr>
            <a:t>Work Planning</a:t>
          </a:r>
        </a:p>
      </dsp:txBody>
      <dsp:txXfrm>
        <a:off x="4338086" y="2561627"/>
        <a:ext cx="710088" cy="710088"/>
      </dsp:txXfrm>
    </dsp:sp>
    <dsp:sp modelId="{10377AFC-3931-764D-B025-5FC3AD8D0128}">
      <dsp:nvSpPr>
        <dsp:cNvPr id="0" name=""/>
        <dsp:cNvSpPr/>
      </dsp:nvSpPr>
      <dsp:spPr>
        <a:xfrm>
          <a:off x="172932" y="182502"/>
          <a:ext cx="4703654" cy="4703654"/>
        </a:xfrm>
        <a:prstGeom prst="circularArrow">
          <a:avLst>
            <a:gd name="adj1" fmla="val 2944"/>
            <a:gd name="adj2" fmla="val 180180"/>
            <a:gd name="adj3" fmla="val 2052661"/>
            <a:gd name="adj4" fmla="val 1173982"/>
            <a:gd name="adj5" fmla="val 3434"/>
          </a:avLst>
        </a:prstGeom>
        <a:gradFill rotWithShape="0">
          <a:gsLst>
            <a:gs pos="0">
              <a:schemeClr val="accent3">
                <a:hueOff val="0"/>
                <a:satOff val="0"/>
                <a:lumOff val="0"/>
                <a:alphaOff val="0"/>
                <a:tint val="100000"/>
                <a:shade val="100000"/>
                <a:satMod val="130000"/>
              </a:schemeClr>
            </a:gs>
            <a:gs pos="100000">
              <a:schemeClr val="accent3">
                <a:hueOff val="0"/>
                <a:satOff val="0"/>
                <a:lumOff val="0"/>
                <a:alphaOff val="0"/>
                <a:tint val="50000"/>
                <a:shade val="100000"/>
                <a:satMod val="350000"/>
              </a:scheme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sp>
    <dsp:sp modelId="{12F7E10F-D187-EE4B-9C89-C1EA0C61BBC2}">
      <dsp:nvSpPr>
        <dsp:cNvPr id="0" name=""/>
        <dsp:cNvSpPr/>
      </dsp:nvSpPr>
      <dsp:spPr>
        <a:xfrm>
          <a:off x="3585019" y="3865978"/>
          <a:ext cx="710088" cy="710088"/>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2700" tIns="12700" rIns="12700" bIns="12700" numCol="1" spcCol="1270" anchor="ctr" anchorCtr="0">
          <a:noAutofit/>
        </a:bodyPr>
        <a:lstStyle/>
        <a:p>
          <a:pPr lvl="0" algn="ctr" defTabSz="444500">
            <a:lnSpc>
              <a:spcPct val="90000"/>
            </a:lnSpc>
            <a:spcBef>
              <a:spcPct val="0"/>
            </a:spcBef>
            <a:spcAft>
              <a:spcPct val="35000"/>
            </a:spcAft>
          </a:pPr>
          <a:r>
            <a:rPr lang="en-US" sz="1000" b="1" kern="1200">
              <a:latin typeface="Arial"/>
              <a:cs typeface="Arial"/>
            </a:rPr>
            <a:t>Budgeting</a:t>
          </a:r>
        </a:p>
      </dsp:txBody>
      <dsp:txXfrm>
        <a:off x="3585019" y="3865978"/>
        <a:ext cx="710088" cy="710088"/>
      </dsp:txXfrm>
    </dsp:sp>
    <dsp:sp modelId="{33C0DAA2-F4B2-7B43-94BE-EE2A49B3E2B2}">
      <dsp:nvSpPr>
        <dsp:cNvPr id="0" name=""/>
        <dsp:cNvSpPr/>
      </dsp:nvSpPr>
      <dsp:spPr>
        <a:xfrm>
          <a:off x="172932" y="182502"/>
          <a:ext cx="4703654" cy="4703654"/>
        </a:xfrm>
        <a:prstGeom prst="circularArrow">
          <a:avLst>
            <a:gd name="adj1" fmla="val 2944"/>
            <a:gd name="adj2" fmla="val 180180"/>
            <a:gd name="adj3" fmla="val 4564336"/>
            <a:gd name="adj4" fmla="val 3672849"/>
            <a:gd name="adj5" fmla="val 3434"/>
          </a:avLst>
        </a:prstGeom>
        <a:gradFill rotWithShape="0">
          <a:gsLst>
            <a:gs pos="0">
              <a:schemeClr val="accent3">
                <a:hueOff val="0"/>
                <a:satOff val="0"/>
                <a:lumOff val="0"/>
                <a:alphaOff val="0"/>
                <a:tint val="100000"/>
                <a:shade val="100000"/>
                <a:satMod val="130000"/>
              </a:schemeClr>
            </a:gs>
            <a:gs pos="100000">
              <a:schemeClr val="accent3">
                <a:hueOff val="0"/>
                <a:satOff val="0"/>
                <a:lumOff val="0"/>
                <a:alphaOff val="0"/>
                <a:tint val="50000"/>
                <a:shade val="100000"/>
                <a:satMod val="350000"/>
              </a:scheme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sp>
    <dsp:sp modelId="{84E67944-B303-7E43-BDA2-C6DD4B92BDE0}">
      <dsp:nvSpPr>
        <dsp:cNvPr id="0" name=""/>
        <dsp:cNvSpPr/>
      </dsp:nvSpPr>
      <dsp:spPr>
        <a:xfrm>
          <a:off x="2107472" y="4381106"/>
          <a:ext cx="834574" cy="710088"/>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2700" tIns="12700" rIns="12700" bIns="12700" numCol="1" spcCol="1270" anchor="ctr" anchorCtr="0">
          <a:noAutofit/>
        </a:bodyPr>
        <a:lstStyle/>
        <a:p>
          <a:pPr lvl="0" algn="ctr" defTabSz="444500">
            <a:lnSpc>
              <a:spcPct val="90000"/>
            </a:lnSpc>
            <a:spcBef>
              <a:spcPct val="0"/>
            </a:spcBef>
            <a:spcAft>
              <a:spcPct val="35000"/>
            </a:spcAft>
          </a:pPr>
          <a:r>
            <a:rPr lang="en-US" sz="1000" b="1" kern="1200">
              <a:latin typeface="Arial"/>
              <a:cs typeface="Arial"/>
            </a:rPr>
            <a:t>Forecasting</a:t>
          </a:r>
        </a:p>
      </dsp:txBody>
      <dsp:txXfrm>
        <a:off x="2107472" y="4381106"/>
        <a:ext cx="834574" cy="710088"/>
      </dsp:txXfrm>
    </dsp:sp>
    <dsp:sp modelId="{8E58548D-C9F9-7542-8D23-B3E92EA1A0AA}">
      <dsp:nvSpPr>
        <dsp:cNvPr id="0" name=""/>
        <dsp:cNvSpPr/>
      </dsp:nvSpPr>
      <dsp:spPr>
        <a:xfrm>
          <a:off x="172932" y="182502"/>
          <a:ext cx="4703654" cy="4703654"/>
        </a:xfrm>
        <a:prstGeom prst="circularArrow">
          <a:avLst>
            <a:gd name="adj1" fmla="val 2944"/>
            <a:gd name="adj2" fmla="val 180180"/>
            <a:gd name="adj3" fmla="val 6897231"/>
            <a:gd name="adj4" fmla="val 6055483"/>
            <a:gd name="adj5" fmla="val 3434"/>
          </a:avLst>
        </a:prstGeom>
        <a:gradFill rotWithShape="0">
          <a:gsLst>
            <a:gs pos="0">
              <a:schemeClr val="accent3">
                <a:hueOff val="0"/>
                <a:satOff val="0"/>
                <a:lumOff val="0"/>
                <a:alphaOff val="0"/>
                <a:tint val="100000"/>
                <a:shade val="100000"/>
                <a:satMod val="130000"/>
              </a:schemeClr>
            </a:gs>
            <a:gs pos="100000">
              <a:schemeClr val="accent3">
                <a:hueOff val="0"/>
                <a:satOff val="0"/>
                <a:lumOff val="0"/>
                <a:alphaOff val="0"/>
                <a:tint val="50000"/>
                <a:shade val="100000"/>
                <a:satMod val="350000"/>
              </a:scheme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sp>
    <dsp:sp modelId="{6ADF2404-F0F4-E24D-AF03-326A0534C6DB}">
      <dsp:nvSpPr>
        <dsp:cNvPr id="0" name=""/>
        <dsp:cNvSpPr/>
      </dsp:nvSpPr>
      <dsp:spPr>
        <a:xfrm>
          <a:off x="726381" y="3865978"/>
          <a:ext cx="766150" cy="710088"/>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2700" tIns="12700" rIns="12700" bIns="12700" numCol="1" spcCol="1270" anchor="ctr" anchorCtr="0">
          <a:noAutofit/>
        </a:bodyPr>
        <a:lstStyle/>
        <a:p>
          <a:pPr lvl="0" algn="ctr" defTabSz="444500">
            <a:lnSpc>
              <a:spcPct val="90000"/>
            </a:lnSpc>
            <a:spcBef>
              <a:spcPct val="0"/>
            </a:spcBef>
            <a:spcAft>
              <a:spcPct val="35000"/>
            </a:spcAft>
          </a:pPr>
          <a:r>
            <a:rPr lang="en-US" sz="1000" b="1" kern="1200">
              <a:latin typeface="Arial"/>
              <a:cs typeface="Arial"/>
            </a:rPr>
            <a:t>Implement-ation</a:t>
          </a:r>
        </a:p>
      </dsp:txBody>
      <dsp:txXfrm>
        <a:off x="726381" y="3865978"/>
        <a:ext cx="766150" cy="710088"/>
      </dsp:txXfrm>
    </dsp:sp>
    <dsp:sp modelId="{D45E2600-09F6-3F49-AAA3-4D0F4ED8B196}">
      <dsp:nvSpPr>
        <dsp:cNvPr id="0" name=""/>
        <dsp:cNvSpPr/>
      </dsp:nvSpPr>
      <dsp:spPr>
        <a:xfrm>
          <a:off x="172932" y="182502"/>
          <a:ext cx="4703654" cy="4703654"/>
        </a:xfrm>
        <a:prstGeom prst="circularArrow">
          <a:avLst>
            <a:gd name="adj1" fmla="val 2944"/>
            <a:gd name="adj2" fmla="val 180180"/>
            <a:gd name="adj3" fmla="val 9445838"/>
            <a:gd name="adj4" fmla="val 8567158"/>
            <a:gd name="adj5" fmla="val 3434"/>
          </a:avLst>
        </a:prstGeom>
        <a:gradFill rotWithShape="0">
          <a:gsLst>
            <a:gs pos="0">
              <a:schemeClr val="accent3">
                <a:hueOff val="0"/>
                <a:satOff val="0"/>
                <a:lumOff val="0"/>
                <a:alphaOff val="0"/>
                <a:tint val="100000"/>
                <a:shade val="100000"/>
                <a:satMod val="130000"/>
              </a:schemeClr>
            </a:gs>
            <a:gs pos="100000">
              <a:schemeClr val="accent3">
                <a:hueOff val="0"/>
                <a:satOff val="0"/>
                <a:lumOff val="0"/>
                <a:alphaOff val="0"/>
                <a:tint val="50000"/>
                <a:shade val="100000"/>
                <a:satMod val="350000"/>
              </a:scheme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sp>
    <dsp:sp modelId="{D9AB7F56-7667-3B4A-9D58-A0EAAE76C952}">
      <dsp:nvSpPr>
        <dsp:cNvPr id="0" name=""/>
        <dsp:cNvSpPr/>
      </dsp:nvSpPr>
      <dsp:spPr>
        <a:xfrm>
          <a:off x="1345" y="2561627"/>
          <a:ext cx="710088" cy="710088"/>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2700" tIns="12700" rIns="12700" bIns="12700" numCol="1" spcCol="1270" anchor="ctr" anchorCtr="0">
          <a:noAutofit/>
        </a:bodyPr>
        <a:lstStyle/>
        <a:p>
          <a:pPr lvl="0" algn="ctr" defTabSz="444500">
            <a:lnSpc>
              <a:spcPct val="90000"/>
            </a:lnSpc>
            <a:spcBef>
              <a:spcPct val="0"/>
            </a:spcBef>
            <a:spcAft>
              <a:spcPct val="35000"/>
            </a:spcAft>
          </a:pPr>
          <a:r>
            <a:rPr lang="en-US" sz="1000" b="1" kern="1200">
              <a:latin typeface="Arial"/>
              <a:cs typeface="Arial"/>
            </a:rPr>
            <a:t>Monitoring &amp; Evaluation</a:t>
          </a:r>
        </a:p>
      </dsp:txBody>
      <dsp:txXfrm>
        <a:off x="1345" y="2561627"/>
        <a:ext cx="710088" cy="710088"/>
      </dsp:txXfrm>
    </dsp:sp>
    <dsp:sp modelId="{535F6F6D-707A-DA43-9DEC-5C3FF63E64E7}">
      <dsp:nvSpPr>
        <dsp:cNvPr id="0" name=""/>
        <dsp:cNvSpPr/>
      </dsp:nvSpPr>
      <dsp:spPr>
        <a:xfrm>
          <a:off x="172932" y="182502"/>
          <a:ext cx="4703654" cy="4703654"/>
        </a:xfrm>
        <a:prstGeom prst="circularArrow">
          <a:avLst>
            <a:gd name="adj1" fmla="val 2944"/>
            <a:gd name="adj2" fmla="val 180180"/>
            <a:gd name="adj3" fmla="val 11807863"/>
            <a:gd name="adj4" fmla="val 10757378"/>
            <a:gd name="adj5" fmla="val 3434"/>
          </a:avLst>
        </a:prstGeom>
        <a:gradFill rotWithShape="0">
          <a:gsLst>
            <a:gs pos="0">
              <a:schemeClr val="accent3">
                <a:hueOff val="0"/>
                <a:satOff val="0"/>
                <a:lumOff val="0"/>
                <a:alphaOff val="0"/>
                <a:tint val="100000"/>
                <a:shade val="100000"/>
                <a:satMod val="130000"/>
              </a:schemeClr>
            </a:gs>
            <a:gs pos="100000">
              <a:schemeClr val="accent3">
                <a:hueOff val="0"/>
                <a:satOff val="0"/>
                <a:lumOff val="0"/>
                <a:alphaOff val="0"/>
                <a:tint val="50000"/>
                <a:shade val="100000"/>
                <a:satMod val="350000"/>
              </a:scheme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sp>
    <dsp:sp modelId="{2FA433EE-5646-6B43-BC47-6B0166939CC3}">
      <dsp:nvSpPr>
        <dsp:cNvPr id="0" name=""/>
        <dsp:cNvSpPr/>
      </dsp:nvSpPr>
      <dsp:spPr>
        <a:xfrm>
          <a:off x="262882" y="1078374"/>
          <a:ext cx="710088" cy="710088"/>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2700" tIns="12700" rIns="12700" bIns="12700" numCol="1" spcCol="1270" anchor="ctr" anchorCtr="0">
          <a:noAutofit/>
        </a:bodyPr>
        <a:lstStyle/>
        <a:p>
          <a:pPr lvl="0" algn="ctr" defTabSz="444500">
            <a:lnSpc>
              <a:spcPct val="90000"/>
            </a:lnSpc>
            <a:spcBef>
              <a:spcPct val="0"/>
            </a:spcBef>
            <a:spcAft>
              <a:spcPct val="35000"/>
            </a:spcAft>
          </a:pPr>
          <a:r>
            <a:rPr lang="en-US" sz="1000" b="1" kern="1200">
              <a:latin typeface="Arial"/>
              <a:cs typeface="Arial"/>
            </a:rPr>
            <a:t>Reflection &amp; Reporting</a:t>
          </a:r>
        </a:p>
      </dsp:txBody>
      <dsp:txXfrm>
        <a:off x="262882" y="1078374"/>
        <a:ext cx="710088" cy="710088"/>
      </dsp:txXfrm>
    </dsp:sp>
    <dsp:sp modelId="{5E91E276-C285-EC4B-95C2-1EA1BCE21F1C}">
      <dsp:nvSpPr>
        <dsp:cNvPr id="0" name=""/>
        <dsp:cNvSpPr/>
      </dsp:nvSpPr>
      <dsp:spPr>
        <a:xfrm>
          <a:off x="172932" y="182502"/>
          <a:ext cx="4703654" cy="4703654"/>
        </a:xfrm>
        <a:prstGeom prst="circularArrow">
          <a:avLst>
            <a:gd name="adj1" fmla="val 2944"/>
            <a:gd name="adj2" fmla="val 180180"/>
            <a:gd name="adj3" fmla="val 14206823"/>
            <a:gd name="adj4" fmla="val 13283718"/>
            <a:gd name="adj5" fmla="val 3434"/>
          </a:avLst>
        </a:prstGeom>
        <a:gradFill rotWithShape="0">
          <a:gsLst>
            <a:gs pos="0">
              <a:schemeClr val="accent3">
                <a:hueOff val="0"/>
                <a:satOff val="0"/>
                <a:lumOff val="0"/>
                <a:alphaOff val="0"/>
                <a:tint val="100000"/>
                <a:shade val="100000"/>
                <a:satMod val="130000"/>
              </a:schemeClr>
            </a:gs>
            <a:gs pos="100000">
              <a:schemeClr val="accent3">
                <a:hueOff val="0"/>
                <a:satOff val="0"/>
                <a:lumOff val="0"/>
                <a:alphaOff val="0"/>
                <a:tint val="50000"/>
                <a:shade val="100000"/>
                <a:satMod val="350000"/>
              </a:scheme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sp>
    <dsp:sp modelId="{267571A2-FDAC-3344-B2A1-A8515408A4C0}">
      <dsp:nvSpPr>
        <dsp:cNvPr id="0" name=""/>
        <dsp:cNvSpPr/>
      </dsp:nvSpPr>
      <dsp:spPr>
        <a:xfrm>
          <a:off x="1416648" y="110250"/>
          <a:ext cx="710088" cy="710088"/>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2700" tIns="12700" rIns="12700" bIns="12700" numCol="1" spcCol="1270" anchor="ctr" anchorCtr="0">
          <a:noAutofit/>
        </a:bodyPr>
        <a:lstStyle/>
        <a:p>
          <a:pPr lvl="0" algn="ctr" defTabSz="444500">
            <a:lnSpc>
              <a:spcPct val="90000"/>
            </a:lnSpc>
            <a:spcBef>
              <a:spcPct val="0"/>
            </a:spcBef>
            <a:spcAft>
              <a:spcPct val="35000"/>
            </a:spcAft>
          </a:pPr>
          <a:r>
            <a:rPr lang="en-US" sz="1000" b="1" kern="1200">
              <a:latin typeface="Arial"/>
              <a:cs typeface="Arial"/>
            </a:rPr>
            <a:t>Analysis</a:t>
          </a:r>
        </a:p>
      </dsp:txBody>
      <dsp:txXfrm>
        <a:off x="1416648" y="110250"/>
        <a:ext cx="710088" cy="710088"/>
      </dsp:txXfrm>
    </dsp:sp>
    <dsp:sp modelId="{B1454B0E-F18A-6F49-A738-96CCFFF5F204}">
      <dsp:nvSpPr>
        <dsp:cNvPr id="0" name=""/>
        <dsp:cNvSpPr/>
      </dsp:nvSpPr>
      <dsp:spPr>
        <a:xfrm>
          <a:off x="172932" y="182502"/>
          <a:ext cx="4703654" cy="4703654"/>
        </a:xfrm>
        <a:prstGeom prst="circularArrow">
          <a:avLst>
            <a:gd name="adj1" fmla="val 2944"/>
            <a:gd name="adj2" fmla="val 180180"/>
            <a:gd name="adj3" fmla="val 16530607"/>
            <a:gd name="adj4" fmla="val 15575124"/>
            <a:gd name="adj5" fmla="val 3434"/>
          </a:avLst>
        </a:prstGeom>
        <a:gradFill rotWithShape="0">
          <a:gsLst>
            <a:gs pos="0">
              <a:schemeClr val="accent3">
                <a:hueOff val="0"/>
                <a:satOff val="0"/>
                <a:lumOff val="0"/>
                <a:alphaOff val="0"/>
                <a:tint val="100000"/>
                <a:shade val="100000"/>
                <a:satMod val="130000"/>
              </a:schemeClr>
            </a:gs>
            <a:gs pos="100000">
              <a:schemeClr val="accent3">
                <a:hueOff val="0"/>
                <a:satOff val="0"/>
                <a:lumOff val="0"/>
                <a:alphaOff val="0"/>
                <a:tint val="50000"/>
                <a:shade val="100000"/>
                <a:satMod val="350000"/>
              </a:scheme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sp>
  </dsp:spTree>
</dsp:drawing>
</file>

<file path=xl/diagrams/drawing4.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3154E763-F5CB-1947-8E72-ED26AF246E4B}">
      <dsp:nvSpPr>
        <dsp:cNvPr id="0" name=""/>
        <dsp:cNvSpPr/>
      </dsp:nvSpPr>
      <dsp:spPr>
        <a:xfrm>
          <a:off x="3012740" y="855"/>
          <a:ext cx="863416" cy="717719"/>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2700" tIns="12700" rIns="12700" bIns="12700" numCol="1" spcCol="1270" anchor="ctr" anchorCtr="0">
          <a:noAutofit/>
        </a:bodyPr>
        <a:lstStyle/>
        <a:p>
          <a:pPr lvl="0" algn="ctr" defTabSz="444500">
            <a:lnSpc>
              <a:spcPct val="90000"/>
            </a:lnSpc>
            <a:spcBef>
              <a:spcPct val="0"/>
            </a:spcBef>
            <a:spcAft>
              <a:spcPct val="35000"/>
            </a:spcAft>
          </a:pPr>
          <a:r>
            <a:rPr lang="en-US" sz="1000" b="1" kern="1200">
              <a:latin typeface="Arial"/>
              <a:cs typeface="Arial"/>
            </a:rPr>
            <a:t>Objective Setting</a:t>
          </a:r>
        </a:p>
      </dsp:txBody>
      <dsp:txXfrm>
        <a:off x="3012740" y="855"/>
        <a:ext cx="863416" cy="717719"/>
      </dsp:txXfrm>
    </dsp:sp>
    <dsp:sp modelId="{8C9CFF9C-EA60-7E48-A2FB-C384EAFB4D44}">
      <dsp:nvSpPr>
        <dsp:cNvPr id="0" name=""/>
        <dsp:cNvSpPr/>
      </dsp:nvSpPr>
      <dsp:spPr>
        <a:xfrm>
          <a:off x="302232" y="73706"/>
          <a:ext cx="4760097" cy="4760097"/>
        </a:xfrm>
        <a:prstGeom prst="circularArrow">
          <a:avLst>
            <a:gd name="adj1" fmla="val 2940"/>
            <a:gd name="adj2" fmla="val 179942"/>
            <a:gd name="adj3" fmla="val 18937317"/>
            <a:gd name="adj4" fmla="val 18143678"/>
            <a:gd name="adj5" fmla="val 3430"/>
          </a:avLst>
        </a:prstGeom>
        <a:gradFill rotWithShape="0">
          <a:gsLst>
            <a:gs pos="0">
              <a:schemeClr val="accent3">
                <a:hueOff val="0"/>
                <a:satOff val="0"/>
                <a:lumOff val="0"/>
                <a:alphaOff val="0"/>
                <a:tint val="100000"/>
                <a:shade val="100000"/>
                <a:satMod val="130000"/>
              </a:schemeClr>
            </a:gs>
            <a:gs pos="100000">
              <a:schemeClr val="accent3">
                <a:hueOff val="0"/>
                <a:satOff val="0"/>
                <a:lumOff val="0"/>
                <a:alphaOff val="0"/>
                <a:tint val="50000"/>
                <a:shade val="100000"/>
                <a:satMod val="350000"/>
              </a:scheme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sp>
    <dsp:sp modelId="{3E9DFDEF-F794-B44E-817F-547A228237BD}">
      <dsp:nvSpPr>
        <dsp:cNvPr id="0" name=""/>
        <dsp:cNvSpPr/>
      </dsp:nvSpPr>
      <dsp:spPr>
        <a:xfrm>
          <a:off x="4145001" y="980679"/>
          <a:ext cx="934313" cy="717719"/>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2700" tIns="12700" rIns="12700" bIns="12700" numCol="1" spcCol="1270" anchor="ctr" anchorCtr="0">
          <a:noAutofit/>
        </a:bodyPr>
        <a:lstStyle/>
        <a:p>
          <a:pPr lvl="0" algn="ctr" defTabSz="444500">
            <a:lnSpc>
              <a:spcPct val="90000"/>
            </a:lnSpc>
            <a:spcBef>
              <a:spcPct val="0"/>
            </a:spcBef>
            <a:spcAft>
              <a:spcPct val="35000"/>
            </a:spcAft>
          </a:pPr>
          <a:r>
            <a:rPr lang="en-US" sz="1000" b="1" kern="1200">
              <a:latin typeface="Arial"/>
              <a:cs typeface="Arial"/>
            </a:rPr>
            <a:t>Strategising</a:t>
          </a:r>
        </a:p>
      </dsp:txBody>
      <dsp:txXfrm>
        <a:off x="4145001" y="980679"/>
        <a:ext cx="934313" cy="717719"/>
      </dsp:txXfrm>
    </dsp:sp>
    <dsp:sp modelId="{F3275831-5130-A647-9AE6-2A1811422F28}">
      <dsp:nvSpPr>
        <dsp:cNvPr id="0" name=""/>
        <dsp:cNvSpPr/>
      </dsp:nvSpPr>
      <dsp:spPr>
        <a:xfrm>
          <a:off x="302232" y="73706"/>
          <a:ext cx="4760097" cy="4760097"/>
        </a:xfrm>
        <a:prstGeom prst="circularArrow">
          <a:avLst>
            <a:gd name="adj1" fmla="val 2940"/>
            <a:gd name="adj2" fmla="val 179942"/>
            <a:gd name="adj3" fmla="val 21463413"/>
            <a:gd name="adj4" fmla="val 20411178"/>
            <a:gd name="adj5" fmla="val 3430"/>
          </a:avLst>
        </a:prstGeom>
        <a:gradFill rotWithShape="0">
          <a:gsLst>
            <a:gs pos="0">
              <a:schemeClr val="accent3">
                <a:hueOff val="0"/>
                <a:satOff val="0"/>
                <a:lumOff val="0"/>
                <a:alphaOff val="0"/>
                <a:tint val="100000"/>
                <a:shade val="100000"/>
                <a:satMod val="130000"/>
              </a:schemeClr>
            </a:gs>
            <a:gs pos="100000">
              <a:schemeClr val="accent3">
                <a:hueOff val="0"/>
                <a:satOff val="0"/>
                <a:lumOff val="0"/>
                <a:alphaOff val="0"/>
                <a:tint val="50000"/>
                <a:shade val="100000"/>
                <a:satMod val="350000"/>
              </a:scheme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sp>
    <dsp:sp modelId="{6D4788A6-4022-CB48-A0DE-C5BE18DA9BD4}">
      <dsp:nvSpPr>
        <dsp:cNvPr id="0" name=""/>
        <dsp:cNvSpPr/>
      </dsp:nvSpPr>
      <dsp:spPr>
        <a:xfrm>
          <a:off x="4517996" y="2481857"/>
          <a:ext cx="717719" cy="717719"/>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2700" tIns="12700" rIns="12700" bIns="12700" numCol="1" spcCol="1270" anchor="ctr" anchorCtr="0">
          <a:noAutofit/>
        </a:bodyPr>
        <a:lstStyle/>
        <a:p>
          <a:pPr lvl="0" algn="ctr" defTabSz="444500">
            <a:lnSpc>
              <a:spcPct val="90000"/>
            </a:lnSpc>
            <a:spcBef>
              <a:spcPct val="0"/>
            </a:spcBef>
            <a:spcAft>
              <a:spcPct val="35000"/>
            </a:spcAft>
          </a:pPr>
          <a:r>
            <a:rPr lang="en-US" sz="1000" b="1" kern="1200">
              <a:latin typeface="Arial"/>
              <a:cs typeface="Arial"/>
            </a:rPr>
            <a:t>Work Planning</a:t>
          </a:r>
        </a:p>
      </dsp:txBody>
      <dsp:txXfrm>
        <a:off x="4517996" y="2481857"/>
        <a:ext cx="717719" cy="717719"/>
      </dsp:txXfrm>
    </dsp:sp>
    <dsp:sp modelId="{10377AFC-3931-764D-B025-5FC3AD8D0128}">
      <dsp:nvSpPr>
        <dsp:cNvPr id="0" name=""/>
        <dsp:cNvSpPr/>
      </dsp:nvSpPr>
      <dsp:spPr>
        <a:xfrm>
          <a:off x="302232" y="73706"/>
          <a:ext cx="4760097" cy="4760097"/>
        </a:xfrm>
        <a:prstGeom prst="circularArrow">
          <a:avLst>
            <a:gd name="adj1" fmla="val 2940"/>
            <a:gd name="adj2" fmla="val 179942"/>
            <a:gd name="adj3" fmla="val 2053820"/>
            <a:gd name="adj4" fmla="val 1173204"/>
            <a:gd name="adj5" fmla="val 3430"/>
          </a:avLst>
        </a:prstGeom>
        <a:gradFill rotWithShape="0">
          <a:gsLst>
            <a:gs pos="0">
              <a:schemeClr val="accent3">
                <a:hueOff val="0"/>
                <a:satOff val="0"/>
                <a:lumOff val="0"/>
                <a:alphaOff val="0"/>
                <a:tint val="100000"/>
                <a:shade val="100000"/>
                <a:satMod val="130000"/>
              </a:schemeClr>
            </a:gs>
            <a:gs pos="100000">
              <a:schemeClr val="accent3">
                <a:hueOff val="0"/>
                <a:satOff val="0"/>
                <a:lumOff val="0"/>
                <a:alphaOff val="0"/>
                <a:tint val="50000"/>
                <a:shade val="100000"/>
                <a:satMod val="350000"/>
              </a:scheme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sp>
    <dsp:sp modelId="{12F7E10F-D187-EE4B-9C89-C1EA0C61BBC2}">
      <dsp:nvSpPr>
        <dsp:cNvPr id="0" name=""/>
        <dsp:cNvSpPr/>
      </dsp:nvSpPr>
      <dsp:spPr>
        <a:xfrm>
          <a:off x="3755828" y="3801971"/>
          <a:ext cx="717719" cy="717719"/>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2700" tIns="12700" rIns="12700" bIns="12700" numCol="1" spcCol="1270" anchor="ctr" anchorCtr="0">
          <a:noAutofit/>
        </a:bodyPr>
        <a:lstStyle/>
        <a:p>
          <a:pPr lvl="0" algn="ctr" defTabSz="444500">
            <a:lnSpc>
              <a:spcPct val="90000"/>
            </a:lnSpc>
            <a:spcBef>
              <a:spcPct val="0"/>
            </a:spcBef>
            <a:spcAft>
              <a:spcPct val="35000"/>
            </a:spcAft>
          </a:pPr>
          <a:r>
            <a:rPr lang="en-US" sz="1000" b="1" kern="1200">
              <a:latin typeface="Arial"/>
              <a:cs typeface="Arial"/>
            </a:rPr>
            <a:t>Budgeting</a:t>
          </a:r>
        </a:p>
      </dsp:txBody>
      <dsp:txXfrm>
        <a:off x="3755828" y="3801971"/>
        <a:ext cx="717719" cy="717719"/>
      </dsp:txXfrm>
    </dsp:sp>
    <dsp:sp modelId="{33C0DAA2-F4B2-7B43-94BE-EE2A49B3E2B2}">
      <dsp:nvSpPr>
        <dsp:cNvPr id="0" name=""/>
        <dsp:cNvSpPr/>
      </dsp:nvSpPr>
      <dsp:spPr>
        <a:xfrm>
          <a:off x="302232" y="73706"/>
          <a:ext cx="4760097" cy="4760097"/>
        </a:xfrm>
        <a:prstGeom prst="circularArrow">
          <a:avLst>
            <a:gd name="adj1" fmla="val 2940"/>
            <a:gd name="adj2" fmla="val 179942"/>
            <a:gd name="adj3" fmla="val 4565452"/>
            <a:gd name="adj4" fmla="val 3672012"/>
            <a:gd name="adj5" fmla="val 3430"/>
          </a:avLst>
        </a:prstGeom>
        <a:gradFill rotWithShape="0">
          <a:gsLst>
            <a:gs pos="0">
              <a:schemeClr val="accent3">
                <a:hueOff val="0"/>
                <a:satOff val="0"/>
                <a:lumOff val="0"/>
                <a:alphaOff val="0"/>
                <a:tint val="100000"/>
                <a:shade val="100000"/>
                <a:satMod val="130000"/>
              </a:schemeClr>
            </a:gs>
            <a:gs pos="100000">
              <a:schemeClr val="accent3">
                <a:hueOff val="0"/>
                <a:satOff val="0"/>
                <a:lumOff val="0"/>
                <a:alphaOff val="0"/>
                <a:tint val="50000"/>
                <a:shade val="100000"/>
                <a:satMod val="350000"/>
              </a:scheme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sp>
    <dsp:sp modelId="{84E67944-B303-7E43-BDA2-C6DD4B92BDE0}">
      <dsp:nvSpPr>
        <dsp:cNvPr id="0" name=""/>
        <dsp:cNvSpPr/>
      </dsp:nvSpPr>
      <dsp:spPr>
        <a:xfrm>
          <a:off x="2260509" y="4323324"/>
          <a:ext cx="843543" cy="717719"/>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2700" tIns="12700" rIns="12700" bIns="12700" numCol="1" spcCol="1270" anchor="ctr" anchorCtr="0">
          <a:noAutofit/>
        </a:bodyPr>
        <a:lstStyle/>
        <a:p>
          <a:pPr lvl="0" algn="ctr" defTabSz="444500">
            <a:lnSpc>
              <a:spcPct val="90000"/>
            </a:lnSpc>
            <a:spcBef>
              <a:spcPct val="0"/>
            </a:spcBef>
            <a:spcAft>
              <a:spcPct val="35000"/>
            </a:spcAft>
          </a:pPr>
          <a:r>
            <a:rPr lang="en-US" sz="1000" b="1" kern="1200">
              <a:latin typeface="Arial"/>
              <a:cs typeface="Arial"/>
            </a:rPr>
            <a:t>Forecasting</a:t>
          </a:r>
        </a:p>
      </dsp:txBody>
      <dsp:txXfrm>
        <a:off x="2260509" y="4323324"/>
        <a:ext cx="843543" cy="717719"/>
      </dsp:txXfrm>
    </dsp:sp>
    <dsp:sp modelId="{8E58548D-C9F9-7542-8D23-B3E92EA1A0AA}">
      <dsp:nvSpPr>
        <dsp:cNvPr id="0" name=""/>
        <dsp:cNvSpPr/>
      </dsp:nvSpPr>
      <dsp:spPr>
        <a:xfrm>
          <a:off x="302232" y="73706"/>
          <a:ext cx="4760097" cy="4760097"/>
        </a:xfrm>
        <a:prstGeom prst="circularArrow">
          <a:avLst>
            <a:gd name="adj1" fmla="val 2940"/>
            <a:gd name="adj2" fmla="val 179942"/>
            <a:gd name="adj3" fmla="val 6898365"/>
            <a:gd name="adj4" fmla="val 6054606"/>
            <a:gd name="adj5" fmla="val 3430"/>
          </a:avLst>
        </a:prstGeom>
        <a:gradFill rotWithShape="0">
          <a:gsLst>
            <a:gs pos="0">
              <a:schemeClr val="accent3">
                <a:hueOff val="0"/>
                <a:satOff val="0"/>
                <a:lumOff val="0"/>
                <a:alphaOff val="0"/>
                <a:tint val="100000"/>
                <a:shade val="100000"/>
                <a:satMod val="130000"/>
              </a:schemeClr>
            </a:gs>
            <a:gs pos="100000">
              <a:schemeClr val="accent3">
                <a:hueOff val="0"/>
                <a:satOff val="0"/>
                <a:lumOff val="0"/>
                <a:alphaOff val="0"/>
                <a:tint val="50000"/>
                <a:shade val="100000"/>
                <a:satMod val="350000"/>
              </a:scheme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sp>
    <dsp:sp modelId="{6ADF2404-F0F4-E24D-AF03-326A0534C6DB}">
      <dsp:nvSpPr>
        <dsp:cNvPr id="0" name=""/>
        <dsp:cNvSpPr/>
      </dsp:nvSpPr>
      <dsp:spPr>
        <a:xfrm>
          <a:off x="862681" y="3801971"/>
          <a:ext cx="774383" cy="717719"/>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2700" tIns="12700" rIns="12700" bIns="12700" numCol="1" spcCol="1270" anchor="ctr" anchorCtr="0">
          <a:noAutofit/>
        </a:bodyPr>
        <a:lstStyle/>
        <a:p>
          <a:pPr lvl="0" algn="ctr" defTabSz="444500">
            <a:lnSpc>
              <a:spcPct val="90000"/>
            </a:lnSpc>
            <a:spcBef>
              <a:spcPct val="0"/>
            </a:spcBef>
            <a:spcAft>
              <a:spcPct val="35000"/>
            </a:spcAft>
          </a:pPr>
          <a:r>
            <a:rPr lang="en-US" sz="1000" b="1" kern="1200">
              <a:latin typeface="Arial"/>
              <a:cs typeface="Arial"/>
            </a:rPr>
            <a:t>Implement-ation</a:t>
          </a:r>
        </a:p>
      </dsp:txBody>
      <dsp:txXfrm>
        <a:off x="862681" y="3801971"/>
        <a:ext cx="774383" cy="717719"/>
      </dsp:txXfrm>
    </dsp:sp>
    <dsp:sp modelId="{D45E2600-09F6-3F49-AAA3-4D0F4ED8B196}">
      <dsp:nvSpPr>
        <dsp:cNvPr id="0" name=""/>
        <dsp:cNvSpPr/>
      </dsp:nvSpPr>
      <dsp:spPr>
        <a:xfrm>
          <a:off x="302232" y="73706"/>
          <a:ext cx="4760097" cy="4760097"/>
        </a:xfrm>
        <a:prstGeom prst="circularArrow">
          <a:avLst>
            <a:gd name="adj1" fmla="val 2940"/>
            <a:gd name="adj2" fmla="val 179942"/>
            <a:gd name="adj3" fmla="val 9446854"/>
            <a:gd name="adj4" fmla="val 8566238"/>
            <a:gd name="adj5" fmla="val 3430"/>
          </a:avLst>
        </a:prstGeom>
        <a:gradFill rotWithShape="0">
          <a:gsLst>
            <a:gs pos="0">
              <a:schemeClr val="accent3">
                <a:hueOff val="0"/>
                <a:satOff val="0"/>
                <a:lumOff val="0"/>
                <a:alphaOff val="0"/>
                <a:tint val="100000"/>
                <a:shade val="100000"/>
                <a:satMod val="130000"/>
              </a:schemeClr>
            </a:gs>
            <a:gs pos="100000">
              <a:schemeClr val="accent3">
                <a:hueOff val="0"/>
                <a:satOff val="0"/>
                <a:lumOff val="0"/>
                <a:alphaOff val="0"/>
                <a:tint val="50000"/>
                <a:shade val="100000"/>
                <a:satMod val="350000"/>
              </a:scheme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sp>
    <dsp:sp modelId="{D9AB7F56-7667-3B4A-9D58-A0EAAE76C952}">
      <dsp:nvSpPr>
        <dsp:cNvPr id="0" name=""/>
        <dsp:cNvSpPr/>
      </dsp:nvSpPr>
      <dsp:spPr>
        <a:xfrm>
          <a:off x="128845" y="2481857"/>
          <a:ext cx="717719" cy="717719"/>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2700" tIns="12700" rIns="12700" bIns="12700" numCol="1" spcCol="1270" anchor="ctr" anchorCtr="0">
          <a:noAutofit/>
        </a:bodyPr>
        <a:lstStyle/>
        <a:p>
          <a:pPr lvl="0" algn="ctr" defTabSz="444500">
            <a:lnSpc>
              <a:spcPct val="90000"/>
            </a:lnSpc>
            <a:spcBef>
              <a:spcPct val="0"/>
            </a:spcBef>
            <a:spcAft>
              <a:spcPct val="35000"/>
            </a:spcAft>
          </a:pPr>
          <a:r>
            <a:rPr lang="en-US" sz="1000" b="1" kern="1200">
              <a:latin typeface="Arial"/>
              <a:cs typeface="Arial"/>
            </a:rPr>
            <a:t>Monitoring &amp; Evaluation</a:t>
          </a:r>
        </a:p>
      </dsp:txBody>
      <dsp:txXfrm>
        <a:off x="128845" y="2481857"/>
        <a:ext cx="717719" cy="717719"/>
      </dsp:txXfrm>
    </dsp:sp>
    <dsp:sp modelId="{535F6F6D-707A-DA43-9DEC-5C3FF63E64E7}">
      <dsp:nvSpPr>
        <dsp:cNvPr id="0" name=""/>
        <dsp:cNvSpPr/>
      </dsp:nvSpPr>
      <dsp:spPr>
        <a:xfrm>
          <a:off x="302232" y="73706"/>
          <a:ext cx="4760097" cy="4760097"/>
        </a:xfrm>
        <a:prstGeom prst="circularArrow">
          <a:avLst>
            <a:gd name="adj1" fmla="val 2940"/>
            <a:gd name="adj2" fmla="val 179942"/>
            <a:gd name="adj3" fmla="val 11808880"/>
            <a:gd name="adj4" fmla="val 10756645"/>
            <a:gd name="adj5" fmla="val 3430"/>
          </a:avLst>
        </a:prstGeom>
        <a:gradFill rotWithShape="0">
          <a:gsLst>
            <a:gs pos="0">
              <a:schemeClr val="accent3">
                <a:hueOff val="0"/>
                <a:satOff val="0"/>
                <a:lumOff val="0"/>
                <a:alphaOff val="0"/>
                <a:tint val="100000"/>
                <a:shade val="100000"/>
                <a:satMod val="130000"/>
              </a:schemeClr>
            </a:gs>
            <a:gs pos="100000">
              <a:schemeClr val="accent3">
                <a:hueOff val="0"/>
                <a:satOff val="0"/>
                <a:lumOff val="0"/>
                <a:alphaOff val="0"/>
                <a:tint val="50000"/>
                <a:shade val="100000"/>
                <a:satMod val="350000"/>
              </a:scheme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sp>
    <dsp:sp modelId="{2FA433EE-5646-6B43-BC47-6B0166939CC3}">
      <dsp:nvSpPr>
        <dsp:cNvPr id="0" name=""/>
        <dsp:cNvSpPr/>
      </dsp:nvSpPr>
      <dsp:spPr>
        <a:xfrm>
          <a:off x="393543" y="980679"/>
          <a:ext cx="717719" cy="717719"/>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2700" tIns="12700" rIns="12700" bIns="12700" numCol="1" spcCol="1270" anchor="ctr" anchorCtr="0">
          <a:noAutofit/>
        </a:bodyPr>
        <a:lstStyle/>
        <a:p>
          <a:pPr lvl="0" algn="ctr" defTabSz="444500">
            <a:lnSpc>
              <a:spcPct val="90000"/>
            </a:lnSpc>
            <a:spcBef>
              <a:spcPct val="0"/>
            </a:spcBef>
            <a:spcAft>
              <a:spcPct val="35000"/>
            </a:spcAft>
          </a:pPr>
          <a:r>
            <a:rPr lang="en-US" sz="1000" b="1" kern="1200">
              <a:latin typeface="Arial"/>
              <a:cs typeface="Arial"/>
            </a:rPr>
            <a:t>Reflection &amp; Reporting</a:t>
          </a:r>
        </a:p>
      </dsp:txBody>
      <dsp:txXfrm>
        <a:off x="393543" y="980679"/>
        <a:ext cx="717719" cy="717719"/>
      </dsp:txXfrm>
    </dsp:sp>
    <dsp:sp modelId="{5E91E276-C285-EC4B-95C2-1EA1BCE21F1C}">
      <dsp:nvSpPr>
        <dsp:cNvPr id="0" name=""/>
        <dsp:cNvSpPr/>
      </dsp:nvSpPr>
      <dsp:spPr>
        <a:xfrm>
          <a:off x="302232" y="73706"/>
          <a:ext cx="4760097" cy="4760097"/>
        </a:xfrm>
        <a:prstGeom prst="circularArrow">
          <a:avLst>
            <a:gd name="adj1" fmla="val 2940"/>
            <a:gd name="adj2" fmla="val 179942"/>
            <a:gd name="adj3" fmla="val 14207910"/>
            <a:gd name="adj4" fmla="val 13282741"/>
            <a:gd name="adj5" fmla="val 3430"/>
          </a:avLst>
        </a:prstGeom>
        <a:gradFill rotWithShape="0">
          <a:gsLst>
            <a:gs pos="0">
              <a:schemeClr val="accent3">
                <a:hueOff val="0"/>
                <a:satOff val="0"/>
                <a:lumOff val="0"/>
                <a:alphaOff val="0"/>
                <a:tint val="100000"/>
                <a:shade val="100000"/>
                <a:satMod val="130000"/>
              </a:schemeClr>
            </a:gs>
            <a:gs pos="100000">
              <a:schemeClr val="accent3">
                <a:hueOff val="0"/>
                <a:satOff val="0"/>
                <a:lumOff val="0"/>
                <a:alphaOff val="0"/>
                <a:tint val="50000"/>
                <a:shade val="100000"/>
                <a:satMod val="350000"/>
              </a:scheme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sp>
    <dsp:sp modelId="{267571A2-FDAC-3344-B2A1-A8515408A4C0}">
      <dsp:nvSpPr>
        <dsp:cNvPr id="0" name=""/>
        <dsp:cNvSpPr/>
      </dsp:nvSpPr>
      <dsp:spPr>
        <a:xfrm>
          <a:off x="1561253" y="855"/>
          <a:ext cx="717719" cy="717719"/>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2700" tIns="12700" rIns="12700" bIns="12700" numCol="1" spcCol="1270" anchor="ctr" anchorCtr="0">
          <a:noAutofit/>
        </a:bodyPr>
        <a:lstStyle/>
        <a:p>
          <a:pPr lvl="0" algn="ctr" defTabSz="444500">
            <a:lnSpc>
              <a:spcPct val="90000"/>
            </a:lnSpc>
            <a:spcBef>
              <a:spcPct val="0"/>
            </a:spcBef>
            <a:spcAft>
              <a:spcPct val="35000"/>
            </a:spcAft>
          </a:pPr>
          <a:r>
            <a:rPr lang="en-US" sz="1000" b="1" kern="1200">
              <a:latin typeface="Arial"/>
              <a:cs typeface="Arial"/>
            </a:rPr>
            <a:t>Analysis</a:t>
          </a:r>
        </a:p>
      </dsp:txBody>
      <dsp:txXfrm>
        <a:off x="1561253" y="855"/>
        <a:ext cx="717719" cy="717719"/>
      </dsp:txXfrm>
    </dsp:sp>
    <dsp:sp modelId="{B1454B0E-F18A-6F49-A738-96CCFFF5F204}">
      <dsp:nvSpPr>
        <dsp:cNvPr id="0" name=""/>
        <dsp:cNvSpPr/>
      </dsp:nvSpPr>
      <dsp:spPr>
        <a:xfrm>
          <a:off x="302232" y="73706"/>
          <a:ext cx="4760097" cy="4760097"/>
        </a:xfrm>
        <a:prstGeom prst="circularArrow">
          <a:avLst>
            <a:gd name="adj1" fmla="val 2940"/>
            <a:gd name="adj2" fmla="val 179942"/>
            <a:gd name="adj3" fmla="val 16531737"/>
            <a:gd name="adj4" fmla="val 15574378"/>
            <a:gd name="adj5" fmla="val 3430"/>
          </a:avLst>
        </a:prstGeom>
        <a:gradFill rotWithShape="0">
          <a:gsLst>
            <a:gs pos="0">
              <a:schemeClr val="accent3">
                <a:hueOff val="0"/>
                <a:satOff val="0"/>
                <a:lumOff val="0"/>
                <a:alphaOff val="0"/>
                <a:tint val="100000"/>
                <a:shade val="100000"/>
                <a:satMod val="130000"/>
              </a:schemeClr>
            </a:gs>
            <a:gs pos="100000">
              <a:schemeClr val="accent3">
                <a:hueOff val="0"/>
                <a:satOff val="0"/>
                <a:lumOff val="0"/>
                <a:alphaOff val="0"/>
                <a:tint val="50000"/>
                <a:shade val="100000"/>
                <a:satMod val="350000"/>
              </a:scheme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sp>
  </dsp:spTree>
</dsp:drawing>
</file>

<file path=xl/diagrams/drawing5.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3154E763-F5CB-1947-8E72-ED26AF246E4B}">
      <dsp:nvSpPr>
        <dsp:cNvPr id="0" name=""/>
        <dsp:cNvSpPr/>
      </dsp:nvSpPr>
      <dsp:spPr>
        <a:xfrm>
          <a:off x="2878339" y="1188"/>
          <a:ext cx="859834" cy="714742"/>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2700" tIns="12700" rIns="12700" bIns="12700" numCol="1" spcCol="1270" anchor="ctr" anchorCtr="0">
          <a:noAutofit/>
        </a:bodyPr>
        <a:lstStyle/>
        <a:p>
          <a:pPr lvl="0" algn="ctr" defTabSz="444500">
            <a:lnSpc>
              <a:spcPct val="90000"/>
            </a:lnSpc>
            <a:spcBef>
              <a:spcPct val="0"/>
            </a:spcBef>
            <a:spcAft>
              <a:spcPct val="35000"/>
            </a:spcAft>
          </a:pPr>
          <a:r>
            <a:rPr lang="en-US" sz="1000" b="1" kern="1200">
              <a:latin typeface="Arial"/>
              <a:cs typeface="Arial"/>
            </a:rPr>
            <a:t>Objective Setting</a:t>
          </a:r>
        </a:p>
      </dsp:txBody>
      <dsp:txXfrm>
        <a:off x="2878339" y="1188"/>
        <a:ext cx="859834" cy="714742"/>
      </dsp:txXfrm>
    </dsp:sp>
    <dsp:sp modelId="{8C9CFF9C-EA60-7E48-A2FB-C384EAFB4D44}">
      <dsp:nvSpPr>
        <dsp:cNvPr id="0" name=""/>
        <dsp:cNvSpPr/>
      </dsp:nvSpPr>
      <dsp:spPr>
        <a:xfrm>
          <a:off x="182643" y="73896"/>
          <a:ext cx="4735033" cy="4735033"/>
        </a:xfrm>
        <a:prstGeom prst="circularArrow">
          <a:avLst>
            <a:gd name="adj1" fmla="val 2943"/>
            <a:gd name="adj2" fmla="val 180158"/>
            <a:gd name="adj3" fmla="val 18936217"/>
            <a:gd name="adj4" fmla="val 18144624"/>
            <a:gd name="adj5" fmla="val 3434"/>
          </a:avLst>
        </a:prstGeom>
        <a:gradFill rotWithShape="0">
          <a:gsLst>
            <a:gs pos="0">
              <a:schemeClr val="accent3">
                <a:hueOff val="0"/>
                <a:satOff val="0"/>
                <a:lumOff val="0"/>
                <a:alphaOff val="0"/>
                <a:tint val="100000"/>
                <a:shade val="100000"/>
                <a:satMod val="130000"/>
              </a:schemeClr>
            </a:gs>
            <a:gs pos="100000">
              <a:schemeClr val="accent3">
                <a:hueOff val="0"/>
                <a:satOff val="0"/>
                <a:lumOff val="0"/>
                <a:alphaOff val="0"/>
                <a:tint val="50000"/>
                <a:shade val="100000"/>
                <a:satMod val="350000"/>
              </a:scheme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sp>
    <dsp:sp modelId="{3E9DFDEF-F794-B44E-817F-547A228237BD}">
      <dsp:nvSpPr>
        <dsp:cNvPr id="0" name=""/>
        <dsp:cNvSpPr/>
      </dsp:nvSpPr>
      <dsp:spPr>
        <a:xfrm>
          <a:off x="4005768" y="975778"/>
          <a:ext cx="927921" cy="714742"/>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2700" tIns="12700" rIns="12700" bIns="12700" numCol="1" spcCol="1270" anchor="ctr" anchorCtr="0">
          <a:noAutofit/>
        </a:bodyPr>
        <a:lstStyle/>
        <a:p>
          <a:pPr lvl="0" algn="ctr" defTabSz="444500">
            <a:lnSpc>
              <a:spcPct val="90000"/>
            </a:lnSpc>
            <a:spcBef>
              <a:spcPct val="0"/>
            </a:spcBef>
            <a:spcAft>
              <a:spcPct val="35000"/>
            </a:spcAft>
          </a:pPr>
          <a:r>
            <a:rPr lang="en-US" sz="1000" b="1" kern="1200">
              <a:latin typeface="Arial"/>
              <a:cs typeface="Arial"/>
            </a:rPr>
            <a:t>Strategising</a:t>
          </a:r>
        </a:p>
      </dsp:txBody>
      <dsp:txXfrm>
        <a:off x="4005768" y="975778"/>
        <a:ext cx="927921" cy="714742"/>
      </dsp:txXfrm>
    </dsp:sp>
    <dsp:sp modelId="{F3275831-5130-A647-9AE6-2A1811422F28}">
      <dsp:nvSpPr>
        <dsp:cNvPr id="0" name=""/>
        <dsp:cNvSpPr/>
      </dsp:nvSpPr>
      <dsp:spPr>
        <a:xfrm>
          <a:off x="182643" y="73896"/>
          <a:ext cx="4735033" cy="4735033"/>
        </a:xfrm>
        <a:prstGeom prst="circularArrow">
          <a:avLst>
            <a:gd name="adj1" fmla="val 2943"/>
            <a:gd name="adj2" fmla="val 180158"/>
            <a:gd name="adj3" fmla="val 21462533"/>
            <a:gd name="adj4" fmla="val 20411883"/>
            <a:gd name="adj5" fmla="val 3434"/>
          </a:avLst>
        </a:prstGeom>
        <a:gradFill rotWithShape="0">
          <a:gsLst>
            <a:gs pos="0">
              <a:schemeClr val="accent3">
                <a:hueOff val="0"/>
                <a:satOff val="0"/>
                <a:lumOff val="0"/>
                <a:alphaOff val="0"/>
                <a:tint val="100000"/>
                <a:shade val="100000"/>
                <a:satMod val="130000"/>
              </a:schemeClr>
            </a:gs>
            <a:gs pos="100000">
              <a:schemeClr val="accent3">
                <a:hueOff val="0"/>
                <a:satOff val="0"/>
                <a:lumOff val="0"/>
                <a:alphaOff val="0"/>
                <a:tint val="50000"/>
                <a:shade val="100000"/>
                <a:satMod val="350000"/>
              </a:scheme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sp>
    <dsp:sp modelId="{6D4788A6-4022-CB48-A0DE-C5BE18DA9BD4}">
      <dsp:nvSpPr>
        <dsp:cNvPr id="0" name=""/>
        <dsp:cNvSpPr/>
      </dsp:nvSpPr>
      <dsp:spPr>
        <a:xfrm>
          <a:off x="4375642" y="2468938"/>
          <a:ext cx="714742" cy="714742"/>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2700" tIns="12700" rIns="12700" bIns="12700" numCol="1" spcCol="1270" anchor="ctr" anchorCtr="0">
          <a:noAutofit/>
        </a:bodyPr>
        <a:lstStyle/>
        <a:p>
          <a:pPr lvl="0" algn="ctr" defTabSz="444500">
            <a:lnSpc>
              <a:spcPct val="90000"/>
            </a:lnSpc>
            <a:spcBef>
              <a:spcPct val="0"/>
            </a:spcBef>
            <a:spcAft>
              <a:spcPct val="35000"/>
            </a:spcAft>
          </a:pPr>
          <a:r>
            <a:rPr lang="en-US" sz="1000" b="1" kern="1200">
              <a:latin typeface="Arial"/>
              <a:cs typeface="Arial"/>
            </a:rPr>
            <a:t>Work Planning</a:t>
          </a:r>
        </a:p>
      </dsp:txBody>
      <dsp:txXfrm>
        <a:off x="4375642" y="2468938"/>
        <a:ext cx="714742" cy="714742"/>
      </dsp:txXfrm>
    </dsp:sp>
    <dsp:sp modelId="{10377AFC-3931-764D-B025-5FC3AD8D0128}">
      <dsp:nvSpPr>
        <dsp:cNvPr id="0" name=""/>
        <dsp:cNvSpPr/>
      </dsp:nvSpPr>
      <dsp:spPr>
        <a:xfrm>
          <a:off x="182643" y="73896"/>
          <a:ext cx="4735033" cy="4735033"/>
        </a:xfrm>
        <a:prstGeom prst="circularArrow">
          <a:avLst>
            <a:gd name="adj1" fmla="val 2943"/>
            <a:gd name="adj2" fmla="val 180158"/>
            <a:gd name="adj3" fmla="val 2052771"/>
            <a:gd name="adj4" fmla="val 1173908"/>
            <a:gd name="adj5" fmla="val 3434"/>
          </a:avLst>
        </a:prstGeom>
        <a:gradFill rotWithShape="0">
          <a:gsLst>
            <a:gs pos="0">
              <a:schemeClr val="accent3">
                <a:hueOff val="0"/>
                <a:satOff val="0"/>
                <a:lumOff val="0"/>
                <a:alphaOff val="0"/>
                <a:tint val="100000"/>
                <a:shade val="100000"/>
                <a:satMod val="130000"/>
              </a:schemeClr>
            </a:gs>
            <a:gs pos="100000">
              <a:schemeClr val="accent3">
                <a:hueOff val="0"/>
                <a:satOff val="0"/>
                <a:lumOff val="0"/>
                <a:alphaOff val="0"/>
                <a:tint val="50000"/>
                <a:shade val="100000"/>
                <a:satMod val="350000"/>
              </a:scheme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sp>
    <dsp:sp modelId="{12F7E10F-D187-EE4B-9C89-C1EA0C61BBC2}">
      <dsp:nvSpPr>
        <dsp:cNvPr id="0" name=""/>
        <dsp:cNvSpPr/>
      </dsp:nvSpPr>
      <dsp:spPr>
        <a:xfrm>
          <a:off x="3617545" y="3782000"/>
          <a:ext cx="714742" cy="714742"/>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2700" tIns="12700" rIns="12700" bIns="12700" numCol="1" spcCol="1270" anchor="ctr" anchorCtr="0">
          <a:noAutofit/>
        </a:bodyPr>
        <a:lstStyle/>
        <a:p>
          <a:pPr lvl="0" algn="ctr" defTabSz="444500">
            <a:lnSpc>
              <a:spcPct val="90000"/>
            </a:lnSpc>
            <a:spcBef>
              <a:spcPct val="0"/>
            </a:spcBef>
            <a:spcAft>
              <a:spcPct val="35000"/>
            </a:spcAft>
          </a:pPr>
          <a:r>
            <a:rPr lang="en-US" sz="1000" b="1" kern="1200">
              <a:latin typeface="Arial"/>
              <a:cs typeface="Arial"/>
            </a:rPr>
            <a:t>Budgeting</a:t>
          </a:r>
        </a:p>
      </dsp:txBody>
      <dsp:txXfrm>
        <a:off x="3617545" y="3782000"/>
        <a:ext cx="714742" cy="714742"/>
      </dsp:txXfrm>
    </dsp:sp>
    <dsp:sp modelId="{33C0DAA2-F4B2-7B43-94BE-EE2A49B3E2B2}">
      <dsp:nvSpPr>
        <dsp:cNvPr id="0" name=""/>
        <dsp:cNvSpPr/>
      </dsp:nvSpPr>
      <dsp:spPr>
        <a:xfrm>
          <a:off x="182643" y="73896"/>
          <a:ext cx="4735033" cy="4735033"/>
        </a:xfrm>
        <a:prstGeom prst="circularArrow">
          <a:avLst>
            <a:gd name="adj1" fmla="val 2943"/>
            <a:gd name="adj2" fmla="val 180158"/>
            <a:gd name="adj3" fmla="val 4564442"/>
            <a:gd name="adj4" fmla="val 3672770"/>
            <a:gd name="adj5" fmla="val 3434"/>
          </a:avLst>
        </a:prstGeom>
        <a:gradFill rotWithShape="0">
          <a:gsLst>
            <a:gs pos="0">
              <a:schemeClr val="accent3">
                <a:hueOff val="0"/>
                <a:satOff val="0"/>
                <a:lumOff val="0"/>
                <a:alphaOff val="0"/>
                <a:tint val="100000"/>
                <a:shade val="100000"/>
                <a:satMod val="130000"/>
              </a:schemeClr>
            </a:gs>
            <a:gs pos="100000">
              <a:schemeClr val="accent3">
                <a:hueOff val="0"/>
                <a:satOff val="0"/>
                <a:lumOff val="0"/>
                <a:alphaOff val="0"/>
                <a:tint val="50000"/>
                <a:shade val="100000"/>
                <a:satMod val="350000"/>
              </a:scheme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sp>
    <dsp:sp modelId="{84E67944-B303-7E43-BDA2-C6DD4B92BDE0}">
      <dsp:nvSpPr>
        <dsp:cNvPr id="0" name=""/>
        <dsp:cNvSpPr/>
      </dsp:nvSpPr>
      <dsp:spPr>
        <a:xfrm>
          <a:off x="2130138" y="4300569"/>
          <a:ext cx="840043" cy="714742"/>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2700" tIns="12700" rIns="12700" bIns="12700" numCol="1" spcCol="1270" anchor="ctr" anchorCtr="0">
          <a:noAutofit/>
        </a:bodyPr>
        <a:lstStyle/>
        <a:p>
          <a:pPr lvl="0" algn="ctr" defTabSz="444500">
            <a:lnSpc>
              <a:spcPct val="90000"/>
            </a:lnSpc>
            <a:spcBef>
              <a:spcPct val="0"/>
            </a:spcBef>
            <a:spcAft>
              <a:spcPct val="35000"/>
            </a:spcAft>
          </a:pPr>
          <a:r>
            <a:rPr lang="en-US" sz="1000" b="1" kern="1200">
              <a:latin typeface="Arial"/>
              <a:cs typeface="Arial"/>
            </a:rPr>
            <a:t>Forecasting</a:t>
          </a:r>
        </a:p>
      </dsp:txBody>
      <dsp:txXfrm>
        <a:off x="2130138" y="4300569"/>
        <a:ext cx="840043" cy="714742"/>
      </dsp:txXfrm>
    </dsp:sp>
    <dsp:sp modelId="{8E58548D-C9F9-7542-8D23-B3E92EA1A0AA}">
      <dsp:nvSpPr>
        <dsp:cNvPr id="0" name=""/>
        <dsp:cNvSpPr/>
      </dsp:nvSpPr>
      <dsp:spPr>
        <a:xfrm>
          <a:off x="182643" y="73896"/>
          <a:ext cx="4735033" cy="4735033"/>
        </a:xfrm>
        <a:prstGeom prst="circularArrow">
          <a:avLst>
            <a:gd name="adj1" fmla="val 2943"/>
            <a:gd name="adj2" fmla="val 180158"/>
            <a:gd name="adj3" fmla="val 6897338"/>
            <a:gd name="adj4" fmla="val 6055400"/>
            <a:gd name="adj5" fmla="val 3434"/>
          </a:avLst>
        </a:prstGeom>
        <a:gradFill rotWithShape="0">
          <a:gsLst>
            <a:gs pos="0">
              <a:schemeClr val="accent3">
                <a:hueOff val="0"/>
                <a:satOff val="0"/>
                <a:lumOff val="0"/>
                <a:alphaOff val="0"/>
                <a:tint val="100000"/>
                <a:shade val="100000"/>
                <a:satMod val="130000"/>
              </a:schemeClr>
            </a:gs>
            <a:gs pos="100000">
              <a:schemeClr val="accent3">
                <a:hueOff val="0"/>
                <a:satOff val="0"/>
                <a:lumOff val="0"/>
                <a:alphaOff val="0"/>
                <a:tint val="50000"/>
                <a:shade val="100000"/>
                <a:satMod val="350000"/>
              </a:scheme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sp>
    <dsp:sp modelId="{6ADF2404-F0F4-E24D-AF03-326A0534C6DB}">
      <dsp:nvSpPr>
        <dsp:cNvPr id="0" name=""/>
        <dsp:cNvSpPr/>
      </dsp:nvSpPr>
      <dsp:spPr>
        <a:xfrm>
          <a:off x="739818" y="3782000"/>
          <a:ext cx="771170" cy="714742"/>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2700" tIns="12700" rIns="12700" bIns="12700" numCol="1" spcCol="1270" anchor="ctr" anchorCtr="0">
          <a:noAutofit/>
        </a:bodyPr>
        <a:lstStyle/>
        <a:p>
          <a:pPr lvl="0" algn="ctr" defTabSz="444500">
            <a:lnSpc>
              <a:spcPct val="90000"/>
            </a:lnSpc>
            <a:spcBef>
              <a:spcPct val="0"/>
            </a:spcBef>
            <a:spcAft>
              <a:spcPct val="35000"/>
            </a:spcAft>
          </a:pPr>
          <a:r>
            <a:rPr lang="en-US" sz="1000" b="1" kern="1200">
              <a:latin typeface="Arial"/>
              <a:cs typeface="Arial"/>
            </a:rPr>
            <a:t>Implement-ation</a:t>
          </a:r>
        </a:p>
      </dsp:txBody>
      <dsp:txXfrm>
        <a:off x="739818" y="3782000"/>
        <a:ext cx="771170" cy="714742"/>
      </dsp:txXfrm>
    </dsp:sp>
    <dsp:sp modelId="{D45E2600-09F6-3F49-AAA3-4D0F4ED8B196}">
      <dsp:nvSpPr>
        <dsp:cNvPr id="0" name=""/>
        <dsp:cNvSpPr/>
      </dsp:nvSpPr>
      <dsp:spPr>
        <a:xfrm>
          <a:off x="182643" y="73896"/>
          <a:ext cx="4735033" cy="4735033"/>
        </a:xfrm>
        <a:prstGeom prst="circularArrow">
          <a:avLst>
            <a:gd name="adj1" fmla="val 2943"/>
            <a:gd name="adj2" fmla="val 180158"/>
            <a:gd name="adj3" fmla="val 9445934"/>
            <a:gd name="adj4" fmla="val 8567071"/>
            <a:gd name="adj5" fmla="val 3434"/>
          </a:avLst>
        </a:prstGeom>
        <a:gradFill rotWithShape="0">
          <a:gsLst>
            <a:gs pos="0">
              <a:schemeClr val="accent3">
                <a:hueOff val="0"/>
                <a:satOff val="0"/>
                <a:lumOff val="0"/>
                <a:alphaOff val="0"/>
                <a:tint val="100000"/>
                <a:shade val="100000"/>
                <a:satMod val="130000"/>
              </a:schemeClr>
            </a:gs>
            <a:gs pos="100000">
              <a:schemeClr val="accent3">
                <a:hueOff val="0"/>
                <a:satOff val="0"/>
                <a:lumOff val="0"/>
                <a:alphaOff val="0"/>
                <a:tint val="50000"/>
                <a:shade val="100000"/>
                <a:satMod val="350000"/>
              </a:scheme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sp>
    <dsp:sp modelId="{D9AB7F56-7667-3B4A-9D58-A0EAAE76C952}">
      <dsp:nvSpPr>
        <dsp:cNvPr id="0" name=""/>
        <dsp:cNvSpPr/>
      </dsp:nvSpPr>
      <dsp:spPr>
        <a:xfrm>
          <a:off x="9935" y="2468938"/>
          <a:ext cx="714742" cy="714742"/>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2700" tIns="12700" rIns="12700" bIns="12700" numCol="1" spcCol="1270" anchor="ctr" anchorCtr="0">
          <a:noAutofit/>
        </a:bodyPr>
        <a:lstStyle/>
        <a:p>
          <a:pPr lvl="0" algn="ctr" defTabSz="444500">
            <a:lnSpc>
              <a:spcPct val="90000"/>
            </a:lnSpc>
            <a:spcBef>
              <a:spcPct val="0"/>
            </a:spcBef>
            <a:spcAft>
              <a:spcPct val="35000"/>
            </a:spcAft>
          </a:pPr>
          <a:r>
            <a:rPr lang="en-US" sz="1000" b="1" kern="1200">
              <a:latin typeface="Arial"/>
              <a:cs typeface="Arial"/>
            </a:rPr>
            <a:t>Monitoring &amp; Evaluation</a:t>
          </a:r>
        </a:p>
      </dsp:txBody>
      <dsp:txXfrm>
        <a:off x="9935" y="2468938"/>
        <a:ext cx="714742" cy="714742"/>
      </dsp:txXfrm>
    </dsp:sp>
    <dsp:sp modelId="{535F6F6D-707A-DA43-9DEC-5C3FF63E64E7}">
      <dsp:nvSpPr>
        <dsp:cNvPr id="0" name=""/>
        <dsp:cNvSpPr/>
      </dsp:nvSpPr>
      <dsp:spPr>
        <a:xfrm>
          <a:off x="182643" y="73896"/>
          <a:ext cx="4735033" cy="4735033"/>
        </a:xfrm>
        <a:prstGeom prst="circularArrow">
          <a:avLst>
            <a:gd name="adj1" fmla="val 2943"/>
            <a:gd name="adj2" fmla="val 180158"/>
            <a:gd name="adj3" fmla="val 11807959"/>
            <a:gd name="adj4" fmla="val 10757309"/>
            <a:gd name="adj5" fmla="val 3434"/>
          </a:avLst>
        </a:prstGeom>
        <a:gradFill rotWithShape="0">
          <a:gsLst>
            <a:gs pos="0">
              <a:schemeClr val="accent3">
                <a:hueOff val="0"/>
                <a:satOff val="0"/>
                <a:lumOff val="0"/>
                <a:alphaOff val="0"/>
                <a:tint val="100000"/>
                <a:shade val="100000"/>
                <a:satMod val="130000"/>
              </a:schemeClr>
            </a:gs>
            <a:gs pos="100000">
              <a:schemeClr val="accent3">
                <a:hueOff val="0"/>
                <a:satOff val="0"/>
                <a:lumOff val="0"/>
                <a:alphaOff val="0"/>
                <a:tint val="50000"/>
                <a:shade val="100000"/>
                <a:satMod val="350000"/>
              </a:scheme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sp>
    <dsp:sp modelId="{2FA433EE-5646-6B43-BC47-6B0166939CC3}">
      <dsp:nvSpPr>
        <dsp:cNvPr id="0" name=""/>
        <dsp:cNvSpPr/>
      </dsp:nvSpPr>
      <dsp:spPr>
        <a:xfrm>
          <a:off x="273219" y="975778"/>
          <a:ext cx="714742" cy="714742"/>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2700" tIns="12700" rIns="12700" bIns="12700" numCol="1" spcCol="1270" anchor="ctr" anchorCtr="0">
          <a:noAutofit/>
        </a:bodyPr>
        <a:lstStyle/>
        <a:p>
          <a:pPr lvl="0" algn="ctr" defTabSz="444500">
            <a:lnSpc>
              <a:spcPct val="90000"/>
            </a:lnSpc>
            <a:spcBef>
              <a:spcPct val="0"/>
            </a:spcBef>
            <a:spcAft>
              <a:spcPct val="35000"/>
            </a:spcAft>
          </a:pPr>
          <a:r>
            <a:rPr lang="en-US" sz="1000" b="1" kern="1200">
              <a:latin typeface="Arial"/>
              <a:cs typeface="Arial"/>
            </a:rPr>
            <a:t>Reflection &amp; Reporting</a:t>
          </a:r>
        </a:p>
      </dsp:txBody>
      <dsp:txXfrm>
        <a:off x="273219" y="975778"/>
        <a:ext cx="714742" cy="714742"/>
      </dsp:txXfrm>
    </dsp:sp>
    <dsp:sp modelId="{5E91E276-C285-EC4B-95C2-1EA1BCE21F1C}">
      <dsp:nvSpPr>
        <dsp:cNvPr id="0" name=""/>
        <dsp:cNvSpPr/>
      </dsp:nvSpPr>
      <dsp:spPr>
        <a:xfrm>
          <a:off x="182643" y="73896"/>
          <a:ext cx="4735033" cy="4735033"/>
        </a:xfrm>
        <a:prstGeom prst="circularArrow">
          <a:avLst>
            <a:gd name="adj1" fmla="val 2943"/>
            <a:gd name="adj2" fmla="val 180158"/>
            <a:gd name="adj3" fmla="val 14206926"/>
            <a:gd name="adj4" fmla="val 13283626"/>
            <a:gd name="adj5" fmla="val 3434"/>
          </a:avLst>
        </a:prstGeom>
        <a:gradFill rotWithShape="0">
          <a:gsLst>
            <a:gs pos="0">
              <a:schemeClr val="accent3">
                <a:hueOff val="0"/>
                <a:satOff val="0"/>
                <a:lumOff val="0"/>
                <a:alphaOff val="0"/>
                <a:tint val="100000"/>
                <a:shade val="100000"/>
                <a:satMod val="130000"/>
              </a:schemeClr>
            </a:gs>
            <a:gs pos="100000">
              <a:schemeClr val="accent3">
                <a:hueOff val="0"/>
                <a:satOff val="0"/>
                <a:lumOff val="0"/>
                <a:alphaOff val="0"/>
                <a:tint val="50000"/>
                <a:shade val="100000"/>
                <a:satMod val="350000"/>
              </a:scheme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sp>
    <dsp:sp modelId="{267571A2-FDAC-3344-B2A1-A8515408A4C0}">
      <dsp:nvSpPr>
        <dsp:cNvPr id="0" name=""/>
        <dsp:cNvSpPr/>
      </dsp:nvSpPr>
      <dsp:spPr>
        <a:xfrm>
          <a:off x="1434691" y="1188"/>
          <a:ext cx="714742" cy="714742"/>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2700" tIns="12700" rIns="12700" bIns="12700" numCol="1" spcCol="1270" anchor="ctr" anchorCtr="0">
          <a:noAutofit/>
        </a:bodyPr>
        <a:lstStyle/>
        <a:p>
          <a:pPr lvl="0" algn="ctr" defTabSz="444500">
            <a:lnSpc>
              <a:spcPct val="90000"/>
            </a:lnSpc>
            <a:spcBef>
              <a:spcPct val="0"/>
            </a:spcBef>
            <a:spcAft>
              <a:spcPct val="35000"/>
            </a:spcAft>
          </a:pPr>
          <a:r>
            <a:rPr lang="en-US" sz="1000" b="1" kern="1200">
              <a:latin typeface="Arial"/>
              <a:cs typeface="Arial"/>
            </a:rPr>
            <a:t>Analysis</a:t>
          </a:r>
        </a:p>
      </dsp:txBody>
      <dsp:txXfrm>
        <a:off x="1434691" y="1188"/>
        <a:ext cx="714742" cy="714742"/>
      </dsp:txXfrm>
    </dsp:sp>
    <dsp:sp modelId="{B1454B0E-F18A-6F49-A738-96CCFFF5F204}">
      <dsp:nvSpPr>
        <dsp:cNvPr id="0" name=""/>
        <dsp:cNvSpPr/>
      </dsp:nvSpPr>
      <dsp:spPr>
        <a:xfrm>
          <a:off x="182643" y="73896"/>
          <a:ext cx="4735033" cy="4735033"/>
        </a:xfrm>
        <a:prstGeom prst="circularArrow">
          <a:avLst>
            <a:gd name="adj1" fmla="val 2943"/>
            <a:gd name="adj2" fmla="val 180158"/>
            <a:gd name="adj3" fmla="val 16530714"/>
            <a:gd name="adj4" fmla="val 15575053"/>
            <a:gd name="adj5" fmla="val 3434"/>
          </a:avLst>
        </a:prstGeom>
        <a:gradFill rotWithShape="0">
          <a:gsLst>
            <a:gs pos="0">
              <a:schemeClr val="accent3">
                <a:hueOff val="0"/>
                <a:satOff val="0"/>
                <a:lumOff val="0"/>
                <a:alphaOff val="0"/>
                <a:tint val="100000"/>
                <a:shade val="100000"/>
                <a:satMod val="130000"/>
              </a:schemeClr>
            </a:gs>
            <a:gs pos="100000">
              <a:schemeClr val="accent3">
                <a:hueOff val="0"/>
                <a:satOff val="0"/>
                <a:lumOff val="0"/>
                <a:alphaOff val="0"/>
                <a:tint val="50000"/>
                <a:shade val="100000"/>
                <a:satMod val="350000"/>
              </a:scheme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sp>
  </dsp:spTree>
</dsp:drawing>
</file>

<file path=xl/diagrams/drawing6.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3154E763-F5CB-1947-8E72-ED26AF246E4B}">
      <dsp:nvSpPr>
        <dsp:cNvPr id="0" name=""/>
        <dsp:cNvSpPr/>
      </dsp:nvSpPr>
      <dsp:spPr>
        <a:xfrm>
          <a:off x="2850625" y="14382"/>
          <a:ext cx="852753" cy="708855"/>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2700" tIns="12700" rIns="12700" bIns="12700" numCol="1" spcCol="1270" anchor="ctr" anchorCtr="0">
          <a:noAutofit/>
        </a:bodyPr>
        <a:lstStyle/>
        <a:p>
          <a:pPr lvl="0" algn="ctr" defTabSz="444500">
            <a:lnSpc>
              <a:spcPct val="90000"/>
            </a:lnSpc>
            <a:spcBef>
              <a:spcPct val="0"/>
            </a:spcBef>
            <a:spcAft>
              <a:spcPct val="35000"/>
            </a:spcAft>
          </a:pPr>
          <a:r>
            <a:rPr lang="en-US" sz="1000" b="1" kern="1200">
              <a:latin typeface="Arial"/>
              <a:cs typeface="Arial"/>
            </a:rPr>
            <a:t>Objective Setting</a:t>
          </a:r>
        </a:p>
      </dsp:txBody>
      <dsp:txXfrm>
        <a:off x="2850625" y="14382"/>
        <a:ext cx="852753" cy="708855"/>
      </dsp:txXfrm>
    </dsp:sp>
    <dsp:sp modelId="{8C9CFF9C-EA60-7E48-A2FB-C384EAFB4D44}">
      <dsp:nvSpPr>
        <dsp:cNvPr id="0" name=""/>
        <dsp:cNvSpPr/>
      </dsp:nvSpPr>
      <dsp:spPr>
        <a:xfrm>
          <a:off x="175604" y="86423"/>
          <a:ext cx="4698311" cy="4698311"/>
        </a:xfrm>
        <a:prstGeom prst="circularArrow">
          <a:avLst>
            <a:gd name="adj1" fmla="val 2942"/>
            <a:gd name="adj2" fmla="val 180065"/>
            <a:gd name="adj3" fmla="val 18936692"/>
            <a:gd name="adj4" fmla="val 18144216"/>
            <a:gd name="adj5" fmla="val 3432"/>
          </a:avLst>
        </a:prstGeom>
        <a:gradFill rotWithShape="0">
          <a:gsLst>
            <a:gs pos="0">
              <a:schemeClr val="accent3">
                <a:hueOff val="0"/>
                <a:satOff val="0"/>
                <a:lumOff val="0"/>
                <a:alphaOff val="0"/>
                <a:tint val="100000"/>
                <a:shade val="100000"/>
                <a:satMod val="130000"/>
              </a:schemeClr>
            </a:gs>
            <a:gs pos="100000">
              <a:schemeClr val="accent3">
                <a:hueOff val="0"/>
                <a:satOff val="0"/>
                <a:lumOff val="0"/>
                <a:alphaOff val="0"/>
                <a:tint val="50000"/>
                <a:shade val="100000"/>
                <a:satMod val="350000"/>
              </a:scheme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sp>
    <dsp:sp modelId="{3E9DFDEF-F794-B44E-817F-547A228237BD}">
      <dsp:nvSpPr>
        <dsp:cNvPr id="0" name=""/>
        <dsp:cNvSpPr/>
      </dsp:nvSpPr>
      <dsp:spPr>
        <a:xfrm>
          <a:off x="4020165" y="981446"/>
          <a:ext cx="818679" cy="708855"/>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2700" tIns="12700" rIns="12700" bIns="12700" numCol="1" spcCol="1270" anchor="ctr" anchorCtr="0">
          <a:noAutofit/>
        </a:bodyPr>
        <a:lstStyle/>
        <a:p>
          <a:pPr lvl="0" algn="ctr" defTabSz="444500">
            <a:lnSpc>
              <a:spcPct val="90000"/>
            </a:lnSpc>
            <a:spcBef>
              <a:spcPct val="0"/>
            </a:spcBef>
            <a:spcAft>
              <a:spcPct val="35000"/>
            </a:spcAft>
          </a:pPr>
          <a:r>
            <a:rPr lang="en-US" sz="1000" b="1" kern="1200">
              <a:latin typeface="Arial"/>
              <a:cs typeface="Arial"/>
            </a:rPr>
            <a:t>Strategising</a:t>
          </a:r>
        </a:p>
      </dsp:txBody>
      <dsp:txXfrm>
        <a:off x="4020165" y="981446"/>
        <a:ext cx="818679" cy="708855"/>
      </dsp:txXfrm>
    </dsp:sp>
    <dsp:sp modelId="{F3275831-5130-A647-9AE6-2A1811422F28}">
      <dsp:nvSpPr>
        <dsp:cNvPr id="0" name=""/>
        <dsp:cNvSpPr/>
      </dsp:nvSpPr>
      <dsp:spPr>
        <a:xfrm>
          <a:off x="175604" y="86423"/>
          <a:ext cx="4698311" cy="4698311"/>
        </a:xfrm>
        <a:prstGeom prst="circularArrow">
          <a:avLst>
            <a:gd name="adj1" fmla="val 2942"/>
            <a:gd name="adj2" fmla="val 180065"/>
            <a:gd name="adj3" fmla="val 21462913"/>
            <a:gd name="adj4" fmla="val 20411579"/>
            <a:gd name="adj5" fmla="val 3432"/>
          </a:avLst>
        </a:prstGeom>
        <a:gradFill rotWithShape="0">
          <a:gsLst>
            <a:gs pos="0">
              <a:schemeClr val="accent3">
                <a:hueOff val="0"/>
                <a:satOff val="0"/>
                <a:lumOff val="0"/>
                <a:alphaOff val="0"/>
                <a:tint val="100000"/>
                <a:shade val="100000"/>
                <a:satMod val="130000"/>
              </a:schemeClr>
            </a:gs>
            <a:gs pos="100000">
              <a:schemeClr val="accent3">
                <a:hueOff val="0"/>
                <a:satOff val="0"/>
                <a:lumOff val="0"/>
                <a:alphaOff val="0"/>
                <a:tint val="50000"/>
                <a:shade val="100000"/>
                <a:satMod val="350000"/>
              </a:scheme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sp>
    <dsp:sp modelId="{6D4788A6-4022-CB48-A0DE-C5BE18DA9BD4}">
      <dsp:nvSpPr>
        <dsp:cNvPr id="0" name=""/>
        <dsp:cNvSpPr/>
      </dsp:nvSpPr>
      <dsp:spPr>
        <a:xfrm>
          <a:off x="4336328" y="2463075"/>
          <a:ext cx="708855" cy="708855"/>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2700" tIns="12700" rIns="12700" bIns="12700" numCol="1" spcCol="1270" anchor="ctr" anchorCtr="0">
          <a:noAutofit/>
        </a:bodyPr>
        <a:lstStyle/>
        <a:p>
          <a:pPr lvl="0" algn="ctr" defTabSz="444500">
            <a:lnSpc>
              <a:spcPct val="90000"/>
            </a:lnSpc>
            <a:spcBef>
              <a:spcPct val="0"/>
            </a:spcBef>
            <a:spcAft>
              <a:spcPct val="35000"/>
            </a:spcAft>
          </a:pPr>
          <a:r>
            <a:rPr lang="en-US" sz="1000" b="1" kern="1200">
              <a:latin typeface="Arial"/>
              <a:cs typeface="Arial"/>
            </a:rPr>
            <a:t>Work Planning</a:t>
          </a:r>
        </a:p>
      </dsp:txBody>
      <dsp:txXfrm>
        <a:off x="4336328" y="2463075"/>
        <a:ext cx="708855" cy="708855"/>
      </dsp:txXfrm>
    </dsp:sp>
    <dsp:sp modelId="{10377AFC-3931-764D-B025-5FC3AD8D0128}">
      <dsp:nvSpPr>
        <dsp:cNvPr id="0" name=""/>
        <dsp:cNvSpPr/>
      </dsp:nvSpPr>
      <dsp:spPr>
        <a:xfrm>
          <a:off x="175604" y="86423"/>
          <a:ext cx="4698311" cy="4698311"/>
        </a:xfrm>
        <a:prstGeom prst="circularArrow">
          <a:avLst>
            <a:gd name="adj1" fmla="val 2942"/>
            <a:gd name="adj2" fmla="val 180065"/>
            <a:gd name="adj3" fmla="val 2053224"/>
            <a:gd name="adj4" fmla="val 1173604"/>
            <a:gd name="adj5" fmla="val 3432"/>
          </a:avLst>
        </a:prstGeom>
        <a:gradFill rotWithShape="0">
          <a:gsLst>
            <a:gs pos="0">
              <a:schemeClr val="accent3">
                <a:hueOff val="0"/>
                <a:satOff val="0"/>
                <a:lumOff val="0"/>
                <a:alphaOff val="0"/>
                <a:tint val="100000"/>
                <a:shade val="100000"/>
                <a:satMod val="130000"/>
              </a:schemeClr>
            </a:gs>
            <a:gs pos="100000">
              <a:schemeClr val="accent3">
                <a:hueOff val="0"/>
                <a:satOff val="0"/>
                <a:lumOff val="0"/>
                <a:alphaOff val="0"/>
                <a:tint val="50000"/>
                <a:shade val="100000"/>
                <a:satMod val="350000"/>
              </a:scheme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sp>
    <dsp:sp modelId="{12F7E10F-D187-EE4B-9C89-C1EA0C61BBC2}">
      <dsp:nvSpPr>
        <dsp:cNvPr id="0" name=""/>
        <dsp:cNvSpPr/>
      </dsp:nvSpPr>
      <dsp:spPr>
        <a:xfrm>
          <a:off x="3584085" y="3765997"/>
          <a:ext cx="708855" cy="708855"/>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2700" tIns="12700" rIns="12700" bIns="12700" numCol="1" spcCol="1270" anchor="ctr" anchorCtr="0">
          <a:noAutofit/>
        </a:bodyPr>
        <a:lstStyle/>
        <a:p>
          <a:pPr lvl="0" algn="ctr" defTabSz="444500">
            <a:lnSpc>
              <a:spcPct val="90000"/>
            </a:lnSpc>
            <a:spcBef>
              <a:spcPct val="0"/>
            </a:spcBef>
            <a:spcAft>
              <a:spcPct val="35000"/>
            </a:spcAft>
          </a:pPr>
          <a:r>
            <a:rPr lang="en-US" sz="1000" b="1" kern="1200">
              <a:latin typeface="Arial"/>
              <a:cs typeface="Arial"/>
            </a:rPr>
            <a:t>Budgeting</a:t>
          </a:r>
        </a:p>
      </dsp:txBody>
      <dsp:txXfrm>
        <a:off x="3584085" y="3765997"/>
        <a:ext cx="708855" cy="708855"/>
      </dsp:txXfrm>
    </dsp:sp>
    <dsp:sp modelId="{33C0DAA2-F4B2-7B43-94BE-EE2A49B3E2B2}">
      <dsp:nvSpPr>
        <dsp:cNvPr id="0" name=""/>
        <dsp:cNvSpPr/>
      </dsp:nvSpPr>
      <dsp:spPr>
        <a:xfrm>
          <a:off x="175604" y="86423"/>
          <a:ext cx="4698311" cy="4698311"/>
        </a:xfrm>
        <a:prstGeom prst="circularArrow">
          <a:avLst>
            <a:gd name="adj1" fmla="val 2942"/>
            <a:gd name="adj2" fmla="val 180065"/>
            <a:gd name="adj3" fmla="val 4564878"/>
            <a:gd name="adj4" fmla="val 3672443"/>
            <a:gd name="adj5" fmla="val 3432"/>
          </a:avLst>
        </a:prstGeom>
        <a:gradFill rotWithShape="0">
          <a:gsLst>
            <a:gs pos="0">
              <a:schemeClr val="accent3">
                <a:hueOff val="0"/>
                <a:satOff val="0"/>
                <a:lumOff val="0"/>
                <a:alphaOff val="0"/>
                <a:tint val="100000"/>
                <a:shade val="100000"/>
                <a:satMod val="130000"/>
              </a:schemeClr>
            </a:gs>
            <a:gs pos="100000">
              <a:schemeClr val="accent3">
                <a:hueOff val="0"/>
                <a:satOff val="0"/>
                <a:lumOff val="0"/>
                <a:alphaOff val="0"/>
                <a:tint val="50000"/>
                <a:shade val="100000"/>
                <a:satMod val="350000"/>
              </a:scheme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sp>
    <dsp:sp modelId="{84E67944-B303-7E43-BDA2-C6DD4B92BDE0}">
      <dsp:nvSpPr>
        <dsp:cNvPr id="0" name=""/>
        <dsp:cNvSpPr/>
      </dsp:nvSpPr>
      <dsp:spPr>
        <a:xfrm>
          <a:off x="2108197" y="4280561"/>
          <a:ext cx="833125" cy="708855"/>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2700" tIns="12700" rIns="12700" bIns="12700" numCol="1" spcCol="1270" anchor="ctr" anchorCtr="0">
          <a:noAutofit/>
        </a:bodyPr>
        <a:lstStyle/>
        <a:p>
          <a:pPr lvl="0" algn="ctr" defTabSz="444500">
            <a:lnSpc>
              <a:spcPct val="90000"/>
            </a:lnSpc>
            <a:spcBef>
              <a:spcPct val="0"/>
            </a:spcBef>
            <a:spcAft>
              <a:spcPct val="35000"/>
            </a:spcAft>
          </a:pPr>
          <a:r>
            <a:rPr lang="en-US" sz="1000" b="1" kern="1200">
              <a:latin typeface="Arial"/>
              <a:cs typeface="Arial"/>
            </a:rPr>
            <a:t>Forecasting</a:t>
          </a:r>
        </a:p>
      </dsp:txBody>
      <dsp:txXfrm>
        <a:off x="2108197" y="4280561"/>
        <a:ext cx="833125" cy="708855"/>
      </dsp:txXfrm>
    </dsp:sp>
    <dsp:sp modelId="{8E58548D-C9F9-7542-8D23-B3E92EA1A0AA}">
      <dsp:nvSpPr>
        <dsp:cNvPr id="0" name=""/>
        <dsp:cNvSpPr/>
      </dsp:nvSpPr>
      <dsp:spPr>
        <a:xfrm>
          <a:off x="175604" y="86423"/>
          <a:ext cx="4698311" cy="4698311"/>
        </a:xfrm>
        <a:prstGeom prst="circularArrow">
          <a:avLst>
            <a:gd name="adj1" fmla="val 2942"/>
            <a:gd name="adj2" fmla="val 180065"/>
            <a:gd name="adj3" fmla="val 6897781"/>
            <a:gd name="adj4" fmla="val 6055057"/>
            <a:gd name="adj5" fmla="val 3432"/>
          </a:avLst>
        </a:prstGeom>
        <a:gradFill rotWithShape="0">
          <a:gsLst>
            <a:gs pos="0">
              <a:schemeClr val="accent3">
                <a:hueOff val="0"/>
                <a:satOff val="0"/>
                <a:lumOff val="0"/>
                <a:alphaOff val="0"/>
                <a:tint val="100000"/>
                <a:shade val="100000"/>
                <a:satMod val="130000"/>
              </a:schemeClr>
            </a:gs>
            <a:gs pos="100000">
              <a:schemeClr val="accent3">
                <a:hueOff val="0"/>
                <a:satOff val="0"/>
                <a:lumOff val="0"/>
                <a:alphaOff val="0"/>
                <a:tint val="50000"/>
                <a:shade val="100000"/>
                <a:satMod val="350000"/>
              </a:scheme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sp>
    <dsp:sp modelId="{6ADF2404-F0F4-E24D-AF03-326A0534C6DB}">
      <dsp:nvSpPr>
        <dsp:cNvPr id="0" name=""/>
        <dsp:cNvSpPr/>
      </dsp:nvSpPr>
      <dsp:spPr>
        <a:xfrm>
          <a:off x="728596" y="3765997"/>
          <a:ext cx="764820" cy="708855"/>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2700" tIns="12700" rIns="12700" bIns="12700" numCol="1" spcCol="1270" anchor="ctr" anchorCtr="0">
          <a:noAutofit/>
        </a:bodyPr>
        <a:lstStyle/>
        <a:p>
          <a:pPr lvl="0" algn="ctr" defTabSz="444500">
            <a:lnSpc>
              <a:spcPct val="90000"/>
            </a:lnSpc>
            <a:spcBef>
              <a:spcPct val="0"/>
            </a:spcBef>
            <a:spcAft>
              <a:spcPct val="35000"/>
            </a:spcAft>
          </a:pPr>
          <a:r>
            <a:rPr lang="en-US" sz="1000" b="1" kern="1200">
              <a:latin typeface="Arial"/>
              <a:cs typeface="Arial"/>
            </a:rPr>
            <a:t>Implement-ation</a:t>
          </a:r>
        </a:p>
      </dsp:txBody>
      <dsp:txXfrm>
        <a:off x="728596" y="3765997"/>
        <a:ext cx="764820" cy="708855"/>
      </dsp:txXfrm>
    </dsp:sp>
    <dsp:sp modelId="{D45E2600-09F6-3F49-AAA3-4D0F4ED8B196}">
      <dsp:nvSpPr>
        <dsp:cNvPr id="0" name=""/>
        <dsp:cNvSpPr/>
      </dsp:nvSpPr>
      <dsp:spPr>
        <a:xfrm>
          <a:off x="175604" y="86423"/>
          <a:ext cx="4698311" cy="4698311"/>
        </a:xfrm>
        <a:prstGeom prst="circularArrow">
          <a:avLst>
            <a:gd name="adj1" fmla="val 2942"/>
            <a:gd name="adj2" fmla="val 180065"/>
            <a:gd name="adj3" fmla="val 9446331"/>
            <a:gd name="adj4" fmla="val 8566712"/>
            <a:gd name="adj5" fmla="val 3432"/>
          </a:avLst>
        </a:prstGeom>
        <a:gradFill rotWithShape="0">
          <a:gsLst>
            <a:gs pos="0">
              <a:schemeClr val="accent3">
                <a:hueOff val="0"/>
                <a:satOff val="0"/>
                <a:lumOff val="0"/>
                <a:alphaOff val="0"/>
                <a:tint val="100000"/>
                <a:shade val="100000"/>
                <a:satMod val="130000"/>
              </a:schemeClr>
            </a:gs>
            <a:gs pos="100000">
              <a:schemeClr val="accent3">
                <a:hueOff val="0"/>
                <a:satOff val="0"/>
                <a:lumOff val="0"/>
                <a:alphaOff val="0"/>
                <a:tint val="50000"/>
                <a:shade val="100000"/>
                <a:satMod val="350000"/>
              </a:scheme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sp>
    <dsp:sp modelId="{D9AB7F56-7667-3B4A-9D58-A0EAAE76C952}">
      <dsp:nvSpPr>
        <dsp:cNvPr id="0" name=""/>
        <dsp:cNvSpPr/>
      </dsp:nvSpPr>
      <dsp:spPr>
        <a:xfrm>
          <a:off x="4335" y="2463075"/>
          <a:ext cx="708855" cy="708855"/>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2700" tIns="12700" rIns="12700" bIns="12700" numCol="1" spcCol="1270" anchor="ctr" anchorCtr="0">
          <a:noAutofit/>
        </a:bodyPr>
        <a:lstStyle/>
        <a:p>
          <a:pPr lvl="0" algn="ctr" defTabSz="444500">
            <a:lnSpc>
              <a:spcPct val="90000"/>
            </a:lnSpc>
            <a:spcBef>
              <a:spcPct val="0"/>
            </a:spcBef>
            <a:spcAft>
              <a:spcPct val="35000"/>
            </a:spcAft>
          </a:pPr>
          <a:r>
            <a:rPr lang="en-US" sz="1000" b="1" kern="1200">
              <a:latin typeface="Arial"/>
              <a:cs typeface="Arial"/>
            </a:rPr>
            <a:t>Monitoring &amp; Evaluation</a:t>
          </a:r>
        </a:p>
      </dsp:txBody>
      <dsp:txXfrm>
        <a:off x="4335" y="2463075"/>
        <a:ext cx="708855" cy="708855"/>
      </dsp:txXfrm>
    </dsp:sp>
    <dsp:sp modelId="{535F6F6D-707A-DA43-9DEC-5C3FF63E64E7}">
      <dsp:nvSpPr>
        <dsp:cNvPr id="0" name=""/>
        <dsp:cNvSpPr/>
      </dsp:nvSpPr>
      <dsp:spPr>
        <a:xfrm>
          <a:off x="175604" y="86423"/>
          <a:ext cx="4698311" cy="4698311"/>
        </a:xfrm>
        <a:prstGeom prst="circularArrow">
          <a:avLst>
            <a:gd name="adj1" fmla="val 2942"/>
            <a:gd name="adj2" fmla="val 180065"/>
            <a:gd name="adj3" fmla="val 11808356"/>
            <a:gd name="adj4" fmla="val 10757022"/>
            <a:gd name="adj5" fmla="val 3432"/>
          </a:avLst>
        </a:prstGeom>
        <a:gradFill rotWithShape="0">
          <a:gsLst>
            <a:gs pos="0">
              <a:schemeClr val="accent3">
                <a:hueOff val="0"/>
                <a:satOff val="0"/>
                <a:lumOff val="0"/>
                <a:alphaOff val="0"/>
                <a:tint val="100000"/>
                <a:shade val="100000"/>
                <a:satMod val="130000"/>
              </a:schemeClr>
            </a:gs>
            <a:gs pos="100000">
              <a:schemeClr val="accent3">
                <a:hueOff val="0"/>
                <a:satOff val="0"/>
                <a:lumOff val="0"/>
                <a:alphaOff val="0"/>
                <a:tint val="50000"/>
                <a:shade val="100000"/>
                <a:satMod val="350000"/>
              </a:scheme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sp>
    <dsp:sp modelId="{2FA433EE-5646-6B43-BC47-6B0166939CC3}">
      <dsp:nvSpPr>
        <dsp:cNvPr id="0" name=""/>
        <dsp:cNvSpPr/>
      </dsp:nvSpPr>
      <dsp:spPr>
        <a:xfrm>
          <a:off x="265586" y="981446"/>
          <a:ext cx="708855" cy="708855"/>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2700" tIns="12700" rIns="12700" bIns="12700" numCol="1" spcCol="1270" anchor="ctr" anchorCtr="0">
          <a:noAutofit/>
        </a:bodyPr>
        <a:lstStyle/>
        <a:p>
          <a:pPr lvl="0" algn="ctr" defTabSz="444500">
            <a:lnSpc>
              <a:spcPct val="90000"/>
            </a:lnSpc>
            <a:spcBef>
              <a:spcPct val="0"/>
            </a:spcBef>
            <a:spcAft>
              <a:spcPct val="35000"/>
            </a:spcAft>
          </a:pPr>
          <a:r>
            <a:rPr lang="en-US" sz="1000" b="1" kern="1200">
              <a:latin typeface="Arial"/>
              <a:cs typeface="Arial"/>
            </a:rPr>
            <a:t>Reflection &amp; Reporting</a:t>
          </a:r>
        </a:p>
      </dsp:txBody>
      <dsp:txXfrm>
        <a:off x="265586" y="981446"/>
        <a:ext cx="708855" cy="708855"/>
      </dsp:txXfrm>
    </dsp:sp>
    <dsp:sp modelId="{5E91E276-C285-EC4B-95C2-1EA1BCE21F1C}">
      <dsp:nvSpPr>
        <dsp:cNvPr id="0" name=""/>
        <dsp:cNvSpPr/>
      </dsp:nvSpPr>
      <dsp:spPr>
        <a:xfrm>
          <a:off x="175604" y="86423"/>
          <a:ext cx="4698311" cy="4698311"/>
        </a:xfrm>
        <a:prstGeom prst="circularArrow">
          <a:avLst>
            <a:gd name="adj1" fmla="val 2942"/>
            <a:gd name="adj2" fmla="val 180065"/>
            <a:gd name="adj3" fmla="val 14207350"/>
            <a:gd name="adj4" fmla="val 13283244"/>
            <a:gd name="adj5" fmla="val 3432"/>
          </a:avLst>
        </a:prstGeom>
        <a:gradFill rotWithShape="0">
          <a:gsLst>
            <a:gs pos="0">
              <a:schemeClr val="accent3">
                <a:hueOff val="0"/>
                <a:satOff val="0"/>
                <a:lumOff val="0"/>
                <a:alphaOff val="0"/>
                <a:tint val="100000"/>
                <a:shade val="100000"/>
                <a:satMod val="130000"/>
              </a:schemeClr>
            </a:gs>
            <a:gs pos="100000">
              <a:schemeClr val="accent3">
                <a:hueOff val="0"/>
                <a:satOff val="0"/>
                <a:lumOff val="0"/>
                <a:alphaOff val="0"/>
                <a:tint val="50000"/>
                <a:shade val="100000"/>
                <a:satMod val="350000"/>
              </a:scheme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sp>
    <dsp:sp modelId="{267571A2-FDAC-3344-B2A1-A8515408A4C0}">
      <dsp:nvSpPr>
        <dsp:cNvPr id="0" name=""/>
        <dsp:cNvSpPr/>
      </dsp:nvSpPr>
      <dsp:spPr>
        <a:xfrm>
          <a:off x="1418089" y="14382"/>
          <a:ext cx="708855" cy="708855"/>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2700" tIns="12700" rIns="12700" bIns="12700" numCol="1" spcCol="1270" anchor="ctr" anchorCtr="0">
          <a:noAutofit/>
        </a:bodyPr>
        <a:lstStyle/>
        <a:p>
          <a:pPr lvl="0" algn="ctr" defTabSz="444500">
            <a:lnSpc>
              <a:spcPct val="90000"/>
            </a:lnSpc>
            <a:spcBef>
              <a:spcPct val="0"/>
            </a:spcBef>
            <a:spcAft>
              <a:spcPct val="35000"/>
            </a:spcAft>
          </a:pPr>
          <a:r>
            <a:rPr lang="en-US" sz="1000" b="1" kern="1200">
              <a:latin typeface="Arial"/>
              <a:cs typeface="Arial"/>
            </a:rPr>
            <a:t>Analysis</a:t>
          </a:r>
        </a:p>
      </dsp:txBody>
      <dsp:txXfrm>
        <a:off x="1418089" y="14382"/>
        <a:ext cx="708855" cy="708855"/>
      </dsp:txXfrm>
    </dsp:sp>
    <dsp:sp modelId="{B1454B0E-F18A-6F49-A738-96CCFFF5F204}">
      <dsp:nvSpPr>
        <dsp:cNvPr id="0" name=""/>
        <dsp:cNvSpPr/>
      </dsp:nvSpPr>
      <dsp:spPr>
        <a:xfrm>
          <a:off x="175604" y="86423"/>
          <a:ext cx="4698311" cy="4698311"/>
        </a:xfrm>
        <a:prstGeom prst="circularArrow">
          <a:avLst>
            <a:gd name="adj1" fmla="val 2942"/>
            <a:gd name="adj2" fmla="val 180065"/>
            <a:gd name="adj3" fmla="val 16531156"/>
            <a:gd name="adj4" fmla="val 15574762"/>
            <a:gd name="adj5" fmla="val 3432"/>
          </a:avLst>
        </a:prstGeom>
        <a:gradFill rotWithShape="0">
          <a:gsLst>
            <a:gs pos="0">
              <a:schemeClr val="accent3">
                <a:hueOff val="0"/>
                <a:satOff val="0"/>
                <a:lumOff val="0"/>
                <a:alphaOff val="0"/>
                <a:tint val="100000"/>
                <a:shade val="100000"/>
                <a:satMod val="130000"/>
              </a:schemeClr>
            </a:gs>
            <a:gs pos="100000">
              <a:schemeClr val="accent3">
                <a:hueOff val="0"/>
                <a:satOff val="0"/>
                <a:lumOff val="0"/>
                <a:alphaOff val="0"/>
                <a:tint val="50000"/>
                <a:shade val="100000"/>
                <a:satMod val="350000"/>
              </a:scheme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sp>
  </dsp:spTree>
</dsp:drawing>
</file>

<file path=xl/diagrams/layout1.xml><?xml version="1.0" encoding="utf-8"?>
<dgm:layoutDef xmlns:dgm="http://schemas.openxmlformats.org/drawingml/2006/diagram" xmlns:a="http://schemas.openxmlformats.org/drawingml/2006/main" uniqueId="urn:microsoft.com/office/officeart/2005/8/layout/cycle1">
  <dgm:title val=""/>
  <dgm:desc val=""/>
  <dgm:catLst>
    <dgm:cat type="cycle" pri="2000"/>
  </dgm:catLst>
  <dgm:sampData>
    <dgm:dataModel>
      <dgm:ptLst>
        <dgm:pt modelId="0" type="doc"/>
        <dgm:pt modelId="1">
          <dgm:prSet phldr="1"/>
        </dgm:pt>
        <dgm:pt modelId="2">
          <dgm:prSet phldr="1"/>
        </dgm:pt>
        <dgm:pt modelId="3">
          <dgm:prSet phldr="1"/>
        </dgm:pt>
        <dgm:pt modelId="4">
          <dgm:prSet phldr="1"/>
        </dgm:pt>
        <dgm:pt modelId="5">
          <dgm:prSet phldr="1"/>
        </dgm:pt>
      </dgm:ptLst>
      <dgm:cxnLst>
        <dgm:cxn modelId="6" srcId="0" destId="1" srcOrd="0" destOrd="0"/>
        <dgm:cxn modelId="7" srcId="0" destId="2" srcOrd="1" destOrd="0"/>
        <dgm:cxn modelId="8" srcId="0" destId="3" srcOrd="2" destOrd="0"/>
        <dgm:cxn modelId="9" srcId="0" destId="4" srcOrd="3" destOrd="0"/>
        <dgm:cxn modelId="10" srcId="0" destId="5" srcOrd="4" destOrd="0"/>
      </dgm:cxnLst>
      <dgm:bg/>
      <dgm:whole/>
    </dgm:dataModel>
  </dgm:sampData>
  <dgm:styleData>
    <dgm:dataModel>
      <dgm:ptLst>
        <dgm:pt modelId="0" type="doc"/>
        <dgm:pt modelId="1"/>
        <dgm:pt modelId="2"/>
        <dgm:pt modelId="3"/>
      </dgm:ptLst>
      <dgm:cxnLst>
        <dgm:cxn modelId="4" srcId="0" destId="1" srcOrd="0" destOrd="0"/>
        <dgm:cxn modelId="5" srcId="0" destId="2" srcOrd="1" destOrd="0"/>
        <dgm:cxn modelId="6" srcId="0" destId="3" srcOrd="2" destOrd="0"/>
      </dgm:cxnLst>
      <dgm:bg/>
      <dgm:whole/>
    </dgm:dataModel>
  </dgm:styleData>
  <dgm:clrData>
    <dgm:dataModel>
      <dgm:ptLst>
        <dgm:pt modelId="0" type="doc"/>
        <dgm:pt modelId="1"/>
        <dgm:pt modelId="2"/>
        <dgm:pt modelId="3"/>
        <dgm:pt modelId="4"/>
        <dgm:pt modelId="5"/>
        <dgm:pt modelId="6"/>
      </dgm:ptLst>
      <dgm:cxnLst>
        <dgm:cxn modelId="7" srcId="0" destId="1" srcOrd="0" destOrd="0"/>
        <dgm:cxn modelId="8" srcId="0" destId="2" srcOrd="1" destOrd="0"/>
        <dgm:cxn modelId="9" srcId="0" destId="3" srcOrd="2" destOrd="0"/>
        <dgm:cxn modelId="10" srcId="0" destId="4" srcOrd="3" destOrd="0"/>
        <dgm:cxn modelId="11" srcId="0" destId="5" srcOrd="4" destOrd="0"/>
        <dgm:cxn modelId="12" srcId="0" destId="6" srcOrd="5" destOrd="0"/>
      </dgm:cxnLst>
      <dgm:bg/>
      <dgm:whole/>
    </dgm:dataModel>
  </dgm:clrData>
  <dgm:layoutNode name="cycle">
    <dgm:varLst>
      <dgm:dir/>
      <dgm:resizeHandles val="exact"/>
    </dgm:varLst>
    <dgm:choose name="Name0">
      <dgm:if name="Name1" func="var" arg="dir" op="equ" val="norm">
        <dgm:alg type="cycle">
          <dgm:param type="stAng" val="0"/>
          <dgm:param type="spanAng" val="360"/>
        </dgm:alg>
      </dgm:if>
      <dgm:else name="Name2">
        <dgm:alg type="cycle">
          <dgm:param type="stAng" val="0"/>
          <dgm:param type="spanAng" val="-360"/>
        </dgm:alg>
      </dgm:else>
    </dgm:choose>
    <dgm:shape xmlns:r="http://schemas.openxmlformats.org/officeDocument/2006/relationships" r:blip="">
      <dgm:adjLst/>
    </dgm:shape>
    <dgm:presOf/>
    <dgm:choose name="Name3">
      <dgm:if name="Name4" func="var" arg="dir" op="equ" val="norm">
        <dgm:constrLst>
          <dgm:constr type="diam" val="1"/>
          <dgm:constr type="w" for="ch" forName="node" refType="w"/>
          <dgm:constr type="w" for="ch" ptType="sibTrans" refType="w" refFor="ch" refForName="node" fact="0.5"/>
          <dgm:constr type="h" for="ch" ptType="sibTrans" op="equ"/>
          <dgm:constr type="diam" for="ch" ptType="sibTrans" refType="diam" op="equ"/>
          <dgm:constr type="sibSp" refType="w" refFor="ch" refForName="node" fact="0.15"/>
          <dgm:constr type="w" for="ch" forName="dummy" refType="sibSp" fact="2.8"/>
          <dgm:constr type="primFontSz" for="ch" forName="node" op="equ" val="65"/>
        </dgm:constrLst>
      </dgm:if>
      <dgm:else name="Name5">
        <dgm:constrLst>
          <dgm:constr type="diam" val="1"/>
          <dgm:constr type="w" for="ch" forName="node" refType="w"/>
          <dgm:constr type="w" for="ch" ptType="sibTrans" refType="w" refFor="ch" refForName="node" fact="0.5"/>
          <dgm:constr type="h" for="ch" ptType="sibTrans" op="equ"/>
          <dgm:constr type="diam" for="ch" ptType="sibTrans" refType="diam" op="equ" fact="-1"/>
          <dgm:constr type="sibSp" refType="w" refFor="ch" refForName="node" fact="0.15"/>
          <dgm:constr type="w" for="ch" forName="dummy" refType="sibSp" fact="2.8"/>
          <dgm:constr type="primFontSz" for="ch" forName="node" op="equ" val="65"/>
        </dgm:constrLst>
      </dgm:else>
    </dgm:choose>
    <dgm:ruleLst>
      <dgm:rule type="diam" val="INF" fact="NaN" max="NaN"/>
    </dgm:ruleLst>
    <dgm:forEach name="nodesForEach" axis="ch" ptType="node">
      <dgm:choose name="Name6">
        <dgm:if name="Name7" axis="par ch" ptType="doc node" func="cnt" op="gt" val="1">
          <dgm:layoutNode name="dummy">
            <dgm:alg type="sp"/>
            <dgm:shape xmlns:r="http://schemas.openxmlformats.org/officeDocument/2006/relationships" r:blip="">
              <dgm:adjLst/>
            </dgm:shape>
            <dgm:presOf/>
            <dgm:constrLst>
              <dgm:constr type="h" refType="w"/>
            </dgm:constrLst>
            <dgm:ruleLst/>
          </dgm:layoutNode>
        </dgm:if>
        <dgm:else name="Name8"/>
      </dgm:choose>
      <dgm:layoutNode name="node" styleLbl="revTx">
        <dgm:varLst>
          <dgm:bulletEnabled val="1"/>
        </dgm:varLst>
        <dgm:alg type="tx">
          <dgm:param type="txAnchorVertCh" val="mid"/>
        </dgm:alg>
        <dgm:shape xmlns:r="http://schemas.openxmlformats.org/officeDocument/2006/relationships" type="rect" r:blip="">
          <dgm:adjLst/>
        </dgm:shape>
        <dgm:presOf axis="desOrSelf" ptType="node"/>
        <dgm:constrLst>
          <dgm:constr type="h" refType="w"/>
          <dgm:constr type="lMarg" refType="primFontSz" fact="0.1"/>
          <dgm:constr type="rMarg" refType="primFontSz" fact="0.1"/>
          <dgm:constr type="tMarg" refType="primFontSz" fact="0.1"/>
          <dgm:constr type="bMarg" refType="primFontSz" fact="0.1"/>
        </dgm:constrLst>
        <dgm:ruleLst>
          <dgm:rule type="primFontSz" val="5" fact="NaN" max="NaN"/>
        </dgm:ruleLst>
      </dgm:layoutNode>
      <dgm:choose name="Name9">
        <dgm:if name="Name10" axis="par ch" ptType="doc node" func="cnt" op="gt" val="1">
          <dgm:forEach name="Name11" axis="followSib" ptType="sibTrans" hideLastTrans="0" cnt="1">
            <dgm:layoutNode name="sibTrans" styleLbl="node1">
              <dgm:alg type="conn">
                <dgm:param type="connRout" val="curve"/>
                <dgm:param type="begPts" val="radial"/>
                <dgm:param type="endPts" val="radial"/>
              </dgm:alg>
              <dgm:shape xmlns:r="http://schemas.openxmlformats.org/officeDocument/2006/relationships" type="conn" r:blip="">
                <dgm:adjLst/>
              </dgm:shape>
              <dgm:presOf axis="self"/>
              <dgm:constrLst>
                <dgm:constr type="h" refType="w" fact="0.65"/>
                <dgm:constr type="begPad"/>
                <dgm:constr type="endPad"/>
              </dgm:constrLst>
              <dgm:ruleLst/>
            </dgm:layoutNode>
          </dgm:forEach>
        </dgm:if>
        <dgm:else name="Name12"/>
      </dgm:choose>
    </dgm:forEach>
  </dgm:layoutNode>
</dgm:layoutDef>
</file>

<file path=xl/diagrams/layout2.xml><?xml version="1.0" encoding="utf-8"?>
<dgm:layoutDef xmlns:dgm="http://schemas.openxmlformats.org/drawingml/2006/diagram" xmlns:a="http://schemas.openxmlformats.org/drawingml/2006/main" uniqueId="urn:microsoft.com/office/officeart/2005/8/layout/cycle1">
  <dgm:title val=""/>
  <dgm:desc val=""/>
  <dgm:catLst>
    <dgm:cat type="cycle" pri="2000"/>
  </dgm:catLst>
  <dgm:sampData>
    <dgm:dataModel>
      <dgm:ptLst>
        <dgm:pt modelId="0" type="doc"/>
        <dgm:pt modelId="1">
          <dgm:prSet phldr="1"/>
        </dgm:pt>
        <dgm:pt modelId="2">
          <dgm:prSet phldr="1"/>
        </dgm:pt>
        <dgm:pt modelId="3">
          <dgm:prSet phldr="1"/>
        </dgm:pt>
        <dgm:pt modelId="4">
          <dgm:prSet phldr="1"/>
        </dgm:pt>
        <dgm:pt modelId="5">
          <dgm:prSet phldr="1"/>
        </dgm:pt>
      </dgm:ptLst>
      <dgm:cxnLst>
        <dgm:cxn modelId="6" srcId="0" destId="1" srcOrd="0" destOrd="0"/>
        <dgm:cxn modelId="7" srcId="0" destId="2" srcOrd="1" destOrd="0"/>
        <dgm:cxn modelId="8" srcId="0" destId="3" srcOrd="2" destOrd="0"/>
        <dgm:cxn modelId="9" srcId="0" destId="4" srcOrd="3" destOrd="0"/>
        <dgm:cxn modelId="10" srcId="0" destId="5" srcOrd="4" destOrd="0"/>
      </dgm:cxnLst>
      <dgm:bg/>
      <dgm:whole/>
    </dgm:dataModel>
  </dgm:sampData>
  <dgm:styleData>
    <dgm:dataModel>
      <dgm:ptLst>
        <dgm:pt modelId="0" type="doc"/>
        <dgm:pt modelId="1"/>
        <dgm:pt modelId="2"/>
        <dgm:pt modelId="3"/>
      </dgm:ptLst>
      <dgm:cxnLst>
        <dgm:cxn modelId="4" srcId="0" destId="1" srcOrd="0" destOrd="0"/>
        <dgm:cxn modelId="5" srcId="0" destId="2" srcOrd="1" destOrd="0"/>
        <dgm:cxn modelId="6" srcId="0" destId="3" srcOrd="2" destOrd="0"/>
      </dgm:cxnLst>
      <dgm:bg/>
      <dgm:whole/>
    </dgm:dataModel>
  </dgm:styleData>
  <dgm:clrData>
    <dgm:dataModel>
      <dgm:ptLst>
        <dgm:pt modelId="0" type="doc"/>
        <dgm:pt modelId="1"/>
        <dgm:pt modelId="2"/>
        <dgm:pt modelId="3"/>
        <dgm:pt modelId="4"/>
        <dgm:pt modelId="5"/>
        <dgm:pt modelId="6"/>
      </dgm:ptLst>
      <dgm:cxnLst>
        <dgm:cxn modelId="7" srcId="0" destId="1" srcOrd="0" destOrd="0"/>
        <dgm:cxn modelId="8" srcId="0" destId="2" srcOrd="1" destOrd="0"/>
        <dgm:cxn modelId="9" srcId="0" destId="3" srcOrd="2" destOrd="0"/>
        <dgm:cxn modelId="10" srcId="0" destId="4" srcOrd="3" destOrd="0"/>
        <dgm:cxn modelId="11" srcId="0" destId="5" srcOrd="4" destOrd="0"/>
        <dgm:cxn modelId="12" srcId="0" destId="6" srcOrd="5" destOrd="0"/>
      </dgm:cxnLst>
      <dgm:bg/>
      <dgm:whole/>
    </dgm:dataModel>
  </dgm:clrData>
  <dgm:layoutNode name="cycle">
    <dgm:varLst>
      <dgm:dir/>
      <dgm:resizeHandles val="exact"/>
    </dgm:varLst>
    <dgm:choose name="Name0">
      <dgm:if name="Name1" func="var" arg="dir" op="equ" val="norm">
        <dgm:alg type="cycle">
          <dgm:param type="stAng" val="0"/>
          <dgm:param type="spanAng" val="360"/>
        </dgm:alg>
      </dgm:if>
      <dgm:else name="Name2">
        <dgm:alg type="cycle">
          <dgm:param type="stAng" val="0"/>
          <dgm:param type="spanAng" val="-360"/>
        </dgm:alg>
      </dgm:else>
    </dgm:choose>
    <dgm:shape xmlns:r="http://schemas.openxmlformats.org/officeDocument/2006/relationships" r:blip="">
      <dgm:adjLst/>
    </dgm:shape>
    <dgm:presOf/>
    <dgm:choose name="Name3">
      <dgm:if name="Name4" func="var" arg="dir" op="equ" val="norm">
        <dgm:constrLst>
          <dgm:constr type="diam" val="1"/>
          <dgm:constr type="w" for="ch" forName="node" refType="w"/>
          <dgm:constr type="w" for="ch" ptType="sibTrans" refType="w" refFor="ch" refForName="node" fact="0.5"/>
          <dgm:constr type="h" for="ch" ptType="sibTrans" op="equ"/>
          <dgm:constr type="diam" for="ch" ptType="sibTrans" refType="diam" op="equ"/>
          <dgm:constr type="sibSp" refType="w" refFor="ch" refForName="node" fact="0.15"/>
          <dgm:constr type="w" for="ch" forName="dummy" refType="sibSp" fact="2.8"/>
          <dgm:constr type="primFontSz" for="ch" forName="node" op="equ" val="65"/>
        </dgm:constrLst>
      </dgm:if>
      <dgm:else name="Name5">
        <dgm:constrLst>
          <dgm:constr type="diam" val="1"/>
          <dgm:constr type="w" for="ch" forName="node" refType="w"/>
          <dgm:constr type="w" for="ch" ptType="sibTrans" refType="w" refFor="ch" refForName="node" fact="0.5"/>
          <dgm:constr type="h" for="ch" ptType="sibTrans" op="equ"/>
          <dgm:constr type="diam" for="ch" ptType="sibTrans" refType="diam" op="equ" fact="-1"/>
          <dgm:constr type="sibSp" refType="w" refFor="ch" refForName="node" fact="0.15"/>
          <dgm:constr type="w" for="ch" forName="dummy" refType="sibSp" fact="2.8"/>
          <dgm:constr type="primFontSz" for="ch" forName="node" op="equ" val="65"/>
        </dgm:constrLst>
      </dgm:else>
    </dgm:choose>
    <dgm:ruleLst>
      <dgm:rule type="diam" val="INF" fact="NaN" max="NaN"/>
    </dgm:ruleLst>
    <dgm:forEach name="nodesForEach" axis="ch" ptType="node">
      <dgm:choose name="Name6">
        <dgm:if name="Name7" axis="par ch" ptType="doc node" func="cnt" op="gt" val="1">
          <dgm:layoutNode name="dummy">
            <dgm:alg type="sp"/>
            <dgm:shape xmlns:r="http://schemas.openxmlformats.org/officeDocument/2006/relationships" r:blip="">
              <dgm:adjLst/>
            </dgm:shape>
            <dgm:presOf/>
            <dgm:constrLst>
              <dgm:constr type="h" refType="w"/>
            </dgm:constrLst>
            <dgm:ruleLst/>
          </dgm:layoutNode>
        </dgm:if>
        <dgm:else name="Name8"/>
      </dgm:choose>
      <dgm:layoutNode name="node" styleLbl="revTx">
        <dgm:varLst>
          <dgm:bulletEnabled val="1"/>
        </dgm:varLst>
        <dgm:alg type="tx">
          <dgm:param type="txAnchorVertCh" val="mid"/>
        </dgm:alg>
        <dgm:shape xmlns:r="http://schemas.openxmlformats.org/officeDocument/2006/relationships" type="rect" r:blip="">
          <dgm:adjLst/>
        </dgm:shape>
        <dgm:presOf axis="desOrSelf" ptType="node"/>
        <dgm:constrLst>
          <dgm:constr type="h" refType="w"/>
          <dgm:constr type="lMarg" refType="primFontSz" fact="0.1"/>
          <dgm:constr type="rMarg" refType="primFontSz" fact="0.1"/>
          <dgm:constr type="tMarg" refType="primFontSz" fact="0.1"/>
          <dgm:constr type="bMarg" refType="primFontSz" fact="0.1"/>
        </dgm:constrLst>
        <dgm:ruleLst>
          <dgm:rule type="primFontSz" val="5" fact="NaN" max="NaN"/>
        </dgm:ruleLst>
      </dgm:layoutNode>
      <dgm:choose name="Name9">
        <dgm:if name="Name10" axis="par ch" ptType="doc node" func="cnt" op="gt" val="1">
          <dgm:forEach name="Name11" axis="followSib" ptType="sibTrans" hideLastTrans="0" cnt="1">
            <dgm:layoutNode name="sibTrans" styleLbl="node1">
              <dgm:alg type="conn">
                <dgm:param type="connRout" val="curve"/>
                <dgm:param type="begPts" val="radial"/>
                <dgm:param type="endPts" val="radial"/>
              </dgm:alg>
              <dgm:shape xmlns:r="http://schemas.openxmlformats.org/officeDocument/2006/relationships" type="conn" r:blip="">
                <dgm:adjLst/>
              </dgm:shape>
              <dgm:presOf axis="self"/>
              <dgm:constrLst>
                <dgm:constr type="h" refType="w" fact="0.65"/>
                <dgm:constr type="begPad"/>
                <dgm:constr type="endPad"/>
              </dgm:constrLst>
              <dgm:ruleLst/>
            </dgm:layoutNode>
          </dgm:forEach>
        </dgm:if>
        <dgm:else name="Name12"/>
      </dgm:choose>
    </dgm:forEach>
  </dgm:layoutNode>
</dgm:layoutDef>
</file>

<file path=xl/diagrams/layout3.xml><?xml version="1.0" encoding="utf-8"?>
<dgm:layoutDef xmlns:dgm="http://schemas.openxmlformats.org/drawingml/2006/diagram" xmlns:a="http://schemas.openxmlformats.org/drawingml/2006/main" uniqueId="urn:microsoft.com/office/officeart/2005/8/layout/cycle1">
  <dgm:title val=""/>
  <dgm:desc val=""/>
  <dgm:catLst>
    <dgm:cat type="cycle" pri="2000"/>
  </dgm:catLst>
  <dgm:sampData>
    <dgm:dataModel>
      <dgm:ptLst>
        <dgm:pt modelId="0" type="doc"/>
        <dgm:pt modelId="1">
          <dgm:prSet phldr="1"/>
        </dgm:pt>
        <dgm:pt modelId="2">
          <dgm:prSet phldr="1"/>
        </dgm:pt>
        <dgm:pt modelId="3">
          <dgm:prSet phldr="1"/>
        </dgm:pt>
        <dgm:pt modelId="4">
          <dgm:prSet phldr="1"/>
        </dgm:pt>
        <dgm:pt modelId="5">
          <dgm:prSet phldr="1"/>
        </dgm:pt>
      </dgm:ptLst>
      <dgm:cxnLst>
        <dgm:cxn modelId="6" srcId="0" destId="1" srcOrd="0" destOrd="0"/>
        <dgm:cxn modelId="7" srcId="0" destId="2" srcOrd="1" destOrd="0"/>
        <dgm:cxn modelId="8" srcId="0" destId="3" srcOrd="2" destOrd="0"/>
        <dgm:cxn modelId="9" srcId="0" destId="4" srcOrd="3" destOrd="0"/>
        <dgm:cxn modelId="10" srcId="0" destId="5" srcOrd="4" destOrd="0"/>
      </dgm:cxnLst>
      <dgm:bg/>
      <dgm:whole/>
    </dgm:dataModel>
  </dgm:sampData>
  <dgm:styleData>
    <dgm:dataModel>
      <dgm:ptLst>
        <dgm:pt modelId="0" type="doc"/>
        <dgm:pt modelId="1"/>
        <dgm:pt modelId="2"/>
        <dgm:pt modelId="3"/>
      </dgm:ptLst>
      <dgm:cxnLst>
        <dgm:cxn modelId="4" srcId="0" destId="1" srcOrd="0" destOrd="0"/>
        <dgm:cxn modelId="5" srcId="0" destId="2" srcOrd="1" destOrd="0"/>
        <dgm:cxn modelId="6" srcId="0" destId="3" srcOrd="2" destOrd="0"/>
      </dgm:cxnLst>
      <dgm:bg/>
      <dgm:whole/>
    </dgm:dataModel>
  </dgm:styleData>
  <dgm:clrData>
    <dgm:dataModel>
      <dgm:ptLst>
        <dgm:pt modelId="0" type="doc"/>
        <dgm:pt modelId="1"/>
        <dgm:pt modelId="2"/>
        <dgm:pt modelId="3"/>
        <dgm:pt modelId="4"/>
        <dgm:pt modelId="5"/>
        <dgm:pt modelId="6"/>
      </dgm:ptLst>
      <dgm:cxnLst>
        <dgm:cxn modelId="7" srcId="0" destId="1" srcOrd="0" destOrd="0"/>
        <dgm:cxn modelId="8" srcId="0" destId="2" srcOrd="1" destOrd="0"/>
        <dgm:cxn modelId="9" srcId="0" destId="3" srcOrd="2" destOrd="0"/>
        <dgm:cxn modelId="10" srcId="0" destId="4" srcOrd="3" destOrd="0"/>
        <dgm:cxn modelId="11" srcId="0" destId="5" srcOrd="4" destOrd="0"/>
        <dgm:cxn modelId="12" srcId="0" destId="6" srcOrd="5" destOrd="0"/>
      </dgm:cxnLst>
      <dgm:bg/>
      <dgm:whole/>
    </dgm:dataModel>
  </dgm:clrData>
  <dgm:layoutNode name="cycle">
    <dgm:varLst>
      <dgm:dir/>
      <dgm:resizeHandles val="exact"/>
    </dgm:varLst>
    <dgm:choose name="Name0">
      <dgm:if name="Name1" func="var" arg="dir" op="equ" val="norm">
        <dgm:alg type="cycle">
          <dgm:param type="stAng" val="0"/>
          <dgm:param type="spanAng" val="360"/>
        </dgm:alg>
      </dgm:if>
      <dgm:else name="Name2">
        <dgm:alg type="cycle">
          <dgm:param type="stAng" val="0"/>
          <dgm:param type="spanAng" val="-360"/>
        </dgm:alg>
      </dgm:else>
    </dgm:choose>
    <dgm:shape xmlns:r="http://schemas.openxmlformats.org/officeDocument/2006/relationships" r:blip="">
      <dgm:adjLst/>
    </dgm:shape>
    <dgm:presOf/>
    <dgm:choose name="Name3">
      <dgm:if name="Name4" func="var" arg="dir" op="equ" val="norm">
        <dgm:constrLst>
          <dgm:constr type="diam" val="1"/>
          <dgm:constr type="w" for="ch" forName="node" refType="w"/>
          <dgm:constr type="w" for="ch" ptType="sibTrans" refType="w" refFor="ch" refForName="node" fact="0.5"/>
          <dgm:constr type="h" for="ch" ptType="sibTrans" op="equ"/>
          <dgm:constr type="diam" for="ch" ptType="sibTrans" refType="diam" op="equ"/>
          <dgm:constr type="sibSp" refType="w" refFor="ch" refForName="node" fact="0.15"/>
          <dgm:constr type="w" for="ch" forName="dummy" refType="sibSp" fact="2.8"/>
          <dgm:constr type="primFontSz" for="ch" forName="node" op="equ" val="65"/>
        </dgm:constrLst>
      </dgm:if>
      <dgm:else name="Name5">
        <dgm:constrLst>
          <dgm:constr type="diam" val="1"/>
          <dgm:constr type="w" for="ch" forName="node" refType="w"/>
          <dgm:constr type="w" for="ch" ptType="sibTrans" refType="w" refFor="ch" refForName="node" fact="0.5"/>
          <dgm:constr type="h" for="ch" ptType="sibTrans" op="equ"/>
          <dgm:constr type="diam" for="ch" ptType="sibTrans" refType="diam" op="equ" fact="-1"/>
          <dgm:constr type="sibSp" refType="w" refFor="ch" refForName="node" fact="0.15"/>
          <dgm:constr type="w" for="ch" forName="dummy" refType="sibSp" fact="2.8"/>
          <dgm:constr type="primFontSz" for="ch" forName="node" op="equ" val="65"/>
        </dgm:constrLst>
      </dgm:else>
    </dgm:choose>
    <dgm:ruleLst>
      <dgm:rule type="diam" val="INF" fact="NaN" max="NaN"/>
    </dgm:ruleLst>
    <dgm:forEach name="nodesForEach" axis="ch" ptType="node">
      <dgm:choose name="Name6">
        <dgm:if name="Name7" axis="par ch" ptType="doc node" func="cnt" op="gt" val="1">
          <dgm:layoutNode name="dummy">
            <dgm:alg type="sp"/>
            <dgm:shape xmlns:r="http://schemas.openxmlformats.org/officeDocument/2006/relationships" r:blip="">
              <dgm:adjLst/>
            </dgm:shape>
            <dgm:presOf/>
            <dgm:constrLst>
              <dgm:constr type="h" refType="w"/>
            </dgm:constrLst>
            <dgm:ruleLst/>
          </dgm:layoutNode>
        </dgm:if>
        <dgm:else name="Name8"/>
      </dgm:choose>
      <dgm:layoutNode name="node" styleLbl="revTx">
        <dgm:varLst>
          <dgm:bulletEnabled val="1"/>
        </dgm:varLst>
        <dgm:alg type="tx">
          <dgm:param type="txAnchorVertCh" val="mid"/>
        </dgm:alg>
        <dgm:shape xmlns:r="http://schemas.openxmlformats.org/officeDocument/2006/relationships" type="rect" r:blip="">
          <dgm:adjLst/>
        </dgm:shape>
        <dgm:presOf axis="desOrSelf" ptType="node"/>
        <dgm:constrLst>
          <dgm:constr type="h" refType="w"/>
          <dgm:constr type="lMarg" refType="primFontSz" fact="0.1"/>
          <dgm:constr type="rMarg" refType="primFontSz" fact="0.1"/>
          <dgm:constr type="tMarg" refType="primFontSz" fact="0.1"/>
          <dgm:constr type="bMarg" refType="primFontSz" fact="0.1"/>
        </dgm:constrLst>
        <dgm:ruleLst>
          <dgm:rule type="primFontSz" val="5" fact="NaN" max="NaN"/>
        </dgm:ruleLst>
      </dgm:layoutNode>
      <dgm:choose name="Name9">
        <dgm:if name="Name10" axis="par ch" ptType="doc node" func="cnt" op="gt" val="1">
          <dgm:forEach name="Name11" axis="followSib" ptType="sibTrans" hideLastTrans="0" cnt="1">
            <dgm:layoutNode name="sibTrans" styleLbl="node1">
              <dgm:alg type="conn">
                <dgm:param type="connRout" val="curve"/>
                <dgm:param type="begPts" val="radial"/>
                <dgm:param type="endPts" val="radial"/>
              </dgm:alg>
              <dgm:shape xmlns:r="http://schemas.openxmlformats.org/officeDocument/2006/relationships" type="conn" r:blip="">
                <dgm:adjLst/>
              </dgm:shape>
              <dgm:presOf axis="self"/>
              <dgm:constrLst>
                <dgm:constr type="h" refType="w" fact="0.65"/>
                <dgm:constr type="begPad"/>
                <dgm:constr type="endPad"/>
              </dgm:constrLst>
              <dgm:ruleLst/>
            </dgm:layoutNode>
          </dgm:forEach>
        </dgm:if>
        <dgm:else name="Name12"/>
      </dgm:choose>
    </dgm:forEach>
  </dgm:layoutNode>
</dgm:layoutDef>
</file>

<file path=xl/diagrams/layout4.xml><?xml version="1.0" encoding="utf-8"?>
<dgm:layoutDef xmlns:dgm="http://schemas.openxmlformats.org/drawingml/2006/diagram" xmlns:a="http://schemas.openxmlformats.org/drawingml/2006/main" uniqueId="urn:microsoft.com/office/officeart/2005/8/layout/cycle1">
  <dgm:title val=""/>
  <dgm:desc val=""/>
  <dgm:catLst>
    <dgm:cat type="cycle" pri="2000"/>
  </dgm:catLst>
  <dgm:sampData>
    <dgm:dataModel>
      <dgm:ptLst>
        <dgm:pt modelId="0" type="doc"/>
        <dgm:pt modelId="1">
          <dgm:prSet phldr="1"/>
        </dgm:pt>
        <dgm:pt modelId="2">
          <dgm:prSet phldr="1"/>
        </dgm:pt>
        <dgm:pt modelId="3">
          <dgm:prSet phldr="1"/>
        </dgm:pt>
        <dgm:pt modelId="4">
          <dgm:prSet phldr="1"/>
        </dgm:pt>
        <dgm:pt modelId="5">
          <dgm:prSet phldr="1"/>
        </dgm:pt>
      </dgm:ptLst>
      <dgm:cxnLst>
        <dgm:cxn modelId="6" srcId="0" destId="1" srcOrd="0" destOrd="0"/>
        <dgm:cxn modelId="7" srcId="0" destId="2" srcOrd="1" destOrd="0"/>
        <dgm:cxn modelId="8" srcId="0" destId="3" srcOrd="2" destOrd="0"/>
        <dgm:cxn modelId="9" srcId="0" destId="4" srcOrd="3" destOrd="0"/>
        <dgm:cxn modelId="10" srcId="0" destId="5" srcOrd="4" destOrd="0"/>
      </dgm:cxnLst>
      <dgm:bg/>
      <dgm:whole/>
    </dgm:dataModel>
  </dgm:sampData>
  <dgm:styleData>
    <dgm:dataModel>
      <dgm:ptLst>
        <dgm:pt modelId="0" type="doc"/>
        <dgm:pt modelId="1"/>
        <dgm:pt modelId="2"/>
        <dgm:pt modelId="3"/>
      </dgm:ptLst>
      <dgm:cxnLst>
        <dgm:cxn modelId="4" srcId="0" destId="1" srcOrd="0" destOrd="0"/>
        <dgm:cxn modelId="5" srcId="0" destId="2" srcOrd="1" destOrd="0"/>
        <dgm:cxn modelId="6" srcId="0" destId="3" srcOrd="2" destOrd="0"/>
      </dgm:cxnLst>
      <dgm:bg/>
      <dgm:whole/>
    </dgm:dataModel>
  </dgm:styleData>
  <dgm:clrData>
    <dgm:dataModel>
      <dgm:ptLst>
        <dgm:pt modelId="0" type="doc"/>
        <dgm:pt modelId="1"/>
        <dgm:pt modelId="2"/>
        <dgm:pt modelId="3"/>
        <dgm:pt modelId="4"/>
        <dgm:pt modelId="5"/>
        <dgm:pt modelId="6"/>
      </dgm:ptLst>
      <dgm:cxnLst>
        <dgm:cxn modelId="7" srcId="0" destId="1" srcOrd="0" destOrd="0"/>
        <dgm:cxn modelId="8" srcId="0" destId="2" srcOrd="1" destOrd="0"/>
        <dgm:cxn modelId="9" srcId="0" destId="3" srcOrd="2" destOrd="0"/>
        <dgm:cxn modelId="10" srcId="0" destId="4" srcOrd="3" destOrd="0"/>
        <dgm:cxn modelId="11" srcId="0" destId="5" srcOrd="4" destOrd="0"/>
        <dgm:cxn modelId="12" srcId="0" destId="6" srcOrd="5" destOrd="0"/>
      </dgm:cxnLst>
      <dgm:bg/>
      <dgm:whole/>
    </dgm:dataModel>
  </dgm:clrData>
  <dgm:layoutNode name="cycle">
    <dgm:varLst>
      <dgm:dir/>
      <dgm:resizeHandles val="exact"/>
    </dgm:varLst>
    <dgm:choose name="Name0">
      <dgm:if name="Name1" func="var" arg="dir" op="equ" val="norm">
        <dgm:alg type="cycle">
          <dgm:param type="stAng" val="0"/>
          <dgm:param type="spanAng" val="360"/>
        </dgm:alg>
      </dgm:if>
      <dgm:else name="Name2">
        <dgm:alg type="cycle">
          <dgm:param type="stAng" val="0"/>
          <dgm:param type="spanAng" val="-360"/>
        </dgm:alg>
      </dgm:else>
    </dgm:choose>
    <dgm:shape xmlns:r="http://schemas.openxmlformats.org/officeDocument/2006/relationships" r:blip="">
      <dgm:adjLst/>
    </dgm:shape>
    <dgm:presOf/>
    <dgm:choose name="Name3">
      <dgm:if name="Name4" func="var" arg="dir" op="equ" val="norm">
        <dgm:constrLst>
          <dgm:constr type="diam" val="1"/>
          <dgm:constr type="w" for="ch" forName="node" refType="w"/>
          <dgm:constr type="w" for="ch" ptType="sibTrans" refType="w" refFor="ch" refForName="node" fact="0.5"/>
          <dgm:constr type="h" for="ch" ptType="sibTrans" op="equ"/>
          <dgm:constr type="diam" for="ch" ptType="sibTrans" refType="diam" op="equ"/>
          <dgm:constr type="sibSp" refType="w" refFor="ch" refForName="node" fact="0.15"/>
          <dgm:constr type="w" for="ch" forName="dummy" refType="sibSp" fact="2.8"/>
          <dgm:constr type="primFontSz" for="ch" forName="node" op="equ" val="65"/>
        </dgm:constrLst>
      </dgm:if>
      <dgm:else name="Name5">
        <dgm:constrLst>
          <dgm:constr type="diam" val="1"/>
          <dgm:constr type="w" for="ch" forName="node" refType="w"/>
          <dgm:constr type="w" for="ch" ptType="sibTrans" refType="w" refFor="ch" refForName="node" fact="0.5"/>
          <dgm:constr type="h" for="ch" ptType="sibTrans" op="equ"/>
          <dgm:constr type="diam" for="ch" ptType="sibTrans" refType="diam" op="equ" fact="-1"/>
          <dgm:constr type="sibSp" refType="w" refFor="ch" refForName="node" fact="0.15"/>
          <dgm:constr type="w" for="ch" forName="dummy" refType="sibSp" fact="2.8"/>
          <dgm:constr type="primFontSz" for="ch" forName="node" op="equ" val="65"/>
        </dgm:constrLst>
      </dgm:else>
    </dgm:choose>
    <dgm:ruleLst>
      <dgm:rule type="diam" val="INF" fact="NaN" max="NaN"/>
    </dgm:ruleLst>
    <dgm:forEach name="nodesForEach" axis="ch" ptType="node">
      <dgm:choose name="Name6">
        <dgm:if name="Name7" axis="par ch" ptType="doc node" func="cnt" op="gt" val="1">
          <dgm:layoutNode name="dummy">
            <dgm:alg type="sp"/>
            <dgm:shape xmlns:r="http://schemas.openxmlformats.org/officeDocument/2006/relationships" r:blip="">
              <dgm:adjLst/>
            </dgm:shape>
            <dgm:presOf/>
            <dgm:constrLst>
              <dgm:constr type="h" refType="w"/>
            </dgm:constrLst>
            <dgm:ruleLst/>
          </dgm:layoutNode>
        </dgm:if>
        <dgm:else name="Name8"/>
      </dgm:choose>
      <dgm:layoutNode name="node" styleLbl="revTx">
        <dgm:varLst>
          <dgm:bulletEnabled val="1"/>
        </dgm:varLst>
        <dgm:alg type="tx">
          <dgm:param type="txAnchorVertCh" val="mid"/>
        </dgm:alg>
        <dgm:shape xmlns:r="http://schemas.openxmlformats.org/officeDocument/2006/relationships" type="rect" r:blip="">
          <dgm:adjLst/>
        </dgm:shape>
        <dgm:presOf axis="desOrSelf" ptType="node"/>
        <dgm:constrLst>
          <dgm:constr type="h" refType="w"/>
          <dgm:constr type="lMarg" refType="primFontSz" fact="0.1"/>
          <dgm:constr type="rMarg" refType="primFontSz" fact="0.1"/>
          <dgm:constr type="tMarg" refType="primFontSz" fact="0.1"/>
          <dgm:constr type="bMarg" refType="primFontSz" fact="0.1"/>
        </dgm:constrLst>
        <dgm:ruleLst>
          <dgm:rule type="primFontSz" val="5" fact="NaN" max="NaN"/>
        </dgm:ruleLst>
      </dgm:layoutNode>
      <dgm:choose name="Name9">
        <dgm:if name="Name10" axis="par ch" ptType="doc node" func="cnt" op="gt" val="1">
          <dgm:forEach name="Name11" axis="followSib" ptType="sibTrans" hideLastTrans="0" cnt="1">
            <dgm:layoutNode name="sibTrans" styleLbl="node1">
              <dgm:alg type="conn">
                <dgm:param type="connRout" val="curve"/>
                <dgm:param type="begPts" val="radial"/>
                <dgm:param type="endPts" val="radial"/>
              </dgm:alg>
              <dgm:shape xmlns:r="http://schemas.openxmlformats.org/officeDocument/2006/relationships" type="conn" r:blip="">
                <dgm:adjLst/>
              </dgm:shape>
              <dgm:presOf axis="self"/>
              <dgm:constrLst>
                <dgm:constr type="h" refType="w" fact="0.65"/>
                <dgm:constr type="begPad"/>
                <dgm:constr type="endPad"/>
              </dgm:constrLst>
              <dgm:ruleLst/>
            </dgm:layoutNode>
          </dgm:forEach>
        </dgm:if>
        <dgm:else name="Name12"/>
      </dgm:choose>
    </dgm:forEach>
  </dgm:layoutNode>
</dgm:layoutDef>
</file>

<file path=xl/diagrams/layout5.xml><?xml version="1.0" encoding="utf-8"?>
<dgm:layoutDef xmlns:dgm="http://schemas.openxmlformats.org/drawingml/2006/diagram" xmlns:a="http://schemas.openxmlformats.org/drawingml/2006/main" uniqueId="urn:microsoft.com/office/officeart/2005/8/layout/cycle1">
  <dgm:title val=""/>
  <dgm:desc val=""/>
  <dgm:catLst>
    <dgm:cat type="cycle" pri="2000"/>
  </dgm:catLst>
  <dgm:sampData>
    <dgm:dataModel>
      <dgm:ptLst>
        <dgm:pt modelId="0" type="doc"/>
        <dgm:pt modelId="1">
          <dgm:prSet phldr="1"/>
        </dgm:pt>
        <dgm:pt modelId="2">
          <dgm:prSet phldr="1"/>
        </dgm:pt>
        <dgm:pt modelId="3">
          <dgm:prSet phldr="1"/>
        </dgm:pt>
        <dgm:pt modelId="4">
          <dgm:prSet phldr="1"/>
        </dgm:pt>
        <dgm:pt modelId="5">
          <dgm:prSet phldr="1"/>
        </dgm:pt>
      </dgm:ptLst>
      <dgm:cxnLst>
        <dgm:cxn modelId="6" srcId="0" destId="1" srcOrd="0" destOrd="0"/>
        <dgm:cxn modelId="7" srcId="0" destId="2" srcOrd="1" destOrd="0"/>
        <dgm:cxn modelId="8" srcId="0" destId="3" srcOrd="2" destOrd="0"/>
        <dgm:cxn modelId="9" srcId="0" destId="4" srcOrd="3" destOrd="0"/>
        <dgm:cxn modelId="10" srcId="0" destId="5" srcOrd="4" destOrd="0"/>
      </dgm:cxnLst>
      <dgm:bg/>
      <dgm:whole/>
    </dgm:dataModel>
  </dgm:sampData>
  <dgm:styleData>
    <dgm:dataModel>
      <dgm:ptLst>
        <dgm:pt modelId="0" type="doc"/>
        <dgm:pt modelId="1"/>
        <dgm:pt modelId="2"/>
        <dgm:pt modelId="3"/>
      </dgm:ptLst>
      <dgm:cxnLst>
        <dgm:cxn modelId="4" srcId="0" destId="1" srcOrd="0" destOrd="0"/>
        <dgm:cxn modelId="5" srcId="0" destId="2" srcOrd="1" destOrd="0"/>
        <dgm:cxn modelId="6" srcId="0" destId="3" srcOrd="2" destOrd="0"/>
      </dgm:cxnLst>
      <dgm:bg/>
      <dgm:whole/>
    </dgm:dataModel>
  </dgm:styleData>
  <dgm:clrData>
    <dgm:dataModel>
      <dgm:ptLst>
        <dgm:pt modelId="0" type="doc"/>
        <dgm:pt modelId="1"/>
        <dgm:pt modelId="2"/>
        <dgm:pt modelId="3"/>
        <dgm:pt modelId="4"/>
        <dgm:pt modelId="5"/>
        <dgm:pt modelId="6"/>
      </dgm:ptLst>
      <dgm:cxnLst>
        <dgm:cxn modelId="7" srcId="0" destId="1" srcOrd="0" destOrd="0"/>
        <dgm:cxn modelId="8" srcId="0" destId="2" srcOrd="1" destOrd="0"/>
        <dgm:cxn modelId="9" srcId="0" destId="3" srcOrd="2" destOrd="0"/>
        <dgm:cxn modelId="10" srcId="0" destId="4" srcOrd="3" destOrd="0"/>
        <dgm:cxn modelId="11" srcId="0" destId="5" srcOrd="4" destOrd="0"/>
        <dgm:cxn modelId="12" srcId="0" destId="6" srcOrd="5" destOrd="0"/>
      </dgm:cxnLst>
      <dgm:bg/>
      <dgm:whole/>
    </dgm:dataModel>
  </dgm:clrData>
  <dgm:layoutNode name="cycle">
    <dgm:varLst>
      <dgm:dir/>
      <dgm:resizeHandles val="exact"/>
    </dgm:varLst>
    <dgm:choose name="Name0">
      <dgm:if name="Name1" func="var" arg="dir" op="equ" val="norm">
        <dgm:alg type="cycle">
          <dgm:param type="stAng" val="0"/>
          <dgm:param type="spanAng" val="360"/>
        </dgm:alg>
      </dgm:if>
      <dgm:else name="Name2">
        <dgm:alg type="cycle">
          <dgm:param type="stAng" val="0"/>
          <dgm:param type="spanAng" val="-360"/>
        </dgm:alg>
      </dgm:else>
    </dgm:choose>
    <dgm:shape xmlns:r="http://schemas.openxmlformats.org/officeDocument/2006/relationships" r:blip="">
      <dgm:adjLst/>
    </dgm:shape>
    <dgm:presOf/>
    <dgm:choose name="Name3">
      <dgm:if name="Name4" func="var" arg="dir" op="equ" val="norm">
        <dgm:constrLst>
          <dgm:constr type="diam" val="1"/>
          <dgm:constr type="w" for="ch" forName="node" refType="w"/>
          <dgm:constr type="w" for="ch" ptType="sibTrans" refType="w" refFor="ch" refForName="node" fact="0.5"/>
          <dgm:constr type="h" for="ch" ptType="sibTrans" op="equ"/>
          <dgm:constr type="diam" for="ch" ptType="sibTrans" refType="diam" op="equ"/>
          <dgm:constr type="sibSp" refType="w" refFor="ch" refForName="node" fact="0.15"/>
          <dgm:constr type="w" for="ch" forName="dummy" refType="sibSp" fact="2.8"/>
          <dgm:constr type="primFontSz" for="ch" forName="node" op="equ" val="65"/>
        </dgm:constrLst>
      </dgm:if>
      <dgm:else name="Name5">
        <dgm:constrLst>
          <dgm:constr type="diam" val="1"/>
          <dgm:constr type="w" for="ch" forName="node" refType="w"/>
          <dgm:constr type="w" for="ch" ptType="sibTrans" refType="w" refFor="ch" refForName="node" fact="0.5"/>
          <dgm:constr type="h" for="ch" ptType="sibTrans" op="equ"/>
          <dgm:constr type="diam" for="ch" ptType="sibTrans" refType="diam" op="equ" fact="-1"/>
          <dgm:constr type="sibSp" refType="w" refFor="ch" refForName="node" fact="0.15"/>
          <dgm:constr type="w" for="ch" forName="dummy" refType="sibSp" fact="2.8"/>
          <dgm:constr type="primFontSz" for="ch" forName="node" op="equ" val="65"/>
        </dgm:constrLst>
      </dgm:else>
    </dgm:choose>
    <dgm:ruleLst>
      <dgm:rule type="diam" val="INF" fact="NaN" max="NaN"/>
    </dgm:ruleLst>
    <dgm:forEach name="nodesForEach" axis="ch" ptType="node">
      <dgm:choose name="Name6">
        <dgm:if name="Name7" axis="par ch" ptType="doc node" func="cnt" op="gt" val="1">
          <dgm:layoutNode name="dummy">
            <dgm:alg type="sp"/>
            <dgm:shape xmlns:r="http://schemas.openxmlformats.org/officeDocument/2006/relationships" r:blip="">
              <dgm:adjLst/>
            </dgm:shape>
            <dgm:presOf/>
            <dgm:constrLst>
              <dgm:constr type="h" refType="w"/>
            </dgm:constrLst>
            <dgm:ruleLst/>
          </dgm:layoutNode>
        </dgm:if>
        <dgm:else name="Name8"/>
      </dgm:choose>
      <dgm:layoutNode name="node" styleLbl="revTx">
        <dgm:varLst>
          <dgm:bulletEnabled val="1"/>
        </dgm:varLst>
        <dgm:alg type="tx">
          <dgm:param type="txAnchorVertCh" val="mid"/>
        </dgm:alg>
        <dgm:shape xmlns:r="http://schemas.openxmlformats.org/officeDocument/2006/relationships" type="rect" r:blip="">
          <dgm:adjLst/>
        </dgm:shape>
        <dgm:presOf axis="desOrSelf" ptType="node"/>
        <dgm:constrLst>
          <dgm:constr type="h" refType="w"/>
          <dgm:constr type="lMarg" refType="primFontSz" fact="0.1"/>
          <dgm:constr type="rMarg" refType="primFontSz" fact="0.1"/>
          <dgm:constr type="tMarg" refType="primFontSz" fact="0.1"/>
          <dgm:constr type="bMarg" refType="primFontSz" fact="0.1"/>
        </dgm:constrLst>
        <dgm:ruleLst>
          <dgm:rule type="primFontSz" val="5" fact="NaN" max="NaN"/>
        </dgm:ruleLst>
      </dgm:layoutNode>
      <dgm:choose name="Name9">
        <dgm:if name="Name10" axis="par ch" ptType="doc node" func="cnt" op="gt" val="1">
          <dgm:forEach name="Name11" axis="followSib" ptType="sibTrans" hideLastTrans="0" cnt="1">
            <dgm:layoutNode name="sibTrans" styleLbl="node1">
              <dgm:alg type="conn">
                <dgm:param type="connRout" val="curve"/>
                <dgm:param type="begPts" val="radial"/>
                <dgm:param type="endPts" val="radial"/>
              </dgm:alg>
              <dgm:shape xmlns:r="http://schemas.openxmlformats.org/officeDocument/2006/relationships" type="conn" r:blip="">
                <dgm:adjLst/>
              </dgm:shape>
              <dgm:presOf axis="self"/>
              <dgm:constrLst>
                <dgm:constr type="h" refType="w" fact="0.65"/>
                <dgm:constr type="begPad"/>
                <dgm:constr type="endPad"/>
              </dgm:constrLst>
              <dgm:ruleLst/>
            </dgm:layoutNode>
          </dgm:forEach>
        </dgm:if>
        <dgm:else name="Name12"/>
      </dgm:choose>
    </dgm:forEach>
  </dgm:layoutNode>
</dgm:layoutDef>
</file>

<file path=xl/diagrams/layout6.xml><?xml version="1.0" encoding="utf-8"?>
<dgm:layoutDef xmlns:dgm="http://schemas.openxmlformats.org/drawingml/2006/diagram" xmlns:a="http://schemas.openxmlformats.org/drawingml/2006/main" uniqueId="urn:microsoft.com/office/officeart/2005/8/layout/cycle1">
  <dgm:title val=""/>
  <dgm:desc val=""/>
  <dgm:catLst>
    <dgm:cat type="cycle" pri="2000"/>
  </dgm:catLst>
  <dgm:sampData>
    <dgm:dataModel>
      <dgm:ptLst>
        <dgm:pt modelId="0" type="doc"/>
        <dgm:pt modelId="1">
          <dgm:prSet phldr="1"/>
        </dgm:pt>
        <dgm:pt modelId="2">
          <dgm:prSet phldr="1"/>
        </dgm:pt>
        <dgm:pt modelId="3">
          <dgm:prSet phldr="1"/>
        </dgm:pt>
        <dgm:pt modelId="4">
          <dgm:prSet phldr="1"/>
        </dgm:pt>
        <dgm:pt modelId="5">
          <dgm:prSet phldr="1"/>
        </dgm:pt>
      </dgm:ptLst>
      <dgm:cxnLst>
        <dgm:cxn modelId="6" srcId="0" destId="1" srcOrd="0" destOrd="0"/>
        <dgm:cxn modelId="7" srcId="0" destId="2" srcOrd="1" destOrd="0"/>
        <dgm:cxn modelId="8" srcId="0" destId="3" srcOrd="2" destOrd="0"/>
        <dgm:cxn modelId="9" srcId="0" destId="4" srcOrd="3" destOrd="0"/>
        <dgm:cxn modelId="10" srcId="0" destId="5" srcOrd="4" destOrd="0"/>
      </dgm:cxnLst>
      <dgm:bg/>
      <dgm:whole/>
    </dgm:dataModel>
  </dgm:sampData>
  <dgm:styleData>
    <dgm:dataModel>
      <dgm:ptLst>
        <dgm:pt modelId="0" type="doc"/>
        <dgm:pt modelId="1"/>
        <dgm:pt modelId="2"/>
        <dgm:pt modelId="3"/>
      </dgm:ptLst>
      <dgm:cxnLst>
        <dgm:cxn modelId="4" srcId="0" destId="1" srcOrd="0" destOrd="0"/>
        <dgm:cxn modelId="5" srcId="0" destId="2" srcOrd="1" destOrd="0"/>
        <dgm:cxn modelId="6" srcId="0" destId="3" srcOrd="2" destOrd="0"/>
      </dgm:cxnLst>
      <dgm:bg/>
      <dgm:whole/>
    </dgm:dataModel>
  </dgm:styleData>
  <dgm:clrData>
    <dgm:dataModel>
      <dgm:ptLst>
        <dgm:pt modelId="0" type="doc"/>
        <dgm:pt modelId="1"/>
        <dgm:pt modelId="2"/>
        <dgm:pt modelId="3"/>
        <dgm:pt modelId="4"/>
        <dgm:pt modelId="5"/>
        <dgm:pt modelId="6"/>
      </dgm:ptLst>
      <dgm:cxnLst>
        <dgm:cxn modelId="7" srcId="0" destId="1" srcOrd="0" destOrd="0"/>
        <dgm:cxn modelId="8" srcId="0" destId="2" srcOrd="1" destOrd="0"/>
        <dgm:cxn modelId="9" srcId="0" destId="3" srcOrd="2" destOrd="0"/>
        <dgm:cxn modelId="10" srcId="0" destId="4" srcOrd="3" destOrd="0"/>
        <dgm:cxn modelId="11" srcId="0" destId="5" srcOrd="4" destOrd="0"/>
        <dgm:cxn modelId="12" srcId="0" destId="6" srcOrd="5" destOrd="0"/>
      </dgm:cxnLst>
      <dgm:bg/>
      <dgm:whole/>
    </dgm:dataModel>
  </dgm:clrData>
  <dgm:layoutNode name="cycle">
    <dgm:varLst>
      <dgm:dir/>
      <dgm:resizeHandles val="exact"/>
    </dgm:varLst>
    <dgm:choose name="Name0">
      <dgm:if name="Name1" func="var" arg="dir" op="equ" val="norm">
        <dgm:alg type="cycle">
          <dgm:param type="stAng" val="0"/>
          <dgm:param type="spanAng" val="360"/>
        </dgm:alg>
      </dgm:if>
      <dgm:else name="Name2">
        <dgm:alg type="cycle">
          <dgm:param type="stAng" val="0"/>
          <dgm:param type="spanAng" val="-360"/>
        </dgm:alg>
      </dgm:else>
    </dgm:choose>
    <dgm:shape xmlns:r="http://schemas.openxmlformats.org/officeDocument/2006/relationships" r:blip="">
      <dgm:adjLst/>
    </dgm:shape>
    <dgm:presOf/>
    <dgm:choose name="Name3">
      <dgm:if name="Name4" func="var" arg="dir" op="equ" val="norm">
        <dgm:constrLst>
          <dgm:constr type="diam" val="1"/>
          <dgm:constr type="w" for="ch" forName="node" refType="w"/>
          <dgm:constr type="w" for="ch" ptType="sibTrans" refType="w" refFor="ch" refForName="node" fact="0.5"/>
          <dgm:constr type="h" for="ch" ptType="sibTrans" op="equ"/>
          <dgm:constr type="diam" for="ch" ptType="sibTrans" refType="diam" op="equ"/>
          <dgm:constr type="sibSp" refType="w" refFor="ch" refForName="node" fact="0.15"/>
          <dgm:constr type="w" for="ch" forName="dummy" refType="sibSp" fact="2.8"/>
          <dgm:constr type="primFontSz" for="ch" forName="node" op="equ" val="65"/>
        </dgm:constrLst>
      </dgm:if>
      <dgm:else name="Name5">
        <dgm:constrLst>
          <dgm:constr type="diam" val="1"/>
          <dgm:constr type="w" for="ch" forName="node" refType="w"/>
          <dgm:constr type="w" for="ch" ptType="sibTrans" refType="w" refFor="ch" refForName="node" fact="0.5"/>
          <dgm:constr type="h" for="ch" ptType="sibTrans" op="equ"/>
          <dgm:constr type="diam" for="ch" ptType="sibTrans" refType="diam" op="equ" fact="-1"/>
          <dgm:constr type="sibSp" refType="w" refFor="ch" refForName="node" fact="0.15"/>
          <dgm:constr type="w" for="ch" forName="dummy" refType="sibSp" fact="2.8"/>
          <dgm:constr type="primFontSz" for="ch" forName="node" op="equ" val="65"/>
        </dgm:constrLst>
      </dgm:else>
    </dgm:choose>
    <dgm:ruleLst>
      <dgm:rule type="diam" val="INF" fact="NaN" max="NaN"/>
    </dgm:ruleLst>
    <dgm:forEach name="nodesForEach" axis="ch" ptType="node">
      <dgm:choose name="Name6">
        <dgm:if name="Name7" axis="par ch" ptType="doc node" func="cnt" op="gt" val="1">
          <dgm:layoutNode name="dummy">
            <dgm:alg type="sp"/>
            <dgm:shape xmlns:r="http://schemas.openxmlformats.org/officeDocument/2006/relationships" r:blip="">
              <dgm:adjLst/>
            </dgm:shape>
            <dgm:presOf/>
            <dgm:constrLst>
              <dgm:constr type="h" refType="w"/>
            </dgm:constrLst>
            <dgm:ruleLst/>
          </dgm:layoutNode>
        </dgm:if>
        <dgm:else name="Name8"/>
      </dgm:choose>
      <dgm:layoutNode name="node" styleLbl="revTx">
        <dgm:varLst>
          <dgm:bulletEnabled val="1"/>
        </dgm:varLst>
        <dgm:alg type="tx">
          <dgm:param type="txAnchorVertCh" val="mid"/>
        </dgm:alg>
        <dgm:shape xmlns:r="http://schemas.openxmlformats.org/officeDocument/2006/relationships" type="rect" r:blip="">
          <dgm:adjLst/>
        </dgm:shape>
        <dgm:presOf axis="desOrSelf" ptType="node"/>
        <dgm:constrLst>
          <dgm:constr type="h" refType="w"/>
          <dgm:constr type="lMarg" refType="primFontSz" fact="0.1"/>
          <dgm:constr type="rMarg" refType="primFontSz" fact="0.1"/>
          <dgm:constr type="tMarg" refType="primFontSz" fact="0.1"/>
          <dgm:constr type="bMarg" refType="primFontSz" fact="0.1"/>
        </dgm:constrLst>
        <dgm:ruleLst>
          <dgm:rule type="primFontSz" val="5" fact="NaN" max="NaN"/>
        </dgm:ruleLst>
      </dgm:layoutNode>
      <dgm:choose name="Name9">
        <dgm:if name="Name10" axis="par ch" ptType="doc node" func="cnt" op="gt" val="1">
          <dgm:forEach name="Name11" axis="followSib" ptType="sibTrans" hideLastTrans="0" cnt="1">
            <dgm:layoutNode name="sibTrans" styleLbl="node1">
              <dgm:alg type="conn">
                <dgm:param type="connRout" val="curve"/>
                <dgm:param type="begPts" val="radial"/>
                <dgm:param type="endPts" val="radial"/>
              </dgm:alg>
              <dgm:shape xmlns:r="http://schemas.openxmlformats.org/officeDocument/2006/relationships" type="conn" r:blip="">
                <dgm:adjLst/>
              </dgm:shape>
              <dgm:presOf axis="self"/>
              <dgm:constrLst>
                <dgm:constr type="h" refType="w" fact="0.65"/>
                <dgm:constr type="begPad"/>
                <dgm:constr type="endPad"/>
              </dgm:constrLst>
              <dgm:ruleLst/>
            </dgm:layoutNode>
          </dgm:forEach>
        </dgm:if>
        <dgm:else name="Name12"/>
      </dgm:choose>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4">
  <dgm:title val=""/>
  <dgm:desc val=""/>
  <dgm:catLst>
    <dgm:cat type="simple" pri="104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3">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parChTrans2D4">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parCh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2">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4">
  <dgm:title val=""/>
  <dgm:desc val=""/>
  <dgm:catLst>
    <dgm:cat type="simple" pri="104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3">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parChTrans2D4">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parCh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2">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xml><?xml version="1.0" encoding="utf-8"?>
<dgm:styleDef xmlns:dgm="http://schemas.openxmlformats.org/drawingml/2006/diagram" xmlns:a="http://schemas.openxmlformats.org/drawingml/2006/main" uniqueId="urn:microsoft.com/office/officeart/2005/8/quickstyle/simple4">
  <dgm:title val=""/>
  <dgm:desc val=""/>
  <dgm:catLst>
    <dgm:cat type="simple" pri="104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3">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parChTrans2D4">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parCh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2">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4.xml><?xml version="1.0" encoding="utf-8"?>
<dgm:styleDef xmlns:dgm="http://schemas.openxmlformats.org/drawingml/2006/diagram" xmlns:a="http://schemas.openxmlformats.org/drawingml/2006/main" uniqueId="urn:microsoft.com/office/officeart/2005/8/quickstyle/simple4">
  <dgm:title val=""/>
  <dgm:desc val=""/>
  <dgm:catLst>
    <dgm:cat type="simple" pri="104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3">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parChTrans2D4">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parCh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2">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5.xml><?xml version="1.0" encoding="utf-8"?>
<dgm:styleDef xmlns:dgm="http://schemas.openxmlformats.org/drawingml/2006/diagram" xmlns:a="http://schemas.openxmlformats.org/drawingml/2006/main" uniqueId="urn:microsoft.com/office/officeart/2005/8/quickstyle/simple4">
  <dgm:title val=""/>
  <dgm:desc val=""/>
  <dgm:catLst>
    <dgm:cat type="simple" pri="104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3">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parChTrans2D4">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parCh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2">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6.xml><?xml version="1.0" encoding="utf-8"?>
<dgm:styleDef xmlns:dgm="http://schemas.openxmlformats.org/drawingml/2006/diagram" xmlns:a="http://schemas.openxmlformats.org/drawingml/2006/main" uniqueId="urn:microsoft.com/office/officeart/2005/8/quickstyle/simple4">
  <dgm:title val=""/>
  <dgm:desc val=""/>
  <dgm:catLst>
    <dgm:cat type="simple" pri="104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3">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parChTrans2D4">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parCh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2">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8" Type="http://schemas.openxmlformats.org/officeDocument/2006/relationships/diagramQuickStyle" Target="../diagrams/quickStyle2.xml"/><Relationship Id="rId13" Type="http://schemas.openxmlformats.org/officeDocument/2006/relationships/diagramQuickStyle" Target="../diagrams/quickStyle3.xml"/><Relationship Id="rId18" Type="http://schemas.openxmlformats.org/officeDocument/2006/relationships/diagramQuickStyle" Target="../diagrams/quickStyle4.xml"/><Relationship Id="rId26" Type="http://schemas.openxmlformats.org/officeDocument/2006/relationships/diagramData" Target="../diagrams/data6.xml"/><Relationship Id="rId3" Type="http://schemas.openxmlformats.org/officeDocument/2006/relationships/diagramQuickStyle" Target="../diagrams/quickStyle1.xml"/><Relationship Id="rId21" Type="http://schemas.openxmlformats.org/officeDocument/2006/relationships/diagramData" Target="../diagrams/data5.xml"/><Relationship Id="rId7" Type="http://schemas.openxmlformats.org/officeDocument/2006/relationships/diagramLayout" Target="../diagrams/layout2.xml"/><Relationship Id="rId12" Type="http://schemas.openxmlformats.org/officeDocument/2006/relationships/diagramLayout" Target="../diagrams/layout3.xml"/><Relationship Id="rId17" Type="http://schemas.openxmlformats.org/officeDocument/2006/relationships/diagramLayout" Target="../diagrams/layout4.xml"/><Relationship Id="rId25" Type="http://schemas.microsoft.com/office/2007/relationships/diagramDrawing" Target="../diagrams/drawing5.xml"/><Relationship Id="rId2" Type="http://schemas.openxmlformats.org/officeDocument/2006/relationships/diagramLayout" Target="../diagrams/layout1.xml"/><Relationship Id="rId16" Type="http://schemas.openxmlformats.org/officeDocument/2006/relationships/diagramData" Target="../diagrams/data4.xml"/><Relationship Id="rId20" Type="http://schemas.microsoft.com/office/2007/relationships/diagramDrawing" Target="../diagrams/drawing4.xml"/><Relationship Id="rId29" Type="http://schemas.openxmlformats.org/officeDocument/2006/relationships/diagramColors" Target="../diagrams/colors6.xml"/><Relationship Id="rId1" Type="http://schemas.openxmlformats.org/officeDocument/2006/relationships/diagramData" Target="../diagrams/data1.xml"/><Relationship Id="rId6" Type="http://schemas.openxmlformats.org/officeDocument/2006/relationships/diagramData" Target="../diagrams/data2.xml"/><Relationship Id="rId11" Type="http://schemas.openxmlformats.org/officeDocument/2006/relationships/diagramData" Target="../diagrams/data3.xml"/><Relationship Id="rId24" Type="http://schemas.openxmlformats.org/officeDocument/2006/relationships/diagramColors" Target="../diagrams/colors5.xml"/><Relationship Id="rId5" Type="http://schemas.microsoft.com/office/2007/relationships/diagramDrawing" Target="../diagrams/drawing1.xml"/><Relationship Id="rId15" Type="http://schemas.microsoft.com/office/2007/relationships/diagramDrawing" Target="../diagrams/drawing3.xml"/><Relationship Id="rId23" Type="http://schemas.openxmlformats.org/officeDocument/2006/relationships/diagramQuickStyle" Target="../diagrams/quickStyle5.xml"/><Relationship Id="rId28" Type="http://schemas.openxmlformats.org/officeDocument/2006/relationships/diagramQuickStyle" Target="../diagrams/quickStyle6.xml"/><Relationship Id="rId10" Type="http://schemas.microsoft.com/office/2007/relationships/diagramDrawing" Target="../diagrams/drawing2.xml"/><Relationship Id="rId19" Type="http://schemas.openxmlformats.org/officeDocument/2006/relationships/diagramColors" Target="../diagrams/colors4.xml"/><Relationship Id="rId4" Type="http://schemas.openxmlformats.org/officeDocument/2006/relationships/diagramColors" Target="../diagrams/colors1.xml"/><Relationship Id="rId9" Type="http://schemas.openxmlformats.org/officeDocument/2006/relationships/diagramColors" Target="../diagrams/colors2.xml"/><Relationship Id="rId14" Type="http://schemas.openxmlformats.org/officeDocument/2006/relationships/diagramColors" Target="../diagrams/colors3.xml"/><Relationship Id="rId22" Type="http://schemas.openxmlformats.org/officeDocument/2006/relationships/diagramLayout" Target="../diagrams/layout5.xml"/><Relationship Id="rId27" Type="http://schemas.openxmlformats.org/officeDocument/2006/relationships/diagramLayout" Target="../diagrams/layout6.xml"/><Relationship Id="rId30" Type="http://schemas.microsoft.com/office/2007/relationships/diagramDrawing" Target="../diagrams/drawing6.xml"/></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_rels/drawing4.xml.rels><?xml version="1.0" encoding="UTF-8" standalone="yes"?>
<Relationships xmlns="http://schemas.openxmlformats.org/package/2006/relationships"><Relationship Id="rId8" Type="http://schemas.openxmlformats.org/officeDocument/2006/relationships/chart" Target="../charts/chart33.xml"/><Relationship Id="rId13" Type="http://schemas.openxmlformats.org/officeDocument/2006/relationships/chart" Target="../charts/chart38.xml"/><Relationship Id="rId18" Type="http://schemas.openxmlformats.org/officeDocument/2006/relationships/chart" Target="../charts/chart43.xml"/><Relationship Id="rId3" Type="http://schemas.openxmlformats.org/officeDocument/2006/relationships/chart" Target="../charts/chart28.xml"/><Relationship Id="rId7" Type="http://schemas.openxmlformats.org/officeDocument/2006/relationships/chart" Target="../charts/chart32.xml"/><Relationship Id="rId12" Type="http://schemas.openxmlformats.org/officeDocument/2006/relationships/chart" Target="../charts/chart37.xml"/><Relationship Id="rId17" Type="http://schemas.openxmlformats.org/officeDocument/2006/relationships/chart" Target="../charts/chart42.xml"/><Relationship Id="rId2" Type="http://schemas.openxmlformats.org/officeDocument/2006/relationships/chart" Target="../charts/chart27.xml"/><Relationship Id="rId16" Type="http://schemas.openxmlformats.org/officeDocument/2006/relationships/chart" Target="../charts/chart41.xml"/><Relationship Id="rId20" Type="http://schemas.openxmlformats.org/officeDocument/2006/relationships/chart" Target="../charts/chart45.xml"/><Relationship Id="rId1" Type="http://schemas.openxmlformats.org/officeDocument/2006/relationships/chart" Target="../charts/chart26.xml"/><Relationship Id="rId6" Type="http://schemas.openxmlformats.org/officeDocument/2006/relationships/chart" Target="../charts/chart31.xml"/><Relationship Id="rId11" Type="http://schemas.openxmlformats.org/officeDocument/2006/relationships/chart" Target="../charts/chart36.xml"/><Relationship Id="rId5" Type="http://schemas.openxmlformats.org/officeDocument/2006/relationships/chart" Target="../charts/chart30.xml"/><Relationship Id="rId15" Type="http://schemas.openxmlformats.org/officeDocument/2006/relationships/chart" Target="../charts/chart40.xml"/><Relationship Id="rId10" Type="http://schemas.openxmlformats.org/officeDocument/2006/relationships/chart" Target="../charts/chart35.xml"/><Relationship Id="rId19" Type="http://schemas.openxmlformats.org/officeDocument/2006/relationships/chart" Target="../charts/chart44.xml"/><Relationship Id="rId4" Type="http://schemas.openxmlformats.org/officeDocument/2006/relationships/chart" Target="../charts/chart29.xml"/><Relationship Id="rId9" Type="http://schemas.openxmlformats.org/officeDocument/2006/relationships/chart" Target="../charts/chart34.xml"/><Relationship Id="rId14" Type="http://schemas.openxmlformats.org/officeDocument/2006/relationships/chart" Target="../charts/chart39.xml"/></Relationships>
</file>

<file path=xl/drawings/_rels/drawing5.xml.rels><?xml version="1.0" encoding="UTF-8" standalone="yes"?>
<Relationships xmlns="http://schemas.openxmlformats.org/package/2006/relationships"><Relationship Id="rId3" Type="http://schemas.openxmlformats.org/officeDocument/2006/relationships/chart" Target="../charts/chart48.xml"/><Relationship Id="rId7" Type="http://schemas.openxmlformats.org/officeDocument/2006/relationships/chart" Target="../charts/chart52.xml"/><Relationship Id="rId2" Type="http://schemas.openxmlformats.org/officeDocument/2006/relationships/chart" Target="../charts/chart47.xml"/><Relationship Id="rId1" Type="http://schemas.openxmlformats.org/officeDocument/2006/relationships/chart" Target="../charts/chart46.xml"/><Relationship Id="rId6" Type="http://schemas.openxmlformats.org/officeDocument/2006/relationships/chart" Target="../charts/chart51.xml"/><Relationship Id="rId5" Type="http://schemas.openxmlformats.org/officeDocument/2006/relationships/chart" Target="../charts/chart50.xml"/><Relationship Id="rId4" Type="http://schemas.openxmlformats.org/officeDocument/2006/relationships/chart" Target="../charts/chart49.xml"/></Relationships>
</file>

<file path=xl/drawings/drawing1.xml><?xml version="1.0" encoding="utf-8"?>
<xdr:wsDr xmlns:xdr="http://schemas.openxmlformats.org/drawingml/2006/spreadsheetDrawing" xmlns:a="http://schemas.openxmlformats.org/drawingml/2006/main">
  <xdr:twoCellAnchor>
    <xdr:from>
      <xdr:col>0</xdr:col>
      <xdr:colOff>12700</xdr:colOff>
      <xdr:row>27</xdr:row>
      <xdr:rowOff>0</xdr:rowOff>
    </xdr:from>
    <xdr:to>
      <xdr:col>1</xdr:col>
      <xdr:colOff>871220</xdr:colOff>
      <xdr:row>27</xdr:row>
      <xdr:rowOff>5080</xdr:rowOff>
    </xdr:to>
    <xdr:grpSp>
      <xdr:nvGrpSpPr>
        <xdr:cNvPr id="80" name="Group 79"/>
        <xdr:cNvGrpSpPr/>
      </xdr:nvGrpSpPr>
      <xdr:grpSpPr>
        <a:xfrm>
          <a:off x="12700" y="13525500"/>
          <a:ext cx="2827020" cy="5080"/>
          <a:chOff x="487680" y="5029200"/>
          <a:chExt cx="5049520" cy="5008880"/>
        </a:xfrm>
      </xdr:grpSpPr>
      <xdr:cxnSp macro="">
        <xdr:nvCxnSpPr>
          <xdr:cNvPr id="81" name="Straight Connector 80"/>
          <xdr:cNvCxnSpPr/>
        </xdr:nvCxnSpPr>
        <xdr:spPr>
          <a:xfrm flipH="1">
            <a:off x="1066800" y="5181600"/>
            <a:ext cx="3873500" cy="4572000"/>
          </a:xfrm>
          <a:prstGeom prst="line">
            <a:avLst/>
          </a:prstGeom>
          <a:ln w="12700" cmpd="sng">
            <a:solidFill>
              <a:schemeClr val="bg1">
                <a:lumMod val="50000"/>
              </a:schemeClr>
            </a:solidFill>
            <a:prstDash val="dash"/>
          </a:ln>
          <a:effectLst/>
        </xdr:spPr>
        <xdr:style>
          <a:lnRef idx="2">
            <a:schemeClr val="accent1"/>
          </a:lnRef>
          <a:fillRef idx="0">
            <a:schemeClr val="accent1"/>
          </a:fillRef>
          <a:effectRef idx="1">
            <a:schemeClr val="accent1"/>
          </a:effectRef>
          <a:fontRef idx="minor">
            <a:schemeClr val="tx1"/>
          </a:fontRef>
        </xdr:style>
      </xdr:cxnSp>
      <xdr:graphicFrame macro="">
        <xdr:nvGraphicFramePr>
          <xdr:cNvPr id="82" name="Diagram 81"/>
          <xdr:cNvGraphicFramePr/>
        </xdr:nvGraphicFramePr>
        <xdr:xfrm>
          <a:off x="487680" y="5029200"/>
          <a:ext cx="5049520" cy="500888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grpSp>
    <xdr:clientData/>
  </xdr:twoCellAnchor>
  <xdr:twoCellAnchor>
    <xdr:from>
      <xdr:col>2</xdr:col>
      <xdr:colOff>25400</xdr:colOff>
      <xdr:row>27</xdr:row>
      <xdr:rowOff>0</xdr:rowOff>
    </xdr:from>
    <xdr:to>
      <xdr:col>7</xdr:col>
      <xdr:colOff>693420</xdr:colOff>
      <xdr:row>27</xdr:row>
      <xdr:rowOff>5080</xdr:rowOff>
    </xdr:to>
    <xdr:grpSp>
      <xdr:nvGrpSpPr>
        <xdr:cNvPr id="83" name="Group 82"/>
        <xdr:cNvGrpSpPr/>
      </xdr:nvGrpSpPr>
      <xdr:grpSpPr>
        <a:xfrm>
          <a:off x="6629400" y="13525500"/>
          <a:ext cx="5049520" cy="5080"/>
          <a:chOff x="487680" y="5029200"/>
          <a:chExt cx="5049520" cy="5008880"/>
        </a:xfrm>
      </xdr:grpSpPr>
      <xdr:cxnSp macro="">
        <xdr:nvCxnSpPr>
          <xdr:cNvPr id="84" name="Straight Connector 83"/>
          <xdr:cNvCxnSpPr/>
        </xdr:nvCxnSpPr>
        <xdr:spPr>
          <a:xfrm flipH="1">
            <a:off x="1066800" y="5181600"/>
            <a:ext cx="3873500" cy="4572000"/>
          </a:xfrm>
          <a:prstGeom prst="line">
            <a:avLst/>
          </a:prstGeom>
          <a:ln w="12700" cmpd="sng">
            <a:solidFill>
              <a:schemeClr val="bg1">
                <a:lumMod val="50000"/>
              </a:schemeClr>
            </a:solidFill>
            <a:prstDash val="dash"/>
          </a:ln>
          <a:effectLst/>
        </xdr:spPr>
        <xdr:style>
          <a:lnRef idx="2">
            <a:schemeClr val="accent1"/>
          </a:lnRef>
          <a:fillRef idx="0">
            <a:schemeClr val="accent1"/>
          </a:fillRef>
          <a:effectRef idx="1">
            <a:schemeClr val="accent1"/>
          </a:effectRef>
          <a:fontRef idx="minor">
            <a:schemeClr val="tx1"/>
          </a:fontRef>
        </xdr:style>
      </xdr:cxnSp>
      <xdr:grpSp>
        <xdr:nvGrpSpPr>
          <xdr:cNvPr id="85" name="Group 84"/>
          <xdr:cNvGrpSpPr/>
        </xdr:nvGrpSpPr>
        <xdr:grpSpPr>
          <a:xfrm>
            <a:off x="487680" y="5029200"/>
            <a:ext cx="5049520" cy="5008880"/>
            <a:chOff x="5080" y="1270000"/>
            <a:chExt cx="5049520" cy="5008880"/>
          </a:xfrm>
        </xdr:grpSpPr>
        <xdr:graphicFrame macro="">
          <xdr:nvGraphicFramePr>
            <xdr:cNvPr id="86" name="Diagram 85"/>
            <xdr:cNvGraphicFramePr/>
          </xdr:nvGraphicFramePr>
          <xdr:xfrm>
            <a:off x="5080" y="1270000"/>
            <a:ext cx="5049520" cy="5008880"/>
          </xdr:xfrm>
          <a:graphic>
            <a:graphicData uri="http://schemas.openxmlformats.org/drawingml/2006/diagram">
              <dgm:relIds xmlns:dgm="http://schemas.openxmlformats.org/drawingml/2006/diagram" xmlns:r="http://schemas.openxmlformats.org/officeDocument/2006/relationships" r:dm="rId6" r:lo="rId7" r:qs="rId8" r:cs="rId9"/>
            </a:graphicData>
          </a:graphic>
        </xdr:graphicFrame>
        <xdr:sp macro="" textlink="">
          <xdr:nvSpPr>
            <xdr:cNvPr id="87" name="Right Arrow 86"/>
            <xdr:cNvSpPr/>
          </xdr:nvSpPr>
          <xdr:spPr>
            <a:xfrm rot="1380000">
              <a:off x="2050156" y="1968515"/>
              <a:ext cx="2034133" cy="334334"/>
            </a:xfrm>
            <a:prstGeom prst="rightArrow">
              <a:avLst>
                <a:gd name="adj1" fmla="val 38480"/>
                <a:gd name="adj2" fmla="val 37732"/>
              </a:avLst>
            </a:prstGeom>
            <a:gradFill>
              <a:lin ang="15900000" scaled="0"/>
            </a:gradFill>
            <a:ln>
              <a:noFill/>
            </a:ln>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n-US" sz="1100"/>
            </a:p>
          </xdr:txBody>
        </xdr:sp>
        <xdr:sp macro="" textlink="">
          <xdr:nvSpPr>
            <xdr:cNvPr id="88" name="Right Arrow 87"/>
            <xdr:cNvSpPr/>
          </xdr:nvSpPr>
          <xdr:spPr>
            <a:xfrm rot="2340000">
              <a:off x="1704077" y="2727834"/>
              <a:ext cx="3128041" cy="334334"/>
            </a:xfrm>
            <a:prstGeom prst="rightArrow">
              <a:avLst>
                <a:gd name="adj1" fmla="val 36149"/>
                <a:gd name="adj2" fmla="val 37732"/>
              </a:avLst>
            </a:prstGeom>
            <a:gradFill>
              <a:lin ang="15900000" scaled="0"/>
            </a:gradFill>
            <a:ln>
              <a:noFill/>
            </a:ln>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n-US" sz="1100"/>
            </a:p>
          </xdr:txBody>
        </xdr:sp>
        <xdr:sp macro="" textlink="">
          <xdr:nvSpPr>
            <xdr:cNvPr id="89" name="Right Arrow 88"/>
            <xdr:cNvSpPr/>
          </xdr:nvSpPr>
          <xdr:spPr>
            <a:xfrm rot="3540000">
              <a:off x="1044372" y="3438960"/>
              <a:ext cx="3717889" cy="334334"/>
            </a:xfrm>
            <a:prstGeom prst="rightArrow">
              <a:avLst>
                <a:gd name="adj1" fmla="val 33267"/>
                <a:gd name="adj2" fmla="val 37732"/>
              </a:avLst>
            </a:prstGeom>
            <a:gradFill>
              <a:lin ang="15900000" scaled="0"/>
            </a:gradFill>
            <a:ln>
              <a:noFill/>
            </a:ln>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n-US" sz="1100"/>
            </a:p>
          </xdr:txBody>
        </xdr:sp>
        <xdr:sp macro="" textlink="">
          <xdr:nvSpPr>
            <xdr:cNvPr id="90" name="Right Arrow 89"/>
            <xdr:cNvSpPr/>
          </xdr:nvSpPr>
          <xdr:spPr>
            <a:xfrm rot="5796838">
              <a:off x="-73713" y="3475744"/>
              <a:ext cx="3122013" cy="334334"/>
            </a:xfrm>
            <a:prstGeom prst="rightArrow">
              <a:avLst>
                <a:gd name="adj1" fmla="val 24799"/>
                <a:gd name="adj2" fmla="val 37732"/>
              </a:avLst>
            </a:prstGeom>
            <a:gradFill>
              <a:lin ang="15900000" scaled="0"/>
            </a:gradFill>
            <a:ln>
              <a:noFill/>
            </a:ln>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n-US" sz="1100"/>
            </a:p>
          </xdr:txBody>
        </xdr:sp>
        <xdr:sp macro="" textlink="">
          <xdr:nvSpPr>
            <xdr:cNvPr id="91" name="Right Arrow 90"/>
            <xdr:cNvSpPr/>
          </xdr:nvSpPr>
          <xdr:spPr>
            <a:xfrm rot="6874273">
              <a:off x="170699" y="2810484"/>
              <a:ext cx="1951441" cy="331794"/>
            </a:xfrm>
            <a:prstGeom prst="rightArrow">
              <a:avLst>
                <a:gd name="adj1" fmla="val 16989"/>
                <a:gd name="adj2" fmla="val 37732"/>
              </a:avLst>
            </a:prstGeom>
            <a:gradFill>
              <a:lin ang="15900000" scaled="0"/>
            </a:gradFill>
            <a:ln>
              <a:noFill/>
            </a:ln>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n-US" sz="1100"/>
            </a:p>
          </xdr:txBody>
        </xdr:sp>
        <xdr:sp macro="" textlink="">
          <xdr:nvSpPr>
            <xdr:cNvPr id="92" name="Right Arrow 91"/>
            <xdr:cNvSpPr/>
          </xdr:nvSpPr>
          <xdr:spPr>
            <a:xfrm rot="4753845">
              <a:off x="309309" y="3713865"/>
              <a:ext cx="3682881" cy="334334"/>
            </a:xfrm>
            <a:prstGeom prst="rightArrow">
              <a:avLst>
                <a:gd name="adj1" fmla="val 29354"/>
                <a:gd name="adj2" fmla="val 37732"/>
              </a:avLst>
            </a:prstGeom>
            <a:gradFill>
              <a:lin ang="15900000" scaled="0"/>
            </a:gradFill>
            <a:ln>
              <a:noFill/>
            </a:ln>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n-US" sz="1100"/>
            </a:p>
          </xdr:txBody>
        </xdr:sp>
        <xdr:sp macro="" textlink="">
          <xdr:nvSpPr>
            <xdr:cNvPr id="93" name="Right Arrow 92"/>
            <xdr:cNvSpPr/>
          </xdr:nvSpPr>
          <xdr:spPr>
            <a:xfrm rot="8097492">
              <a:off x="841920" y="2150550"/>
              <a:ext cx="729485" cy="331794"/>
            </a:xfrm>
            <a:prstGeom prst="rightArrow">
              <a:avLst>
                <a:gd name="adj1" fmla="val 11232"/>
                <a:gd name="adj2" fmla="val 37732"/>
              </a:avLst>
            </a:prstGeom>
            <a:gradFill>
              <a:lin ang="15900000" scaled="0"/>
            </a:gradFill>
            <a:ln>
              <a:noFill/>
            </a:ln>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n-US" sz="1100"/>
            </a:p>
          </xdr:txBody>
        </xdr:sp>
        <xdr:sp macro="" textlink="">
          <xdr:nvSpPr>
            <xdr:cNvPr id="94" name="TextBox 93"/>
            <xdr:cNvSpPr txBox="1"/>
          </xdr:nvSpPr>
          <xdr:spPr>
            <a:xfrm>
              <a:off x="1358900" y="2755900"/>
              <a:ext cx="2222500" cy="406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1">
                  <a:latin typeface="Arial"/>
                  <a:cs typeface="Arial"/>
                </a:rPr>
                <a:t>Knowledge Management</a:t>
              </a:r>
            </a:p>
          </xdr:txBody>
        </xdr:sp>
      </xdr:grpSp>
    </xdr:grpSp>
    <xdr:clientData/>
  </xdr:twoCellAnchor>
  <xdr:twoCellAnchor>
    <xdr:from>
      <xdr:col>9</xdr:col>
      <xdr:colOff>558800</xdr:colOff>
      <xdr:row>35</xdr:row>
      <xdr:rowOff>0</xdr:rowOff>
    </xdr:from>
    <xdr:to>
      <xdr:col>16</xdr:col>
      <xdr:colOff>622300</xdr:colOff>
      <xdr:row>36</xdr:row>
      <xdr:rowOff>139700</xdr:rowOff>
    </xdr:to>
    <xdr:sp macro="" textlink="">
      <xdr:nvSpPr>
        <xdr:cNvPr id="95" name="Rectangle 94"/>
        <xdr:cNvSpPr/>
      </xdr:nvSpPr>
      <xdr:spPr>
        <a:xfrm>
          <a:off x="13296900" y="15430500"/>
          <a:ext cx="6197600" cy="1193800"/>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431800</xdr:colOff>
      <xdr:row>22</xdr:row>
      <xdr:rowOff>25400</xdr:rowOff>
    </xdr:from>
    <xdr:to>
      <xdr:col>16</xdr:col>
      <xdr:colOff>190398</xdr:colOff>
      <xdr:row>28</xdr:row>
      <xdr:rowOff>27978</xdr:rowOff>
    </xdr:to>
    <xdr:grpSp>
      <xdr:nvGrpSpPr>
        <xdr:cNvPr id="96" name="Group 95"/>
        <xdr:cNvGrpSpPr/>
      </xdr:nvGrpSpPr>
      <xdr:grpSpPr>
        <a:xfrm>
          <a:off x="13169900" y="7696200"/>
          <a:ext cx="5892698" cy="6174778"/>
          <a:chOff x="7112000" y="6350000"/>
          <a:chExt cx="5892698" cy="5946178"/>
        </a:xfrm>
      </xdr:grpSpPr>
      <xdr:grpSp>
        <xdr:nvGrpSpPr>
          <xdr:cNvPr id="97" name="Group 96"/>
          <xdr:cNvGrpSpPr/>
        </xdr:nvGrpSpPr>
        <xdr:grpSpPr>
          <a:xfrm>
            <a:off x="7581900" y="6985000"/>
            <a:ext cx="5049520" cy="5008880"/>
            <a:chOff x="487680" y="5029200"/>
            <a:chExt cx="5049520" cy="5008880"/>
          </a:xfrm>
        </xdr:grpSpPr>
        <xdr:cxnSp macro="">
          <xdr:nvCxnSpPr>
            <xdr:cNvPr id="103" name="Straight Connector 102"/>
            <xdr:cNvCxnSpPr/>
          </xdr:nvCxnSpPr>
          <xdr:spPr>
            <a:xfrm flipH="1">
              <a:off x="1066800" y="5181600"/>
              <a:ext cx="3873500" cy="4572000"/>
            </a:xfrm>
            <a:prstGeom prst="line">
              <a:avLst/>
            </a:prstGeom>
            <a:ln w="12700" cmpd="sng">
              <a:solidFill>
                <a:schemeClr val="bg1">
                  <a:lumMod val="50000"/>
                </a:schemeClr>
              </a:solidFill>
              <a:prstDash val="dash"/>
            </a:ln>
            <a:effectLst/>
          </xdr:spPr>
          <xdr:style>
            <a:lnRef idx="2">
              <a:schemeClr val="accent1"/>
            </a:lnRef>
            <a:fillRef idx="0">
              <a:schemeClr val="accent1"/>
            </a:fillRef>
            <a:effectRef idx="1">
              <a:schemeClr val="accent1"/>
            </a:effectRef>
            <a:fontRef idx="minor">
              <a:schemeClr val="tx1"/>
            </a:fontRef>
          </xdr:style>
        </xdr:cxnSp>
        <xdr:grpSp>
          <xdr:nvGrpSpPr>
            <xdr:cNvPr id="104" name="Group 103"/>
            <xdr:cNvGrpSpPr/>
          </xdr:nvGrpSpPr>
          <xdr:grpSpPr>
            <a:xfrm>
              <a:off x="487680" y="5029200"/>
              <a:ext cx="5049520" cy="5008880"/>
              <a:chOff x="5080" y="1270000"/>
              <a:chExt cx="5049520" cy="5008880"/>
            </a:xfrm>
          </xdr:grpSpPr>
          <xdr:graphicFrame macro="">
            <xdr:nvGraphicFramePr>
              <xdr:cNvPr id="105" name="Diagram 104"/>
              <xdr:cNvGraphicFramePr/>
            </xdr:nvGraphicFramePr>
            <xdr:xfrm>
              <a:off x="5080" y="1270000"/>
              <a:ext cx="5049520" cy="5008880"/>
            </xdr:xfrm>
            <a:graphic>
              <a:graphicData uri="http://schemas.openxmlformats.org/drawingml/2006/diagram">
                <dgm:relIds xmlns:dgm="http://schemas.openxmlformats.org/drawingml/2006/diagram" xmlns:r="http://schemas.openxmlformats.org/officeDocument/2006/relationships" r:dm="rId11" r:lo="rId12" r:qs="rId13" r:cs="rId14"/>
              </a:graphicData>
            </a:graphic>
          </xdr:graphicFrame>
          <xdr:sp macro="" textlink="">
            <xdr:nvSpPr>
              <xdr:cNvPr id="106" name="Right Arrow 105"/>
              <xdr:cNvSpPr/>
            </xdr:nvSpPr>
            <xdr:spPr>
              <a:xfrm rot="1380000">
                <a:off x="2050156" y="1968515"/>
                <a:ext cx="2034133" cy="334334"/>
              </a:xfrm>
              <a:prstGeom prst="rightArrow">
                <a:avLst>
                  <a:gd name="adj1" fmla="val 38480"/>
                  <a:gd name="adj2" fmla="val 37732"/>
                </a:avLst>
              </a:prstGeom>
              <a:gradFill>
                <a:lin ang="15900000" scaled="0"/>
              </a:gradFill>
              <a:ln>
                <a:noFill/>
              </a:ln>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n-US" sz="1100"/>
              </a:p>
            </xdr:txBody>
          </xdr:sp>
          <xdr:sp macro="" textlink="">
            <xdr:nvSpPr>
              <xdr:cNvPr id="107" name="Right Arrow 106"/>
              <xdr:cNvSpPr/>
            </xdr:nvSpPr>
            <xdr:spPr>
              <a:xfrm rot="2340000">
                <a:off x="1704077" y="2727834"/>
                <a:ext cx="3128041" cy="334334"/>
              </a:xfrm>
              <a:prstGeom prst="rightArrow">
                <a:avLst>
                  <a:gd name="adj1" fmla="val 36149"/>
                  <a:gd name="adj2" fmla="val 37732"/>
                </a:avLst>
              </a:prstGeom>
              <a:gradFill>
                <a:lin ang="15900000" scaled="0"/>
              </a:gradFill>
              <a:ln>
                <a:noFill/>
              </a:ln>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n-US" sz="1100"/>
              </a:p>
            </xdr:txBody>
          </xdr:sp>
          <xdr:sp macro="" textlink="">
            <xdr:nvSpPr>
              <xdr:cNvPr id="108" name="Right Arrow 107"/>
              <xdr:cNvSpPr/>
            </xdr:nvSpPr>
            <xdr:spPr>
              <a:xfrm rot="3540000">
                <a:off x="1044372" y="3438960"/>
                <a:ext cx="3717889" cy="334334"/>
              </a:xfrm>
              <a:prstGeom prst="rightArrow">
                <a:avLst>
                  <a:gd name="adj1" fmla="val 33267"/>
                  <a:gd name="adj2" fmla="val 37732"/>
                </a:avLst>
              </a:prstGeom>
              <a:gradFill>
                <a:lin ang="15900000" scaled="0"/>
              </a:gradFill>
              <a:ln>
                <a:noFill/>
              </a:ln>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n-US" sz="1100"/>
              </a:p>
            </xdr:txBody>
          </xdr:sp>
          <xdr:sp macro="" textlink="">
            <xdr:nvSpPr>
              <xdr:cNvPr id="109" name="Right Arrow 108"/>
              <xdr:cNvSpPr/>
            </xdr:nvSpPr>
            <xdr:spPr>
              <a:xfrm rot="5796838">
                <a:off x="-73713" y="3475744"/>
                <a:ext cx="3122013" cy="334334"/>
              </a:xfrm>
              <a:prstGeom prst="rightArrow">
                <a:avLst>
                  <a:gd name="adj1" fmla="val 24799"/>
                  <a:gd name="adj2" fmla="val 37732"/>
                </a:avLst>
              </a:prstGeom>
              <a:gradFill>
                <a:lin ang="15900000" scaled="0"/>
              </a:gradFill>
              <a:ln>
                <a:noFill/>
              </a:ln>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n-US" sz="1100"/>
              </a:p>
            </xdr:txBody>
          </xdr:sp>
          <xdr:sp macro="" textlink="">
            <xdr:nvSpPr>
              <xdr:cNvPr id="110" name="Right Arrow 109"/>
              <xdr:cNvSpPr/>
            </xdr:nvSpPr>
            <xdr:spPr>
              <a:xfrm rot="6874273">
                <a:off x="170699" y="2810484"/>
                <a:ext cx="1951441" cy="331794"/>
              </a:xfrm>
              <a:prstGeom prst="rightArrow">
                <a:avLst>
                  <a:gd name="adj1" fmla="val 16989"/>
                  <a:gd name="adj2" fmla="val 37732"/>
                </a:avLst>
              </a:prstGeom>
              <a:gradFill>
                <a:lin ang="15900000" scaled="0"/>
              </a:gradFill>
              <a:ln>
                <a:noFill/>
              </a:ln>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n-US" sz="1100"/>
              </a:p>
            </xdr:txBody>
          </xdr:sp>
          <xdr:sp macro="" textlink="">
            <xdr:nvSpPr>
              <xdr:cNvPr id="111" name="Right Arrow 110"/>
              <xdr:cNvSpPr/>
            </xdr:nvSpPr>
            <xdr:spPr>
              <a:xfrm rot="4753845">
                <a:off x="309309" y="3713865"/>
                <a:ext cx="3682881" cy="334334"/>
              </a:xfrm>
              <a:prstGeom prst="rightArrow">
                <a:avLst>
                  <a:gd name="adj1" fmla="val 29354"/>
                  <a:gd name="adj2" fmla="val 37732"/>
                </a:avLst>
              </a:prstGeom>
              <a:gradFill>
                <a:lin ang="15900000" scaled="0"/>
              </a:gradFill>
              <a:ln>
                <a:noFill/>
              </a:ln>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n-US" sz="1100"/>
              </a:p>
            </xdr:txBody>
          </xdr:sp>
          <xdr:sp macro="" textlink="">
            <xdr:nvSpPr>
              <xdr:cNvPr id="112" name="Right Arrow 111"/>
              <xdr:cNvSpPr/>
            </xdr:nvSpPr>
            <xdr:spPr>
              <a:xfrm rot="8097492">
                <a:off x="841920" y="2150550"/>
                <a:ext cx="729485" cy="331794"/>
              </a:xfrm>
              <a:prstGeom prst="rightArrow">
                <a:avLst>
                  <a:gd name="adj1" fmla="val 11232"/>
                  <a:gd name="adj2" fmla="val 37732"/>
                </a:avLst>
              </a:prstGeom>
              <a:gradFill>
                <a:lin ang="15900000" scaled="0"/>
              </a:gradFill>
              <a:ln>
                <a:noFill/>
              </a:ln>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n-US" sz="1100"/>
              </a:p>
            </xdr:txBody>
          </xdr:sp>
          <xdr:sp macro="" textlink="">
            <xdr:nvSpPr>
              <xdr:cNvPr id="113" name="TextBox 112"/>
              <xdr:cNvSpPr txBox="1"/>
            </xdr:nvSpPr>
            <xdr:spPr>
              <a:xfrm>
                <a:off x="1358900" y="2755900"/>
                <a:ext cx="2222500" cy="406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1">
                    <a:latin typeface="Arial"/>
                    <a:cs typeface="Arial"/>
                  </a:rPr>
                  <a:t>Knowledge Management</a:t>
                </a:r>
              </a:p>
            </xdr:txBody>
          </xdr:sp>
        </xdr:grpSp>
      </xdr:grpSp>
      <xdr:sp macro="" textlink="">
        <xdr:nvSpPr>
          <xdr:cNvPr id="98" name="Right Arrow 97"/>
          <xdr:cNvSpPr/>
        </xdr:nvSpPr>
        <xdr:spPr>
          <a:xfrm rot="16200000">
            <a:off x="7507899" y="7162344"/>
            <a:ext cx="1362123" cy="321634"/>
          </a:xfrm>
          <a:prstGeom prst="rightArrow">
            <a:avLst>
              <a:gd name="adj1" fmla="val 38480"/>
              <a:gd name="adj2" fmla="val 37732"/>
            </a:avLst>
          </a:prstGeom>
          <a:solidFill>
            <a:schemeClr val="accent2">
              <a:lumMod val="40000"/>
              <a:lumOff val="60000"/>
            </a:schemeClr>
          </a:solidFill>
          <a:ln>
            <a:noFill/>
          </a:ln>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n-US" sz="1100"/>
          </a:p>
        </xdr:txBody>
      </xdr:sp>
      <xdr:sp macro="" textlink="">
        <xdr:nvSpPr>
          <xdr:cNvPr id="99" name="Circular Arrow 98"/>
          <xdr:cNvSpPr>
            <a:spLocks noChangeAspect="1"/>
          </xdr:cNvSpPr>
        </xdr:nvSpPr>
        <xdr:spPr>
          <a:xfrm rot="8679400">
            <a:off x="7244702" y="6467662"/>
            <a:ext cx="5759996" cy="5828516"/>
          </a:xfrm>
          <a:prstGeom prst="circularArrow">
            <a:avLst>
              <a:gd name="adj1" fmla="val 2106"/>
              <a:gd name="adj2" fmla="val 240695"/>
              <a:gd name="adj3" fmla="val 20371071"/>
              <a:gd name="adj4" fmla="val 20940325"/>
              <a:gd name="adj5" fmla="val 3839"/>
            </a:avLst>
          </a:prstGeom>
          <a:solidFill>
            <a:srgbClr val="E6B9B8"/>
          </a:solidFill>
          <a:ln>
            <a:noFill/>
          </a:ln>
          <a:effectLst>
            <a:outerShdw blurRad="40005" dist="22987" dir="5400000" algn="tl" rotWithShape="0">
              <a:prstClr val="black">
                <a:alpha val="35000"/>
              </a:prstClr>
            </a:outerShdw>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100" name="TextBox 99"/>
          <xdr:cNvSpPr txBox="1"/>
        </xdr:nvSpPr>
        <xdr:spPr>
          <a:xfrm>
            <a:off x="7569200" y="7112000"/>
            <a:ext cx="1290320" cy="330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1">
                <a:solidFill>
                  <a:schemeClr val="accent2">
                    <a:lumMod val="75000"/>
                  </a:schemeClr>
                </a:solidFill>
                <a:latin typeface="Arial"/>
                <a:cs typeface="Arial"/>
              </a:rPr>
              <a:t>Communications</a:t>
            </a:r>
          </a:p>
        </xdr:txBody>
      </xdr:sp>
      <xdr:sp macro="" textlink="">
        <xdr:nvSpPr>
          <xdr:cNvPr id="101" name="TextBox 100"/>
          <xdr:cNvSpPr txBox="1"/>
        </xdr:nvSpPr>
        <xdr:spPr>
          <a:xfrm>
            <a:off x="7543800" y="6350000"/>
            <a:ext cx="1290320" cy="330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1">
                <a:solidFill>
                  <a:schemeClr val="accent2">
                    <a:lumMod val="60000"/>
                    <a:lumOff val="40000"/>
                  </a:schemeClr>
                </a:solidFill>
                <a:latin typeface="Arial"/>
                <a:cs typeface="Arial"/>
              </a:rPr>
              <a:t>DFID</a:t>
            </a:r>
          </a:p>
        </xdr:txBody>
      </xdr:sp>
      <xdr:sp macro="" textlink="">
        <xdr:nvSpPr>
          <xdr:cNvPr id="102" name="TextBox 101"/>
          <xdr:cNvSpPr txBox="1"/>
        </xdr:nvSpPr>
        <xdr:spPr>
          <a:xfrm>
            <a:off x="7112000" y="11188700"/>
            <a:ext cx="1290320" cy="609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1">
                <a:solidFill>
                  <a:schemeClr val="accent2">
                    <a:lumMod val="60000"/>
                    <a:lumOff val="40000"/>
                  </a:schemeClr>
                </a:solidFill>
                <a:latin typeface="Arial"/>
                <a:cs typeface="Arial"/>
              </a:rPr>
              <a:t>Other Development Partners</a:t>
            </a:r>
          </a:p>
        </xdr:txBody>
      </xdr:sp>
    </xdr:grpSp>
    <xdr:clientData/>
  </xdr:twoCellAnchor>
  <xdr:twoCellAnchor>
    <xdr:from>
      <xdr:col>17</xdr:col>
      <xdr:colOff>482600</xdr:colOff>
      <xdr:row>26</xdr:row>
      <xdr:rowOff>38100</xdr:rowOff>
    </xdr:from>
    <xdr:to>
      <xdr:col>24</xdr:col>
      <xdr:colOff>546100</xdr:colOff>
      <xdr:row>27</xdr:row>
      <xdr:rowOff>0</xdr:rowOff>
    </xdr:to>
    <xdr:grpSp>
      <xdr:nvGrpSpPr>
        <xdr:cNvPr id="114" name="Group 113"/>
        <xdr:cNvGrpSpPr/>
      </xdr:nvGrpSpPr>
      <xdr:grpSpPr>
        <a:xfrm>
          <a:off x="20231100" y="8483600"/>
          <a:ext cx="6197600" cy="5041900"/>
          <a:chOff x="127000" y="6642100"/>
          <a:chExt cx="6273800" cy="4991100"/>
        </a:xfrm>
      </xdr:grpSpPr>
      <xdr:grpSp>
        <xdr:nvGrpSpPr>
          <xdr:cNvPr id="115" name="Group 114"/>
          <xdr:cNvGrpSpPr/>
        </xdr:nvGrpSpPr>
        <xdr:grpSpPr>
          <a:xfrm>
            <a:off x="127000" y="7174174"/>
            <a:ext cx="6273800" cy="3779937"/>
            <a:chOff x="127000" y="7174174"/>
            <a:chExt cx="6273800" cy="3779937"/>
          </a:xfrm>
        </xdr:grpSpPr>
        <xdr:sp macro="" textlink="">
          <xdr:nvSpPr>
            <xdr:cNvPr id="133" name="Circular Arrow 132"/>
            <xdr:cNvSpPr>
              <a:spLocks noChangeAspect="1"/>
            </xdr:cNvSpPr>
          </xdr:nvSpPr>
          <xdr:spPr>
            <a:xfrm rot="7620220">
              <a:off x="1817282" y="7639256"/>
              <a:ext cx="2878623" cy="2879622"/>
            </a:xfrm>
            <a:prstGeom prst="circularArrow">
              <a:avLst>
                <a:gd name="adj1" fmla="val 3580"/>
                <a:gd name="adj2" fmla="val 297504"/>
                <a:gd name="adj3" fmla="val 20423375"/>
                <a:gd name="adj4" fmla="val 21080287"/>
                <a:gd name="adj5" fmla="val 5692"/>
              </a:avLst>
            </a:prstGeom>
            <a:gradFill flip="none" rotWithShape="1">
              <a:gsLst>
                <a:gs pos="0">
                  <a:schemeClr val="accent4">
                    <a:lumMod val="60000"/>
                    <a:lumOff val="40000"/>
                  </a:schemeClr>
                </a:gs>
                <a:gs pos="100000">
                  <a:schemeClr val="accent4">
                    <a:lumMod val="20000"/>
                    <a:lumOff val="80000"/>
                  </a:schemeClr>
                </a:gs>
              </a:gsLst>
              <a:lin ang="10800000" scaled="0"/>
              <a:tileRect/>
            </a:gradFill>
            <a:ln>
              <a:noFill/>
            </a:ln>
            <a:effectLst>
              <a:outerShdw blurRad="40005" dist="22987" dir="5400000" algn="tl" rotWithShape="0">
                <a:prstClr val="black">
                  <a:alpha val="35000"/>
                </a:prstClr>
              </a:outerShdw>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134" name="Circular Arrow 133"/>
            <xdr:cNvSpPr>
              <a:spLocks noChangeAspect="1"/>
            </xdr:cNvSpPr>
          </xdr:nvSpPr>
          <xdr:spPr>
            <a:xfrm rot="2401344">
              <a:off x="1368876" y="7174174"/>
              <a:ext cx="3778637" cy="3779937"/>
            </a:xfrm>
            <a:prstGeom prst="circularArrow">
              <a:avLst>
                <a:gd name="adj1" fmla="val 3580"/>
                <a:gd name="adj2" fmla="val 297504"/>
                <a:gd name="adj3" fmla="val 20423375"/>
                <a:gd name="adj4" fmla="val 21080287"/>
                <a:gd name="adj5" fmla="val 5692"/>
              </a:avLst>
            </a:prstGeom>
            <a:gradFill flip="none" rotWithShape="1">
              <a:gsLst>
                <a:gs pos="0">
                  <a:schemeClr val="accent5"/>
                </a:gs>
                <a:gs pos="100000">
                  <a:schemeClr val="accent5">
                    <a:lumMod val="20000"/>
                    <a:lumOff val="80000"/>
                  </a:schemeClr>
                </a:gs>
              </a:gsLst>
              <a:lin ang="13500000" scaled="0"/>
              <a:tileRect/>
            </a:gradFill>
            <a:ln>
              <a:noFill/>
            </a:ln>
            <a:effectLst>
              <a:outerShdw blurRad="40005" dist="22987" dir="5400000" algn="tl" rotWithShape="0">
                <a:prstClr val="black">
                  <a:alpha val="35000"/>
                </a:prstClr>
              </a:outerShdw>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135" name="Rectangle 134"/>
            <xdr:cNvSpPr/>
          </xdr:nvSpPr>
          <xdr:spPr>
            <a:xfrm>
              <a:off x="127000" y="8547100"/>
              <a:ext cx="6273800" cy="1066800"/>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grpSp>
      <xdr:grpSp>
        <xdr:nvGrpSpPr>
          <xdr:cNvPr id="116" name="Group 115"/>
          <xdr:cNvGrpSpPr/>
        </xdr:nvGrpSpPr>
        <xdr:grpSpPr>
          <a:xfrm>
            <a:off x="538480" y="6642100"/>
            <a:ext cx="5430520" cy="4991100"/>
            <a:chOff x="538480" y="6642100"/>
            <a:chExt cx="5430520" cy="4991100"/>
          </a:xfrm>
        </xdr:grpSpPr>
        <xdr:grpSp>
          <xdr:nvGrpSpPr>
            <xdr:cNvPr id="117" name="Group 116"/>
            <xdr:cNvGrpSpPr/>
          </xdr:nvGrpSpPr>
          <xdr:grpSpPr>
            <a:xfrm>
              <a:off x="538480" y="6642100"/>
              <a:ext cx="5430520" cy="4991100"/>
              <a:chOff x="538480" y="6642100"/>
              <a:chExt cx="5430520" cy="4991100"/>
            </a:xfrm>
          </xdr:grpSpPr>
          <xdr:grpSp>
            <xdr:nvGrpSpPr>
              <xdr:cNvPr id="119" name="Group 118"/>
              <xdr:cNvGrpSpPr/>
            </xdr:nvGrpSpPr>
            <xdr:grpSpPr>
              <a:xfrm>
                <a:off x="538480" y="6642100"/>
                <a:ext cx="5430520" cy="4991100"/>
                <a:chOff x="487680" y="5029200"/>
                <a:chExt cx="5049520" cy="5008880"/>
              </a:xfrm>
            </xdr:grpSpPr>
            <xdr:cxnSp macro="">
              <xdr:nvCxnSpPr>
                <xdr:cNvPr id="122" name="Straight Connector 121"/>
                <xdr:cNvCxnSpPr/>
              </xdr:nvCxnSpPr>
              <xdr:spPr>
                <a:xfrm flipH="1">
                  <a:off x="1066800" y="5181600"/>
                  <a:ext cx="3873500" cy="4572000"/>
                </a:xfrm>
                <a:prstGeom prst="line">
                  <a:avLst/>
                </a:prstGeom>
                <a:ln w="12700" cmpd="sng">
                  <a:solidFill>
                    <a:schemeClr val="bg1">
                      <a:lumMod val="50000"/>
                    </a:schemeClr>
                  </a:solidFill>
                  <a:prstDash val="dash"/>
                </a:ln>
                <a:effectLst/>
              </xdr:spPr>
              <xdr:style>
                <a:lnRef idx="2">
                  <a:schemeClr val="accent1"/>
                </a:lnRef>
                <a:fillRef idx="0">
                  <a:schemeClr val="accent1"/>
                </a:fillRef>
                <a:effectRef idx="1">
                  <a:schemeClr val="accent1"/>
                </a:effectRef>
                <a:fontRef idx="minor">
                  <a:schemeClr val="tx1"/>
                </a:fontRef>
              </xdr:style>
            </xdr:cxnSp>
            <xdr:grpSp>
              <xdr:nvGrpSpPr>
                <xdr:cNvPr id="123" name="Group 122"/>
                <xdr:cNvGrpSpPr/>
              </xdr:nvGrpSpPr>
              <xdr:grpSpPr>
                <a:xfrm>
                  <a:off x="487680" y="5029200"/>
                  <a:ext cx="5049520" cy="5008880"/>
                  <a:chOff x="5080" y="1270000"/>
                  <a:chExt cx="5049520" cy="5008880"/>
                </a:xfrm>
              </xdr:grpSpPr>
              <xdr:graphicFrame macro="">
                <xdr:nvGraphicFramePr>
                  <xdr:cNvPr id="124" name="Diagram 123"/>
                  <xdr:cNvGraphicFramePr/>
                </xdr:nvGraphicFramePr>
                <xdr:xfrm>
                  <a:off x="5080" y="1270000"/>
                  <a:ext cx="5049520" cy="5008880"/>
                </xdr:xfrm>
                <a:graphic>
                  <a:graphicData uri="http://schemas.openxmlformats.org/drawingml/2006/diagram">
                    <dgm:relIds xmlns:dgm="http://schemas.openxmlformats.org/drawingml/2006/diagram" xmlns:r="http://schemas.openxmlformats.org/officeDocument/2006/relationships" r:dm="rId16" r:lo="rId17" r:qs="rId18" r:cs="rId19"/>
                  </a:graphicData>
                </a:graphic>
              </xdr:graphicFrame>
              <xdr:sp macro="" textlink="">
                <xdr:nvSpPr>
                  <xdr:cNvPr id="125" name="Right Arrow 124"/>
                  <xdr:cNvSpPr/>
                </xdr:nvSpPr>
                <xdr:spPr>
                  <a:xfrm rot="1380000">
                    <a:off x="2050156" y="1968515"/>
                    <a:ext cx="2034133" cy="334334"/>
                  </a:xfrm>
                  <a:prstGeom prst="rightArrow">
                    <a:avLst>
                      <a:gd name="adj1" fmla="val 38480"/>
                      <a:gd name="adj2" fmla="val 37732"/>
                    </a:avLst>
                  </a:prstGeom>
                  <a:gradFill>
                    <a:gsLst>
                      <a:gs pos="0">
                        <a:schemeClr val="accent3">
                          <a:tint val="100000"/>
                          <a:shade val="100000"/>
                          <a:satMod val="130000"/>
                        </a:schemeClr>
                      </a:gs>
                      <a:gs pos="100000">
                        <a:schemeClr val="accent3">
                          <a:tint val="50000"/>
                          <a:shade val="100000"/>
                          <a:satMod val="350000"/>
                        </a:schemeClr>
                      </a:gs>
                    </a:gsLst>
                    <a:lin ang="15900000" scaled="0"/>
                  </a:gradFill>
                  <a:ln>
                    <a:noFill/>
                  </a:ln>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n-US" sz="1100"/>
                  </a:p>
                </xdr:txBody>
              </xdr:sp>
              <xdr:sp macro="" textlink="">
                <xdr:nvSpPr>
                  <xdr:cNvPr id="126" name="Right Arrow 125"/>
                  <xdr:cNvSpPr/>
                </xdr:nvSpPr>
                <xdr:spPr>
                  <a:xfrm rot="2340000">
                    <a:off x="1704077" y="2727834"/>
                    <a:ext cx="3128041" cy="334334"/>
                  </a:xfrm>
                  <a:prstGeom prst="rightArrow">
                    <a:avLst>
                      <a:gd name="adj1" fmla="val 36149"/>
                      <a:gd name="adj2" fmla="val 37732"/>
                    </a:avLst>
                  </a:prstGeom>
                  <a:gradFill>
                    <a:lin ang="15900000" scaled="0"/>
                  </a:gradFill>
                  <a:ln>
                    <a:noFill/>
                  </a:ln>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n-US" sz="1100"/>
                  </a:p>
                </xdr:txBody>
              </xdr:sp>
              <xdr:sp macro="" textlink="">
                <xdr:nvSpPr>
                  <xdr:cNvPr id="127" name="Right Arrow 126"/>
                  <xdr:cNvSpPr/>
                </xdr:nvSpPr>
                <xdr:spPr>
                  <a:xfrm rot="3540000">
                    <a:off x="1044372" y="3438960"/>
                    <a:ext cx="3717889" cy="334334"/>
                  </a:xfrm>
                  <a:prstGeom prst="rightArrow">
                    <a:avLst>
                      <a:gd name="adj1" fmla="val 33267"/>
                      <a:gd name="adj2" fmla="val 37732"/>
                    </a:avLst>
                  </a:prstGeom>
                  <a:gradFill>
                    <a:lin ang="15900000" scaled="0"/>
                  </a:gradFill>
                  <a:ln>
                    <a:noFill/>
                  </a:ln>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n-US" sz="1100"/>
                  </a:p>
                </xdr:txBody>
              </xdr:sp>
              <xdr:sp macro="" textlink="">
                <xdr:nvSpPr>
                  <xdr:cNvPr id="128" name="Right Arrow 127"/>
                  <xdr:cNvSpPr/>
                </xdr:nvSpPr>
                <xdr:spPr>
                  <a:xfrm rot="5796838">
                    <a:off x="-38286" y="3475743"/>
                    <a:ext cx="3122013" cy="334334"/>
                  </a:xfrm>
                  <a:prstGeom prst="rightArrow">
                    <a:avLst>
                      <a:gd name="adj1" fmla="val 24799"/>
                      <a:gd name="adj2" fmla="val 37732"/>
                    </a:avLst>
                  </a:prstGeom>
                  <a:gradFill>
                    <a:lin ang="15900000" scaled="0"/>
                  </a:gradFill>
                  <a:ln>
                    <a:noFill/>
                  </a:ln>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n-US" sz="1100"/>
                  </a:p>
                </xdr:txBody>
              </xdr:sp>
              <xdr:sp macro="" textlink="">
                <xdr:nvSpPr>
                  <xdr:cNvPr id="129" name="Right Arrow 128"/>
                  <xdr:cNvSpPr/>
                </xdr:nvSpPr>
                <xdr:spPr>
                  <a:xfrm rot="6874273">
                    <a:off x="229743" y="2810484"/>
                    <a:ext cx="1951441" cy="331794"/>
                  </a:xfrm>
                  <a:prstGeom prst="rightArrow">
                    <a:avLst>
                      <a:gd name="adj1" fmla="val 16989"/>
                      <a:gd name="adj2" fmla="val 37732"/>
                    </a:avLst>
                  </a:prstGeom>
                  <a:gradFill>
                    <a:lin ang="15900000" scaled="0"/>
                  </a:gradFill>
                  <a:ln>
                    <a:noFill/>
                  </a:ln>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n-US" sz="1100"/>
                  </a:p>
                </xdr:txBody>
              </xdr:sp>
              <xdr:sp macro="" textlink="">
                <xdr:nvSpPr>
                  <xdr:cNvPr id="130" name="Right Arrow 129"/>
                  <xdr:cNvSpPr/>
                </xdr:nvSpPr>
                <xdr:spPr>
                  <a:xfrm rot="4753845">
                    <a:off x="309309" y="3713865"/>
                    <a:ext cx="3682881" cy="334334"/>
                  </a:xfrm>
                  <a:prstGeom prst="rightArrow">
                    <a:avLst>
                      <a:gd name="adj1" fmla="val 29354"/>
                      <a:gd name="adj2" fmla="val 37732"/>
                    </a:avLst>
                  </a:prstGeom>
                  <a:gradFill>
                    <a:lin ang="15900000" scaled="0"/>
                  </a:gradFill>
                  <a:ln>
                    <a:noFill/>
                  </a:ln>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n-US" sz="1100"/>
                  </a:p>
                </xdr:txBody>
              </xdr:sp>
              <xdr:sp macro="" textlink="">
                <xdr:nvSpPr>
                  <xdr:cNvPr id="131" name="Right Arrow 130"/>
                  <xdr:cNvSpPr/>
                </xdr:nvSpPr>
                <xdr:spPr>
                  <a:xfrm rot="8097492">
                    <a:off x="912774" y="2125059"/>
                    <a:ext cx="729485" cy="331794"/>
                  </a:xfrm>
                  <a:prstGeom prst="rightArrow">
                    <a:avLst>
                      <a:gd name="adj1" fmla="val 11232"/>
                      <a:gd name="adj2" fmla="val 37732"/>
                    </a:avLst>
                  </a:prstGeom>
                  <a:gradFill>
                    <a:lin ang="15900000" scaled="0"/>
                  </a:gradFill>
                  <a:ln>
                    <a:noFill/>
                  </a:ln>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n-US" sz="1100"/>
                  </a:p>
                </xdr:txBody>
              </xdr:sp>
              <xdr:sp macro="" textlink="">
                <xdr:nvSpPr>
                  <xdr:cNvPr id="132" name="TextBox 131"/>
                  <xdr:cNvSpPr txBox="1"/>
                </xdr:nvSpPr>
                <xdr:spPr>
                  <a:xfrm>
                    <a:off x="1406136" y="3074532"/>
                    <a:ext cx="2222500" cy="406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1">
                        <a:latin typeface="Arial"/>
                        <a:cs typeface="Arial"/>
                      </a:rPr>
                      <a:t>Knowledge Management</a:t>
                    </a:r>
                  </a:p>
                </xdr:txBody>
              </xdr:sp>
            </xdr:grpSp>
          </xdr:grpSp>
          <xdr:sp macro="" textlink="">
            <xdr:nvSpPr>
              <xdr:cNvPr id="120" name="TextBox 119"/>
              <xdr:cNvSpPr txBox="1"/>
            </xdr:nvSpPr>
            <xdr:spPr>
              <a:xfrm>
                <a:off x="4043680" y="9740900"/>
                <a:ext cx="1290320" cy="482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1">
                    <a:solidFill>
                      <a:srgbClr val="31859C"/>
                    </a:solidFill>
                    <a:latin typeface="Arial"/>
                    <a:cs typeface="Arial"/>
                  </a:rPr>
                  <a:t>Financial Management</a:t>
                </a:r>
              </a:p>
            </xdr:txBody>
          </xdr:sp>
          <xdr:sp macro="" textlink="">
            <xdr:nvSpPr>
              <xdr:cNvPr id="121" name="TextBox 120"/>
              <xdr:cNvSpPr txBox="1"/>
            </xdr:nvSpPr>
            <xdr:spPr>
              <a:xfrm>
                <a:off x="2125980" y="7251700"/>
                <a:ext cx="1290320" cy="482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1">
                    <a:solidFill>
                      <a:schemeClr val="accent5">
                        <a:lumMod val="75000"/>
                      </a:schemeClr>
                    </a:solidFill>
                    <a:latin typeface="Arial"/>
                    <a:cs typeface="Arial"/>
                  </a:rPr>
                  <a:t>Value For Money Analysis</a:t>
                </a:r>
              </a:p>
            </xdr:txBody>
          </xdr:sp>
        </xdr:grpSp>
        <xdr:sp macro="" textlink="">
          <xdr:nvSpPr>
            <xdr:cNvPr id="118" name="TextBox 117"/>
            <xdr:cNvSpPr txBox="1"/>
          </xdr:nvSpPr>
          <xdr:spPr>
            <a:xfrm>
              <a:off x="1859280" y="9766300"/>
              <a:ext cx="1290320" cy="482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1">
                  <a:solidFill>
                    <a:schemeClr val="accent4"/>
                  </a:solidFill>
                  <a:latin typeface="Arial"/>
                  <a:cs typeface="Arial"/>
                </a:rPr>
                <a:t>Operational Management</a:t>
              </a:r>
            </a:p>
          </xdr:txBody>
        </xdr:sp>
      </xdr:grpSp>
    </xdr:grpSp>
    <xdr:clientData/>
  </xdr:twoCellAnchor>
  <xdr:twoCellAnchor>
    <xdr:from>
      <xdr:col>0</xdr:col>
      <xdr:colOff>12700</xdr:colOff>
      <xdr:row>26</xdr:row>
      <xdr:rowOff>63500</xdr:rowOff>
    </xdr:from>
    <xdr:to>
      <xdr:col>1</xdr:col>
      <xdr:colOff>3144520</xdr:colOff>
      <xdr:row>27</xdr:row>
      <xdr:rowOff>0</xdr:rowOff>
    </xdr:to>
    <xdr:grpSp>
      <xdr:nvGrpSpPr>
        <xdr:cNvPr id="136" name="Group 135"/>
        <xdr:cNvGrpSpPr/>
      </xdr:nvGrpSpPr>
      <xdr:grpSpPr>
        <a:xfrm>
          <a:off x="12700" y="8509000"/>
          <a:ext cx="5100320" cy="5016500"/>
          <a:chOff x="487680" y="5029200"/>
          <a:chExt cx="5049520" cy="5008880"/>
        </a:xfrm>
      </xdr:grpSpPr>
      <xdr:cxnSp macro="">
        <xdr:nvCxnSpPr>
          <xdr:cNvPr id="137" name="Straight Connector 136"/>
          <xdr:cNvCxnSpPr/>
        </xdr:nvCxnSpPr>
        <xdr:spPr>
          <a:xfrm flipH="1">
            <a:off x="1066800" y="5181600"/>
            <a:ext cx="3873500" cy="4572000"/>
          </a:xfrm>
          <a:prstGeom prst="line">
            <a:avLst/>
          </a:prstGeom>
          <a:ln w="12700" cmpd="sng">
            <a:solidFill>
              <a:schemeClr val="bg1">
                <a:lumMod val="50000"/>
              </a:schemeClr>
            </a:solidFill>
            <a:prstDash val="dash"/>
          </a:ln>
          <a:effectLst/>
        </xdr:spPr>
        <xdr:style>
          <a:lnRef idx="2">
            <a:schemeClr val="accent1"/>
          </a:lnRef>
          <a:fillRef idx="0">
            <a:schemeClr val="accent1"/>
          </a:fillRef>
          <a:effectRef idx="1">
            <a:schemeClr val="accent1"/>
          </a:effectRef>
          <a:fontRef idx="minor">
            <a:schemeClr val="tx1"/>
          </a:fontRef>
        </xdr:style>
      </xdr:cxnSp>
      <xdr:graphicFrame macro="">
        <xdr:nvGraphicFramePr>
          <xdr:cNvPr id="138" name="Diagram 137"/>
          <xdr:cNvGraphicFramePr/>
        </xdr:nvGraphicFramePr>
        <xdr:xfrm>
          <a:off x="487680" y="5029200"/>
          <a:ext cx="5049520" cy="5008880"/>
        </xdr:xfrm>
        <a:graphic>
          <a:graphicData uri="http://schemas.openxmlformats.org/drawingml/2006/diagram">
            <dgm:relIds xmlns:dgm="http://schemas.openxmlformats.org/drawingml/2006/diagram" xmlns:r="http://schemas.openxmlformats.org/officeDocument/2006/relationships" r:dm="rId21" r:lo="rId22" r:qs="rId23" r:cs="rId24"/>
          </a:graphicData>
        </a:graphic>
      </xdr:graphicFrame>
    </xdr:grpSp>
    <xdr:clientData/>
  </xdr:twoCellAnchor>
  <xdr:twoCellAnchor>
    <xdr:from>
      <xdr:col>2</xdr:col>
      <xdr:colOff>25400</xdr:colOff>
      <xdr:row>26</xdr:row>
      <xdr:rowOff>76200</xdr:rowOff>
    </xdr:from>
    <xdr:to>
      <xdr:col>7</xdr:col>
      <xdr:colOff>693420</xdr:colOff>
      <xdr:row>27</xdr:row>
      <xdr:rowOff>0</xdr:rowOff>
    </xdr:to>
    <xdr:grpSp>
      <xdr:nvGrpSpPr>
        <xdr:cNvPr id="139" name="Group 138"/>
        <xdr:cNvGrpSpPr/>
      </xdr:nvGrpSpPr>
      <xdr:grpSpPr>
        <a:xfrm>
          <a:off x="6629400" y="8521700"/>
          <a:ext cx="5049520" cy="5003800"/>
          <a:chOff x="487680" y="5029200"/>
          <a:chExt cx="5049520" cy="5008880"/>
        </a:xfrm>
      </xdr:grpSpPr>
      <xdr:cxnSp macro="">
        <xdr:nvCxnSpPr>
          <xdr:cNvPr id="140" name="Straight Connector 139"/>
          <xdr:cNvCxnSpPr/>
        </xdr:nvCxnSpPr>
        <xdr:spPr>
          <a:xfrm flipH="1">
            <a:off x="1066800" y="5181600"/>
            <a:ext cx="3873500" cy="4572000"/>
          </a:xfrm>
          <a:prstGeom prst="line">
            <a:avLst/>
          </a:prstGeom>
          <a:ln w="12700" cmpd="sng">
            <a:solidFill>
              <a:schemeClr val="bg1">
                <a:lumMod val="50000"/>
              </a:schemeClr>
            </a:solidFill>
            <a:prstDash val="dash"/>
          </a:ln>
          <a:effectLst/>
        </xdr:spPr>
        <xdr:style>
          <a:lnRef idx="2">
            <a:schemeClr val="accent1"/>
          </a:lnRef>
          <a:fillRef idx="0">
            <a:schemeClr val="accent1"/>
          </a:fillRef>
          <a:effectRef idx="1">
            <a:schemeClr val="accent1"/>
          </a:effectRef>
          <a:fontRef idx="minor">
            <a:schemeClr val="tx1"/>
          </a:fontRef>
        </xdr:style>
      </xdr:cxnSp>
      <xdr:grpSp>
        <xdr:nvGrpSpPr>
          <xdr:cNvPr id="141" name="Group 140"/>
          <xdr:cNvGrpSpPr/>
        </xdr:nvGrpSpPr>
        <xdr:grpSpPr>
          <a:xfrm>
            <a:off x="487680" y="5029200"/>
            <a:ext cx="5049520" cy="5008880"/>
            <a:chOff x="5080" y="1270000"/>
            <a:chExt cx="5049520" cy="5008880"/>
          </a:xfrm>
        </xdr:grpSpPr>
        <xdr:graphicFrame macro="">
          <xdr:nvGraphicFramePr>
            <xdr:cNvPr id="142" name="Diagram 141"/>
            <xdr:cNvGraphicFramePr/>
          </xdr:nvGraphicFramePr>
          <xdr:xfrm>
            <a:off x="5080" y="1270000"/>
            <a:ext cx="5049520" cy="5008880"/>
          </xdr:xfrm>
          <a:graphic>
            <a:graphicData uri="http://schemas.openxmlformats.org/drawingml/2006/diagram">
              <dgm:relIds xmlns:dgm="http://schemas.openxmlformats.org/drawingml/2006/diagram" xmlns:r="http://schemas.openxmlformats.org/officeDocument/2006/relationships" r:dm="rId26" r:lo="rId27" r:qs="rId28" r:cs="rId29"/>
            </a:graphicData>
          </a:graphic>
        </xdr:graphicFrame>
        <xdr:sp macro="" textlink="">
          <xdr:nvSpPr>
            <xdr:cNvPr id="143" name="Right Arrow 142"/>
            <xdr:cNvSpPr/>
          </xdr:nvSpPr>
          <xdr:spPr>
            <a:xfrm rot="1380000">
              <a:off x="2050156" y="1968515"/>
              <a:ext cx="2034133" cy="334334"/>
            </a:xfrm>
            <a:prstGeom prst="rightArrow">
              <a:avLst>
                <a:gd name="adj1" fmla="val 38480"/>
                <a:gd name="adj2" fmla="val 37732"/>
              </a:avLst>
            </a:prstGeom>
            <a:gradFill>
              <a:lin ang="15900000" scaled="0"/>
            </a:gradFill>
            <a:ln>
              <a:noFill/>
            </a:ln>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n-US" sz="1100"/>
            </a:p>
          </xdr:txBody>
        </xdr:sp>
        <xdr:sp macro="" textlink="">
          <xdr:nvSpPr>
            <xdr:cNvPr id="144" name="Right Arrow 143"/>
            <xdr:cNvSpPr/>
          </xdr:nvSpPr>
          <xdr:spPr>
            <a:xfrm rot="2340000">
              <a:off x="1704077" y="2727834"/>
              <a:ext cx="3128041" cy="334334"/>
            </a:xfrm>
            <a:prstGeom prst="rightArrow">
              <a:avLst>
                <a:gd name="adj1" fmla="val 36149"/>
                <a:gd name="adj2" fmla="val 37732"/>
              </a:avLst>
            </a:prstGeom>
            <a:gradFill>
              <a:lin ang="15900000" scaled="0"/>
            </a:gradFill>
            <a:ln>
              <a:noFill/>
            </a:ln>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n-US" sz="1100"/>
            </a:p>
          </xdr:txBody>
        </xdr:sp>
        <xdr:sp macro="" textlink="">
          <xdr:nvSpPr>
            <xdr:cNvPr id="145" name="Right Arrow 144"/>
            <xdr:cNvSpPr/>
          </xdr:nvSpPr>
          <xdr:spPr>
            <a:xfrm rot="3540000">
              <a:off x="1044372" y="3438960"/>
              <a:ext cx="3717889" cy="334334"/>
            </a:xfrm>
            <a:prstGeom prst="rightArrow">
              <a:avLst>
                <a:gd name="adj1" fmla="val 33267"/>
                <a:gd name="adj2" fmla="val 37732"/>
              </a:avLst>
            </a:prstGeom>
            <a:gradFill>
              <a:lin ang="15900000" scaled="0"/>
            </a:gradFill>
            <a:ln>
              <a:noFill/>
            </a:ln>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n-US" sz="1100"/>
            </a:p>
          </xdr:txBody>
        </xdr:sp>
        <xdr:sp macro="" textlink="">
          <xdr:nvSpPr>
            <xdr:cNvPr id="146" name="Right Arrow 145"/>
            <xdr:cNvSpPr/>
          </xdr:nvSpPr>
          <xdr:spPr>
            <a:xfrm rot="5796838">
              <a:off x="-73713" y="3475744"/>
              <a:ext cx="3122013" cy="334334"/>
            </a:xfrm>
            <a:prstGeom prst="rightArrow">
              <a:avLst>
                <a:gd name="adj1" fmla="val 24799"/>
                <a:gd name="adj2" fmla="val 37732"/>
              </a:avLst>
            </a:prstGeom>
            <a:gradFill>
              <a:lin ang="15900000" scaled="0"/>
            </a:gradFill>
            <a:ln>
              <a:noFill/>
            </a:ln>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n-US" sz="1100"/>
            </a:p>
          </xdr:txBody>
        </xdr:sp>
        <xdr:sp macro="" textlink="">
          <xdr:nvSpPr>
            <xdr:cNvPr id="147" name="Right Arrow 146"/>
            <xdr:cNvSpPr/>
          </xdr:nvSpPr>
          <xdr:spPr>
            <a:xfrm rot="6874273">
              <a:off x="170699" y="2810484"/>
              <a:ext cx="1951441" cy="331794"/>
            </a:xfrm>
            <a:prstGeom prst="rightArrow">
              <a:avLst>
                <a:gd name="adj1" fmla="val 16989"/>
                <a:gd name="adj2" fmla="val 37732"/>
              </a:avLst>
            </a:prstGeom>
            <a:gradFill>
              <a:lin ang="15900000" scaled="0"/>
            </a:gradFill>
            <a:ln>
              <a:noFill/>
            </a:ln>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n-US" sz="1100"/>
            </a:p>
          </xdr:txBody>
        </xdr:sp>
        <xdr:sp macro="" textlink="">
          <xdr:nvSpPr>
            <xdr:cNvPr id="148" name="Right Arrow 147"/>
            <xdr:cNvSpPr/>
          </xdr:nvSpPr>
          <xdr:spPr>
            <a:xfrm rot="4753845">
              <a:off x="309309" y="3713865"/>
              <a:ext cx="3682881" cy="334334"/>
            </a:xfrm>
            <a:prstGeom prst="rightArrow">
              <a:avLst>
                <a:gd name="adj1" fmla="val 29354"/>
                <a:gd name="adj2" fmla="val 37732"/>
              </a:avLst>
            </a:prstGeom>
            <a:gradFill>
              <a:lin ang="15900000" scaled="0"/>
            </a:gradFill>
            <a:ln>
              <a:noFill/>
            </a:ln>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n-US" sz="1100"/>
            </a:p>
          </xdr:txBody>
        </xdr:sp>
        <xdr:sp macro="" textlink="">
          <xdr:nvSpPr>
            <xdr:cNvPr id="149" name="Right Arrow 148"/>
            <xdr:cNvSpPr/>
          </xdr:nvSpPr>
          <xdr:spPr>
            <a:xfrm rot="8097492">
              <a:off x="841920" y="2150550"/>
              <a:ext cx="729485" cy="331794"/>
            </a:xfrm>
            <a:prstGeom prst="rightArrow">
              <a:avLst>
                <a:gd name="adj1" fmla="val 11232"/>
                <a:gd name="adj2" fmla="val 37732"/>
              </a:avLst>
            </a:prstGeom>
            <a:gradFill>
              <a:lin ang="15900000" scaled="0"/>
            </a:gradFill>
            <a:ln>
              <a:noFill/>
            </a:ln>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n-US" sz="1100"/>
            </a:p>
          </xdr:txBody>
        </xdr:sp>
        <xdr:sp macro="" textlink="">
          <xdr:nvSpPr>
            <xdr:cNvPr id="150" name="TextBox 149"/>
            <xdr:cNvSpPr txBox="1"/>
          </xdr:nvSpPr>
          <xdr:spPr>
            <a:xfrm>
              <a:off x="1358900" y="2755900"/>
              <a:ext cx="2222500" cy="406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1">
                  <a:latin typeface="Arial"/>
                  <a:cs typeface="Arial"/>
                </a:rPr>
                <a:t>Knowledge Management</a:t>
              </a:r>
            </a:p>
          </xdr:txBody>
        </xdr:sp>
      </xdr:grpSp>
    </xdr:grpSp>
    <xdr:clientData/>
  </xdr:twoCellAnchor>
  <xdr:twoCellAnchor>
    <xdr:from>
      <xdr:col>9</xdr:col>
      <xdr:colOff>558800</xdr:colOff>
      <xdr:row>77</xdr:row>
      <xdr:rowOff>0</xdr:rowOff>
    </xdr:from>
    <xdr:to>
      <xdr:col>16</xdr:col>
      <xdr:colOff>622300</xdr:colOff>
      <xdr:row>80</xdr:row>
      <xdr:rowOff>139700</xdr:rowOff>
    </xdr:to>
    <xdr:sp macro="" textlink="">
      <xdr:nvSpPr>
        <xdr:cNvPr id="151" name="Rectangle 150"/>
        <xdr:cNvSpPr/>
      </xdr:nvSpPr>
      <xdr:spPr>
        <a:xfrm>
          <a:off x="13296900" y="15951200"/>
          <a:ext cx="6197600" cy="711200"/>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228600</xdr:colOff>
      <xdr:row>74</xdr:row>
      <xdr:rowOff>2362200</xdr:rowOff>
    </xdr:from>
    <xdr:to>
      <xdr:col>2</xdr:col>
      <xdr:colOff>4893724</xdr:colOff>
      <xdr:row>75</xdr:row>
      <xdr:rowOff>2823786</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65600" y="135026400"/>
          <a:ext cx="4665124" cy="3636586"/>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101600</xdr:colOff>
      <xdr:row>5</xdr:row>
      <xdr:rowOff>355600</xdr:rowOff>
    </xdr:from>
    <xdr:to>
      <xdr:col>1</xdr:col>
      <xdr:colOff>6921500</xdr:colOff>
      <xdr:row>5</xdr:row>
      <xdr:rowOff>3759200</xdr:rowOff>
    </xdr:to>
    <xdr:graphicFrame macro="">
      <xdr:nvGraphicFramePr>
        <xdr:cNvPr id="110007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101600</xdr:colOff>
      <xdr:row>7</xdr:row>
      <xdr:rowOff>355600</xdr:rowOff>
    </xdr:from>
    <xdr:to>
      <xdr:col>1</xdr:col>
      <xdr:colOff>6921500</xdr:colOff>
      <xdr:row>7</xdr:row>
      <xdr:rowOff>3759200</xdr:rowOff>
    </xdr:to>
    <xdr:graphicFrame macro="">
      <xdr:nvGraphicFramePr>
        <xdr:cNvPr id="110007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101600</xdr:colOff>
      <xdr:row>17</xdr:row>
      <xdr:rowOff>355600</xdr:rowOff>
    </xdr:from>
    <xdr:to>
      <xdr:col>1</xdr:col>
      <xdr:colOff>6921500</xdr:colOff>
      <xdr:row>17</xdr:row>
      <xdr:rowOff>3759200</xdr:rowOff>
    </xdr:to>
    <xdr:graphicFrame macro="">
      <xdr:nvGraphicFramePr>
        <xdr:cNvPr id="110008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88900</xdr:colOff>
      <xdr:row>19</xdr:row>
      <xdr:rowOff>355600</xdr:rowOff>
    </xdr:from>
    <xdr:to>
      <xdr:col>1</xdr:col>
      <xdr:colOff>6921500</xdr:colOff>
      <xdr:row>19</xdr:row>
      <xdr:rowOff>3759200</xdr:rowOff>
    </xdr:to>
    <xdr:graphicFrame macro="">
      <xdr:nvGraphicFramePr>
        <xdr:cNvPr id="1100081"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88900</xdr:colOff>
      <xdr:row>21</xdr:row>
      <xdr:rowOff>355600</xdr:rowOff>
    </xdr:from>
    <xdr:to>
      <xdr:col>1</xdr:col>
      <xdr:colOff>6921500</xdr:colOff>
      <xdr:row>21</xdr:row>
      <xdr:rowOff>3759200</xdr:rowOff>
    </xdr:to>
    <xdr:graphicFrame macro="">
      <xdr:nvGraphicFramePr>
        <xdr:cNvPr id="1100082"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88900</xdr:colOff>
      <xdr:row>23</xdr:row>
      <xdr:rowOff>355600</xdr:rowOff>
    </xdr:from>
    <xdr:to>
      <xdr:col>1</xdr:col>
      <xdr:colOff>6921500</xdr:colOff>
      <xdr:row>23</xdr:row>
      <xdr:rowOff>3759200</xdr:rowOff>
    </xdr:to>
    <xdr:graphicFrame macro="">
      <xdr:nvGraphicFramePr>
        <xdr:cNvPr id="1100083"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88900</xdr:colOff>
      <xdr:row>31</xdr:row>
      <xdr:rowOff>355600</xdr:rowOff>
    </xdr:from>
    <xdr:to>
      <xdr:col>1</xdr:col>
      <xdr:colOff>6921500</xdr:colOff>
      <xdr:row>31</xdr:row>
      <xdr:rowOff>3759200</xdr:rowOff>
    </xdr:to>
    <xdr:graphicFrame macro="">
      <xdr:nvGraphicFramePr>
        <xdr:cNvPr id="110008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88900</xdr:colOff>
      <xdr:row>35</xdr:row>
      <xdr:rowOff>355600</xdr:rowOff>
    </xdr:from>
    <xdr:to>
      <xdr:col>1</xdr:col>
      <xdr:colOff>6921500</xdr:colOff>
      <xdr:row>35</xdr:row>
      <xdr:rowOff>3759200</xdr:rowOff>
    </xdr:to>
    <xdr:graphicFrame macro="">
      <xdr:nvGraphicFramePr>
        <xdr:cNvPr id="110008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88900</xdr:colOff>
      <xdr:row>42</xdr:row>
      <xdr:rowOff>355600</xdr:rowOff>
    </xdr:from>
    <xdr:to>
      <xdr:col>1</xdr:col>
      <xdr:colOff>6921500</xdr:colOff>
      <xdr:row>42</xdr:row>
      <xdr:rowOff>3759200</xdr:rowOff>
    </xdr:to>
    <xdr:graphicFrame macro="">
      <xdr:nvGraphicFramePr>
        <xdr:cNvPr id="110008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88900</xdr:colOff>
      <xdr:row>52</xdr:row>
      <xdr:rowOff>228600</xdr:rowOff>
    </xdr:from>
    <xdr:to>
      <xdr:col>1</xdr:col>
      <xdr:colOff>6921500</xdr:colOff>
      <xdr:row>52</xdr:row>
      <xdr:rowOff>3657600</xdr:rowOff>
    </xdr:to>
    <xdr:graphicFrame macro="">
      <xdr:nvGraphicFramePr>
        <xdr:cNvPr id="110008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88900</xdr:colOff>
      <xdr:row>62</xdr:row>
      <xdr:rowOff>355600</xdr:rowOff>
    </xdr:from>
    <xdr:to>
      <xdr:col>1</xdr:col>
      <xdr:colOff>6921500</xdr:colOff>
      <xdr:row>62</xdr:row>
      <xdr:rowOff>3759200</xdr:rowOff>
    </xdr:to>
    <xdr:graphicFrame macro="">
      <xdr:nvGraphicFramePr>
        <xdr:cNvPr id="110008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177800</xdr:colOff>
      <xdr:row>69</xdr:row>
      <xdr:rowOff>355600</xdr:rowOff>
    </xdr:from>
    <xdr:to>
      <xdr:col>1</xdr:col>
      <xdr:colOff>7010400</xdr:colOff>
      <xdr:row>69</xdr:row>
      <xdr:rowOff>3784600</xdr:rowOff>
    </xdr:to>
    <xdr:graphicFrame macro="">
      <xdr:nvGraphicFramePr>
        <xdr:cNvPr id="110008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165100</xdr:colOff>
      <xdr:row>73</xdr:row>
      <xdr:rowOff>381000</xdr:rowOff>
    </xdr:from>
    <xdr:to>
      <xdr:col>1</xdr:col>
      <xdr:colOff>6997700</xdr:colOff>
      <xdr:row>74</xdr:row>
      <xdr:rowOff>0</xdr:rowOff>
    </xdr:to>
    <xdr:graphicFrame macro="">
      <xdr:nvGraphicFramePr>
        <xdr:cNvPr id="110009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165100</xdr:colOff>
      <xdr:row>81</xdr:row>
      <xdr:rowOff>368300</xdr:rowOff>
    </xdr:from>
    <xdr:to>
      <xdr:col>1</xdr:col>
      <xdr:colOff>6997700</xdr:colOff>
      <xdr:row>81</xdr:row>
      <xdr:rowOff>3784600</xdr:rowOff>
    </xdr:to>
    <xdr:graphicFrame macro="">
      <xdr:nvGraphicFramePr>
        <xdr:cNvPr id="110009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88900</xdr:colOff>
      <xdr:row>26</xdr:row>
      <xdr:rowOff>228600</xdr:rowOff>
    </xdr:from>
    <xdr:to>
      <xdr:col>1</xdr:col>
      <xdr:colOff>6921500</xdr:colOff>
      <xdr:row>26</xdr:row>
      <xdr:rowOff>3657600</xdr:rowOff>
    </xdr:to>
    <xdr:graphicFrame macro="">
      <xdr:nvGraphicFramePr>
        <xdr:cNvPr id="110009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88900</xdr:colOff>
      <xdr:row>33</xdr:row>
      <xdr:rowOff>355600</xdr:rowOff>
    </xdr:from>
    <xdr:to>
      <xdr:col>1</xdr:col>
      <xdr:colOff>6921500</xdr:colOff>
      <xdr:row>33</xdr:row>
      <xdr:rowOff>3759200</xdr:rowOff>
    </xdr:to>
    <xdr:graphicFrame macro="">
      <xdr:nvGraphicFramePr>
        <xdr:cNvPr id="110009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101600</xdr:colOff>
      <xdr:row>40</xdr:row>
      <xdr:rowOff>355600</xdr:rowOff>
    </xdr:from>
    <xdr:to>
      <xdr:col>1</xdr:col>
      <xdr:colOff>6921500</xdr:colOff>
      <xdr:row>40</xdr:row>
      <xdr:rowOff>3759200</xdr:rowOff>
    </xdr:to>
    <xdr:graphicFrame macro="">
      <xdr:nvGraphicFramePr>
        <xdr:cNvPr id="110009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88900</xdr:colOff>
      <xdr:row>44</xdr:row>
      <xdr:rowOff>355600</xdr:rowOff>
    </xdr:from>
    <xdr:to>
      <xdr:col>1</xdr:col>
      <xdr:colOff>6921500</xdr:colOff>
      <xdr:row>44</xdr:row>
      <xdr:rowOff>3759200</xdr:rowOff>
    </xdr:to>
    <xdr:graphicFrame macro="">
      <xdr:nvGraphicFramePr>
        <xdr:cNvPr id="110009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88900</xdr:colOff>
      <xdr:row>60</xdr:row>
      <xdr:rowOff>228600</xdr:rowOff>
    </xdr:from>
    <xdr:to>
      <xdr:col>1</xdr:col>
      <xdr:colOff>6921500</xdr:colOff>
      <xdr:row>60</xdr:row>
      <xdr:rowOff>3657600</xdr:rowOff>
    </xdr:to>
    <xdr:graphicFrame macro="">
      <xdr:nvGraphicFramePr>
        <xdr:cNvPr id="110009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177800</xdr:colOff>
      <xdr:row>67</xdr:row>
      <xdr:rowOff>368300</xdr:rowOff>
    </xdr:from>
    <xdr:to>
      <xdr:col>1</xdr:col>
      <xdr:colOff>7010400</xdr:colOff>
      <xdr:row>67</xdr:row>
      <xdr:rowOff>3784600</xdr:rowOff>
    </xdr:to>
    <xdr:graphicFrame macro="">
      <xdr:nvGraphicFramePr>
        <xdr:cNvPr id="110009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165100</xdr:colOff>
      <xdr:row>71</xdr:row>
      <xdr:rowOff>368300</xdr:rowOff>
    </xdr:from>
    <xdr:to>
      <xdr:col>1</xdr:col>
      <xdr:colOff>6997700</xdr:colOff>
      <xdr:row>71</xdr:row>
      <xdr:rowOff>3784600</xdr:rowOff>
    </xdr:to>
    <xdr:graphicFrame macro="">
      <xdr:nvGraphicFramePr>
        <xdr:cNvPr id="110009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88900</xdr:colOff>
      <xdr:row>76</xdr:row>
      <xdr:rowOff>228600</xdr:rowOff>
    </xdr:from>
    <xdr:to>
      <xdr:col>1</xdr:col>
      <xdr:colOff>6921500</xdr:colOff>
      <xdr:row>76</xdr:row>
      <xdr:rowOff>3657600</xdr:rowOff>
    </xdr:to>
    <xdr:graphicFrame macro="">
      <xdr:nvGraphicFramePr>
        <xdr:cNvPr id="110009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165100</xdr:colOff>
      <xdr:row>83</xdr:row>
      <xdr:rowOff>368300</xdr:rowOff>
    </xdr:from>
    <xdr:to>
      <xdr:col>1</xdr:col>
      <xdr:colOff>6997700</xdr:colOff>
      <xdr:row>83</xdr:row>
      <xdr:rowOff>3784600</xdr:rowOff>
    </xdr:to>
    <xdr:graphicFrame macro="">
      <xdr:nvGraphicFramePr>
        <xdr:cNvPr id="110010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88900</xdr:colOff>
      <xdr:row>57</xdr:row>
      <xdr:rowOff>228600</xdr:rowOff>
    </xdr:from>
    <xdr:to>
      <xdr:col>1</xdr:col>
      <xdr:colOff>6921500</xdr:colOff>
      <xdr:row>57</xdr:row>
      <xdr:rowOff>3657600</xdr:rowOff>
    </xdr:to>
    <xdr:graphicFrame macro="">
      <xdr:nvGraphicFramePr>
        <xdr:cNvPr id="110010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88900</xdr:colOff>
      <xdr:row>12</xdr:row>
      <xdr:rowOff>228600</xdr:rowOff>
    </xdr:from>
    <xdr:to>
      <xdr:col>1</xdr:col>
      <xdr:colOff>6921500</xdr:colOff>
      <xdr:row>12</xdr:row>
      <xdr:rowOff>3657600</xdr:rowOff>
    </xdr:to>
    <xdr:graphicFrame macro="">
      <xdr:nvGraphicFramePr>
        <xdr:cNvPr id="110010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45</xdr:col>
      <xdr:colOff>12700</xdr:colOff>
      <xdr:row>191</xdr:row>
      <xdr:rowOff>12700</xdr:rowOff>
    </xdr:from>
    <xdr:to>
      <xdr:col>51</xdr:col>
      <xdr:colOff>431800</xdr:colOff>
      <xdr:row>242</xdr:row>
      <xdr:rowOff>25400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45</xdr:col>
      <xdr:colOff>0</xdr:colOff>
      <xdr:row>266</xdr:row>
      <xdr:rowOff>0</xdr:rowOff>
    </xdr:from>
    <xdr:to>
      <xdr:col>51</xdr:col>
      <xdr:colOff>419100</xdr:colOff>
      <xdr:row>317</xdr:row>
      <xdr:rowOff>38100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45</xdr:col>
      <xdr:colOff>0</xdr:colOff>
      <xdr:row>341</xdr:row>
      <xdr:rowOff>0</xdr:rowOff>
    </xdr:from>
    <xdr:to>
      <xdr:col>51</xdr:col>
      <xdr:colOff>419100</xdr:colOff>
      <xdr:row>392</xdr:row>
      <xdr:rowOff>25400</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45</xdr:col>
      <xdr:colOff>0</xdr:colOff>
      <xdr:row>442</xdr:row>
      <xdr:rowOff>0</xdr:rowOff>
    </xdr:from>
    <xdr:to>
      <xdr:col>51</xdr:col>
      <xdr:colOff>419100</xdr:colOff>
      <xdr:row>493</xdr:row>
      <xdr:rowOff>38100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45</xdr:col>
      <xdr:colOff>0</xdr:colOff>
      <xdr:row>564</xdr:row>
      <xdr:rowOff>0</xdr:rowOff>
    </xdr:from>
    <xdr:to>
      <xdr:col>51</xdr:col>
      <xdr:colOff>419100</xdr:colOff>
      <xdr:row>623</xdr:row>
      <xdr:rowOff>25400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45</xdr:col>
      <xdr:colOff>0</xdr:colOff>
      <xdr:row>92</xdr:row>
      <xdr:rowOff>0</xdr:rowOff>
    </xdr:from>
    <xdr:to>
      <xdr:col>51</xdr:col>
      <xdr:colOff>419100</xdr:colOff>
      <xdr:row>143</xdr:row>
      <xdr:rowOff>38100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45</xdr:col>
      <xdr:colOff>12700</xdr:colOff>
      <xdr:row>3</xdr:row>
      <xdr:rowOff>0</xdr:rowOff>
    </xdr:from>
    <xdr:to>
      <xdr:col>51</xdr:col>
      <xdr:colOff>431800</xdr:colOff>
      <xdr:row>71</xdr:row>
      <xdr:rowOff>12700</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52</xdr:col>
      <xdr:colOff>0</xdr:colOff>
      <xdr:row>564</xdr:row>
      <xdr:rowOff>0</xdr:rowOff>
    </xdr:from>
    <xdr:to>
      <xdr:col>61</xdr:col>
      <xdr:colOff>76200</xdr:colOff>
      <xdr:row>623</xdr:row>
      <xdr:rowOff>25400</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52</xdr:col>
      <xdr:colOff>0</xdr:colOff>
      <xdr:row>20</xdr:row>
      <xdr:rowOff>12700</xdr:rowOff>
    </xdr:from>
    <xdr:to>
      <xdr:col>59</xdr:col>
      <xdr:colOff>508000</xdr:colOff>
      <xdr:row>53</xdr:row>
      <xdr:rowOff>139700</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60</xdr:col>
      <xdr:colOff>12700</xdr:colOff>
      <xdr:row>20</xdr:row>
      <xdr:rowOff>12700</xdr:rowOff>
    </xdr:from>
    <xdr:to>
      <xdr:col>68</xdr:col>
      <xdr:colOff>0</xdr:colOff>
      <xdr:row>53</xdr:row>
      <xdr:rowOff>139700</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52</xdr:col>
      <xdr:colOff>0</xdr:colOff>
      <xdr:row>67</xdr:row>
      <xdr:rowOff>0</xdr:rowOff>
    </xdr:from>
    <xdr:to>
      <xdr:col>59</xdr:col>
      <xdr:colOff>508000</xdr:colOff>
      <xdr:row>100</xdr:row>
      <xdr:rowOff>139700</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60</xdr:col>
      <xdr:colOff>12700</xdr:colOff>
      <xdr:row>67</xdr:row>
      <xdr:rowOff>0</xdr:rowOff>
    </xdr:from>
    <xdr:to>
      <xdr:col>68</xdr:col>
      <xdr:colOff>0</xdr:colOff>
      <xdr:row>100</xdr:row>
      <xdr:rowOff>139700</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52</xdr:col>
      <xdr:colOff>0</xdr:colOff>
      <xdr:row>102</xdr:row>
      <xdr:rowOff>0</xdr:rowOff>
    </xdr:from>
    <xdr:to>
      <xdr:col>59</xdr:col>
      <xdr:colOff>508000</xdr:colOff>
      <xdr:row>147</xdr:row>
      <xdr:rowOff>127000</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60</xdr:col>
      <xdr:colOff>12700</xdr:colOff>
      <xdr:row>102</xdr:row>
      <xdr:rowOff>0</xdr:rowOff>
    </xdr:from>
    <xdr:to>
      <xdr:col>68</xdr:col>
      <xdr:colOff>0</xdr:colOff>
      <xdr:row>147</xdr:row>
      <xdr:rowOff>127000</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52</xdr:col>
      <xdr:colOff>0</xdr:colOff>
      <xdr:row>149</xdr:row>
      <xdr:rowOff>0</xdr:rowOff>
    </xdr:from>
    <xdr:to>
      <xdr:col>59</xdr:col>
      <xdr:colOff>508000</xdr:colOff>
      <xdr:row>198</xdr:row>
      <xdr:rowOff>139700</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60</xdr:col>
      <xdr:colOff>12700</xdr:colOff>
      <xdr:row>149</xdr:row>
      <xdr:rowOff>0</xdr:rowOff>
    </xdr:from>
    <xdr:to>
      <xdr:col>68</xdr:col>
      <xdr:colOff>0</xdr:colOff>
      <xdr:row>198</xdr:row>
      <xdr:rowOff>139700</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53</xdr:col>
      <xdr:colOff>0</xdr:colOff>
      <xdr:row>442</xdr:row>
      <xdr:rowOff>0</xdr:rowOff>
    </xdr:from>
    <xdr:to>
      <xdr:col>61</xdr:col>
      <xdr:colOff>12700</xdr:colOff>
      <xdr:row>475</xdr:row>
      <xdr:rowOff>114300</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69</xdr:col>
      <xdr:colOff>0</xdr:colOff>
      <xdr:row>3</xdr:row>
      <xdr:rowOff>0</xdr:rowOff>
    </xdr:from>
    <xdr:to>
      <xdr:col>76</xdr:col>
      <xdr:colOff>508000</xdr:colOff>
      <xdr:row>53</xdr:row>
      <xdr:rowOff>127000</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69</xdr:col>
      <xdr:colOff>0</xdr:colOff>
      <xdr:row>67</xdr:row>
      <xdr:rowOff>0</xdr:rowOff>
    </xdr:from>
    <xdr:to>
      <xdr:col>76</xdr:col>
      <xdr:colOff>508000</xdr:colOff>
      <xdr:row>100</xdr:row>
      <xdr:rowOff>139700</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78</xdr:col>
      <xdr:colOff>12700</xdr:colOff>
      <xdr:row>20</xdr:row>
      <xdr:rowOff>12700</xdr:rowOff>
    </xdr:from>
    <xdr:to>
      <xdr:col>85</xdr:col>
      <xdr:colOff>520700</xdr:colOff>
      <xdr:row>50</xdr:row>
      <xdr:rowOff>76200</xdr:rowOff>
    </xdr:to>
    <xdr:graphicFrame macro="">
      <xdr:nvGraphicFramePr>
        <xdr:cNvPr id="2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39</xdr:col>
      <xdr:colOff>19050</xdr:colOff>
      <xdr:row>3</xdr:row>
      <xdr:rowOff>12700</xdr:rowOff>
    </xdr:from>
    <xdr:to>
      <xdr:col>45</xdr:col>
      <xdr:colOff>469900</xdr:colOff>
      <xdr:row>19</xdr:row>
      <xdr:rowOff>63500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46</xdr:col>
      <xdr:colOff>12700</xdr:colOff>
      <xdr:row>15</xdr:row>
      <xdr:rowOff>12700</xdr:rowOff>
    </xdr:from>
    <xdr:to>
      <xdr:col>52</xdr:col>
      <xdr:colOff>400050</xdr:colOff>
      <xdr:row>31</xdr:row>
      <xdr:rowOff>63500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39</xdr:col>
      <xdr:colOff>0</xdr:colOff>
      <xdr:row>27</xdr:row>
      <xdr:rowOff>0</xdr:rowOff>
    </xdr:from>
    <xdr:to>
      <xdr:col>45</xdr:col>
      <xdr:colOff>450850</xdr:colOff>
      <xdr:row>43</xdr:row>
      <xdr:rowOff>50800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46</xdr:col>
      <xdr:colOff>0</xdr:colOff>
      <xdr:row>39</xdr:row>
      <xdr:rowOff>0</xdr:rowOff>
    </xdr:from>
    <xdr:to>
      <xdr:col>52</xdr:col>
      <xdr:colOff>387350</xdr:colOff>
      <xdr:row>55</xdr:row>
      <xdr:rowOff>50800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39</xdr:col>
      <xdr:colOff>0</xdr:colOff>
      <xdr:row>51</xdr:row>
      <xdr:rowOff>0</xdr:rowOff>
    </xdr:from>
    <xdr:to>
      <xdr:col>45</xdr:col>
      <xdr:colOff>450850</xdr:colOff>
      <xdr:row>67</xdr:row>
      <xdr:rowOff>50800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46</xdr:col>
      <xdr:colOff>0</xdr:colOff>
      <xdr:row>63</xdr:row>
      <xdr:rowOff>0</xdr:rowOff>
    </xdr:from>
    <xdr:to>
      <xdr:col>52</xdr:col>
      <xdr:colOff>387350</xdr:colOff>
      <xdr:row>79</xdr:row>
      <xdr:rowOff>50800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39</xdr:col>
      <xdr:colOff>0</xdr:colOff>
      <xdr:row>75</xdr:row>
      <xdr:rowOff>0</xdr:rowOff>
    </xdr:from>
    <xdr:to>
      <xdr:col>45</xdr:col>
      <xdr:colOff>450850</xdr:colOff>
      <xdr:row>91</xdr:row>
      <xdr:rowOff>76200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teve/Dropbox/SAVI%20Abuja%20dropbox%20filing%20tree/Prog%20QPRs/SAVI%20Programme%20QPR%20-%202015%20Q2/Results%20Evidence%20Sheet%20Tracker%200302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teve/Dropbox/SAVI%20Abuja%20dropbox%20filing%20tree/Prog%20QPRs/SAVI%20Programme%20QPR%20-%202015%20Q2/SAVI%20Xxxxx%20State%20M&amp;E%20Framework%20Jan%202015%20-%20template%20version%205.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teve/Dropbox/SAVI%20Abuja%20dropbox%20filing%20tree/Prog%20QPRs/SAVI%20Programme%20QPR%20-%202015%20Q2/SAVI%20Xxxxx%20State%20M&amp;E%20Framework%20Jan%202015%20-%20template%20version%205.1%20for%20target%20setting%20&amp;%20results%20analysi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_Status_Sheet"/>
      <sheetName val="Analysis"/>
      <sheetName val="Sheet1"/>
    </sheetNames>
    <sheetDataSet>
      <sheetData sheetId="0" refreshError="1"/>
      <sheetData sheetId="1" refreshError="1"/>
      <sheetData sheetId="2">
        <row r="1">
          <cell r="A1" t="str">
            <v>Yes</v>
          </cell>
        </row>
        <row r="2">
          <cell r="A2" t="str">
            <v>No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Logframe"/>
      <sheetName val="Workings"/>
      <sheetName val="Graphics"/>
      <sheetName val="Reference"/>
      <sheetName val="M&amp;E Plan"/>
      <sheetName val="Activities Report"/>
      <sheetName val="Replication Diary"/>
      <sheetName val="Results Analysis"/>
      <sheetName val="3.1"/>
      <sheetName val="3.2"/>
      <sheetName val="3.3"/>
      <sheetName val="M&amp;E Database"/>
      <sheetName val="QPR-Outcome (Q1)"/>
      <sheetName val="QPR-Outputs (Q1)"/>
      <sheetName val="AR Recommendations"/>
      <sheetName val="SMR1"/>
      <sheetName val="SMR2"/>
      <sheetName val="Feedback"/>
    </sheetNames>
    <sheetDataSet>
      <sheetData sheetId="0" refreshError="1"/>
      <sheetData sheetId="1">
        <row r="182">
          <cell r="B182" t="str">
            <v>Depth of SAVI and its local partners’ learning/approaches being taken up by other development partners (organisations).</v>
          </cell>
        </row>
        <row r="186">
          <cell r="D186" t="str">
            <v>SAVI ‘results / replication diaries’ kept by state, national and UK-based teams.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Logframe"/>
      <sheetName val="Workings"/>
      <sheetName val="Graphics"/>
      <sheetName val="Reference"/>
      <sheetName val="M&amp;E Plan"/>
      <sheetName val="Activities Report"/>
      <sheetName val="Replication Diary"/>
      <sheetName val="Results Analysis"/>
      <sheetName val="3.1"/>
      <sheetName val="3.2"/>
      <sheetName val="3.3"/>
      <sheetName val="M&amp;E Database"/>
      <sheetName val="QPR-Outcome (Q1)"/>
      <sheetName val="QPR-Outputs (Q1)"/>
      <sheetName val="AR Recommendations"/>
      <sheetName val="SMR1"/>
      <sheetName val="SMR2"/>
      <sheetName val="Feedback"/>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9.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0.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EDC02"/>
  </sheetPr>
  <dimension ref="A1:G86"/>
  <sheetViews>
    <sheetView workbookViewId="0">
      <selection activeCell="V136" sqref="V136"/>
    </sheetView>
  </sheetViews>
  <sheetFormatPr defaultColWidth="11.42578125" defaultRowHeight="12.75"/>
  <cols>
    <col min="1" max="1" width="25.85546875" style="809" customWidth="1"/>
    <col min="2" max="2" width="60.85546875" style="809" customWidth="1"/>
    <col min="3" max="16384" width="11.42578125" style="809"/>
  </cols>
  <sheetData>
    <row r="1" spans="1:7" ht="15.75">
      <c r="A1" s="812" t="s">
        <v>232</v>
      </c>
      <c r="B1" s="813"/>
      <c r="D1" s="814" t="s">
        <v>232</v>
      </c>
    </row>
    <row r="2" spans="1:7">
      <c r="A2" s="801"/>
      <c r="B2" s="801"/>
      <c r="D2" s="803" t="s">
        <v>273</v>
      </c>
    </row>
    <row r="3" spans="1:7">
      <c r="A3" s="801"/>
      <c r="B3" s="801"/>
      <c r="D3" s="803" t="s">
        <v>274</v>
      </c>
    </row>
    <row r="4" spans="1:7" s="802" customFormat="1">
      <c r="A4" s="800" t="s">
        <v>1407</v>
      </c>
      <c r="B4" s="801"/>
      <c r="D4" s="803" t="s">
        <v>275</v>
      </c>
    </row>
    <row r="5" spans="1:7" s="802" customFormat="1">
      <c r="A5" s="801"/>
      <c r="B5" s="801"/>
      <c r="D5" s="803" t="s">
        <v>276</v>
      </c>
    </row>
    <row r="6" spans="1:7" s="802" customFormat="1" ht="50.1" customHeight="1">
      <c r="A6" s="853" t="s">
        <v>1438</v>
      </c>
      <c r="B6" s="854"/>
      <c r="D6" s="803" t="s">
        <v>277</v>
      </c>
      <c r="G6" s="804"/>
    </row>
    <row r="7" spans="1:7" s="802" customFormat="1" ht="35.1" customHeight="1">
      <c r="A7" s="853" t="s">
        <v>1408</v>
      </c>
      <c r="B7" s="853"/>
      <c r="D7" s="803" t="s">
        <v>278</v>
      </c>
    </row>
    <row r="8" spans="1:7" s="802" customFormat="1" ht="35.1" customHeight="1">
      <c r="A8" s="853" t="s">
        <v>1409</v>
      </c>
      <c r="B8" s="854"/>
      <c r="D8" s="803" t="s">
        <v>279</v>
      </c>
    </row>
    <row r="9" spans="1:7" s="802" customFormat="1" ht="35.1" customHeight="1">
      <c r="A9" s="853" t="s">
        <v>1439</v>
      </c>
      <c r="B9" s="854"/>
      <c r="D9" s="803" t="s">
        <v>280</v>
      </c>
    </row>
    <row r="10" spans="1:7" s="802" customFormat="1" ht="35.1" customHeight="1">
      <c r="A10" s="853" t="s">
        <v>1410</v>
      </c>
      <c r="B10" s="854"/>
      <c r="D10" s="803" t="s">
        <v>281</v>
      </c>
    </row>
    <row r="11" spans="1:7" s="802" customFormat="1" ht="35.1" customHeight="1">
      <c r="A11" s="853" t="s">
        <v>1440</v>
      </c>
      <c r="B11" s="854"/>
      <c r="D11" s="803" t="s">
        <v>282</v>
      </c>
    </row>
    <row r="12" spans="1:7" s="802" customFormat="1" ht="35.1" customHeight="1">
      <c r="A12" s="853" t="s">
        <v>1441</v>
      </c>
      <c r="B12" s="853"/>
    </row>
    <row r="13" spans="1:7" s="802" customFormat="1" ht="35.1" customHeight="1">
      <c r="A13" s="853" t="s">
        <v>1411</v>
      </c>
      <c r="B13" s="853"/>
    </row>
    <row r="14" spans="1:7" s="802" customFormat="1" ht="35.1" customHeight="1">
      <c r="A14" s="853" t="s">
        <v>1412</v>
      </c>
      <c r="B14" s="853"/>
    </row>
    <row r="15" spans="1:7" s="802" customFormat="1">
      <c r="A15" s="801"/>
      <c r="B15" s="801"/>
    </row>
    <row r="16" spans="1:7" s="802" customFormat="1">
      <c r="A16" s="800" t="s">
        <v>1413</v>
      </c>
      <c r="B16" s="805"/>
    </row>
    <row r="17" spans="1:2" s="802" customFormat="1">
      <c r="A17" s="801"/>
      <c r="B17" s="801"/>
    </row>
    <row r="18" spans="1:2" s="802" customFormat="1" ht="35.1" customHeight="1">
      <c r="A18" s="806" t="s">
        <v>1414</v>
      </c>
      <c r="B18" s="807" t="s">
        <v>1415</v>
      </c>
    </row>
    <row r="19" spans="1:2" s="802" customFormat="1" ht="35.1" customHeight="1">
      <c r="A19" s="806" t="s">
        <v>1416</v>
      </c>
      <c r="B19" s="807" t="s">
        <v>1417</v>
      </c>
    </row>
    <row r="20" spans="1:2" s="802" customFormat="1" ht="35.1" customHeight="1">
      <c r="A20" s="806" t="s">
        <v>1418</v>
      </c>
      <c r="B20" s="807" t="s">
        <v>1419</v>
      </c>
    </row>
    <row r="21" spans="1:2" s="802" customFormat="1" ht="35.1" customHeight="1">
      <c r="A21" s="806" t="s">
        <v>1420</v>
      </c>
      <c r="B21" s="807" t="s">
        <v>1421</v>
      </c>
    </row>
    <row r="22" spans="1:2" s="802" customFormat="1" ht="35.1" customHeight="1">
      <c r="A22" s="806" t="s">
        <v>1422</v>
      </c>
      <c r="B22" s="807" t="s">
        <v>1423</v>
      </c>
    </row>
    <row r="23" spans="1:2" s="802" customFormat="1">
      <c r="A23" s="801"/>
      <c r="B23" s="801"/>
    </row>
    <row r="24" spans="1:2" s="802" customFormat="1">
      <c r="A24" s="800" t="s">
        <v>1424</v>
      </c>
      <c r="B24" s="801"/>
    </row>
    <row r="25" spans="1:2" s="802" customFormat="1">
      <c r="A25" s="801"/>
      <c r="B25" s="801"/>
    </row>
    <row r="26" spans="1:2" s="802" customFormat="1" ht="24.95" customHeight="1">
      <c r="A26" s="853" t="s">
        <v>1425</v>
      </c>
      <c r="B26" s="853"/>
    </row>
    <row r="27" spans="1:2" ht="399.95" customHeight="1">
      <c r="A27" s="808"/>
      <c r="B27" s="801"/>
    </row>
    <row r="28" spans="1:2" s="802" customFormat="1" ht="24.95" customHeight="1">
      <c r="A28" s="853" t="s">
        <v>1426</v>
      </c>
      <c r="B28" s="853"/>
    </row>
    <row r="29" spans="1:2" s="802" customFormat="1" ht="24.95" customHeight="1">
      <c r="A29" s="853" t="s">
        <v>1427</v>
      </c>
      <c r="B29" s="853"/>
    </row>
    <row r="30" spans="1:2" s="802" customFormat="1" ht="35.1" customHeight="1">
      <c r="A30" s="853" t="s">
        <v>1428</v>
      </c>
      <c r="B30" s="853"/>
    </row>
    <row r="31" spans="1:2" s="802" customFormat="1" ht="35.1" customHeight="1">
      <c r="A31" s="853" t="s">
        <v>1429</v>
      </c>
      <c r="B31" s="853"/>
    </row>
    <row r="32" spans="1:2" s="802" customFormat="1" ht="35.1" customHeight="1">
      <c r="A32" s="853" t="s">
        <v>1430</v>
      </c>
      <c r="B32" s="853"/>
    </row>
    <row r="33" spans="1:3">
      <c r="A33" s="801"/>
      <c r="B33" s="801"/>
    </row>
    <row r="34" spans="1:3">
      <c r="A34" s="800" t="s">
        <v>1431</v>
      </c>
      <c r="B34" s="801"/>
    </row>
    <row r="35" spans="1:3">
      <c r="A35" s="801"/>
      <c r="B35" s="801"/>
    </row>
    <row r="36" spans="1:3" ht="45" customHeight="1">
      <c r="A36" s="808" t="s">
        <v>1443</v>
      </c>
      <c r="B36" s="818" t="s">
        <v>1435</v>
      </c>
      <c r="C36" s="810"/>
    </row>
    <row r="37" spans="1:3" ht="60" customHeight="1">
      <c r="A37" s="808" t="s">
        <v>1444</v>
      </c>
      <c r="B37" s="818" t="s">
        <v>1436</v>
      </c>
      <c r="C37" s="810"/>
    </row>
    <row r="38" spans="1:3" ht="45" customHeight="1">
      <c r="A38" s="808" t="s">
        <v>1445</v>
      </c>
      <c r="B38" s="818" t="s">
        <v>1434</v>
      </c>
      <c r="C38" s="810"/>
    </row>
    <row r="39" spans="1:3" ht="30" customHeight="1">
      <c r="A39" s="808" t="s">
        <v>1446</v>
      </c>
      <c r="B39" s="818" t="s">
        <v>1432</v>
      </c>
      <c r="C39" s="810"/>
    </row>
    <row r="40" spans="1:3" ht="30" customHeight="1">
      <c r="A40" s="808" t="s">
        <v>1447</v>
      </c>
      <c r="B40" s="818" t="s">
        <v>1432</v>
      </c>
      <c r="C40" s="810"/>
    </row>
    <row r="41" spans="1:3" ht="30" customHeight="1">
      <c r="A41" s="808" t="s">
        <v>1448</v>
      </c>
      <c r="B41" s="818" t="s">
        <v>1432</v>
      </c>
      <c r="C41" s="810"/>
    </row>
    <row r="42" spans="1:3" ht="30" customHeight="1">
      <c r="A42" s="808" t="s">
        <v>1442</v>
      </c>
      <c r="B42" s="818" t="s">
        <v>1432</v>
      </c>
      <c r="C42" s="810"/>
    </row>
    <row r="43" spans="1:3" ht="30" customHeight="1">
      <c r="A43" s="808" t="s">
        <v>1486</v>
      </c>
      <c r="B43" s="818" t="s">
        <v>1432</v>
      </c>
      <c r="C43" s="810"/>
    </row>
    <row r="44" spans="1:3" ht="30" customHeight="1">
      <c r="A44" s="808" t="s">
        <v>1449</v>
      </c>
      <c r="B44" s="818" t="s">
        <v>1432</v>
      </c>
      <c r="C44" s="810"/>
    </row>
    <row r="45" spans="1:3" ht="30" customHeight="1">
      <c r="A45" s="808" t="s">
        <v>1450</v>
      </c>
      <c r="B45" s="818" t="s">
        <v>1432</v>
      </c>
      <c r="C45" s="810"/>
    </row>
    <row r="46" spans="1:3" ht="30" customHeight="1">
      <c r="A46" s="808" t="s">
        <v>1451</v>
      </c>
      <c r="B46" s="818" t="s">
        <v>1432</v>
      </c>
      <c r="C46" s="810"/>
    </row>
    <row r="47" spans="1:3" ht="30" customHeight="1">
      <c r="A47" s="808" t="s">
        <v>1452</v>
      </c>
      <c r="B47" s="818" t="s">
        <v>1432</v>
      </c>
      <c r="C47" s="810"/>
    </row>
    <row r="48" spans="1:3" ht="30" customHeight="1">
      <c r="A48" s="808" t="s">
        <v>1453</v>
      </c>
      <c r="B48" s="818" t="s">
        <v>1432</v>
      </c>
      <c r="C48" s="810"/>
    </row>
    <row r="49" spans="1:5" ht="30" customHeight="1">
      <c r="A49" s="808" t="s">
        <v>1454</v>
      </c>
      <c r="B49" s="818" t="s">
        <v>1432</v>
      </c>
      <c r="C49" s="810"/>
    </row>
    <row r="50" spans="1:5" ht="30" customHeight="1">
      <c r="A50" s="808" t="s">
        <v>1455</v>
      </c>
      <c r="B50" s="818" t="s">
        <v>1432</v>
      </c>
      <c r="C50" s="810"/>
    </row>
    <row r="51" spans="1:5" ht="30" customHeight="1">
      <c r="A51" s="808" t="s">
        <v>1456</v>
      </c>
      <c r="B51" s="818" t="s">
        <v>1432</v>
      </c>
      <c r="C51" s="810"/>
    </row>
    <row r="52" spans="1:5" ht="30" customHeight="1">
      <c r="A52" s="808" t="s">
        <v>1457</v>
      </c>
      <c r="B52" s="818" t="s">
        <v>1432</v>
      </c>
      <c r="C52" s="810"/>
    </row>
    <row r="53" spans="1:5" ht="30" customHeight="1">
      <c r="A53" s="808" t="s">
        <v>1458</v>
      </c>
      <c r="B53" s="818" t="s">
        <v>1432</v>
      </c>
      <c r="C53" s="810"/>
    </row>
    <row r="54" spans="1:5" ht="30" customHeight="1">
      <c r="A54" s="808" t="s">
        <v>1459</v>
      </c>
      <c r="B54" s="818" t="s">
        <v>1432</v>
      </c>
      <c r="C54" s="810"/>
    </row>
    <row r="55" spans="1:5" ht="30" customHeight="1">
      <c r="A55" s="808" t="s">
        <v>1460</v>
      </c>
      <c r="B55" s="818" t="s">
        <v>1432</v>
      </c>
      <c r="C55" s="810"/>
    </row>
    <row r="56" spans="1:5" ht="30" customHeight="1">
      <c r="A56" s="808" t="s">
        <v>1461</v>
      </c>
      <c r="B56" s="818" t="s">
        <v>1432</v>
      </c>
      <c r="C56" s="810"/>
    </row>
    <row r="57" spans="1:5" ht="30" customHeight="1">
      <c r="A57" s="808" t="s">
        <v>1462</v>
      </c>
      <c r="B57" s="818" t="s">
        <v>1432</v>
      </c>
      <c r="C57" s="810"/>
    </row>
    <row r="58" spans="1:5" ht="30" customHeight="1">
      <c r="A58" s="808" t="s">
        <v>1463</v>
      </c>
      <c r="B58" s="818" t="s">
        <v>1432</v>
      </c>
      <c r="C58" s="810"/>
    </row>
    <row r="59" spans="1:5" ht="30" customHeight="1">
      <c r="A59" s="808" t="s">
        <v>1464</v>
      </c>
      <c r="B59" s="818" t="s">
        <v>1432</v>
      </c>
      <c r="C59" s="810"/>
    </row>
    <row r="60" spans="1:5" ht="45" customHeight="1">
      <c r="A60" s="808" t="s">
        <v>1465</v>
      </c>
      <c r="B60" s="818" t="s">
        <v>1433</v>
      </c>
      <c r="C60" s="810"/>
      <c r="E60" s="811"/>
    </row>
    <row r="61" spans="1:5" ht="45" customHeight="1">
      <c r="A61" s="808" t="s">
        <v>1466</v>
      </c>
      <c r="B61" s="818" t="s">
        <v>1433</v>
      </c>
      <c r="C61" s="810"/>
      <c r="E61" s="811"/>
    </row>
    <row r="62" spans="1:5" ht="45" customHeight="1">
      <c r="A62" s="808" t="s">
        <v>1467</v>
      </c>
      <c r="B62" s="818" t="s">
        <v>1433</v>
      </c>
      <c r="C62" s="810"/>
      <c r="E62" s="811"/>
    </row>
    <row r="63" spans="1:5" ht="45" customHeight="1">
      <c r="A63" s="808" t="s">
        <v>1468</v>
      </c>
      <c r="B63" s="818" t="s">
        <v>1433</v>
      </c>
      <c r="C63" s="810"/>
      <c r="E63" s="811"/>
    </row>
    <row r="64" spans="1:5" ht="45" customHeight="1">
      <c r="A64" s="808" t="s">
        <v>1469</v>
      </c>
      <c r="B64" s="818" t="s">
        <v>1433</v>
      </c>
      <c r="C64" s="810"/>
      <c r="E64" s="811"/>
    </row>
    <row r="65" spans="1:5" ht="45" customHeight="1">
      <c r="A65" s="808" t="s">
        <v>1475</v>
      </c>
      <c r="B65" s="818" t="s">
        <v>1433</v>
      </c>
      <c r="C65" s="810"/>
      <c r="E65" s="811"/>
    </row>
    <row r="66" spans="1:5" ht="45" customHeight="1">
      <c r="A66" s="808" t="s">
        <v>1470</v>
      </c>
      <c r="B66" s="818" t="s">
        <v>1433</v>
      </c>
      <c r="C66" s="810"/>
      <c r="E66" s="811"/>
    </row>
    <row r="67" spans="1:5" ht="45" customHeight="1">
      <c r="A67" s="808" t="s">
        <v>1471</v>
      </c>
      <c r="B67" s="818" t="s">
        <v>1433</v>
      </c>
      <c r="C67" s="810"/>
      <c r="E67" s="811"/>
    </row>
    <row r="68" spans="1:5" ht="45" customHeight="1">
      <c r="A68" s="808" t="s">
        <v>1472</v>
      </c>
      <c r="B68" s="818" t="s">
        <v>1433</v>
      </c>
      <c r="C68" s="810"/>
      <c r="E68" s="811"/>
    </row>
    <row r="69" spans="1:5" ht="45" customHeight="1">
      <c r="A69" s="808" t="s">
        <v>1476</v>
      </c>
      <c r="B69" s="818" t="s">
        <v>1433</v>
      </c>
      <c r="C69" s="810"/>
      <c r="E69" s="811"/>
    </row>
    <row r="70" spans="1:5" ht="45" customHeight="1">
      <c r="A70" s="808" t="s">
        <v>1473</v>
      </c>
      <c r="B70" s="818" t="s">
        <v>1433</v>
      </c>
      <c r="C70" s="810"/>
      <c r="E70" s="811"/>
    </row>
    <row r="71" spans="1:5" ht="45" customHeight="1">
      <c r="A71" s="808" t="s">
        <v>1474</v>
      </c>
      <c r="B71" s="818" t="s">
        <v>1433</v>
      </c>
      <c r="C71" s="810"/>
      <c r="E71" s="811"/>
    </row>
    <row r="72" spans="1:5" ht="45" customHeight="1">
      <c r="A72" s="808" t="s">
        <v>1477</v>
      </c>
      <c r="B72" s="818" t="s">
        <v>1433</v>
      </c>
      <c r="C72" s="810"/>
      <c r="E72" s="811"/>
    </row>
    <row r="73" spans="1:5" ht="45" customHeight="1">
      <c r="A73" s="808" t="s">
        <v>1478</v>
      </c>
      <c r="B73" s="818" t="s">
        <v>1433</v>
      </c>
      <c r="C73" s="810"/>
      <c r="E73" s="811"/>
    </row>
    <row r="74" spans="1:5" ht="90" customHeight="1">
      <c r="A74" s="808" t="s">
        <v>1479</v>
      </c>
      <c r="B74" s="818" t="s">
        <v>1437</v>
      </c>
      <c r="C74" s="810"/>
    </row>
    <row r="75" spans="1:5" ht="45" customHeight="1">
      <c r="A75" s="808" t="s">
        <v>1480</v>
      </c>
      <c r="B75" s="818" t="s">
        <v>1433</v>
      </c>
      <c r="C75" s="810"/>
      <c r="E75" s="811"/>
    </row>
    <row r="76" spans="1:5" ht="45" customHeight="1">
      <c r="A76" s="808" t="s">
        <v>1481</v>
      </c>
      <c r="B76" s="818" t="s">
        <v>1433</v>
      </c>
      <c r="C76" s="810"/>
      <c r="E76" s="811"/>
    </row>
    <row r="77" spans="1:5" ht="45" customHeight="1">
      <c r="A77" s="808" t="s">
        <v>1482</v>
      </c>
      <c r="B77" s="818" t="s">
        <v>1433</v>
      </c>
      <c r="C77" s="810"/>
      <c r="E77" s="811"/>
    </row>
    <row r="78" spans="1:5" ht="45" customHeight="1">
      <c r="A78" s="808" t="s">
        <v>1483</v>
      </c>
      <c r="B78" s="818" t="s">
        <v>748</v>
      </c>
      <c r="C78" s="810"/>
    </row>
    <row r="79" spans="1:5" ht="45" customHeight="1">
      <c r="A79" s="808" t="s">
        <v>1484</v>
      </c>
      <c r="B79" s="818" t="s">
        <v>748</v>
      </c>
      <c r="C79" s="810"/>
    </row>
    <row r="80" spans="1:5" ht="45" customHeight="1">
      <c r="A80" s="808" t="s">
        <v>1485</v>
      </c>
      <c r="B80" s="818" t="s">
        <v>748</v>
      </c>
      <c r="C80" s="810"/>
    </row>
    <row r="81" spans="1:2">
      <c r="A81" s="815"/>
    </row>
    <row r="83" spans="1:2">
      <c r="A83" s="816"/>
      <c r="B83" s="817"/>
    </row>
    <row r="84" spans="1:2">
      <c r="A84" s="816"/>
      <c r="B84" s="816"/>
    </row>
    <row r="86" spans="1:2">
      <c r="A86" s="811"/>
    </row>
  </sheetData>
  <sheetProtection password="CF55" sheet="1" objects="1" scenarios="1"/>
  <mergeCells count="15">
    <mergeCell ref="A11:B11"/>
    <mergeCell ref="A6:B6"/>
    <mergeCell ref="A7:B7"/>
    <mergeCell ref="A8:B8"/>
    <mergeCell ref="A9:B9"/>
    <mergeCell ref="A10:B10"/>
    <mergeCell ref="A30:B30"/>
    <mergeCell ref="A31:B31"/>
    <mergeCell ref="A32:B32"/>
    <mergeCell ref="A12:B12"/>
    <mergeCell ref="A13:B13"/>
    <mergeCell ref="A14:B14"/>
    <mergeCell ref="A26:B26"/>
    <mergeCell ref="A28:B28"/>
    <mergeCell ref="A29:B29"/>
  </mergeCells>
  <dataValidations count="1">
    <dataValidation type="list" allowBlank="1" showInputMessage="1" showErrorMessage="1" sqref="A1">
      <formula1>$D$1:$D$11</formula1>
    </dataValidation>
  </dataValidations>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pageSetUpPr fitToPage="1"/>
  </sheetPr>
  <dimension ref="A1:X649"/>
  <sheetViews>
    <sheetView workbookViewId="0">
      <pane xSplit="3" topLeftCell="I1" activePane="topRight" state="frozen"/>
      <selection activeCell="AG595" sqref="AG595"/>
      <selection pane="topRight" activeCell="T22" sqref="T22:W22"/>
    </sheetView>
  </sheetViews>
  <sheetFormatPr defaultColWidth="8.85546875" defaultRowHeight="12.75"/>
  <cols>
    <col min="1" max="1" width="20.85546875" style="4" customWidth="1"/>
    <col min="2" max="2" width="40.85546875" style="4" customWidth="1"/>
    <col min="3" max="3" width="15.85546875" style="27" customWidth="1"/>
    <col min="4" max="23" width="5.85546875" style="4" customWidth="1"/>
    <col min="24" max="24" width="30.85546875" style="4" customWidth="1"/>
    <col min="25" max="16384" width="8.85546875" style="4"/>
  </cols>
  <sheetData>
    <row r="1" spans="1:24" s="67" customFormat="1" ht="32.25" thickBot="1">
      <c r="A1" s="3" t="s">
        <v>0</v>
      </c>
      <c r="B1" s="64" t="s">
        <v>231</v>
      </c>
      <c r="C1" s="65" t="s">
        <v>270</v>
      </c>
      <c r="D1" s="65"/>
      <c r="E1" s="65"/>
      <c r="F1" s="65"/>
      <c r="G1" s="65"/>
      <c r="H1" s="65"/>
      <c r="I1" s="65"/>
      <c r="J1" s="65"/>
      <c r="K1" s="65"/>
      <c r="L1" s="65"/>
      <c r="M1" s="65"/>
      <c r="N1" s="65"/>
      <c r="O1" s="65"/>
      <c r="P1" s="65"/>
      <c r="Q1" s="65"/>
      <c r="R1" s="65"/>
      <c r="S1" s="65"/>
      <c r="T1" s="65"/>
      <c r="U1" s="65"/>
      <c r="V1" s="65"/>
      <c r="W1" s="65"/>
      <c r="X1" s="66"/>
    </row>
    <row r="2" spans="1:24">
      <c r="A2" s="5"/>
      <c r="B2" s="5"/>
      <c r="C2" s="6"/>
      <c r="D2" s="5"/>
      <c r="E2" s="5"/>
      <c r="F2" s="5"/>
      <c r="G2" s="5"/>
      <c r="H2" s="5"/>
      <c r="I2" s="5"/>
      <c r="J2" s="5"/>
      <c r="K2" s="5"/>
      <c r="L2" s="5"/>
      <c r="M2" s="5"/>
      <c r="N2" s="5"/>
      <c r="O2" s="5"/>
      <c r="P2" s="5"/>
      <c r="Q2" s="5"/>
      <c r="R2" s="5"/>
      <c r="S2" s="5"/>
      <c r="T2" s="5"/>
      <c r="U2" s="5"/>
      <c r="V2" s="5"/>
      <c r="W2" s="5"/>
      <c r="X2" s="5"/>
    </row>
    <row r="3" spans="1:24" ht="13.5" thickBot="1">
      <c r="A3" s="5"/>
      <c r="B3" s="5"/>
      <c r="C3" s="6"/>
      <c r="D3" s="5"/>
      <c r="E3" s="5"/>
      <c r="F3" s="5"/>
      <c r="G3" s="5"/>
      <c r="H3" s="5"/>
      <c r="I3" s="5"/>
      <c r="J3" s="5"/>
      <c r="K3" s="5"/>
      <c r="L3" s="5"/>
      <c r="M3" s="5"/>
      <c r="N3" s="5"/>
      <c r="O3" s="5"/>
      <c r="P3" s="5"/>
      <c r="Q3" s="5"/>
      <c r="R3" s="5"/>
      <c r="S3" s="5"/>
      <c r="T3" s="5"/>
      <c r="U3" s="5"/>
      <c r="V3" s="5"/>
      <c r="W3" s="5"/>
      <c r="X3" s="5"/>
    </row>
    <row r="4" spans="1:24" ht="13.5" thickBot="1">
      <c r="A4" s="513" t="s">
        <v>50</v>
      </c>
      <c r="B4" s="514" t="s">
        <v>51</v>
      </c>
      <c r="C4" s="8"/>
      <c r="D4" s="927" t="s">
        <v>79</v>
      </c>
      <c r="E4" s="928"/>
      <c r="F4" s="928"/>
      <c r="G4" s="929"/>
      <c r="H4" s="927" t="s">
        <v>80</v>
      </c>
      <c r="I4" s="928"/>
      <c r="J4" s="928"/>
      <c r="K4" s="929"/>
      <c r="L4" s="927" t="s">
        <v>81</v>
      </c>
      <c r="M4" s="928"/>
      <c r="N4" s="928"/>
      <c r="O4" s="929"/>
      <c r="P4" s="927" t="s">
        <v>254</v>
      </c>
      <c r="Q4" s="928"/>
      <c r="R4" s="928"/>
      <c r="S4" s="929"/>
      <c r="T4" s="927" t="s">
        <v>76</v>
      </c>
      <c r="U4" s="928"/>
      <c r="V4" s="928"/>
      <c r="W4" s="929"/>
      <c r="X4" s="991"/>
    </row>
    <row r="5" spans="1:24" ht="13.5" thickBot="1">
      <c r="A5" s="868" t="s">
        <v>43</v>
      </c>
      <c r="B5" s="868" t="s">
        <v>46</v>
      </c>
      <c r="C5" s="9" t="s">
        <v>2</v>
      </c>
      <c r="D5" s="983" t="s">
        <v>82</v>
      </c>
      <c r="E5" s="984"/>
      <c r="F5" s="984"/>
      <c r="G5" s="984"/>
      <c r="H5" s="984"/>
      <c r="I5" s="984"/>
      <c r="J5" s="984"/>
      <c r="K5" s="984"/>
      <c r="L5" s="984"/>
      <c r="M5" s="984"/>
      <c r="N5" s="984"/>
      <c r="O5" s="984"/>
      <c r="P5" s="984"/>
      <c r="Q5" s="984"/>
      <c r="R5" s="984"/>
      <c r="S5" s="984"/>
      <c r="T5" s="984"/>
      <c r="U5" s="984"/>
      <c r="V5" s="984"/>
      <c r="W5" s="985"/>
      <c r="X5" s="992"/>
    </row>
    <row r="6" spans="1:24" ht="13.5" thickBot="1">
      <c r="A6" s="885"/>
      <c r="B6" s="885"/>
      <c r="C6" s="10" t="s">
        <v>3</v>
      </c>
      <c r="D6" s="986"/>
      <c r="E6" s="987"/>
      <c r="F6" s="987"/>
      <c r="G6" s="987"/>
      <c r="H6" s="987"/>
      <c r="I6" s="987"/>
      <c r="J6" s="987"/>
      <c r="K6" s="987"/>
      <c r="L6" s="987"/>
      <c r="M6" s="987"/>
      <c r="N6" s="987"/>
      <c r="O6" s="987"/>
      <c r="P6" s="987"/>
      <c r="Q6" s="987"/>
      <c r="R6" s="987"/>
      <c r="S6" s="987"/>
      <c r="T6" s="987"/>
      <c r="U6" s="987"/>
      <c r="V6" s="987"/>
      <c r="W6" s="988"/>
      <c r="X6" s="992"/>
    </row>
    <row r="7" spans="1:24" ht="13.5" thickBot="1">
      <c r="A7" s="885"/>
      <c r="B7" s="885"/>
      <c r="C7" s="922" t="s">
        <v>413</v>
      </c>
      <c r="D7" s="989" t="s">
        <v>4</v>
      </c>
      <c r="E7" s="990"/>
      <c r="F7" s="990"/>
      <c r="G7" s="990"/>
      <c r="H7" s="990"/>
      <c r="I7" s="990"/>
      <c r="J7" s="990"/>
      <c r="K7" s="990"/>
      <c r="L7" s="990"/>
      <c r="M7" s="990"/>
      <c r="N7" s="990"/>
      <c r="O7" s="990"/>
      <c r="P7" s="990"/>
      <c r="Q7" s="990"/>
      <c r="R7" s="990"/>
      <c r="S7" s="990"/>
      <c r="T7" s="990"/>
      <c r="U7" s="990"/>
      <c r="V7" s="990"/>
      <c r="W7" s="990"/>
      <c r="X7" s="992"/>
    </row>
    <row r="8" spans="1:24" ht="13.5" thickBot="1">
      <c r="A8" s="885"/>
      <c r="B8" s="869"/>
      <c r="C8" s="923"/>
      <c r="D8" s="930" t="s">
        <v>85</v>
      </c>
      <c r="E8" s="931"/>
      <c r="F8" s="931"/>
      <c r="G8" s="931"/>
      <c r="H8" s="931"/>
      <c r="I8" s="931"/>
      <c r="J8" s="931"/>
      <c r="K8" s="931"/>
      <c r="L8" s="931"/>
      <c r="M8" s="931"/>
      <c r="N8" s="931"/>
      <c r="O8" s="931"/>
      <c r="P8" s="931"/>
      <c r="Q8" s="931"/>
      <c r="R8" s="931"/>
      <c r="S8" s="931"/>
      <c r="T8" s="931"/>
      <c r="U8" s="931"/>
      <c r="V8" s="931"/>
      <c r="W8" s="932"/>
      <c r="X8" s="992"/>
    </row>
    <row r="9" spans="1:24" ht="13.5" thickBot="1">
      <c r="A9" s="885"/>
      <c r="B9" s="11" t="s">
        <v>52</v>
      </c>
      <c r="C9" s="12"/>
      <c r="D9" s="927" t="s">
        <v>79</v>
      </c>
      <c r="E9" s="928"/>
      <c r="F9" s="928"/>
      <c r="G9" s="929"/>
      <c r="H9" s="927" t="s">
        <v>80</v>
      </c>
      <c r="I9" s="928"/>
      <c r="J9" s="928"/>
      <c r="K9" s="929"/>
      <c r="L9" s="927" t="s">
        <v>81</v>
      </c>
      <c r="M9" s="928"/>
      <c r="N9" s="928"/>
      <c r="O9" s="929"/>
      <c r="P9" s="927" t="s">
        <v>254</v>
      </c>
      <c r="Q9" s="928"/>
      <c r="R9" s="928"/>
      <c r="S9" s="929"/>
      <c r="T9" s="927" t="s">
        <v>76</v>
      </c>
      <c r="U9" s="928"/>
      <c r="V9" s="928"/>
      <c r="W9" s="929"/>
      <c r="X9" s="992"/>
    </row>
    <row r="10" spans="1:24" ht="35.1" customHeight="1" thickBot="1">
      <c r="A10" s="885"/>
      <c r="B10" s="868" t="s">
        <v>45</v>
      </c>
      <c r="C10" s="13" t="s">
        <v>2</v>
      </c>
      <c r="D10" s="930" t="s">
        <v>86</v>
      </c>
      <c r="E10" s="931"/>
      <c r="F10" s="931"/>
      <c r="G10" s="931"/>
      <c r="H10" s="931"/>
      <c r="I10" s="931"/>
      <c r="J10" s="931"/>
      <c r="K10" s="931"/>
      <c r="L10" s="931"/>
      <c r="M10" s="931"/>
      <c r="N10" s="931"/>
      <c r="O10" s="931"/>
      <c r="P10" s="931"/>
      <c r="Q10" s="931"/>
      <c r="R10" s="931"/>
      <c r="S10" s="931"/>
      <c r="T10" s="931"/>
      <c r="U10" s="931"/>
      <c r="V10" s="931"/>
      <c r="W10" s="932"/>
      <c r="X10" s="992"/>
    </row>
    <row r="11" spans="1:24" ht="13.5" thickBot="1">
      <c r="A11" s="885"/>
      <c r="B11" s="885"/>
      <c r="C11" s="10" t="s">
        <v>3</v>
      </c>
      <c r="D11" s="986"/>
      <c r="E11" s="987"/>
      <c r="F11" s="987"/>
      <c r="G11" s="987"/>
      <c r="H11" s="987"/>
      <c r="I11" s="987"/>
      <c r="J11" s="987"/>
      <c r="K11" s="987"/>
      <c r="L11" s="987"/>
      <c r="M11" s="987"/>
      <c r="N11" s="987"/>
      <c r="O11" s="987"/>
      <c r="P11" s="987"/>
      <c r="Q11" s="987"/>
      <c r="R11" s="987"/>
      <c r="S11" s="987"/>
      <c r="T11" s="987"/>
      <c r="U11" s="987"/>
      <c r="V11" s="987"/>
      <c r="W11" s="988"/>
      <c r="X11" s="992"/>
    </row>
    <row r="12" spans="1:24" ht="13.5" thickBot="1">
      <c r="A12" s="885"/>
      <c r="B12" s="885"/>
      <c r="C12" s="922" t="s">
        <v>413</v>
      </c>
      <c r="D12" s="927" t="s">
        <v>4</v>
      </c>
      <c r="E12" s="928"/>
      <c r="F12" s="928"/>
      <c r="G12" s="928"/>
      <c r="H12" s="928"/>
      <c r="I12" s="928"/>
      <c r="J12" s="928"/>
      <c r="K12" s="928"/>
      <c r="L12" s="928"/>
      <c r="M12" s="928"/>
      <c r="N12" s="928"/>
      <c r="O12" s="928"/>
      <c r="P12" s="928"/>
      <c r="Q12" s="928"/>
      <c r="R12" s="928"/>
      <c r="S12" s="928"/>
      <c r="T12" s="928"/>
      <c r="U12" s="928"/>
      <c r="V12" s="928"/>
      <c r="W12" s="928"/>
      <c r="X12" s="992"/>
    </row>
    <row r="13" spans="1:24" ht="24" customHeight="1" thickBot="1">
      <c r="A13" s="885"/>
      <c r="B13" s="869"/>
      <c r="C13" s="923"/>
      <c r="D13" s="930" t="s">
        <v>87</v>
      </c>
      <c r="E13" s="931"/>
      <c r="F13" s="931"/>
      <c r="G13" s="931"/>
      <c r="H13" s="931"/>
      <c r="I13" s="931"/>
      <c r="J13" s="931"/>
      <c r="K13" s="931"/>
      <c r="L13" s="931"/>
      <c r="M13" s="931"/>
      <c r="N13" s="931"/>
      <c r="O13" s="931"/>
      <c r="P13" s="931"/>
      <c r="Q13" s="931"/>
      <c r="R13" s="931"/>
      <c r="S13" s="931"/>
      <c r="T13" s="931"/>
      <c r="U13" s="931"/>
      <c r="V13" s="931"/>
      <c r="W13" s="932"/>
      <c r="X13" s="992"/>
    </row>
    <row r="14" spans="1:24" ht="13.5" thickBot="1">
      <c r="A14" s="885"/>
      <c r="B14" s="11" t="s">
        <v>53</v>
      </c>
      <c r="C14" s="12"/>
      <c r="D14" s="927" t="s">
        <v>79</v>
      </c>
      <c r="E14" s="928"/>
      <c r="F14" s="928"/>
      <c r="G14" s="929"/>
      <c r="H14" s="927" t="s">
        <v>80</v>
      </c>
      <c r="I14" s="928"/>
      <c r="J14" s="928"/>
      <c r="K14" s="929"/>
      <c r="L14" s="927" t="s">
        <v>81</v>
      </c>
      <c r="M14" s="928"/>
      <c r="N14" s="928"/>
      <c r="O14" s="929"/>
      <c r="P14" s="927" t="s">
        <v>254</v>
      </c>
      <c r="Q14" s="928"/>
      <c r="R14" s="928"/>
      <c r="S14" s="929"/>
      <c r="T14" s="927" t="s">
        <v>76</v>
      </c>
      <c r="U14" s="928"/>
      <c r="V14" s="928"/>
      <c r="W14" s="929"/>
      <c r="X14" s="992"/>
    </row>
    <row r="15" spans="1:24" ht="13.5" thickBot="1">
      <c r="A15" s="885"/>
      <c r="B15" s="868" t="s">
        <v>44</v>
      </c>
      <c r="C15" s="9" t="s">
        <v>2</v>
      </c>
      <c r="D15" s="930" t="s">
        <v>83</v>
      </c>
      <c r="E15" s="931"/>
      <c r="F15" s="931"/>
      <c r="G15" s="931"/>
      <c r="H15" s="931"/>
      <c r="I15" s="931"/>
      <c r="J15" s="931"/>
      <c r="K15" s="931"/>
      <c r="L15" s="931"/>
      <c r="M15" s="931"/>
      <c r="N15" s="931"/>
      <c r="O15" s="931"/>
      <c r="P15" s="931"/>
      <c r="Q15" s="931"/>
      <c r="R15" s="931"/>
      <c r="S15" s="931"/>
      <c r="T15" s="931"/>
      <c r="U15" s="931"/>
      <c r="V15" s="931"/>
      <c r="W15" s="932"/>
      <c r="X15" s="992"/>
    </row>
    <row r="16" spans="1:24" ht="13.5" thickBot="1">
      <c r="A16" s="885"/>
      <c r="B16" s="885"/>
      <c r="C16" s="10" t="s">
        <v>3</v>
      </c>
      <c r="D16" s="986"/>
      <c r="E16" s="987"/>
      <c r="F16" s="987"/>
      <c r="G16" s="987"/>
      <c r="H16" s="987"/>
      <c r="I16" s="987"/>
      <c r="J16" s="987"/>
      <c r="K16" s="987"/>
      <c r="L16" s="987"/>
      <c r="M16" s="987"/>
      <c r="N16" s="987"/>
      <c r="O16" s="987"/>
      <c r="P16" s="987"/>
      <c r="Q16" s="987"/>
      <c r="R16" s="987"/>
      <c r="S16" s="987"/>
      <c r="T16" s="987"/>
      <c r="U16" s="987"/>
      <c r="V16" s="987"/>
      <c r="W16" s="988"/>
      <c r="X16" s="992"/>
    </row>
    <row r="17" spans="1:24" ht="13.5" thickBot="1">
      <c r="A17" s="885"/>
      <c r="B17" s="885"/>
      <c r="C17" s="922" t="s">
        <v>413</v>
      </c>
      <c r="D17" s="989" t="s">
        <v>4</v>
      </c>
      <c r="E17" s="990"/>
      <c r="F17" s="990"/>
      <c r="G17" s="990"/>
      <c r="H17" s="990"/>
      <c r="I17" s="990"/>
      <c r="J17" s="990"/>
      <c r="K17" s="990"/>
      <c r="L17" s="990"/>
      <c r="M17" s="990"/>
      <c r="N17" s="990"/>
      <c r="O17" s="990"/>
      <c r="P17" s="990"/>
      <c r="Q17" s="990"/>
      <c r="R17" s="990"/>
      <c r="S17" s="990"/>
      <c r="T17" s="990"/>
      <c r="U17" s="990"/>
      <c r="V17" s="990"/>
      <c r="W17" s="990"/>
      <c r="X17" s="992"/>
    </row>
    <row r="18" spans="1:24" ht="13.5" thickBot="1">
      <c r="A18" s="869"/>
      <c r="B18" s="869"/>
      <c r="C18" s="923"/>
      <c r="D18" s="930" t="s">
        <v>84</v>
      </c>
      <c r="E18" s="931"/>
      <c r="F18" s="931"/>
      <c r="G18" s="931"/>
      <c r="H18" s="931"/>
      <c r="I18" s="931"/>
      <c r="J18" s="931"/>
      <c r="K18" s="931"/>
      <c r="L18" s="931"/>
      <c r="M18" s="931"/>
      <c r="N18" s="931"/>
      <c r="O18" s="931"/>
      <c r="P18" s="931"/>
      <c r="Q18" s="931"/>
      <c r="R18" s="931"/>
      <c r="S18" s="931"/>
      <c r="T18" s="931"/>
      <c r="U18" s="931"/>
      <c r="V18" s="931"/>
      <c r="W18" s="932"/>
      <c r="X18" s="993"/>
    </row>
    <row r="19" spans="1:24">
      <c r="A19" s="5"/>
      <c r="B19" s="5"/>
      <c r="C19" s="14"/>
      <c r="D19" s="5"/>
      <c r="E19" s="5"/>
      <c r="F19" s="5"/>
      <c r="G19" s="5"/>
      <c r="H19" s="5"/>
      <c r="I19" s="5"/>
      <c r="J19" s="5"/>
      <c r="K19" s="5"/>
      <c r="L19" s="5"/>
      <c r="M19" s="5"/>
      <c r="N19" s="5"/>
      <c r="O19" s="5"/>
      <c r="P19" s="5"/>
      <c r="Q19" s="5"/>
      <c r="R19" s="5"/>
      <c r="S19" s="5"/>
      <c r="T19" s="5"/>
      <c r="U19" s="5"/>
      <c r="V19" s="5"/>
      <c r="W19" s="5"/>
      <c r="X19" s="5"/>
    </row>
    <row r="20" spans="1:24" ht="13.5" thickBot="1">
      <c r="A20" s="5"/>
      <c r="B20" s="5"/>
      <c r="C20" s="6"/>
      <c r="D20" s="5"/>
      <c r="E20" s="5"/>
      <c r="F20" s="5"/>
      <c r="G20" s="5"/>
      <c r="H20" s="5"/>
      <c r="I20" s="5"/>
      <c r="J20" s="5"/>
      <c r="K20" s="5"/>
      <c r="L20" s="5"/>
      <c r="M20" s="5"/>
      <c r="N20" s="5"/>
      <c r="O20" s="5"/>
      <c r="P20" s="5"/>
      <c r="Q20" s="5"/>
      <c r="R20" s="5"/>
      <c r="S20" s="5"/>
      <c r="T20" s="5"/>
      <c r="U20" s="5"/>
      <c r="V20" s="5"/>
      <c r="W20" s="5"/>
      <c r="X20" s="5"/>
    </row>
    <row r="21" spans="1:24" ht="12.95" customHeight="1" thickBot="1">
      <c r="A21" s="15" t="s">
        <v>1</v>
      </c>
      <c r="B21" s="514" t="s">
        <v>24</v>
      </c>
      <c r="C21" s="8"/>
      <c r="D21" s="927" t="s">
        <v>78</v>
      </c>
      <c r="E21" s="928"/>
      <c r="F21" s="928"/>
      <c r="G21" s="929"/>
      <c r="H21" s="927" t="s">
        <v>77</v>
      </c>
      <c r="I21" s="928"/>
      <c r="J21" s="928"/>
      <c r="K21" s="929"/>
      <c r="L21" s="927" t="s">
        <v>81</v>
      </c>
      <c r="M21" s="928"/>
      <c r="N21" s="928"/>
      <c r="O21" s="929"/>
      <c r="P21" s="927" t="s">
        <v>254</v>
      </c>
      <c r="Q21" s="928"/>
      <c r="R21" s="928"/>
      <c r="S21" s="929"/>
      <c r="T21" s="1144" t="s">
        <v>908</v>
      </c>
      <c r="U21" s="1145"/>
      <c r="V21" s="1145"/>
      <c r="W21" s="1146"/>
      <c r="X21" s="16" t="s">
        <v>6</v>
      </c>
    </row>
    <row r="22" spans="1:24" ht="13.5" thickBot="1">
      <c r="A22" s="868" t="s">
        <v>47</v>
      </c>
      <c r="B22" s="868" t="s">
        <v>48</v>
      </c>
      <c r="C22" s="9" t="s">
        <v>285</v>
      </c>
      <c r="D22" s="942">
        <f>'LF-Enugu'!D22:G22</f>
        <v>2.2000000000000002</v>
      </c>
      <c r="E22" s="943"/>
      <c r="F22" s="943"/>
      <c r="G22" s="944"/>
      <c r="H22" s="942">
        <f>'LF-Enugu'!H22:K22</f>
        <v>2.2000000000000002</v>
      </c>
      <c r="I22" s="943"/>
      <c r="J22" s="943"/>
      <c r="K22" s="944"/>
      <c r="L22" s="942">
        <f>'LF-Enugu'!L22:O22</f>
        <v>3</v>
      </c>
      <c r="M22" s="943"/>
      <c r="N22" s="943"/>
      <c r="O22" s="944"/>
      <c r="P22" s="963">
        <f>'LF-Enugu'!P22:S22</f>
        <v>3.1</v>
      </c>
      <c r="Q22" s="964"/>
      <c r="R22" s="964"/>
      <c r="S22" s="965"/>
      <c r="T22" s="1159">
        <f>'Enugu Workings'!V$4</f>
        <v>3.1666666666666665</v>
      </c>
      <c r="U22" s="1160"/>
      <c r="V22" s="1160"/>
      <c r="W22" s="1161"/>
      <c r="X22" s="873" t="s">
        <v>96</v>
      </c>
    </row>
    <row r="23" spans="1:24" ht="13.5" thickBot="1">
      <c r="A23" s="885"/>
      <c r="B23" s="885"/>
      <c r="C23" s="9" t="s">
        <v>286</v>
      </c>
      <c r="D23" s="942">
        <f>'LF-Jigawa'!D22:G22</f>
        <v>2.5</v>
      </c>
      <c r="E23" s="943"/>
      <c r="F23" s="943"/>
      <c r="G23" s="944"/>
      <c r="H23" s="942">
        <f>'LF-Jigawa'!H22:K22</f>
        <v>2.5</v>
      </c>
      <c r="I23" s="943"/>
      <c r="J23" s="943"/>
      <c r="K23" s="944"/>
      <c r="L23" s="942">
        <f>'LF-Jigawa'!L22:O22</f>
        <v>3</v>
      </c>
      <c r="M23" s="943"/>
      <c r="N23" s="943"/>
      <c r="O23" s="944"/>
      <c r="P23" s="963">
        <f>'LF-Jigawa'!P22:S22</f>
        <v>3.2</v>
      </c>
      <c r="Q23" s="964"/>
      <c r="R23" s="964"/>
      <c r="S23" s="965"/>
      <c r="T23" s="1159">
        <f>'Jigawa Workings'!V$4</f>
        <v>3.2666666666666666</v>
      </c>
      <c r="U23" s="1160"/>
      <c r="V23" s="1160"/>
      <c r="W23" s="1161"/>
      <c r="X23" s="874"/>
    </row>
    <row r="24" spans="1:24" ht="13.5" thickBot="1">
      <c r="A24" s="885"/>
      <c r="B24" s="885"/>
      <c r="C24" s="9" t="s">
        <v>287</v>
      </c>
      <c r="D24" s="942">
        <f>'LF-Kaduna'!D22:G22</f>
        <v>1.8</v>
      </c>
      <c r="E24" s="943"/>
      <c r="F24" s="943"/>
      <c r="G24" s="944"/>
      <c r="H24" s="942">
        <f>'LF-Kaduna'!H22:K22</f>
        <v>1.8</v>
      </c>
      <c r="I24" s="943"/>
      <c r="J24" s="943"/>
      <c r="K24" s="944"/>
      <c r="L24" s="942">
        <f>'LF-Kaduna'!L22:O22</f>
        <v>2.5</v>
      </c>
      <c r="M24" s="943"/>
      <c r="N24" s="943"/>
      <c r="O24" s="944"/>
      <c r="P24" s="963">
        <f>'LF-Kaduna'!P22:S22</f>
        <v>3.2</v>
      </c>
      <c r="Q24" s="964"/>
      <c r="R24" s="964"/>
      <c r="S24" s="965"/>
      <c r="T24" s="1159">
        <f>'Kaduna Workings'!V$4</f>
        <v>3.2666666666666666</v>
      </c>
      <c r="U24" s="1160"/>
      <c r="V24" s="1160"/>
      <c r="W24" s="1161"/>
      <c r="X24" s="874"/>
    </row>
    <row r="25" spans="1:24" ht="13.5" thickBot="1">
      <c r="A25" s="885"/>
      <c r="B25" s="885"/>
      <c r="C25" s="9" t="s">
        <v>288</v>
      </c>
      <c r="D25" s="942">
        <f>'LF-Kano'!D22:G22</f>
        <v>2</v>
      </c>
      <c r="E25" s="943"/>
      <c r="F25" s="943"/>
      <c r="G25" s="944"/>
      <c r="H25" s="942">
        <f>'LF-Kano'!H22:K22</f>
        <v>2</v>
      </c>
      <c r="I25" s="943"/>
      <c r="J25" s="943"/>
      <c r="K25" s="944"/>
      <c r="L25" s="942">
        <f>'LF-Kano'!L22:O22</f>
        <v>3</v>
      </c>
      <c r="M25" s="943"/>
      <c r="N25" s="943"/>
      <c r="O25" s="944"/>
      <c r="P25" s="963">
        <f>'LF-Kano'!P22:S22</f>
        <v>3</v>
      </c>
      <c r="Q25" s="964"/>
      <c r="R25" s="964"/>
      <c r="S25" s="965"/>
      <c r="T25" s="1159">
        <f>'Kano Workings'!V$4</f>
        <v>3.1333333333333329</v>
      </c>
      <c r="U25" s="1160"/>
      <c r="V25" s="1160"/>
      <c r="W25" s="1161"/>
      <c r="X25" s="874"/>
    </row>
    <row r="26" spans="1:24" ht="13.5" thickBot="1">
      <c r="A26" s="885"/>
      <c r="B26" s="885"/>
      <c r="C26" s="9" t="s">
        <v>289</v>
      </c>
      <c r="D26" s="942">
        <f>'LF-Lagos'!D22:G22</f>
        <v>2</v>
      </c>
      <c r="E26" s="943"/>
      <c r="F26" s="943"/>
      <c r="G26" s="944"/>
      <c r="H26" s="942">
        <f>'LF-Lagos'!H22:K22</f>
        <v>2</v>
      </c>
      <c r="I26" s="943"/>
      <c r="J26" s="943"/>
      <c r="K26" s="944"/>
      <c r="L26" s="942">
        <f>'LF-Lagos'!L22:O22</f>
        <v>3</v>
      </c>
      <c r="M26" s="943"/>
      <c r="N26" s="943"/>
      <c r="O26" s="944"/>
      <c r="P26" s="963">
        <f>'LF-Lagos'!P22:S22</f>
        <v>2.8</v>
      </c>
      <c r="Q26" s="964"/>
      <c r="R26" s="964"/>
      <c r="S26" s="965"/>
      <c r="T26" s="1159">
        <f>'Lagos Workings'!V$4</f>
        <v>2.9333333333333327</v>
      </c>
      <c r="U26" s="1160"/>
      <c r="V26" s="1160"/>
      <c r="W26" s="1161"/>
      <c r="X26" s="874"/>
    </row>
    <row r="27" spans="1:24" ht="13.5" thickBot="1">
      <c r="A27" s="885"/>
      <c r="B27" s="885"/>
      <c r="C27" s="9" t="s">
        <v>292</v>
      </c>
      <c r="D27" s="1051" t="s">
        <v>414</v>
      </c>
      <c r="E27" s="1052"/>
      <c r="F27" s="1052"/>
      <c r="G27" s="1053"/>
      <c r="H27" s="942">
        <f>'LF-Zamfara'!H22:K22</f>
        <v>1.8</v>
      </c>
      <c r="I27" s="943"/>
      <c r="J27" s="943"/>
      <c r="K27" s="944"/>
      <c r="L27" s="942">
        <f>'LF-Zamfara'!L22:O22</f>
        <v>1.8</v>
      </c>
      <c r="M27" s="943"/>
      <c r="N27" s="943"/>
      <c r="O27" s="944"/>
      <c r="P27" s="963">
        <f>'LF-Zamfara'!P22:S22</f>
        <v>2</v>
      </c>
      <c r="Q27" s="964"/>
      <c r="R27" s="964"/>
      <c r="S27" s="965"/>
      <c r="T27" s="1159">
        <f>'Zamfara Workings'!V$4</f>
        <v>2.1999999999999993</v>
      </c>
      <c r="U27" s="1160"/>
      <c r="V27" s="1160"/>
      <c r="W27" s="1161"/>
      <c r="X27" s="874"/>
    </row>
    <row r="28" spans="1:24" ht="13.5" thickBot="1">
      <c r="A28" s="885"/>
      <c r="B28" s="885"/>
      <c r="C28" s="9" t="s">
        <v>293</v>
      </c>
      <c r="D28" s="1051" t="s">
        <v>414</v>
      </c>
      <c r="E28" s="1052"/>
      <c r="F28" s="1052"/>
      <c r="G28" s="1053"/>
      <c r="H28" s="942">
        <f>'LF-Katsina'!H22:K22</f>
        <v>3.1</v>
      </c>
      <c r="I28" s="943"/>
      <c r="J28" s="943"/>
      <c r="K28" s="944"/>
      <c r="L28" s="942">
        <f>'LF-Katsina'!L22:O22</f>
        <v>3.1</v>
      </c>
      <c r="M28" s="943"/>
      <c r="N28" s="943"/>
      <c r="O28" s="944"/>
      <c r="P28" s="963">
        <f>'LF-Katsina'!P22:S22</f>
        <v>3.3</v>
      </c>
      <c r="Q28" s="964"/>
      <c r="R28" s="964"/>
      <c r="S28" s="965"/>
      <c r="T28" s="1159">
        <f>'Katsina Workings'!V$4</f>
        <v>3.6333333333333337</v>
      </c>
      <c r="U28" s="1160"/>
      <c r="V28" s="1160"/>
      <c r="W28" s="1161"/>
      <c r="X28" s="874"/>
    </row>
    <row r="29" spans="1:24" ht="13.5" thickBot="1">
      <c r="A29" s="885"/>
      <c r="B29" s="885"/>
      <c r="C29" s="9" t="s">
        <v>294</v>
      </c>
      <c r="D29" s="1051" t="s">
        <v>414</v>
      </c>
      <c r="E29" s="1052"/>
      <c r="F29" s="1052"/>
      <c r="G29" s="1053"/>
      <c r="H29" s="942">
        <f>'LF-Yobe'!H22:K22</f>
        <v>2.1</v>
      </c>
      <c r="I29" s="943"/>
      <c r="J29" s="943"/>
      <c r="K29" s="944"/>
      <c r="L29" s="942">
        <f>'LF-Yobe'!L22:O22</f>
        <v>2.1</v>
      </c>
      <c r="M29" s="943"/>
      <c r="N29" s="943"/>
      <c r="O29" s="944"/>
      <c r="P29" s="963">
        <f>'LF-Yobe'!P22:S22</f>
        <v>2.2000000000000002</v>
      </c>
      <c r="Q29" s="964"/>
      <c r="R29" s="964"/>
      <c r="S29" s="965"/>
      <c r="T29" s="1159">
        <f>'Yobe Workings'!V$4</f>
        <v>2.333333333333333</v>
      </c>
      <c r="U29" s="1160"/>
      <c r="V29" s="1160"/>
      <c r="W29" s="1161"/>
      <c r="X29" s="874"/>
    </row>
    <row r="30" spans="1:24" ht="12.95" customHeight="1" thickBot="1">
      <c r="A30" s="885"/>
      <c r="B30" s="885"/>
      <c r="C30" s="9" t="s">
        <v>290</v>
      </c>
      <c r="D30" s="957"/>
      <c r="E30" s="958"/>
      <c r="F30" s="958"/>
      <c r="G30" s="959"/>
      <c r="H30" s="1162"/>
      <c r="I30" s="1163"/>
      <c r="J30" s="1163"/>
      <c r="K30" s="1164"/>
      <c r="L30" s="1057" t="s">
        <v>909</v>
      </c>
      <c r="M30" s="1058"/>
      <c r="N30" s="1058"/>
      <c r="O30" s="1059"/>
      <c r="P30" s="942">
        <f>'LF-Anambra'!P22:S22</f>
        <v>2.6</v>
      </c>
      <c r="Q30" s="943"/>
      <c r="R30" s="943"/>
      <c r="S30" s="944"/>
      <c r="T30" s="1159">
        <f>P30</f>
        <v>2.6</v>
      </c>
      <c r="U30" s="1160"/>
      <c r="V30" s="1160"/>
      <c r="W30" s="1161"/>
      <c r="X30" s="874"/>
    </row>
    <row r="31" spans="1:24" ht="12.95" customHeight="1" thickBot="1">
      <c r="A31" s="885"/>
      <c r="B31" s="885"/>
      <c r="C31" s="9" t="s">
        <v>291</v>
      </c>
      <c r="D31" s="957"/>
      <c r="E31" s="958"/>
      <c r="F31" s="958"/>
      <c r="G31" s="959"/>
      <c r="H31" s="1162"/>
      <c r="I31" s="1163"/>
      <c r="J31" s="1163"/>
      <c r="K31" s="1164"/>
      <c r="L31" s="1057" t="s">
        <v>909</v>
      </c>
      <c r="M31" s="1058"/>
      <c r="N31" s="1058"/>
      <c r="O31" s="1059"/>
      <c r="P31" s="942">
        <f>'LF-Niger'!P22:S22</f>
        <v>2.6</v>
      </c>
      <c r="Q31" s="943"/>
      <c r="R31" s="943"/>
      <c r="S31" s="944"/>
      <c r="T31" s="1159">
        <f>P31</f>
        <v>2.6</v>
      </c>
      <c r="U31" s="1160"/>
      <c r="V31" s="1160"/>
      <c r="W31" s="1161"/>
      <c r="X31" s="874"/>
    </row>
    <row r="32" spans="1:24" ht="13.5" thickBot="1">
      <c r="A32" s="885"/>
      <c r="B32" s="885"/>
      <c r="C32" s="100" t="s">
        <v>295</v>
      </c>
      <c r="D32" s="1008" t="s">
        <v>415</v>
      </c>
      <c r="E32" s="1009"/>
      <c r="F32" s="1009"/>
      <c r="G32" s="1010"/>
      <c r="H32" s="1147">
        <f>'LF-Enugu'!H23:K23</f>
        <v>3.5</v>
      </c>
      <c r="I32" s="1148"/>
      <c r="J32" s="1148"/>
      <c r="K32" s="1149"/>
      <c r="L32" s="1147">
        <f>'LF-Enugu'!L23:O23</f>
        <v>2.9</v>
      </c>
      <c r="M32" s="1148"/>
      <c r="N32" s="1148"/>
      <c r="O32" s="1149"/>
      <c r="P32" s="1147">
        <f>'LF-Enugu'!P23:S23</f>
        <v>3.5</v>
      </c>
      <c r="Q32" s="1148"/>
      <c r="R32" s="1148"/>
      <c r="S32" s="1149"/>
      <c r="T32" s="1147">
        <f>'Enugu Workings'!V$5</f>
        <v>4.0999999999999996</v>
      </c>
      <c r="U32" s="1148"/>
      <c r="V32" s="1148"/>
      <c r="W32" s="1149"/>
      <c r="X32" s="874"/>
    </row>
    <row r="33" spans="1:24" ht="13.5" thickBot="1">
      <c r="A33" s="885"/>
      <c r="B33" s="885"/>
      <c r="C33" s="100" t="s">
        <v>296</v>
      </c>
      <c r="D33" s="1008" t="s">
        <v>415</v>
      </c>
      <c r="E33" s="1009"/>
      <c r="F33" s="1009"/>
      <c r="G33" s="1010"/>
      <c r="H33" s="1147">
        <f>'LF-Jigawa'!H23:K23</f>
        <v>2.5</v>
      </c>
      <c r="I33" s="1148"/>
      <c r="J33" s="1148"/>
      <c r="K33" s="1149"/>
      <c r="L33" s="1147">
        <f>'LF-Jigawa'!L23:O23</f>
        <v>2.8</v>
      </c>
      <c r="M33" s="1148"/>
      <c r="N33" s="1148"/>
      <c r="O33" s="1149"/>
      <c r="P33" s="1147">
        <f>'LF-Jigawa'!P23:S23</f>
        <v>3.6</v>
      </c>
      <c r="Q33" s="1148"/>
      <c r="R33" s="1148"/>
      <c r="S33" s="1149"/>
      <c r="T33" s="1147">
        <f>'Jigawa Workings'!V$5</f>
        <v>3.6</v>
      </c>
      <c r="U33" s="1148"/>
      <c r="V33" s="1148"/>
      <c r="W33" s="1149"/>
      <c r="X33" s="874"/>
    </row>
    <row r="34" spans="1:24" ht="13.5" thickBot="1">
      <c r="A34" s="885"/>
      <c r="B34" s="885"/>
      <c r="C34" s="100" t="s">
        <v>297</v>
      </c>
      <c r="D34" s="1008" t="s">
        <v>415</v>
      </c>
      <c r="E34" s="1009"/>
      <c r="F34" s="1009"/>
      <c r="G34" s="1010"/>
      <c r="H34" s="1147">
        <f>'LF-Kaduna'!H23:K23</f>
        <v>2.5</v>
      </c>
      <c r="I34" s="1148"/>
      <c r="J34" s="1148"/>
      <c r="K34" s="1149"/>
      <c r="L34" s="1147">
        <f>'LF-Kaduna'!L23:O23</f>
        <v>3.1</v>
      </c>
      <c r="M34" s="1148"/>
      <c r="N34" s="1148"/>
      <c r="O34" s="1149"/>
      <c r="P34" s="1147">
        <f>'LF-Kaduna'!P23:S23</f>
        <v>3.2</v>
      </c>
      <c r="Q34" s="1148"/>
      <c r="R34" s="1148"/>
      <c r="S34" s="1149"/>
      <c r="T34" s="1147">
        <f>'Kaduna Workings'!V$5</f>
        <v>3.1</v>
      </c>
      <c r="U34" s="1148"/>
      <c r="V34" s="1148"/>
      <c r="W34" s="1149"/>
      <c r="X34" s="874"/>
    </row>
    <row r="35" spans="1:24" ht="13.5" thickBot="1">
      <c r="A35" s="885"/>
      <c r="B35" s="885"/>
      <c r="C35" s="100" t="s">
        <v>298</v>
      </c>
      <c r="D35" s="1008" t="s">
        <v>415</v>
      </c>
      <c r="E35" s="1009"/>
      <c r="F35" s="1009"/>
      <c r="G35" s="1010"/>
      <c r="H35" s="1147">
        <f>'LF-Kano'!H23:K23</f>
        <v>2</v>
      </c>
      <c r="I35" s="1148"/>
      <c r="J35" s="1148"/>
      <c r="K35" s="1149"/>
      <c r="L35" s="1147">
        <f>'LF-Kano'!L23:O23</f>
        <v>2.7</v>
      </c>
      <c r="M35" s="1148"/>
      <c r="N35" s="1148"/>
      <c r="O35" s="1149"/>
      <c r="P35" s="1147">
        <f>'LF-Kano'!P23:S23</f>
        <v>2.8</v>
      </c>
      <c r="Q35" s="1148"/>
      <c r="R35" s="1148"/>
      <c r="S35" s="1149"/>
      <c r="T35" s="1147">
        <f>'Kano Workings'!V$5</f>
        <v>3.2</v>
      </c>
      <c r="U35" s="1148"/>
      <c r="V35" s="1148"/>
      <c r="W35" s="1149"/>
      <c r="X35" s="874"/>
    </row>
    <row r="36" spans="1:24" ht="13.5" thickBot="1">
      <c r="A36" s="885"/>
      <c r="B36" s="885"/>
      <c r="C36" s="100" t="s">
        <v>299</v>
      </c>
      <c r="D36" s="1008" t="s">
        <v>415</v>
      </c>
      <c r="E36" s="1009"/>
      <c r="F36" s="1009"/>
      <c r="G36" s="1010"/>
      <c r="H36" s="1147">
        <f>'LF-Lagos'!H23:K23</f>
        <v>2</v>
      </c>
      <c r="I36" s="1148"/>
      <c r="J36" s="1148"/>
      <c r="K36" s="1149"/>
      <c r="L36" s="1147">
        <f>'LF-Lagos'!L23:O23</f>
        <v>2.7</v>
      </c>
      <c r="M36" s="1148"/>
      <c r="N36" s="1148"/>
      <c r="O36" s="1149"/>
      <c r="P36" s="1147">
        <f>'LF-Lagos'!P23:S23</f>
        <v>2.8</v>
      </c>
      <c r="Q36" s="1148"/>
      <c r="R36" s="1148"/>
      <c r="S36" s="1149"/>
      <c r="T36" s="1147">
        <f>'Lagos Workings'!V$5</f>
        <v>2.6</v>
      </c>
      <c r="U36" s="1148"/>
      <c r="V36" s="1148"/>
      <c r="W36" s="1149"/>
      <c r="X36" s="874"/>
    </row>
    <row r="37" spans="1:24" ht="24.75" thickBot="1">
      <c r="A37" s="885"/>
      <c r="B37" s="885"/>
      <c r="C37" s="100" t="s">
        <v>300</v>
      </c>
      <c r="D37" s="1017"/>
      <c r="E37" s="1018"/>
      <c r="F37" s="1018"/>
      <c r="G37" s="1019"/>
      <c r="H37" s="1017"/>
      <c r="I37" s="1018"/>
      <c r="J37" s="1018"/>
      <c r="K37" s="1019"/>
      <c r="L37" s="1147">
        <f>'LF-Zamfara'!L23:O23</f>
        <v>1.8</v>
      </c>
      <c r="M37" s="1148"/>
      <c r="N37" s="1148"/>
      <c r="O37" s="1149"/>
      <c r="P37" s="1147">
        <f>'LF-Zamfara'!P23:S23</f>
        <v>2.2000000000000002</v>
      </c>
      <c r="Q37" s="1148"/>
      <c r="R37" s="1148"/>
      <c r="S37" s="1149"/>
      <c r="T37" s="1147">
        <f>'Zamfara Workings'!V$5</f>
        <v>2.7</v>
      </c>
      <c r="U37" s="1148"/>
      <c r="V37" s="1148"/>
      <c r="W37" s="1149"/>
      <c r="X37" s="874"/>
    </row>
    <row r="38" spans="1:24" ht="13.5" thickBot="1">
      <c r="A38" s="885"/>
      <c r="B38" s="885"/>
      <c r="C38" s="100" t="s">
        <v>301</v>
      </c>
      <c r="D38" s="1017"/>
      <c r="E38" s="1018"/>
      <c r="F38" s="1018"/>
      <c r="G38" s="1019"/>
      <c r="H38" s="1017"/>
      <c r="I38" s="1018"/>
      <c r="J38" s="1018"/>
      <c r="K38" s="1019"/>
      <c r="L38" s="1147">
        <f>'LF-Katsina'!L23:O23</f>
        <v>3.1</v>
      </c>
      <c r="M38" s="1148"/>
      <c r="N38" s="1148"/>
      <c r="O38" s="1149"/>
      <c r="P38" s="1147">
        <f>'LF-Katsina'!P23:S23</f>
        <v>2.1</v>
      </c>
      <c r="Q38" s="1148"/>
      <c r="R38" s="1148"/>
      <c r="S38" s="1149"/>
      <c r="T38" s="1147">
        <f>'Katsina Workings'!V$5</f>
        <v>2.7</v>
      </c>
      <c r="U38" s="1148"/>
      <c r="V38" s="1148"/>
      <c r="W38" s="1149"/>
      <c r="X38" s="874"/>
    </row>
    <row r="39" spans="1:24" ht="13.5" thickBot="1">
      <c r="A39" s="885"/>
      <c r="B39" s="885"/>
      <c r="C39" s="100" t="s">
        <v>302</v>
      </c>
      <c r="D39" s="1017"/>
      <c r="E39" s="1018"/>
      <c r="F39" s="1018"/>
      <c r="G39" s="1019"/>
      <c r="H39" s="1017"/>
      <c r="I39" s="1018"/>
      <c r="J39" s="1018"/>
      <c r="K39" s="1019"/>
      <c r="L39" s="1147">
        <f>'LF-Yobe'!L23:O23</f>
        <v>2.1</v>
      </c>
      <c r="M39" s="1148"/>
      <c r="N39" s="1148"/>
      <c r="O39" s="1149"/>
      <c r="P39" s="1147">
        <f>'LF-Yobe'!P23:S23</f>
        <v>3</v>
      </c>
      <c r="Q39" s="1148"/>
      <c r="R39" s="1148"/>
      <c r="S39" s="1149"/>
      <c r="T39" s="1147">
        <f>'Yobe Workings'!V$5</f>
        <v>3.5</v>
      </c>
      <c r="U39" s="1148"/>
      <c r="V39" s="1148"/>
      <c r="W39" s="1149"/>
      <c r="X39" s="874"/>
    </row>
    <row r="40" spans="1:24" ht="24.75" thickBot="1">
      <c r="A40" s="885"/>
      <c r="B40" s="885"/>
      <c r="C40" s="100" t="s">
        <v>303</v>
      </c>
      <c r="D40" s="1017"/>
      <c r="E40" s="1018"/>
      <c r="F40" s="1018"/>
      <c r="G40" s="1019"/>
      <c r="H40" s="1017"/>
      <c r="I40" s="1018"/>
      <c r="J40" s="1018"/>
      <c r="K40" s="1019"/>
      <c r="L40" s="1017"/>
      <c r="M40" s="1018"/>
      <c r="N40" s="1018"/>
      <c r="O40" s="1019"/>
      <c r="P40" s="1017"/>
      <c r="Q40" s="1018"/>
      <c r="R40" s="1018"/>
      <c r="S40" s="1019"/>
      <c r="T40" s="1147">
        <f>T30</f>
        <v>2.6</v>
      </c>
      <c r="U40" s="1148"/>
      <c r="V40" s="1148"/>
      <c r="W40" s="1149"/>
      <c r="X40" s="874"/>
    </row>
    <row r="41" spans="1:24" ht="13.5" thickBot="1">
      <c r="A41" s="885"/>
      <c r="B41" s="885"/>
      <c r="C41" s="100" t="s">
        <v>304</v>
      </c>
      <c r="D41" s="1017"/>
      <c r="E41" s="1018"/>
      <c r="F41" s="1018"/>
      <c r="G41" s="1019"/>
      <c r="H41" s="1017"/>
      <c r="I41" s="1018"/>
      <c r="J41" s="1018"/>
      <c r="K41" s="1019"/>
      <c r="L41" s="1017"/>
      <c r="M41" s="1018"/>
      <c r="N41" s="1018"/>
      <c r="O41" s="1019"/>
      <c r="P41" s="1017"/>
      <c r="Q41" s="1018"/>
      <c r="R41" s="1018"/>
      <c r="S41" s="1019"/>
      <c r="T41" s="1147">
        <f>T31</f>
        <v>2.6</v>
      </c>
      <c r="U41" s="1148"/>
      <c r="V41" s="1148"/>
      <c r="W41" s="1149"/>
      <c r="X41" s="874"/>
    </row>
    <row r="42" spans="1:24" ht="13.5" thickBot="1">
      <c r="A42" s="885"/>
      <c r="B42" s="885"/>
      <c r="C42" s="922" t="s">
        <v>413</v>
      </c>
      <c r="D42" s="927" t="s">
        <v>4</v>
      </c>
      <c r="E42" s="928"/>
      <c r="F42" s="928"/>
      <c r="G42" s="928"/>
      <c r="H42" s="928"/>
      <c r="I42" s="928"/>
      <c r="J42" s="928"/>
      <c r="K42" s="928"/>
      <c r="L42" s="928"/>
      <c r="M42" s="928"/>
      <c r="N42" s="928"/>
      <c r="O42" s="928"/>
      <c r="P42" s="928"/>
      <c r="Q42" s="928"/>
      <c r="R42" s="928"/>
      <c r="S42" s="928"/>
      <c r="T42" s="928"/>
      <c r="U42" s="928"/>
      <c r="V42" s="928"/>
      <c r="W42" s="928"/>
      <c r="X42" s="874"/>
    </row>
    <row r="43" spans="1:24" ht="13.5" thickBot="1">
      <c r="A43" s="885"/>
      <c r="B43" s="869"/>
      <c r="C43" s="923"/>
      <c r="D43" s="930" t="s">
        <v>115</v>
      </c>
      <c r="E43" s="931"/>
      <c r="F43" s="931"/>
      <c r="G43" s="931"/>
      <c r="H43" s="931"/>
      <c r="I43" s="931"/>
      <c r="J43" s="931"/>
      <c r="K43" s="931"/>
      <c r="L43" s="931"/>
      <c r="M43" s="931"/>
      <c r="N43" s="931"/>
      <c r="O43" s="931"/>
      <c r="P43" s="931"/>
      <c r="Q43" s="931"/>
      <c r="R43" s="931"/>
      <c r="S43" s="931"/>
      <c r="T43" s="931"/>
      <c r="U43" s="931"/>
      <c r="V43" s="931"/>
      <c r="W43" s="932"/>
      <c r="X43" s="874"/>
    </row>
    <row r="44" spans="1:24" ht="12.95" customHeight="1" thickBot="1">
      <c r="A44" s="885"/>
      <c r="B44" s="11" t="s">
        <v>25</v>
      </c>
      <c r="C44" s="12"/>
      <c r="D44" s="927" t="s">
        <v>78</v>
      </c>
      <c r="E44" s="928"/>
      <c r="F44" s="928"/>
      <c r="G44" s="929"/>
      <c r="H44" s="927" t="s">
        <v>77</v>
      </c>
      <c r="I44" s="928"/>
      <c r="J44" s="928"/>
      <c r="K44" s="929"/>
      <c r="L44" s="927" t="s">
        <v>81</v>
      </c>
      <c r="M44" s="928"/>
      <c r="N44" s="928"/>
      <c r="O44" s="929"/>
      <c r="P44" s="927" t="s">
        <v>254</v>
      </c>
      <c r="Q44" s="928"/>
      <c r="R44" s="928"/>
      <c r="S44" s="929"/>
      <c r="T44" s="1144" t="s">
        <v>908</v>
      </c>
      <c r="U44" s="1145"/>
      <c r="V44" s="1145"/>
      <c r="W44" s="1146"/>
      <c r="X44" s="874"/>
    </row>
    <row r="45" spans="1:24" ht="13.5" thickBot="1">
      <c r="A45" s="885"/>
      <c r="B45" s="868" t="s">
        <v>49</v>
      </c>
      <c r="C45" s="9" t="s">
        <v>285</v>
      </c>
      <c r="D45" s="942">
        <f>'LF-Enugu'!D27:G27</f>
        <v>1</v>
      </c>
      <c r="E45" s="943"/>
      <c r="F45" s="943"/>
      <c r="G45" s="944"/>
      <c r="H45" s="942">
        <f>'LF-Enugu'!H27:K27</f>
        <v>1</v>
      </c>
      <c r="I45" s="943"/>
      <c r="J45" s="943"/>
      <c r="K45" s="944"/>
      <c r="L45" s="942">
        <f>'LF-Enugu'!L27:O27</f>
        <v>1.25</v>
      </c>
      <c r="M45" s="943"/>
      <c r="N45" s="943"/>
      <c r="O45" s="944"/>
      <c r="P45" s="963">
        <f>'LF-Enugu'!P27:S27</f>
        <v>1.8</v>
      </c>
      <c r="Q45" s="964"/>
      <c r="R45" s="964"/>
      <c r="S45" s="965"/>
      <c r="T45" s="1159">
        <f>'Enugu Workings'!V$7</f>
        <v>1.9333333333333331</v>
      </c>
      <c r="U45" s="1160"/>
      <c r="V45" s="1160"/>
      <c r="W45" s="1161"/>
      <c r="X45" s="874"/>
    </row>
    <row r="46" spans="1:24" ht="13.5" thickBot="1">
      <c r="A46" s="885"/>
      <c r="B46" s="885"/>
      <c r="C46" s="9" t="s">
        <v>286</v>
      </c>
      <c r="D46" s="942">
        <f>'LF-Jigawa'!D27:G27</f>
        <v>1</v>
      </c>
      <c r="E46" s="943"/>
      <c r="F46" s="943"/>
      <c r="G46" s="944"/>
      <c r="H46" s="942">
        <f>'LF-Jigawa'!H27:K27</f>
        <v>1</v>
      </c>
      <c r="I46" s="943"/>
      <c r="J46" s="943"/>
      <c r="K46" s="944"/>
      <c r="L46" s="942">
        <f>'LF-Jigawa'!L27:O27</f>
        <v>2</v>
      </c>
      <c r="M46" s="943"/>
      <c r="N46" s="943"/>
      <c r="O46" s="944"/>
      <c r="P46" s="963">
        <f>'LF-Jigawa'!P27:S27</f>
        <v>2.2000000000000002</v>
      </c>
      <c r="Q46" s="964"/>
      <c r="R46" s="964"/>
      <c r="S46" s="965"/>
      <c r="T46" s="1159">
        <f>'Jigawa Workings'!V$7</f>
        <v>2.3999999999999995</v>
      </c>
      <c r="U46" s="1160"/>
      <c r="V46" s="1160"/>
      <c r="W46" s="1161"/>
      <c r="X46" s="874"/>
    </row>
    <row r="47" spans="1:24" ht="13.5" thickBot="1">
      <c r="A47" s="885"/>
      <c r="B47" s="885"/>
      <c r="C47" s="9" t="s">
        <v>287</v>
      </c>
      <c r="D47" s="942">
        <f>'LF-Kaduna'!D27:G27</f>
        <v>1</v>
      </c>
      <c r="E47" s="943"/>
      <c r="F47" s="943"/>
      <c r="G47" s="944"/>
      <c r="H47" s="942">
        <f>'LF-Kaduna'!H27:K27</f>
        <v>1</v>
      </c>
      <c r="I47" s="943"/>
      <c r="J47" s="943"/>
      <c r="K47" s="944"/>
      <c r="L47" s="942">
        <f>'LF-Kaduna'!L27:O27</f>
        <v>1.25</v>
      </c>
      <c r="M47" s="943"/>
      <c r="N47" s="943"/>
      <c r="O47" s="944"/>
      <c r="P47" s="963">
        <f>'LF-Kaduna'!P27:S27</f>
        <v>2.2999999999999998</v>
      </c>
      <c r="Q47" s="964"/>
      <c r="R47" s="964"/>
      <c r="S47" s="965"/>
      <c r="T47" s="1159">
        <f>'Kaduna Workings'!V$7</f>
        <v>2.4999999999999991</v>
      </c>
      <c r="U47" s="1160"/>
      <c r="V47" s="1160"/>
      <c r="W47" s="1161"/>
      <c r="X47" s="874"/>
    </row>
    <row r="48" spans="1:24" ht="13.5" thickBot="1">
      <c r="A48" s="885"/>
      <c r="B48" s="885"/>
      <c r="C48" s="9" t="s">
        <v>288</v>
      </c>
      <c r="D48" s="942">
        <f>'LF-Kano'!D27:G27</f>
        <v>1</v>
      </c>
      <c r="E48" s="943"/>
      <c r="F48" s="943"/>
      <c r="G48" s="944"/>
      <c r="H48" s="942">
        <f>'LF-Kano'!H27:K27</f>
        <v>1</v>
      </c>
      <c r="I48" s="943"/>
      <c r="J48" s="943"/>
      <c r="K48" s="944"/>
      <c r="L48" s="942">
        <f>'LF-Kano'!L27:O27</f>
        <v>1.25</v>
      </c>
      <c r="M48" s="943"/>
      <c r="N48" s="943"/>
      <c r="O48" s="944"/>
      <c r="P48" s="963">
        <f>'LF-Kano'!P27:S27</f>
        <v>1.5</v>
      </c>
      <c r="Q48" s="964"/>
      <c r="R48" s="964"/>
      <c r="S48" s="965"/>
      <c r="T48" s="1159">
        <f>'Kano Workings'!V$7</f>
        <v>1.833333333333333</v>
      </c>
      <c r="U48" s="1160"/>
      <c r="V48" s="1160"/>
      <c r="W48" s="1161"/>
      <c r="X48" s="874"/>
    </row>
    <row r="49" spans="1:24" ht="13.5" thickBot="1">
      <c r="A49" s="885"/>
      <c r="B49" s="885"/>
      <c r="C49" s="9" t="s">
        <v>289</v>
      </c>
      <c r="D49" s="942">
        <f>'LF-Lagos'!D27:G27</f>
        <v>1</v>
      </c>
      <c r="E49" s="943"/>
      <c r="F49" s="943"/>
      <c r="G49" s="944"/>
      <c r="H49" s="942">
        <f>'LF-Lagos'!H27:K27</f>
        <v>1</v>
      </c>
      <c r="I49" s="943"/>
      <c r="J49" s="943"/>
      <c r="K49" s="944"/>
      <c r="L49" s="942">
        <f>'LF-Lagos'!L27:O27</f>
        <v>1.75</v>
      </c>
      <c r="M49" s="943"/>
      <c r="N49" s="943"/>
      <c r="O49" s="944"/>
      <c r="P49" s="963">
        <f>'LF-Lagos'!P27:S27</f>
        <v>2.25</v>
      </c>
      <c r="Q49" s="964"/>
      <c r="R49" s="964"/>
      <c r="S49" s="965"/>
      <c r="T49" s="1159">
        <f>'Lagos Workings'!V$7</f>
        <v>2.4166666666666661</v>
      </c>
      <c r="U49" s="1160"/>
      <c r="V49" s="1160"/>
      <c r="W49" s="1161"/>
      <c r="X49" s="874"/>
    </row>
    <row r="50" spans="1:24" ht="13.5" thickBot="1">
      <c r="A50" s="885"/>
      <c r="B50" s="885"/>
      <c r="C50" s="9" t="s">
        <v>292</v>
      </c>
      <c r="D50" s="1051" t="s">
        <v>414</v>
      </c>
      <c r="E50" s="1052"/>
      <c r="F50" s="1052"/>
      <c r="G50" s="1053"/>
      <c r="H50" s="942">
        <f>'LF-Zamfara'!H27:K27</f>
        <v>1</v>
      </c>
      <c r="I50" s="943"/>
      <c r="J50" s="943"/>
      <c r="K50" s="944"/>
      <c r="L50" s="942">
        <f>'LF-Zamfara'!L27:O27</f>
        <v>1</v>
      </c>
      <c r="M50" s="943"/>
      <c r="N50" s="943"/>
      <c r="O50" s="944"/>
      <c r="P50" s="963">
        <f>'LF-Zamfara'!P27:S27</f>
        <v>1.3</v>
      </c>
      <c r="Q50" s="964"/>
      <c r="R50" s="964"/>
      <c r="S50" s="965"/>
      <c r="T50" s="1159">
        <f>'Zamfara Workings'!V$7</f>
        <v>1.5000000000000002</v>
      </c>
      <c r="U50" s="1160"/>
      <c r="V50" s="1160"/>
      <c r="W50" s="1161"/>
      <c r="X50" s="874"/>
    </row>
    <row r="51" spans="1:24" ht="13.5" thickBot="1">
      <c r="A51" s="885"/>
      <c r="B51" s="885"/>
      <c r="C51" s="9" t="s">
        <v>293</v>
      </c>
      <c r="D51" s="1051" t="s">
        <v>414</v>
      </c>
      <c r="E51" s="1052"/>
      <c r="F51" s="1052"/>
      <c r="G51" s="1053"/>
      <c r="H51" s="942">
        <f>'LF-Katsina'!H27:K27</f>
        <v>1</v>
      </c>
      <c r="I51" s="943"/>
      <c r="J51" s="943"/>
      <c r="K51" s="944"/>
      <c r="L51" s="942">
        <f>'LF-Katsina'!L27:O27</f>
        <v>1</v>
      </c>
      <c r="M51" s="943"/>
      <c r="N51" s="943"/>
      <c r="O51" s="944"/>
      <c r="P51" s="963">
        <f>'LF-Katsina'!P27:S27</f>
        <v>1.2</v>
      </c>
      <c r="Q51" s="964"/>
      <c r="R51" s="964"/>
      <c r="S51" s="965"/>
      <c r="T51" s="1159">
        <f>'Katsina Workings'!V$7</f>
        <v>1.533333333333333</v>
      </c>
      <c r="U51" s="1160"/>
      <c r="V51" s="1160"/>
      <c r="W51" s="1161"/>
      <c r="X51" s="874"/>
    </row>
    <row r="52" spans="1:24" ht="13.5" thickBot="1">
      <c r="A52" s="885"/>
      <c r="B52" s="885"/>
      <c r="C52" s="9" t="s">
        <v>294</v>
      </c>
      <c r="D52" s="1051" t="s">
        <v>414</v>
      </c>
      <c r="E52" s="1052"/>
      <c r="F52" s="1052"/>
      <c r="G52" s="1053"/>
      <c r="H52" s="942">
        <f>'LF-Yobe'!H27:K27</f>
        <v>1</v>
      </c>
      <c r="I52" s="943"/>
      <c r="J52" s="943"/>
      <c r="K52" s="944"/>
      <c r="L52" s="942">
        <f>'LF-Yobe'!L27:O27</f>
        <v>1</v>
      </c>
      <c r="M52" s="943"/>
      <c r="N52" s="943"/>
      <c r="O52" s="944"/>
      <c r="P52" s="963">
        <f>'LF-Yobe'!P27:S27</f>
        <v>1.1000000000000001</v>
      </c>
      <c r="Q52" s="964"/>
      <c r="R52" s="964"/>
      <c r="S52" s="965"/>
      <c r="T52" s="1159">
        <f>'Yobe Workings'!V$7</f>
        <v>1.2333333333333329</v>
      </c>
      <c r="U52" s="1160"/>
      <c r="V52" s="1160"/>
      <c r="W52" s="1161"/>
      <c r="X52" s="874"/>
    </row>
    <row r="53" spans="1:24" ht="12.95" customHeight="1" thickBot="1">
      <c r="A53" s="885"/>
      <c r="B53" s="885"/>
      <c r="C53" s="9" t="s">
        <v>290</v>
      </c>
      <c r="D53" s="957"/>
      <c r="E53" s="958"/>
      <c r="F53" s="958"/>
      <c r="G53" s="959"/>
      <c r="H53" s="1162"/>
      <c r="I53" s="1163"/>
      <c r="J53" s="1163"/>
      <c r="K53" s="1164"/>
      <c r="L53" s="1057" t="s">
        <v>909</v>
      </c>
      <c r="M53" s="1058"/>
      <c r="N53" s="1058"/>
      <c r="O53" s="1059"/>
      <c r="P53" s="963">
        <f>'LF-Anambra'!P27:S27</f>
        <v>0</v>
      </c>
      <c r="Q53" s="964"/>
      <c r="R53" s="964"/>
      <c r="S53" s="965"/>
      <c r="T53" s="1159">
        <f>P53</f>
        <v>0</v>
      </c>
      <c r="U53" s="1160"/>
      <c r="V53" s="1160"/>
      <c r="W53" s="1161"/>
      <c r="X53" s="874"/>
    </row>
    <row r="54" spans="1:24" ht="12.95" customHeight="1" thickBot="1">
      <c r="A54" s="885"/>
      <c r="B54" s="885"/>
      <c r="C54" s="9" t="s">
        <v>291</v>
      </c>
      <c r="D54" s="957"/>
      <c r="E54" s="958"/>
      <c r="F54" s="958"/>
      <c r="G54" s="959"/>
      <c r="H54" s="1162"/>
      <c r="I54" s="1163"/>
      <c r="J54" s="1163"/>
      <c r="K54" s="1164"/>
      <c r="L54" s="1057" t="s">
        <v>909</v>
      </c>
      <c r="M54" s="1058"/>
      <c r="N54" s="1058"/>
      <c r="O54" s="1059"/>
      <c r="P54" s="942">
        <f>'LF-Niger'!P27:S27</f>
        <v>1.2</v>
      </c>
      <c r="Q54" s="943"/>
      <c r="R54" s="943"/>
      <c r="S54" s="944"/>
      <c r="T54" s="1159">
        <f>P54</f>
        <v>1.2</v>
      </c>
      <c r="U54" s="1160"/>
      <c r="V54" s="1160"/>
      <c r="W54" s="1161"/>
      <c r="X54" s="874"/>
    </row>
    <row r="55" spans="1:24" ht="13.5" thickBot="1">
      <c r="A55" s="885"/>
      <c r="B55" s="885"/>
      <c r="C55" s="100" t="s">
        <v>295</v>
      </c>
      <c r="D55" s="1008" t="s">
        <v>416</v>
      </c>
      <c r="E55" s="1009"/>
      <c r="F55" s="1009"/>
      <c r="G55" s="1010"/>
      <c r="H55" s="1147">
        <f>'LF-Enugu'!H28:K28</f>
        <v>2</v>
      </c>
      <c r="I55" s="1148"/>
      <c r="J55" s="1148"/>
      <c r="K55" s="1149"/>
      <c r="L55" s="1147">
        <f>'LF-Enugu'!L28:O28</f>
        <v>2.6</v>
      </c>
      <c r="M55" s="1148"/>
      <c r="N55" s="1148"/>
      <c r="O55" s="1149"/>
      <c r="P55" s="1147">
        <f>'LF-Enugu'!P28:S28</f>
        <v>2.2999999999999998</v>
      </c>
      <c r="Q55" s="1148"/>
      <c r="R55" s="1148"/>
      <c r="S55" s="1149"/>
      <c r="T55" s="1147">
        <f>'Enugu Workings'!V$8</f>
        <v>2.66</v>
      </c>
      <c r="U55" s="1148"/>
      <c r="V55" s="1148"/>
      <c r="W55" s="1149"/>
      <c r="X55" s="874"/>
    </row>
    <row r="56" spans="1:24" ht="13.5" thickBot="1">
      <c r="A56" s="885"/>
      <c r="B56" s="885"/>
      <c r="C56" s="100" t="s">
        <v>296</v>
      </c>
      <c r="D56" s="1008" t="s">
        <v>416</v>
      </c>
      <c r="E56" s="1009"/>
      <c r="F56" s="1009"/>
      <c r="G56" s="1010"/>
      <c r="H56" s="1147">
        <f>'LF-Jigawa'!H28:K28</f>
        <v>1.5</v>
      </c>
      <c r="I56" s="1148"/>
      <c r="J56" s="1148"/>
      <c r="K56" s="1149"/>
      <c r="L56" s="1147">
        <f>'LF-Jigawa'!L28:O28</f>
        <v>2</v>
      </c>
      <c r="M56" s="1148"/>
      <c r="N56" s="1148"/>
      <c r="O56" s="1149"/>
      <c r="P56" s="1147">
        <f>'LF-Jigawa'!P28:S28</f>
        <v>3.5</v>
      </c>
      <c r="Q56" s="1148"/>
      <c r="R56" s="1148"/>
      <c r="S56" s="1149"/>
      <c r="T56" s="1147">
        <f>'Jigawa Workings'!V$8</f>
        <v>4.5999999999999996</v>
      </c>
      <c r="U56" s="1148"/>
      <c r="V56" s="1148"/>
      <c r="W56" s="1149"/>
      <c r="X56" s="874"/>
    </row>
    <row r="57" spans="1:24" ht="13.5" thickBot="1">
      <c r="A57" s="885"/>
      <c r="B57" s="885"/>
      <c r="C57" s="100" t="s">
        <v>297</v>
      </c>
      <c r="D57" s="1008" t="s">
        <v>416</v>
      </c>
      <c r="E57" s="1009"/>
      <c r="F57" s="1009"/>
      <c r="G57" s="1010"/>
      <c r="H57" s="1147">
        <f>'LF-Kaduna'!H28:K28</f>
        <v>1</v>
      </c>
      <c r="I57" s="1148"/>
      <c r="J57" s="1148"/>
      <c r="K57" s="1149"/>
      <c r="L57" s="1147">
        <f>'LF-Kaduna'!L28:O28</f>
        <v>2.1</v>
      </c>
      <c r="M57" s="1148"/>
      <c r="N57" s="1148"/>
      <c r="O57" s="1149"/>
      <c r="P57" s="1147">
        <f>'LF-Kaduna'!P28:S28</f>
        <v>2.4</v>
      </c>
      <c r="Q57" s="1148"/>
      <c r="R57" s="1148"/>
      <c r="S57" s="1149"/>
      <c r="T57" s="1147">
        <f>'Kaduna Workings'!V$8</f>
        <v>2.5</v>
      </c>
      <c r="U57" s="1148"/>
      <c r="V57" s="1148"/>
      <c r="W57" s="1149"/>
      <c r="X57" s="874"/>
    </row>
    <row r="58" spans="1:24" ht="13.5" thickBot="1">
      <c r="A58" s="885"/>
      <c r="B58" s="885"/>
      <c r="C58" s="100" t="s">
        <v>298</v>
      </c>
      <c r="D58" s="1008" t="s">
        <v>416</v>
      </c>
      <c r="E58" s="1009"/>
      <c r="F58" s="1009"/>
      <c r="G58" s="1010"/>
      <c r="H58" s="1147">
        <f>'LF-Kano'!H28:K28</f>
        <v>2</v>
      </c>
      <c r="I58" s="1148"/>
      <c r="J58" s="1148"/>
      <c r="K58" s="1149"/>
      <c r="L58" s="1147">
        <f>'LF-Kano'!L28:O28</f>
        <v>2.2999999999999998</v>
      </c>
      <c r="M58" s="1148"/>
      <c r="N58" s="1148"/>
      <c r="O58" s="1149"/>
      <c r="P58" s="1147">
        <f>'LF-Kano'!P28:S28</f>
        <v>2.2999999999999998</v>
      </c>
      <c r="Q58" s="1148"/>
      <c r="R58" s="1148"/>
      <c r="S58" s="1149"/>
      <c r="T58" s="1147">
        <f>'Kano Workings'!V$8</f>
        <v>2.2999999999999998</v>
      </c>
      <c r="U58" s="1148"/>
      <c r="V58" s="1148"/>
      <c r="W58" s="1149"/>
      <c r="X58" s="874"/>
    </row>
    <row r="59" spans="1:24" ht="13.5" thickBot="1">
      <c r="A59" s="885"/>
      <c r="B59" s="885"/>
      <c r="C59" s="100" t="s">
        <v>299</v>
      </c>
      <c r="D59" s="1008" t="s">
        <v>416</v>
      </c>
      <c r="E59" s="1009"/>
      <c r="F59" s="1009"/>
      <c r="G59" s="1010"/>
      <c r="H59" s="1147">
        <f>'LF-Lagos'!H28:K28</f>
        <v>1.5</v>
      </c>
      <c r="I59" s="1148"/>
      <c r="J59" s="1148"/>
      <c r="K59" s="1149"/>
      <c r="L59" s="1147">
        <f>'LF-Lagos'!L28:O28</f>
        <v>2</v>
      </c>
      <c r="M59" s="1148"/>
      <c r="N59" s="1148"/>
      <c r="O59" s="1149"/>
      <c r="P59" s="1147">
        <f>'LF-Lagos'!P28:S28</f>
        <v>2.5</v>
      </c>
      <c r="Q59" s="1148"/>
      <c r="R59" s="1148"/>
      <c r="S59" s="1149"/>
      <c r="T59" s="1147">
        <f>'Lagos Workings'!V$8</f>
        <v>2.2000000000000002</v>
      </c>
      <c r="U59" s="1148"/>
      <c r="V59" s="1148"/>
      <c r="W59" s="1149"/>
      <c r="X59" s="874"/>
    </row>
    <row r="60" spans="1:24" ht="24.75" thickBot="1">
      <c r="A60" s="885"/>
      <c r="B60" s="885"/>
      <c r="C60" s="100" t="s">
        <v>300</v>
      </c>
      <c r="D60" s="1017"/>
      <c r="E60" s="1018"/>
      <c r="F60" s="1018"/>
      <c r="G60" s="1019"/>
      <c r="H60" s="1017"/>
      <c r="I60" s="1018"/>
      <c r="J60" s="1018"/>
      <c r="K60" s="1019"/>
      <c r="L60" s="1147">
        <f>'LF-Zamfara'!L28:O28</f>
        <v>1</v>
      </c>
      <c r="M60" s="1148"/>
      <c r="N60" s="1148"/>
      <c r="O60" s="1149"/>
      <c r="P60" s="1147">
        <f>'LF-Zamfara'!P28:S28</f>
        <v>1.2</v>
      </c>
      <c r="Q60" s="1148"/>
      <c r="R60" s="1148"/>
      <c r="S60" s="1149"/>
      <c r="T60" s="1147">
        <f>'Zamfara Workings'!V$8</f>
        <v>2.7</v>
      </c>
      <c r="U60" s="1148"/>
      <c r="V60" s="1148"/>
      <c r="W60" s="1149"/>
      <c r="X60" s="874"/>
    </row>
    <row r="61" spans="1:24" ht="13.5" thickBot="1">
      <c r="A61" s="885"/>
      <c r="B61" s="885"/>
      <c r="C61" s="100" t="s">
        <v>301</v>
      </c>
      <c r="D61" s="1017"/>
      <c r="E61" s="1018"/>
      <c r="F61" s="1018"/>
      <c r="G61" s="1019"/>
      <c r="H61" s="1017"/>
      <c r="I61" s="1018"/>
      <c r="J61" s="1018"/>
      <c r="K61" s="1019"/>
      <c r="L61" s="1147">
        <f>'LF-Katsina'!L28:O28</f>
        <v>1</v>
      </c>
      <c r="M61" s="1148"/>
      <c r="N61" s="1148"/>
      <c r="O61" s="1149"/>
      <c r="P61" s="1147">
        <f>'LF-Katsina'!P28:S28</f>
        <v>1.2</v>
      </c>
      <c r="Q61" s="1148"/>
      <c r="R61" s="1148"/>
      <c r="S61" s="1149"/>
      <c r="T61" s="1147">
        <f>'Katsina Workings'!V$8</f>
        <v>2.96</v>
      </c>
      <c r="U61" s="1148"/>
      <c r="V61" s="1148"/>
      <c r="W61" s="1149"/>
      <c r="X61" s="874"/>
    </row>
    <row r="62" spans="1:24" ht="13.5" thickBot="1">
      <c r="A62" s="885"/>
      <c r="B62" s="885"/>
      <c r="C62" s="100" t="s">
        <v>302</v>
      </c>
      <c r="D62" s="1017"/>
      <c r="E62" s="1018"/>
      <c r="F62" s="1018"/>
      <c r="G62" s="1019"/>
      <c r="H62" s="1017"/>
      <c r="I62" s="1018"/>
      <c r="J62" s="1018"/>
      <c r="K62" s="1019"/>
      <c r="L62" s="1147">
        <f>'LF-Yobe'!L28:O28</f>
        <v>1</v>
      </c>
      <c r="M62" s="1148"/>
      <c r="N62" s="1148"/>
      <c r="O62" s="1149"/>
      <c r="P62" s="1147">
        <f>'LF-Yobe'!P28:S28</f>
        <v>3.1</v>
      </c>
      <c r="Q62" s="1148"/>
      <c r="R62" s="1148"/>
      <c r="S62" s="1149"/>
      <c r="T62" s="1147">
        <f>'Yobe Workings'!V$8</f>
        <v>3.14</v>
      </c>
      <c r="U62" s="1148"/>
      <c r="V62" s="1148"/>
      <c r="W62" s="1149"/>
      <c r="X62" s="874"/>
    </row>
    <row r="63" spans="1:24" ht="24.75" thickBot="1">
      <c r="A63" s="885"/>
      <c r="B63" s="885"/>
      <c r="C63" s="100" t="s">
        <v>303</v>
      </c>
      <c r="D63" s="1017"/>
      <c r="E63" s="1018"/>
      <c r="F63" s="1018"/>
      <c r="G63" s="1019"/>
      <c r="H63" s="1017"/>
      <c r="I63" s="1018"/>
      <c r="J63" s="1018"/>
      <c r="K63" s="1019"/>
      <c r="L63" s="1017"/>
      <c r="M63" s="1018"/>
      <c r="N63" s="1018"/>
      <c r="O63" s="1019"/>
      <c r="P63" s="1017"/>
      <c r="Q63" s="1018"/>
      <c r="R63" s="1018"/>
      <c r="S63" s="1019"/>
      <c r="T63" s="1147">
        <f>T53</f>
        <v>0</v>
      </c>
      <c r="U63" s="1148"/>
      <c r="V63" s="1148"/>
      <c r="W63" s="1149"/>
      <c r="X63" s="874"/>
    </row>
    <row r="64" spans="1:24" ht="13.5" thickBot="1">
      <c r="A64" s="885"/>
      <c r="B64" s="885"/>
      <c r="C64" s="100" t="s">
        <v>304</v>
      </c>
      <c r="D64" s="1017"/>
      <c r="E64" s="1018"/>
      <c r="F64" s="1018"/>
      <c r="G64" s="1019"/>
      <c r="H64" s="1017"/>
      <c r="I64" s="1018"/>
      <c r="J64" s="1018"/>
      <c r="K64" s="1019"/>
      <c r="L64" s="1017"/>
      <c r="M64" s="1018"/>
      <c r="N64" s="1018"/>
      <c r="O64" s="1019"/>
      <c r="P64" s="1017"/>
      <c r="Q64" s="1018"/>
      <c r="R64" s="1018"/>
      <c r="S64" s="1019"/>
      <c r="T64" s="1147">
        <f>T54</f>
        <v>1.2</v>
      </c>
      <c r="U64" s="1148"/>
      <c r="V64" s="1148"/>
      <c r="W64" s="1149"/>
      <c r="X64" s="874"/>
    </row>
    <row r="65" spans="1:24" ht="13.5" thickBot="1">
      <c r="A65" s="885"/>
      <c r="B65" s="885"/>
      <c r="C65" s="922" t="s">
        <v>413</v>
      </c>
      <c r="D65" s="927" t="s">
        <v>4</v>
      </c>
      <c r="E65" s="928"/>
      <c r="F65" s="928"/>
      <c r="G65" s="928"/>
      <c r="H65" s="928"/>
      <c r="I65" s="928"/>
      <c r="J65" s="928"/>
      <c r="K65" s="928"/>
      <c r="L65" s="928"/>
      <c r="M65" s="928"/>
      <c r="N65" s="928"/>
      <c r="O65" s="928"/>
      <c r="P65" s="928"/>
      <c r="Q65" s="928"/>
      <c r="R65" s="928"/>
      <c r="S65" s="928"/>
      <c r="T65" s="928"/>
      <c r="U65" s="928"/>
      <c r="V65" s="928"/>
      <c r="W65" s="928"/>
      <c r="X65" s="874"/>
    </row>
    <row r="66" spans="1:24" ht="13.5" thickBot="1">
      <c r="A66" s="885"/>
      <c r="B66" s="869"/>
      <c r="C66" s="923"/>
      <c r="D66" s="930" t="s">
        <v>116</v>
      </c>
      <c r="E66" s="931"/>
      <c r="F66" s="931"/>
      <c r="G66" s="931"/>
      <c r="H66" s="931"/>
      <c r="I66" s="931"/>
      <c r="J66" s="931"/>
      <c r="K66" s="931"/>
      <c r="L66" s="931"/>
      <c r="M66" s="931"/>
      <c r="N66" s="931"/>
      <c r="O66" s="931"/>
      <c r="P66" s="931"/>
      <c r="Q66" s="931"/>
      <c r="R66" s="931"/>
      <c r="S66" s="931"/>
      <c r="T66" s="931"/>
      <c r="U66" s="931"/>
      <c r="V66" s="931"/>
      <c r="W66" s="932"/>
      <c r="X66" s="874"/>
    </row>
    <row r="67" spans="1:24" ht="12.95" customHeight="1" thickBot="1">
      <c r="A67" s="885"/>
      <c r="B67" s="11" t="s">
        <v>37</v>
      </c>
      <c r="C67" s="12"/>
      <c r="D67" s="927" t="s">
        <v>78</v>
      </c>
      <c r="E67" s="928"/>
      <c r="F67" s="928"/>
      <c r="G67" s="929"/>
      <c r="H67" s="927" t="s">
        <v>77</v>
      </c>
      <c r="I67" s="928"/>
      <c r="J67" s="928"/>
      <c r="K67" s="929"/>
      <c r="L67" s="927" t="s">
        <v>81</v>
      </c>
      <c r="M67" s="928"/>
      <c r="N67" s="928"/>
      <c r="O67" s="929"/>
      <c r="P67" s="927" t="s">
        <v>254</v>
      </c>
      <c r="Q67" s="928"/>
      <c r="R67" s="928"/>
      <c r="S67" s="929"/>
      <c r="T67" s="1144" t="s">
        <v>908</v>
      </c>
      <c r="U67" s="1145"/>
      <c r="V67" s="1145"/>
      <c r="W67" s="1146"/>
      <c r="X67" s="874"/>
    </row>
    <row r="68" spans="1:24" ht="33" customHeight="1" thickBot="1">
      <c r="A68" s="971"/>
      <c r="B68" s="868" t="s">
        <v>148</v>
      </c>
      <c r="C68" s="91"/>
      <c r="D68" s="17" t="s">
        <v>106</v>
      </c>
      <c r="E68" s="17" t="s">
        <v>107</v>
      </c>
      <c r="F68" s="17" t="s">
        <v>108</v>
      </c>
      <c r="G68" s="17" t="s">
        <v>109</v>
      </c>
      <c r="H68" s="17" t="s">
        <v>106</v>
      </c>
      <c r="I68" s="17" t="s">
        <v>107</v>
      </c>
      <c r="J68" s="17" t="s">
        <v>108</v>
      </c>
      <c r="K68" s="17" t="s">
        <v>109</v>
      </c>
      <c r="L68" s="17" t="s">
        <v>106</v>
      </c>
      <c r="M68" s="17" t="s">
        <v>107</v>
      </c>
      <c r="N68" s="17" t="s">
        <v>108</v>
      </c>
      <c r="O68" s="17" t="s">
        <v>109</v>
      </c>
      <c r="P68" s="17" t="s">
        <v>106</v>
      </c>
      <c r="Q68" s="17" t="s">
        <v>107</v>
      </c>
      <c r="R68" s="17" t="s">
        <v>108</v>
      </c>
      <c r="S68" s="17" t="s">
        <v>109</v>
      </c>
      <c r="T68" s="17" t="s">
        <v>106</v>
      </c>
      <c r="U68" s="17" t="s">
        <v>107</v>
      </c>
      <c r="V68" s="17" t="s">
        <v>108</v>
      </c>
      <c r="W68" s="17" t="s">
        <v>109</v>
      </c>
      <c r="X68" s="874"/>
    </row>
    <row r="69" spans="1:24" ht="13.5" thickBot="1">
      <c r="A69" s="971"/>
      <c r="B69" s="885"/>
      <c r="C69" s="9" t="s">
        <v>285</v>
      </c>
      <c r="D69" s="104">
        <f>'LF-Enugu'!D33</f>
        <v>0</v>
      </c>
      <c r="E69" s="104">
        <f>'LF-Enugu'!E33</f>
        <v>2</v>
      </c>
      <c r="F69" s="104">
        <f>'LF-Enugu'!F33</f>
        <v>0</v>
      </c>
      <c r="G69" s="104">
        <f>'LF-Enugu'!G33</f>
        <v>0</v>
      </c>
      <c r="H69" s="104">
        <f>'LF-Enugu'!H33</f>
        <v>1</v>
      </c>
      <c r="I69" s="104">
        <f>'LF-Enugu'!I33</f>
        <v>9</v>
      </c>
      <c r="J69" s="104">
        <f>'LF-Enugu'!J33</f>
        <v>0</v>
      </c>
      <c r="K69" s="104">
        <f>'LF-Enugu'!K33</f>
        <v>2</v>
      </c>
      <c r="L69" s="104">
        <f>'LF-Enugu'!L33</f>
        <v>1</v>
      </c>
      <c r="M69" s="104">
        <f>'LF-Enugu'!M33</f>
        <v>13</v>
      </c>
      <c r="N69" s="104">
        <f>'LF-Enugu'!N33</f>
        <v>1</v>
      </c>
      <c r="O69" s="104">
        <f>'LF-Enugu'!O33</f>
        <v>13</v>
      </c>
      <c r="P69" s="150">
        <f>'LF-Enugu'!P33</f>
        <v>2</v>
      </c>
      <c r="Q69" s="150">
        <f>'LF-Enugu'!Q33</f>
        <v>14</v>
      </c>
      <c r="R69" s="150">
        <f>'LF-Enugu'!R33</f>
        <v>2</v>
      </c>
      <c r="S69" s="150">
        <f>'LF-Enugu'!S33</f>
        <v>15</v>
      </c>
      <c r="T69" s="515">
        <f>'Enugu Workings'!$V$10</f>
        <v>3.3333333333333339</v>
      </c>
      <c r="U69" s="515">
        <f>'Enugu Workings'!$V$13</f>
        <v>14.666666666666664</v>
      </c>
      <c r="V69" s="515">
        <f>'Enugu Workings'!$V$16</f>
        <v>3.3333333333333339</v>
      </c>
      <c r="W69" s="515">
        <f>'Enugu Workings'!$V$19</f>
        <v>15</v>
      </c>
      <c r="X69" s="874"/>
    </row>
    <row r="70" spans="1:24" ht="13.5" thickBot="1">
      <c r="A70" s="971"/>
      <c r="B70" s="501" t="s">
        <v>145</v>
      </c>
      <c r="C70" s="9" t="s">
        <v>286</v>
      </c>
      <c r="D70" s="104">
        <f>'LF-Jigawa'!D33</f>
        <v>12</v>
      </c>
      <c r="E70" s="104">
        <f>'LF-Jigawa'!E33</f>
        <v>15</v>
      </c>
      <c r="F70" s="104">
        <f>'LF-Jigawa'!F33</f>
        <v>0</v>
      </c>
      <c r="G70" s="104">
        <f>'LF-Jigawa'!G33</f>
        <v>12</v>
      </c>
      <c r="H70" s="104">
        <f>'LF-Jigawa'!H33</f>
        <v>12</v>
      </c>
      <c r="I70" s="104">
        <f>'LF-Jigawa'!I33</f>
        <v>15</v>
      </c>
      <c r="J70" s="104">
        <f>'LF-Jigawa'!J33</f>
        <v>0</v>
      </c>
      <c r="K70" s="104">
        <f>'LF-Jigawa'!K33</f>
        <v>12</v>
      </c>
      <c r="L70" s="104">
        <f>'LF-Jigawa'!L33</f>
        <v>13</v>
      </c>
      <c r="M70" s="104">
        <f>'LF-Jigawa'!M33</f>
        <v>15</v>
      </c>
      <c r="N70" s="104">
        <f>'LF-Jigawa'!N33</f>
        <v>1</v>
      </c>
      <c r="O70" s="104">
        <f>'LF-Jigawa'!O33</f>
        <v>13</v>
      </c>
      <c r="P70" s="150">
        <f>'LF-Jigawa'!P33</f>
        <v>14</v>
      </c>
      <c r="Q70" s="150">
        <f>'LF-Jigawa'!Q33</f>
        <v>15</v>
      </c>
      <c r="R70" s="150">
        <f>'LF-Jigawa'!R33</f>
        <v>2</v>
      </c>
      <c r="S70" s="150">
        <f>'LF-Jigawa'!S33</f>
        <v>13</v>
      </c>
      <c r="T70" s="515">
        <f>'Jigawa Workings'!$V$10</f>
        <v>14.666666666666664</v>
      </c>
      <c r="U70" s="515">
        <f>'Jigawa Workings'!$V$13</f>
        <v>15</v>
      </c>
      <c r="V70" s="515">
        <f>'Jigawa Workings'!$V$16</f>
        <v>2.6666666666666661</v>
      </c>
      <c r="W70" s="515">
        <f>'Jigawa Workings'!$V$19</f>
        <v>13.666666666666664</v>
      </c>
      <c r="X70" s="874"/>
    </row>
    <row r="71" spans="1:24" ht="13.5" thickBot="1">
      <c r="A71" s="971"/>
      <c r="B71" s="501" t="s">
        <v>147</v>
      </c>
      <c r="C71" s="9" t="s">
        <v>287</v>
      </c>
      <c r="D71" s="104">
        <f>'LF-Kaduna'!D33</f>
        <v>2</v>
      </c>
      <c r="E71" s="104">
        <f>'LF-Kaduna'!E33</f>
        <v>0</v>
      </c>
      <c r="F71" s="104">
        <f>'LF-Kaduna'!F33</f>
        <v>0</v>
      </c>
      <c r="G71" s="104">
        <f>'LF-Kaduna'!G33</f>
        <v>13</v>
      </c>
      <c r="H71" s="104">
        <f>'LF-Kaduna'!H33</f>
        <v>6</v>
      </c>
      <c r="I71" s="104">
        <f>'LF-Kaduna'!I33</f>
        <v>1</v>
      </c>
      <c r="J71" s="104">
        <f>'LF-Kaduna'!J33</f>
        <v>0</v>
      </c>
      <c r="K71" s="104">
        <f>'LF-Kaduna'!K33</f>
        <v>10</v>
      </c>
      <c r="L71" s="104">
        <f>'LF-Kaduna'!L33</f>
        <v>3</v>
      </c>
      <c r="M71" s="104">
        <f>'LF-Kaduna'!M33</f>
        <v>2</v>
      </c>
      <c r="N71" s="104">
        <f>'LF-Kaduna'!N33</f>
        <v>1</v>
      </c>
      <c r="O71" s="104">
        <f>'LF-Kaduna'!O33</f>
        <v>15</v>
      </c>
      <c r="P71" s="150">
        <f>'LF-Kaduna'!P33</f>
        <v>11</v>
      </c>
      <c r="Q71" s="150">
        <f>'LF-Kaduna'!Q33</f>
        <v>11</v>
      </c>
      <c r="R71" s="150">
        <f>'LF-Kaduna'!R33</f>
        <v>2</v>
      </c>
      <c r="S71" s="150">
        <f>'LF-Kaduna'!S33</f>
        <v>15</v>
      </c>
      <c r="T71" s="515">
        <f>'Kaduna Workings'!$V$10</f>
        <v>13.666666666666664</v>
      </c>
      <c r="U71" s="515">
        <f>'Kaduna Workings'!$V$13</f>
        <v>13.666666666666664</v>
      </c>
      <c r="V71" s="515">
        <f>'Kaduna Workings'!$V$16</f>
        <v>4.6666666666666661</v>
      </c>
      <c r="W71" s="515">
        <f>'Kaduna Workings'!$V$19</f>
        <v>15</v>
      </c>
      <c r="X71" s="874"/>
    </row>
    <row r="72" spans="1:24" ht="13.5" thickBot="1">
      <c r="A72" s="971"/>
      <c r="B72" s="501" t="s">
        <v>146</v>
      </c>
      <c r="C72" s="9" t="s">
        <v>288</v>
      </c>
      <c r="D72" s="104">
        <f>'LF-Kano'!D33</f>
        <v>1</v>
      </c>
      <c r="E72" s="104">
        <f>'LF-Kano'!E33</f>
        <v>1</v>
      </c>
      <c r="F72" s="104">
        <f>'LF-Kano'!F33</f>
        <v>0</v>
      </c>
      <c r="G72" s="104">
        <f>'LF-Kano'!G33</f>
        <v>2</v>
      </c>
      <c r="H72" s="104">
        <f>'LF-Kano'!H33</f>
        <v>2</v>
      </c>
      <c r="I72" s="104">
        <f>'LF-Kano'!I33</f>
        <v>2</v>
      </c>
      <c r="J72" s="104">
        <f>'LF-Kano'!J33</f>
        <v>1</v>
      </c>
      <c r="K72" s="104">
        <f>'LF-Kano'!K33</f>
        <v>11</v>
      </c>
      <c r="L72" s="104">
        <f>'LF-Kano'!L33</f>
        <v>3</v>
      </c>
      <c r="M72" s="104">
        <f>'LF-Kano'!M33</f>
        <v>3</v>
      </c>
      <c r="N72" s="104">
        <f>'LF-Kano'!N33</f>
        <v>1</v>
      </c>
      <c r="O72" s="104">
        <f>'LF-Kano'!O33</f>
        <v>15</v>
      </c>
      <c r="P72" s="150">
        <f>'LF-Kano'!P33</f>
        <v>3</v>
      </c>
      <c r="Q72" s="150">
        <f>'LF-Kano'!Q33</f>
        <v>3</v>
      </c>
      <c r="R72" s="150">
        <f>'LF-Kano'!R33</f>
        <v>2</v>
      </c>
      <c r="S72" s="150">
        <f>'LF-Kano'!S33</f>
        <v>13</v>
      </c>
      <c r="T72" s="515">
        <f>'Kano Workings'!$V$10</f>
        <v>5.666666666666667</v>
      </c>
      <c r="U72" s="515">
        <f>'Kano Workings'!$V$13</f>
        <v>5.666666666666667</v>
      </c>
      <c r="V72" s="515">
        <f>'Kano Workings'!$V$16</f>
        <v>4.6666666666666661</v>
      </c>
      <c r="W72" s="515">
        <f>'Kano Workings'!$V$19</f>
        <v>13.666666666666664</v>
      </c>
      <c r="X72" s="874"/>
    </row>
    <row r="73" spans="1:24" ht="13.5" thickBot="1">
      <c r="A73" s="971"/>
      <c r="B73" s="501"/>
      <c r="C73" s="9" t="s">
        <v>289</v>
      </c>
      <c r="D73" s="104">
        <f>'LF-Lagos'!D33</f>
        <v>1</v>
      </c>
      <c r="E73" s="104">
        <f>'LF-Lagos'!E33</f>
        <v>1</v>
      </c>
      <c r="F73" s="104">
        <f>'LF-Lagos'!F33</f>
        <v>1</v>
      </c>
      <c r="G73" s="104">
        <f>'LF-Lagos'!G33</f>
        <v>12</v>
      </c>
      <c r="H73" s="104">
        <f>'LF-Lagos'!H33</f>
        <v>5</v>
      </c>
      <c r="I73" s="104">
        <f>'LF-Lagos'!I33</f>
        <v>9</v>
      </c>
      <c r="J73" s="104">
        <f>'LF-Lagos'!J33</f>
        <v>3</v>
      </c>
      <c r="K73" s="104">
        <f>'LF-Lagos'!K33</f>
        <v>13</v>
      </c>
      <c r="L73" s="104">
        <f>'LF-Lagos'!L33</f>
        <v>10</v>
      </c>
      <c r="M73" s="104">
        <f>'LF-Lagos'!M33</f>
        <v>13</v>
      </c>
      <c r="N73" s="104">
        <f>'LF-Lagos'!N33</f>
        <v>9</v>
      </c>
      <c r="O73" s="104">
        <f>'LF-Lagos'!O33</f>
        <v>14</v>
      </c>
      <c r="P73" s="150">
        <f>'LF-Lagos'!P33</f>
        <v>15</v>
      </c>
      <c r="Q73" s="150">
        <f>'LF-Lagos'!Q33</f>
        <v>15</v>
      </c>
      <c r="R73" s="150">
        <f>'LF-Lagos'!R33</f>
        <v>9</v>
      </c>
      <c r="S73" s="150">
        <f>'LF-Lagos'!S33</f>
        <v>14</v>
      </c>
      <c r="T73" s="515">
        <f>'Lagos Workings'!$V$10</f>
        <v>15</v>
      </c>
      <c r="U73" s="515">
        <f>'Lagos Workings'!$V$13</f>
        <v>15</v>
      </c>
      <c r="V73" s="515">
        <f>'Lagos Workings'!$V$16</f>
        <v>11</v>
      </c>
      <c r="W73" s="515">
        <f>'Lagos Workings'!$V$19</f>
        <v>14.666666666666664</v>
      </c>
      <c r="X73" s="874"/>
    </row>
    <row r="74" spans="1:24" ht="13.5" thickBot="1">
      <c r="A74" s="971"/>
      <c r="B74" s="501"/>
      <c r="C74" s="9" t="s">
        <v>292</v>
      </c>
      <c r="D74" s="1051" t="s">
        <v>414</v>
      </c>
      <c r="E74" s="1052"/>
      <c r="F74" s="1052"/>
      <c r="G74" s="1053"/>
      <c r="H74" s="104">
        <f>'LF-Zamfara'!H33</f>
        <v>0</v>
      </c>
      <c r="I74" s="104">
        <f>'LF-Zamfara'!I33</f>
        <v>0</v>
      </c>
      <c r="J74" s="104">
        <f>'LF-Zamfara'!J33</f>
        <v>0</v>
      </c>
      <c r="K74" s="104">
        <f>'LF-Zamfara'!K33</f>
        <v>12</v>
      </c>
      <c r="L74" s="104">
        <f>'LF-Zamfara'!L33</f>
        <v>1</v>
      </c>
      <c r="M74" s="104">
        <f>'LF-Zamfara'!M33</f>
        <v>1</v>
      </c>
      <c r="N74" s="104">
        <f>'LF-Zamfara'!N33</f>
        <v>1</v>
      </c>
      <c r="O74" s="104">
        <f>'LF-Zamfara'!O33</f>
        <v>12</v>
      </c>
      <c r="P74" s="150">
        <f>'LF-Zamfara'!P33</f>
        <v>2</v>
      </c>
      <c r="Q74" s="150">
        <f>'LF-Zamfara'!Q33</f>
        <v>2</v>
      </c>
      <c r="R74" s="150">
        <f>'LF-Zamfara'!R33</f>
        <v>2</v>
      </c>
      <c r="S74" s="150">
        <f>'LF-Zamfara'!S33</f>
        <v>13</v>
      </c>
      <c r="T74" s="515">
        <f>'Zamfara Workings'!$V$10</f>
        <v>3.3333333333333339</v>
      </c>
      <c r="U74" s="515">
        <f>'Zamfara Workings'!$V$13</f>
        <v>3.3333333333333339</v>
      </c>
      <c r="V74" s="515">
        <f>'Zamfara Workings'!$V$16</f>
        <v>3.3333333333333339</v>
      </c>
      <c r="W74" s="515">
        <f>'Zamfara Workings'!$V$19</f>
        <v>13.666666666666664</v>
      </c>
      <c r="X74" s="874"/>
    </row>
    <row r="75" spans="1:24" ht="13.5" thickBot="1">
      <c r="A75" s="971"/>
      <c r="B75" s="501"/>
      <c r="C75" s="9" t="s">
        <v>293</v>
      </c>
      <c r="D75" s="1051" t="s">
        <v>414</v>
      </c>
      <c r="E75" s="1052"/>
      <c r="F75" s="1052"/>
      <c r="G75" s="1053"/>
      <c r="H75" s="104">
        <f>'LF-Katsina'!H33</f>
        <v>0</v>
      </c>
      <c r="I75" s="104">
        <f>'LF-Katsina'!I33</f>
        <v>0</v>
      </c>
      <c r="J75" s="104">
        <f>'LF-Katsina'!J33</f>
        <v>0</v>
      </c>
      <c r="K75" s="104">
        <f>'LF-Katsina'!K33</f>
        <v>12</v>
      </c>
      <c r="L75" s="104">
        <f>'LF-Katsina'!L33</f>
        <v>1</v>
      </c>
      <c r="M75" s="104">
        <f>'LF-Katsina'!M33</f>
        <v>1</v>
      </c>
      <c r="N75" s="104">
        <f>'LF-Katsina'!N33</f>
        <v>1</v>
      </c>
      <c r="O75" s="104">
        <f>'LF-Katsina'!O33</f>
        <v>12</v>
      </c>
      <c r="P75" s="150">
        <f>'LF-Katsina'!P33</f>
        <v>4</v>
      </c>
      <c r="Q75" s="150">
        <f>'LF-Katsina'!Q33</f>
        <v>5</v>
      </c>
      <c r="R75" s="150">
        <f>'LF-Katsina'!R33</f>
        <v>2</v>
      </c>
      <c r="S75" s="150">
        <f>'LF-Katsina'!S33</f>
        <v>14</v>
      </c>
      <c r="T75" s="515">
        <f>'Katsina Workings'!$V$10</f>
        <v>6</v>
      </c>
      <c r="U75" s="515">
        <f>'Katsina Workings'!$V$13</f>
        <v>7</v>
      </c>
      <c r="V75" s="515">
        <f>'Katsina Workings'!$V$16</f>
        <v>3.3333333333333339</v>
      </c>
      <c r="W75" s="515">
        <f>'Katsina Workings'!$V$19</f>
        <v>14.666666666666664</v>
      </c>
      <c r="X75" s="874"/>
    </row>
    <row r="76" spans="1:24" ht="13.5" thickBot="1">
      <c r="A76" s="971"/>
      <c r="B76" s="501"/>
      <c r="C76" s="9" t="s">
        <v>294</v>
      </c>
      <c r="D76" s="1051" t="s">
        <v>414</v>
      </c>
      <c r="E76" s="1052"/>
      <c r="F76" s="1052"/>
      <c r="G76" s="1053"/>
      <c r="H76" s="104">
        <f>'LF-Yobe'!H33</f>
        <v>1</v>
      </c>
      <c r="I76" s="104">
        <f>'LF-Yobe'!I33</f>
        <v>1</v>
      </c>
      <c r="J76" s="104">
        <f>'LF-Yobe'!J33</f>
        <v>0</v>
      </c>
      <c r="K76" s="104">
        <f>'LF-Yobe'!K33</f>
        <v>13</v>
      </c>
      <c r="L76" s="104">
        <f>'LF-Yobe'!L33</f>
        <v>1</v>
      </c>
      <c r="M76" s="104">
        <f>'LF-Yobe'!M33</f>
        <v>1</v>
      </c>
      <c r="N76" s="104">
        <f>'LF-Yobe'!N33</f>
        <v>0</v>
      </c>
      <c r="O76" s="104">
        <f>'LF-Yobe'!O33</f>
        <v>13</v>
      </c>
      <c r="P76" s="150">
        <f>'LF-Yobe'!P33</f>
        <v>2</v>
      </c>
      <c r="Q76" s="150">
        <f>'LF-Yobe'!Q33</f>
        <v>1</v>
      </c>
      <c r="R76" s="150">
        <f>'LF-Yobe'!R33</f>
        <v>1</v>
      </c>
      <c r="S76" s="150">
        <f>'LF-Yobe'!S33</f>
        <v>14</v>
      </c>
      <c r="T76" s="515">
        <f>'Yobe Workings'!$V$10</f>
        <v>2.6666666666666661</v>
      </c>
      <c r="U76" s="515">
        <f>'Yobe Workings'!$V$13</f>
        <v>2.333333333333333</v>
      </c>
      <c r="V76" s="515">
        <f>'Yobe Workings'!$V$16</f>
        <v>1.666666666666667</v>
      </c>
      <c r="W76" s="515">
        <f>'Yobe Workings'!$V$19</f>
        <v>14.666666666666664</v>
      </c>
      <c r="X76" s="874"/>
    </row>
    <row r="77" spans="1:24" ht="12.95" customHeight="1" thickBot="1">
      <c r="A77" s="971"/>
      <c r="B77" s="501"/>
      <c r="C77" s="9" t="s">
        <v>290</v>
      </c>
      <c r="D77" s="945"/>
      <c r="E77" s="946"/>
      <c r="F77" s="946"/>
      <c r="G77" s="947"/>
      <c r="H77" s="1162"/>
      <c r="I77" s="1163"/>
      <c r="J77" s="1163"/>
      <c r="K77" s="1164"/>
      <c r="L77" s="1057" t="s">
        <v>910</v>
      </c>
      <c r="M77" s="1058"/>
      <c r="N77" s="1058"/>
      <c r="O77" s="1059"/>
      <c r="P77" s="104">
        <f>'LF-Anambra'!P33</f>
        <v>12</v>
      </c>
      <c r="Q77" s="104">
        <f>'LF-Anambra'!Q33</f>
        <v>12</v>
      </c>
      <c r="R77" s="104">
        <f>'LF-Anambra'!R33</f>
        <v>12</v>
      </c>
      <c r="S77" s="104">
        <f>'LF-Anambra'!S33</f>
        <v>12</v>
      </c>
      <c r="T77" s="118">
        <f>P77</f>
        <v>12</v>
      </c>
      <c r="U77" s="118">
        <f t="shared" ref="U77:W78" si="0">Q77</f>
        <v>12</v>
      </c>
      <c r="V77" s="118">
        <f t="shared" si="0"/>
        <v>12</v>
      </c>
      <c r="W77" s="118">
        <f t="shared" si="0"/>
        <v>12</v>
      </c>
      <c r="X77" s="874"/>
    </row>
    <row r="78" spans="1:24" ht="12.95" customHeight="1" thickBot="1">
      <c r="A78" s="971"/>
      <c r="B78" s="501"/>
      <c r="C78" s="9" t="s">
        <v>291</v>
      </c>
      <c r="D78" s="945"/>
      <c r="E78" s="946"/>
      <c r="F78" s="946"/>
      <c r="G78" s="947"/>
      <c r="H78" s="1162"/>
      <c r="I78" s="1163"/>
      <c r="J78" s="1163"/>
      <c r="K78" s="1164"/>
      <c r="L78" s="1057" t="s">
        <v>910</v>
      </c>
      <c r="M78" s="1058"/>
      <c r="N78" s="1058"/>
      <c r="O78" s="1059"/>
      <c r="P78" s="104">
        <f>'LF-Niger'!P33</f>
        <v>15</v>
      </c>
      <c r="Q78" s="104">
        <f>'LF-Niger'!Q33</f>
        <v>15</v>
      </c>
      <c r="R78" s="104">
        <f>'LF-Niger'!R33</f>
        <v>12</v>
      </c>
      <c r="S78" s="104">
        <f>'LF-Niger'!S33</f>
        <v>15</v>
      </c>
      <c r="T78" s="118">
        <f>P78</f>
        <v>15</v>
      </c>
      <c r="U78" s="118">
        <f t="shared" si="0"/>
        <v>15</v>
      </c>
      <c r="V78" s="118">
        <f t="shared" si="0"/>
        <v>12</v>
      </c>
      <c r="W78" s="118">
        <f t="shared" si="0"/>
        <v>15</v>
      </c>
      <c r="X78" s="874"/>
    </row>
    <row r="79" spans="1:24" ht="13.5" thickBot="1">
      <c r="A79" s="971"/>
      <c r="B79" s="501"/>
      <c r="C79" s="100" t="s">
        <v>295</v>
      </c>
      <c r="D79" s="1042" t="s">
        <v>416</v>
      </c>
      <c r="E79" s="1043"/>
      <c r="F79" s="1043"/>
      <c r="G79" s="1044"/>
      <c r="H79" s="105">
        <f>'LF-Enugu'!H34</f>
        <v>2</v>
      </c>
      <c r="I79" s="105">
        <f>'LF-Enugu'!I34</f>
        <v>8</v>
      </c>
      <c r="J79" s="105">
        <f>'LF-Enugu'!J34</f>
        <v>8</v>
      </c>
      <c r="K79" s="105">
        <f>'LF-Enugu'!K34</f>
        <v>10</v>
      </c>
      <c r="L79" s="105">
        <f>'LF-Enugu'!L34</f>
        <v>1</v>
      </c>
      <c r="M79" s="105">
        <f>'LF-Enugu'!M34</f>
        <v>12</v>
      </c>
      <c r="N79" s="105">
        <f>'LF-Enugu'!N34</f>
        <v>1</v>
      </c>
      <c r="O79" s="105">
        <f>'LF-Enugu'!O34</f>
        <v>15</v>
      </c>
      <c r="P79" s="105">
        <f>'LF-Enugu'!P34</f>
        <v>2</v>
      </c>
      <c r="Q79" s="105">
        <f>'LF-Enugu'!Q34</f>
        <v>14</v>
      </c>
      <c r="R79" s="105">
        <f>'LF-Enugu'!R34</f>
        <v>1</v>
      </c>
      <c r="S79" s="105">
        <f>'LF-Enugu'!S34</f>
        <v>15</v>
      </c>
      <c r="T79" s="523">
        <f>'Enugu Workings'!$V$11</f>
        <v>2</v>
      </c>
      <c r="U79" s="523">
        <f>'Enugu Workings'!$V$14</f>
        <v>15</v>
      </c>
      <c r="V79" s="523">
        <f>'Enugu Workings'!$V$17</f>
        <v>15</v>
      </c>
      <c r="W79" s="523">
        <f>'Enugu Workings'!$V$20</f>
        <v>15.1</v>
      </c>
      <c r="X79" s="874"/>
    </row>
    <row r="80" spans="1:24" ht="13.5" thickBot="1">
      <c r="A80" s="971"/>
      <c r="B80" s="501"/>
      <c r="C80" s="100" t="s">
        <v>296</v>
      </c>
      <c r="D80" s="1042" t="s">
        <v>416</v>
      </c>
      <c r="E80" s="1043"/>
      <c r="F80" s="1043"/>
      <c r="G80" s="1044"/>
      <c r="H80" s="105">
        <f>'LF-Jigawa'!H34</f>
        <v>8.5</v>
      </c>
      <c r="I80" s="105">
        <f>'LF-Jigawa'!I34</f>
        <v>8</v>
      </c>
      <c r="J80" s="105">
        <f>'LF-Jigawa'!J34</f>
        <v>0</v>
      </c>
      <c r="K80" s="105">
        <f>'LF-Jigawa'!K34</f>
        <v>8.5</v>
      </c>
      <c r="L80" s="105">
        <f>'LF-Jigawa'!L34</f>
        <v>12</v>
      </c>
      <c r="M80" s="105">
        <f>'LF-Jigawa'!M34</f>
        <v>15</v>
      </c>
      <c r="N80" s="105">
        <f>'LF-Jigawa'!N34</f>
        <v>1</v>
      </c>
      <c r="O80" s="105">
        <f>'LF-Jigawa'!O34</f>
        <v>12</v>
      </c>
      <c r="P80" s="105">
        <f>'LF-Jigawa'!P34</f>
        <v>12</v>
      </c>
      <c r="Q80" s="105">
        <f>'LF-Jigawa'!Q34</f>
        <v>15</v>
      </c>
      <c r="R80" s="105">
        <f>'LF-Jigawa'!R34</f>
        <v>1</v>
      </c>
      <c r="S80" s="105">
        <f>'LF-Jigawa'!S34</f>
        <v>12</v>
      </c>
      <c r="T80" s="523">
        <f>'Jigawa Workings'!$V$11</f>
        <v>12</v>
      </c>
      <c r="U80" s="523">
        <f>'Jigawa Workings'!$V$14</f>
        <v>15</v>
      </c>
      <c r="V80" s="523">
        <f>'Jigawa Workings'!$V$17</f>
        <v>12</v>
      </c>
      <c r="W80" s="523">
        <f>'Jigawa Workings'!$V$20</f>
        <v>12</v>
      </c>
      <c r="X80" s="874"/>
    </row>
    <row r="81" spans="1:24" ht="13.5" thickBot="1">
      <c r="A81" s="971"/>
      <c r="B81" s="501"/>
      <c r="C81" s="100" t="s">
        <v>297</v>
      </c>
      <c r="D81" s="1042" t="s">
        <v>416</v>
      </c>
      <c r="E81" s="1043"/>
      <c r="F81" s="1043"/>
      <c r="G81" s="1044"/>
      <c r="H81" s="105">
        <f>'LF-Kaduna'!H34</f>
        <v>7</v>
      </c>
      <c r="I81" s="105">
        <f>'LF-Kaduna'!I34</f>
        <v>3</v>
      </c>
      <c r="J81" s="105">
        <f>'LF-Kaduna'!J34</f>
        <v>0</v>
      </c>
      <c r="K81" s="105">
        <f>'LF-Kaduna'!K34</f>
        <v>10</v>
      </c>
      <c r="L81" s="105">
        <f>'LF-Kaduna'!L34</f>
        <v>2</v>
      </c>
      <c r="M81" s="105">
        <f>'LF-Kaduna'!M34</f>
        <v>1</v>
      </c>
      <c r="N81" s="105">
        <f>'LF-Kaduna'!N34</f>
        <v>1</v>
      </c>
      <c r="O81" s="105">
        <f>'LF-Kaduna'!O34</f>
        <v>15</v>
      </c>
      <c r="P81" s="105">
        <f>'LF-Kaduna'!P34</f>
        <v>2</v>
      </c>
      <c r="Q81" s="105">
        <f>'LF-Kaduna'!Q34</f>
        <v>2</v>
      </c>
      <c r="R81" s="105">
        <f>'LF-Kaduna'!R34</f>
        <v>1</v>
      </c>
      <c r="S81" s="105">
        <f>'LF-Kaduna'!S34</f>
        <v>15</v>
      </c>
      <c r="T81" s="523">
        <f>'Kaduna Workings'!$V$11</f>
        <v>2</v>
      </c>
      <c r="U81" s="523">
        <f>'Kaduna Workings'!$V$14</f>
        <v>2</v>
      </c>
      <c r="V81" s="523">
        <f>'Kaduna Workings'!$V$17</f>
        <v>12</v>
      </c>
      <c r="W81" s="523">
        <f>'Kaduna Workings'!$V$20</f>
        <v>15</v>
      </c>
      <c r="X81" s="874"/>
    </row>
    <row r="82" spans="1:24" ht="13.5" thickBot="1">
      <c r="A82" s="971"/>
      <c r="B82" s="501"/>
      <c r="C82" s="100" t="s">
        <v>298</v>
      </c>
      <c r="D82" s="1042" t="s">
        <v>416</v>
      </c>
      <c r="E82" s="1043"/>
      <c r="F82" s="1043"/>
      <c r="G82" s="1044"/>
      <c r="H82" s="105">
        <f>'LF-Kano'!H34</f>
        <v>3</v>
      </c>
      <c r="I82" s="105">
        <f>'LF-Kano'!I34</f>
        <v>3</v>
      </c>
      <c r="J82" s="105">
        <f>'LF-Kano'!J34</f>
        <v>1</v>
      </c>
      <c r="K82" s="105">
        <f>'LF-Kano'!K34</f>
        <v>7</v>
      </c>
      <c r="L82" s="105">
        <f>'LF-Kano'!L34</f>
        <v>1</v>
      </c>
      <c r="M82" s="105">
        <f>'LF-Kano'!M34</f>
        <v>1</v>
      </c>
      <c r="N82" s="105">
        <f>'LF-Kano'!N34</f>
        <v>1</v>
      </c>
      <c r="O82" s="105">
        <f>'LF-Kano'!O34</f>
        <v>13</v>
      </c>
      <c r="P82" s="105">
        <f>'LF-Kano'!P34</f>
        <v>6</v>
      </c>
      <c r="Q82" s="105">
        <f>'LF-Kano'!Q34</f>
        <v>6</v>
      </c>
      <c r="R82" s="105">
        <f>'LF-Kano'!R34</f>
        <v>1</v>
      </c>
      <c r="S82" s="105">
        <f>'LF-Kano'!S34</f>
        <v>15</v>
      </c>
      <c r="T82" s="523">
        <f>'Kano Workings'!$V$11</f>
        <v>6</v>
      </c>
      <c r="U82" s="523">
        <f>'Kano Workings'!$V$14</f>
        <v>6</v>
      </c>
      <c r="V82" s="523">
        <f>'Kano Workings'!$V$17</f>
        <v>12</v>
      </c>
      <c r="W82" s="523">
        <f>'Kano Workings'!$V$20</f>
        <v>15</v>
      </c>
      <c r="X82" s="874"/>
    </row>
    <row r="83" spans="1:24" ht="13.5" thickBot="1">
      <c r="A83" s="971"/>
      <c r="B83" s="501"/>
      <c r="C83" s="100" t="s">
        <v>299</v>
      </c>
      <c r="D83" s="1042" t="s">
        <v>416</v>
      </c>
      <c r="E83" s="1043"/>
      <c r="F83" s="1043"/>
      <c r="G83" s="1044"/>
      <c r="H83" s="105">
        <f>'LF-Lagos'!H34</f>
        <v>7</v>
      </c>
      <c r="I83" s="105">
        <f>'LF-Lagos'!I34</f>
        <v>7</v>
      </c>
      <c r="J83" s="105">
        <f>'LF-Lagos'!J34</f>
        <v>4</v>
      </c>
      <c r="K83" s="105">
        <f>'LF-Lagos'!K34</f>
        <v>9</v>
      </c>
      <c r="L83" s="105">
        <f>'LF-Lagos'!L34</f>
        <v>13</v>
      </c>
      <c r="M83" s="105">
        <f>'LF-Lagos'!M34</f>
        <v>14</v>
      </c>
      <c r="N83" s="105">
        <f>'LF-Lagos'!N34</f>
        <v>7</v>
      </c>
      <c r="O83" s="105">
        <f>'LF-Lagos'!O34</f>
        <v>14</v>
      </c>
      <c r="P83" s="105">
        <f>'LF-Lagos'!P34</f>
        <v>15</v>
      </c>
      <c r="Q83" s="105">
        <f>'LF-Lagos'!Q34</f>
        <v>15</v>
      </c>
      <c r="R83" s="105">
        <f>'LF-Lagos'!R34</f>
        <v>7</v>
      </c>
      <c r="S83" s="105">
        <f>'LF-Lagos'!S34</f>
        <v>15</v>
      </c>
      <c r="T83" s="523">
        <f>'Lagos Workings'!$V$11</f>
        <v>15</v>
      </c>
      <c r="U83" s="523">
        <f>'Lagos Workings'!$V$14</f>
        <v>15</v>
      </c>
      <c r="V83" s="523">
        <f>'Lagos Workings'!$V$17</f>
        <v>12</v>
      </c>
      <c r="W83" s="523">
        <f>'Lagos Workings'!$V$20</f>
        <v>15</v>
      </c>
      <c r="X83" s="874"/>
    </row>
    <row r="84" spans="1:24" ht="24.75" thickBot="1">
      <c r="A84" s="971"/>
      <c r="B84" s="501"/>
      <c r="C84" s="100" t="s">
        <v>300</v>
      </c>
      <c r="D84" s="1054"/>
      <c r="E84" s="1055"/>
      <c r="F84" s="1055"/>
      <c r="G84" s="1056"/>
      <c r="H84" s="1054"/>
      <c r="I84" s="1055"/>
      <c r="J84" s="1055"/>
      <c r="K84" s="1056"/>
      <c r="L84" s="105">
        <f>'LF-Zamfara'!L34</f>
        <v>1</v>
      </c>
      <c r="M84" s="105">
        <f>'LF-Zamfara'!M34</f>
        <v>1</v>
      </c>
      <c r="N84" s="105">
        <f>'LF-Zamfara'!N34</f>
        <v>1</v>
      </c>
      <c r="O84" s="105">
        <f>'LF-Zamfara'!O34</f>
        <v>12</v>
      </c>
      <c r="P84" s="105">
        <f>'LF-Zamfara'!P34</f>
        <v>1</v>
      </c>
      <c r="Q84" s="105">
        <f>'LF-Zamfara'!Q34</f>
        <v>1</v>
      </c>
      <c r="R84" s="105">
        <f>'LF-Zamfara'!R34</f>
        <v>1</v>
      </c>
      <c r="S84" s="105">
        <f>'LF-Zamfara'!S34</f>
        <v>14</v>
      </c>
      <c r="T84" s="523">
        <f>'Zamfara Workings'!$V$11</f>
        <v>1</v>
      </c>
      <c r="U84" s="523">
        <f>'Zamfara Workings'!$V$14</f>
        <v>1</v>
      </c>
      <c r="V84" s="523">
        <f>'Zamfara Workings'!$V$17</f>
        <v>12</v>
      </c>
      <c r="W84" s="523">
        <f>'Zamfara Workings'!$V$20</f>
        <v>14</v>
      </c>
      <c r="X84" s="874"/>
    </row>
    <row r="85" spans="1:24" ht="13.5" thickBot="1">
      <c r="A85" s="971"/>
      <c r="B85" s="501"/>
      <c r="C85" s="100" t="s">
        <v>301</v>
      </c>
      <c r="D85" s="510"/>
      <c r="E85" s="511"/>
      <c r="F85" s="511"/>
      <c r="G85" s="512"/>
      <c r="H85" s="510"/>
      <c r="I85" s="511"/>
      <c r="J85" s="511"/>
      <c r="K85" s="512"/>
      <c r="L85" s="105">
        <f>'LF-Katsina'!L34</f>
        <v>1</v>
      </c>
      <c r="M85" s="105">
        <f>'LF-Katsina'!M34</f>
        <v>1</v>
      </c>
      <c r="N85" s="105">
        <f>'LF-Katsina'!N34</f>
        <v>1</v>
      </c>
      <c r="O85" s="105">
        <f>'LF-Katsina'!O34</f>
        <v>12</v>
      </c>
      <c r="P85" s="105">
        <f>'LF-Katsina'!P34</f>
        <v>6</v>
      </c>
      <c r="Q85" s="105">
        <f>'LF-Katsina'!Q34</f>
        <v>6</v>
      </c>
      <c r="R85" s="105">
        <f>'LF-Katsina'!R34</f>
        <v>1</v>
      </c>
      <c r="S85" s="105">
        <f>'LF-Katsina'!S34</f>
        <v>15</v>
      </c>
      <c r="T85" s="523">
        <f>'Katsina Workings'!$V$11</f>
        <v>6</v>
      </c>
      <c r="U85" s="523">
        <f>'Katsina Workings'!$V$14</f>
        <v>6</v>
      </c>
      <c r="V85" s="523">
        <f>'Katsina Workings'!$V$17</f>
        <v>12</v>
      </c>
      <c r="W85" s="523">
        <f>'Katsina Workings'!$V$20</f>
        <v>14</v>
      </c>
      <c r="X85" s="874"/>
    </row>
    <row r="86" spans="1:24" ht="13.5" thickBot="1">
      <c r="A86" s="971"/>
      <c r="B86" s="501"/>
      <c r="C86" s="100" t="s">
        <v>302</v>
      </c>
      <c r="D86" s="510"/>
      <c r="E86" s="511"/>
      <c r="F86" s="511"/>
      <c r="G86" s="512"/>
      <c r="H86" s="510"/>
      <c r="I86" s="511"/>
      <c r="J86" s="511"/>
      <c r="K86" s="512"/>
      <c r="L86" s="105">
        <f>'LF-Yobe'!L34</f>
        <v>1</v>
      </c>
      <c r="M86" s="105">
        <f>'LF-Yobe'!M34</f>
        <v>1</v>
      </c>
      <c r="N86" s="105">
        <f>'LF-Yobe'!N34</f>
        <v>0</v>
      </c>
      <c r="O86" s="105">
        <f>'LF-Yobe'!O34</f>
        <v>13</v>
      </c>
      <c r="P86" s="105">
        <f>'LF-Yobe'!P34</f>
        <v>1</v>
      </c>
      <c r="Q86" s="105">
        <f>'LF-Yobe'!Q34</f>
        <v>1</v>
      </c>
      <c r="R86" s="105">
        <f>'LF-Yobe'!R34</f>
        <v>0</v>
      </c>
      <c r="S86" s="105">
        <f>'LF-Yobe'!S34</f>
        <v>14</v>
      </c>
      <c r="T86" s="523">
        <f>'Yobe Workings'!$V$11</f>
        <v>10</v>
      </c>
      <c r="U86" s="523">
        <f>'Yobe Workings'!$V$14</f>
        <v>9</v>
      </c>
      <c r="V86" s="523">
        <f>'Yobe Workings'!$V$17</f>
        <v>12</v>
      </c>
      <c r="W86" s="523">
        <f>'Yobe Workings'!$V$20</f>
        <v>15</v>
      </c>
      <c r="X86" s="874"/>
    </row>
    <row r="87" spans="1:24" ht="24.75" thickBot="1">
      <c r="A87" s="971"/>
      <c r="B87" s="501"/>
      <c r="C87" s="100" t="s">
        <v>303</v>
      </c>
      <c r="D87" s="1054"/>
      <c r="E87" s="1055"/>
      <c r="F87" s="1055"/>
      <c r="G87" s="1056"/>
      <c r="H87" s="1054"/>
      <c r="I87" s="1055"/>
      <c r="J87" s="1055"/>
      <c r="K87" s="1056"/>
      <c r="L87" s="1054"/>
      <c r="M87" s="1055"/>
      <c r="N87" s="1055"/>
      <c r="O87" s="1056"/>
      <c r="P87" s="1017"/>
      <c r="Q87" s="1018"/>
      <c r="R87" s="1018"/>
      <c r="S87" s="1019"/>
      <c r="T87" s="523">
        <f>T77</f>
        <v>12</v>
      </c>
      <c r="U87" s="523">
        <f t="shared" ref="U87:W87" si="1">U77</f>
        <v>12</v>
      </c>
      <c r="V87" s="523">
        <f t="shared" si="1"/>
        <v>12</v>
      </c>
      <c r="W87" s="523">
        <f t="shared" si="1"/>
        <v>12</v>
      </c>
      <c r="X87" s="874"/>
    </row>
    <row r="88" spans="1:24" ht="13.5" thickBot="1">
      <c r="A88" s="971"/>
      <c r="B88" s="501"/>
      <c r="C88" s="100" t="s">
        <v>304</v>
      </c>
      <c r="D88" s="510"/>
      <c r="E88" s="511"/>
      <c r="F88" s="511"/>
      <c r="G88" s="512"/>
      <c r="H88" s="510"/>
      <c r="I88" s="511"/>
      <c r="J88" s="511"/>
      <c r="K88" s="512"/>
      <c r="L88" s="510"/>
      <c r="M88" s="511"/>
      <c r="N88" s="511"/>
      <c r="O88" s="512"/>
      <c r="P88" s="1017"/>
      <c r="Q88" s="1018"/>
      <c r="R88" s="1018"/>
      <c r="S88" s="1019"/>
      <c r="T88" s="523">
        <f>T78</f>
        <v>15</v>
      </c>
      <c r="U88" s="523">
        <f t="shared" ref="U88:W88" si="2">U78</f>
        <v>15</v>
      </c>
      <c r="V88" s="523">
        <f t="shared" si="2"/>
        <v>12</v>
      </c>
      <c r="W88" s="523">
        <f t="shared" si="2"/>
        <v>15</v>
      </c>
      <c r="X88" s="874"/>
    </row>
    <row r="89" spans="1:24" ht="13.5" thickBot="1">
      <c r="A89" s="971"/>
      <c r="B89" s="980"/>
      <c r="C89" s="922" t="s">
        <v>413</v>
      </c>
      <c r="D89" s="927" t="s">
        <v>4</v>
      </c>
      <c r="E89" s="928"/>
      <c r="F89" s="928"/>
      <c r="G89" s="928"/>
      <c r="H89" s="928"/>
      <c r="I89" s="928"/>
      <c r="J89" s="928"/>
      <c r="K89" s="928"/>
      <c r="L89" s="928"/>
      <c r="M89" s="928"/>
      <c r="N89" s="928"/>
      <c r="O89" s="928"/>
      <c r="P89" s="928"/>
      <c r="Q89" s="928"/>
      <c r="R89" s="928"/>
      <c r="S89" s="928"/>
      <c r="T89" s="928"/>
      <c r="U89" s="928"/>
      <c r="V89" s="928"/>
      <c r="W89" s="928"/>
      <c r="X89" s="874"/>
    </row>
    <row r="90" spans="1:24" ht="13.5" thickBot="1">
      <c r="A90" s="982"/>
      <c r="B90" s="981"/>
      <c r="C90" s="923"/>
      <c r="D90" s="930" t="s">
        <v>117</v>
      </c>
      <c r="E90" s="931"/>
      <c r="F90" s="931"/>
      <c r="G90" s="931"/>
      <c r="H90" s="931"/>
      <c r="I90" s="931"/>
      <c r="J90" s="931"/>
      <c r="K90" s="931"/>
      <c r="L90" s="931"/>
      <c r="M90" s="931"/>
      <c r="N90" s="931"/>
      <c r="O90" s="931"/>
      <c r="P90" s="931"/>
      <c r="Q90" s="931"/>
      <c r="R90" s="931"/>
      <c r="S90" s="931"/>
      <c r="T90" s="931"/>
      <c r="U90" s="931"/>
      <c r="V90" s="931"/>
      <c r="W90" s="932"/>
      <c r="X90" s="875"/>
    </row>
    <row r="91" spans="1:24">
      <c r="A91" s="5"/>
      <c r="B91" s="5"/>
      <c r="C91" s="14"/>
      <c r="D91" s="5"/>
      <c r="E91" s="5"/>
      <c r="F91" s="5"/>
      <c r="G91" s="5"/>
      <c r="H91" s="5"/>
      <c r="I91" s="5"/>
      <c r="J91" s="5"/>
      <c r="K91" s="5"/>
      <c r="L91" s="5"/>
      <c r="M91" s="5"/>
      <c r="N91" s="5"/>
      <c r="O91" s="5"/>
      <c r="P91" s="5"/>
      <c r="Q91" s="5"/>
      <c r="R91" s="5"/>
      <c r="S91" s="5"/>
      <c r="T91" s="5"/>
      <c r="U91" s="5"/>
      <c r="V91" s="5"/>
      <c r="W91" s="5"/>
      <c r="X91" s="5"/>
    </row>
    <row r="92" spans="1:24" ht="13.5" thickBot="1">
      <c r="A92" s="5"/>
      <c r="B92" s="5"/>
      <c r="C92" s="6"/>
      <c r="D92" s="5"/>
      <c r="E92" s="5"/>
      <c r="F92" s="5"/>
      <c r="G92" s="5"/>
      <c r="H92" s="5"/>
      <c r="I92" s="5"/>
      <c r="J92" s="5"/>
      <c r="K92" s="5"/>
      <c r="L92" s="5"/>
      <c r="M92" s="5"/>
      <c r="N92" s="5"/>
      <c r="O92" s="5"/>
      <c r="P92" s="5"/>
      <c r="Q92" s="5"/>
      <c r="R92" s="5"/>
      <c r="S92" s="5"/>
      <c r="T92" s="5"/>
      <c r="U92" s="5"/>
      <c r="V92" s="5"/>
      <c r="W92" s="5"/>
      <c r="X92" s="5"/>
    </row>
    <row r="93" spans="1:24" ht="12.95" customHeight="1" thickBot="1">
      <c r="A93" s="513" t="s">
        <v>5</v>
      </c>
      <c r="B93" s="514" t="s">
        <v>22</v>
      </c>
      <c r="C93" s="8"/>
      <c r="D93" s="927" t="s">
        <v>78</v>
      </c>
      <c r="E93" s="928"/>
      <c r="F93" s="928"/>
      <c r="G93" s="929"/>
      <c r="H93" s="927" t="s">
        <v>77</v>
      </c>
      <c r="I93" s="928"/>
      <c r="J93" s="928"/>
      <c r="K93" s="929"/>
      <c r="L93" s="927" t="s">
        <v>81</v>
      </c>
      <c r="M93" s="928"/>
      <c r="N93" s="928"/>
      <c r="O93" s="929"/>
      <c r="P93" s="927" t="s">
        <v>254</v>
      </c>
      <c r="Q93" s="928"/>
      <c r="R93" s="928"/>
      <c r="S93" s="929"/>
      <c r="T93" s="1144" t="s">
        <v>908</v>
      </c>
      <c r="U93" s="1145"/>
      <c r="V93" s="1145"/>
      <c r="W93" s="1146"/>
      <c r="X93" s="19" t="s">
        <v>6</v>
      </c>
    </row>
    <row r="94" spans="1:24" ht="13.5" thickBot="1">
      <c r="A94" s="868" t="s">
        <v>54</v>
      </c>
      <c r="B94" s="868" t="s">
        <v>55</v>
      </c>
      <c r="C94" s="9" t="s">
        <v>285</v>
      </c>
      <c r="D94" s="942">
        <f>'LF-Enugu'!D40:G40</f>
        <v>2</v>
      </c>
      <c r="E94" s="943"/>
      <c r="F94" s="943"/>
      <c r="G94" s="944"/>
      <c r="H94" s="942">
        <f>'LF-Enugu'!H40:K40</f>
        <v>2</v>
      </c>
      <c r="I94" s="943"/>
      <c r="J94" s="943"/>
      <c r="K94" s="944"/>
      <c r="L94" s="942">
        <f>'LF-Enugu'!L40:O40</f>
        <v>2.8</v>
      </c>
      <c r="M94" s="943"/>
      <c r="N94" s="943"/>
      <c r="O94" s="944"/>
      <c r="P94" s="963">
        <f>'LF-Enugu'!P40:S40</f>
        <v>3.2</v>
      </c>
      <c r="Q94" s="964"/>
      <c r="R94" s="964"/>
      <c r="S94" s="965"/>
      <c r="T94" s="1159">
        <f>'Enugu Workings'!$V$22</f>
        <v>3.3999999999999995</v>
      </c>
      <c r="U94" s="1160">
        <f>'Enugu Workings'!$V$10</f>
        <v>3.3333333333333339</v>
      </c>
      <c r="V94" s="1160">
        <f>'Enugu Workings'!$V$10</f>
        <v>3.3333333333333339</v>
      </c>
      <c r="W94" s="1161">
        <f>'Enugu Workings'!$V$10</f>
        <v>3.3333333333333339</v>
      </c>
      <c r="X94" s="879" t="s">
        <v>95</v>
      </c>
    </row>
    <row r="95" spans="1:24" ht="13.5" thickBot="1">
      <c r="A95" s="885"/>
      <c r="B95" s="885"/>
      <c r="C95" s="9" t="s">
        <v>286</v>
      </c>
      <c r="D95" s="942">
        <f>'LF-Jigawa'!D40:G40</f>
        <v>2.2000000000000002</v>
      </c>
      <c r="E95" s="943"/>
      <c r="F95" s="943"/>
      <c r="G95" s="944"/>
      <c r="H95" s="942">
        <f>'LF-Jigawa'!H40:K40</f>
        <v>2.2000000000000002</v>
      </c>
      <c r="I95" s="943"/>
      <c r="J95" s="943"/>
      <c r="K95" s="944"/>
      <c r="L95" s="942">
        <f>'LF-Jigawa'!L40:O40</f>
        <v>2.5</v>
      </c>
      <c r="M95" s="943"/>
      <c r="N95" s="943"/>
      <c r="O95" s="944"/>
      <c r="P95" s="963">
        <f>'LF-Jigawa'!P40:S40</f>
        <v>3.2</v>
      </c>
      <c r="Q95" s="964"/>
      <c r="R95" s="964"/>
      <c r="S95" s="965"/>
      <c r="T95" s="1159">
        <f>'Jigawa Workings'!$V$22</f>
        <v>3.3999999999999995</v>
      </c>
      <c r="U95" s="1160">
        <f>'Jigawa Workings'!$V$10</f>
        <v>14.666666666666664</v>
      </c>
      <c r="V95" s="1160">
        <f>'Jigawa Workings'!$V$10</f>
        <v>14.666666666666664</v>
      </c>
      <c r="W95" s="1161">
        <f>'Jigawa Workings'!$V$10</f>
        <v>14.666666666666664</v>
      </c>
      <c r="X95" s="880"/>
    </row>
    <row r="96" spans="1:24" ht="13.5" thickBot="1">
      <c r="A96" s="885"/>
      <c r="B96" s="885"/>
      <c r="C96" s="9" t="s">
        <v>287</v>
      </c>
      <c r="D96" s="942">
        <f>'LF-Kaduna'!D40:G40</f>
        <v>2.1</v>
      </c>
      <c r="E96" s="943"/>
      <c r="F96" s="943"/>
      <c r="G96" s="944"/>
      <c r="H96" s="942">
        <f>'LF-Kaduna'!H40:K40</f>
        <v>2.1</v>
      </c>
      <c r="I96" s="943"/>
      <c r="J96" s="943"/>
      <c r="K96" s="944"/>
      <c r="L96" s="942">
        <f>'LF-Kaduna'!L40:O40</f>
        <v>2.6</v>
      </c>
      <c r="M96" s="943"/>
      <c r="N96" s="943"/>
      <c r="O96" s="944"/>
      <c r="P96" s="963">
        <f>'LF-Kaduna'!P40:S40</f>
        <v>3</v>
      </c>
      <c r="Q96" s="964"/>
      <c r="R96" s="964"/>
      <c r="S96" s="965"/>
      <c r="T96" s="1159">
        <f>'Kaduna Workings'!$V$22</f>
        <v>3.1333333333333329</v>
      </c>
      <c r="U96" s="1160">
        <f>'Kaduna Workings'!$V$10</f>
        <v>13.666666666666664</v>
      </c>
      <c r="V96" s="1160">
        <f>'Kaduna Workings'!$V$10</f>
        <v>13.666666666666664</v>
      </c>
      <c r="W96" s="1161">
        <f>'Kaduna Workings'!$V$10</f>
        <v>13.666666666666664</v>
      </c>
      <c r="X96" s="880"/>
    </row>
    <row r="97" spans="1:24" ht="13.5" thickBot="1">
      <c r="A97" s="885"/>
      <c r="B97" s="885"/>
      <c r="C97" s="9" t="s">
        <v>288</v>
      </c>
      <c r="D97" s="942">
        <f>'LF-Kano'!D40:G40</f>
        <v>1.9</v>
      </c>
      <c r="E97" s="943"/>
      <c r="F97" s="943"/>
      <c r="G97" s="944"/>
      <c r="H97" s="942">
        <f>'LF-Kano'!H40:K40</f>
        <v>2</v>
      </c>
      <c r="I97" s="943"/>
      <c r="J97" s="943"/>
      <c r="K97" s="944"/>
      <c r="L97" s="942">
        <f>'LF-Kano'!L40:O40</f>
        <v>3</v>
      </c>
      <c r="M97" s="943"/>
      <c r="N97" s="943"/>
      <c r="O97" s="944"/>
      <c r="P97" s="963">
        <f>'LF-Kano'!P40:S40</f>
        <v>3.2</v>
      </c>
      <c r="Q97" s="964"/>
      <c r="R97" s="964"/>
      <c r="S97" s="965"/>
      <c r="T97" s="1159">
        <f>'Kano Workings'!$V$22</f>
        <v>3.7333333333333334</v>
      </c>
      <c r="U97" s="1160">
        <f>'Kano Workings'!$V$10</f>
        <v>5.666666666666667</v>
      </c>
      <c r="V97" s="1160">
        <f>'Kano Workings'!$V$10</f>
        <v>5.666666666666667</v>
      </c>
      <c r="W97" s="1161">
        <f>'Kano Workings'!$V$10</f>
        <v>5.666666666666667</v>
      </c>
      <c r="X97" s="880"/>
    </row>
    <row r="98" spans="1:24" ht="13.5" thickBot="1">
      <c r="A98" s="885"/>
      <c r="B98" s="885"/>
      <c r="C98" s="9" t="s">
        <v>289</v>
      </c>
      <c r="D98" s="942">
        <f>'LF-Lagos'!D40:G40</f>
        <v>2.6</v>
      </c>
      <c r="E98" s="943"/>
      <c r="F98" s="943"/>
      <c r="G98" s="944"/>
      <c r="H98" s="942">
        <f>'LF-Lagos'!H40:K40</f>
        <v>3</v>
      </c>
      <c r="I98" s="943"/>
      <c r="J98" s="943"/>
      <c r="K98" s="944"/>
      <c r="L98" s="942">
        <f>'LF-Lagos'!L40:O40</f>
        <v>3.5</v>
      </c>
      <c r="M98" s="943"/>
      <c r="N98" s="943"/>
      <c r="O98" s="944"/>
      <c r="P98" s="963">
        <f>'LF-Lagos'!P40:S40</f>
        <v>3.2</v>
      </c>
      <c r="Q98" s="964"/>
      <c r="R98" s="964"/>
      <c r="S98" s="965"/>
      <c r="T98" s="1159">
        <f>'Lagos Workings'!$V$22</f>
        <v>3.7333333333333334</v>
      </c>
      <c r="U98" s="1160">
        <f>'Lagos Workings'!$V$10</f>
        <v>15</v>
      </c>
      <c r="V98" s="1160">
        <f>'Lagos Workings'!$V$10</f>
        <v>15</v>
      </c>
      <c r="W98" s="1161">
        <f>'Lagos Workings'!$V$10</f>
        <v>15</v>
      </c>
      <c r="X98" s="880"/>
    </row>
    <row r="99" spans="1:24" ht="13.5" thickBot="1">
      <c r="A99" s="885"/>
      <c r="B99" s="885"/>
      <c r="C99" s="9" t="s">
        <v>292</v>
      </c>
      <c r="D99" s="1051" t="s">
        <v>414</v>
      </c>
      <c r="E99" s="1052"/>
      <c r="F99" s="1052"/>
      <c r="G99" s="1053"/>
      <c r="H99" s="942">
        <f>'LF-Zamfara'!H40:K40</f>
        <v>1.5</v>
      </c>
      <c r="I99" s="943"/>
      <c r="J99" s="943"/>
      <c r="K99" s="944"/>
      <c r="L99" s="942">
        <f>'LF-Zamfara'!L40:O40</f>
        <v>1.5</v>
      </c>
      <c r="M99" s="943"/>
      <c r="N99" s="943"/>
      <c r="O99" s="944"/>
      <c r="P99" s="963">
        <f>'LF-Zamfara'!P40:S40</f>
        <v>1.7</v>
      </c>
      <c r="Q99" s="964"/>
      <c r="R99" s="964"/>
      <c r="S99" s="965"/>
      <c r="T99" s="1159">
        <f>'Zamfara Workings'!$V$22</f>
        <v>2.0333333333333337</v>
      </c>
      <c r="U99" s="1160">
        <f>'Zamfara Workings'!$V$10</f>
        <v>3.3333333333333339</v>
      </c>
      <c r="V99" s="1160">
        <f>'Zamfara Workings'!$V$10</f>
        <v>3.3333333333333339</v>
      </c>
      <c r="W99" s="1161">
        <f>'Zamfara Workings'!$V$10</f>
        <v>3.3333333333333339</v>
      </c>
      <c r="X99" s="880"/>
    </row>
    <row r="100" spans="1:24" ht="13.5" thickBot="1">
      <c r="A100" s="885"/>
      <c r="B100" s="885"/>
      <c r="C100" s="9" t="s">
        <v>293</v>
      </c>
      <c r="D100" s="1051" t="s">
        <v>414</v>
      </c>
      <c r="E100" s="1052"/>
      <c r="F100" s="1052"/>
      <c r="G100" s="1053"/>
      <c r="H100" s="942">
        <f>'LF-Katsina'!H40:K40</f>
        <v>2.8</v>
      </c>
      <c r="I100" s="943"/>
      <c r="J100" s="943"/>
      <c r="K100" s="944"/>
      <c r="L100" s="942">
        <f>'LF-Katsina'!L40:O40</f>
        <v>2.8</v>
      </c>
      <c r="M100" s="943"/>
      <c r="N100" s="943"/>
      <c r="O100" s="944"/>
      <c r="P100" s="963">
        <f>'LF-Katsina'!P40:S40</f>
        <v>3</v>
      </c>
      <c r="Q100" s="964"/>
      <c r="R100" s="964"/>
      <c r="S100" s="965"/>
      <c r="T100" s="1159">
        <f>'Katsina Workings'!$V$22</f>
        <v>3.1999999999999993</v>
      </c>
      <c r="U100" s="1160">
        <f>'Katsina Workings'!$V$10</f>
        <v>6</v>
      </c>
      <c r="V100" s="1160">
        <f>'Katsina Workings'!$V$10</f>
        <v>6</v>
      </c>
      <c r="W100" s="1161">
        <f>'Katsina Workings'!$V$10</f>
        <v>6</v>
      </c>
      <c r="X100" s="880"/>
    </row>
    <row r="101" spans="1:24" ht="13.5" thickBot="1">
      <c r="A101" s="885"/>
      <c r="B101" s="885"/>
      <c r="C101" s="9" t="s">
        <v>294</v>
      </c>
      <c r="D101" s="1051" t="s">
        <v>414</v>
      </c>
      <c r="E101" s="1052"/>
      <c r="F101" s="1052"/>
      <c r="G101" s="1053"/>
      <c r="H101" s="942">
        <f>'LF-Yobe'!H40:K40</f>
        <v>2.2000000000000002</v>
      </c>
      <c r="I101" s="943"/>
      <c r="J101" s="943"/>
      <c r="K101" s="944"/>
      <c r="L101" s="942">
        <f>'LF-Yobe'!L40:O40</f>
        <v>2.2000000000000002</v>
      </c>
      <c r="M101" s="943"/>
      <c r="N101" s="943"/>
      <c r="O101" s="944"/>
      <c r="P101" s="963">
        <f>'LF-Yobe'!P40:S40</f>
        <v>2.4</v>
      </c>
      <c r="Q101" s="964"/>
      <c r="R101" s="964"/>
      <c r="S101" s="965"/>
      <c r="T101" s="1159">
        <f>'Yobe Workings'!$V$22</f>
        <v>2.5999999999999996</v>
      </c>
      <c r="U101" s="1160">
        <f>'Yobe Workings'!$V$10</f>
        <v>2.6666666666666661</v>
      </c>
      <c r="V101" s="1160">
        <f>'Yobe Workings'!$V$10</f>
        <v>2.6666666666666661</v>
      </c>
      <c r="W101" s="1161">
        <f>'Yobe Workings'!$V$10</f>
        <v>2.6666666666666661</v>
      </c>
      <c r="X101" s="880"/>
    </row>
    <row r="102" spans="1:24" ht="12.95" customHeight="1" thickBot="1">
      <c r="A102" s="885"/>
      <c r="B102" s="885"/>
      <c r="C102" s="9" t="s">
        <v>290</v>
      </c>
      <c r="D102" s="957"/>
      <c r="E102" s="958"/>
      <c r="F102" s="958"/>
      <c r="G102" s="959"/>
      <c r="H102" s="1162"/>
      <c r="I102" s="1163"/>
      <c r="J102" s="1163"/>
      <c r="K102" s="1164"/>
      <c r="L102" s="1057" t="s">
        <v>909</v>
      </c>
      <c r="M102" s="1058"/>
      <c r="N102" s="1058"/>
      <c r="O102" s="1059"/>
      <c r="P102" s="942">
        <f>'LF-Anambra'!P40:S40</f>
        <v>2.1</v>
      </c>
      <c r="Q102" s="943"/>
      <c r="R102" s="943"/>
      <c r="S102" s="944"/>
      <c r="T102" s="960">
        <f t="shared" ref="T102:W103" si="3">P102</f>
        <v>2.1</v>
      </c>
      <c r="U102" s="961">
        <f t="shared" si="3"/>
        <v>0</v>
      </c>
      <c r="V102" s="961">
        <f t="shared" si="3"/>
        <v>0</v>
      </c>
      <c r="W102" s="962">
        <f t="shared" si="3"/>
        <v>0</v>
      </c>
      <c r="X102" s="880"/>
    </row>
    <row r="103" spans="1:24" ht="12.95" customHeight="1" thickBot="1">
      <c r="A103" s="885"/>
      <c r="B103" s="885"/>
      <c r="C103" s="9" t="s">
        <v>291</v>
      </c>
      <c r="D103" s="957"/>
      <c r="E103" s="958"/>
      <c r="F103" s="958"/>
      <c r="G103" s="959"/>
      <c r="H103" s="1162"/>
      <c r="I103" s="1163"/>
      <c r="J103" s="1163"/>
      <c r="K103" s="1164"/>
      <c r="L103" s="1057" t="s">
        <v>909</v>
      </c>
      <c r="M103" s="1058"/>
      <c r="N103" s="1058"/>
      <c r="O103" s="1059"/>
      <c r="P103" s="942">
        <f>'LF-Niger'!P40:S40</f>
        <v>2.5</v>
      </c>
      <c r="Q103" s="943"/>
      <c r="R103" s="943"/>
      <c r="S103" s="944"/>
      <c r="T103" s="960">
        <f t="shared" si="3"/>
        <v>2.5</v>
      </c>
      <c r="U103" s="961">
        <f t="shared" si="3"/>
        <v>0</v>
      </c>
      <c r="V103" s="961">
        <f t="shared" si="3"/>
        <v>0</v>
      </c>
      <c r="W103" s="962">
        <f t="shared" si="3"/>
        <v>0</v>
      </c>
      <c r="X103" s="880"/>
    </row>
    <row r="104" spans="1:24" ht="13.5" thickBot="1">
      <c r="A104" s="885"/>
      <c r="B104" s="885"/>
      <c r="C104" s="100" t="s">
        <v>295</v>
      </c>
      <c r="D104" s="1008" t="s">
        <v>415</v>
      </c>
      <c r="E104" s="1009"/>
      <c r="F104" s="1009"/>
      <c r="G104" s="1010"/>
      <c r="H104" s="1147">
        <f>'LF-Enugu'!H41:K41</f>
        <v>2</v>
      </c>
      <c r="I104" s="1148"/>
      <c r="J104" s="1148"/>
      <c r="K104" s="1149"/>
      <c r="L104" s="1147">
        <f>'LF-Enugu'!L41:O41</f>
        <v>2.9</v>
      </c>
      <c r="M104" s="1148"/>
      <c r="N104" s="1148"/>
      <c r="O104" s="1149"/>
      <c r="P104" s="1147">
        <f>'LF-Enugu'!P41:S41</f>
        <v>4</v>
      </c>
      <c r="Q104" s="1148"/>
      <c r="R104" s="1148"/>
      <c r="S104" s="1149"/>
      <c r="T104" s="1147">
        <f>'Enugu Workings'!$V$23</f>
        <v>4.0999999999999996</v>
      </c>
      <c r="U104" s="1148">
        <f>'Enugu Workings'!$V$11</f>
        <v>2</v>
      </c>
      <c r="V104" s="1148">
        <f>'Enugu Workings'!$V$11</f>
        <v>2</v>
      </c>
      <c r="W104" s="1149">
        <f>'Enugu Workings'!$V$11</f>
        <v>2</v>
      </c>
      <c r="X104" s="880"/>
    </row>
    <row r="105" spans="1:24" ht="13.5" thickBot="1">
      <c r="A105" s="885"/>
      <c r="B105" s="885"/>
      <c r="C105" s="100" t="s">
        <v>296</v>
      </c>
      <c r="D105" s="1008" t="s">
        <v>415</v>
      </c>
      <c r="E105" s="1009"/>
      <c r="F105" s="1009"/>
      <c r="G105" s="1010"/>
      <c r="H105" s="1147">
        <f>'LF-Jigawa'!H41:K41</f>
        <v>2.1</v>
      </c>
      <c r="I105" s="1148"/>
      <c r="J105" s="1148"/>
      <c r="K105" s="1149"/>
      <c r="L105" s="1147">
        <f>'LF-Jigawa'!L41:O41</f>
        <v>2.6</v>
      </c>
      <c r="M105" s="1148"/>
      <c r="N105" s="1148"/>
      <c r="O105" s="1149"/>
      <c r="P105" s="1147">
        <f>'LF-Jigawa'!P41:S41</f>
        <v>3.2</v>
      </c>
      <c r="Q105" s="1148"/>
      <c r="R105" s="1148"/>
      <c r="S105" s="1149"/>
      <c r="T105" s="1147">
        <f>'Jigawa Workings'!$V$23</f>
        <v>3.4</v>
      </c>
      <c r="U105" s="1148">
        <f>'Jigawa Workings'!$V$11</f>
        <v>12</v>
      </c>
      <c r="V105" s="1148">
        <f>'Jigawa Workings'!$V$11</f>
        <v>12</v>
      </c>
      <c r="W105" s="1149">
        <f>'Jigawa Workings'!$V$11</f>
        <v>12</v>
      </c>
      <c r="X105" s="880"/>
    </row>
    <row r="106" spans="1:24" ht="13.5" thickBot="1">
      <c r="A106" s="885"/>
      <c r="B106" s="885"/>
      <c r="C106" s="100" t="s">
        <v>297</v>
      </c>
      <c r="D106" s="1008" t="s">
        <v>415</v>
      </c>
      <c r="E106" s="1009"/>
      <c r="F106" s="1009"/>
      <c r="G106" s="1010"/>
      <c r="H106" s="1147">
        <f>'LF-Kaduna'!H41:K41</f>
        <v>3</v>
      </c>
      <c r="I106" s="1148"/>
      <c r="J106" s="1148"/>
      <c r="K106" s="1149"/>
      <c r="L106" s="1147">
        <f>'LF-Kaduna'!L41:O41</f>
        <v>2.9</v>
      </c>
      <c r="M106" s="1148"/>
      <c r="N106" s="1148"/>
      <c r="O106" s="1149"/>
      <c r="P106" s="1147">
        <f>'LF-Kaduna'!P41:S41</f>
        <v>3.1</v>
      </c>
      <c r="Q106" s="1148"/>
      <c r="R106" s="1148"/>
      <c r="S106" s="1149"/>
      <c r="T106" s="1147">
        <f>'Kaduna Workings'!$V$23</f>
        <v>3.4</v>
      </c>
      <c r="U106" s="1148">
        <f>'Kaduna Workings'!$V$11</f>
        <v>2</v>
      </c>
      <c r="V106" s="1148">
        <f>'Kaduna Workings'!$V$11</f>
        <v>2</v>
      </c>
      <c r="W106" s="1149">
        <f>'Kaduna Workings'!$V$11</f>
        <v>2</v>
      </c>
      <c r="X106" s="880"/>
    </row>
    <row r="107" spans="1:24" ht="13.5" thickBot="1">
      <c r="A107" s="885"/>
      <c r="B107" s="885"/>
      <c r="C107" s="100" t="s">
        <v>298</v>
      </c>
      <c r="D107" s="1008" t="s">
        <v>415</v>
      </c>
      <c r="E107" s="1009"/>
      <c r="F107" s="1009"/>
      <c r="G107" s="1010"/>
      <c r="H107" s="1147">
        <f>'LF-Kano'!H41:K41</f>
        <v>2</v>
      </c>
      <c r="I107" s="1148"/>
      <c r="J107" s="1148"/>
      <c r="K107" s="1149"/>
      <c r="L107" s="1147">
        <f>'LF-Kano'!L41:O41</f>
        <v>3</v>
      </c>
      <c r="M107" s="1148"/>
      <c r="N107" s="1148"/>
      <c r="O107" s="1149"/>
      <c r="P107" s="1147">
        <f>'LF-Kano'!P41:S41</f>
        <v>2.8</v>
      </c>
      <c r="Q107" s="1148"/>
      <c r="R107" s="1148"/>
      <c r="S107" s="1149"/>
      <c r="T107" s="1147">
        <f>'Kano Workings'!$V$23</f>
        <v>3.2</v>
      </c>
      <c r="U107" s="1148">
        <f>'Kano Workings'!$V$11</f>
        <v>6</v>
      </c>
      <c r="V107" s="1148">
        <f>'Kano Workings'!$V$11</f>
        <v>6</v>
      </c>
      <c r="W107" s="1149">
        <f>'Kano Workings'!$V$11</f>
        <v>6</v>
      </c>
      <c r="X107" s="880"/>
    </row>
    <row r="108" spans="1:24" ht="13.5" thickBot="1">
      <c r="A108" s="885"/>
      <c r="B108" s="885"/>
      <c r="C108" s="100" t="s">
        <v>299</v>
      </c>
      <c r="D108" s="1008" t="s">
        <v>415</v>
      </c>
      <c r="E108" s="1009"/>
      <c r="F108" s="1009"/>
      <c r="G108" s="1010"/>
      <c r="H108" s="1147">
        <f>'LF-Lagos'!H41:K41</f>
        <v>3</v>
      </c>
      <c r="I108" s="1148"/>
      <c r="J108" s="1148"/>
      <c r="K108" s="1149"/>
      <c r="L108" s="1147">
        <f>'LF-Lagos'!L41:O41</f>
        <v>3</v>
      </c>
      <c r="M108" s="1148"/>
      <c r="N108" s="1148"/>
      <c r="O108" s="1149"/>
      <c r="P108" s="1147">
        <f>'LF-Lagos'!P41:S41</f>
        <v>3.5</v>
      </c>
      <c r="Q108" s="1148"/>
      <c r="R108" s="1148"/>
      <c r="S108" s="1149"/>
      <c r="T108" s="1147">
        <f>'Lagos Workings'!$V$23</f>
        <v>3.5</v>
      </c>
      <c r="U108" s="1148">
        <f>'Lagos Workings'!$V$11</f>
        <v>15</v>
      </c>
      <c r="V108" s="1148">
        <f>'Lagos Workings'!$V$11</f>
        <v>15</v>
      </c>
      <c r="W108" s="1149">
        <f>'Lagos Workings'!$V$11</f>
        <v>15</v>
      </c>
      <c r="X108" s="880"/>
    </row>
    <row r="109" spans="1:24" ht="24.75" thickBot="1">
      <c r="A109" s="885"/>
      <c r="B109" s="885"/>
      <c r="C109" s="100" t="s">
        <v>300</v>
      </c>
      <c r="D109" s="1017"/>
      <c r="E109" s="1018"/>
      <c r="F109" s="1018"/>
      <c r="G109" s="1019"/>
      <c r="H109" s="1017"/>
      <c r="I109" s="1018"/>
      <c r="J109" s="1018"/>
      <c r="K109" s="1019"/>
      <c r="L109" s="1147">
        <f>'LF-Zamfara'!L41:O41</f>
        <v>1.5</v>
      </c>
      <c r="M109" s="1148"/>
      <c r="N109" s="1148"/>
      <c r="O109" s="1149"/>
      <c r="P109" s="1147">
        <f>'LF-Zamfara'!P41:S41</f>
        <v>2.2000000000000002</v>
      </c>
      <c r="Q109" s="1148"/>
      <c r="R109" s="1148"/>
      <c r="S109" s="1149"/>
      <c r="T109" s="1147">
        <f>'Zamfara Workings'!$V$23</f>
        <v>3.3</v>
      </c>
      <c r="U109" s="1148">
        <f>'Zamfara Workings'!$V$11</f>
        <v>1</v>
      </c>
      <c r="V109" s="1148">
        <f>'Zamfara Workings'!$V$11</f>
        <v>1</v>
      </c>
      <c r="W109" s="1149">
        <f>'Zamfara Workings'!$V$11</f>
        <v>1</v>
      </c>
      <c r="X109" s="880"/>
    </row>
    <row r="110" spans="1:24" ht="13.5" thickBot="1">
      <c r="A110" s="885"/>
      <c r="B110" s="885"/>
      <c r="C110" s="100" t="s">
        <v>301</v>
      </c>
      <c r="D110" s="1017"/>
      <c r="E110" s="1018"/>
      <c r="F110" s="1018"/>
      <c r="G110" s="1019"/>
      <c r="H110" s="1017"/>
      <c r="I110" s="1018"/>
      <c r="J110" s="1018"/>
      <c r="K110" s="1019"/>
      <c r="L110" s="1147">
        <f>'LF-Katsina'!L41:O41</f>
        <v>2.8</v>
      </c>
      <c r="M110" s="1148"/>
      <c r="N110" s="1148"/>
      <c r="O110" s="1149"/>
      <c r="P110" s="1147">
        <f>'LF-Katsina'!P41:S41</f>
        <v>2.2000000000000002</v>
      </c>
      <c r="Q110" s="1148"/>
      <c r="R110" s="1148"/>
      <c r="S110" s="1149"/>
      <c r="T110" s="1147">
        <f>'Katsina Workings'!$V$23</f>
        <v>3.8</v>
      </c>
      <c r="U110" s="1148">
        <f>'Katsina Workings'!$V$11</f>
        <v>6</v>
      </c>
      <c r="V110" s="1148">
        <f>'Katsina Workings'!$V$11</f>
        <v>6</v>
      </c>
      <c r="W110" s="1149">
        <f>'Katsina Workings'!$V$11</f>
        <v>6</v>
      </c>
      <c r="X110" s="880"/>
    </row>
    <row r="111" spans="1:24" ht="13.5" thickBot="1">
      <c r="A111" s="885"/>
      <c r="B111" s="885"/>
      <c r="C111" s="100" t="s">
        <v>302</v>
      </c>
      <c r="D111" s="1017"/>
      <c r="E111" s="1018"/>
      <c r="F111" s="1018"/>
      <c r="G111" s="1019"/>
      <c r="H111" s="1017"/>
      <c r="I111" s="1018"/>
      <c r="J111" s="1018"/>
      <c r="K111" s="1019"/>
      <c r="L111" s="1147">
        <f>'LF-Yobe'!L41:O41</f>
        <v>2.2000000000000002</v>
      </c>
      <c r="M111" s="1148"/>
      <c r="N111" s="1148"/>
      <c r="O111" s="1149"/>
      <c r="P111" s="1147">
        <f>'LF-Yobe'!P41:S41</f>
        <v>2.5</v>
      </c>
      <c r="Q111" s="1148"/>
      <c r="R111" s="1148"/>
      <c r="S111" s="1149"/>
      <c r="T111" s="1147">
        <f>'Yobe Workings'!$V$23</f>
        <v>3.4</v>
      </c>
      <c r="U111" s="1148">
        <f>'Yobe Workings'!$V$11</f>
        <v>10</v>
      </c>
      <c r="V111" s="1148">
        <f>'Yobe Workings'!$V$11</f>
        <v>10</v>
      </c>
      <c r="W111" s="1149">
        <f>'Yobe Workings'!$V$11</f>
        <v>10</v>
      </c>
      <c r="X111" s="880"/>
    </row>
    <row r="112" spans="1:24" ht="24.75" thickBot="1">
      <c r="A112" s="885"/>
      <c r="B112" s="885"/>
      <c r="C112" s="100" t="s">
        <v>303</v>
      </c>
      <c r="D112" s="1017"/>
      <c r="E112" s="1018"/>
      <c r="F112" s="1018"/>
      <c r="G112" s="1019"/>
      <c r="H112" s="1017"/>
      <c r="I112" s="1018"/>
      <c r="J112" s="1018"/>
      <c r="K112" s="1019"/>
      <c r="L112" s="1017"/>
      <c r="M112" s="1018"/>
      <c r="N112" s="1018"/>
      <c r="O112" s="1019"/>
      <c r="P112" s="1017"/>
      <c r="Q112" s="1018"/>
      <c r="R112" s="1018"/>
      <c r="S112" s="1019"/>
      <c r="T112" s="1147">
        <f t="shared" ref="T112:W112" si="4">T102</f>
        <v>2.1</v>
      </c>
      <c r="U112" s="1148">
        <f t="shared" si="4"/>
        <v>0</v>
      </c>
      <c r="V112" s="1148">
        <f t="shared" si="4"/>
        <v>0</v>
      </c>
      <c r="W112" s="1149">
        <f t="shared" si="4"/>
        <v>0</v>
      </c>
      <c r="X112" s="880"/>
    </row>
    <row r="113" spans="1:24" ht="13.5" thickBot="1">
      <c r="A113" s="885"/>
      <c r="B113" s="885"/>
      <c r="C113" s="100" t="s">
        <v>304</v>
      </c>
      <c r="D113" s="1017"/>
      <c r="E113" s="1018"/>
      <c r="F113" s="1018"/>
      <c r="G113" s="1019"/>
      <c r="H113" s="1017"/>
      <c r="I113" s="1018"/>
      <c r="J113" s="1018"/>
      <c r="K113" s="1019"/>
      <c r="L113" s="1017"/>
      <c r="M113" s="1018"/>
      <c r="N113" s="1018"/>
      <c r="O113" s="1019"/>
      <c r="P113" s="1017"/>
      <c r="Q113" s="1018"/>
      <c r="R113" s="1018"/>
      <c r="S113" s="1019"/>
      <c r="T113" s="1147">
        <f t="shared" ref="T113:W113" si="5">T103</f>
        <v>2.5</v>
      </c>
      <c r="U113" s="1148">
        <f t="shared" si="5"/>
        <v>0</v>
      </c>
      <c r="V113" s="1148">
        <f t="shared" si="5"/>
        <v>0</v>
      </c>
      <c r="W113" s="1149">
        <f t="shared" si="5"/>
        <v>0</v>
      </c>
      <c r="X113" s="880"/>
    </row>
    <row r="114" spans="1:24" ht="13.5" thickBot="1">
      <c r="A114" s="885"/>
      <c r="B114" s="885"/>
      <c r="C114" s="922" t="s">
        <v>413</v>
      </c>
      <c r="D114" s="927" t="s">
        <v>4</v>
      </c>
      <c r="E114" s="928"/>
      <c r="F114" s="928"/>
      <c r="G114" s="928"/>
      <c r="H114" s="928"/>
      <c r="I114" s="928"/>
      <c r="J114" s="928"/>
      <c r="K114" s="928"/>
      <c r="L114" s="928"/>
      <c r="M114" s="928"/>
      <c r="N114" s="928"/>
      <c r="O114" s="928"/>
      <c r="P114" s="928"/>
      <c r="Q114" s="928"/>
      <c r="R114" s="928"/>
      <c r="S114" s="928"/>
      <c r="T114" s="928"/>
      <c r="U114" s="928"/>
      <c r="V114" s="928"/>
      <c r="W114" s="928"/>
      <c r="X114" s="880"/>
    </row>
    <row r="115" spans="1:24" ht="13.5" thickBot="1">
      <c r="A115" s="885"/>
      <c r="B115" s="869"/>
      <c r="C115" s="923"/>
      <c r="D115" s="930" t="s">
        <v>115</v>
      </c>
      <c r="E115" s="931"/>
      <c r="F115" s="931"/>
      <c r="G115" s="931"/>
      <c r="H115" s="931"/>
      <c r="I115" s="931"/>
      <c r="J115" s="931"/>
      <c r="K115" s="931"/>
      <c r="L115" s="931"/>
      <c r="M115" s="931"/>
      <c r="N115" s="931"/>
      <c r="O115" s="931"/>
      <c r="P115" s="931"/>
      <c r="Q115" s="931"/>
      <c r="R115" s="931"/>
      <c r="S115" s="931"/>
      <c r="T115" s="931"/>
      <c r="U115" s="931"/>
      <c r="V115" s="931"/>
      <c r="W115" s="932"/>
      <c r="X115" s="880"/>
    </row>
    <row r="116" spans="1:24" ht="12.95" customHeight="1" thickBot="1">
      <c r="A116" s="885"/>
      <c r="B116" s="11" t="s">
        <v>23</v>
      </c>
      <c r="C116" s="12"/>
      <c r="D116" s="927" t="s">
        <v>78</v>
      </c>
      <c r="E116" s="928"/>
      <c r="F116" s="928"/>
      <c r="G116" s="929"/>
      <c r="H116" s="927" t="s">
        <v>77</v>
      </c>
      <c r="I116" s="928"/>
      <c r="J116" s="928"/>
      <c r="K116" s="929"/>
      <c r="L116" s="927" t="s">
        <v>81</v>
      </c>
      <c r="M116" s="928"/>
      <c r="N116" s="928"/>
      <c r="O116" s="929"/>
      <c r="P116" s="927" t="s">
        <v>254</v>
      </c>
      <c r="Q116" s="928"/>
      <c r="R116" s="928"/>
      <c r="S116" s="929"/>
      <c r="T116" s="1144" t="s">
        <v>908</v>
      </c>
      <c r="U116" s="1145"/>
      <c r="V116" s="1145"/>
      <c r="W116" s="1146"/>
      <c r="X116" s="880"/>
    </row>
    <row r="117" spans="1:24" ht="13.5" thickBot="1">
      <c r="A117" s="885"/>
      <c r="B117" s="868" t="s">
        <v>56</v>
      </c>
      <c r="C117" s="9" t="s">
        <v>285</v>
      </c>
      <c r="D117" s="942">
        <f>'LF-Enugu'!D45:G45</f>
        <v>1</v>
      </c>
      <c r="E117" s="943"/>
      <c r="F117" s="943"/>
      <c r="G117" s="944"/>
      <c r="H117" s="942">
        <f>'LF-Enugu'!H45:K45</f>
        <v>1</v>
      </c>
      <c r="I117" s="943"/>
      <c r="J117" s="943"/>
      <c r="K117" s="944"/>
      <c r="L117" s="942">
        <f>'LF-Enugu'!L45:O45</f>
        <v>1.25</v>
      </c>
      <c r="M117" s="943"/>
      <c r="N117" s="943"/>
      <c r="O117" s="944"/>
      <c r="P117" s="942">
        <f>'LF-Enugu'!P45:S45</f>
        <v>3</v>
      </c>
      <c r="Q117" s="943"/>
      <c r="R117" s="943"/>
      <c r="S117" s="944"/>
      <c r="T117" s="1159">
        <f>'Enugu Workings'!$V$25</f>
        <v>3.3333333333333339</v>
      </c>
      <c r="U117" s="1160">
        <f>'Enugu Workings'!$V$10</f>
        <v>3.3333333333333339</v>
      </c>
      <c r="V117" s="1160">
        <f>'Enugu Workings'!$V$10</f>
        <v>3.3333333333333339</v>
      </c>
      <c r="W117" s="1161">
        <f>'Enugu Workings'!$V$10</f>
        <v>3.3333333333333339</v>
      </c>
      <c r="X117" s="880"/>
    </row>
    <row r="118" spans="1:24" ht="13.5" thickBot="1">
      <c r="A118" s="885"/>
      <c r="B118" s="885"/>
      <c r="C118" s="9" t="s">
        <v>286</v>
      </c>
      <c r="D118" s="942">
        <f>'LF-Jigawa'!D45:G45</f>
        <v>2.4</v>
      </c>
      <c r="E118" s="943"/>
      <c r="F118" s="943"/>
      <c r="G118" s="944"/>
      <c r="H118" s="942">
        <f>'LF-Jigawa'!H45:K45</f>
        <v>2.7</v>
      </c>
      <c r="I118" s="943"/>
      <c r="J118" s="943"/>
      <c r="K118" s="944"/>
      <c r="L118" s="942">
        <f>'LF-Jigawa'!L45:O45</f>
        <v>3</v>
      </c>
      <c r="M118" s="943"/>
      <c r="N118" s="943"/>
      <c r="O118" s="944"/>
      <c r="P118" s="963">
        <f>'LF-Jigawa'!P45:S45</f>
        <v>3.25</v>
      </c>
      <c r="Q118" s="964"/>
      <c r="R118" s="964"/>
      <c r="S118" s="965"/>
      <c r="T118" s="1159">
        <f>'Jigawa Workings'!$V$25</f>
        <v>3.4166666666666661</v>
      </c>
      <c r="U118" s="1160">
        <f>'Jigawa Workings'!$V$10</f>
        <v>14.666666666666664</v>
      </c>
      <c r="V118" s="1160">
        <f>'Jigawa Workings'!$V$10</f>
        <v>14.666666666666664</v>
      </c>
      <c r="W118" s="1161">
        <f>'Jigawa Workings'!$V$10</f>
        <v>14.666666666666664</v>
      </c>
      <c r="X118" s="880"/>
    </row>
    <row r="119" spans="1:24" ht="13.5" thickBot="1">
      <c r="A119" s="885"/>
      <c r="B119" s="885"/>
      <c r="C119" s="9" t="s">
        <v>287</v>
      </c>
      <c r="D119" s="942">
        <f>'LF-Kaduna'!D45:G45</f>
        <v>2.2000000000000002</v>
      </c>
      <c r="E119" s="943"/>
      <c r="F119" s="943"/>
      <c r="G119" s="944"/>
      <c r="H119" s="942">
        <f>'LF-Kaduna'!H45:K45</f>
        <v>2.5</v>
      </c>
      <c r="I119" s="943"/>
      <c r="J119" s="943"/>
      <c r="K119" s="944"/>
      <c r="L119" s="942">
        <f>'LF-Kaduna'!L45:O45</f>
        <v>2.9</v>
      </c>
      <c r="M119" s="943"/>
      <c r="N119" s="943"/>
      <c r="O119" s="944"/>
      <c r="P119" s="963">
        <f>'LF-Kaduna'!P45:S45</f>
        <v>3.2</v>
      </c>
      <c r="Q119" s="964"/>
      <c r="R119" s="964"/>
      <c r="S119" s="965"/>
      <c r="T119" s="1159">
        <f>'Kaduna Workings'!$V$25</f>
        <v>3.3999999999999995</v>
      </c>
      <c r="U119" s="1160">
        <f>'Kaduna Workings'!$V$10</f>
        <v>13.666666666666664</v>
      </c>
      <c r="V119" s="1160">
        <f>'Kaduna Workings'!$V$10</f>
        <v>13.666666666666664</v>
      </c>
      <c r="W119" s="1161">
        <f>'Kaduna Workings'!$V$10</f>
        <v>13.666666666666664</v>
      </c>
      <c r="X119" s="880"/>
    </row>
    <row r="120" spans="1:24" ht="13.5" thickBot="1">
      <c r="A120" s="885"/>
      <c r="B120" s="885"/>
      <c r="C120" s="9" t="s">
        <v>288</v>
      </c>
      <c r="D120" s="942">
        <f>'LF-Kano'!D45:G45</f>
        <v>2</v>
      </c>
      <c r="E120" s="943"/>
      <c r="F120" s="943"/>
      <c r="G120" s="944"/>
      <c r="H120" s="942">
        <f>'LF-Kano'!H45:K45</f>
        <v>2</v>
      </c>
      <c r="I120" s="943"/>
      <c r="J120" s="943"/>
      <c r="K120" s="944"/>
      <c r="L120" s="942">
        <f>'LF-Kano'!L45:O45</f>
        <v>3.5</v>
      </c>
      <c r="M120" s="943"/>
      <c r="N120" s="943"/>
      <c r="O120" s="944"/>
      <c r="P120" s="963">
        <f>'LF-Kano'!P45:S45</f>
        <v>3.8</v>
      </c>
      <c r="Q120" s="964"/>
      <c r="R120" s="964"/>
      <c r="S120" s="965"/>
      <c r="T120" s="1159">
        <f>'Kano Workings'!$V$25</f>
        <v>4.1333333333333329</v>
      </c>
      <c r="U120" s="1160">
        <f>'Kano Workings'!$V$10</f>
        <v>5.666666666666667</v>
      </c>
      <c r="V120" s="1160">
        <f>'Kano Workings'!$V$10</f>
        <v>5.666666666666667</v>
      </c>
      <c r="W120" s="1161">
        <f>'Kano Workings'!$V$10</f>
        <v>5.666666666666667</v>
      </c>
      <c r="X120" s="880"/>
    </row>
    <row r="121" spans="1:24" ht="13.5" thickBot="1">
      <c r="A121" s="885"/>
      <c r="B121" s="885"/>
      <c r="C121" s="9" t="s">
        <v>289</v>
      </c>
      <c r="D121" s="942">
        <f>'LF-Lagos'!D45:G45</f>
        <v>2.2999999999999998</v>
      </c>
      <c r="E121" s="943"/>
      <c r="F121" s="943"/>
      <c r="G121" s="944"/>
      <c r="H121" s="942">
        <f>'LF-Lagos'!H45:K45</f>
        <v>3</v>
      </c>
      <c r="I121" s="943"/>
      <c r="J121" s="943"/>
      <c r="K121" s="944"/>
      <c r="L121" s="942">
        <f>'LF-Lagos'!L45:O45</f>
        <v>3.5</v>
      </c>
      <c r="M121" s="943"/>
      <c r="N121" s="943"/>
      <c r="O121" s="944"/>
      <c r="P121" s="963">
        <f>'LF-Lagos'!P45:S45</f>
        <v>3.5</v>
      </c>
      <c r="Q121" s="964"/>
      <c r="R121" s="964"/>
      <c r="S121" s="965"/>
      <c r="T121" s="1159">
        <f>'Lagos Workings'!$V$25</f>
        <v>3.8333333333333339</v>
      </c>
      <c r="U121" s="1160">
        <f>'Lagos Workings'!$V$10</f>
        <v>15</v>
      </c>
      <c r="V121" s="1160">
        <f>'Lagos Workings'!$V$10</f>
        <v>15</v>
      </c>
      <c r="W121" s="1161">
        <f>'Lagos Workings'!$V$10</f>
        <v>15</v>
      </c>
      <c r="X121" s="880"/>
    </row>
    <row r="122" spans="1:24" ht="13.5" thickBot="1">
      <c r="A122" s="885"/>
      <c r="B122" s="885"/>
      <c r="C122" s="9" t="s">
        <v>292</v>
      </c>
      <c r="D122" s="1051" t="s">
        <v>414</v>
      </c>
      <c r="E122" s="1052"/>
      <c r="F122" s="1052"/>
      <c r="G122" s="1053"/>
      <c r="H122" s="942">
        <f>'LF-Zamfara'!H45:K45</f>
        <v>1.6</v>
      </c>
      <c r="I122" s="943"/>
      <c r="J122" s="943"/>
      <c r="K122" s="944"/>
      <c r="L122" s="942">
        <f>'LF-Zamfara'!L45:O45</f>
        <v>1.6</v>
      </c>
      <c r="M122" s="943"/>
      <c r="N122" s="943"/>
      <c r="O122" s="944"/>
      <c r="P122" s="963">
        <f>'LF-Zamfara'!P45:S45</f>
        <v>1.9</v>
      </c>
      <c r="Q122" s="964"/>
      <c r="R122" s="964"/>
      <c r="S122" s="965"/>
      <c r="T122" s="1159">
        <f>'Zamfara Workings'!$V$25</f>
        <v>2.1666666666666661</v>
      </c>
      <c r="U122" s="1160">
        <f>'Zamfara Workings'!$V$10</f>
        <v>3.3333333333333339</v>
      </c>
      <c r="V122" s="1160">
        <f>'Zamfara Workings'!$V$10</f>
        <v>3.3333333333333339</v>
      </c>
      <c r="W122" s="1161">
        <f>'Zamfara Workings'!$V$10</f>
        <v>3.3333333333333339</v>
      </c>
      <c r="X122" s="880"/>
    </row>
    <row r="123" spans="1:24" ht="13.5" thickBot="1">
      <c r="A123" s="885"/>
      <c r="B123" s="885"/>
      <c r="C123" s="9" t="s">
        <v>293</v>
      </c>
      <c r="D123" s="1051" t="s">
        <v>414</v>
      </c>
      <c r="E123" s="1052"/>
      <c r="F123" s="1052"/>
      <c r="G123" s="1053"/>
      <c r="H123" s="942">
        <f>'LF-Katsina'!H45:K45</f>
        <v>1.7</v>
      </c>
      <c r="I123" s="943"/>
      <c r="J123" s="943"/>
      <c r="K123" s="944"/>
      <c r="L123" s="942">
        <f>'LF-Katsina'!L45:O45</f>
        <v>1.7</v>
      </c>
      <c r="M123" s="943"/>
      <c r="N123" s="943"/>
      <c r="O123" s="944"/>
      <c r="P123" s="963">
        <f>'LF-Katsina'!P45:S45</f>
        <v>2</v>
      </c>
      <c r="Q123" s="964"/>
      <c r="R123" s="964"/>
      <c r="S123" s="965"/>
      <c r="T123" s="1159">
        <f>'Katsina Workings'!$V$25</f>
        <v>2.3333333333333339</v>
      </c>
      <c r="U123" s="1160">
        <f>'Katsina Workings'!$V$10</f>
        <v>6</v>
      </c>
      <c r="V123" s="1160">
        <f>'Katsina Workings'!$V$10</f>
        <v>6</v>
      </c>
      <c r="W123" s="1161">
        <f>'Katsina Workings'!$V$10</f>
        <v>6</v>
      </c>
      <c r="X123" s="880"/>
    </row>
    <row r="124" spans="1:24" ht="13.5" thickBot="1">
      <c r="A124" s="885"/>
      <c r="B124" s="885"/>
      <c r="C124" s="9" t="s">
        <v>294</v>
      </c>
      <c r="D124" s="1051" t="s">
        <v>414</v>
      </c>
      <c r="E124" s="1052"/>
      <c r="F124" s="1052"/>
      <c r="G124" s="1053"/>
      <c r="H124" s="942">
        <f>'LF-Yobe'!H45:K45</f>
        <v>1.5</v>
      </c>
      <c r="I124" s="943"/>
      <c r="J124" s="943"/>
      <c r="K124" s="944"/>
      <c r="L124" s="942">
        <f>'LF-Yobe'!L45:O45</f>
        <v>1.5</v>
      </c>
      <c r="M124" s="943"/>
      <c r="N124" s="943"/>
      <c r="O124" s="944"/>
      <c r="P124" s="942">
        <f>'LF-Yobe'!P45:S45</f>
        <v>1.8</v>
      </c>
      <c r="Q124" s="943"/>
      <c r="R124" s="943"/>
      <c r="S124" s="944"/>
      <c r="T124" s="1159">
        <f>'Yobe Workings'!$V$25</f>
        <v>2.2666666666666666</v>
      </c>
      <c r="U124" s="1160">
        <f>'Yobe Workings'!$V$10</f>
        <v>2.6666666666666661</v>
      </c>
      <c r="V124" s="1160">
        <f>'Yobe Workings'!$V$10</f>
        <v>2.6666666666666661</v>
      </c>
      <c r="W124" s="1161">
        <f>'Yobe Workings'!$V$10</f>
        <v>2.6666666666666661</v>
      </c>
      <c r="X124" s="880"/>
    </row>
    <row r="125" spans="1:24" ht="12.95" customHeight="1" thickBot="1">
      <c r="A125" s="885"/>
      <c r="B125" s="885"/>
      <c r="C125" s="9" t="s">
        <v>290</v>
      </c>
      <c r="D125" s="957"/>
      <c r="E125" s="958"/>
      <c r="F125" s="958"/>
      <c r="G125" s="959"/>
      <c r="H125" s="1162"/>
      <c r="I125" s="1163"/>
      <c r="J125" s="1163"/>
      <c r="K125" s="1164"/>
      <c r="L125" s="1057" t="s">
        <v>909</v>
      </c>
      <c r="M125" s="1058"/>
      <c r="N125" s="1058"/>
      <c r="O125" s="1059"/>
      <c r="P125" s="942">
        <f>'LF-Anambra'!P45:S45</f>
        <v>2.2000000000000002</v>
      </c>
      <c r="Q125" s="943"/>
      <c r="R125" s="943"/>
      <c r="S125" s="944"/>
      <c r="T125" s="960">
        <f t="shared" ref="T125:T126" si="6">P125</f>
        <v>2.2000000000000002</v>
      </c>
      <c r="U125" s="961">
        <f t="shared" ref="U125:U126" si="7">Q125</f>
        <v>0</v>
      </c>
      <c r="V125" s="961">
        <f t="shared" ref="V125:V126" si="8">R125</f>
        <v>0</v>
      </c>
      <c r="W125" s="962">
        <f t="shared" ref="W125:W126" si="9">S125</f>
        <v>0</v>
      </c>
      <c r="X125" s="880"/>
    </row>
    <row r="126" spans="1:24" ht="12.95" customHeight="1" thickBot="1">
      <c r="A126" s="885"/>
      <c r="B126" s="885"/>
      <c r="C126" s="9" t="s">
        <v>291</v>
      </c>
      <c r="D126" s="957"/>
      <c r="E126" s="958"/>
      <c r="F126" s="958"/>
      <c r="G126" s="959"/>
      <c r="H126" s="1162"/>
      <c r="I126" s="1163"/>
      <c r="J126" s="1163"/>
      <c r="K126" s="1164"/>
      <c r="L126" s="1057" t="s">
        <v>909</v>
      </c>
      <c r="M126" s="1058"/>
      <c r="N126" s="1058"/>
      <c r="O126" s="1059"/>
      <c r="P126" s="942">
        <f>'LF-Niger'!P45:S45</f>
        <v>2.2999999999999998</v>
      </c>
      <c r="Q126" s="943"/>
      <c r="R126" s="943"/>
      <c r="S126" s="944"/>
      <c r="T126" s="960">
        <f t="shared" si="6"/>
        <v>2.2999999999999998</v>
      </c>
      <c r="U126" s="961">
        <f t="shared" si="7"/>
        <v>0</v>
      </c>
      <c r="V126" s="961">
        <f t="shared" si="8"/>
        <v>0</v>
      </c>
      <c r="W126" s="962">
        <f t="shared" si="9"/>
        <v>0</v>
      </c>
      <c r="X126" s="880"/>
    </row>
    <row r="127" spans="1:24" ht="13.5" thickBot="1">
      <c r="A127" s="885"/>
      <c r="B127" s="885"/>
      <c r="C127" s="100" t="s">
        <v>295</v>
      </c>
      <c r="D127" s="1008" t="s">
        <v>415</v>
      </c>
      <c r="E127" s="1009"/>
      <c r="F127" s="1009"/>
      <c r="G127" s="1010"/>
      <c r="H127" s="1147">
        <f>'LF-Enugu'!H46:K46</f>
        <v>3</v>
      </c>
      <c r="I127" s="1148"/>
      <c r="J127" s="1148"/>
      <c r="K127" s="1149"/>
      <c r="L127" s="1147">
        <f>'LF-Enugu'!L46:O46</f>
        <v>2.5</v>
      </c>
      <c r="M127" s="1148"/>
      <c r="N127" s="1148"/>
      <c r="O127" s="1149"/>
      <c r="P127" s="1147">
        <f>'LF-Enugu'!P46:S46</f>
        <v>3.3</v>
      </c>
      <c r="Q127" s="1148"/>
      <c r="R127" s="1148"/>
      <c r="S127" s="1149"/>
      <c r="T127" s="1147">
        <f>'Enugu Workings'!$V$26</f>
        <v>4</v>
      </c>
      <c r="U127" s="1148">
        <f>'Enugu Workings'!$V$11</f>
        <v>2</v>
      </c>
      <c r="V127" s="1148">
        <f>'Enugu Workings'!$V$11</f>
        <v>2</v>
      </c>
      <c r="W127" s="1149">
        <f>'Enugu Workings'!$V$11</f>
        <v>2</v>
      </c>
      <c r="X127" s="880"/>
    </row>
    <row r="128" spans="1:24" ht="13.5" thickBot="1">
      <c r="A128" s="885"/>
      <c r="B128" s="885"/>
      <c r="C128" s="100" t="s">
        <v>296</v>
      </c>
      <c r="D128" s="1008" t="s">
        <v>415</v>
      </c>
      <c r="E128" s="1009"/>
      <c r="F128" s="1009"/>
      <c r="G128" s="1010"/>
      <c r="H128" s="1147">
        <f>'LF-Jigawa'!H46:K46</f>
        <v>2.8</v>
      </c>
      <c r="I128" s="1148"/>
      <c r="J128" s="1148"/>
      <c r="K128" s="1149"/>
      <c r="L128" s="1147">
        <f>'LF-Jigawa'!L46:O46</f>
        <v>2.8</v>
      </c>
      <c r="M128" s="1148"/>
      <c r="N128" s="1148"/>
      <c r="O128" s="1149"/>
      <c r="P128" s="1147">
        <f>'LF-Jigawa'!P46:S46</f>
        <v>4.0999999999999996</v>
      </c>
      <c r="Q128" s="1148"/>
      <c r="R128" s="1148"/>
      <c r="S128" s="1149"/>
      <c r="T128" s="1147">
        <f>'Jigawa Workings'!$V$26</f>
        <v>4.2</v>
      </c>
      <c r="U128" s="1148">
        <f>'Jigawa Workings'!$V$11</f>
        <v>12</v>
      </c>
      <c r="V128" s="1148">
        <f>'Jigawa Workings'!$V$11</f>
        <v>12</v>
      </c>
      <c r="W128" s="1149">
        <f>'Jigawa Workings'!$V$11</f>
        <v>12</v>
      </c>
      <c r="X128" s="880"/>
    </row>
    <row r="129" spans="1:24" ht="13.5" thickBot="1">
      <c r="A129" s="885"/>
      <c r="B129" s="885"/>
      <c r="C129" s="100" t="s">
        <v>297</v>
      </c>
      <c r="D129" s="1008" t="s">
        <v>415</v>
      </c>
      <c r="E129" s="1009"/>
      <c r="F129" s="1009"/>
      <c r="G129" s="1010"/>
      <c r="H129" s="1147">
        <f>'LF-Kaduna'!H46:K46</f>
        <v>3</v>
      </c>
      <c r="I129" s="1148"/>
      <c r="J129" s="1148"/>
      <c r="K129" s="1149"/>
      <c r="L129" s="1147">
        <f>'LF-Kaduna'!L46:O46</f>
        <v>3.1</v>
      </c>
      <c r="M129" s="1148"/>
      <c r="N129" s="1148"/>
      <c r="O129" s="1149"/>
      <c r="P129" s="1147">
        <f>'LF-Kaduna'!P46:S46</f>
        <v>3.3</v>
      </c>
      <c r="Q129" s="1148"/>
      <c r="R129" s="1148"/>
      <c r="S129" s="1149"/>
      <c r="T129" s="1147">
        <f>'Kaduna Workings'!$V$26</f>
        <v>4.0999999999999996</v>
      </c>
      <c r="U129" s="1148">
        <f>'Kaduna Workings'!$V$11</f>
        <v>2</v>
      </c>
      <c r="V129" s="1148">
        <f>'Kaduna Workings'!$V$11</f>
        <v>2</v>
      </c>
      <c r="W129" s="1149">
        <f>'Kaduna Workings'!$V$11</f>
        <v>2</v>
      </c>
      <c r="X129" s="880"/>
    </row>
    <row r="130" spans="1:24" ht="13.5" thickBot="1">
      <c r="A130" s="885"/>
      <c r="B130" s="885"/>
      <c r="C130" s="100" t="s">
        <v>298</v>
      </c>
      <c r="D130" s="1008" t="s">
        <v>415</v>
      </c>
      <c r="E130" s="1009"/>
      <c r="F130" s="1009"/>
      <c r="G130" s="1010"/>
      <c r="H130" s="1147">
        <f>'LF-Kano'!H46:K46</f>
        <v>2</v>
      </c>
      <c r="I130" s="1148"/>
      <c r="J130" s="1148"/>
      <c r="K130" s="1149"/>
      <c r="L130" s="1147">
        <f>'LF-Kano'!L46:O46</f>
        <v>3.5</v>
      </c>
      <c r="M130" s="1148"/>
      <c r="N130" s="1148"/>
      <c r="O130" s="1149"/>
      <c r="P130" s="1147">
        <f>'LF-Kano'!P46:S46</f>
        <v>3.5</v>
      </c>
      <c r="Q130" s="1148"/>
      <c r="R130" s="1148"/>
      <c r="S130" s="1149"/>
      <c r="T130" s="1147">
        <f>'Kano Workings'!$V$26</f>
        <v>3.9</v>
      </c>
      <c r="U130" s="1148">
        <f>'Kano Workings'!$V$11</f>
        <v>6</v>
      </c>
      <c r="V130" s="1148">
        <f>'Kano Workings'!$V$11</f>
        <v>6</v>
      </c>
      <c r="W130" s="1149">
        <f>'Kano Workings'!$V$11</f>
        <v>6</v>
      </c>
      <c r="X130" s="880"/>
    </row>
    <row r="131" spans="1:24" ht="13.5" thickBot="1">
      <c r="A131" s="885"/>
      <c r="B131" s="885"/>
      <c r="C131" s="100" t="s">
        <v>299</v>
      </c>
      <c r="D131" s="1008" t="s">
        <v>415</v>
      </c>
      <c r="E131" s="1009"/>
      <c r="F131" s="1009"/>
      <c r="G131" s="1010"/>
      <c r="H131" s="1147">
        <f>'LF-Lagos'!H46:K46</f>
        <v>3</v>
      </c>
      <c r="I131" s="1148"/>
      <c r="J131" s="1148"/>
      <c r="K131" s="1149"/>
      <c r="L131" s="1147">
        <f>'LF-Lagos'!L46:O46</f>
        <v>2.9</v>
      </c>
      <c r="M131" s="1148"/>
      <c r="N131" s="1148"/>
      <c r="O131" s="1149"/>
      <c r="P131" s="1147">
        <f>'LF-Lagos'!P46:S46</f>
        <v>3.1</v>
      </c>
      <c r="Q131" s="1148"/>
      <c r="R131" s="1148"/>
      <c r="S131" s="1149"/>
      <c r="T131" s="1147">
        <f>'Lagos Workings'!$V$26</f>
        <v>4.0999999999999996</v>
      </c>
      <c r="U131" s="1148">
        <f>'Lagos Workings'!$V$11</f>
        <v>15</v>
      </c>
      <c r="V131" s="1148">
        <f>'Lagos Workings'!$V$11</f>
        <v>15</v>
      </c>
      <c r="W131" s="1149">
        <f>'Lagos Workings'!$V$11</f>
        <v>15</v>
      </c>
      <c r="X131" s="880"/>
    </row>
    <row r="132" spans="1:24" ht="24.75" thickBot="1">
      <c r="A132" s="885"/>
      <c r="B132" s="885"/>
      <c r="C132" s="100" t="s">
        <v>300</v>
      </c>
      <c r="D132" s="1017"/>
      <c r="E132" s="1018"/>
      <c r="F132" s="1018"/>
      <c r="G132" s="1019"/>
      <c r="H132" s="1017"/>
      <c r="I132" s="1018"/>
      <c r="J132" s="1018"/>
      <c r="K132" s="1019"/>
      <c r="L132" s="1147">
        <f>'LF-Zamfara'!L46:O46</f>
        <v>1.6</v>
      </c>
      <c r="M132" s="1148"/>
      <c r="N132" s="1148"/>
      <c r="O132" s="1149"/>
      <c r="P132" s="1147">
        <f>'LF-Zamfara'!P46:S46</f>
        <v>1.9</v>
      </c>
      <c r="Q132" s="1148"/>
      <c r="R132" s="1148"/>
      <c r="S132" s="1149"/>
      <c r="T132" s="1147">
        <f>'Zamfara Workings'!$V$26</f>
        <v>3</v>
      </c>
      <c r="U132" s="1148">
        <f>'Zamfara Workings'!$V$11</f>
        <v>1</v>
      </c>
      <c r="V132" s="1148">
        <f>'Zamfara Workings'!$V$11</f>
        <v>1</v>
      </c>
      <c r="W132" s="1149">
        <f>'Zamfara Workings'!$V$11</f>
        <v>1</v>
      </c>
      <c r="X132" s="880"/>
    </row>
    <row r="133" spans="1:24" ht="13.5" thickBot="1">
      <c r="A133" s="885"/>
      <c r="B133" s="885"/>
      <c r="C133" s="100" t="s">
        <v>301</v>
      </c>
      <c r="D133" s="1017"/>
      <c r="E133" s="1018"/>
      <c r="F133" s="1018"/>
      <c r="G133" s="1019"/>
      <c r="H133" s="1017"/>
      <c r="I133" s="1018"/>
      <c r="J133" s="1018"/>
      <c r="K133" s="1019"/>
      <c r="L133" s="1147">
        <f>'LF-Katsina'!L46:O46</f>
        <v>1.7</v>
      </c>
      <c r="M133" s="1148"/>
      <c r="N133" s="1148"/>
      <c r="O133" s="1149"/>
      <c r="P133" s="1147">
        <f>'LF-Katsina'!P46:S46</f>
        <v>2.5</v>
      </c>
      <c r="Q133" s="1148"/>
      <c r="R133" s="1148"/>
      <c r="S133" s="1149"/>
      <c r="T133" s="1147">
        <f>'Katsina Workings'!$V$26</f>
        <v>3.4</v>
      </c>
      <c r="U133" s="1148">
        <f>'Katsina Workings'!$V$11</f>
        <v>6</v>
      </c>
      <c r="V133" s="1148">
        <f>'Katsina Workings'!$V$11</f>
        <v>6</v>
      </c>
      <c r="W133" s="1149">
        <f>'Katsina Workings'!$V$11</f>
        <v>6</v>
      </c>
      <c r="X133" s="880"/>
    </row>
    <row r="134" spans="1:24" ht="13.5" thickBot="1">
      <c r="A134" s="885"/>
      <c r="B134" s="885"/>
      <c r="C134" s="100" t="s">
        <v>302</v>
      </c>
      <c r="D134" s="1017"/>
      <c r="E134" s="1018"/>
      <c r="F134" s="1018"/>
      <c r="G134" s="1019"/>
      <c r="H134" s="1017"/>
      <c r="I134" s="1018"/>
      <c r="J134" s="1018"/>
      <c r="K134" s="1019"/>
      <c r="L134" s="1147">
        <f>'LF-Yobe'!L46:O46</f>
        <v>1.5</v>
      </c>
      <c r="M134" s="1148"/>
      <c r="N134" s="1148"/>
      <c r="O134" s="1149"/>
      <c r="P134" s="1147">
        <f>'LF-Yobe'!P46:S46</f>
        <v>2.2000000000000002</v>
      </c>
      <c r="Q134" s="1148"/>
      <c r="R134" s="1148"/>
      <c r="S134" s="1149"/>
      <c r="T134" s="1147">
        <f>'Yobe Workings'!$V$26</f>
        <v>3.1</v>
      </c>
      <c r="U134" s="1148">
        <f>'Yobe Workings'!$V$11</f>
        <v>10</v>
      </c>
      <c r="V134" s="1148">
        <f>'Yobe Workings'!$V$11</f>
        <v>10</v>
      </c>
      <c r="W134" s="1149">
        <f>'Yobe Workings'!$V$11</f>
        <v>10</v>
      </c>
      <c r="X134" s="880"/>
    </row>
    <row r="135" spans="1:24" ht="24.75" thickBot="1">
      <c r="A135" s="885"/>
      <c r="B135" s="885"/>
      <c r="C135" s="100" t="s">
        <v>303</v>
      </c>
      <c r="D135" s="1017"/>
      <c r="E135" s="1018"/>
      <c r="F135" s="1018"/>
      <c r="G135" s="1019"/>
      <c r="H135" s="1017"/>
      <c r="I135" s="1018"/>
      <c r="J135" s="1018"/>
      <c r="K135" s="1019"/>
      <c r="L135" s="1017"/>
      <c r="M135" s="1018"/>
      <c r="N135" s="1018"/>
      <c r="O135" s="1019"/>
      <c r="P135" s="1017"/>
      <c r="Q135" s="1018"/>
      <c r="R135" s="1018"/>
      <c r="S135" s="1019"/>
      <c r="T135" s="1147">
        <f t="shared" ref="T135:W135" si="10">T125</f>
        <v>2.2000000000000002</v>
      </c>
      <c r="U135" s="1148">
        <f t="shared" si="10"/>
        <v>0</v>
      </c>
      <c r="V135" s="1148">
        <f t="shared" si="10"/>
        <v>0</v>
      </c>
      <c r="W135" s="1149">
        <f t="shared" si="10"/>
        <v>0</v>
      </c>
      <c r="X135" s="880"/>
    </row>
    <row r="136" spans="1:24" ht="13.5" thickBot="1">
      <c r="A136" s="885"/>
      <c r="B136" s="885"/>
      <c r="C136" s="100" t="s">
        <v>304</v>
      </c>
      <c r="D136" s="1017"/>
      <c r="E136" s="1018"/>
      <c r="F136" s="1018"/>
      <c r="G136" s="1019"/>
      <c r="H136" s="1017"/>
      <c r="I136" s="1018"/>
      <c r="J136" s="1018"/>
      <c r="K136" s="1019"/>
      <c r="L136" s="1017"/>
      <c r="M136" s="1018"/>
      <c r="N136" s="1018"/>
      <c r="O136" s="1019"/>
      <c r="P136" s="1017"/>
      <c r="Q136" s="1018"/>
      <c r="R136" s="1018"/>
      <c r="S136" s="1019"/>
      <c r="T136" s="1147">
        <f t="shared" ref="T136:W136" si="11">T126</f>
        <v>2.2999999999999998</v>
      </c>
      <c r="U136" s="1148">
        <f t="shared" si="11"/>
        <v>0</v>
      </c>
      <c r="V136" s="1148">
        <f t="shared" si="11"/>
        <v>0</v>
      </c>
      <c r="W136" s="1149">
        <f t="shared" si="11"/>
        <v>0</v>
      </c>
      <c r="X136" s="880"/>
    </row>
    <row r="137" spans="1:24" ht="13.5" thickBot="1">
      <c r="A137" s="885"/>
      <c r="B137" s="885"/>
      <c r="C137" s="922" t="s">
        <v>413</v>
      </c>
      <c r="D137" s="927" t="s">
        <v>4</v>
      </c>
      <c r="E137" s="928"/>
      <c r="F137" s="928"/>
      <c r="G137" s="928"/>
      <c r="H137" s="928"/>
      <c r="I137" s="928"/>
      <c r="J137" s="928"/>
      <c r="K137" s="928"/>
      <c r="L137" s="928"/>
      <c r="M137" s="928"/>
      <c r="N137" s="928"/>
      <c r="O137" s="928"/>
      <c r="P137" s="928"/>
      <c r="Q137" s="928"/>
      <c r="R137" s="928"/>
      <c r="S137" s="928"/>
      <c r="T137" s="928"/>
      <c r="U137" s="928"/>
      <c r="V137" s="928"/>
      <c r="W137" s="928"/>
      <c r="X137" s="880"/>
    </row>
    <row r="138" spans="1:24" ht="13.5" thickBot="1">
      <c r="A138" s="885"/>
      <c r="B138" s="869"/>
      <c r="C138" s="923"/>
      <c r="D138" s="930" t="s">
        <v>115</v>
      </c>
      <c r="E138" s="931"/>
      <c r="F138" s="931"/>
      <c r="G138" s="931"/>
      <c r="H138" s="931"/>
      <c r="I138" s="931"/>
      <c r="J138" s="931"/>
      <c r="K138" s="931"/>
      <c r="L138" s="931"/>
      <c r="M138" s="931"/>
      <c r="N138" s="931"/>
      <c r="O138" s="931"/>
      <c r="P138" s="931"/>
      <c r="Q138" s="931"/>
      <c r="R138" s="931"/>
      <c r="S138" s="931"/>
      <c r="T138" s="931"/>
      <c r="U138" s="931"/>
      <c r="V138" s="931"/>
      <c r="W138" s="932"/>
      <c r="X138" s="880"/>
    </row>
    <row r="139" spans="1:24" ht="12.95" customHeight="1" thickBot="1">
      <c r="A139" s="885"/>
      <c r="B139" s="11" t="s">
        <v>38</v>
      </c>
      <c r="C139" s="12"/>
      <c r="D139" s="927" t="s">
        <v>78</v>
      </c>
      <c r="E139" s="928"/>
      <c r="F139" s="928"/>
      <c r="G139" s="929"/>
      <c r="H139" s="927" t="s">
        <v>77</v>
      </c>
      <c r="I139" s="928"/>
      <c r="J139" s="928"/>
      <c r="K139" s="929"/>
      <c r="L139" s="927" t="s">
        <v>81</v>
      </c>
      <c r="M139" s="928"/>
      <c r="N139" s="928"/>
      <c r="O139" s="929"/>
      <c r="P139" s="927" t="s">
        <v>254</v>
      </c>
      <c r="Q139" s="928"/>
      <c r="R139" s="928"/>
      <c r="S139" s="929"/>
      <c r="T139" s="1144" t="s">
        <v>908</v>
      </c>
      <c r="U139" s="1145"/>
      <c r="V139" s="1145"/>
      <c r="W139" s="1146"/>
      <c r="X139" s="880"/>
    </row>
    <row r="140" spans="1:24" ht="13.5" thickBot="1">
      <c r="A140" s="885"/>
      <c r="B140" s="868" t="s">
        <v>155</v>
      </c>
      <c r="C140" s="9" t="s">
        <v>285</v>
      </c>
      <c r="D140" s="933" t="s">
        <v>171</v>
      </c>
      <c r="E140" s="934"/>
      <c r="F140" s="934"/>
      <c r="G140" s="935"/>
      <c r="H140" s="1051" t="s">
        <v>256</v>
      </c>
      <c r="I140" s="1052"/>
      <c r="J140" s="1052"/>
      <c r="K140" s="1053"/>
      <c r="L140" s="942">
        <f>'LF-Enugu'!L50:O50</f>
        <v>2.9</v>
      </c>
      <c r="M140" s="943"/>
      <c r="N140" s="943"/>
      <c r="O140" s="944"/>
      <c r="P140" s="942">
        <f>'LF-Enugu'!P50:S50</f>
        <v>3</v>
      </c>
      <c r="Q140" s="943"/>
      <c r="R140" s="943"/>
      <c r="S140" s="944"/>
      <c r="T140" s="1159">
        <f>'Enugu Workings'!$V$28</f>
        <v>3.3333333333333339</v>
      </c>
      <c r="U140" s="1160">
        <f>'Enugu Workings'!$V$10</f>
        <v>3.3333333333333339</v>
      </c>
      <c r="V140" s="1160">
        <f>'Enugu Workings'!$V$10</f>
        <v>3.3333333333333339</v>
      </c>
      <c r="W140" s="1161">
        <f>'Enugu Workings'!$V$10</f>
        <v>3.3333333333333339</v>
      </c>
      <c r="X140" s="880"/>
    </row>
    <row r="141" spans="1:24" ht="13.5" thickBot="1">
      <c r="A141" s="885"/>
      <c r="B141" s="885"/>
      <c r="C141" s="9" t="s">
        <v>286</v>
      </c>
      <c r="D141" s="957"/>
      <c r="E141" s="958"/>
      <c r="F141" s="958"/>
      <c r="G141" s="959"/>
      <c r="H141" s="1051" t="s">
        <v>256</v>
      </c>
      <c r="I141" s="1052"/>
      <c r="J141" s="1052"/>
      <c r="K141" s="1053"/>
      <c r="L141" s="942">
        <f>'LF-Jigawa'!L50:O50</f>
        <v>3.4</v>
      </c>
      <c r="M141" s="943"/>
      <c r="N141" s="943"/>
      <c r="O141" s="944"/>
      <c r="P141" s="942">
        <f>'LF-Jigawa'!P50:S50</f>
        <v>3.6</v>
      </c>
      <c r="Q141" s="943"/>
      <c r="R141" s="943"/>
      <c r="S141" s="944"/>
      <c r="T141" s="1159">
        <f>'Jigawa Workings'!$V$28</f>
        <v>3.6666666666666665</v>
      </c>
      <c r="U141" s="1160">
        <f>'Jigawa Workings'!$V$10</f>
        <v>14.666666666666664</v>
      </c>
      <c r="V141" s="1160">
        <f>'Jigawa Workings'!$V$10</f>
        <v>14.666666666666664</v>
      </c>
      <c r="W141" s="1161">
        <f>'Jigawa Workings'!$V$10</f>
        <v>14.666666666666664</v>
      </c>
      <c r="X141" s="880"/>
    </row>
    <row r="142" spans="1:24" ht="13.5" thickBot="1">
      <c r="A142" s="885"/>
      <c r="B142" s="885"/>
      <c r="C142" s="9" t="s">
        <v>287</v>
      </c>
      <c r="D142" s="957"/>
      <c r="E142" s="958"/>
      <c r="F142" s="958"/>
      <c r="G142" s="959"/>
      <c r="H142" s="1051" t="s">
        <v>256</v>
      </c>
      <c r="I142" s="1052"/>
      <c r="J142" s="1052"/>
      <c r="K142" s="1053"/>
      <c r="L142" s="942">
        <f>'LF-Kaduna'!L50:O50</f>
        <v>3.3</v>
      </c>
      <c r="M142" s="943"/>
      <c r="N142" s="943"/>
      <c r="O142" s="944"/>
      <c r="P142" s="942">
        <f>'LF-Kaduna'!P50:S50</f>
        <v>3.5</v>
      </c>
      <c r="Q142" s="943"/>
      <c r="R142" s="943"/>
      <c r="S142" s="944"/>
      <c r="T142" s="1159">
        <f>'Kaduna Workings'!$V$28</f>
        <v>3.6999999999999993</v>
      </c>
      <c r="U142" s="1160">
        <f>'Kaduna Workings'!$V$10</f>
        <v>13.666666666666664</v>
      </c>
      <c r="V142" s="1160">
        <f>'Kaduna Workings'!$V$10</f>
        <v>13.666666666666664</v>
      </c>
      <c r="W142" s="1161">
        <f>'Kaduna Workings'!$V$10</f>
        <v>13.666666666666664</v>
      </c>
      <c r="X142" s="880"/>
    </row>
    <row r="143" spans="1:24" ht="13.5" thickBot="1">
      <c r="A143" s="885"/>
      <c r="B143" s="885"/>
      <c r="C143" s="9" t="s">
        <v>288</v>
      </c>
      <c r="D143" s="957"/>
      <c r="E143" s="958"/>
      <c r="F143" s="958"/>
      <c r="G143" s="959"/>
      <c r="H143" s="1051" t="s">
        <v>256</v>
      </c>
      <c r="I143" s="1052"/>
      <c r="J143" s="1052"/>
      <c r="K143" s="1053"/>
      <c r="L143" s="942">
        <f>'LF-Kano'!L50:O50</f>
        <v>2.8</v>
      </c>
      <c r="M143" s="943"/>
      <c r="N143" s="943"/>
      <c r="O143" s="944"/>
      <c r="P143" s="963">
        <f>'LF-Kano'!P50:S50</f>
        <v>3.2</v>
      </c>
      <c r="Q143" s="964"/>
      <c r="R143" s="964"/>
      <c r="S143" s="965"/>
      <c r="T143" s="1159">
        <f>'Kano Workings'!$V$28</f>
        <v>3.7333333333333334</v>
      </c>
      <c r="U143" s="1160">
        <f>'Kano Workings'!$V$10</f>
        <v>5.666666666666667</v>
      </c>
      <c r="V143" s="1160">
        <f>'Kano Workings'!$V$10</f>
        <v>5.666666666666667</v>
      </c>
      <c r="W143" s="1161">
        <f>'Kano Workings'!$V$10</f>
        <v>5.666666666666667</v>
      </c>
      <c r="X143" s="880"/>
    </row>
    <row r="144" spans="1:24" ht="13.5" thickBot="1">
      <c r="A144" s="885"/>
      <c r="B144" s="885"/>
      <c r="C144" s="9" t="s">
        <v>289</v>
      </c>
      <c r="D144" s="957"/>
      <c r="E144" s="958"/>
      <c r="F144" s="958"/>
      <c r="G144" s="959"/>
      <c r="H144" s="1051" t="s">
        <v>256</v>
      </c>
      <c r="I144" s="1052"/>
      <c r="J144" s="1052"/>
      <c r="K144" s="1053"/>
      <c r="L144" s="942">
        <f>'LF-Lagos'!L50:O50</f>
        <v>2.5</v>
      </c>
      <c r="M144" s="943"/>
      <c r="N144" s="943"/>
      <c r="O144" s="944"/>
      <c r="P144" s="963">
        <f>'LF-Lagos'!P50:S50</f>
        <v>2.75</v>
      </c>
      <c r="Q144" s="964"/>
      <c r="R144" s="964"/>
      <c r="S144" s="965"/>
      <c r="T144" s="1159">
        <f>'Lagos Workings'!$V$28</f>
        <v>2.9166666666666661</v>
      </c>
      <c r="U144" s="1160">
        <f>'Lagos Workings'!$V$10</f>
        <v>15</v>
      </c>
      <c r="V144" s="1160">
        <f>'Lagos Workings'!$V$10</f>
        <v>15</v>
      </c>
      <c r="W144" s="1161">
        <f>'Lagos Workings'!$V$10</f>
        <v>15</v>
      </c>
      <c r="X144" s="880"/>
    </row>
    <row r="145" spans="1:24" ht="13.5" thickBot="1">
      <c r="A145" s="885"/>
      <c r="B145" s="885"/>
      <c r="C145" s="9" t="s">
        <v>292</v>
      </c>
      <c r="D145" s="957"/>
      <c r="E145" s="958"/>
      <c r="F145" s="958"/>
      <c r="G145" s="959"/>
      <c r="H145" s="1051" t="s">
        <v>256</v>
      </c>
      <c r="I145" s="1052"/>
      <c r="J145" s="1052"/>
      <c r="K145" s="1053"/>
      <c r="L145" s="942">
        <f>'LF-Zamfara'!L50:O50</f>
        <v>2.6</v>
      </c>
      <c r="M145" s="943"/>
      <c r="N145" s="943"/>
      <c r="O145" s="944"/>
      <c r="P145" s="963">
        <f>'LF-Zamfara'!P50:S50</f>
        <v>2.9</v>
      </c>
      <c r="Q145" s="964"/>
      <c r="R145" s="964"/>
      <c r="S145" s="965"/>
      <c r="T145" s="1159">
        <f>'Zamfara Workings'!$V$28</f>
        <v>3.3000000000000003</v>
      </c>
      <c r="U145" s="1160">
        <f>'Zamfara Workings'!$V$10</f>
        <v>3.3333333333333339</v>
      </c>
      <c r="V145" s="1160">
        <f>'Zamfara Workings'!$V$10</f>
        <v>3.3333333333333339</v>
      </c>
      <c r="W145" s="1161">
        <f>'Zamfara Workings'!$V$10</f>
        <v>3.3333333333333339</v>
      </c>
      <c r="X145" s="880"/>
    </row>
    <row r="146" spans="1:24" ht="13.5" thickBot="1">
      <c r="A146" s="885"/>
      <c r="B146" s="885"/>
      <c r="C146" s="9" t="s">
        <v>293</v>
      </c>
      <c r="D146" s="957"/>
      <c r="E146" s="958"/>
      <c r="F146" s="958"/>
      <c r="G146" s="959"/>
      <c r="H146" s="1051" t="s">
        <v>256</v>
      </c>
      <c r="I146" s="1052"/>
      <c r="J146" s="1052"/>
      <c r="K146" s="1053"/>
      <c r="L146" s="942">
        <f>'LF-Katsina'!L50:O50</f>
        <v>2.7</v>
      </c>
      <c r="M146" s="943"/>
      <c r="N146" s="943"/>
      <c r="O146" s="944"/>
      <c r="P146" s="963">
        <f>'LF-Katsina'!P50:S50</f>
        <v>3</v>
      </c>
      <c r="Q146" s="964"/>
      <c r="R146" s="964"/>
      <c r="S146" s="965"/>
      <c r="T146" s="1159">
        <f>'Katsina Workings'!$V$28</f>
        <v>3.3333333333333339</v>
      </c>
      <c r="U146" s="1160">
        <f>'Katsina Workings'!$V$10</f>
        <v>6</v>
      </c>
      <c r="V146" s="1160">
        <f>'Katsina Workings'!$V$10</f>
        <v>6</v>
      </c>
      <c r="W146" s="1161">
        <f>'Katsina Workings'!$V$10</f>
        <v>6</v>
      </c>
      <c r="X146" s="880"/>
    </row>
    <row r="147" spans="1:24" ht="13.5" thickBot="1">
      <c r="A147" s="885"/>
      <c r="B147" s="885"/>
      <c r="C147" s="9" t="s">
        <v>294</v>
      </c>
      <c r="D147" s="957"/>
      <c r="E147" s="958"/>
      <c r="F147" s="958"/>
      <c r="G147" s="959"/>
      <c r="H147" s="1051" t="s">
        <v>256</v>
      </c>
      <c r="I147" s="1052"/>
      <c r="J147" s="1052"/>
      <c r="K147" s="1053"/>
      <c r="L147" s="942">
        <f>'LF-Yobe'!L50:O50</f>
        <v>2.5</v>
      </c>
      <c r="M147" s="943"/>
      <c r="N147" s="943"/>
      <c r="O147" s="944"/>
      <c r="P147" s="963">
        <f>'LF-Yobe'!P50:S50</f>
        <v>2.8</v>
      </c>
      <c r="Q147" s="964"/>
      <c r="R147" s="964"/>
      <c r="S147" s="965"/>
      <c r="T147" s="1159">
        <f>'Yobe Workings'!$V$28</f>
        <v>2.9333333333333327</v>
      </c>
      <c r="U147" s="1160">
        <f>'Yobe Workings'!$V$10</f>
        <v>2.6666666666666661</v>
      </c>
      <c r="V147" s="1160">
        <f>'Yobe Workings'!$V$10</f>
        <v>2.6666666666666661</v>
      </c>
      <c r="W147" s="1161">
        <f>'Yobe Workings'!$V$10</f>
        <v>2.6666666666666661</v>
      </c>
      <c r="X147" s="880"/>
    </row>
    <row r="148" spans="1:24" ht="12.95" customHeight="1" thickBot="1">
      <c r="A148" s="885"/>
      <c r="B148" s="885"/>
      <c r="C148" s="9" t="s">
        <v>290</v>
      </c>
      <c r="D148" s="957"/>
      <c r="E148" s="958"/>
      <c r="F148" s="958"/>
      <c r="G148" s="959"/>
      <c r="H148" s="1162"/>
      <c r="I148" s="1163"/>
      <c r="J148" s="1163"/>
      <c r="K148" s="1164"/>
      <c r="L148" s="1057" t="s">
        <v>909</v>
      </c>
      <c r="M148" s="1058"/>
      <c r="N148" s="1058"/>
      <c r="O148" s="1059"/>
      <c r="P148" s="942">
        <f>'LF-Anambra'!P50:S50</f>
        <v>3.1</v>
      </c>
      <c r="Q148" s="943"/>
      <c r="R148" s="943"/>
      <c r="S148" s="944"/>
      <c r="T148" s="960">
        <f t="shared" ref="T148:T149" si="12">P148</f>
        <v>3.1</v>
      </c>
      <c r="U148" s="961">
        <f t="shared" ref="U148:U149" si="13">Q148</f>
        <v>0</v>
      </c>
      <c r="V148" s="961">
        <f t="shared" ref="V148:V149" si="14">R148</f>
        <v>0</v>
      </c>
      <c r="W148" s="962">
        <f t="shared" ref="W148:W149" si="15">S148</f>
        <v>0</v>
      </c>
      <c r="X148" s="880"/>
    </row>
    <row r="149" spans="1:24" ht="12.95" customHeight="1" thickBot="1">
      <c r="A149" s="885"/>
      <c r="B149" s="885"/>
      <c r="C149" s="9" t="s">
        <v>291</v>
      </c>
      <c r="D149" s="957"/>
      <c r="E149" s="958"/>
      <c r="F149" s="958"/>
      <c r="G149" s="959"/>
      <c r="H149" s="1162"/>
      <c r="I149" s="1163"/>
      <c r="J149" s="1163"/>
      <c r="K149" s="1164"/>
      <c r="L149" s="1057" t="s">
        <v>909</v>
      </c>
      <c r="M149" s="1058"/>
      <c r="N149" s="1058"/>
      <c r="O149" s="1059"/>
      <c r="P149" s="942">
        <f>'LF-Niger'!P50:S50</f>
        <v>2.9</v>
      </c>
      <c r="Q149" s="943"/>
      <c r="R149" s="943"/>
      <c r="S149" s="944"/>
      <c r="T149" s="960">
        <f t="shared" si="12"/>
        <v>2.9</v>
      </c>
      <c r="U149" s="961">
        <f t="shared" si="13"/>
        <v>0</v>
      </c>
      <c r="V149" s="961">
        <f t="shared" si="14"/>
        <v>0</v>
      </c>
      <c r="W149" s="962">
        <f t="shared" si="15"/>
        <v>0</v>
      </c>
      <c r="X149" s="880"/>
    </row>
    <row r="150" spans="1:24" ht="13.5" thickBot="1">
      <c r="A150" s="885"/>
      <c r="B150" s="885"/>
      <c r="C150" s="100" t="s">
        <v>295</v>
      </c>
      <c r="D150" s="1017"/>
      <c r="E150" s="1018"/>
      <c r="F150" s="1018"/>
      <c r="G150" s="1019"/>
      <c r="H150" s="1017"/>
      <c r="I150" s="1018"/>
      <c r="J150" s="1018"/>
      <c r="K150" s="1019"/>
      <c r="L150" s="1017"/>
      <c r="M150" s="1018"/>
      <c r="N150" s="1018"/>
      <c r="O150" s="1019"/>
      <c r="P150" s="1147">
        <f>'LF-Enugu'!P51:S51</f>
        <v>3.5</v>
      </c>
      <c r="Q150" s="1148"/>
      <c r="R150" s="1148"/>
      <c r="S150" s="1149"/>
      <c r="T150" s="1147">
        <f>'Enugu Workings'!$V$29</f>
        <v>4.2</v>
      </c>
      <c r="U150" s="1148">
        <f>'Enugu Workings'!$V$11</f>
        <v>2</v>
      </c>
      <c r="V150" s="1148">
        <f>'Enugu Workings'!$V$11</f>
        <v>2</v>
      </c>
      <c r="W150" s="1149">
        <f>'Enugu Workings'!$V$11</f>
        <v>2</v>
      </c>
      <c r="X150" s="880"/>
    </row>
    <row r="151" spans="1:24" ht="13.5" thickBot="1">
      <c r="A151" s="885"/>
      <c r="B151" s="885"/>
      <c r="C151" s="100" t="s">
        <v>296</v>
      </c>
      <c r="D151" s="1017"/>
      <c r="E151" s="1018"/>
      <c r="F151" s="1018"/>
      <c r="G151" s="1019"/>
      <c r="H151" s="1017"/>
      <c r="I151" s="1018"/>
      <c r="J151" s="1018"/>
      <c r="K151" s="1019"/>
      <c r="L151" s="1017"/>
      <c r="M151" s="1018"/>
      <c r="N151" s="1018"/>
      <c r="O151" s="1019"/>
      <c r="P151" s="1147">
        <f>'LF-Jigawa'!P51:S51</f>
        <v>3.4</v>
      </c>
      <c r="Q151" s="1148"/>
      <c r="R151" s="1148"/>
      <c r="S151" s="1149"/>
      <c r="T151" s="1147">
        <f>'Jigawa Workings'!$V$29</f>
        <v>3.5</v>
      </c>
      <c r="U151" s="1148">
        <f>'Jigawa Workings'!$V$11</f>
        <v>12</v>
      </c>
      <c r="V151" s="1148">
        <f>'Jigawa Workings'!$V$11</f>
        <v>12</v>
      </c>
      <c r="W151" s="1149">
        <f>'Jigawa Workings'!$V$11</f>
        <v>12</v>
      </c>
      <c r="X151" s="880"/>
    </row>
    <row r="152" spans="1:24" ht="13.5" thickBot="1">
      <c r="A152" s="885"/>
      <c r="B152" s="885"/>
      <c r="C152" s="100" t="s">
        <v>297</v>
      </c>
      <c r="D152" s="1017"/>
      <c r="E152" s="1018"/>
      <c r="F152" s="1018"/>
      <c r="G152" s="1019"/>
      <c r="H152" s="1017"/>
      <c r="I152" s="1018"/>
      <c r="J152" s="1018"/>
      <c r="K152" s="1019"/>
      <c r="L152" s="1017"/>
      <c r="M152" s="1018"/>
      <c r="N152" s="1018"/>
      <c r="O152" s="1019"/>
      <c r="P152" s="1147">
        <f>'LF-Kaduna'!P51:S51</f>
        <v>3.4</v>
      </c>
      <c r="Q152" s="1148"/>
      <c r="R152" s="1148"/>
      <c r="S152" s="1149"/>
      <c r="T152" s="1147">
        <f>'Kaduna Workings'!$V$29</f>
        <v>3.8</v>
      </c>
      <c r="U152" s="1148">
        <f>'Kaduna Workings'!$V$11</f>
        <v>2</v>
      </c>
      <c r="V152" s="1148">
        <f>'Kaduna Workings'!$V$11</f>
        <v>2</v>
      </c>
      <c r="W152" s="1149">
        <f>'Kaduna Workings'!$V$11</f>
        <v>2</v>
      </c>
      <c r="X152" s="880"/>
    </row>
    <row r="153" spans="1:24" ht="13.5" thickBot="1">
      <c r="A153" s="885"/>
      <c r="B153" s="885"/>
      <c r="C153" s="100" t="s">
        <v>298</v>
      </c>
      <c r="D153" s="1017"/>
      <c r="E153" s="1018"/>
      <c r="F153" s="1018"/>
      <c r="G153" s="1019"/>
      <c r="H153" s="1017"/>
      <c r="I153" s="1018"/>
      <c r="J153" s="1018"/>
      <c r="K153" s="1019"/>
      <c r="L153" s="1017"/>
      <c r="M153" s="1018"/>
      <c r="N153" s="1018"/>
      <c r="O153" s="1019"/>
      <c r="P153" s="1147">
        <f>'LF-Kano'!P51:S51</f>
        <v>3.7</v>
      </c>
      <c r="Q153" s="1148"/>
      <c r="R153" s="1148"/>
      <c r="S153" s="1149"/>
      <c r="T153" s="1147">
        <f>'Kano Workings'!$V$29</f>
        <v>3.8</v>
      </c>
      <c r="U153" s="1148">
        <f>'Kano Workings'!$V$11</f>
        <v>6</v>
      </c>
      <c r="V153" s="1148">
        <f>'Kano Workings'!$V$11</f>
        <v>6</v>
      </c>
      <c r="W153" s="1149">
        <f>'Kano Workings'!$V$11</f>
        <v>6</v>
      </c>
      <c r="X153" s="880"/>
    </row>
    <row r="154" spans="1:24" ht="13.5" thickBot="1">
      <c r="A154" s="885"/>
      <c r="B154" s="885"/>
      <c r="C154" s="100" t="s">
        <v>299</v>
      </c>
      <c r="D154" s="1017"/>
      <c r="E154" s="1018"/>
      <c r="F154" s="1018"/>
      <c r="G154" s="1019"/>
      <c r="H154" s="1017"/>
      <c r="I154" s="1018"/>
      <c r="J154" s="1018"/>
      <c r="K154" s="1019"/>
      <c r="L154" s="1017"/>
      <c r="M154" s="1018"/>
      <c r="N154" s="1018"/>
      <c r="O154" s="1019"/>
      <c r="P154" s="1147">
        <f>'LF-Lagos'!P51:S51</f>
        <v>3.3</v>
      </c>
      <c r="Q154" s="1148"/>
      <c r="R154" s="1148"/>
      <c r="S154" s="1149"/>
      <c r="T154" s="1147">
        <f>'Lagos Workings'!$V$29</f>
        <v>3.3</v>
      </c>
      <c r="U154" s="1148">
        <f>'Lagos Workings'!$V$11</f>
        <v>15</v>
      </c>
      <c r="V154" s="1148">
        <f>'Lagos Workings'!$V$11</f>
        <v>15</v>
      </c>
      <c r="W154" s="1149">
        <f>'Lagos Workings'!$V$11</f>
        <v>15</v>
      </c>
      <c r="X154" s="880"/>
    </row>
    <row r="155" spans="1:24" ht="24.75" thickBot="1">
      <c r="A155" s="885"/>
      <c r="B155" s="885"/>
      <c r="C155" s="100" t="s">
        <v>300</v>
      </c>
      <c r="D155" s="1017"/>
      <c r="E155" s="1018"/>
      <c r="F155" s="1018"/>
      <c r="G155" s="1019"/>
      <c r="H155" s="1017"/>
      <c r="I155" s="1018"/>
      <c r="J155" s="1018"/>
      <c r="K155" s="1019"/>
      <c r="L155" s="1017"/>
      <c r="M155" s="1018"/>
      <c r="N155" s="1018"/>
      <c r="O155" s="1019"/>
      <c r="P155" s="1147">
        <f>'LF-Zamfara'!P51:S51</f>
        <v>2.2999999999999998</v>
      </c>
      <c r="Q155" s="1148"/>
      <c r="R155" s="1148"/>
      <c r="S155" s="1149"/>
      <c r="T155" s="1147">
        <f>'Zamfara Workings'!$V$29</f>
        <v>3.1</v>
      </c>
      <c r="U155" s="1148">
        <f>'Zamfara Workings'!$V$11</f>
        <v>1</v>
      </c>
      <c r="V155" s="1148">
        <f>'Zamfara Workings'!$V$11</f>
        <v>1</v>
      </c>
      <c r="W155" s="1149">
        <f>'Zamfara Workings'!$V$11</f>
        <v>1</v>
      </c>
      <c r="X155" s="880"/>
    </row>
    <row r="156" spans="1:24" ht="13.5" thickBot="1">
      <c r="A156" s="885"/>
      <c r="B156" s="885"/>
      <c r="C156" s="100" t="s">
        <v>301</v>
      </c>
      <c r="D156" s="1017"/>
      <c r="E156" s="1018"/>
      <c r="F156" s="1018"/>
      <c r="G156" s="1019"/>
      <c r="H156" s="1017"/>
      <c r="I156" s="1018"/>
      <c r="J156" s="1018"/>
      <c r="K156" s="1019"/>
      <c r="L156" s="1017"/>
      <c r="M156" s="1018"/>
      <c r="N156" s="1018"/>
      <c r="O156" s="1019"/>
      <c r="P156" s="1147">
        <f>'LF-Katsina'!P51:S51</f>
        <v>3.1</v>
      </c>
      <c r="Q156" s="1148"/>
      <c r="R156" s="1148"/>
      <c r="S156" s="1149"/>
      <c r="T156" s="1147">
        <f>'Katsina Workings'!$V$29</f>
        <v>3.7</v>
      </c>
      <c r="U156" s="1148">
        <f>'Katsina Workings'!$V$11</f>
        <v>6</v>
      </c>
      <c r="V156" s="1148">
        <f>'Katsina Workings'!$V$11</f>
        <v>6</v>
      </c>
      <c r="W156" s="1149">
        <f>'Katsina Workings'!$V$11</f>
        <v>6</v>
      </c>
      <c r="X156" s="880"/>
    </row>
    <row r="157" spans="1:24" ht="13.5" thickBot="1">
      <c r="A157" s="885"/>
      <c r="B157" s="885"/>
      <c r="C157" s="100" t="s">
        <v>302</v>
      </c>
      <c r="D157" s="1017"/>
      <c r="E157" s="1018"/>
      <c r="F157" s="1018"/>
      <c r="G157" s="1019"/>
      <c r="H157" s="1017"/>
      <c r="I157" s="1018"/>
      <c r="J157" s="1018"/>
      <c r="K157" s="1019"/>
      <c r="L157" s="1017"/>
      <c r="M157" s="1018"/>
      <c r="N157" s="1018"/>
      <c r="O157" s="1019"/>
      <c r="P157" s="1147">
        <f>'LF-Yobe'!P51:S51</f>
        <v>2.9</v>
      </c>
      <c r="Q157" s="1148"/>
      <c r="R157" s="1148"/>
      <c r="S157" s="1149"/>
      <c r="T157" s="1147">
        <f>'Yobe Workings'!$V$29</f>
        <v>3.3</v>
      </c>
      <c r="U157" s="1148">
        <f>'Yobe Workings'!$V$11</f>
        <v>10</v>
      </c>
      <c r="V157" s="1148">
        <f>'Yobe Workings'!$V$11</f>
        <v>10</v>
      </c>
      <c r="W157" s="1149">
        <f>'Yobe Workings'!$V$11</f>
        <v>10</v>
      </c>
      <c r="X157" s="880"/>
    </row>
    <row r="158" spans="1:24" ht="24.75" thickBot="1">
      <c r="A158" s="885"/>
      <c r="B158" s="885"/>
      <c r="C158" s="100" t="s">
        <v>303</v>
      </c>
      <c r="D158" s="1017"/>
      <c r="E158" s="1018"/>
      <c r="F158" s="1018"/>
      <c r="G158" s="1019"/>
      <c r="H158" s="1017"/>
      <c r="I158" s="1018"/>
      <c r="J158" s="1018"/>
      <c r="K158" s="1019"/>
      <c r="L158" s="1017"/>
      <c r="M158" s="1018"/>
      <c r="N158" s="1018"/>
      <c r="O158" s="1019"/>
      <c r="P158" s="1017"/>
      <c r="Q158" s="1018"/>
      <c r="R158" s="1018"/>
      <c r="S158" s="1019"/>
      <c r="T158" s="1147">
        <f t="shared" ref="T158:W158" si="16">T148</f>
        <v>3.1</v>
      </c>
      <c r="U158" s="1148">
        <f t="shared" si="16"/>
        <v>0</v>
      </c>
      <c r="V158" s="1148">
        <f t="shared" si="16"/>
        <v>0</v>
      </c>
      <c r="W158" s="1149">
        <f t="shared" si="16"/>
        <v>0</v>
      </c>
      <c r="X158" s="880"/>
    </row>
    <row r="159" spans="1:24" ht="13.5" thickBot="1">
      <c r="A159" s="885"/>
      <c r="B159" s="885"/>
      <c r="C159" s="100" t="s">
        <v>304</v>
      </c>
      <c r="D159" s="1017"/>
      <c r="E159" s="1018"/>
      <c r="F159" s="1018"/>
      <c r="G159" s="1019"/>
      <c r="H159" s="1017"/>
      <c r="I159" s="1018"/>
      <c r="J159" s="1018"/>
      <c r="K159" s="1019"/>
      <c r="L159" s="1017"/>
      <c r="M159" s="1018"/>
      <c r="N159" s="1018"/>
      <c r="O159" s="1019"/>
      <c r="P159" s="1017"/>
      <c r="Q159" s="1018"/>
      <c r="R159" s="1018"/>
      <c r="S159" s="1019"/>
      <c r="T159" s="1147">
        <f t="shared" ref="T159:W159" si="17">T149</f>
        <v>2.9</v>
      </c>
      <c r="U159" s="1148">
        <f t="shared" si="17"/>
        <v>0</v>
      </c>
      <c r="V159" s="1148">
        <f t="shared" si="17"/>
        <v>0</v>
      </c>
      <c r="W159" s="1149">
        <f t="shared" si="17"/>
        <v>0</v>
      </c>
      <c r="X159" s="880"/>
    </row>
    <row r="160" spans="1:24" ht="13.5" thickBot="1">
      <c r="A160" s="885"/>
      <c r="B160" s="885"/>
      <c r="C160" s="922" t="s">
        <v>413</v>
      </c>
      <c r="D160" s="927" t="s">
        <v>4</v>
      </c>
      <c r="E160" s="928"/>
      <c r="F160" s="928"/>
      <c r="G160" s="928"/>
      <c r="H160" s="928"/>
      <c r="I160" s="928"/>
      <c r="J160" s="928"/>
      <c r="K160" s="928"/>
      <c r="L160" s="928"/>
      <c r="M160" s="928"/>
      <c r="N160" s="928"/>
      <c r="O160" s="928"/>
      <c r="P160" s="928"/>
      <c r="Q160" s="928"/>
      <c r="R160" s="928"/>
      <c r="S160" s="928"/>
      <c r="T160" s="928"/>
      <c r="U160" s="928"/>
      <c r="V160" s="928"/>
      <c r="W160" s="928"/>
      <c r="X160" s="880"/>
    </row>
    <row r="161" spans="1:24" ht="13.5" thickBot="1">
      <c r="A161" s="885"/>
      <c r="B161" s="869"/>
      <c r="C161" s="923"/>
      <c r="D161" s="930" t="s">
        <v>115</v>
      </c>
      <c r="E161" s="931"/>
      <c r="F161" s="931"/>
      <c r="G161" s="931"/>
      <c r="H161" s="931"/>
      <c r="I161" s="931"/>
      <c r="J161" s="931"/>
      <c r="K161" s="931"/>
      <c r="L161" s="931"/>
      <c r="M161" s="931"/>
      <c r="N161" s="931"/>
      <c r="O161" s="931"/>
      <c r="P161" s="931"/>
      <c r="Q161" s="931"/>
      <c r="R161" s="931"/>
      <c r="S161" s="931"/>
      <c r="T161" s="931"/>
      <c r="U161" s="931"/>
      <c r="V161" s="931"/>
      <c r="W161" s="932"/>
      <c r="X161" s="880"/>
    </row>
    <row r="162" spans="1:24" ht="12.95" customHeight="1" thickBot="1">
      <c r="A162" s="885"/>
      <c r="B162" s="11" t="s">
        <v>39</v>
      </c>
      <c r="C162" s="12"/>
      <c r="D162" s="927" t="s">
        <v>78</v>
      </c>
      <c r="E162" s="928"/>
      <c r="F162" s="928"/>
      <c r="G162" s="929"/>
      <c r="H162" s="927" t="s">
        <v>77</v>
      </c>
      <c r="I162" s="928"/>
      <c r="J162" s="928"/>
      <c r="K162" s="929"/>
      <c r="L162" s="927" t="s">
        <v>81</v>
      </c>
      <c r="M162" s="928"/>
      <c r="N162" s="928"/>
      <c r="O162" s="929"/>
      <c r="P162" s="927" t="s">
        <v>254</v>
      </c>
      <c r="Q162" s="928"/>
      <c r="R162" s="928"/>
      <c r="S162" s="929"/>
      <c r="T162" s="1144" t="s">
        <v>908</v>
      </c>
      <c r="U162" s="1145"/>
      <c r="V162" s="1145"/>
      <c r="W162" s="1146"/>
      <c r="X162" s="880"/>
    </row>
    <row r="163" spans="1:24" ht="44.1" customHeight="1" thickBot="1">
      <c r="A163" s="885"/>
      <c r="B163" s="978" t="s">
        <v>575</v>
      </c>
      <c r="C163" s="9"/>
      <c r="D163" s="20" t="s">
        <v>105</v>
      </c>
      <c r="E163" s="20" t="s">
        <v>579</v>
      </c>
      <c r="F163" s="20" t="s">
        <v>580</v>
      </c>
      <c r="G163" s="20" t="s">
        <v>581</v>
      </c>
      <c r="H163" s="20" t="s">
        <v>105</v>
      </c>
      <c r="I163" s="20" t="s">
        <v>579</v>
      </c>
      <c r="J163" s="20" t="s">
        <v>580</v>
      </c>
      <c r="K163" s="20" t="s">
        <v>581</v>
      </c>
      <c r="L163" s="20" t="s">
        <v>105</v>
      </c>
      <c r="M163" s="20" t="s">
        <v>579</v>
      </c>
      <c r="N163" s="20" t="s">
        <v>580</v>
      </c>
      <c r="O163" s="20" t="s">
        <v>581</v>
      </c>
      <c r="P163" s="20" t="s">
        <v>105</v>
      </c>
      <c r="Q163" s="20" t="s">
        <v>579</v>
      </c>
      <c r="R163" s="20" t="s">
        <v>580</v>
      </c>
      <c r="S163" s="20" t="s">
        <v>581</v>
      </c>
      <c r="T163" s="20" t="s">
        <v>105</v>
      </c>
      <c r="U163" s="20" t="s">
        <v>579</v>
      </c>
      <c r="V163" s="20" t="s">
        <v>580</v>
      </c>
      <c r="W163" s="20" t="s">
        <v>581</v>
      </c>
      <c r="X163" s="880"/>
    </row>
    <row r="164" spans="1:24" ht="13.5" thickBot="1">
      <c r="A164" s="885"/>
      <c r="B164" s="979"/>
      <c r="C164" s="9" t="s">
        <v>285</v>
      </c>
      <c r="D164" s="104">
        <f>'LF-Enugu'!D56</f>
        <v>0</v>
      </c>
      <c r="E164" s="104">
        <f>'LF-Enugu'!E56</f>
        <v>0</v>
      </c>
      <c r="F164" s="104">
        <f>'LF-Enugu'!F56</f>
        <v>0</v>
      </c>
      <c r="G164" s="104">
        <f>'LF-Enugu'!G56</f>
        <v>0</v>
      </c>
      <c r="H164" s="104">
        <f>'LF-Enugu'!H56</f>
        <v>2</v>
      </c>
      <c r="I164" s="104">
        <f>'LF-Enugu'!I56</f>
        <v>0</v>
      </c>
      <c r="J164" s="104">
        <f>'LF-Enugu'!J56</f>
        <v>0</v>
      </c>
      <c r="K164" s="104">
        <f>'LF-Enugu'!K56</f>
        <v>0</v>
      </c>
      <c r="L164" s="104">
        <f>'LF-Enugu'!L56</f>
        <v>4</v>
      </c>
      <c r="M164" s="104">
        <f>'LF-Enugu'!M56</f>
        <v>2</v>
      </c>
      <c r="N164" s="104">
        <f>'LF-Enugu'!N56</f>
        <v>1</v>
      </c>
      <c r="O164" s="104">
        <f>'LF-Enugu'!O56</f>
        <v>0</v>
      </c>
      <c r="P164" s="104">
        <f>'LF-Enugu'!P56</f>
        <v>6</v>
      </c>
      <c r="Q164" s="104">
        <f>'LF-Enugu'!Q56</f>
        <v>3</v>
      </c>
      <c r="R164" s="104">
        <f>'LF-Enugu'!R56</f>
        <v>2</v>
      </c>
      <c r="S164" s="104">
        <f>'LF-Enugu'!S56</f>
        <v>0</v>
      </c>
      <c r="T164" s="515">
        <f>'Enugu Workings'!$V$31</f>
        <v>6.6666666666666679</v>
      </c>
      <c r="U164" s="515">
        <f>'Enugu Workings'!$V$34</f>
        <v>3.6666666666666661</v>
      </c>
      <c r="V164" s="515">
        <f>'Enugu Workings'!$V$37</f>
        <v>2.6666666666666661</v>
      </c>
      <c r="W164" s="515">
        <f>'Enugu Workings'!$V$40</f>
        <v>0.66666666666666663</v>
      </c>
      <c r="X164" s="880"/>
    </row>
    <row r="165" spans="1:24" ht="24.75" thickBot="1">
      <c r="A165" s="885"/>
      <c r="B165" s="504" t="s">
        <v>159</v>
      </c>
      <c r="C165" s="9" t="s">
        <v>286</v>
      </c>
      <c r="D165" s="104">
        <f>'LF-Jigawa'!D56</f>
        <v>0</v>
      </c>
      <c r="E165" s="104">
        <f>'LF-Jigawa'!E56</f>
        <v>0</v>
      </c>
      <c r="F165" s="104">
        <f>'LF-Jigawa'!F56</f>
        <v>0</v>
      </c>
      <c r="G165" s="104">
        <f>'LF-Jigawa'!G56</f>
        <v>0</v>
      </c>
      <c r="H165" s="104">
        <f>'LF-Jigawa'!H56</f>
        <v>3</v>
      </c>
      <c r="I165" s="104">
        <f>'LF-Jigawa'!I56</f>
        <v>1</v>
      </c>
      <c r="J165" s="104">
        <f>'LF-Jigawa'!J56</f>
        <v>0</v>
      </c>
      <c r="K165" s="104">
        <f>'LF-Jigawa'!K56</f>
        <v>0</v>
      </c>
      <c r="L165" s="104">
        <f>'LF-Jigawa'!L56</f>
        <v>6</v>
      </c>
      <c r="M165" s="104">
        <f>'LF-Jigawa'!M56</f>
        <v>3</v>
      </c>
      <c r="N165" s="104">
        <f>'LF-Jigawa'!N56</f>
        <v>1</v>
      </c>
      <c r="O165" s="104">
        <f>'LF-Jigawa'!O56</f>
        <v>0</v>
      </c>
      <c r="P165" s="104">
        <f>'LF-Jigawa'!P56</f>
        <v>7</v>
      </c>
      <c r="Q165" s="104">
        <f>'LF-Jigawa'!Q56</f>
        <v>4</v>
      </c>
      <c r="R165" s="104">
        <f>'LF-Jigawa'!R56</f>
        <v>2</v>
      </c>
      <c r="S165" s="104">
        <f>'LF-Jigawa'!S56</f>
        <v>1</v>
      </c>
      <c r="T165" s="515">
        <f>'Jigawa Workings'!$V$31</f>
        <v>7.6666666666666679</v>
      </c>
      <c r="U165" s="515">
        <f>'Jigawa Workings'!$V$34</f>
        <v>4</v>
      </c>
      <c r="V165" s="515">
        <f>'Jigawa Workings'!$V$37</f>
        <v>2.6666666666666661</v>
      </c>
      <c r="W165" s="515">
        <f>'Jigawa Workings'!$V$40</f>
        <v>1.666666666666667</v>
      </c>
      <c r="X165" s="880"/>
    </row>
    <row r="166" spans="1:24" ht="36.75" thickBot="1">
      <c r="A166" s="885"/>
      <c r="B166" s="504" t="s">
        <v>576</v>
      </c>
      <c r="C166" s="9" t="s">
        <v>287</v>
      </c>
      <c r="D166" s="104">
        <f>'LF-Kaduna'!D56</f>
        <v>0</v>
      </c>
      <c r="E166" s="104">
        <f>'LF-Kaduna'!E56</f>
        <v>0</v>
      </c>
      <c r="F166" s="104">
        <f>'LF-Kaduna'!F56</f>
        <v>0</v>
      </c>
      <c r="G166" s="104">
        <f>'LF-Kaduna'!G56</f>
        <v>0</v>
      </c>
      <c r="H166" s="104">
        <f>'LF-Kaduna'!H56</f>
        <v>2</v>
      </c>
      <c r="I166" s="104">
        <f>'LF-Kaduna'!I56</f>
        <v>1</v>
      </c>
      <c r="J166" s="104">
        <f>'LF-Kaduna'!J56</f>
        <v>1</v>
      </c>
      <c r="K166" s="104">
        <f>'LF-Kaduna'!K56</f>
        <v>0</v>
      </c>
      <c r="L166" s="104">
        <f>'LF-Kaduna'!L56</f>
        <v>4</v>
      </c>
      <c r="M166" s="104">
        <f>'LF-Kaduna'!M56</f>
        <v>2</v>
      </c>
      <c r="N166" s="104">
        <f>'LF-Kaduna'!N56</f>
        <v>2</v>
      </c>
      <c r="O166" s="104">
        <f>'LF-Kaduna'!O56</f>
        <v>0</v>
      </c>
      <c r="P166" s="104">
        <f>'LF-Kaduna'!P56</f>
        <v>8</v>
      </c>
      <c r="Q166" s="104">
        <f>'LF-Kaduna'!Q56</f>
        <v>5</v>
      </c>
      <c r="R166" s="104">
        <f>'LF-Kaduna'!R56</f>
        <v>3</v>
      </c>
      <c r="S166" s="104">
        <f>'LF-Kaduna'!S56</f>
        <v>1</v>
      </c>
      <c r="T166" s="515">
        <f>'Kaduna Workings'!$V$31</f>
        <v>9.3333333333333357</v>
      </c>
      <c r="U166" s="515">
        <f>'Kaduna Workings'!$V$34</f>
        <v>6.3333333333333321</v>
      </c>
      <c r="V166" s="515">
        <f>'Kaduna Workings'!$V$37</f>
        <v>4.333333333333333</v>
      </c>
      <c r="W166" s="515">
        <f>'Kaduna Workings'!$V$40</f>
        <v>1.666666666666667</v>
      </c>
      <c r="X166" s="880"/>
    </row>
    <row r="167" spans="1:24" ht="13.5" thickBot="1">
      <c r="A167" s="885"/>
      <c r="B167" s="979" t="s">
        <v>577</v>
      </c>
      <c r="C167" s="9" t="s">
        <v>288</v>
      </c>
      <c r="D167" s="104">
        <f>'LF-Kano'!D56</f>
        <v>0</v>
      </c>
      <c r="E167" s="104">
        <f>'LF-Kano'!E56</f>
        <v>0</v>
      </c>
      <c r="F167" s="104">
        <f>'LF-Kano'!F56</f>
        <v>0</v>
      </c>
      <c r="G167" s="104">
        <f>'LF-Kano'!G56</f>
        <v>0</v>
      </c>
      <c r="H167" s="104">
        <f>'LF-Kano'!H56</f>
        <v>2</v>
      </c>
      <c r="I167" s="104">
        <f>'LF-Kano'!I56</f>
        <v>1</v>
      </c>
      <c r="J167" s="104">
        <f>'LF-Kano'!J56</f>
        <v>0</v>
      </c>
      <c r="K167" s="104">
        <f>'LF-Kano'!K56</f>
        <v>0</v>
      </c>
      <c r="L167" s="104">
        <f>'LF-Kano'!L56</f>
        <v>4</v>
      </c>
      <c r="M167" s="104">
        <f>'LF-Kano'!M56</f>
        <v>2</v>
      </c>
      <c r="N167" s="104">
        <f>'LF-Kano'!N56</f>
        <v>1</v>
      </c>
      <c r="O167" s="104">
        <f>'LF-Kano'!O56</f>
        <v>0</v>
      </c>
      <c r="P167" s="150">
        <f>'LF-Kano'!P56</f>
        <v>10</v>
      </c>
      <c r="Q167" s="150">
        <f>'LF-Kano'!Q56</f>
        <v>5</v>
      </c>
      <c r="R167" s="150">
        <f>'LF-Kano'!R56</f>
        <v>3</v>
      </c>
      <c r="S167" s="150">
        <f>'LF-Kano'!S56</f>
        <v>0</v>
      </c>
      <c r="T167" s="515">
        <f>'Kano Workings'!$V$31</f>
        <v>12</v>
      </c>
      <c r="U167" s="515">
        <f>'Kano Workings'!$V$34</f>
        <v>6.3333333333333321</v>
      </c>
      <c r="V167" s="515">
        <f>'Kano Workings'!$V$37</f>
        <v>3.6666666666666661</v>
      </c>
      <c r="W167" s="515">
        <f>'Kano Workings'!$V$40</f>
        <v>0.66666666666666663</v>
      </c>
      <c r="X167" s="880"/>
    </row>
    <row r="168" spans="1:24" ht="13.5" thickBot="1">
      <c r="A168" s="885"/>
      <c r="B168" s="979"/>
      <c r="C168" s="9" t="s">
        <v>289</v>
      </c>
      <c r="D168" s="104">
        <f>'LF-Lagos'!D56</f>
        <v>0</v>
      </c>
      <c r="E168" s="104">
        <f>'LF-Lagos'!E56</f>
        <v>0</v>
      </c>
      <c r="F168" s="104">
        <f>'LF-Lagos'!F56</f>
        <v>0</v>
      </c>
      <c r="G168" s="104">
        <f>'LF-Lagos'!G56</f>
        <v>0</v>
      </c>
      <c r="H168" s="104">
        <f>'LF-Lagos'!H56</f>
        <v>2</v>
      </c>
      <c r="I168" s="104">
        <f>'LF-Lagos'!I56</f>
        <v>1</v>
      </c>
      <c r="J168" s="104">
        <f>'LF-Lagos'!J56</f>
        <v>0</v>
      </c>
      <c r="K168" s="104">
        <f>'LF-Lagos'!K56</f>
        <v>0</v>
      </c>
      <c r="L168" s="104">
        <f>'LF-Lagos'!L56</f>
        <v>4</v>
      </c>
      <c r="M168" s="104">
        <f>'LF-Lagos'!M56</f>
        <v>2</v>
      </c>
      <c r="N168" s="104">
        <f>'LF-Lagos'!N56</f>
        <v>1</v>
      </c>
      <c r="O168" s="104">
        <f>'LF-Lagos'!O56</f>
        <v>1</v>
      </c>
      <c r="P168" s="150">
        <f>'LF-Lagos'!P56</f>
        <v>7</v>
      </c>
      <c r="Q168" s="150">
        <f>'LF-Lagos'!Q56</f>
        <v>3</v>
      </c>
      <c r="R168" s="150">
        <f>'LF-Lagos'!R56</f>
        <v>2</v>
      </c>
      <c r="S168" s="150">
        <f>'LF-Lagos'!S56</f>
        <v>2</v>
      </c>
      <c r="T168" s="515">
        <f>'Lagos Workings'!$V$31</f>
        <v>7.6666666666666679</v>
      </c>
      <c r="U168" s="515">
        <f>'Lagos Workings'!$V$34</f>
        <v>3.6666666666666661</v>
      </c>
      <c r="V168" s="515">
        <f>'Lagos Workings'!$V$37</f>
        <v>2.6666666666666661</v>
      </c>
      <c r="W168" s="515">
        <f>'Lagos Workings'!$V$40</f>
        <v>2</v>
      </c>
      <c r="X168" s="880"/>
    </row>
    <row r="169" spans="1:24" ht="13.5" thickBot="1">
      <c r="A169" s="885"/>
      <c r="B169" s="979"/>
      <c r="C169" s="9" t="s">
        <v>292</v>
      </c>
      <c r="D169" s="1051" t="s">
        <v>414</v>
      </c>
      <c r="E169" s="1052"/>
      <c r="F169" s="1052"/>
      <c r="G169" s="1053"/>
      <c r="H169" s="104">
        <f>'LF-Zamfara'!H56</f>
        <v>0</v>
      </c>
      <c r="I169" s="104">
        <f>'LF-Zamfara'!I56</f>
        <v>0</v>
      </c>
      <c r="J169" s="104">
        <f>'LF-Zamfara'!J56</f>
        <v>0</v>
      </c>
      <c r="K169" s="104">
        <f>'LF-Zamfara'!K56</f>
        <v>0</v>
      </c>
      <c r="L169" s="104">
        <f>'LF-Zamfara'!L56</f>
        <v>0</v>
      </c>
      <c r="M169" s="104">
        <f>'LF-Zamfara'!M56</f>
        <v>0</v>
      </c>
      <c r="N169" s="104">
        <f>'LF-Zamfara'!N56</f>
        <v>0</v>
      </c>
      <c r="O169" s="104">
        <f>'LF-Zamfara'!O56</f>
        <v>0</v>
      </c>
      <c r="P169" s="150">
        <f>'LF-Zamfara'!P56</f>
        <v>0</v>
      </c>
      <c r="Q169" s="150">
        <f>'LF-Zamfara'!Q56</f>
        <v>0</v>
      </c>
      <c r="R169" s="150">
        <f>'LF-Zamfara'!R56</f>
        <v>0</v>
      </c>
      <c r="S169" s="150">
        <f>'LF-Zamfara'!S56</f>
        <v>0</v>
      </c>
      <c r="T169" s="515">
        <f>'Zamfara Workings'!$V$31</f>
        <v>1.3333333333333333</v>
      </c>
      <c r="U169" s="515">
        <f>'Zamfara Workings'!$V$34</f>
        <v>0.66666666666666663</v>
      </c>
      <c r="V169" s="515">
        <f>'Zamfara Workings'!$V$37</f>
        <v>0</v>
      </c>
      <c r="W169" s="515">
        <f>'Zamfara Workings'!$V$40</f>
        <v>0</v>
      </c>
      <c r="X169" s="880"/>
    </row>
    <row r="170" spans="1:24" ht="13.5" thickBot="1">
      <c r="A170" s="885"/>
      <c r="B170" s="979"/>
      <c r="C170" s="9" t="s">
        <v>293</v>
      </c>
      <c r="D170" s="1051" t="s">
        <v>414</v>
      </c>
      <c r="E170" s="1052"/>
      <c r="F170" s="1052"/>
      <c r="G170" s="1053"/>
      <c r="H170" s="104">
        <f>'LF-Katsina'!H56</f>
        <v>0</v>
      </c>
      <c r="I170" s="104">
        <f>'LF-Katsina'!I56</f>
        <v>0</v>
      </c>
      <c r="J170" s="104">
        <f>'LF-Katsina'!J56</f>
        <v>0</v>
      </c>
      <c r="K170" s="104">
        <f>'LF-Katsina'!K56</f>
        <v>0</v>
      </c>
      <c r="L170" s="104">
        <f>'LF-Katsina'!L56</f>
        <v>0</v>
      </c>
      <c r="M170" s="104">
        <f>'LF-Katsina'!M56</f>
        <v>0</v>
      </c>
      <c r="N170" s="104">
        <f>'LF-Katsina'!N56</f>
        <v>0</v>
      </c>
      <c r="O170" s="104">
        <f>'LF-Katsina'!O56</f>
        <v>0</v>
      </c>
      <c r="P170" s="150">
        <f>'LF-Katsina'!P56</f>
        <v>2</v>
      </c>
      <c r="Q170" s="150">
        <f>'LF-Katsina'!Q56</f>
        <v>1</v>
      </c>
      <c r="R170" s="150">
        <f>'LF-Katsina'!R56</f>
        <v>0</v>
      </c>
      <c r="S170" s="150">
        <f>'LF-Katsina'!S56</f>
        <v>0</v>
      </c>
      <c r="T170" s="515">
        <f>'Katsina Workings'!$V$31</f>
        <v>3.3333333333333339</v>
      </c>
      <c r="U170" s="515">
        <f>'Katsina Workings'!$V$34</f>
        <v>2.333333333333333</v>
      </c>
      <c r="V170" s="515">
        <f>'Katsina Workings'!$V$37</f>
        <v>1.3333333333333333</v>
      </c>
      <c r="W170" s="515">
        <f>'Katsina Workings'!$V$40</f>
        <v>0</v>
      </c>
      <c r="X170" s="880"/>
    </row>
    <row r="171" spans="1:24" ht="13.5" thickBot="1">
      <c r="A171" s="885"/>
      <c r="B171" s="979"/>
      <c r="C171" s="9" t="s">
        <v>294</v>
      </c>
      <c r="D171" s="1051" t="s">
        <v>414</v>
      </c>
      <c r="E171" s="1052"/>
      <c r="F171" s="1052"/>
      <c r="G171" s="1053"/>
      <c r="H171" s="104">
        <f>'LF-Yobe'!H56</f>
        <v>0</v>
      </c>
      <c r="I171" s="104">
        <f>'LF-Yobe'!I56</f>
        <v>0</v>
      </c>
      <c r="J171" s="104">
        <f>'LF-Yobe'!J56</f>
        <v>0</v>
      </c>
      <c r="K171" s="104">
        <f>'LF-Yobe'!K56</f>
        <v>0</v>
      </c>
      <c r="L171" s="104">
        <f>'LF-Yobe'!L56</f>
        <v>0</v>
      </c>
      <c r="M171" s="104">
        <f>'LF-Yobe'!M56</f>
        <v>0</v>
      </c>
      <c r="N171" s="104">
        <f>'LF-Yobe'!N56</f>
        <v>0</v>
      </c>
      <c r="O171" s="104">
        <f>'LF-Yobe'!O56</f>
        <v>0</v>
      </c>
      <c r="P171" s="150">
        <f>'LF-Yobe'!P56</f>
        <v>3</v>
      </c>
      <c r="Q171" s="150">
        <f>'LF-Yobe'!Q56</f>
        <v>1</v>
      </c>
      <c r="R171" s="150">
        <f>'LF-Yobe'!R56</f>
        <v>1</v>
      </c>
      <c r="S171" s="150">
        <f>'LF-Yobe'!S56</f>
        <v>0</v>
      </c>
      <c r="T171" s="515">
        <f>'Yobe Workings'!$V$31</f>
        <v>5</v>
      </c>
      <c r="U171" s="515">
        <f>'Yobe Workings'!$V$34</f>
        <v>2.333333333333333</v>
      </c>
      <c r="V171" s="515">
        <f>'Yobe Workings'!$V$37</f>
        <v>1.666666666666667</v>
      </c>
      <c r="W171" s="515">
        <f>'Yobe Workings'!$V$40</f>
        <v>0.66666666666666663</v>
      </c>
      <c r="X171" s="880"/>
    </row>
    <row r="172" spans="1:24" ht="12.95" customHeight="1" thickBot="1">
      <c r="A172" s="885"/>
      <c r="B172" s="979"/>
      <c r="C172" s="9" t="s">
        <v>290</v>
      </c>
      <c r="D172" s="945"/>
      <c r="E172" s="946"/>
      <c r="F172" s="946"/>
      <c r="G172" s="947"/>
      <c r="H172" s="1162"/>
      <c r="I172" s="1163"/>
      <c r="J172" s="1163"/>
      <c r="K172" s="1164"/>
      <c r="L172" s="1057" t="s">
        <v>443</v>
      </c>
      <c r="M172" s="1058"/>
      <c r="N172" s="1058"/>
      <c r="O172" s="1059"/>
      <c r="P172" s="150">
        <f>'LF-Anambra'!P56</f>
        <v>0</v>
      </c>
      <c r="Q172" s="150">
        <f>'LF-Anambra'!Q56</f>
        <v>0</v>
      </c>
      <c r="R172" s="150">
        <f>'LF-Anambra'!R56</f>
        <v>0</v>
      </c>
      <c r="S172" s="150">
        <f>'LF-Anambra'!S56</f>
        <v>0</v>
      </c>
      <c r="T172" s="118">
        <f>P172</f>
        <v>0</v>
      </c>
      <c r="U172" s="118">
        <f t="shared" ref="U172:U173" si="18">Q172</f>
        <v>0</v>
      </c>
      <c r="V172" s="118">
        <f t="shared" ref="V172:V173" si="19">R172</f>
        <v>0</v>
      </c>
      <c r="W172" s="118">
        <f t="shared" ref="W172:W173" si="20">S172</f>
        <v>0</v>
      </c>
      <c r="X172" s="880"/>
    </row>
    <row r="173" spans="1:24" ht="12.95" customHeight="1" thickBot="1">
      <c r="A173" s="885"/>
      <c r="B173" s="979"/>
      <c r="C173" s="9" t="s">
        <v>291</v>
      </c>
      <c r="D173" s="945"/>
      <c r="E173" s="946"/>
      <c r="F173" s="946"/>
      <c r="G173" s="947"/>
      <c r="H173" s="1162"/>
      <c r="I173" s="1163"/>
      <c r="J173" s="1163"/>
      <c r="K173" s="1164"/>
      <c r="L173" s="1057" t="s">
        <v>443</v>
      </c>
      <c r="M173" s="1058"/>
      <c r="N173" s="1058"/>
      <c r="O173" s="1059"/>
      <c r="P173" s="104">
        <f>'LF-Niger'!P56</f>
        <v>0</v>
      </c>
      <c r="Q173" s="104">
        <f>'LF-Niger'!Q56</f>
        <v>0</v>
      </c>
      <c r="R173" s="104">
        <f>'LF-Niger'!R56</f>
        <v>0</v>
      </c>
      <c r="S173" s="104">
        <f>'LF-Niger'!S56</f>
        <v>0</v>
      </c>
      <c r="T173" s="118">
        <f>P173</f>
        <v>0</v>
      </c>
      <c r="U173" s="118">
        <f t="shared" si="18"/>
        <v>0</v>
      </c>
      <c r="V173" s="118">
        <f t="shared" si="19"/>
        <v>0</v>
      </c>
      <c r="W173" s="118">
        <f t="shared" si="20"/>
        <v>0</v>
      </c>
      <c r="X173" s="880"/>
    </row>
    <row r="174" spans="1:24" ht="13.5" thickBot="1">
      <c r="A174" s="885"/>
      <c r="B174" s="979"/>
      <c r="C174" s="100" t="s">
        <v>295</v>
      </c>
      <c r="D174" s="1042" t="s">
        <v>416</v>
      </c>
      <c r="E174" s="1043"/>
      <c r="F174" s="1043"/>
      <c r="G174" s="1044"/>
      <c r="H174" s="105">
        <f>'LF-Enugu'!H57</f>
        <v>0</v>
      </c>
      <c r="I174" s="105">
        <f>'LF-Enugu'!I57</f>
        <v>0</v>
      </c>
      <c r="J174" s="105">
        <f>'LF-Enugu'!J57</f>
        <v>0</v>
      </c>
      <c r="K174" s="105">
        <f>'LF-Enugu'!K57</f>
        <v>0</v>
      </c>
      <c r="L174" s="105">
        <f>'LF-Enugu'!L57</f>
        <v>5</v>
      </c>
      <c r="M174" s="105">
        <f>'LF-Enugu'!M57</f>
        <v>3</v>
      </c>
      <c r="N174" s="105">
        <f>'LF-Enugu'!N57</f>
        <v>1</v>
      </c>
      <c r="O174" s="105">
        <f>'LF-Enugu'!O57</f>
        <v>0</v>
      </c>
      <c r="P174" s="105">
        <f>'LF-Enugu'!P57</f>
        <v>8</v>
      </c>
      <c r="Q174" s="105">
        <f>'LF-Enugu'!Q57</f>
        <v>4</v>
      </c>
      <c r="R174" s="105">
        <f>'LF-Enugu'!R57</f>
        <v>2</v>
      </c>
      <c r="S174" s="105">
        <f>'LF-Enugu'!S57</f>
        <v>0</v>
      </c>
      <c r="T174" s="105">
        <f>'Enugu Workings'!$V$32</f>
        <v>7</v>
      </c>
      <c r="U174" s="105">
        <f>'Enugu Workings'!$V$35</f>
        <v>4</v>
      </c>
      <c r="V174" s="105">
        <f>'Enugu Workings'!$V$38</f>
        <v>1</v>
      </c>
      <c r="W174" s="105">
        <f>'Enugu Workings'!$V$41</f>
        <v>0</v>
      </c>
      <c r="X174" s="880"/>
    </row>
    <row r="175" spans="1:24" ht="13.5" thickBot="1">
      <c r="A175" s="885"/>
      <c r="B175" s="979"/>
      <c r="C175" s="100" t="s">
        <v>296</v>
      </c>
      <c r="D175" s="1042" t="s">
        <v>416</v>
      </c>
      <c r="E175" s="1043"/>
      <c r="F175" s="1043"/>
      <c r="G175" s="1044"/>
      <c r="H175" s="105">
        <f>'LF-Jigawa'!H57</f>
        <v>1</v>
      </c>
      <c r="I175" s="105">
        <f>'LF-Jigawa'!I57</f>
        <v>0</v>
      </c>
      <c r="J175" s="105">
        <f>'LF-Jigawa'!J57</f>
        <v>0</v>
      </c>
      <c r="K175" s="105">
        <f>'LF-Jigawa'!K57</f>
        <v>0</v>
      </c>
      <c r="L175" s="105">
        <f>'LF-Jigawa'!L57</f>
        <v>6</v>
      </c>
      <c r="M175" s="105">
        <f>'LF-Jigawa'!M57</f>
        <v>3</v>
      </c>
      <c r="N175" s="105">
        <f>'LF-Jigawa'!N57</f>
        <v>1</v>
      </c>
      <c r="O175" s="105">
        <f>'LF-Jigawa'!O57</f>
        <v>0</v>
      </c>
      <c r="P175" s="105">
        <f>'LF-Jigawa'!P57</f>
        <v>18</v>
      </c>
      <c r="Q175" s="105">
        <f>'LF-Jigawa'!Q57</f>
        <v>12</v>
      </c>
      <c r="R175" s="105">
        <f>'LF-Jigawa'!R57</f>
        <v>10</v>
      </c>
      <c r="S175" s="105">
        <f>'LF-Jigawa'!S57</f>
        <v>1</v>
      </c>
      <c r="T175" s="105">
        <f>'Jigawa Workings'!$V$32</f>
        <v>28</v>
      </c>
      <c r="U175" s="105">
        <f>'Jigawa Workings'!$V$35</f>
        <v>8</v>
      </c>
      <c r="V175" s="105">
        <f>'Jigawa Workings'!$V$38</f>
        <v>7</v>
      </c>
      <c r="W175" s="105">
        <f>'Jigawa Workings'!$V$41</f>
        <v>2</v>
      </c>
      <c r="X175" s="880"/>
    </row>
    <row r="176" spans="1:24" ht="13.5" thickBot="1">
      <c r="A176" s="885"/>
      <c r="B176" s="979"/>
      <c r="C176" s="100" t="s">
        <v>297</v>
      </c>
      <c r="D176" s="1042" t="s">
        <v>416</v>
      </c>
      <c r="E176" s="1043"/>
      <c r="F176" s="1043"/>
      <c r="G176" s="1044"/>
      <c r="H176" s="105">
        <f>'LF-Kaduna'!H57</f>
        <v>2</v>
      </c>
      <c r="I176" s="105">
        <f>'LF-Kaduna'!I57</f>
        <v>1</v>
      </c>
      <c r="J176" s="105">
        <f>'LF-Kaduna'!J57</f>
        <v>0</v>
      </c>
      <c r="K176" s="105">
        <f>'LF-Kaduna'!K57</f>
        <v>0</v>
      </c>
      <c r="L176" s="105">
        <f>'LF-Kaduna'!L57</f>
        <v>6</v>
      </c>
      <c r="M176" s="105">
        <f>'LF-Kaduna'!M57</f>
        <v>4</v>
      </c>
      <c r="N176" s="105">
        <f>'LF-Kaduna'!N57</f>
        <v>1</v>
      </c>
      <c r="O176" s="105">
        <f>'LF-Kaduna'!O57</f>
        <v>0</v>
      </c>
      <c r="P176" s="105">
        <f>'LF-Kaduna'!P57</f>
        <v>9</v>
      </c>
      <c r="Q176" s="105">
        <f>'LF-Kaduna'!Q57</f>
        <v>6</v>
      </c>
      <c r="R176" s="105">
        <f>'LF-Kaduna'!R57</f>
        <v>2</v>
      </c>
      <c r="S176" s="105">
        <f>'LF-Kaduna'!S57</f>
        <v>0</v>
      </c>
      <c r="T176" s="105">
        <f>'Kaduna Workings'!$V$32</f>
        <v>11</v>
      </c>
      <c r="U176" s="105">
        <f>'Kaduna Workings'!$V$35</f>
        <v>5</v>
      </c>
      <c r="V176" s="105">
        <f>'Kaduna Workings'!$V$38</f>
        <v>2</v>
      </c>
      <c r="W176" s="105">
        <f>'Kaduna Workings'!$V$41</f>
        <v>0</v>
      </c>
      <c r="X176" s="880"/>
    </row>
    <row r="177" spans="1:24" ht="13.5" thickBot="1">
      <c r="A177" s="885"/>
      <c r="B177" s="979"/>
      <c r="C177" s="100" t="s">
        <v>298</v>
      </c>
      <c r="D177" s="1042" t="s">
        <v>416</v>
      </c>
      <c r="E177" s="1043"/>
      <c r="F177" s="1043"/>
      <c r="G177" s="1044"/>
      <c r="H177" s="105">
        <f>'LF-Kano'!H57</f>
        <v>2</v>
      </c>
      <c r="I177" s="105">
        <f>'LF-Kano'!I57</f>
        <v>1</v>
      </c>
      <c r="J177" s="105">
        <f>'LF-Kano'!J57</f>
        <v>0</v>
      </c>
      <c r="K177" s="105">
        <f>'LF-Kano'!K57</f>
        <v>0</v>
      </c>
      <c r="L177" s="105">
        <f>'LF-Kano'!L57</f>
        <v>7</v>
      </c>
      <c r="M177" s="105">
        <f>'LF-Kano'!M57</f>
        <v>4</v>
      </c>
      <c r="N177" s="105">
        <f>'LF-Kano'!N57</f>
        <v>2</v>
      </c>
      <c r="O177" s="105">
        <f>'LF-Kano'!O57</f>
        <v>0</v>
      </c>
      <c r="P177" s="105">
        <f>'LF-Kano'!P57</f>
        <v>14</v>
      </c>
      <c r="Q177" s="105">
        <f>'LF-Kano'!Q57</f>
        <v>8</v>
      </c>
      <c r="R177" s="105">
        <f>'LF-Kano'!R57</f>
        <v>4</v>
      </c>
      <c r="S177" s="105">
        <f>'LF-Kano'!S57</f>
        <v>0</v>
      </c>
      <c r="T177" s="105">
        <f>'Kano Workings'!$V$32</f>
        <v>12</v>
      </c>
      <c r="U177" s="105">
        <f>'Kano Workings'!$V$35</f>
        <v>7</v>
      </c>
      <c r="V177" s="105">
        <f>'Kano Workings'!$V$38</f>
        <v>8</v>
      </c>
      <c r="W177" s="105">
        <f>'Kano Workings'!$V$41</f>
        <v>0</v>
      </c>
      <c r="X177" s="880"/>
    </row>
    <row r="178" spans="1:24" ht="13.5" thickBot="1">
      <c r="A178" s="885"/>
      <c r="B178" s="979"/>
      <c r="C178" s="100" t="s">
        <v>299</v>
      </c>
      <c r="D178" s="1042" t="s">
        <v>416</v>
      </c>
      <c r="E178" s="1043"/>
      <c r="F178" s="1043"/>
      <c r="G178" s="1044"/>
      <c r="H178" s="105">
        <f>'LF-Lagos'!H57</f>
        <v>5</v>
      </c>
      <c r="I178" s="105">
        <f>'LF-Lagos'!I57</f>
        <v>0</v>
      </c>
      <c r="J178" s="105">
        <f>'LF-Lagos'!J57</f>
        <v>0</v>
      </c>
      <c r="K178" s="105">
        <f>'LF-Lagos'!K57</f>
        <v>0</v>
      </c>
      <c r="L178" s="105">
        <f>'LF-Lagos'!L57</f>
        <v>5</v>
      </c>
      <c r="M178" s="105">
        <f>'LF-Lagos'!M57</f>
        <v>2</v>
      </c>
      <c r="N178" s="105">
        <f>'LF-Lagos'!N57</f>
        <v>1</v>
      </c>
      <c r="O178" s="105">
        <f>'LF-Lagos'!O57</f>
        <v>0</v>
      </c>
      <c r="P178" s="105">
        <f>'LF-Lagos'!P57</f>
        <v>11</v>
      </c>
      <c r="Q178" s="105">
        <f>'LF-Lagos'!Q57</f>
        <v>5</v>
      </c>
      <c r="R178" s="105">
        <f>'LF-Lagos'!R57</f>
        <v>3</v>
      </c>
      <c r="S178" s="105">
        <f>'LF-Lagos'!S57</f>
        <v>3</v>
      </c>
      <c r="T178" s="105">
        <f>'Lagos Workings'!$V$32</f>
        <v>13</v>
      </c>
      <c r="U178" s="105">
        <f>'Lagos Workings'!$V$35</f>
        <v>7</v>
      </c>
      <c r="V178" s="105">
        <f>'Lagos Workings'!$V$38</f>
        <v>3</v>
      </c>
      <c r="W178" s="105">
        <f>'Lagos Workings'!$V$41</f>
        <v>1</v>
      </c>
      <c r="X178" s="880"/>
    </row>
    <row r="179" spans="1:24" ht="24.75" thickBot="1">
      <c r="A179" s="885"/>
      <c r="B179" s="979"/>
      <c r="C179" s="100" t="s">
        <v>300</v>
      </c>
      <c r="D179" s="1054"/>
      <c r="E179" s="1055"/>
      <c r="F179" s="1055"/>
      <c r="G179" s="1056"/>
      <c r="H179" s="1054"/>
      <c r="I179" s="1055"/>
      <c r="J179" s="1055"/>
      <c r="K179" s="1056"/>
      <c r="L179" s="105">
        <f>'LF-Zamfara'!L57</f>
        <v>0</v>
      </c>
      <c r="M179" s="105">
        <f>'LF-Zamfara'!M57</f>
        <v>0</v>
      </c>
      <c r="N179" s="105">
        <f>'LF-Zamfara'!N57</f>
        <v>0</v>
      </c>
      <c r="O179" s="105">
        <f>'LF-Zamfara'!O57</f>
        <v>0</v>
      </c>
      <c r="P179" s="105">
        <f>'LF-Zamfara'!P57</f>
        <v>2</v>
      </c>
      <c r="Q179" s="105">
        <f>'LF-Zamfara'!Q57</f>
        <v>0</v>
      </c>
      <c r="R179" s="105">
        <f>'LF-Zamfara'!R57</f>
        <v>0</v>
      </c>
      <c r="S179" s="105">
        <f>'LF-Zamfara'!S57</f>
        <v>0</v>
      </c>
      <c r="T179" s="105">
        <f>'Zamfara Workings'!$V$32</f>
        <v>3</v>
      </c>
      <c r="U179" s="105">
        <f>'Zamfara Workings'!$V$35</f>
        <v>0</v>
      </c>
      <c r="V179" s="105">
        <f>'Zamfara Workings'!$V$38</f>
        <v>0</v>
      </c>
      <c r="W179" s="105">
        <f>'Zamfara Workings'!$V$41</f>
        <v>0</v>
      </c>
      <c r="X179" s="880"/>
    </row>
    <row r="180" spans="1:24" ht="13.5" thickBot="1">
      <c r="A180" s="885"/>
      <c r="B180" s="979"/>
      <c r="C180" s="100" t="s">
        <v>301</v>
      </c>
      <c r="D180" s="510"/>
      <c r="E180" s="511"/>
      <c r="F180" s="511"/>
      <c r="G180" s="512"/>
      <c r="H180" s="510"/>
      <c r="I180" s="511"/>
      <c r="J180" s="511"/>
      <c r="K180" s="512"/>
      <c r="L180" s="105">
        <f>'LF-Katsina'!L57</f>
        <v>0</v>
      </c>
      <c r="M180" s="105">
        <f>'LF-Katsina'!M57</f>
        <v>0</v>
      </c>
      <c r="N180" s="105">
        <f>'LF-Katsina'!N57</f>
        <v>0</v>
      </c>
      <c r="O180" s="105">
        <f>'LF-Katsina'!O57</f>
        <v>0</v>
      </c>
      <c r="P180" s="105">
        <f>'LF-Katsina'!P57</f>
        <v>2</v>
      </c>
      <c r="Q180" s="105">
        <f>'LF-Katsina'!Q57</f>
        <v>1</v>
      </c>
      <c r="R180" s="105">
        <f>'LF-Katsina'!R57</f>
        <v>0</v>
      </c>
      <c r="S180" s="105">
        <f>'LF-Katsina'!S57</f>
        <v>0</v>
      </c>
      <c r="T180" s="105">
        <f>'Katsina Workings'!$V$32</f>
        <v>4</v>
      </c>
      <c r="U180" s="105">
        <f>'Katsina Workings'!$V$35</f>
        <v>3</v>
      </c>
      <c r="V180" s="105">
        <f>'Katsina Workings'!$V$38</f>
        <v>1</v>
      </c>
      <c r="W180" s="105">
        <f>'Katsina Workings'!$V$41</f>
        <v>0</v>
      </c>
      <c r="X180" s="880"/>
    </row>
    <row r="181" spans="1:24" ht="13.5" thickBot="1">
      <c r="A181" s="885"/>
      <c r="B181" s="979"/>
      <c r="C181" s="100" t="s">
        <v>302</v>
      </c>
      <c r="D181" s="510"/>
      <c r="E181" s="511"/>
      <c r="F181" s="511"/>
      <c r="G181" s="512"/>
      <c r="H181" s="510"/>
      <c r="I181" s="511"/>
      <c r="J181" s="511"/>
      <c r="K181" s="512"/>
      <c r="L181" s="105">
        <f>'LF-Yobe'!L57</f>
        <v>0</v>
      </c>
      <c r="M181" s="105">
        <f>'LF-Yobe'!M57</f>
        <v>0</v>
      </c>
      <c r="N181" s="105">
        <f>'LF-Yobe'!N57</f>
        <v>0</v>
      </c>
      <c r="O181" s="105">
        <f>'LF-Yobe'!O57</f>
        <v>0</v>
      </c>
      <c r="P181" s="105">
        <f>'LF-Yobe'!P57</f>
        <v>11</v>
      </c>
      <c r="Q181" s="105">
        <f>'LF-Yobe'!Q57</f>
        <v>3</v>
      </c>
      <c r="R181" s="105">
        <f>'LF-Yobe'!R57</f>
        <v>1</v>
      </c>
      <c r="S181" s="105">
        <f>'LF-Yobe'!S57</f>
        <v>0</v>
      </c>
      <c r="T181" s="105">
        <f>'Yobe Workings'!$V$32</f>
        <v>11</v>
      </c>
      <c r="U181" s="105">
        <f>'Yobe Workings'!$V$35</f>
        <v>4</v>
      </c>
      <c r="V181" s="105">
        <f>'Yobe Workings'!$V$38</f>
        <v>5</v>
      </c>
      <c r="W181" s="105">
        <f>'Yobe Workings'!$V$41</f>
        <v>0</v>
      </c>
      <c r="X181" s="880"/>
    </row>
    <row r="182" spans="1:24" ht="24.75" thickBot="1">
      <c r="A182" s="885"/>
      <c r="B182" s="979"/>
      <c r="C182" s="100" t="s">
        <v>303</v>
      </c>
      <c r="D182" s="1054"/>
      <c r="E182" s="1055"/>
      <c r="F182" s="1055"/>
      <c r="G182" s="1056"/>
      <c r="H182" s="1054"/>
      <c r="I182" s="1055"/>
      <c r="J182" s="1055"/>
      <c r="K182" s="1056"/>
      <c r="L182" s="1054"/>
      <c r="M182" s="1055"/>
      <c r="N182" s="1055"/>
      <c r="O182" s="1056"/>
      <c r="P182" s="1054"/>
      <c r="Q182" s="1055"/>
      <c r="R182" s="1055"/>
      <c r="S182" s="1056"/>
      <c r="T182" s="105">
        <f>T172</f>
        <v>0</v>
      </c>
      <c r="U182" s="105">
        <f t="shared" ref="U182:W182" si="21">U172</f>
        <v>0</v>
      </c>
      <c r="V182" s="105">
        <f t="shared" si="21"/>
        <v>0</v>
      </c>
      <c r="W182" s="105">
        <f t="shared" si="21"/>
        <v>0</v>
      </c>
      <c r="X182" s="880"/>
    </row>
    <row r="183" spans="1:24" ht="13.5" thickBot="1">
      <c r="A183" s="885"/>
      <c r="B183" s="979"/>
      <c r="C183" s="100" t="s">
        <v>304</v>
      </c>
      <c r="D183" s="510"/>
      <c r="E183" s="511"/>
      <c r="F183" s="511"/>
      <c r="G183" s="512"/>
      <c r="H183" s="510"/>
      <c r="I183" s="511"/>
      <c r="J183" s="511"/>
      <c r="K183" s="512"/>
      <c r="L183" s="510"/>
      <c r="M183" s="511"/>
      <c r="N183" s="511"/>
      <c r="O183" s="512"/>
      <c r="P183" s="510"/>
      <c r="Q183" s="511"/>
      <c r="R183" s="511"/>
      <c r="S183" s="512"/>
      <c r="T183" s="105">
        <f>T173</f>
        <v>0</v>
      </c>
      <c r="U183" s="105">
        <f t="shared" ref="U183:W183" si="22">U173</f>
        <v>0</v>
      </c>
      <c r="V183" s="105">
        <f t="shared" si="22"/>
        <v>0</v>
      </c>
      <c r="W183" s="105">
        <f t="shared" si="22"/>
        <v>0</v>
      </c>
      <c r="X183" s="880"/>
    </row>
    <row r="184" spans="1:24" ht="13.5" thickBot="1">
      <c r="A184" s="885"/>
      <c r="B184" s="979"/>
      <c r="C184" s="922" t="s">
        <v>413</v>
      </c>
      <c r="D184" s="927" t="s">
        <v>4</v>
      </c>
      <c r="E184" s="928"/>
      <c r="F184" s="928"/>
      <c r="G184" s="928"/>
      <c r="H184" s="928"/>
      <c r="I184" s="928"/>
      <c r="J184" s="928"/>
      <c r="K184" s="928"/>
      <c r="L184" s="928"/>
      <c r="M184" s="928"/>
      <c r="N184" s="928"/>
      <c r="O184" s="928"/>
      <c r="P184" s="928"/>
      <c r="Q184" s="928"/>
      <c r="R184" s="928"/>
      <c r="S184" s="928"/>
      <c r="T184" s="928"/>
      <c r="U184" s="928"/>
      <c r="V184" s="928"/>
      <c r="W184" s="928"/>
      <c r="X184" s="880"/>
    </row>
    <row r="185" spans="1:24" ht="13.5" thickBot="1">
      <c r="A185" s="869"/>
      <c r="B185" s="1165"/>
      <c r="C185" s="923"/>
      <c r="D185" s="930" t="s">
        <v>126</v>
      </c>
      <c r="E185" s="931"/>
      <c r="F185" s="931"/>
      <c r="G185" s="931"/>
      <c r="H185" s="931"/>
      <c r="I185" s="931"/>
      <c r="J185" s="931"/>
      <c r="K185" s="931"/>
      <c r="L185" s="931"/>
      <c r="M185" s="931"/>
      <c r="N185" s="931"/>
      <c r="O185" s="931"/>
      <c r="P185" s="931"/>
      <c r="Q185" s="931"/>
      <c r="R185" s="931"/>
      <c r="S185" s="931"/>
      <c r="T185" s="931"/>
      <c r="U185" s="931"/>
      <c r="V185" s="931"/>
      <c r="W185" s="932"/>
      <c r="X185" s="881"/>
    </row>
    <row r="186" spans="1:24" ht="13.5" thickBot="1">
      <c r="A186" s="906" t="s">
        <v>7</v>
      </c>
      <c r="B186" s="908" t="s">
        <v>173</v>
      </c>
      <c r="C186" s="909"/>
      <c r="D186" s="908" t="s">
        <v>8</v>
      </c>
      <c r="E186" s="918"/>
      <c r="F186" s="918"/>
      <c r="G186" s="909"/>
      <c r="H186" s="908" t="s">
        <v>88</v>
      </c>
      <c r="I186" s="918"/>
      <c r="J186" s="918"/>
      <c r="K186" s="909"/>
      <c r="L186" s="908" t="s">
        <v>89</v>
      </c>
      <c r="M186" s="918"/>
      <c r="N186" s="918"/>
      <c r="O186" s="909"/>
      <c r="P186" s="908" t="s">
        <v>9</v>
      </c>
      <c r="Q186" s="918"/>
      <c r="R186" s="918"/>
      <c r="S186" s="909"/>
      <c r="T186" s="908" t="s">
        <v>174</v>
      </c>
      <c r="U186" s="918"/>
      <c r="V186" s="918"/>
      <c r="W186" s="918"/>
      <c r="X186" s="909"/>
    </row>
    <row r="187" spans="1:24" ht="13.5" thickBot="1">
      <c r="A187" s="907"/>
      <c r="B187" s="975">
        <f>SUM(B262+B337+B438+B560+B647)</f>
        <v>31000000</v>
      </c>
      <c r="C187" s="976"/>
      <c r="D187" s="975">
        <f>SUM(D262+D337+D438+D560+D647)</f>
        <v>2100000</v>
      </c>
      <c r="E187" s="977"/>
      <c r="F187" s="977">
        <f>SUM(F262+F337+F438+F560+F647)</f>
        <v>0</v>
      </c>
      <c r="G187" s="976"/>
      <c r="H187" s="975">
        <f>SUM(H262+H337+H438+H560+H647)</f>
        <v>13000000</v>
      </c>
      <c r="I187" s="977"/>
      <c r="J187" s="977">
        <f>SUM(J262+J337+J438+J560+J647)</f>
        <v>0</v>
      </c>
      <c r="K187" s="976"/>
      <c r="L187" s="975">
        <f>SUM(L262+L337+L438+L560+L647)</f>
        <v>11900000</v>
      </c>
      <c r="M187" s="977"/>
      <c r="N187" s="977">
        <f>SUM(N262+N337+N438+N560+N647)</f>
        <v>0</v>
      </c>
      <c r="O187" s="976"/>
      <c r="P187" s="975">
        <f>SUM(B187:O187)</f>
        <v>58000000</v>
      </c>
      <c r="Q187" s="977"/>
      <c r="R187" s="977"/>
      <c r="S187" s="976"/>
      <c r="T187" s="942">
        <f>B187/P187%</f>
        <v>53.448275862068968</v>
      </c>
      <c r="U187" s="943"/>
      <c r="V187" s="943"/>
      <c r="W187" s="943"/>
      <c r="X187" s="944"/>
    </row>
    <row r="188" spans="1:24" ht="13.5" thickBot="1">
      <c r="A188" s="906" t="s">
        <v>10</v>
      </c>
      <c r="B188" s="908" t="s">
        <v>175</v>
      </c>
      <c r="C188" s="909"/>
      <c r="D188" s="910"/>
      <c r="E188" s="911"/>
      <c r="F188" s="911"/>
      <c r="G188" s="911"/>
      <c r="H188" s="911"/>
      <c r="I188" s="911"/>
      <c r="J188" s="911"/>
      <c r="K188" s="911"/>
      <c r="L188" s="911"/>
      <c r="M188" s="911"/>
      <c r="N188" s="911"/>
      <c r="O188" s="911"/>
      <c r="P188" s="911"/>
      <c r="Q188" s="911"/>
      <c r="R188" s="911"/>
      <c r="S188" s="911"/>
      <c r="T188" s="911"/>
      <c r="U188" s="911"/>
      <c r="V188" s="911"/>
      <c r="W188" s="911"/>
      <c r="X188" s="912"/>
    </row>
    <row r="189" spans="1:24" ht="13.5" thickBot="1">
      <c r="A189" s="907"/>
      <c r="B189" s="916">
        <f>SUM(B264+B339+B440+B562+B649)</f>
        <v>0</v>
      </c>
      <c r="C189" s="917"/>
      <c r="D189" s="913"/>
      <c r="E189" s="914"/>
      <c r="F189" s="914"/>
      <c r="G189" s="914"/>
      <c r="H189" s="914"/>
      <c r="I189" s="914"/>
      <c r="J189" s="914"/>
      <c r="K189" s="914"/>
      <c r="L189" s="914"/>
      <c r="M189" s="914"/>
      <c r="N189" s="914"/>
      <c r="O189" s="914"/>
      <c r="P189" s="914"/>
      <c r="Q189" s="914"/>
      <c r="R189" s="914"/>
      <c r="S189" s="914"/>
      <c r="T189" s="914"/>
      <c r="U189" s="914"/>
      <c r="V189" s="914"/>
      <c r="W189" s="914"/>
      <c r="X189" s="915"/>
    </row>
    <row r="190" spans="1:24">
      <c r="A190" s="5"/>
      <c r="B190" s="5"/>
      <c r="C190" s="6"/>
      <c r="D190" s="5"/>
      <c r="E190" s="5"/>
      <c r="F190" s="5"/>
      <c r="G190" s="5"/>
      <c r="H190" s="5"/>
      <c r="I190" s="5"/>
      <c r="J190" s="5"/>
      <c r="K190" s="5"/>
      <c r="L190" s="5"/>
      <c r="M190" s="5"/>
      <c r="N190" s="5"/>
      <c r="O190" s="5"/>
      <c r="P190" s="5"/>
      <c r="Q190" s="5"/>
      <c r="R190" s="5"/>
      <c r="S190" s="5"/>
      <c r="T190" s="5"/>
      <c r="U190" s="5"/>
      <c r="V190" s="5"/>
      <c r="W190" s="5"/>
      <c r="X190" s="5"/>
    </row>
    <row r="191" spans="1:24" ht="13.5" thickBot="1">
      <c r="A191" s="21"/>
      <c r="B191" s="21"/>
      <c r="C191" s="22"/>
      <c r="D191" s="21"/>
      <c r="E191" s="21"/>
      <c r="F191" s="21"/>
      <c r="G191" s="21"/>
      <c r="H191" s="21"/>
      <c r="I191" s="21"/>
      <c r="J191" s="21"/>
      <c r="K191" s="21"/>
      <c r="L191" s="21"/>
      <c r="M191" s="21"/>
      <c r="N191" s="21"/>
      <c r="O191" s="21"/>
      <c r="P191" s="21"/>
      <c r="Q191" s="21"/>
      <c r="R191" s="21"/>
      <c r="S191" s="21"/>
      <c r="T191" s="21"/>
      <c r="U191" s="21"/>
      <c r="V191" s="21"/>
      <c r="W191" s="21"/>
      <c r="X191" s="21"/>
    </row>
    <row r="192" spans="1:24" ht="12.95" customHeight="1" thickBot="1">
      <c r="A192" s="506" t="s">
        <v>11</v>
      </c>
      <c r="B192" s="514" t="s">
        <v>16</v>
      </c>
      <c r="C192" s="8"/>
      <c r="D192" s="927" t="s">
        <v>78</v>
      </c>
      <c r="E192" s="928"/>
      <c r="F192" s="928"/>
      <c r="G192" s="929"/>
      <c r="H192" s="927" t="s">
        <v>77</v>
      </c>
      <c r="I192" s="928"/>
      <c r="J192" s="928"/>
      <c r="K192" s="929"/>
      <c r="L192" s="927" t="s">
        <v>81</v>
      </c>
      <c r="M192" s="928"/>
      <c r="N192" s="928"/>
      <c r="O192" s="929"/>
      <c r="P192" s="927" t="s">
        <v>254</v>
      </c>
      <c r="Q192" s="928"/>
      <c r="R192" s="928"/>
      <c r="S192" s="929"/>
      <c r="T192" s="1144" t="s">
        <v>908</v>
      </c>
      <c r="U192" s="1145"/>
      <c r="V192" s="1145"/>
      <c r="W192" s="1146"/>
      <c r="X192" s="16" t="s">
        <v>12</v>
      </c>
    </row>
    <row r="193" spans="1:24" ht="13.5" thickBot="1">
      <c r="A193" s="868" t="s">
        <v>57</v>
      </c>
      <c r="B193" s="868" t="s">
        <v>58</v>
      </c>
      <c r="C193" s="9" t="s">
        <v>285</v>
      </c>
      <c r="D193" s="942">
        <f>'LF-Enugu'!D67:G67</f>
        <v>1</v>
      </c>
      <c r="E193" s="943"/>
      <c r="F193" s="943"/>
      <c r="G193" s="944"/>
      <c r="H193" s="942">
        <f>'LF-Enugu'!H67:K67</f>
        <v>1.5</v>
      </c>
      <c r="I193" s="943"/>
      <c r="J193" s="943"/>
      <c r="K193" s="944"/>
      <c r="L193" s="942">
        <f>'LF-Enugu'!L67:O67</f>
        <v>2.5</v>
      </c>
      <c r="M193" s="943"/>
      <c r="N193" s="943"/>
      <c r="O193" s="944"/>
      <c r="P193" s="963">
        <f>'LF-Enugu'!P67:S67</f>
        <v>2.7</v>
      </c>
      <c r="Q193" s="964"/>
      <c r="R193" s="964"/>
      <c r="S193" s="965"/>
      <c r="T193" s="1159">
        <f>'Enugu Workings'!$V$43</f>
        <v>3.0333333333333341</v>
      </c>
      <c r="U193" s="1160">
        <f>'Enugu Workings'!$V$10</f>
        <v>3.3333333333333339</v>
      </c>
      <c r="V193" s="1160">
        <f>'Enugu Workings'!$V$10</f>
        <v>3.3333333333333339</v>
      </c>
      <c r="W193" s="1161">
        <f>'Enugu Workings'!$V$10</f>
        <v>3.3333333333333339</v>
      </c>
      <c r="X193" s="879" t="s">
        <v>97</v>
      </c>
    </row>
    <row r="194" spans="1:24" ht="13.5" thickBot="1">
      <c r="A194" s="885"/>
      <c r="B194" s="885"/>
      <c r="C194" s="9" t="s">
        <v>286</v>
      </c>
      <c r="D194" s="942">
        <f>'LF-Jigawa'!D67:G67</f>
        <v>1</v>
      </c>
      <c r="E194" s="943"/>
      <c r="F194" s="943"/>
      <c r="G194" s="944"/>
      <c r="H194" s="942">
        <f>'LF-Jigawa'!H67:K67</f>
        <v>2</v>
      </c>
      <c r="I194" s="943"/>
      <c r="J194" s="943"/>
      <c r="K194" s="944"/>
      <c r="L194" s="942">
        <f>'LF-Jigawa'!L67:O67</f>
        <v>2.5</v>
      </c>
      <c r="M194" s="943"/>
      <c r="N194" s="943"/>
      <c r="O194" s="944"/>
      <c r="P194" s="963">
        <f>'LF-Jigawa'!P67:S67</f>
        <v>3.5</v>
      </c>
      <c r="Q194" s="964"/>
      <c r="R194" s="964"/>
      <c r="S194" s="965"/>
      <c r="T194" s="1159">
        <f>'Jigawa Workings'!$V$43</f>
        <v>3.6999999999999993</v>
      </c>
      <c r="U194" s="1160">
        <f>'Jigawa Workings'!$V$10</f>
        <v>14.666666666666664</v>
      </c>
      <c r="V194" s="1160">
        <f>'Jigawa Workings'!$V$10</f>
        <v>14.666666666666664</v>
      </c>
      <c r="W194" s="1161">
        <f>'Jigawa Workings'!$V$10</f>
        <v>14.666666666666664</v>
      </c>
      <c r="X194" s="880"/>
    </row>
    <row r="195" spans="1:24" ht="13.5" thickBot="1">
      <c r="A195" s="885"/>
      <c r="B195" s="885"/>
      <c r="C195" s="9" t="s">
        <v>287</v>
      </c>
      <c r="D195" s="942">
        <f>'LF-Kaduna'!D67:G67</f>
        <v>1</v>
      </c>
      <c r="E195" s="943"/>
      <c r="F195" s="943"/>
      <c r="G195" s="944"/>
      <c r="H195" s="942">
        <f>'LF-Kaduna'!H67:K67</f>
        <v>2</v>
      </c>
      <c r="I195" s="943"/>
      <c r="J195" s="943"/>
      <c r="K195" s="944"/>
      <c r="L195" s="942">
        <f>'LF-Kaduna'!L67:O67</f>
        <v>3</v>
      </c>
      <c r="M195" s="943"/>
      <c r="N195" s="943"/>
      <c r="O195" s="944"/>
      <c r="P195" s="963">
        <f>'LF-Kaduna'!P67:S67</f>
        <v>2.4</v>
      </c>
      <c r="Q195" s="964"/>
      <c r="R195" s="964"/>
      <c r="S195" s="965"/>
      <c r="T195" s="1159">
        <f>'Kaduna Workings'!$V$43</f>
        <v>2.8000000000000003</v>
      </c>
      <c r="U195" s="1160">
        <f>'Kaduna Workings'!$V$10</f>
        <v>13.666666666666664</v>
      </c>
      <c r="V195" s="1160">
        <f>'Kaduna Workings'!$V$10</f>
        <v>13.666666666666664</v>
      </c>
      <c r="W195" s="1161">
        <f>'Kaduna Workings'!$V$10</f>
        <v>13.666666666666664</v>
      </c>
      <c r="X195" s="880"/>
    </row>
    <row r="196" spans="1:24" ht="13.5" thickBot="1">
      <c r="A196" s="885"/>
      <c r="B196" s="885"/>
      <c r="C196" s="9" t="s">
        <v>288</v>
      </c>
      <c r="D196" s="942">
        <f>'LF-Kano'!D67:G67</f>
        <v>1</v>
      </c>
      <c r="E196" s="943"/>
      <c r="F196" s="943"/>
      <c r="G196" s="944"/>
      <c r="H196" s="942">
        <f>'LF-Kano'!H67:K67</f>
        <v>1.5</v>
      </c>
      <c r="I196" s="943"/>
      <c r="J196" s="943"/>
      <c r="K196" s="944"/>
      <c r="L196" s="942">
        <f>'LF-Kano'!L67:O67</f>
        <v>2.5</v>
      </c>
      <c r="M196" s="943"/>
      <c r="N196" s="943"/>
      <c r="O196" s="944"/>
      <c r="P196" s="963">
        <f>'LF-Kano'!P67:S67</f>
        <v>3.5</v>
      </c>
      <c r="Q196" s="964"/>
      <c r="R196" s="964"/>
      <c r="S196" s="965"/>
      <c r="T196" s="1159">
        <f>'Kano Workings'!$V$43</f>
        <v>3.8333333333333339</v>
      </c>
      <c r="U196" s="1160">
        <f>'Kano Workings'!$V$10</f>
        <v>5.666666666666667</v>
      </c>
      <c r="V196" s="1160">
        <f>'Kano Workings'!$V$10</f>
        <v>5.666666666666667</v>
      </c>
      <c r="W196" s="1161">
        <f>'Kano Workings'!$V$10</f>
        <v>5.666666666666667</v>
      </c>
      <c r="X196" s="880"/>
    </row>
    <row r="197" spans="1:24" ht="13.5" thickBot="1">
      <c r="A197" s="885"/>
      <c r="B197" s="885"/>
      <c r="C197" s="9" t="s">
        <v>289</v>
      </c>
      <c r="D197" s="942">
        <f>'LF-Lagos'!D67:G67</f>
        <v>1</v>
      </c>
      <c r="E197" s="943"/>
      <c r="F197" s="943"/>
      <c r="G197" s="944"/>
      <c r="H197" s="942">
        <f>'LF-Lagos'!H67:K67</f>
        <v>3</v>
      </c>
      <c r="I197" s="943"/>
      <c r="J197" s="943"/>
      <c r="K197" s="944"/>
      <c r="L197" s="942">
        <f>'LF-Lagos'!L67:O67</f>
        <v>3</v>
      </c>
      <c r="M197" s="943"/>
      <c r="N197" s="943"/>
      <c r="O197" s="944"/>
      <c r="P197" s="963">
        <f>'LF-Lagos'!P67:S67</f>
        <v>4</v>
      </c>
      <c r="Q197" s="964"/>
      <c r="R197" s="964"/>
      <c r="S197" s="965"/>
      <c r="T197" s="1159">
        <f>'Lagos Workings'!$V$43</f>
        <v>4.3333333333333321</v>
      </c>
      <c r="U197" s="1160">
        <f>'Lagos Workings'!$V$10</f>
        <v>15</v>
      </c>
      <c r="V197" s="1160">
        <f>'Lagos Workings'!$V$10</f>
        <v>15</v>
      </c>
      <c r="W197" s="1161">
        <f>'Lagos Workings'!$V$10</f>
        <v>15</v>
      </c>
      <c r="X197" s="880"/>
    </row>
    <row r="198" spans="1:24" ht="13.5" thickBot="1">
      <c r="A198" s="885"/>
      <c r="B198" s="885"/>
      <c r="C198" s="9" t="s">
        <v>292</v>
      </c>
      <c r="D198" s="966" t="s">
        <v>255</v>
      </c>
      <c r="E198" s="967"/>
      <c r="F198" s="967"/>
      <c r="G198" s="968"/>
      <c r="H198" s="942">
        <f>'LF-Zamfara'!H67:K67</f>
        <v>1</v>
      </c>
      <c r="I198" s="943"/>
      <c r="J198" s="943"/>
      <c r="K198" s="944"/>
      <c r="L198" s="942">
        <f>'LF-Zamfara'!L67:O67</f>
        <v>1</v>
      </c>
      <c r="M198" s="943"/>
      <c r="N198" s="943"/>
      <c r="O198" s="944"/>
      <c r="P198" s="963">
        <f>'LF-Zamfara'!P67:S67</f>
        <v>1.4</v>
      </c>
      <c r="Q198" s="964"/>
      <c r="R198" s="964"/>
      <c r="S198" s="965"/>
      <c r="T198" s="1159">
        <f>'Zamfara Workings'!$V$43</f>
        <v>1.8666666666666667</v>
      </c>
      <c r="U198" s="1160">
        <f>'Zamfara Workings'!$V$10</f>
        <v>3.3333333333333339</v>
      </c>
      <c r="V198" s="1160">
        <f>'Zamfara Workings'!$V$10</f>
        <v>3.3333333333333339</v>
      </c>
      <c r="W198" s="1161">
        <f>'Zamfara Workings'!$V$10</f>
        <v>3.3333333333333339</v>
      </c>
      <c r="X198" s="880"/>
    </row>
    <row r="199" spans="1:24" ht="13.5" thickBot="1">
      <c r="A199" s="885"/>
      <c r="B199" s="885"/>
      <c r="C199" s="9" t="s">
        <v>293</v>
      </c>
      <c r="D199" s="966" t="s">
        <v>255</v>
      </c>
      <c r="E199" s="967"/>
      <c r="F199" s="967"/>
      <c r="G199" s="968"/>
      <c r="H199" s="942">
        <f>'LF-Katsina'!H67:K67</f>
        <v>1</v>
      </c>
      <c r="I199" s="943"/>
      <c r="J199" s="943"/>
      <c r="K199" s="944"/>
      <c r="L199" s="942">
        <f>'LF-Katsina'!L67:O67</f>
        <v>1.5</v>
      </c>
      <c r="M199" s="943"/>
      <c r="N199" s="943"/>
      <c r="O199" s="944"/>
      <c r="P199" s="963">
        <f>'LF-Katsina'!P67:S67</f>
        <v>1.7</v>
      </c>
      <c r="Q199" s="964"/>
      <c r="R199" s="964"/>
      <c r="S199" s="965"/>
      <c r="T199" s="1159">
        <f>'Katsina Workings'!$V$43</f>
        <v>2.5666666666666669</v>
      </c>
      <c r="U199" s="1160">
        <f>'Katsina Workings'!$V$10</f>
        <v>6</v>
      </c>
      <c r="V199" s="1160">
        <f>'Katsina Workings'!$V$10</f>
        <v>6</v>
      </c>
      <c r="W199" s="1161">
        <f>'Katsina Workings'!$V$10</f>
        <v>6</v>
      </c>
      <c r="X199" s="880"/>
    </row>
    <row r="200" spans="1:24" ht="13.5" thickBot="1">
      <c r="A200" s="885"/>
      <c r="B200" s="885"/>
      <c r="C200" s="9" t="s">
        <v>294</v>
      </c>
      <c r="D200" s="966" t="s">
        <v>255</v>
      </c>
      <c r="E200" s="967"/>
      <c r="F200" s="967"/>
      <c r="G200" s="968"/>
      <c r="H200" s="942">
        <f>'LF-Yobe'!H67:K67</f>
        <v>1</v>
      </c>
      <c r="I200" s="943"/>
      <c r="J200" s="943"/>
      <c r="K200" s="944"/>
      <c r="L200" s="942">
        <f>'LF-Yobe'!L67:O67</f>
        <v>1</v>
      </c>
      <c r="M200" s="943"/>
      <c r="N200" s="943"/>
      <c r="O200" s="944"/>
      <c r="P200" s="963">
        <f>'LF-Yobe'!P67:S67</f>
        <v>1.4</v>
      </c>
      <c r="Q200" s="964"/>
      <c r="R200" s="964"/>
      <c r="S200" s="965"/>
      <c r="T200" s="1159">
        <f>'Yobe Workings'!$V$43</f>
        <v>2.5</v>
      </c>
      <c r="U200" s="1160">
        <f>'Yobe Workings'!$V$10</f>
        <v>2.6666666666666661</v>
      </c>
      <c r="V200" s="1160">
        <f>'Yobe Workings'!$V$10</f>
        <v>2.6666666666666661</v>
      </c>
      <c r="W200" s="1161">
        <f>'Yobe Workings'!$V$10</f>
        <v>2.6666666666666661</v>
      </c>
      <c r="X200" s="880"/>
    </row>
    <row r="201" spans="1:24" ht="12.95" customHeight="1" thickBot="1">
      <c r="A201" s="885"/>
      <c r="B201" s="885"/>
      <c r="C201" s="9" t="s">
        <v>290</v>
      </c>
      <c r="D201" s="957"/>
      <c r="E201" s="958"/>
      <c r="F201" s="958"/>
      <c r="G201" s="959"/>
      <c r="H201" s="1162"/>
      <c r="I201" s="1163"/>
      <c r="J201" s="1163"/>
      <c r="K201" s="1164"/>
      <c r="L201" s="1057" t="s">
        <v>909</v>
      </c>
      <c r="M201" s="1058"/>
      <c r="N201" s="1058"/>
      <c r="O201" s="1059"/>
      <c r="P201" s="963">
        <f>'LF-Anambra'!P67:S67</f>
        <v>1.2</v>
      </c>
      <c r="Q201" s="964"/>
      <c r="R201" s="964"/>
      <c r="S201" s="965"/>
      <c r="T201" s="960">
        <f t="shared" ref="T201:T202" si="23">P201</f>
        <v>1.2</v>
      </c>
      <c r="U201" s="961">
        <f t="shared" ref="U201:U202" si="24">Q201</f>
        <v>0</v>
      </c>
      <c r="V201" s="961">
        <f t="shared" ref="V201:V202" si="25">R201</f>
        <v>0</v>
      </c>
      <c r="W201" s="962">
        <f t="shared" ref="W201:W202" si="26">S201</f>
        <v>0</v>
      </c>
      <c r="X201" s="880"/>
    </row>
    <row r="202" spans="1:24" ht="12.95" customHeight="1" thickBot="1">
      <c r="A202" s="885"/>
      <c r="B202" s="885"/>
      <c r="C202" s="9" t="s">
        <v>291</v>
      </c>
      <c r="D202" s="957"/>
      <c r="E202" s="958"/>
      <c r="F202" s="958"/>
      <c r="G202" s="959"/>
      <c r="H202" s="1162"/>
      <c r="I202" s="1163"/>
      <c r="J202" s="1163"/>
      <c r="K202" s="1164"/>
      <c r="L202" s="1057" t="s">
        <v>909</v>
      </c>
      <c r="M202" s="1058"/>
      <c r="N202" s="1058"/>
      <c r="O202" s="1059"/>
      <c r="P202" s="942">
        <f>'LF-Niger'!P67:S67</f>
        <v>1.1000000000000001</v>
      </c>
      <c r="Q202" s="943"/>
      <c r="R202" s="943"/>
      <c r="S202" s="944"/>
      <c r="T202" s="960">
        <f t="shared" si="23"/>
        <v>1.1000000000000001</v>
      </c>
      <c r="U202" s="961">
        <f t="shared" si="24"/>
        <v>0</v>
      </c>
      <c r="V202" s="961">
        <f t="shared" si="25"/>
        <v>0</v>
      </c>
      <c r="W202" s="962">
        <f t="shared" si="26"/>
        <v>0</v>
      </c>
      <c r="X202" s="880"/>
    </row>
    <row r="203" spans="1:24" ht="13.5" thickBot="1">
      <c r="A203" s="885"/>
      <c r="B203" s="885"/>
      <c r="C203" s="100" t="s">
        <v>295</v>
      </c>
      <c r="D203" s="1017"/>
      <c r="E203" s="1018"/>
      <c r="F203" s="1018"/>
      <c r="G203" s="1019"/>
      <c r="H203" s="1147">
        <f>'LF-Enugu'!H68:K68</f>
        <v>2</v>
      </c>
      <c r="I203" s="1148"/>
      <c r="J203" s="1148"/>
      <c r="K203" s="1149"/>
      <c r="L203" s="1147">
        <f>'LF-Enugu'!L68:O68</f>
        <v>2</v>
      </c>
      <c r="M203" s="1148"/>
      <c r="N203" s="1148"/>
      <c r="O203" s="1149"/>
      <c r="P203" s="1147">
        <f>'LF-Enugu'!P68:S68</f>
        <v>2.5</v>
      </c>
      <c r="Q203" s="1148"/>
      <c r="R203" s="1148"/>
      <c r="S203" s="1149"/>
      <c r="T203" s="1147">
        <f>'Enugu Workings'!$V$44</f>
        <v>3.9</v>
      </c>
      <c r="U203" s="1148">
        <f>'Enugu Workings'!$V$11</f>
        <v>2</v>
      </c>
      <c r="V203" s="1148">
        <f>'Enugu Workings'!$V$11</f>
        <v>2</v>
      </c>
      <c r="W203" s="1149">
        <f>'Enugu Workings'!$V$11</f>
        <v>2</v>
      </c>
      <c r="X203" s="880"/>
    </row>
    <row r="204" spans="1:24" ht="13.5" thickBot="1">
      <c r="A204" s="885"/>
      <c r="B204" s="885"/>
      <c r="C204" s="100" t="s">
        <v>296</v>
      </c>
      <c r="D204" s="1017"/>
      <c r="E204" s="1018"/>
      <c r="F204" s="1018"/>
      <c r="G204" s="1019"/>
      <c r="H204" s="1147">
        <f>'LF-Jigawa'!H68:K68</f>
        <v>2</v>
      </c>
      <c r="I204" s="1148"/>
      <c r="J204" s="1148"/>
      <c r="K204" s="1149"/>
      <c r="L204" s="1147">
        <f>'LF-Jigawa'!L68:O68</f>
        <v>2.7</v>
      </c>
      <c r="M204" s="1148"/>
      <c r="N204" s="1148"/>
      <c r="O204" s="1149"/>
      <c r="P204" s="1147">
        <f>'LF-Jigawa'!P68:S68</f>
        <v>3.8</v>
      </c>
      <c r="Q204" s="1148"/>
      <c r="R204" s="1148"/>
      <c r="S204" s="1149"/>
      <c r="T204" s="1147">
        <f>'Jigawa Workings'!$V$44</f>
        <v>4.5999999999999996</v>
      </c>
      <c r="U204" s="1148">
        <f>'Jigawa Workings'!$V$11</f>
        <v>12</v>
      </c>
      <c r="V204" s="1148">
        <f>'Jigawa Workings'!$V$11</f>
        <v>12</v>
      </c>
      <c r="W204" s="1149">
        <f>'Jigawa Workings'!$V$11</f>
        <v>12</v>
      </c>
      <c r="X204" s="880"/>
    </row>
    <row r="205" spans="1:24" ht="13.5" thickBot="1">
      <c r="A205" s="885"/>
      <c r="B205" s="885"/>
      <c r="C205" s="100" t="s">
        <v>297</v>
      </c>
      <c r="D205" s="1017"/>
      <c r="E205" s="1018"/>
      <c r="F205" s="1018"/>
      <c r="G205" s="1019"/>
      <c r="H205" s="1147">
        <f>'LF-Kaduna'!H68:K68</f>
        <v>1.4</v>
      </c>
      <c r="I205" s="1148"/>
      <c r="J205" s="1148"/>
      <c r="K205" s="1149"/>
      <c r="L205" s="1147">
        <f>'LF-Kaduna'!L68:O68</f>
        <v>2.2999999999999998</v>
      </c>
      <c r="M205" s="1148"/>
      <c r="N205" s="1148"/>
      <c r="O205" s="1149"/>
      <c r="P205" s="1147">
        <f>'LF-Kaduna'!P68:S68</f>
        <v>2.5</v>
      </c>
      <c r="Q205" s="1148"/>
      <c r="R205" s="1148"/>
      <c r="S205" s="1149"/>
      <c r="T205" s="1147">
        <f>'Kaduna Workings'!$V$44</f>
        <v>3.7</v>
      </c>
      <c r="U205" s="1148">
        <f>'Kaduna Workings'!$V$11</f>
        <v>2</v>
      </c>
      <c r="V205" s="1148">
        <f>'Kaduna Workings'!$V$11</f>
        <v>2</v>
      </c>
      <c r="W205" s="1149">
        <f>'Kaduna Workings'!$V$11</f>
        <v>2</v>
      </c>
      <c r="X205" s="880"/>
    </row>
    <row r="206" spans="1:24" ht="13.5" thickBot="1">
      <c r="A206" s="885"/>
      <c r="B206" s="885"/>
      <c r="C206" s="100" t="s">
        <v>298</v>
      </c>
      <c r="D206" s="1017"/>
      <c r="E206" s="1018"/>
      <c r="F206" s="1018"/>
      <c r="G206" s="1019"/>
      <c r="H206" s="1147">
        <f>'LF-Kano'!H68:K68</f>
        <v>2</v>
      </c>
      <c r="I206" s="1148"/>
      <c r="J206" s="1148"/>
      <c r="K206" s="1149"/>
      <c r="L206" s="1147">
        <f>'LF-Kano'!L68:O68</f>
        <v>2.5</v>
      </c>
      <c r="M206" s="1148"/>
      <c r="N206" s="1148"/>
      <c r="O206" s="1149"/>
      <c r="P206" s="1147">
        <f>'LF-Kano'!P68:S68</f>
        <v>3.6</v>
      </c>
      <c r="Q206" s="1148"/>
      <c r="R206" s="1148"/>
      <c r="S206" s="1149"/>
      <c r="T206" s="1147">
        <f>'Kano Workings'!$V$44</f>
        <v>3.8</v>
      </c>
      <c r="U206" s="1148">
        <f>'Kano Workings'!$V$11</f>
        <v>6</v>
      </c>
      <c r="V206" s="1148">
        <f>'Kano Workings'!$V$11</f>
        <v>6</v>
      </c>
      <c r="W206" s="1149">
        <f>'Kano Workings'!$V$11</f>
        <v>6</v>
      </c>
      <c r="X206" s="880"/>
    </row>
    <row r="207" spans="1:24" ht="13.5" thickBot="1">
      <c r="A207" s="885"/>
      <c r="B207" s="885"/>
      <c r="C207" s="100" t="s">
        <v>299</v>
      </c>
      <c r="D207" s="1017"/>
      <c r="E207" s="1018"/>
      <c r="F207" s="1018"/>
      <c r="G207" s="1019"/>
      <c r="H207" s="1147">
        <f>'LF-Lagos'!H68:K68</f>
        <v>3</v>
      </c>
      <c r="I207" s="1148"/>
      <c r="J207" s="1148"/>
      <c r="K207" s="1149"/>
      <c r="L207" s="1147">
        <f>'LF-Lagos'!L68:O68</f>
        <v>3.1</v>
      </c>
      <c r="M207" s="1148"/>
      <c r="N207" s="1148"/>
      <c r="O207" s="1149"/>
      <c r="P207" s="1147">
        <f>'LF-Lagos'!P68:S68</f>
        <v>3.9</v>
      </c>
      <c r="Q207" s="1148"/>
      <c r="R207" s="1148"/>
      <c r="S207" s="1149"/>
      <c r="T207" s="1147">
        <f>'Lagos Workings'!$V$44</f>
        <v>4.5</v>
      </c>
      <c r="U207" s="1148">
        <f>'Lagos Workings'!$V$11</f>
        <v>15</v>
      </c>
      <c r="V207" s="1148">
        <f>'Lagos Workings'!$V$11</f>
        <v>15</v>
      </c>
      <c r="W207" s="1149">
        <f>'Lagos Workings'!$V$11</f>
        <v>15</v>
      </c>
      <c r="X207" s="880"/>
    </row>
    <row r="208" spans="1:24" ht="24.75" thickBot="1">
      <c r="A208" s="885"/>
      <c r="B208" s="885"/>
      <c r="C208" s="100" t="s">
        <v>300</v>
      </c>
      <c r="D208" s="1017"/>
      <c r="E208" s="1018"/>
      <c r="F208" s="1018"/>
      <c r="G208" s="1019"/>
      <c r="H208" s="1017"/>
      <c r="I208" s="1018"/>
      <c r="J208" s="1018"/>
      <c r="K208" s="1019"/>
      <c r="L208" s="1147">
        <f>'LF-Zamfara'!L68:O68</f>
        <v>1</v>
      </c>
      <c r="M208" s="1148"/>
      <c r="N208" s="1148"/>
      <c r="O208" s="1149"/>
      <c r="P208" s="1147">
        <f>'LF-Zamfara'!P68:S68</f>
        <v>1.6</v>
      </c>
      <c r="Q208" s="1148"/>
      <c r="R208" s="1148"/>
      <c r="S208" s="1149"/>
      <c r="T208" s="1147">
        <f>'Zamfara Workings'!$V$44</f>
        <v>2.8</v>
      </c>
      <c r="U208" s="1148">
        <f>'Zamfara Workings'!$V$11</f>
        <v>1</v>
      </c>
      <c r="V208" s="1148">
        <f>'Zamfara Workings'!$V$11</f>
        <v>1</v>
      </c>
      <c r="W208" s="1149">
        <f>'Zamfara Workings'!$V$11</f>
        <v>1</v>
      </c>
      <c r="X208" s="880"/>
    </row>
    <row r="209" spans="1:24" ht="13.5" thickBot="1">
      <c r="A209" s="885"/>
      <c r="B209" s="885"/>
      <c r="C209" s="100" t="s">
        <v>301</v>
      </c>
      <c r="D209" s="1017"/>
      <c r="E209" s="1018"/>
      <c r="F209" s="1018"/>
      <c r="G209" s="1019"/>
      <c r="H209" s="1017"/>
      <c r="I209" s="1018"/>
      <c r="J209" s="1018"/>
      <c r="K209" s="1019"/>
      <c r="L209" s="1147">
        <f>'LF-Katsina'!L68:O68</f>
        <v>1.5</v>
      </c>
      <c r="M209" s="1148"/>
      <c r="N209" s="1148"/>
      <c r="O209" s="1149"/>
      <c r="P209" s="1147">
        <f>'LF-Katsina'!P68:S68</f>
        <v>1</v>
      </c>
      <c r="Q209" s="1148"/>
      <c r="R209" s="1148"/>
      <c r="S209" s="1149"/>
      <c r="T209" s="1147">
        <f>'Katsina Workings'!$V$44</f>
        <v>3</v>
      </c>
      <c r="U209" s="1148">
        <f>'Katsina Workings'!$V$11</f>
        <v>6</v>
      </c>
      <c r="V209" s="1148">
        <f>'Katsina Workings'!$V$11</f>
        <v>6</v>
      </c>
      <c r="W209" s="1149">
        <f>'Katsina Workings'!$V$11</f>
        <v>6</v>
      </c>
      <c r="X209" s="880"/>
    </row>
    <row r="210" spans="1:24" ht="13.5" thickBot="1">
      <c r="A210" s="885"/>
      <c r="B210" s="885"/>
      <c r="C210" s="100" t="s">
        <v>302</v>
      </c>
      <c r="D210" s="1017"/>
      <c r="E210" s="1018"/>
      <c r="F210" s="1018"/>
      <c r="G210" s="1019"/>
      <c r="H210" s="1017"/>
      <c r="I210" s="1018"/>
      <c r="J210" s="1018"/>
      <c r="K210" s="1019"/>
      <c r="L210" s="1147">
        <f>'LF-Yobe'!L68:O68</f>
        <v>1</v>
      </c>
      <c r="M210" s="1148"/>
      <c r="N210" s="1148"/>
      <c r="O210" s="1149"/>
      <c r="P210" s="1147">
        <f>'LF-Yobe'!P68:S68</f>
        <v>1.8</v>
      </c>
      <c r="Q210" s="1148"/>
      <c r="R210" s="1148"/>
      <c r="S210" s="1149"/>
      <c r="T210" s="1147">
        <f>'Yobe Workings'!$V$44</f>
        <v>2.9</v>
      </c>
      <c r="U210" s="1148">
        <f>'Yobe Workings'!$V$11</f>
        <v>10</v>
      </c>
      <c r="V210" s="1148">
        <f>'Yobe Workings'!$V$11</f>
        <v>10</v>
      </c>
      <c r="W210" s="1149">
        <f>'Yobe Workings'!$V$11</f>
        <v>10</v>
      </c>
      <c r="X210" s="880"/>
    </row>
    <row r="211" spans="1:24" ht="24.75" thickBot="1">
      <c r="A211" s="885"/>
      <c r="B211" s="885"/>
      <c r="C211" s="100" t="s">
        <v>303</v>
      </c>
      <c r="D211" s="1017"/>
      <c r="E211" s="1018"/>
      <c r="F211" s="1018"/>
      <c r="G211" s="1019"/>
      <c r="H211" s="1017"/>
      <c r="I211" s="1018"/>
      <c r="J211" s="1018"/>
      <c r="K211" s="1019"/>
      <c r="L211" s="1017"/>
      <c r="M211" s="1018"/>
      <c r="N211" s="1018"/>
      <c r="O211" s="1019"/>
      <c r="P211" s="1054"/>
      <c r="Q211" s="1055"/>
      <c r="R211" s="1055"/>
      <c r="S211" s="1056"/>
      <c r="T211" s="1147">
        <f t="shared" ref="T211:W211" si="27">T201</f>
        <v>1.2</v>
      </c>
      <c r="U211" s="1148">
        <f t="shared" si="27"/>
        <v>0</v>
      </c>
      <c r="V211" s="1148">
        <f t="shared" si="27"/>
        <v>0</v>
      </c>
      <c r="W211" s="1149">
        <f t="shared" si="27"/>
        <v>0</v>
      </c>
      <c r="X211" s="880"/>
    </row>
    <row r="212" spans="1:24" ht="13.5" thickBot="1">
      <c r="A212" s="885"/>
      <c r="B212" s="885"/>
      <c r="C212" s="100" t="s">
        <v>304</v>
      </c>
      <c r="D212" s="1017"/>
      <c r="E212" s="1018"/>
      <c r="F212" s="1018"/>
      <c r="G212" s="1019"/>
      <c r="H212" s="1017"/>
      <c r="I212" s="1018"/>
      <c r="J212" s="1018"/>
      <c r="K212" s="1019"/>
      <c r="L212" s="1017"/>
      <c r="M212" s="1018"/>
      <c r="N212" s="1018"/>
      <c r="O212" s="1019"/>
      <c r="P212" s="1054"/>
      <c r="Q212" s="1055"/>
      <c r="R212" s="1055"/>
      <c r="S212" s="1056"/>
      <c r="T212" s="1147">
        <f t="shared" ref="T212:W212" si="28">T202</f>
        <v>1.1000000000000001</v>
      </c>
      <c r="U212" s="1148">
        <f t="shared" si="28"/>
        <v>0</v>
      </c>
      <c r="V212" s="1148">
        <f t="shared" si="28"/>
        <v>0</v>
      </c>
      <c r="W212" s="1149">
        <f t="shared" si="28"/>
        <v>0</v>
      </c>
      <c r="X212" s="880"/>
    </row>
    <row r="213" spans="1:24" ht="13.5" thickBot="1">
      <c r="A213" s="885"/>
      <c r="B213" s="885"/>
      <c r="C213" s="922" t="s">
        <v>413</v>
      </c>
      <c r="D213" s="927" t="s">
        <v>4</v>
      </c>
      <c r="E213" s="928"/>
      <c r="F213" s="928"/>
      <c r="G213" s="928"/>
      <c r="H213" s="928"/>
      <c r="I213" s="928"/>
      <c r="J213" s="928"/>
      <c r="K213" s="928"/>
      <c r="L213" s="928"/>
      <c r="M213" s="928"/>
      <c r="N213" s="928"/>
      <c r="O213" s="928"/>
      <c r="P213" s="928"/>
      <c r="Q213" s="928"/>
      <c r="R213" s="928"/>
      <c r="S213" s="928"/>
      <c r="T213" s="928"/>
      <c r="U213" s="928"/>
      <c r="V213" s="928"/>
      <c r="W213" s="929"/>
      <c r="X213" s="880"/>
    </row>
    <row r="214" spans="1:24" ht="24" customHeight="1" thickBot="1">
      <c r="A214" s="885"/>
      <c r="B214" s="869"/>
      <c r="C214" s="923"/>
      <c r="D214" s="930" t="s">
        <v>120</v>
      </c>
      <c r="E214" s="931"/>
      <c r="F214" s="931"/>
      <c r="G214" s="931"/>
      <c r="H214" s="931"/>
      <c r="I214" s="931"/>
      <c r="J214" s="931"/>
      <c r="K214" s="931"/>
      <c r="L214" s="931"/>
      <c r="M214" s="931"/>
      <c r="N214" s="931"/>
      <c r="O214" s="931"/>
      <c r="P214" s="931"/>
      <c r="Q214" s="931"/>
      <c r="R214" s="931"/>
      <c r="S214" s="931"/>
      <c r="T214" s="931"/>
      <c r="U214" s="931"/>
      <c r="V214" s="931"/>
      <c r="W214" s="932"/>
      <c r="X214" s="880"/>
    </row>
    <row r="215" spans="1:24" ht="12.95" customHeight="1" thickBot="1">
      <c r="A215" s="885"/>
      <c r="B215" s="11" t="s">
        <v>17</v>
      </c>
      <c r="C215" s="12"/>
      <c r="D215" s="927" t="s">
        <v>78</v>
      </c>
      <c r="E215" s="928"/>
      <c r="F215" s="928"/>
      <c r="G215" s="929"/>
      <c r="H215" s="927" t="s">
        <v>77</v>
      </c>
      <c r="I215" s="928"/>
      <c r="J215" s="928"/>
      <c r="K215" s="929"/>
      <c r="L215" s="927" t="s">
        <v>81</v>
      </c>
      <c r="M215" s="928"/>
      <c r="N215" s="928"/>
      <c r="O215" s="929"/>
      <c r="P215" s="927" t="s">
        <v>254</v>
      </c>
      <c r="Q215" s="928"/>
      <c r="R215" s="928"/>
      <c r="S215" s="929"/>
      <c r="T215" s="1144" t="s">
        <v>908</v>
      </c>
      <c r="U215" s="1145"/>
      <c r="V215" s="1145"/>
      <c r="W215" s="1146"/>
      <c r="X215" s="880"/>
    </row>
    <row r="216" spans="1:24" ht="13.5" thickBot="1">
      <c r="A216" s="885"/>
      <c r="B216" s="868" t="s">
        <v>59</v>
      </c>
      <c r="C216" s="9" t="s">
        <v>285</v>
      </c>
      <c r="D216" s="942">
        <f>'LF-Enugu'!D72:G72</f>
        <v>1.5</v>
      </c>
      <c r="E216" s="943"/>
      <c r="F216" s="943"/>
      <c r="G216" s="944"/>
      <c r="H216" s="942">
        <f>'LF-Enugu'!H72:K72</f>
        <v>1</v>
      </c>
      <c r="I216" s="943"/>
      <c r="J216" s="943"/>
      <c r="K216" s="944"/>
      <c r="L216" s="942">
        <f>'LF-Enugu'!L72:O72</f>
        <v>2</v>
      </c>
      <c r="M216" s="943"/>
      <c r="N216" s="943"/>
      <c r="O216" s="944"/>
      <c r="P216" s="963">
        <f>'LF-Enugu'!P72:S72</f>
        <v>2.5</v>
      </c>
      <c r="Q216" s="964"/>
      <c r="R216" s="964"/>
      <c r="S216" s="965"/>
      <c r="T216" s="1159">
        <f>'Enugu Workings'!$V$46</f>
        <v>2.8333333333333339</v>
      </c>
      <c r="U216" s="1160">
        <f>'Enugu Workings'!$V$10</f>
        <v>3.3333333333333339</v>
      </c>
      <c r="V216" s="1160">
        <f>'Enugu Workings'!$V$10</f>
        <v>3.3333333333333339</v>
      </c>
      <c r="W216" s="1161">
        <f>'Enugu Workings'!$V$10</f>
        <v>3.3333333333333339</v>
      </c>
      <c r="X216" s="880"/>
    </row>
    <row r="217" spans="1:24" ht="13.5" thickBot="1">
      <c r="A217" s="885"/>
      <c r="B217" s="885"/>
      <c r="C217" s="9" t="s">
        <v>286</v>
      </c>
      <c r="D217" s="942">
        <f>'LF-Jigawa'!D72:G72</f>
        <v>1</v>
      </c>
      <c r="E217" s="943"/>
      <c r="F217" s="943"/>
      <c r="G217" s="944"/>
      <c r="H217" s="942">
        <f>'LF-Jigawa'!H72:K72</f>
        <v>1.5</v>
      </c>
      <c r="I217" s="943"/>
      <c r="J217" s="943"/>
      <c r="K217" s="944"/>
      <c r="L217" s="942">
        <f>'LF-Jigawa'!L72:O72</f>
        <v>2.5</v>
      </c>
      <c r="M217" s="943"/>
      <c r="N217" s="943"/>
      <c r="O217" s="944"/>
      <c r="P217" s="963">
        <f>'LF-Jigawa'!P72:S72</f>
        <v>3.5</v>
      </c>
      <c r="Q217" s="964"/>
      <c r="R217" s="964"/>
      <c r="S217" s="965"/>
      <c r="T217" s="1159">
        <f>'Jigawa Workings'!$V$46</f>
        <v>3.8333333333333339</v>
      </c>
      <c r="U217" s="1160">
        <f>'Jigawa Workings'!$V$10</f>
        <v>14.666666666666664</v>
      </c>
      <c r="V217" s="1160">
        <f>'Jigawa Workings'!$V$10</f>
        <v>14.666666666666664</v>
      </c>
      <c r="W217" s="1161">
        <f>'Jigawa Workings'!$V$10</f>
        <v>14.666666666666664</v>
      </c>
      <c r="X217" s="880"/>
    </row>
    <row r="218" spans="1:24" ht="13.5" thickBot="1">
      <c r="A218" s="885"/>
      <c r="B218" s="885"/>
      <c r="C218" s="9" t="s">
        <v>287</v>
      </c>
      <c r="D218" s="942">
        <f>'LF-Kaduna'!D72:G72</f>
        <v>1</v>
      </c>
      <c r="E218" s="943"/>
      <c r="F218" s="943"/>
      <c r="G218" s="944"/>
      <c r="H218" s="942">
        <f>'LF-Kaduna'!H72:K72</f>
        <v>2</v>
      </c>
      <c r="I218" s="943"/>
      <c r="J218" s="943"/>
      <c r="K218" s="944"/>
      <c r="L218" s="942">
        <f>'LF-Kaduna'!L72:O72</f>
        <v>3</v>
      </c>
      <c r="M218" s="943"/>
      <c r="N218" s="943"/>
      <c r="O218" s="944"/>
      <c r="P218" s="963">
        <f>'LF-Kaduna'!P72:S72</f>
        <v>3</v>
      </c>
      <c r="Q218" s="964"/>
      <c r="R218" s="964"/>
      <c r="S218" s="965"/>
      <c r="T218" s="1159">
        <f>'Kaduna Workings'!$V$46</f>
        <v>3.1999999999999993</v>
      </c>
      <c r="U218" s="1160">
        <f>'Kaduna Workings'!$V$10</f>
        <v>13.666666666666664</v>
      </c>
      <c r="V218" s="1160">
        <f>'Kaduna Workings'!$V$10</f>
        <v>13.666666666666664</v>
      </c>
      <c r="W218" s="1161">
        <f>'Kaduna Workings'!$V$10</f>
        <v>13.666666666666664</v>
      </c>
      <c r="X218" s="880"/>
    </row>
    <row r="219" spans="1:24" ht="13.5" thickBot="1">
      <c r="A219" s="885"/>
      <c r="B219" s="885"/>
      <c r="C219" s="9" t="s">
        <v>288</v>
      </c>
      <c r="D219" s="942">
        <f>'LF-Kano'!D72:G72</f>
        <v>1</v>
      </c>
      <c r="E219" s="943"/>
      <c r="F219" s="943"/>
      <c r="G219" s="944"/>
      <c r="H219" s="942">
        <f>'LF-Kano'!H72:K72</f>
        <v>1.5</v>
      </c>
      <c r="I219" s="943"/>
      <c r="J219" s="943"/>
      <c r="K219" s="944"/>
      <c r="L219" s="942">
        <f>'LF-Kano'!L72:O72</f>
        <v>3</v>
      </c>
      <c r="M219" s="943"/>
      <c r="N219" s="943"/>
      <c r="O219" s="944"/>
      <c r="P219" s="963">
        <f>'LF-Kano'!P72:S72</f>
        <v>4</v>
      </c>
      <c r="Q219" s="964"/>
      <c r="R219" s="964"/>
      <c r="S219" s="965"/>
      <c r="T219" s="1159">
        <f>'Kano Workings'!$V$46</f>
        <v>4.3333333333333321</v>
      </c>
      <c r="U219" s="1160">
        <f>'Kano Workings'!$V$10</f>
        <v>5.666666666666667</v>
      </c>
      <c r="V219" s="1160">
        <f>'Kano Workings'!$V$10</f>
        <v>5.666666666666667</v>
      </c>
      <c r="W219" s="1161">
        <f>'Kano Workings'!$V$10</f>
        <v>5.666666666666667</v>
      </c>
      <c r="X219" s="880"/>
    </row>
    <row r="220" spans="1:24" ht="13.5" thickBot="1">
      <c r="A220" s="885"/>
      <c r="B220" s="885"/>
      <c r="C220" s="9" t="s">
        <v>289</v>
      </c>
      <c r="D220" s="942">
        <f>'LF-Lagos'!D72:G72</f>
        <v>1</v>
      </c>
      <c r="E220" s="943"/>
      <c r="F220" s="943"/>
      <c r="G220" s="944"/>
      <c r="H220" s="942">
        <f>'LF-Lagos'!H72:K72</f>
        <v>2</v>
      </c>
      <c r="I220" s="943"/>
      <c r="J220" s="943"/>
      <c r="K220" s="944"/>
      <c r="L220" s="942">
        <f>'LF-Lagos'!L72:O72</f>
        <v>3</v>
      </c>
      <c r="M220" s="943"/>
      <c r="N220" s="943"/>
      <c r="O220" s="944"/>
      <c r="P220" s="963">
        <f>'LF-Lagos'!P72:S72</f>
        <v>3.5</v>
      </c>
      <c r="Q220" s="964"/>
      <c r="R220" s="964"/>
      <c r="S220" s="965"/>
      <c r="T220" s="1159">
        <f>'Lagos Workings'!$V$46</f>
        <v>4.1666666666666661</v>
      </c>
      <c r="U220" s="1160">
        <f>'Lagos Workings'!$V$10</f>
        <v>15</v>
      </c>
      <c r="V220" s="1160">
        <f>'Lagos Workings'!$V$10</f>
        <v>15</v>
      </c>
      <c r="W220" s="1161">
        <f>'Lagos Workings'!$V$10</f>
        <v>15</v>
      </c>
      <c r="X220" s="880"/>
    </row>
    <row r="221" spans="1:24" ht="13.5" thickBot="1">
      <c r="A221" s="885"/>
      <c r="B221" s="885"/>
      <c r="C221" s="9" t="s">
        <v>292</v>
      </c>
      <c r="D221" s="966" t="s">
        <v>255</v>
      </c>
      <c r="E221" s="967"/>
      <c r="F221" s="967"/>
      <c r="G221" s="968"/>
      <c r="H221" s="942">
        <f>'LF-Zamfara'!H72:K72</f>
        <v>1</v>
      </c>
      <c r="I221" s="943"/>
      <c r="J221" s="943"/>
      <c r="K221" s="944"/>
      <c r="L221" s="942">
        <f>'LF-Zamfara'!L72:O72</f>
        <v>1</v>
      </c>
      <c r="M221" s="943"/>
      <c r="N221" s="943"/>
      <c r="O221" s="944"/>
      <c r="P221" s="963">
        <f>'LF-Zamfara'!P72:S72</f>
        <v>1.5</v>
      </c>
      <c r="Q221" s="964"/>
      <c r="R221" s="964"/>
      <c r="S221" s="965"/>
      <c r="T221" s="1159">
        <f>'Zamfara Workings'!$V$46</f>
        <v>1.7666666666666666</v>
      </c>
      <c r="U221" s="1160">
        <f>'Zamfara Workings'!$V$10</f>
        <v>3.3333333333333339</v>
      </c>
      <c r="V221" s="1160">
        <f>'Zamfara Workings'!$V$10</f>
        <v>3.3333333333333339</v>
      </c>
      <c r="W221" s="1161">
        <f>'Zamfara Workings'!$V$10</f>
        <v>3.3333333333333339</v>
      </c>
      <c r="X221" s="880"/>
    </row>
    <row r="222" spans="1:24" ht="13.5" thickBot="1">
      <c r="A222" s="885"/>
      <c r="B222" s="885"/>
      <c r="C222" s="9" t="s">
        <v>293</v>
      </c>
      <c r="D222" s="966" t="s">
        <v>255</v>
      </c>
      <c r="E222" s="967"/>
      <c r="F222" s="967"/>
      <c r="G222" s="968"/>
      <c r="H222" s="942">
        <f>'LF-Katsina'!H72:K72</f>
        <v>1</v>
      </c>
      <c r="I222" s="943"/>
      <c r="J222" s="943"/>
      <c r="K222" s="944"/>
      <c r="L222" s="942">
        <f>'LF-Katsina'!L72:O72</f>
        <v>1</v>
      </c>
      <c r="M222" s="943"/>
      <c r="N222" s="943"/>
      <c r="O222" s="944"/>
      <c r="P222" s="963">
        <f>'LF-Katsina'!P72:S72</f>
        <v>1.3</v>
      </c>
      <c r="Q222" s="964"/>
      <c r="R222" s="964"/>
      <c r="S222" s="965"/>
      <c r="T222" s="1159">
        <f>'Katsina Workings'!$V$46</f>
        <v>2.2999999999999998</v>
      </c>
      <c r="U222" s="1160">
        <f>'Katsina Workings'!$V$10</f>
        <v>6</v>
      </c>
      <c r="V222" s="1160">
        <f>'Katsina Workings'!$V$10</f>
        <v>6</v>
      </c>
      <c r="W222" s="1161">
        <f>'Katsina Workings'!$V$10</f>
        <v>6</v>
      </c>
      <c r="X222" s="880"/>
    </row>
    <row r="223" spans="1:24" ht="13.5" thickBot="1">
      <c r="A223" s="885"/>
      <c r="B223" s="885"/>
      <c r="C223" s="9" t="s">
        <v>294</v>
      </c>
      <c r="D223" s="966" t="s">
        <v>255</v>
      </c>
      <c r="E223" s="967"/>
      <c r="F223" s="967"/>
      <c r="G223" s="968"/>
      <c r="H223" s="942">
        <f>'LF-Yobe'!H72:K72</f>
        <v>1</v>
      </c>
      <c r="I223" s="943"/>
      <c r="J223" s="943"/>
      <c r="K223" s="944"/>
      <c r="L223" s="942">
        <f>'LF-Yobe'!L72:O72</f>
        <v>1</v>
      </c>
      <c r="M223" s="943"/>
      <c r="N223" s="943"/>
      <c r="O223" s="944"/>
      <c r="P223" s="942">
        <f>'LF-Yobe'!P72:S72</f>
        <v>1.4</v>
      </c>
      <c r="Q223" s="943"/>
      <c r="R223" s="943"/>
      <c r="S223" s="944"/>
      <c r="T223" s="1159">
        <f>'Yobe Workings'!$V$46</f>
        <v>2.1333333333333333</v>
      </c>
      <c r="U223" s="1160">
        <f>'Yobe Workings'!$V$10</f>
        <v>2.6666666666666661</v>
      </c>
      <c r="V223" s="1160">
        <f>'Yobe Workings'!$V$10</f>
        <v>2.6666666666666661</v>
      </c>
      <c r="W223" s="1161">
        <f>'Yobe Workings'!$V$10</f>
        <v>2.6666666666666661</v>
      </c>
      <c r="X223" s="880"/>
    </row>
    <row r="224" spans="1:24" ht="12.95" customHeight="1" thickBot="1">
      <c r="A224" s="885"/>
      <c r="B224" s="885"/>
      <c r="C224" s="9" t="s">
        <v>290</v>
      </c>
      <c r="D224" s="957"/>
      <c r="E224" s="958"/>
      <c r="F224" s="958"/>
      <c r="G224" s="959"/>
      <c r="H224" s="1162"/>
      <c r="I224" s="1163"/>
      <c r="J224" s="1163"/>
      <c r="K224" s="1164"/>
      <c r="L224" s="1057" t="s">
        <v>909</v>
      </c>
      <c r="M224" s="1058"/>
      <c r="N224" s="1058"/>
      <c r="O224" s="1059"/>
      <c r="P224" s="942">
        <f>'LF-Anambra'!P72:S72</f>
        <v>2</v>
      </c>
      <c r="Q224" s="943"/>
      <c r="R224" s="943"/>
      <c r="S224" s="944"/>
      <c r="T224" s="960">
        <f t="shared" ref="T224:T225" si="29">P224</f>
        <v>2</v>
      </c>
      <c r="U224" s="961">
        <f t="shared" ref="U224:U225" si="30">Q224</f>
        <v>0</v>
      </c>
      <c r="V224" s="961">
        <f t="shared" ref="V224:V225" si="31">R224</f>
        <v>0</v>
      </c>
      <c r="W224" s="962">
        <f t="shared" ref="W224:W225" si="32">S224</f>
        <v>0</v>
      </c>
      <c r="X224" s="880"/>
    </row>
    <row r="225" spans="1:24" ht="12.95" customHeight="1" thickBot="1">
      <c r="A225" s="885"/>
      <c r="B225" s="885"/>
      <c r="C225" s="9" t="s">
        <v>291</v>
      </c>
      <c r="D225" s="957"/>
      <c r="E225" s="958"/>
      <c r="F225" s="958"/>
      <c r="G225" s="959"/>
      <c r="H225" s="1162"/>
      <c r="I225" s="1163"/>
      <c r="J225" s="1163"/>
      <c r="K225" s="1164"/>
      <c r="L225" s="1057" t="s">
        <v>909</v>
      </c>
      <c r="M225" s="1058"/>
      <c r="N225" s="1058"/>
      <c r="O225" s="1059"/>
      <c r="P225" s="942">
        <f>'LF-Niger'!P72:S72</f>
        <v>1</v>
      </c>
      <c r="Q225" s="943"/>
      <c r="R225" s="943"/>
      <c r="S225" s="944"/>
      <c r="T225" s="960">
        <f t="shared" si="29"/>
        <v>1</v>
      </c>
      <c r="U225" s="961">
        <f t="shared" si="30"/>
        <v>0</v>
      </c>
      <c r="V225" s="961">
        <f t="shared" si="31"/>
        <v>0</v>
      </c>
      <c r="W225" s="962">
        <f t="shared" si="32"/>
        <v>0</v>
      </c>
      <c r="X225" s="880"/>
    </row>
    <row r="226" spans="1:24" ht="13.5" thickBot="1">
      <c r="A226" s="885"/>
      <c r="B226" s="885"/>
      <c r="C226" s="100" t="s">
        <v>295</v>
      </c>
      <c r="D226" s="1017"/>
      <c r="E226" s="1018"/>
      <c r="F226" s="1018"/>
      <c r="G226" s="1019"/>
      <c r="H226" s="1147">
        <f>'LF-Enugu'!H73:K73</f>
        <v>0</v>
      </c>
      <c r="I226" s="1148"/>
      <c r="J226" s="1148"/>
      <c r="K226" s="1149"/>
      <c r="L226" s="1147">
        <f>'LF-Enugu'!L73:O73</f>
        <v>2.2999999999999998</v>
      </c>
      <c r="M226" s="1148"/>
      <c r="N226" s="1148"/>
      <c r="O226" s="1149"/>
      <c r="P226" s="1147">
        <f>'LF-Enugu'!P73:S73</f>
        <v>3.1</v>
      </c>
      <c r="Q226" s="1148"/>
      <c r="R226" s="1148"/>
      <c r="S226" s="1149"/>
      <c r="T226" s="1147">
        <f>'Enugu Workings'!$V$47</f>
        <v>3.93</v>
      </c>
      <c r="U226" s="1148">
        <f>'Enugu Workings'!$V$11</f>
        <v>2</v>
      </c>
      <c r="V226" s="1148">
        <f>'Enugu Workings'!$V$11</f>
        <v>2</v>
      </c>
      <c r="W226" s="1149">
        <f>'Enugu Workings'!$V$11</f>
        <v>2</v>
      </c>
      <c r="X226" s="880"/>
    </row>
    <row r="227" spans="1:24" ht="13.5" thickBot="1">
      <c r="A227" s="885"/>
      <c r="B227" s="885"/>
      <c r="C227" s="100" t="s">
        <v>296</v>
      </c>
      <c r="D227" s="1017"/>
      <c r="E227" s="1018"/>
      <c r="F227" s="1018"/>
      <c r="G227" s="1019"/>
      <c r="H227" s="1147">
        <f>'LF-Jigawa'!H73:K73</f>
        <v>3</v>
      </c>
      <c r="I227" s="1148"/>
      <c r="J227" s="1148"/>
      <c r="K227" s="1149"/>
      <c r="L227" s="1147">
        <f>'LF-Jigawa'!L73:O73</f>
        <v>2.7</v>
      </c>
      <c r="M227" s="1148"/>
      <c r="N227" s="1148"/>
      <c r="O227" s="1149"/>
      <c r="P227" s="1147">
        <f>'LF-Jigawa'!P73:S73</f>
        <v>4.0999999999999996</v>
      </c>
      <c r="Q227" s="1148"/>
      <c r="R227" s="1148"/>
      <c r="S227" s="1149"/>
      <c r="T227" s="1147">
        <f>'Jigawa Workings'!$V$47</f>
        <v>4.4000000000000004</v>
      </c>
      <c r="U227" s="1148">
        <f>'Jigawa Workings'!$V$11</f>
        <v>12</v>
      </c>
      <c r="V227" s="1148">
        <f>'Jigawa Workings'!$V$11</f>
        <v>12</v>
      </c>
      <c r="W227" s="1149">
        <f>'Jigawa Workings'!$V$11</f>
        <v>12</v>
      </c>
      <c r="X227" s="880"/>
    </row>
    <row r="228" spans="1:24" ht="13.5" thickBot="1">
      <c r="A228" s="885"/>
      <c r="B228" s="885"/>
      <c r="C228" s="100" t="s">
        <v>297</v>
      </c>
      <c r="D228" s="1017"/>
      <c r="E228" s="1018"/>
      <c r="F228" s="1018"/>
      <c r="G228" s="1019"/>
      <c r="H228" s="1147">
        <f>'LF-Kaduna'!H73:K73</f>
        <v>1.4</v>
      </c>
      <c r="I228" s="1148"/>
      <c r="J228" s="1148"/>
      <c r="K228" s="1149"/>
      <c r="L228" s="1147">
        <f>'LF-Kaduna'!L73:O73</f>
        <v>2.9</v>
      </c>
      <c r="M228" s="1148"/>
      <c r="N228" s="1148"/>
      <c r="O228" s="1149"/>
      <c r="P228" s="1147">
        <f>'LF-Kaduna'!P73:S73</f>
        <v>3</v>
      </c>
      <c r="Q228" s="1148"/>
      <c r="R228" s="1148"/>
      <c r="S228" s="1149"/>
      <c r="T228" s="1147">
        <f>'Kaduna Workings'!$V$47</f>
        <v>4</v>
      </c>
      <c r="U228" s="1148">
        <f>'Kaduna Workings'!$V$11</f>
        <v>2</v>
      </c>
      <c r="V228" s="1148">
        <f>'Kaduna Workings'!$V$11</f>
        <v>2</v>
      </c>
      <c r="W228" s="1149">
        <f>'Kaduna Workings'!$V$11</f>
        <v>2</v>
      </c>
      <c r="X228" s="880"/>
    </row>
    <row r="229" spans="1:24" ht="13.5" thickBot="1">
      <c r="A229" s="885"/>
      <c r="B229" s="885"/>
      <c r="C229" s="100" t="s">
        <v>298</v>
      </c>
      <c r="D229" s="1017"/>
      <c r="E229" s="1018"/>
      <c r="F229" s="1018"/>
      <c r="G229" s="1019"/>
      <c r="H229" s="1147">
        <f>'LF-Kano'!H73:K73</f>
        <v>1</v>
      </c>
      <c r="I229" s="1148"/>
      <c r="J229" s="1148"/>
      <c r="K229" s="1149"/>
      <c r="L229" s="1147">
        <f>'LF-Kano'!L73:O73</f>
        <v>3.4</v>
      </c>
      <c r="M229" s="1148"/>
      <c r="N229" s="1148"/>
      <c r="O229" s="1149"/>
      <c r="P229" s="1147">
        <f>'LF-Kano'!P73:S73</f>
        <v>3.9</v>
      </c>
      <c r="Q229" s="1148"/>
      <c r="R229" s="1148"/>
      <c r="S229" s="1149"/>
      <c r="T229" s="1147">
        <f>'Kano Workings'!$V$47</f>
        <v>3.8</v>
      </c>
      <c r="U229" s="1148">
        <f>'Kano Workings'!$V$11</f>
        <v>6</v>
      </c>
      <c r="V229" s="1148">
        <f>'Kano Workings'!$V$11</f>
        <v>6</v>
      </c>
      <c r="W229" s="1149">
        <f>'Kano Workings'!$V$11</f>
        <v>6</v>
      </c>
      <c r="X229" s="880"/>
    </row>
    <row r="230" spans="1:24" ht="13.5" thickBot="1">
      <c r="A230" s="885"/>
      <c r="B230" s="885"/>
      <c r="C230" s="100" t="s">
        <v>299</v>
      </c>
      <c r="D230" s="1017"/>
      <c r="E230" s="1018"/>
      <c r="F230" s="1018"/>
      <c r="G230" s="1019"/>
      <c r="H230" s="1147">
        <f>'LF-Lagos'!H73:K73</f>
        <v>2</v>
      </c>
      <c r="I230" s="1148"/>
      <c r="J230" s="1148"/>
      <c r="K230" s="1149"/>
      <c r="L230" s="1147">
        <f>'LF-Lagos'!L73:O73</f>
        <v>2.9</v>
      </c>
      <c r="M230" s="1148"/>
      <c r="N230" s="1148"/>
      <c r="O230" s="1149"/>
      <c r="P230" s="1147">
        <f>'LF-Lagos'!P73:S73</f>
        <v>2.7</v>
      </c>
      <c r="Q230" s="1148"/>
      <c r="R230" s="1148"/>
      <c r="S230" s="1149"/>
      <c r="T230" s="1147">
        <f>'Lagos Workings'!$V$47</f>
        <v>4.0999999999999996</v>
      </c>
      <c r="U230" s="1148">
        <f>'Lagos Workings'!$V$11</f>
        <v>15</v>
      </c>
      <c r="V230" s="1148">
        <f>'Lagos Workings'!$V$11</f>
        <v>15</v>
      </c>
      <c r="W230" s="1149">
        <f>'Lagos Workings'!$V$11</f>
        <v>15</v>
      </c>
      <c r="X230" s="880"/>
    </row>
    <row r="231" spans="1:24" ht="24.75" thickBot="1">
      <c r="A231" s="885"/>
      <c r="B231" s="885"/>
      <c r="C231" s="100" t="s">
        <v>300</v>
      </c>
      <c r="D231" s="1017"/>
      <c r="E231" s="1018"/>
      <c r="F231" s="1018"/>
      <c r="G231" s="1019"/>
      <c r="H231" s="1017"/>
      <c r="I231" s="1018"/>
      <c r="J231" s="1018"/>
      <c r="K231" s="1019"/>
      <c r="L231" s="1147">
        <f>'LF-Zamfara'!L73:O73</f>
        <v>1</v>
      </c>
      <c r="M231" s="1148"/>
      <c r="N231" s="1148"/>
      <c r="O231" s="1149"/>
      <c r="P231" s="1147">
        <f>'LF-Zamfara'!P73:S73</f>
        <v>1.2</v>
      </c>
      <c r="Q231" s="1148"/>
      <c r="R231" s="1148"/>
      <c r="S231" s="1149"/>
      <c r="T231" s="1147">
        <f>'Zamfara Workings'!$V$47</f>
        <v>2.2000000000000002</v>
      </c>
      <c r="U231" s="1148">
        <f>'Zamfara Workings'!$V$11</f>
        <v>1</v>
      </c>
      <c r="V231" s="1148">
        <f>'Zamfara Workings'!$V$11</f>
        <v>1</v>
      </c>
      <c r="W231" s="1149">
        <f>'Zamfara Workings'!$V$11</f>
        <v>1</v>
      </c>
      <c r="X231" s="880"/>
    </row>
    <row r="232" spans="1:24" ht="13.5" thickBot="1">
      <c r="A232" s="885"/>
      <c r="B232" s="885"/>
      <c r="C232" s="100" t="s">
        <v>301</v>
      </c>
      <c r="D232" s="1017"/>
      <c r="E232" s="1018"/>
      <c r="F232" s="1018"/>
      <c r="G232" s="1019"/>
      <c r="H232" s="1017"/>
      <c r="I232" s="1018"/>
      <c r="J232" s="1018"/>
      <c r="K232" s="1019"/>
      <c r="L232" s="1147">
        <f>'LF-Katsina'!L73:O73</f>
        <v>1</v>
      </c>
      <c r="M232" s="1148"/>
      <c r="N232" s="1148"/>
      <c r="O232" s="1149"/>
      <c r="P232" s="1147">
        <f>'LF-Katsina'!P73:S73</f>
        <v>1</v>
      </c>
      <c r="Q232" s="1148"/>
      <c r="R232" s="1148"/>
      <c r="S232" s="1149"/>
      <c r="T232" s="1147">
        <f>'Katsina Workings'!$V$47</f>
        <v>3.3</v>
      </c>
      <c r="U232" s="1148">
        <f>'Katsina Workings'!$V$11</f>
        <v>6</v>
      </c>
      <c r="V232" s="1148">
        <f>'Katsina Workings'!$V$11</f>
        <v>6</v>
      </c>
      <c r="W232" s="1149">
        <f>'Katsina Workings'!$V$11</f>
        <v>6</v>
      </c>
      <c r="X232" s="880"/>
    </row>
    <row r="233" spans="1:24" ht="13.5" thickBot="1">
      <c r="A233" s="885"/>
      <c r="B233" s="885"/>
      <c r="C233" s="100" t="s">
        <v>302</v>
      </c>
      <c r="D233" s="1017"/>
      <c r="E233" s="1018"/>
      <c r="F233" s="1018"/>
      <c r="G233" s="1019"/>
      <c r="H233" s="1017"/>
      <c r="I233" s="1018"/>
      <c r="J233" s="1018"/>
      <c r="K233" s="1019"/>
      <c r="L233" s="1147">
        <f>'LF-Yobe'!L73:O73</f>
        <v>1</v>
      </c>
      <c r="M233" s="1148"/>
      <c r="N233" s="1148"/>
      <c r="O233" s="1149"/>
      <c r="P233" s="1147">
        <f>'LF-Yobe'!P73:S73</f>
        <v>1.6</v>
      </c>
      <c r="Q233" s="1148"/>
      <c r="R233" s="1148"/>
      <c r="S233" s="1149"/>
      <c r="T233" s="1147">
        <f>'Yobe Workings'!$V$47</f>
        <v>3.3</v>
      </c>
      <c r="U233" s="1148">
        <f>'Yobe Workings'!$V$11</f>
        <v>10</v>
      </c>
      <c r="V233" s="1148">
        <f>'Yobe Workings'!$V$11</f>
        <v>10</v>
      </c>
      <c r="W233" s="1149">
        <f>'Yobe Workings'!$V$11</f>
        <v>10</v>
      </c>
      <c r="X233" s="880"/>
    </row>
    <row r="234" spans="1:24" ht="24.75" thickBot="1">
      <c r="A234" s="885"/>
      <c r="B234" s="885"/>
      <c r="C234" s="100" t="s">
        <v>303</v>
      </c>
      <c r="D234" s="1017"/>
      <c r="E234" s="1018"/>
      <c r="F234" s="1018"/>
      <c r="G234" s="1019"/>
      <c r="H234" s="1017"/>
      <c r="I234" s="1018"/>
      <c r="J234" s="1018"/>
      <c r="K234" s="1019"/>
      <c r="L234" s="1017"/>
      <c r="M234" s="1018"/>
      <c r="N234" s="1018"/>
      <c r="O234" s="1019"/>
      <c r="P234" s="1054"/>
      <c r="Q234" s="1055"/>
      <c r="R234" s="1055"/>
      <c r="S234" s="1056"/>
      <c r="T234" s="1147">
        <f t="shared" ref="T234:W234" si="33">T224</f>
        <v>2</v>
      </c>
      <c r="U234" s="1148">
        <f t="shared" si="33"/>
        <v>0</v>
      </c>
      <c r="V234" s="1148">
        <f t="shared" si="33"/>
        <v>0</v>
      </c>
      <c r="W234" s="1149">
        <f t="shared" si="33"/>
        <v>0</v>
      </c>
      <c r="X234" s="880"/>
    </row>
    <row r="235" spans="1:24" ht="13.5" thickBot="1">
      <c r="A235" s="885"/>
      <c r="B235" s="885"/>
      <c r="C235" s="100" t="s">
        <v>304</v>
      </c>
      <c r="D235" s="1017"/>
      <c r="E235" s="1018"/>
      <c r="F235" s="1018"/>
      <c r="G235" s="1019"/>
      <c r="H235" s="1017"/>
      <c r="I235" s="1018"/>
      <c r="J235" s="1018"/>
      <c r="K235" s="1019"/>
      <c r="L235" s="1017"/>
      <c r="M235" s="1018"/>
      <c r="N235" s="1018"/>
      <c r="O235" s="1019"/>
      <c r="P235" s="1054"/>
      <c r="Q235" s="1055"/>
      <c r="R235" s="1055"/>
      <c r="S235" s="1056"/>
      <c r="T235" s="1147">
        <f t="shared" ref="T235:W235" si="34">T225</f>
        <v>1</v>
      </c>
      <c r="U235" s="1148">
        <f t="shared" si="34"/>
        <v>0</v>
      </c>
      <c r="V235" s="1148">
        <f t="shared" si="34"/>
        <v>0</v>
      </c>
      <c r="W235" s="1149">
        <f t="shared" si="34"/>
        <v>0</v>
      </c>
      <c r="X235" s="880"/>
    </row>
    <row r="236" spans="1:24" ht="13.5" thickBot="1">
      <c r="A236" s="885"/>
      <c r="B236" s="885"/>
      <c r="C236" s="922" t="s">
        <v>413</v>
      </c>
      <c r="D236" s="927" t="s">
        <v>4</v>
      </c>
      <c r="E236" s="928"/>
      <c r="F236" s="928"/>
      <c r="G236" s="928"/>
      <c r="H236" s="928"/>
      <c r="I236" s="928"/>
      <c r="J236" s="928"/>
      <c r="K236" s="928"/>
      <c r="L236" s="928"/>
      <c r="M236" s="928"/>
      <c r="N236" s="928"/>
      <c r="O236" s="928"/>
      <c r="P236" s="928"/>
      <c r="Q236" s="928"/>
      <c r="R236" s="928"/>
      <c r="S236" s="928"/>
      <c r="T236" s="928"/>
      <c r="U236" s="928"/>
      <c r="V236" s="928"/>
      <c r="W236" s="929"/>
      <c r="X236" s="880"/>
    </row>
    <row r="237" spans="1:24" ht="13.5" thickBot="1">
      <c r="A237" s="885"/>
      <c r="B237" s="869"/>
      <c r="C237" s="923"/>
      <c r="D237" s="930" t="s">
        <v>118</v>
      </c>
      <c r="E237" s="931"/>
      <c r="F237" s="931"/>
      <c r="G237" s="931"/>
      <c r="H237" s="931"/>
      <c r="I237" s="931"/>
      <c r="J237" s="931"/>
      <c r="K237" s="931"/>
      <c r="L237" s="931"/>
      <c r="M237" s="931"/>
      <c r="N237" s="931"/>
      <c r="O237" s="931"/>
      <c r="P237" s="931"/>
      <c r="Q237" s="931"/>
      <c r="R237" s="931"/>
      <c r="S237" s="931"/>
      <c r="T237" s="931"/>
      <c r="U237" s="931"/>
      <c r="V237" s="931"/>
      <c r="W237" s="932"/>
      <c r="X237" s="880"/>
    </row>
    <row r="238" spans="1:24" ht="12.95" customHeight="1" thickBot="1">
      <c r="A238" s="885"/>
      <c r="B238" s="11" t="s">
        <v>18</v>
      </c>
      <c r="C238" s="12"/>
      <c r="D238" s="927" t="s">
        <v>78</v>
      </c>
      <c r="E238" s="928"/>
      <c r="F238" s="928"/>
      <c r="G238" s="929"/>
      <c r="H238" s="927" t="s">
        <v>77</v>
      </c>
      <c r="I238" s="928"/>
      <c r="J238" s="928"/>
      <c r="K238" s="929"/>
      <c r="L238" s="927" t="s">
        <v>81</v>
      </c>
      <c r="M238" s="928"/>
      <c r="N238" s="928"/>
      <c r="O238" s="929"/>
      <c r="P238" s="927" t="s">
        <v>254</v>
      </c>
      <c r="Q238" s="928"/>
      <c r="R238" s="928"/>
      <c r="S238" s="929"/>
      <c r="T238" s="1144" t="s">
        <v>908</v>
      </c>
      <c r="U238" s="1145"/>
      <c r="V238" s="1145"/>
      <c r="W238" s="1146"/>
      <c r="X238" s="880"/>
    </row>
    <row r="239" spans="1:24" ht="13.5" thickBot="1">
      <c r="A239" s="885"/>
      <c r="B239" s="868" t="s">
        <v>60</v>
      </c>
      <c r="C239" s="9" t="s">
        <v>285</v>
      </c>
      <c r="D239" s="924">
        <f>'LF-Enugu'!D77:G77</f>
        <v>0</v>
      </c>
      <c r="E239" s="925"/>
      <c r="F239" s="925"/>
      <c r="G239" s="926"/>
      <c r="H239" s="924">
        <f>'LF-Enugu'!H77:K77</f>
        <v>0</v>
      </c>
      <c r="I239" s="925"/>
      <c r="J239" s="925"/>
      <c r="K239" s="926"/>
      <c r="L239" s="924">
        <f>'LF-Enugu'!L77:O77</f>
        <v>1</v>
      </c>
      <c r="M239" s="925"/>
      <c r="N239" s="925"/>
      <c r="O239" s="926"/>
      <c r="P239" s="924">
        <f>'LF-Enugu'!P77:S77</f>
        <v>2</v>
      </c>
      <c r="Q239" s="925"/>
      <c r="R239" s="925"/>
      <c r="S239" s="926"/>
      <c r="T239" s="1159">
        <f>'Enugu Workings'!$V$49</f>
        <v>2.6666666666666661</v>
      </c>
      <c r="U239" s="1160">
        <f>'Enugu Workings'!$V$10</f>
        <v>3.3333333333333339</v>
      </c>
      <c r="V239" s="1160">
        <f>'Enugu Workings'!$V$10</f>
        <v>3.3333333333333339</v>
      </c>
      <c r="W239" s="1161">
        <f>'Enugu Workings'!$V$10</f>
        <v>3.3333333333333339</v>
      </c>
      <c r="X239" s="880"/>
    </row>
    <row r="240" spans="1:24" ht="13.5" thickBot="1">
      <c r="A240" s="885"/>
      <c r="B240" s="885"/>
      <c r="C240" s="9" t="s">
        <v>286</v>
      </c>
      <c r="D240" s="924">
        <f>'LF-Jigawa'!D77:G77</f>
        <v>0</v>
      </c>
      <c r="E240" s="925"/>
      <c r="F240" s="925"/>
      <c r="G240" s="926"/>
      <c r="H240" s="924">
        <f>'LF-Jigawa'!H77:K77</f>
        <v>5</v>
      </c>
      <c r="I240" s="925"/>
      <c r="J240" s="925"/>
      <c r="K240" s="926"/>
      <c r="L240" s="924">
        <f>'LF-Jigawa'!L77:O77</f>
        <v>7</v>
      </c>
      <c r="M240" s="925"/>
      <c r="N240" s="925"/>
      <c r="O240" s="926"/>
      <c r="P240" s="939">
        <f>'LF-Jigawa'!P77:S77</f>
        <v>4</v>
      </c>
      <c r="Q240" s="940"/>
      <c r="R240" s="940"/>
      <c r="S240" s="941"/>
      <c r="T240" s="1159">
        <f>'Jigawa Workings'!$V$49</f>
        <v>5.3333333333333321</v>
      </c>
      <c r="U240" s="1160">
        <f>'Jigawa Workings'!$V$10</f>
        <v>14.666666666666664</v>
      </c>
      <c r="V240" s="1160">
        <f>'Jigawa Workings'!$V$10</f>
        <v>14.666666666666664</v>
      </c>
      <c r="W240" s="1161">
        <f>'Jigawa Workings'!$V$10</f>
        <v>14.666666666666664</v>
      </c>
      <c r="X240" s="880"/>
    </row>
    <row r="241" spans="1:24" ht="13.5" thickBot="1">
      <c r="A241" s="885"/>
      <c r="B241" s="885"/>
      <c r="C241" s="9" t="s">
        <v>287</v>
      </c>
      <c r="D241" s="924">
        <f>'LF-Kaduna'!D77:G77</f>
        <v>0</v>
      </c>
      <c r="E241" s="925"/>
      <c r="F241" s="925"/>
      <c r="G241" s="926"/>
      <c r="H241" s="924">
        <f>'LF-Kaduna'!H77:K77</f>
        <v>2</v>
      </c>
      <c r="I241" s="925"/>
      <c r="J241" s="925"/>
      <c r="K241" s="926"/>
      <c r="L241" s="924">
        <f>'LF-Kaduna'!L77:O77</f>
        <v>7</v>
      </c>
      <c r="M241" s="925"/>
      <c r="N241" s="925"/>
      <c r="O241" s="926"/>
      <c r="P241" s="939">
        <f>'LF-Kaduna'!P77:S77</f>
        <v>5</v>
      </c>
      <c r="Q241" s="940"/>
      <c r="R241" s="940"/>
      <c r="S241" s="941"/>
      <c r="T241" s="1159">
        <f>'Kaduna Workings'!$V$49</f>
        <v>6.3333333333333321</v>
      </c>
      <c r="U241" s="1160">
        <f>'Kaduna Workings'!$V$10</f>
        <v>13.666666666666664</v>
      </c>
      <c r="V241" s="1160">
        <f>'Kaduna Workings'!$V$10</f>
        <v>13.666666666666664</v>
      </c>
      <c r="W241" s="1161">
        <f>'Kaduna Workings'!$V$10</f>
        <v>13.666666666666664</v>
      </c>
      <c r="X241" s="880"/>
    </row>
    <row r="242" spans="1:24" ht="13.5" thickBot="1">
      <c r="A242" s="885"/>
      <c r="B242" s="885"/>
      <c r="C242" s="9" t="s">
        <v>288</v>
      </c>
      <c r="D242" s="924">
        <f>'LF-Kano'!D77:G77</f>
        <v>1</v>
      </c>
      <c r="E242" s="925"/>
      <c r="F242" s="925"/>
      <c r="G242" s="926"/>
      <c r="H242" s="924">
        <f>'LF-Kano'!H77:K77</f>
        <v>1</v>
      </c>
      <c r="I242" s="925"/>
      <c r="J242" s="925"/>
      <c r="K242" s="926"/>
      <c r="L242" s="924">
        <f>'LF-Kano'!L77:O77</f>
        <v>1</v>
      </c>
      <c r="M242" s="925"/>
      <c r="N242" s="925"/>
      <c r="O242" s="926"/>
      <c r="P242" s="939">
        <f>'LF-Kano'!P77:S77</f>
        <v>2</v>
      </c>
      <c r="Q242" s="940"/>
      <c r="R242" s="940"/>
      <c r="S242" s="941"/>
      <c r="T242" s="1159">
        <f>'Kano Workings'!$V$49</f>
        <v>3.3333333333333339</v>
      </c>
      <c r="U242" s="1160">
        <f>'Kano Workings'!$V$10</f>
        <v>5.666666666666667</v>
      </c>
      <c r="V242" s="1160">
        <f>'Kano Workings'!$V$10</f>
        <v>5.666666666666667</v>
      </c>
      <c r="W242" s="1161">
        <f>'Kano Workings'!$V$10</f>
        <v>5.666666666666667</v>
      </c>
      <c r="X242" s="880"/>
    </row>
    <row r="243" spans="1:24" ht="13.5" thickBot="1">
      <c r="A243" s="885"/>
      <c r="B243" s="885"/>
      <c r="C243" s="9" t="s">
        <v>289</v>
      </c>
      <c r="D243" s="924">
        <f>'LF-Lagos'!D77:G77</f>
        <v>0</v>
      </c>
      <c r="E243" s="925"/>
      <c r="F243" s="925"/>
      <c r="G243" s="926"/>
      <c r="H243" s="924">
        <f>'LF-Lagos'!H77:K77</f>
        <v>0</v>
      </c>
      <c r="I243" s="925"/>
      <c r="J243" s="925"/>
      <c r="K243" s="926"/>
      <c r="L243" s="924">
        <f>'LF-Lagos'!L77:O77</f>
        <v>1</v>
      </c>
      <c r="M243" s="925"/>
      <c r="N243" s="925"/>
      <c r="O243" s="926"/>
      <c r="P243" s="939">
        <f>'LF-Lagos'!P77:S77</f>
        <v>3</v>
      </c>
      <c r="Q243" s="940"/>
      <c r="R243" s="940"/>
      <c r="S243" s="941"/>
      <c r="T243" s="1159">
        <f>'Lagos Workings'!$V$49</f>
        <v>4.333333333333333</v>
      </c>
      <c r="U243" s="1160">
        <f>'Lagos Workings'!$V$10</f>
        <v>15</v>
      </c>
      <c r="V243" s="1160">
        <f>'Lagos Workings'!$V$10</f>
        <v>15</v>
      </c>
      <c r="W243" s="1161">
        <f>'Lagos Workings'!$V$10</f>
        <v>15</v>
      </c>
      <c r="X243" s="880"/>
    </row>
    <row r="244" spans="1:24" ht="13.5" thickBot="1">
      <c r="A244" s="885"/>
      <c r="B244" s="885"/>
      <c r="C244" s="9" t="s">
        <v>292</v>
      </c>
      <c r="D244" s="966" t="s">
        <v>255</v>
      </c>
      <c r="E244" s="967"/>
      <c r="F244" s="967"/>
      <c r="G244" s="968"/>
      <c r="H244" s="924">
        <f>'LF-Zamfara'!H77:K77</f>
        <v>0</v>
      </c>
      <c r="I244" s="925"/>
      <c r="J244" s="925"/>
      <c r="K244" s="926"/>
      <c r="L244" s="924">
        <f>'LF-Zamfara'!L77:O77</f>
        <v>0</v>
      </c>
      <c r="M244" s="925"/>
      <c r="N244" s="925"/>
      <c r="O244" s="926"/>
      <c r="P244" s="939">
        <f>'LF-Zamfara'!P77:S77</f>
        <v>1</v>
      </c>
      <c r="Q244" s="940"/>
      <c r="R244" s="940"/>
      <c r="S244" s="941"/>
      <c r="T244" s="1159">
        <f>'Zamfara Workings'!$V$49</f>
        <v>1.7666666666666666</v>
      </c>
      <c r="U244" s="1160">
        <f>'Zamfara Workings'!$V$10</f>
        <v>3.3333333333333339</v>
      </c>
      <c r="V244" s="1160">
        <f>'Zamfara Workings'!$V$10</f>
        <v>3.3333333333333339</v>
      </c>
      <c r="W244" s="1161">
        <f>'Zamfara Workings'!$V$10</f>
        <v>3.3333333333333339</v>
      </c>
      <c r="X244" s="880"/>
    </row>
    <row r="245" spans="1:24" ht="13.5" thickBot="1">
      <c r="A245" s="885"/>
      <c r="B245" s="885"/>
      <c r="C245" s="9" t="s">
        <v>293</v>
      </c>
      <c r="D245" s="966" t="s">
        <v>255</v>
      </c>
      <c r="E245" s="967"/>
      <c r="F245" s="967"/>
      <c r="G245" s="968"/>
      <c r="H245" s="924">
        <f>'LF-Katsina'!H77:K77</f>
        <v>0</v>
      </c>
      <c r="I245" s="925"/>
      <c r="J245" s="925"/>
      <c r="K245" s="926"/>
      <c r="L245" s="924">
        <f>'LF-Katsina'!L77:O77</f>
        <v>0</v>
      </c>
      <c r="M245" s="925"/>
      <c r="N245" s="925"/>
      <c r="O245" s="926"/>
      <c r="P245" s="939">
        <f>'LF-Katsina'!P77:S77</f>
        <v>0</v>
      </c>
      <c r="Q245" s="940"/>
      <c r="R245" s="940"/>
      <c r="S245" s="941"/>
      <c r="T245" s="1159">
        <f>'Katsina Workings'!$V$49</f>
        <v>1.3333333333333333</v>
      </c>
      <c r="U245" s="1160">
        <f>'Katsina Workings'!$V$10</f>
        <v>6</v>
      </c>
      <c r="V245" s="1160">
        <f>'Katsina Workings'!$V$10</f>
        <v>6</v>
      </c>
      <c r="W245" s="1161">
        <f>'Katsina Workings'!$V$10</f>
        <v>6</v>
      </c>
      <c r="X245" s="880"/>
    </row>
    <row r="246" spans="1:24" ht="13.5" thickBot="1">
      <c r="A246" s="885"/>
      <c r="B246" s="885"/>
      <c r="C246" s="9" t="s">
        <v>294</v>
      </c>
      <c r="D246" s="966" t="s">
        <v>255</v>
      </c>
      <c r="E246" s="967"/>
      <c r="F246" s="967"/>
      <c r="G246" s="968"/>
      <c r="H246" s="924">
        <f>'LF-Yobe'!H77:K77</f>
        <v>0</v>
      </c>
      <c r="I246" s="925"/>
      <c r="J246" s="925"/>
      <c r="K246" s="926"/>
      <c r="L246" s="924">
        <f>'LF-Yobe'!L77:O77</f>
        <v>0</v>
      </c>
      <c r="M246" s="925"/>
      <c r="N246" s="925"/>
      <c r="O246" s="926"/>
      <c r="P246" s="939">
        <f>'LF-Yobe'!P77:S77</f>
        <v>2</v>
      </c>
      <c r="Q246" s="940"/>
      <c r="R246" s="940"/>
      <c r="S246" s="941"/>
      <c r="T246" s="1159">
        <f>'Yobe Workings'!$V$49</f>
        <v>3.3333333333333339</v>
      </c>
      <c r="U246" s="1160">
        <f>'Yobe Workings'!$V$10</f>
        <v>2.6666666666666661</v>
      </c>
      <c r="V246" s="1160">
        <f>'Yobe Workings'!$V$10</f>
        <v>2.6666666666666661</v>
      </c>
      <c r="W246" s="1161">
        <f>'Yobe Workings'!$V$10</f>
        <v>2.6666666666666661</v>
      </c>
      <c r="X246" s="880"/>
    </row>
    <row r="247" spans="1:24" ht="12.95" customHeight="1" thickBot="1">
      <c r="A247" s="885"/>
      <c r="B247" s="885"/>
      <c r="C247" s="9" t="s">
        <v>290</v>
      </c>
      <c r="D247" s="933"/>
      <c r="E247" s="934"/>
      <c r="F247" s="934"/>
      <c r="G247" s="935"/>
      <c r="H247" s="1162"/>
      <c r="I247" s="1163"/>
      <c r="J247" s="1163"/>
      <c r="K247" s="1164"/>
      <c r="L247" s="1057" t="s">
        <v>909</v>
      </c>
      <c r="M247" s="1058"/>
      <c r="N247" s="1058"/>
      <c r="O247" s="1059"/>
      <c r="P247" s="924">
        <f>'LF-Anambra'!P77:S77</f>
        <v>0</v>
      </c>
      <c r="Q247" s="925"/>
      <c r="R247" s="925"/>
      <c r="S247" s="926"/>
      <c r="T247" s="960">
        <f t="shared" ref="T247:T248" si="35">P247</f>
        <v>0</v>
      </c>
      <c r="U247" s="961">
        <f t="shared" ref="U247:U248" si="36">Q247</f>
        <v>0</v>
      </c>
      <c r="V247" s="961">
        <f t="shared" ref="V247:V248" si="37">R247</f>
        <v>0</v>
      </c>
      <c r="W247" s="962">
        <f t="shared" ref="W247:W248" si="38">S247</f>
        <v>0</v>
      </c>
      <c r="X247" s="880"/>
    </row>
    <row r="248" spans="1:24" ht="12.95" customHeight="1" thickBot="1">
      <c r="A248" s="885"/>
      <c r="B248" s="885"/>
      <c r="C248" s="9" t="s">
        <v>291</v>
      </c>
      <c r="D248" s="933"/>
      <c r="E248" s="934"/>
      <c r="F248" s="934"/>
      <c r="G248" s="935"/>
      <c r="H248" s="1162"/>
      <c r="I248" s="1163"/>
      <c r="J248" s="1163"/>
      <c r="K248" s="1164"/>
      <c r="L248" s="1057" t="s">
        <v>909</v>
      </c>
      <c r="M248" s="1058"/>
      <c r="N248" s="1058"/>
      <c r="O248" s="1059"/>
      <c r="P248" s="924">
        <f>'LF-Niger'!P77:S77</f>
        <v>0</v>
      </c>
      <c r="Q248" s="925"/>
      <c r="R248" s="925"/>
      <c r="S248" s="926"/>
      <c r="T248" s="960">
        <f t="shared" si="35"/>
        <v>0</v>
      </c>
      <c r="U248" s="961">
        <f t="shared" si="36"/>
        <v>0</v>
      </c>
      <c r="V248" s="961">
        <f t="shared" si="37"/>
        <v>0</v>
      </c>
      <c r="W248" s="962">
        <f t="shared" si="38"/>
        <v>0</v>
      </c>
      <c r="X248" s="880"/>
    </row>
    <row r="249" spans="1:24" ht="13.5" thickBot="1">
      <c r="A249" s="885"/>
      <c r="B249" s="885"/>
      <c r="C249" s="100" t="s">
        <v>295</v>
      </c>
      <c r="D249" s="1011" t="s">
        <v>172</v>
      </c>
      <c r="E249" s="1012"/>
      <c r="F249" s="1012"/>
      <c r="G249" s="1013"/>
      <c r="H249" s="1011"/>
      <c r="I249" s="1012"/>
      <c r="J249" s="1012"/>
      <c r="K249" s="1013"/>
      <c r="L249" s="1140">
        <f>'LF-Enugu'!L78:O78</f>
        <v>1</v>
      </c>
      <c r="M249" s="1156"/>
      <c r="N249" s="1156"/>
      <c r="O249" s="1141"/>
      <c r="P249" s="1140">
        <f>'LF-Enugu'!P78:S78</f>
        <v>6</v>
      </c>
      <c r="Q249" s="1156"/>
      <c r="R249" s="1156"/>
      <c r="S249" s="1141"/>
      <c r="T249" s="1147">
        <f>'Enugu Workings'!$V$50</f>
        <v>15</v>
      </c>
      <c r="U249" s="1148">
        <f>'Enugu Workings'!$V$11</f>
        <v>2</v>
      </c>
      <c r="V249" s="1148">
        <f>'Enugu Workings'!$V$11</f>
        <v>2</v>
      </c>
      <c r="W249" s="1149">
        <f>'Enugu Workings'!$V$11</f>
        <v>2</v>
      </c>
      <c r="X249" s="880"/>
    </row>
    <row r="250" spans="1:24" ht="13.5" thickBot="1">
      <c r="A250" s="885"/>
      <c r="B250" s="885"/>
      <c r="C250" s="100" t="s">
        <v>296</v>
      </c>
      <c r="D250" s="1011" t="s">
        <v>417</v>
      </c>
      <c r="E250" s="1012"/>
      <c r="F250" s="1012"/>
      <c r="G250" s="1013"/>
      <c r="H250" s="1054"/>
      <c r="I250" s="1055"/>
      <c r="J250" s="1055"/>
      <c r="K250" s="1056"/>
      <c r="L250" s="1140">
        <f>'LF-Jigawa'!L78:O78</f>
        <v>2</v>
      </c>
      <c r="M250" s="1156"/>
      <c r="N250" s="1156"/>
      <c r="O250" s="1141"/>
      <c r="P250" s="1140">
        <f>'LF-Jigawa'!P78:S78</f>
        <v>7</v>
      </c>
      <c r="Q250" s="1156"/>
      <c r="R250" s="1156"/>
      <c r="S250" s="1141"/>
      <c r="T250" s="1147">
        <f>'Jigawa Workings'!$V$50</f>
        <v>8</v>
      </c>
      <c r="U250" s="1148">
        <f>'Jigawa Workings'!$V$11</f>
        <v>12</v>
      </c>
      <c r="V250" s="1148">
        <f>'Jigawa Workings'!$V$11</f>
        <v>12</v>
      </c>
      <c r="W250" s="1149">
        <f>'Jigawa Workings'!$V$11</f>
        <v>12</v>
      </c>
      <c r="X250" s="880"/>
    </row>
    <row r="251" spans="1:24" ht="13.5" thickBot="1">
      <c r="A251" s="885"/>
      <c r="B251" s="885"/>
      <c r="C251" s="100" t="s">
        <v>297</v>
      </c>
      <c r="D251" s="1054"/>
      <c r="E251" s="1055"/>
      <c r="F251" s="1055"/>
      <c r="G251" s="1056"/>
      <c r="H251" s="1054"/>
      <c r="I251" s="1055"/>
      <c r="J251" s="1055"/>
      <c r="K251" s="1056"/>
      <c r="L251" s="1140">
        <f>'LF-Kaduna'!L78:O78</f>
        <v>4</v>
      </c>
      <c r="M251" s="1156"/>
      <c r="N251" s="1156"/>
      <c r="O251" s="1141"/>
      <c r="P251" s="1140">
        <f>'LF-Kaduna'!P78:S78</f>
        <v>7</v>
      </c>
      <c r="Q251" s="1156"/>
      <c r="R251" s="1156"/>
      <c r="S251" s="1141"/>
      <c r="T251" s="1147">
        <f>'Kaduna Workings'!$V$50</f>
        <v>9</v>
      </c>
      <c r="U251" s="1148">
        <f>'Kaduna Workings'!$V$11</f>
        <v>2</v>
      </c>
      <c r="V251" s="1148">
        <f>'Kaduna Workings'!$V$11</f>
        <v>2</v>
      </c>
      <c r="W251" s="1149">
        <f>'Kaduna Workings'!$V$11</f>
        <v>2</v>
      </c>
      <c r="X251" s="880"/>
    </row>
    <row r="252" spans="1:24" ht="13.5" thickBot="1">
      <c r="A252" s="885"/>
      <c r="B252" s="885"/>
      <c r="C252" s="100" t="s">
        <v>298</v>
      </c>
      <c r="D252" s="1054"/>
      <c r="E252" s="1055"/>
      <c r="F252" s="1055"/>
      <c r="G252" s="1056"/>
      <c r="H252" s="1054"/>
      <c r="I252" s="1055"/>
      <c r="J252" s="1055"/>
      <c r="K252" s="1056"/>
      <c r="L252" s="1140">
        <f>'LF-Kano'!L78:O78</f>
        <v>3</v>
      </c>
      <c r="M252" s="1156"/>
      <c r="N252" s="1156"/>
      <c r="O252" s="1141"/>
      <c r="P252" s="1140">
        <f>'LF-Kano'!P78:S78</f>
        <v>8</v>
      </c>
      <c r="Q252" s="1156"/>
      <c r="R252" s="1156"/>
      <c r="S252" s="1141"/>
      <c r="T252" s="1147">
        <f>'Kano Workings'!$V$50</f>
        <v>10</v>
      </c>
      <c r="U252" s="1148">
        <f>'Kano Workings'!$V$11</f>
        <v>6</v>
      </c>
      <c r="V252" s="1148">
        <f>'Kano Workings'!$V$11</f>
        <v>6</v>
      </c>
      <c r="W252" s="1149">
        <f>'Kano Workings'!$V$11</f>
        <v>6</v>
      </c>
      <c r="X252" s="880"/>
    </row>
    <row r="253" spans="1:24" ht="13.5" thickBot="1">
      <c r="A253" s="885"/>
      <c r="B253" s="885"/>
      <c r="C253" s="100" t="s">
        <v>299</v>
      </c>
      <c r="D253" s="1054"/>
      <c r="E253" s="1055"/>
      <c r="F253" s="1055"/>
      <c r="G253" s="1056"/>
      <c r="H253" s="1054"/>
      <c r="I253" s="1055"/>
      <c r="J253" s="1055"/>
      <c r="K253" s="1056"/>
      <c r="L253" s="1140">
        <f>'LF-Lagos'!L78:O78</f>
        <v>1</v>
      </c>
      <c r="M253" s="1156"/>
      <c r="N253" s="1156"/>
      <c r="O253" s="1141"/>
      <c r="P253" s="1140">
        <f>'LF-Lagos'!P78:S78</f>
        <v>6</v>
      </c>
      <c r="Q253" s="1156"/>
      <c r="R253" s="1156"/>
      <c r="S253" s="1141"/>
      <c r="T253" s="1147">
        <f>'Lagos Workings'!$V$50</f>
        <v>10</v>
      </c>
      <c r="U253" s="1148">
        <f>'Lagos Workings'!$V$11</f>
        <v>15</v>
      </c>
      <c r="V253" s="1148">
        <f>'Lagos Workings'!$V$11</f>
        <v>15</v>
      </c>
      <c r="W253" s="1149">
        <f>'Lagos Workings'!$V$11</f>
        <v>15</v>
      </c>
      <c r="X253" s="880"/>
    </row>
    <row r="254" spans="1:24" ht="24.75" thickBot="1">
      <c r="A254" s="885"/>
      <c r="B254" s="885"/>
      <c r="C254" s="100" t="s">
        <v>300</v>
      </c>
      <c r="D254" s="1054"/>
      <c r="E254" s="1055"/>
      <c r="F254" s="1055"/>
      <c r="G254" s="1056"/>
      <c r="H254" s="1054"/>
      <c r="I254" s="1055"/>
      <c r="J254" s="1055"/>
      <c r="K254" s="1056"/>
      <c r="L254" s="1140">
        <f>'LF-Zamfara'!L78:O78</f>
        <v>0</v>
      </c>
      <c r="M254" s="1156"/>
      <c r="N254" s="1156"/>
      <c r="O254" s="1141"/>
      <c r="P254" s="1140">
        <f>'LF-Zamfara'!P78:S78</f>
        <v>1</v>
      </c>
      <c r="Q254" s="1156"/>
      <c r="R254" s="1156"/>
      <c r="S254" s="1141"/>
      <c r="T254" s="1147">
        <f>'Zamfara Workings'!$V$50</f>
        <v>3</v>
      </c>
      <c r="U254" s="1148">
        <f>'Zamfara Workings'!$V$11</f>
        <v>1</v>
      </c>
      <c r="V254" s="1148">
        <f>'Zamfara Workings'!$V$11</f>
        <v>1</v>
      </c>
      <c r="W254" s="1149">
        <f>'Zamfara Workings'!$V$11</f>
        <v>1</v>
      </c>
      <c r="X254" s="880"/>
    </row>
    <row r="255" spans="1:24" ht="13.5" thickBot="1">
      <c r="A255" s="885"/>
      <c r="B255" s="885"/>
      <c r="C255" s="100" t="s">
        <v>301</v>
      </c>
      <c r="D255" s="1054"/>
      <c r="E255" s="1055"/>
      <c r="F255" s="1055"/>
      <c r="G255" s="1056"/>
      <c r="H255" s="1054"/>
      <c r="I255" s="1055"/>
      <c r="J255" s="1055"/>
      <c r="K255" s="1056"/>
      <c r="L255" s="1140">
        <f>'LF-Katsina'!L78:O78</f>
        <v>0</v>
      </c>
      <c r="M255" s="1156"/>
      <c r="N255" s="1156"/>
      <c r="O255" s="1141"/>
      <c r="P255" s="1140">
        <f>'LF-Katsina'!P78:S78</f>
        <v>0</v>
      </c>
      <c r="Q255" s="1156"/>
      <c r="R255" s="1156"/>
      <c r="S255" s="1141"/>
      <c r="T255" s="1147">
        <f>'Katsina Workings'!$V$50</f>
        <v>0</v>
      </c>
      <c r="U255" s="1148">
        <f>'Katsina Workings'!$V$11</f>
        <v>6</v>
      </c>
      <c r="V255" s="1148">
        <f>'Katsina Workings'!$V$11</f>
        <v>6</v>
      </c>
      <c r="W255" s="1149">
        <f>'Katsina Workings'!$V$11</f>
        <v>6</v>
      </c>
      <c r="X255" s="880"/>
    </row>
    <row r="256" spans="1:24" ht="13.5" thickBot="1">
      <c r="A256" s="885"/>
      <c r="B256" s="885"/>
      <c r="C256" s="100" t="s">
        <v>302</v>
      </c>
      <c r="D256" s="1054"/>
      <c r="E256" s="1055"/>
      <c r="F256" s="1055"/>
      <c r="G256" s="1056"/>
      <c r="H256" s="1054"/>
      <c r="I256" s="1055"/>
      <c r="J256" s="1055"/>
      <c r="K256" s="1056"/>
      <c r="L256" s="1140">
        <f>'LF-Yobe'!L78:O78</f>
        <v>0</v>
      </c>
      <c r="M256" s="1156"/>
      <c r="N256" s="1156"/>
      <c r="O256" s="1141"/>
      <c r="P256" s="1140">
        <f>'LF-Yobe'!P78:S78</f>
        <v>3</v>
      </c>
      <c r="Q256" s="1156"/>
      <c r="R256" s="1156"/>
      <c r="S256" s="1141"/>
      <c r="T256" s="1147">
        <f>'Yobe Workings'!$V$50</f>
        <v>6</v>
      </c>
      <c r="U256" s="1148">
        <f>'Yobe Workings'!$V$11</f>
        <v>10</v>
      </c>
      <c r="V256" s="1148">
        <f>'Yobe Workings'!$V$11</f>
        <v>10</v>
      </c>
      <c r="W256" s="1149">
        <f>'Yobe Workings'!$V$11</f>
        <v>10</v>
      </c>
      <c r="X256" s="880"/>
    </row>
    <row r="257" spans="1:24" ht="24.75" thickBot="1">
      <c r="A257" s="885"/>
      <c r="B257" s="885"/>
      <c r="C257" s="100" t="s">
        <v>303</v>
      </c>
      <c r="D257" s="1054"/>
      <c r="E257" s="1055"/>
      <c r="F257" s="1055"/>
      <c r="G257" s="1056"/>
      <c r="H257" s="1054"/>
      <c r="I257" s="1055"/>
      <c r="J257" s="1055"/>
      <c r="K257" s="1056"/>
      <c r="L257" s="1054"/>
      <c r="M257" s="1055"/>
      <c r="N257" s="1055"/>
      <c r="O257" s="1056"/>
      <c r="P257" s="1054"/>
      <c r="Q257" s="1055"/>
      <c r="R257" s="1055"/>
      <c r="S257" s="1056"/>
      <c r="T257" s="1147">
        <f t="shared" ref="T257:W257" si="39">T247</f>
        <v>0</v>
      </c>
      <c r="U257" s="1148">
        <f t="shared" si="39"/>
        <v>0</v>
      </c>
      <c r="V257" s="1148">
        <f t="shared" si="39"/>
        <v>0</v>
      </c>
      <c r="W257" s="1149">
        <f t="shared" si="39"/>
        <v>0</v>
      </c>
      <c r="X257" s="880"/>
    </row>
    <row r="258" spans="1:24" ht="13.5" thickBot="1">
      <c r="A258" s="885"/>
      <c r="B258" s="885"/>
      <c r="C258" s="100" t="s">
        <v>304</v>
      </c>
      <c r="D258" s="1054"/>
      <c r="E258" s="1055"/>
      <c r="F258" s="1055"/>
      <c r="G258" s="1056"/>
      <c r="H258" s="1054"/>
      <c r="I258" s="1055"/>
      <c r="J258" s="1055"/>
      <c r="K258" s="1056"/>
      <c r="L258" s="1054"/>
      <c r="M258" s="1055"/>
      <c r="N258" s="1055"/>
      <c r="O258" s="1056"/>
      <c r="P258" s="1054"/>
      <c r="Q258" s="1055"/>
      <c r="R258" s="1055"/>
      <c r="S258" s="1056"/>
      <c r="T258" s="1147">
        <f t="shared" ref="T258:W258" si="40">T248</f>
        <v>0</v>
      </c>
      <c r="U258" s="1148">
        <f t="shared" si="40"/>
        <v>0</v>
      </c>
      <c r="V258" s="1148">
        <f t="shared" si="40"/>
        <v>0</v>
      </c>
      <c r="W258" s="1149">
        <f t="shared" si="40"/>
        <v>0</v>
      </c>
      <c r="X258" s="880"/>
    </row>
    <row r="259" spans="1:24" ht="13.5" thickBot="1">
      <c r="A259" s="513" t="s">
        <v>13</v>
      </c>
      <c r="B259" s="885"/>
      <c r="C259" s="922" t="s">
        <v>413</v>
      </c>
      <c r="D259" s="927" t="s">
        <v>4</v>
      </c>
      <c r="E259" s="928"/>
      <c r="F259" s="928"/>
      <c r="G259" s="928"/>
      <c r="H259" s="928"/>
      <c r="I259" s="928"/>
      <c r="J259" s="928"/>
      <c r="K259" s="928"/>
      <c r="L259" s="928"/>
      <c r="M259" s="928"/>
      <c r="N259" s="928"/>
      <c r="O259" s="928"/>
      <c r="P259" s="928"/>
      <c r="Q259" s="928"/>
      <c r="R259" s="928"/>
      <c r="S259" s="928"/>
      <c r="T259" s="928"/>
      <c r="U259" s="928"/>
      <c r="V259" s="928"/>
      <c r="W259" s="929"/>
      <c r="X259" s="550" t="s">
        <v>14</v>
      </c>
    </row>
    <row r="260" spans="1:24" ht="13.5" thickBot="1">
      <c r="A260" s="25" t="s">
        <v>75</v>
      </c>
      <c r="B260" s="869"/>
      <c r="C260" s="923"/>
      <c r="D260" s="930" t="s">
        <v>119</v>
      </c>
      <c r="E260" s="931"/>
      <c r="F260" s="931"/>
      <c r="G260" s="931"/>
      <c r="H260" s="931"/>
      <c r="I260" s="931"/>
      <c r="J260" s="931"/>
      <c r="K260" s="931"/>
      <c r="L260" s="931"/>
      <c r="M260" s="931"/>
      <c r="N260" s="931"/>
      <c r="O260" s="931"/>
      <c r="P260" s="931"/>
      <c r="Q260" s="931"/>
      <c r="R260" s="931"/>
      <c r="S260" s="931"/>
      <c r="T260" s="931"/>
      <c r="U260" s="931"/>
      <c r="V260" s="931"/>
      <c r="W260" s="932"/>
      <c r="X260" s="18" t="s">
        <v>92</v>
      </c>
    </row>
    <row r="261" spans="1:24" ht="13.5" thickBot="1">
      <c r="A261" s="906" t="s">
        <v>7</v>
      </c>
      <c r="B261" s="908" t="s">
        <v>173</v>
      </c>
      <c r="C261" s="909"/>
      <c r="D261" s="908" t="s">
        <v>8</v>
      </c>
      <c r="E261" s="918"/>
      <c r="F261" s="918"/>
      <c r="G261" s="909"/>
      <c r="H261" s="908" t="s">
        <v>88</v>
      </c>
      <c r="I261" s="918"/>
      <c r="J261" s="918"/>
      <c r="K261" s="909"/>
      <c r="L261" s="908" t="s">
        <v>89</v>
      </c>
      <c r="M261" s="918"/>
      <c r="N261" s="918"/>
      <c r="O261" s="909"/>
      <c r="P261" s="908" t="s">
        <v>9</v>
      </c>
      <c r="Q261" s="918"/>
      <c r="R261" s="918"/>
      <c r="S261" s="909"/>
      <c r="T261" s="908" t="s">
        <v>174</v>
      </c>
      <c r="U261" s="918"/>
      <c r="V261" s="918"/>
      <c r="W261" s="918"/>
      <c r="X261" s="909"/>
    </row>
    <row r="262" spans="1:24" ht="13.5" thickBot="1">
      <c r="A262" s="907"/>
      <c r="B262" s="919">
        <v>6200000</v>
      </c>
      <c r="C262" s="920"/>
      <c r="D262" s="919">
        <v>900000</v>
      </c>
      <c r="E262" s="921"/>
      <c r="F262" s="921"/>
      <c r="G262" s="920"/>
      <c r="H262" s="919">
        <v>1800000</v>
      </c>
      <c r="I262" s="921"/>
      <c r="J262" s="921"/>
      <c r="K262" s="920"/>
      <c r="L262" s="919">
        <v>3300000</v>
      </c>
      <c r="M262" s="921"/>
      <c r="N262" s="921"/>
      <c r="O262" s="920"/>
      <c r="P262" s="919">
        <f>SUM(B262:O262)</f>
        <v>12200000</v>
      </c>
      <c r="Q262" s="921"/>
      <c r="R262" s="921"/>
      <c r="S262" s="920"/>
      <c r="T262" s="942">
        <f>B262/P262%</f>
        <v>50.819672131147541</v>
      </c>
      <c r="U262" s="943"/>
      <c r="V262" s="943"/>
      <c r="W262" s="943"/>
      <c r="X262" s="944"/>
    </row>
    <row r="263" spans="1:24" ht="13.5" thickBot="1">
      <c r="A263" s="906" t="s">
        <v>10</v>
      </c>
      <c r="B263" s="908" t="s">
        <v>175</v>
      </c>
      <c r="C263" s="909"/>
      <c r="D263" s="910"/>
      <c r="E263" s="911"/>
      <c r="F263" s="911"/>
      <c r="G263" s="911"/>
      <c r="H263" s="911"/>
      <c r="I263" s="911"/>
      <c r="J263" s="911"/>
      <c r="K263" s="911"/>
      <c r="L263" s="911"/>
      <c r="M263" s="911"/>
      <c r="N263" s="911"/>
      <c r="O263" s="911"/>
      <c r="P263" s="911"/>
      <c r="Q263" s="911"/>
      <c r="R263" s="911"/>
      <c r="S263" s="911"/>
      <c r="T263" s="911"/>
      <c r="U263" s="911"/>
      <c r="V263" s="911"/>
      <c r="W263" s="911"/>
      <c r="X263" s="912"/>
    </row>
    <row r="264" spans="1:24" ht="13.5" thickBot="1">
      <c r="A264" s="907"/>
      <c r="B264" s="916"/>
      <c r="C264" s="917"/>
      <c r="D264" s="913"/>
      <c r="E264" s="914"/>
      <c r="F264" s="914"/>
      <c r="G264" s="914"/>
      <c r="H264" s="914"/>
      <c r="I264" s="914"/>
      <c r="J264" s="914"/>
      <c r="K264" s="914"/>
      <c r="L264" s="914"/>
      <c r="M264" s="914"/>
      <c r="N264" s="914"/>
      <c r="O264" s="914"/>
      <c r="P264" s="914"/>
      <c r="Q264" s="914"/>
      <c r="R264" s="914"/>
      <c r="S264" s="914"/>
      <c r="T264" s="914"/>
      <c r="U264" s="914"/>
      <c r="V264" s="914"/>
      <c r="W264" s="914"/>
      <c r="X264" s="915"/>
    </row>
    <row r="265" spans="1:24">
      <c r="A265" s="5"/>
      <c r="B265" s="5"/>
      <c r="C265" s="6"/>
      <c r="D265" s="5"/>
      <c r="E265" s="5"/>
      <c r="F265" s="5"/>
      <c r="G265" s="5"/>
      <c r="H265" s="5"/>
      <c r="I265" s="5"/>
      <c r="J265" s="5"/>
      <c r="K265" s="5"/>
      <c r="L265" s="5"/>
      <c r="M265" s="5"/>
      <c r="N265" s="5"/>
      <c r="O265" s="5"/>
      <c r="P265" s="5"/>
      <c r="Q265" s="5"/>
      <c r="R265" s="5"/>
      <c r="S265" s="5"/>
      <c r="T265" s="5"/>
      <c r="U265" s="5"/>
      <c r="V265" s="5"/>
      <c r="W265" s="5"/>
      <c r="X265" s="5"/>
    </row>
    <row r="266" spans="1:24" ht="13.5" thickBot="1">
      <c r="A266" s="5"/>
      <c r="B266" s="5"/>
      <c r="C266" s="6"/>
      <c r="D266" s="5"/>
      <c r="E266" s="5"/>
      <c r="F266" s="5"/>
      <c r="G266" s="5"/>
      <c r="H266" s="5"/>
      <c r="I266" s="5"/>
      <c r="J266" s="5"/>
      <c r="K266" s="5"/>
      <c r="L266" s="5"/>
      <c r="M266" s="5"/>
      <c r="N266" s="5"/>
      <c r="O266" s="5"/>
      <c r="P266" s="5"/>
      <c r="Q266" s="5"/>
      <c r="R266" s="5"/>
      <c r="S266" s="5"/>
      <c r="T266" s="5"/>
      <c r="U266" s="5"/>
      <c r="V266" s="5"/>
      <c r="W266" s="5"/>
      <c r="X266" s="5"/>
    </row>
    <row r="267" spans="1:24" ht="12.95" customHeight="1" thickBot="1">
      <c r="A267" s="506" t="s">
        <v>15</v>
      </c>
      <c r="B267" s="514" t="s">
        <v>19</v>
      </c>
      <c r="C267" s="8"/>
      <c r="D267" s="927" t="s">
        <v>78</v>
      </c>
      <c r="E267" s="928"/>
      <c r="F267" s="928"/>
      <c r="G267" s="929"/>
      <c r="H267" s="927" t="s">
        <v>77</v>
      </c>
      <c r="I267" s="928"/>
      <c r="J267" s="928"/>
      <c r="K267" s="929"/>
      <c r="L267" s="927" t="s">
        <v>81</v>
      </c>
      <c r="M267" s="928"/>
      <c r="N267" s="928"/>
      <c r="O267" s="929"/>
      <c r="P267" s="927" t="s">
        <v>254</v>
      </c>
      <c r="Q267" s="928"/>
      <c r="R267" s="928"/>
      <c r="S267" s="929"/>
      <c r="T267" s="1144" t="s">
        <v>908</v>
      </c>
      <c r="U267" s="1145"/>
      <c r="V267" s="1145"/>
      <c r="W267" s="1146"/>
      <c r="X267" s="16" t="s">
        <v>6</v>
      </c>
    </row>
    <row r="268" spans="1:24" ht="13.5" thickBot="1">
      <c r="A268" s="868" t="s">
        <v>61</v>
      </c>
      <c r="B268" s="868" t="s">
        <v>62</v>
      </c>
      <c r="C268" s="9" t="s">
        <v>285</v>
      </c>
      <c r="D268" s="942">
        <f>'LF-Enugu'!D88:G88</f>
        <v>1</v>
      </c>
      <c r="E268" s="943"/>
      <c r="F268" s="943"/>
      <c r="G268" s="944"/>
      <c r="H268" s="942">
        <f>'LF-Enugu'!H88:K88</f>
        <v>1.5</v>
      </c>
      <c r="I268" s="943"/>
      <c r="J268" s="943"/>
      <c r="K268" s="944"/>
      <c r="L268" s="942">
        <f>'LF-Enugu'!L88:O88</f>
        <v>2</v>
      </c>
      <c r="M268" s="943"/>
      <c r="N268" s="943"/>
      <c r="O268" s="944"/>
      <c r="P268" s="963">
        <f>'LF-Enugu'!P88:S88</f>
        <v>2.7</v>
      </c>
      <c r="Q268" s="964"/>
      <c r="R268" s="964"/>
      <c r="S268" s="965"/>
      <c r="T268" s="1159">
        <f>'Enugu Workings'!$V$52</f>
        <v>2.8999999999999995</v>
      </c>
      <c r="U268" s="1160">
        <f>'Enugu Workings'!$V$10</f>
        <v>3.3333333333333339</v>
      </c>
      <c r="V268" s="1160">
        <f>'Enugu Workings'!$V$10</f>
        <v>3.3333333333333339</v>
      </c>
      <c r="W268" s="1161">
        <f>'Enugu Workings'!$V$10</f>
        <v>3.3333333333333339</v>
      </c>
      <c r="X268" s="879" t="s">
        <v>94</v>
      </c>
    </row>
    <row r="269" spans="1:24" ht="13.5" thickBot="1">
      <c r="A269" s="885"/>
      <c r="B269" s="885"/>
      <c r="C269" s="9" t="s">
        <v>286</v>
      </c>
      <c r="D269" s="942">
        <f>'LF-Jigawa'!D88:G88</f>
        <v>1</v>
      </c>
      <c r="E269" s="943"/>
      <c r="F269" s="943"/>
      <c r="G269" s="944"/>
      <c r="H269" s="942">
        <f>'LF-Jigawa'!H88:K88</f>
        <v>1.5</v>
      </c>
      <c r="I269" s="943"/>
      <c r="J269" s="943"/>
      <c r="K269" s="944"/>
      <c r="L269" s="942">
        <f>'LF-Jigawa'!L88:O88</f>
        <v>2.5</v>
      </c>
      <c r="M269" s="943"/>
      <c r="N269" s="943"/>
      <c r="O269" s="944"/>
      <c r="P269" s="963">
        <f>'LF-Jigawa'!P88:S88</f>
        <v>3.5</v>
      </c>
      <c r="Q269" s="964"/>
      <c r="R269" s="964"/>
      <c r="S269" s="965"/>
      <c r="T269" s="1159">
        <f>'Jigawa Workings'!$V$52</f>
        <v>3.6999999999999993</v>
      </c>
      <c r="U269" s="1160">
        <f>'Jigawa Workings'!$V$10</f>
        <v>14.666666666666664</v>
      </c>
      <c r="V269" s="1160">
        <f>'Jigawa Workings'!$V$10</f>
        <v>14.666666666666664</v>
      </c>
      <c r="W269" s="1161">
        <f>'Jigawa Workings'!$V$10</f>
        <v>14.666666666666664</v>
      </c>
      <c r="X269" s="880"/>
    </row>
    <row r="270" spans="1:24" ht="13.5" thickBot="1">
      <c r="A270" s="885"/>
      <c r="B270" s="885"/>
      <c r="C270" s="9" t="s">
        <v>287</v>
      </c>
      <c r="D270" s="942">
        <f>'LF-Kaduna'!D88:G88</f>
        <v>1</v>
      </c>
      <c r="E270" s="943"/>
      <c r="F270" s="943"/>
      <c r="G270" s="944"/>
      <c r="H270" s="942">
        <f>'LF-Kaduna'!H88:K88</f>
        <v>1.5</v>
      </c>
      <c r="I270" s="943"/>
      <c r="J270" s="943"/>
      <c r="K270" s="944"/>
      <c r="L270" s="942">
        <f>'LF-Kaduna'!L88:O88</f>
        <v>2</v>
      </c>
      <c r="M270" s="943"/>
      <c r="N270" s="943"/>
      <c r="O270" s="944"/>
      <c r="P270" s="963">
        <f>'LF-Kaduna'!P88:S88</f>
        <v>2.5</v>
      </c>
      <c r="Q270" s="964"/>
      <c r="R270" s="964"/>
      <c r="S270" s="965"/>
      <c r="T270" s="1159">
        <f>'Kaduna Workings'!$V$52</f>
        <v>2.8333333333333339</v>
      </c>
      <c r="U270" s="1160">
        <f>'Kaduna Workings'!$V$10</f>
        <v>13.666666666666664</v>
      </c>
      <c r="V270" s="1160">
        <f>'Kaduna Workings'!$V$10</f>
        <v>13.666666666666664</v>
      </c>
      <c r="W270" s="1161">
        <f>'Kaduna Workings'!$V$10</f>
        <v>13.666666666666664</v>
      </c>
      <c r="X270" s="880"/>
    </row>
    <row r="271" spans="1:24" ht="13.5" thickBot="1">
      <c r="A271" s="885"/>
      <c r="B271" s="885"/>
      <c r="C271" s="9" t="s">
        <v>288</v>
      </c>
      <c r="D271" s="942">
        <f>'LF-Kano'!D88:G88</f>
        <v>1</v>
      </c>
      <c r="E271" s="943"/>
      <c r="F271" s="943"/>
      <c r="G271" s="944"/>
      <c r="H271" s="942">
        <f>'LF-Kano'!H88:K88</f>
        <v>2</v>
      </c>
      <c r="I271" s="943"/>
      <c r="J271" s="943"/>
      <c r="K271" s="944"/>
      <c r="L271" s="942">
        <f>'LF-Kano'!L88:O88</f>
        <v>2.5</v>
      </c>
      <c r="M271" s="943"/>
      <c r="N271" s="943"/>
      <c r="O271" s="944"/>
      <c r="P271" s="963">
        <f>'LF-Kano'!P88:S88</f>
        <v>3.5</v>
      </c>
      <c r="Q271" s="964"/>
      <c r="R271" s="964"/>
      <c r="S271" s="965"/>
      <c r="T271" s="1159">
        <f>'Kano Workings'!$V$52</f>
        <v>3.8333333333333339</v>
      </c>
      <c r="U271" s="1160">
        <f>'Kano Workings'!$V$10</f>
        <v>5.666666666666667</v>
      </c>
      <c r="V271" s="1160">
        <f>'Kano Workings'!$V$10</f>
        <v>5.666666666666667</v>
      </c>
      <c r="W271" s="1161">
        <f>'Kano Workings'!$V$10</f>
        <v>5.666666666666667</v>
      </c>
      <c r="X271" s="880"/>
    </row>
    <row r="272" spans="1:24" ht="13.5" thickBot="1">
      <c r="A272" s="885"/>
      <c r="B272" s="885"/>
      <c r="C272" s="9" t="s">
        <v>289</v>
      </c>
      <c r="D272" s="942">
        <f>'LF-Lagos'!D88:G88</f>
        <v>1</v>
      </c>
      <c r="E272" s="943"/>
      <c r="F272" s="943"/>
      <c r="G272" s="944"/>
      <c r="H272" s="942">
        <f>'LF-Lagos'!H88:K88</f>
        <v>2</v>
      </c>
      <c r="I272" s="943"/>
      <c r="J272" s="943"/>
      <c r="K272" s="944"/>
      <c r="L272" s="942">
        <f>'LF-Lagos'!L88:O88</f>
        <v>3</v>
      </c>
      <c r="M272" s="943"/>
      <c r="N272" s="943"/>
      <c r="O272" s="944"/>
      <c r="P272" s="963">
        <f>'LF-Lagos'!P88:S88</f>
        <v>3.5</v>
      </c>
      <c r="Q272" s="964"/>
      <c r="R272" s="964"/>
      <c r="S272" s="965"/>
      <c r="T272" s="1159">
        <f>'Lagos Workings'!$V$52</f>
        <v>4.1666666666666661</v>
      </c>
      <c r="U272" s="1160">
        <f>'Lagos Workings'!$V$10</f>
        <v>15</v>
      </c>
      <c r="V272" s="1160">
        <f>'Lagos Workings'!$V$10</f>
        <v>15</v>
      </c>
      <c r="W272" s="1161">
        <f>'Lagos Workings'!$V$10</f>
        <v>15</v>
      </c>
      <c r="X272" s="880"/>
    </row>
    <row r="273" spans="1:24" ht="13.5" thickBot="1">
      <c r="A273" s="885"/>
      <c r="B273" s="885"/>
      <c r="C273" s="9" t="s">
        <v>292</v>
      </c>
      <c r="D273" s="966" t="s">
        <v>255</v>
      </c>
      <c r="E273" s="967"/>
      <c r="F273" s="967"/>
      <c r="G273" s="968"/>
      <c r="H273" s="942">
        <f>'LF-Zamfara'!H88:K88</f>
        <v>1</v>
      </c>
      <c r="I273" s="943"/>
      <c r="J273" s="943"/>
      <c r="K273" s="944"/>
      <c r="L273" s="942">
        <f>'LF-Zamfara'!L88:O88</f>
        <v>1</v>
      </c>
      <c r="M273" s="943"/>
      <c r="N273" s="943"/>
      <c r="O273" s="944"/>
      <c r="P273" s="963">
        <f>'LF-Zamfara'!P88:S88</f>
        <v>1.3</v>
      </c>
      <c r="Q273" s="964"/>
      <c r="R273" s="964"/>
      <c r="S273" s="965"/>
      <c r="T273" s="1159">
        <f>'Zamfara Workings'!$V$52</f>
        <v>1.7000000000000002</v>
      </c>
      <c r="U273" s="1160">
        <f>'Zamfara Workings'!$V$10</f>
        <v>3.3333333333333339</v>
      </c>
      <c r="V273" s="1160">
        <f>'Zamfara Workings'!$V$10</f>
        <v>3.3333333333333339</v>
      </c>
      <c r="W273" s="1161">
        <f>'Zamfara Workings'!$V$10</f>
        <v>3.3333333333333339</v>
      </c>
      <c r="X273" s="880"/>
    </row>
    <row r="274" spans="1:24" ht="13.5" thickBot="1">
      <c r="A274" s="885"/>
      <c r="B274" s="885"/>
      <c r="C274" s="9" t="s">
        <v>293</v>
      </c>
      <c r="D274" s="966" t="s">
        <v>255</v>
      </c>
      <c r="E274" s="967"/>
      <c r="F274" s="967"/>
      <c r="G274" s="968"/>
      <c r="H274" s="942">
        <f>'LF-Katsina'!H88:K88</f>
        <v>1</v>
      </c>
      <c r="I274" s="943"/>
      <c r="J274" s="943"/>
      <c r="K274" s="944"/>
      <c r="L274" s="942">
        <f>'LF-Katsina'!L88:O88</f>
        <v>1</v>
      </c>
      <c r="M274" s="943"/>
      <c r="N274" s="943"/>
      <c r="O274" s="944"/>
      <c r="P274" s="963">
        <f>'LF-Katsina'!P88:S88</f>
        <v>1.5</v>
      </c>
      <c r="Q274" s="964"/>
      <c r="R274" s="964"/>
      <c r="S274" s="965"/>
      <c r="T274" s="1159">
        <f>'Katsina Workings'!$V$52</f>
        <v>2.3666666666666667</v>
      </c>
      <c r="U274" s="1160">
        <f>'Katsina Workings'!$V$10</f>
        <v>6</v>
      </c>
      <c r="V274" s="1160">
        <f>'Katsina Workings'!$V$10</f>
        <v>6</v>
      </c>
      <c r="W274" s="1161">
        <f>'Katsina Workings'!$V$10</f>
        <v>6</v>
      </c>
      <c r="X274" s="880"/>
    </row>
    <row r="275" spans="1:24" ht="13.5" thickBot="1">
      <c r="A275" s="885"/>
      <c r="B275" s="885"/>
      <c r="C275" s="9" t="s">
        <v>294</v>
      </c>
      <c r="D275" s="966" t="s">
        <v>255</v>
      </c>
      <c r="E275" s="967"/>
      <c r="F275" s="967"/>
      <c r="G275" s="968"/>
      <c r="H275" s="942">
        <f>'LF-Yobe'!H88:K88</f>
        <v>1</v>
      </c>
      <c r="I275" s="943"/>
      <c r="J275" s="943"/>
      <c r="K275" s="944"/>
      <c r="L275" s="942">
        <f>'LF-Yobe'!L88:O88</f>
        <v>1</v>
      </c>
      <c r="M275" s="943"/>
      <c r="N275" s="943"/>
      <c r="O275" s="944"/>
      <c r="P275" s="942">
        <f>'LF-Yobe'!P88:S88</f>
        <v>1.5</v>
      </c>
      <c r="Q275" s="943"/>
      <c r="R275" s="943"/>
      <c r="S275" s="944"/>
      <c r="T275" s="1159">
        <f>'Yobe Workings'!$V$52</f>
        <v>2.5</v>
      </c>
      <c r="U275" s="1160">
        <f>'Yobe Workings'!$V$10</f>
        <v>2.6666666666666661</v>
      </c>
      <c r="V275" s="1160">
        <f>'Yobe Workings'!$V$10</f>
        <v>2.6666666666666661</v>
      </c>
      <c r="W275" s="1161">
        <f>'Yobe Workings'!$V$10</f>
        <v>2.6666666666666661</v>
      </c>
      <c r="X275" s="880"/>
    </row>
    <row r="276" spans="1:24" ht="12.95" customHeight="1" thickBot="1">
      <c r="A276" s="885"/>
      <c r="B276" s="885"/>
      <c r="C276" s="9" t="s">
        <v>290</v>
      </c>
      <c r="D276" s="957"/>
      <c r="E276" s="958"/>
      <c r="F276" s="958"/>
      <c r="G276" s="959"/>
      <c r="H276" s="1162"/>
      <c r="I276" s="1163"/>
      <c r="J276" s="1163"/>
      <c r="K276" s="1164"/>
      <c r="L276" s="1057" t="s">
        <v>909</v>
      </c>
      <c r="M276" s="1058"/>
      <c r="N276" s="1058"/>
      <c r="O276" s="1059"/>
      <c r="P276" s="942">
        <f>'LF-Anambra'!P88:S88</f>
        <v>1</v>
      </c>
      <c r="Q276" s="943"/>
      <c r="R276" s="943"/>
      <c r="S276" s="944"/>
      <c r="T276" s="960">
        <f t="shared" ref="T276:T277" si="41">P276</f>
        <v>1</v>
      </c>
      <c r="U276" s="961">
        <f t="shared" ref="U276:U277" si="42">Q276</f>
        <v>0</v>
      </c>
      <c r="V276" s="961">
        <f t="shared" ref="V276:V277" si="43">R276</f>
        <v>0</v>
      </c>
      <c r="W276" s="962">
        <f t="shared" ref="W276:W277" si="44">S276</f>
        <v>0</v>
      </c>
      <c r="X276" s="880"/>
    </row>
    <row r="277" spans="1:24" ht="12.95" customHeight="1" thickBot="1">
      <c r="A277" s="885"/>
      <c r="B277" s="885"/>
      <c r="C277" s="9" t="s">
        <v>291</v>
      </c>
      <c r="D277" s="957"/>
      <c r="E277" s="958"/>
      <c r="F277" s="958"/>
      <c r="G277" s="959"/>
      <c r="H277" s="1162"/>
      <c r="I277" s="1163"/>
      <c r="J277" s="1163"/>
      <c r="K277" s="1164"/>
      <c r="L277" s="1057" t="s">
        <v>909</v>
      </c>
      <c r="M277" s="1058"/>
      <c r="N277" s="1058"/>
      <c r="O277" s="1059"/>
      <c r="P277" s="942">
        <f>'LF-Niger'!P88:S88</f>
        <v>1.1000000000000001</v>
      </c>
      <c r="Q277" s="943"/>
      <c r="R277" s="943"/>
      <c r="S277" s="944"/>
      <c r="T277" s="960">
        <f t="shared" si="41"/>
        <v>1.1000000000000001</v>
      </c>
      <c r="U277" s="961">
        <f t="shared" si="42"/>
        <v>0</v>
      </c>
      <c r="V277" s="961">
        <f t="shared" si="43"/>
        <v>0</v>
      </c>
      <c r="W277" s="962">
        <f t="shared" si="44"/>
        <v>0</v>
      </c>
      <c r="X277" s="880"/>
    </row>
    <row r="278" spans="1:24" ht="13.5" thickBot="1">
      <c r="A278" s="885"/>
      <c r="B278" s="885"/>
      <c r="C278" s="100" t="s">
        <v>295</v>
      </c>
      <c r="D278" s="1017"/>
      <c r="E278" s="1018"/>
      <c r="F278" s="1018"/>
      <c r="G278" s="1019"/>
      <c r="H278" s="1147">
        <f>'LF-Enugu'!H89:K89</f>
        <v>0</v>
      </c>
      <c r="I278" s="1148"/>
      <c r="J278" s="1148"/>
      <c r="K278" s="1149"/>
      <c r="L278" s="1147">
        <f>'LF-Enugu'!L89:O89</f>
        <v>1.3</v>
      </c>
      <c r="M278" s="1148"/>
      <c r="N278" s="1148"/>
      <c r="O278" s="1149"/>
      <c r="P278" s="1147">
        <f>'LF-Enugu'!P89:S89</f>
        <v>3.2</v>
      </c>
      <c r="Q278" s="1148"/>
      <c r="R278" s="1148"/>
      <c r="S278" s="1149"/>
      <c r="T278" s="1147">
        <f>'Enugu Workings'!$V$53</f>
        <v>3.95</v>
      </c>
      <c r="U278" s="1148">
        <f>'Enugu Workings'!$V$11</f>
        <v>2</v>
      </c>
      <c r="V278" s="1148">
        <f>'Enugu Workings'!$V$11</f>
        <v>2</v>
      </c>
      <c r="W278" s="1149">
        <f>'Enugu Workings'!$V$11</f>
        <v>2</v>
      </c>
      <c r="X278" s="880"/>
    </row>
    <row r="279" spans="1:24" ht="13.5" thickBot="1">
      <c r="A279" s="885"/>
      <c r="B279" s="885"/>
      <c r="C279" s="100" t="s">
        <v>296</v>
      </c>
      <c r="D279" s="1017"/>
      <c r="E279" s="1018"/>
      <c r="F279" s="1018"/>
      <c r="G279" s="1019"/>
      <c r="H279" s="1147">
        <f>'LF-Jigawa'!H89:K89</f>
        <v>2</v>
      </c>
      <c r="I279" s="1148"/>
      <c r="J279" s="1148"/>
      <c r="K279" s="1149"/>
      <c r="L279" s="1147">
        <f>'LF-Jigawa'!L89:O89</f>
        <v>2.8</v>
      </c>
      <c r="M279" s="1148"/>
      <c r="N279" s="1148"/>
      <c r="O279" s="1149"/>
      <c r="P279" s="1147">
        <f>'LF-Jigawa'!P89:S89</f>
        <v>4.0999999999999996</v>
      </c>
      <c r="Q279" s="1148"/>
      <c r="R279" s="1148"/>
      <c r="S279" s="1149"/>
      <c r="T279" s="1147">
        <f>'Jigawa Workings'!$V$53</f>
        <v>4.5999999999999996</v>
      </c>
      <c r="U279" s="1148">
        <f>'Jigawa Workings'!$V$11</f>
        <v>12</v>
      </c>
      <c r="V279" s="1148">
        <f>'Jigawa Workings'!$V$11</f>
        <v>12</v>
      </c>
      <c r="W279" s="1149">
        <f>'Jigawa Workings'!$V$11</f>
        <v>12</v>
      </c>
      <c r="X279" s="880"/>
    </row>
    <row r="280" spans="1:24" ht="13.5" thickBot="1">
      <c r="A280" s="885"/>
      <c r="B280" s="885"/>
      <c r="C280" s="100" t="s">
        <v>297</v>
      </c>
      <c r="D280" s="1017"/>
      <c r="E280" s="1018"/>
      <c r="F280" s="1018"/>
      <c r="G280" s="1019"/>
      <c r="H280" s="1147">
        <f>'LF-Kaduna'!H89:K89</f>
        <v>1</v>
      </c>
      <c r="I280" s="1148"/>
      <c r="J280" s="1148"/>
      <c r="K280" s="1149"/>
      <c r="L280" s="1147">
        <f>'LF-Kaduna'!L89:O89</f>
        <v>2.5</v>
      </c>
      <c r="M280" s="1148"/>
      <c r="N280" s="1148"/>
      <c r="O280" s="1149"/>
      <c r="P280" s="1147">
        <f>'LF-Kaduna'!P89:S89</f>
        <v>2</v>
      </c>
      <c r="Q280" s="1148"/>
      <c r="R280" s="1148"/>
      <c r="S280" s="1149"/>
      <c r="T280" s="1147">
        <f>'Kaduna Workings'!$V$53</f>
        <v>2.7</v>
      </c>
      <c r="U280" s="1148">
        <f>'Kaduna Workings'!$V$11</f>
        <v>2</v>
      </c>
      <c r="V280" s="1148">
        <f>'Kaduna Workings'!$V$11</f>
        <v>2</v>
      </c>
      <c r="W280" s="1149">
        <f>'Kaduna Workings'!$V$11</f>
        <v>2</v>
      </c>
      <c r="X280" s="880"/>
    </row>
    <row r="281" spans="1:24" ht="13.5" thickBot="1">
      <c r="A281" s="885"/>
      <c r="B281" s="885"/>
      <c r="C281" s="100" t="s">
        <v>298</v>
      </c>
      <c r="D281" s="1017"/>
      <c r="E281" s="1018"/>
      <c r="F281" s="1018"/>
      <c r="G281" s="1019"/>
      <c r="H281" s="1147">
        <f>'LF-Kano'!H89:K89</f>
        <v>2</v>
      </c>
      <c r="I281" s="1148"/>
      <c r="J281" s="1148"/>
      <c r="K281" s="1149"/>
      <c r="L281" s="1147">
        <f>'LF-Kano'!L89:O89</f>
        <v>3</v>
      </c>
      <c r="M281" s="1148"/>
      <c r="N281" s="1148"/>
      <c r="O281" s="1149"/>
      <c r="P281" s="1147">
        <f>'LF-Kano'!P89:S89</f>
        <v>3.8</v>
      </c>
      <c r="Q281" s="1148"/>
      <c r="R281" s="1148"/>
      <c r="S281" s="1149"/>
      <c r="T281" s="1147">
        <f>'Kano Workings'!$V$53</f>
        <v>3.9</v>
      </c>
      <c r="U281" s="1148">
        <f>'Kano Workings'!$V$11</f>
        <v>6</v>
      </c>
      <c r="V281" s="1148">
        <f>'Kano Workings'!$V$11</f>
        <v>6</v>
      </c>
      <c r="W281" s="1149">
        <f>'Kano Workings'!$V$11</f>
        <v>6</v>
      </c>
      <c r="X281" s="880"/>
    </row>
    <row r="282" spans="1:24" ht="13.5" thickBot="1">
      <c r="A282" s="885"/>
      <c r="B282" s="885"/>
      <c r="C282" s="100" t="s">
        <v>299</v>
      </c>
      <c r="D282" s="1017"/>
      <c r="E282" s="1018"/>
      <c r="F282" s="1018"/>
      <c r="G282" s="1019"/>
      <c r="H282" s="1147">
        <f>'LF-Lagos'!H89:K89</f>
        <v>1</v>
      </c>
      <c r="I282" s="1148"/>
      <c r="J282" s="1148"/>
      <c r="K282" s="1149"/>
      <c r="L282" s="1147">
        <f>'LF-Lagos'!L89:O89</f>
        <v>2.9</v>
      </c>
      <c r="M282" s="1148"/>
      <c r="N282" s="1148"/>
      <c r="O282" s="1149"/>
      <c r="P282" s="1147">
        <f>'LF-Lagos'!P89:S89</f>
        <v>3.1</v>
      </c>
      <c r="Q282" s="1148"/>
      <c r="R282" s="1148"/>
      <c r="S282" s="1149"/>
      <c r="T282" s="1147">
        <f>'Lagos Workings'!$V$53</f>
        <v>4.0999999999999996</v>
      </c>
      <c r="U282" s="1148">
        <f>'Lagos Workings'!$V$11</f>
        <v>15</v>
      </c>
      <c r="V282" s="1148">
        <f>'Lagos Workings'!$V$11</f>
        <v>15</v>
      </c>
      <c r="W282" s="1149">
        <f>'Lagos Workings'!$V$11</f>
        <v>15</v>
      </c>
      <c r="X282" s="880"/>
    </row>
    <row r="283" spans="1:24" ht="24.75" thickBot="1">
      <c r="A283" s="885"/>
      <c r="B283" s="885"/>
      <c r="C283" s="100" t="s">
        <v>300</v>
      </c>
      <c r="D283" s="1017"/>
      <c r="E283" s="1018"/>
      <c r="F283" s="1018"/>
      <c r="G283" s="1019"/>
      <c r="H283" s="1017"/>
      <c r="I283" s="1018"/>
      <c r="J283" s="1018"/>
      <c r="K283" s="1019"/>
      <c r="L283" s="1147">
        <f>'LF-Zamfara'!L89:O89</f>
        <v>1</v>
      </c>
      <c r="M283" s="1148"/>
      <c r="N283" s="1148"/>
      <c r="O283" s="1149"/>
      <c r="P283" s="1147">
        <f>'LF-Zamfara'!P89:S89</f>
        <v>1.8</v>
      </c>
      <c r="Q283" s="1148"/>
      <c r="R283" s="1148"/>
      <c r="S283" s="1149"/>
      <c r="T283" s="1147">
        <f>'Zamfara Workings'!$V$53</f>
        <v>3.2</v>
      </c>
      <c r="U283" s="1148">
        <f>'Zamfara Workings'!$V$11</f>
        <v>1</v>
      </c>
      <c r="V283" s="1148">
        <f>'Zamfara Workings'!$V$11</f>
        <v>1</v>
      </c>
      <c r="W283" s="1149">
        <f>'Zamfara Workings'!$V$11</f>
        <v>1</v>
      </c>
      <c r="X283" s="880"/>
    </row>
    <row r="284" spans="1:24" ht="13.5" thickBot="1">
      <c r="A284" s="885"/>
      <c r="B284" s="885"/>
      <c r="C284" s="100" t="s">
        <v>301</v>
      </c>
      <c r="D284" s="1017"/>
      <c r="E284" s="1018"/>
      <c r="F284" s="1018"/>
      <c r="G284" s="1019"/>
      <c r="H284" s="1017"/>
      <c r="I284" s="1018"/>
      <c r="J284" s="1018"/>
      <c r="K284" s="1019"/>
      <c r="L284" s="1147">
        <f>'LF-Katsina'!L89:O89</f>
        <v>1</v>
      </c>
      <c r="M284" s="1148"/>
      <c r="N284" s="1148"/>
      <c r="O284" s="1149"/>
      <c r="P284" s="1147">
        <f>'LF-Katsina'!P89:S89</f>
        <v>1.1000000000000001</v>
      </c>
      <c r="Q284" s="1148"/>
      <c r="R284" s="1148"/>
      <c r="S284" s="1149"/>
      <c r="T284" s="1147">
        <f>'Katsina Workings'!$V$53</f>
        <v>3.7</v>
      </c>
      <c r="U284" s="1148">
        <f>'Katsina Workings'!$V$11</f>
        <v>6</v>
      </c>
      <c r="V284" s="1148">
        <f>'Katsina Workings'!$V$11</f>
        <v>6</v>
      </c>
      <c r="W284" s="1149">
        <f>'Katsina Workings'!$V$11</f>
        <v>6</v>
      </c>
      <c r="X284" s="880"/>
    </row>
    <row r="285" spans="1:24" ht="13.5" thickBot="1">
      <c r="A285" s="885"/>
      <c r="B285" s="885"/>
      <c r="C285" s="100" t="s">
        <v>302</v>
      </c>
      <c r="D285" s="1017"/>
      <c r="E285" s="1018"/>
      <c r="F285" s="1018"/>
      <c r="G285" s="1019"/>
      <c r="H285" s="1017"/>
      <c r="I285" s="1018"/>
      <c r="J285" s="1018"/>
      <c r="K285" s="1019"/>
      <c r="L285" s="1147">
        <f>'LF-Yobe'!L89:O89</f>
        <v>1</v>
      </c>
      <c r="M285" s="1148"/>
      <c r="N285" s="1148"/>
      <c r="O285" s="1149"/>
      <c r="P285" s="1147">
        <f>'LF-Yobe'!P89:S89</f>
        <v>2.1</v>
      </c>
      <c r="Q285" s="1148"/>
      <c r="R285" s="1148"/>
      <c r="S285" s="1149"/>
      <c r="T285" s="1147">
        <f>'Yobe Workings'!$V$53</f>
        <v>3.1</v>
      </c>
      <c r="U285" s="1148">
        <f>'Yobe Workings'!$V$11</f>
        <v>10</v>
      </c>
      <c r="V285" s="1148">
        <f>'Yobe Workings'!$V$11</f>
        <v>10</v>
      </c>
      <c r="W285" s="1149">
        <f>'Yobe Workings'!$V$11</f>
        <v>10</v>
      </c>
      <c r="X285" s="880"/>
    </row>
    <row r="286" spans="1:24" ht="24.75" thickBot="1">
      <c r="A286" s="885"/>
      <c r="B286" s="885"/>
      <c r="C286" s="100" t="s">
        <v>303</v>
      </c>
      <c r="D286" s="1017"/>
      <c r="E286" s="1018"/>
      <c r="F286" s="1018"/>
      <c r="G286" s="1019"/>
      <c r="H286" s="1017"/>
      <c r="I286" s="1018"/>
      <c r="J286" s="1018"/>
      <c r="K286" s="1019"/>
      <c r="L286" s="1017"/>
      <c r="M286" s="1018"/>
      <c r="N286" s="1018"/>
      <c r="O286" s="1019"/>
      <c r="P286" s="1054"/>
      <c r="Q286" s="1055"/>
      <c r="R286" s="1055"/>
      <c r="S286" s="1056"/>
      <c r="T286" s="1147">
        <f t="shared" ref="T286:W286" si="45">T276</f>
        <v>1</v>
      </c>
      <c r="U286" s="1148">
        <f t="shared" si="45"/>
        <v>0</v>
      </c>
      <c r="V286" s="1148">
        <f t="shared" si="45"/>
        <v>0</v>
      </c>
      <c r="W286" s="1149">
        <f t="shared" si="45"/>
        <v>0</v>
      </c>
      <c r="X286" s="880"/>
    </row>
    <row r="287" spans="1:24" ht="13.5" thickBot="1">
      <c r="A287" s="885"/>
      <c r="B287" s="885"/>
      <c r="C287" s="100" t="s">
        <v>304</v>
      </c>
      <c r="D287" s="1017"/>
      <c r="E287" s="1018"/>
      <c r="F287" s="1018"/>
      <c r="G287" s="1019"/>
      <c r="H287" s="1017"/>
      <c r="I287" s="1018"/>
      <c r="J287" s="1018"/>
      <c r="K287" s="1019"/>
      <c r="L287" s="1017"/>
      <c r="M287" s="1018"/>
      <c r="N287" s="1018"/>
      <c r="O287" s="1019"/>
      <c r="P287" s="1054"/>
      <c r="Q287" s="1055"/>
      <c r="R287" s="1055"/>
      <c r="S287" s="1056"/>
      <c r="T287" s="1147">
        <f t="shared" ref="T287:W287" si="46">T277</f>
        <v>1.1000000000000001</v>
      </c>
      <c r="U287" s="1148">
        <f t="shared" si="46"/>
        <v>0</v>
      </c>
      <c r="V287" s="1148">
        <f t="shared" si="46"/>
        <v>0</v>
      </c>
      <c r="W287" s="1149">
        <f t="shared" si="46"/>
        <v>0</v>
      </c>
      <c r="X287" s="880"/>
    </row>
    <row r="288" spans="1:24" ht="13.5" thickBot="1">
      <c r="A288" s="885"/>
      <c r="B288" s="885"/>
      <c r="C288" s="922" t="s">
        <v>413</v>
      </c>
      <c r="D288" s="927" t="s">
        <v>4</v>
      </c>
      <c r="E288" s="928"/>
      <c r="F288" s="928"/>
      <c r="G288" s="928"/>
      <c r="H288" s="928"/>
      <c r="I288" s="928"/>
      <c r="J288" s="928"/>
      <c r="K288" s="928"/>
      <c r="L288" s="928"/>
      <c r="M288" s="928"/>
      <c r="N288" s="928"/>
      <c r="O288" s="928"/>
      <c r="P288" s="928"/>
      <c r="Q288" s="928"/>
      <c r="R288" s="928"/>
      <c r="S288" s="928"/>
      <c r="T288" s="928"/>
      <c r="U288" s="928"/>
      <c r="V288" s="928"/>
      <c r="W288" s="929"/>
      <c r="X288" s="880"/>
    </row>
    <row r="289" spans="1:24" ht="24" customHeight="1" thickBot="1">
      <c r="A289" s="885"/>
      <c r="B289" s="869"/>
      <c r="C289" s="923"/>
      <c r="D289" s="930" t="s">
        <v>120</v>
      </c>
      <c r="E289" s="931"/>
      <c r="F289" s="931"/>
      <c r="G289" s="931"/>
      <c r="H289" s="931"/>
      <c r="I289" s="931"/>
      <c r="J289" s="931"/>
      <c r="K289" s="931"/>
      <c r="L289" s="931"/>
      <c r="M289" s="931"/>
      <c r="N289" s="931"/>
      <c r="O289" s="931"/>
      <c r="P289" s="931"/>
      <c r="Q289" s="931"/>
      <c r="R289" s="931"/>
      <c r="S289" s="931"/>
      <c r="T289" s="931"/>
      <c r="U289" s="931"/>
      <c r="V289" s="931"/>
      <c r="W289" s="932"/>
      <c r="X289" s="880"/>
    </row>
    <row r="290" spans="1:24" ht="12.95" customHeight="1" thickBot="1">
      <c r="A290" s="885"/>
      <c r="B290" s="11" t="s">
        <v>20</v>
      </c>
      <c r="C290" s="12"/>
      <c r="D290" s="927" t="s">
        <v>78</v>
      </c>
      <c r="E290" s="928"/>
      <c r="F290" s="928"/>
      <c r="G290" s="929"/>
      <c r="H290" s="927" t="s">
        <v>77</v>
      </c>
      <c r="I290" s="928"/>
      <c r="J290" s="928"/>
      <c r="K290" s="929"/>
      <c r="L290" s="927" t="s">
        <v>81</v>
      </c>
      <c r="M290" s="928"/>
      <c r="N290" s="928"/>
      <c r="O290" s="929"/>
      <c r="P290" s="927" t="s">
        <v>254</v>
      </c>
      <c r="Q290" s="928"/>
      <c r="R290" s="928"/>
      <c r="S290" s="929"/>
      <c r="T290" s="1144" t="s">
        <v>908</v>
      </c>
      <c r="U290" s="1145"/>
      <c r="V290" s="1145"/>
      <c r="W290" s="1146"/>
      <c r="X290" s="880"/>
    </row>
    <row r="291" spans="1:24" ht="13.5" thickBot="1">
      <c r="A291" s="885"/>
      <c r="B291" s="868" t="s">
        <v>59</v>
      </c>
      <c r="C291" s="9" t="s">
        <v>285</v>
      </c>
      <c r="D291" s="942">
        <f>'LF-Enugu'!D93:G93</f>
        <v>1</v>
      </c>
      <c r="E291" s="943"/>
      <c r="F291" s="943"/>
      <c r="G291" s="944"/>
      <c r="H291" s="942">
        <f>'LF-Enugu'!H93:K93</f>
        <v>1.2</v>
      </c>
      <c r="I291" s="943"/>
      <c r="J291" s="943"/>
      <c r="K291" s="944"/>
      <c r="L291" s="942">
        <f>'LF-Enugu'!L93:O93</f>
        <v>2</v>
      </c>
      <c r="M291" s="943"/>
      <c r="N291" s="943"/>
      <c r="O291" s="944"/>
      <c r="P291" s="942">
        <f>'LF-Enugu'!P93:S93</f>
        <v>3</v>
      </c>
      <c r="Q291" s="943"/>
      <c r="R291" s="943"/>
      <c r="S291" s="944"/>
      <c r="T291" s="1159">
        <f>'Enugu Workings'!$V$55</f>
        <v>3.6666666666666661</v>
      </c>
      <c r="U291" s="1160">
        <f>'Enugu Workings'!$V$10</f>
        <v>3.3333333333333339</v>
      </c>
      <c r="V291" s="1160">
        <f>'Enugu Workings'!$V$10</f>
        <v>3.3333333333333339</v>
      </c>
      <c r="W291" s="1161">
        <f>'Enugu Workings'!$V$10</f>
        <v>3.3333333333333339</v>
      </c>
      <c r="X291" s="880"/>
    </row>
    <row r="292" spans="1:24" ht="13.5" thickBot="1">
      <c r="A292" s="885"/>
      <c r="B292" s="885"/>
      <c r="C292" s="9" t="s">
        <v>286</v>
      </c>
      <c r="D292" s="942">
        <f>'LF-Jigawa'!D93:G93</f>
        <v>1</v>
      </c>
      <c r="E292" s="943"/>
      <c r="F292" s="943"/>
      <c r="G292" s="944"/>
      <c r="H292" s="942">
        <f>'LF-Jigawa'!H93:K93</f>
        <v>1.5</v>
      </c>
      <c r="I292" s="943"/>
      <c r="J292" s="943"/>
      <c r="K292" s="944"/>
      <c r="L292" s="942">
        <f>'LF-Jigawa'!L93:O93</f>
        <v>2.5</v>
      </c>
      <c r="M292" s="943"/>
      <c r="N292" s="943"/>
      <c r="O292" s="944"/>
      <c r="P292" s="942">
        <f>'LF-Jigawa'!P93:S93</f>
        <v>3.5</v>
      </c>
      <c r="Q292" s="943"/>
      <c r="R292" s="943"/>
      <c r="S292" s="944"/>
      <c r="T292" s="1159">
        <f>'Jigawa Workings'!$V$55</f>
        <v>3.3333333333333339</v>
      </c>
      <c r="U292" s="1160">
        <f>'Jigawa Workings'!$V$10</f>
        <v>14.666666666666664</v>
      </c>
      <c r="V292" s="1160">
        <f>'Jigawa Workings'!$V$10</f>
        <v>14.666666666666664</v>
      </c>
      <c r="W292" s="1161">
        <f>'Jigawa Workings'!$V$10</f>
        <v>14.666666666666664</v>
      </c>
      <c r="X292" s="880"/>
    </row>
    <row r="293" spans="1:24" ht="13.5" thickBot="1">
      <c r="A293" s="885"/>
      <c r="B293" s="885"/>
      <c r="C293" s="9" t="s">
        <v>287</v>
      </c>
      <c r="D293" s="942">
        <f>'LF-Kaduna'!D93:G93</f>
        <v>1</v>
      </c>
      <c r="E293" s="943"/>
      <c r="F293" s="943"/>
      <c r="G293" s="944"/>
      <c r="H293" s="942">
        <f>'LF-Kaduna'!H93:K93</f>
        <v>1.5</v>
      </c>
      <c r="I293" s="943"/>
      <c r="J293" s="943"/>
      <c r="K293" s="944"/>
      <c r="L293" s="942">
        <f>'LF-Kaduna'!L93:O93</f>
        <v>2</v>
      </c>
      <c r="M293" s="943"/>
      <c r="N293" s="943"/>
      <c r="O293" s="944"/>
      <c r="P293" s="963">
        <f>'LF-Kaduna'!P93:S93</f>
        <v>2.5</v>
      </c>
      <c r="Q293" s="964"/>
      <c r="R293" s="964"/>
      <c r="S293" s="965"/>
      <c r="T293" s="1159">
        <f>'Kaduna Workings'!$V$55</f>
        <v>2.6333333333333329</v>
      </c>
      <c r="U293" s="1160">
        <f>'Kaduna Workings'!$V$10</f>
        <v>13.666666666666664</v>
      </c>
      <c r="V293" s="1160">
        <f>'Kaduna Workings'!$V$10</f>
        <v>13.666666666666664</v>
      </c>
      <c r="W293" s="1161">
        <f>'Kaduna Workings'!$V$10</f>
        <v>13.666666666666664</v>
      </c>
      <c r="X293" s="880"/>
    </row>
    <row r="294" spans="1:24" ht="13.5" thickBot="1">
      <c r="A294" s="885"/>
      <c r="B294" s="885"/>
      <c r="C294" s="9" t="s">
        <v>288</v>
      </c>
      <c r="D294" s="942">
        <f>'LF-Kano'!D93:G93</f>
        <v>1</v>
      </c>
      <c r="E294" s="943"/>
      <c r="F294" s="943"/>
      <c r="G294" s="944"/>
      <c r="H294" s="942">
        <f>'LF-Kano'!H93:K93</f>
        <v>2</v>
      </c>
      <c r="I294" s="943"/>
      <c r="J294" s="943"/>
      <c r="K294" s="944"/>
      <c r="L294" s="942">
        <f>'LF-Kano'!L93:O93</f>
        <v>3</v>
      </c>
      <c r="M294" s="943"/>
      <c r="N294" s="943"/>
      <c r="O294" s="944"/>
      <c r="P294" s="963">
        <f>'LF-Kano'!P93:S93</f>
        <v>4</v>
      </c>
      <c r="Q294" s="964"/>
      <c r="R294" s="964"/>
      <c r="S294" s="965"/>
      <c r="T294" s="1159">
        <f>'Kano Workings'!$V$55</f>
        <v>4.3333333333333321</v>
      </c>
      <c r="U294" s="1160">
        <f>'Kano Workings'!$V$10</f>
        <v>5.666666666666667</v>
      </c>
      <c r="V294" s="1160">
        <f>'Kano Workings'!$V$10</f>
        <v>5.666666666666667</v>
      </c>
      <c r="W294" s="1161">
        <f>'Kano Workings'!$V$10</f>
        <v>5.666666666666667</v>
      </c>
      <c r="X294" s="880"/>
    </row>
    <row r="295" spans="1:24" ht="13.5" thickBot="1">
      <c r="A295" s="885"/>
      <c r="B295" s="885"/>
      <c r="C295" s="9" t="s">
        <v>289</v>
      </c>
      <c r="D295" s="942">
        <f>'LF-Lagos'!D93:G93</f>
        <v>1</v>
      </c>
      <c r="E295" s="943"/>
      <c r="F295" s="943"/>
      <c r="G295" s="944"/>
      <c r="H295" s="942">
        <f>'LF-Lagos'!H93:K93</f>
        <v>2</v>
      </c>
      <c r="I295" s="943"/>
      <c r="J295" s="943"/>
      <c r="K295" s="944"/>
      <c r="L295" s="942">
        <f>'LF-Lagos'!L93:O93</f>
        <v>3</v>
      </c>
      <c r="M295" s="943"/>
      <c r="N295" s="943"/>
      <c r="O295" s="944"/>
      <c r="P295" s="963">
        <f>'LF-Lagos'!P93:S93</f>
        <v>3.5</v>
      </c>
      <c r="Q295" s="964"/>
      <c r="R295" s="964"/>
      <c r="S295" s="965"/>
      <c r="T295" s="1159">
        <f>'Lagos Workings'!$V$55</f>
        <v>4.1666666666666661</v>
      </c>
      <c r="U295" s="1160">
        <f>'Lagos Workings'!$V$10</f>
        <v>15</v>
      </c>
      <c r="V295" s="1160">
        <f>'Lagos Workings'!$V$10</f>
        <v>15</v>
      </c>
      <c r="W295" s="1161">
        <f>'Lagos Workings'!$V$10</f>
        <v>15</v>
      </c>
      <c r="X295" s="880"/>
    </row>
    <row r="296" spans="1:24" ht="13.5" thickBot="1">
      <c r="A296" s="885"/>
      <c r="B296" s="885"/>
      <c r="C296" s="9" t="s">
        <v>292</v>
      </c>
      <c r="D296" s="966" t="s">
        <v>255</v>
      </c>
      <c r="E296" s="967"/>
      <c r="F296" s="967"/>
      <c r="G296" s="968"/>
      <c r="H296" s="942">
        <f>'LF-Zamfara'!H93:K93</f>
        <v>1</v>
      </c>
      <c r="I296" s="943"/>
      <c r="J296" s="943"/>
      <c r="K296" s="944"/>
      <c r="L296" s="942">
        <f>'LF-Zamfara'!L93:O93</f>
        <v>1</v>
      </c>
      <c r="M296" s="943"/>
      <c r="N296" s="943"/>
      <c r="O296" s="944"/>
      <c r="P296" s="963">
        <f>'LF-Zamfara'!P93:S93</f>
        <v>1.3</v>
      </c>
      <c r="Q296" s="964"/>
      <c r="R296" s="964"/>
      <c r="S296" s="965"/>
      <c r="T296" s="1159">
        <f>'Zamfara Workings'!$V$55</f>
        <v>1.9666666666666663</v>
      </c>
      <c r="U296" s="1160">
        <f>'Zamfara Workings'!$V$10</f>
        <v>3.3333333333333339</v>
      </c>
      <c r="V296" s="1160">
        <f>'Zamfara Workings'!$V$10</f>
        <v>3.3333333333333339</v>
      </c>
      <c r="W296" s="1161">
        <f>'Zamfara Workings'!$V$10</f>
        <v>3.3333333333333339</v>
      </c>
      <c r="X296" s="880"/>
    </row>
    <row r="297" spans="1:24" ht="13.5" thickBot="1">
      <c r="A297" s="885"/>
      <c r="B297" s="885"/>
      <c r="C297" s="9" t="s">
        <v>293</v>
      </c>
      <c r="D297" s="966" t="s">
        <v>255</v>
      </c>
      <c r="E297" s="967"/>
      <c r="F297" s="967"/>
      <c r="G297" s="968"/>
      <c r="H297" s="942">
        <f>'LF-Katsina'!H93:K93</f>
        <v>1</v>
      </c>
      <c r="I297" s="943"/>
      <c r="J297" s="943"/>
      <c r="K297" s="944"/>
      <c r="L297" s="942">
        <f>'LF-Katsina'!L93:O93</f>
        <v>1</v>
      </c>
      <c r="M297" s="943"/>
      <c r="N297" s="943"/>
      <c r="O297" s="944"/>
      <c r="P297" s="963">
        <f>'LF-Katsina'!P93:S93</f>
        <v>1.2</v>
      </c>
      <c r="Q297" s="964"/>
      <c r="R297" s="964"/>
      <c r="S297" s="965"/>
      <c r="T297" s="1159">
        <f>'Katsina Workings'!$V$55</f>
        <v>2.0666666666666669</v>
      </c>
      <c r="U297" s="1160">
        <f>'Katsina Workings'!$V$10</f>
        <v>6</v>
      </c>
      <c r="V297" s="1160">
        <f>'Katsina Workings'!$V$10</f>
        <v>6</v>
      </c>
      <c r="W297" s="1161">
        <f>'Katsina Workings'!$V$10</f>
        <v>6</v>
      </c>
      <c r="X297" s="880"/>
    </row>
    <row r="298" spans="1:24" ht="13.5" thickBot="1">
      <c r="A298" s="885"/>
      <c r="B298" s="885"/>
      <c r="C298" s="9" t="s">
        <v>294</v>
      </c>
      <c r="D298" s="966" t="s">
        <v>255</v>
      </c>
      <c r="E298" s="967"/>
      <c r="F298" s="967"/>
      <c r="G298" s="968"/>
      <c r="H298" s="942">
        <f>'LF-Yobe'!H93:K93</f>
        <v>1</v>
      </c>
      <c r="I298" s="943"/>
      <c r="J298" s="943"/>
      <c r="K298" s="944"/>
      <c r="L298" s="942">
        <f>'LF-Yobe'!L93:O93</f>
        <v>1</v>
      </c>
      <c r="M298" s="943"/>
      <c r="N298" s="943"/>
      <c r="O298" s="944"/>
      <c r="P298" s="942">
        <f>'LF-Yobe'!P93:S93</f>
        <v>1.4</v>
      </c>
      <c r="Q298" s="943"/>
      <c r="R298" s="943"/>
      <c r="S298" s="944"/>
      <c r="T298" s="1159">
        <f>'Yobe Workings'!$V$55</f>
        <v>2.1333333333333333</v>
      </c>
      <c r="U298" s="1160">
        <f>'Yobe Workings'!$V$10</f>
        <v>2.6666666666666661</v>
      </c>
      <c r="V298" s="1160">
        <f>'Yobe Workings'!$V$10</f>
        <v>2.6666666666666661</v>
      </c>
      <c r="W298" s="1161">
        <f>'Yobe Workings'!$V$10</f>
        <v>2.6666666666666661</v>
      </c>
      <c r="X298" s="880"/>
    </row>
    <row r="299" spans="1:24" ht="12.95" customHeight="1" thickBot="1">
      <c r="A299" s="885"/>
      <c r="B299" s="885"/>
      <c r="C299" s="9" t="s">
        <v>290</v>
      </c>
      <c r="D299" s="957"/>
      <c r="E299" s="958"/>
      <c r="F299" s="958"/>
      <c r="G299" s="959"/>
      <c r="H299" s="1162"/>
      <c r="I299" s="1163"/>
      <c r="J299" s="1163"/>
      <c r="K299" s="1164"/>
      <c r="L299" s="1057" t="s">
        <v>909</v>
      </c>
      <c r="M299" s="1058"/>
      <c r="N299" s="1058"/>
      <c r="O299" s="1059"/>
      <c r="P299" s="942">
        <f>'LF-Anambra'!P93:S93</f>
        <v>1</v>
      </c>
      <c r="Q299" s="943"/>
      <c r="R299" s="943"/>
      <c r="S299" s="944"/>
      <c r="T299" s="960">
        <f t="shared" ref="T299:T300" si="47">P299</f>
        <v>1</v>
      </c>
      <c r="U299" s="961">
        <f t="shared" ref="U299:U300" si="48">Q299</f>
        <v>0</v>
      </c>
      <c r="V299" s="961">
        <f t="shared" ref="V299:V300" si="49">R299</f>
        <v>0</v>
      </c>
      <c r="W299" s="962">
        <f t="shared" ref="W299:W300" si="50">S299</f>
        <v>0</v>
      </c>
      <c r="X299" s="880"/>
    </row>
    <row r="300" spans="1:24" ht="12.95" customHeight="1" thickBot="1">
      <c r="A300" s="885"/>
      <c r="B300" s="885"/>
      <c r="C300" s="9" t="s">
        <v>291</v>
      </c>
      <c r="D300" s="957"/>
      <c r="E300" s="958"/>
      <c r="F300" s="958"/>
      <c r="G300" s="959"/>
      <c r="H300" s="1162"/>
      <c r="I300" s="1163"/>
      <c r="J300" s="1163"/>
      <c r="K300" s="1164"/>
      <c r="L300" s="1057" t="s">
        <v>909</v>
      </c>
      <c r="M300" s="1058"/>
      <c r="N300" s="1058"/>
      <c r="O300" s="1059"/>
      <c r="P300" s="942">
        <f>'LF-Niger'!P93:S93</f>
        <v>1</v>
      </c>
      <c r="Q300" s="943"/>
      <c r="R300" s="943"/>
      <c r="S300" s="944"/>
      <c r="T300" s="960">
        <f t="shared" si="47"/>
        <v>1</v>
      </c>
      <c r="U300" s="961">
        <f t="shared" si="48"/>
        <v>0</v>
      </c>
      <c r="V300" s="961">
        <f t="shared" si="49"/>
        <v>0</v>
      </c>
      <c r="W300" s="962">
        <f t="shared" si="50"/>
        <v>0</v>
      </c>
      <c r="X300" s="880"/>
    </row>
    <row r="301" spans="1:24" ht="13.5" thickBot="1">
      <c r="A301" s="885"/>
      <c r="B301" s="885"/>
      <c r="C301" s="100" t="s">
        <v>295</v>
      </c>
      <c r="D301" s="1017"/>
      <c r="E301" s="1018"/>
      <c r="F301" s="1018"/>
      <c r="G301" s="1019"/>
      <c r="H301" s="1147">
        <f>'LF-Enugu'!H94:K94</f>
        <v>0</v>
      </c>
      <c r="I301" s="1148"/>
      <c r="J301" s="1148"/>
      <c r="K301" s="1149"/>
      <c r="L301" s="1147">
        <f>'LF-Enugu'!L94:O94</f>
        <v>2.8</v>
      </c>
      <c r="M301" s="1148"/>
      <c r="N301" s="1148"/>
      <c r="O301" s="1149"/>
      <c r="P301" s="1147">
        <f>'LF-Enugu'!P94:S94</f>
        <v>2.9</v>
      </c>
      <c r="Q301" s="1148"/>
      <c r="R301" s="1148"/>
      <c r="S301" s="1149"/>
      <c r="T301" s="1147">
        <f>'Enugu Workings'!$V$56</f>
        <v>3.8</v>
      </c>
      <c r="U301" s="1148">
        <f>'Enugu Workings'!$V$11</f>
        <v>2</v>
      </c>
      <c r="V301" s="1148">
        <f>'Enugu Workings'!$V$11</f>
        <v>2</v>
      </c>
      <c r="W301" s="1149">
        <f>'Enugu Workings'!$V$11</f>
        <v>2</v>
      </c>
      <c r="X301" s="880"/>
    </row>
    <row r="302" spans="1:24" ht="13.5" thickBot="1">
      <c r="A302" s="885"/>
      <c r="B302" s="885"/>
      <c r="C302" s="100" t="s">
        <v>296</v>
      </c>
      <c r="D302" s="1017"/>
      <c r="E302" s="1018"/>
      <c r="F302" s="1018"/>
      <c r="G302" s="1019"/>
      <c r="H302" s="1147">
        <f>'LF-Jigawa'!H94:K94</f>
        <v>1.5</v>
      </c>
      <c r="I302" s="1148"/>
      <c r="J302" s="1148"/>
      <c r="K302" s="1149"/>
      <c r="L302" s="1147">
        <f>'LF-Jigawa'!L94:O94</f>
        <v>3.2</v>
      </c>
      <c r="M302" s="1148"/>
      <c r="N302" s="1148"/>
      <c r="O302" s="1149"/>
      <c r="P302" s="1147">
        <f>'LF-Jigawa'!P94:S94</f>
        <v>3.8</v>
      </c>
      <c r="Q302" s="1148"/>
      <c r="R302" s="1148"/>
      <c r="S302" s="1149"/>
      <c r="T302" s="1147">
        <f>'Jigawa Workings'!$V$56</f>
        <v>4.2</v>
      </c>
      <c r="U302" s="1148">
        <f>'Jigawa Workings'!$V$11</f>
        <v>12</v>
      </c>
      <c r="V302" s="1148">
        <f>'Jigawa Workings'!$V$11</f>
        <v>12</v>
      </c>
      <c r="W302" s="1149">
        <f>'Jigawa Workings'!$V$11</f>
        <v>12</v>
      </c>
      <c r="X302" s="880"/>
    </row>
    <row r="303" spans="1:24" ht="13.5" thickBot="1">
      <c r="A303" s="885"/>
      <c r="B303" s="885"/>
      <c r="C303" s="100" t="s">
        <v>297</v>
      </c>
      <c r="D303" s="1017"/>
      <c r="E303" s="1018"/>
      <c r="F303" s="1018"/>
      <c r="G303" s="1019"/>
      <c r="H303" s="1147">
        <f>'LF-Kaduna'!H94:K94</f>
        <v>1</v>
      </c>
      <c r="I303" s="1148"/>
      <c r="J303" s="1148"/>
      <c r="K303" s="1149"/>
      <c r="L303" s="1147">
        <f>'LF-Kaduna'!L94:O94</f>
        <v>2</v>
      </c>
      <c r="M303" s="1148"/>
      <c r="N303" s="1148"/>
      <c r="O303" s="1149"/>
      <c r="P303" s="1147">
        <f>'LF-Kaduna'!P94:S94</f>
        <v>2.6</v>
      </c>
      <c r="Q303" s="1148"/>
      <c r="R303" s="1148"/>
      <c r="S303" s="1149"/>
      <c r="T303" s="1147">
        <f>'Kaduna Workings'!$V$56</f>
        <v>3.2</v>
      </c>
      <c r="U303" s="1148">
        <f>'Kaduna Workings'!$V$11</f>
        <v>2</v>
      </c>
      <c r="V303" s="1148">
        <f>'Kaduna Workings'!$V$11</f>
        <v>2</v>
      </c>
      <c r="W303" s="1149">
        <f>'Kaduna Workings'!$V$11</f>
        <v>2</v>
      </c>
      <c r="X303" s="880"/>
    </row>
    <row r="304" spans="1:24" ht="13.5" thickBot="1">
      <c r="A304" s="885"/>
      <c r="B304" s="885"/>
      <c r="C304" s="100" t="s">
        <v>298</v>
      </c>
      <c r="D304" s="1017"/>
      <c r="E304" s="1018"/>
      <c r="F304" s="1018"/>
      <c r="G304" s="1019"/>
      <c r="H304" s="1147">
        <f>'LF-Kano'!H94:K94</f>
        <v>1</v>
      </c>
      <c r="I304" s="1148"/>
      <c r="J304" s="1148"/>
      <c r="K304" s="1149"/>
      <c r="L304" s="1147">
        <f>'LF-Kano'!L94:O94</f>
        <v>3.6</v>
      </c>
      <c r="M304" s="1148"/>
      <c r="N304" s="1148"/>
      <c r="O304" s="1149"/>
      <c r="P304" s="1147">
        <f>'LF-Kano'!P94:S94</f>
        <v>4</v>
      </c>
      <c r="Q304" s="1148"/>
      <c r="R304" s="1148"/>
      <c r="S304" s="1149"/>
      <c r="T304" s="1147">
        <f>'Kano Workings'!$V$56</f>
        <v>3.6</v>
      </c>
      <c r="U304" s="1148">
        <f>'Kano Workings'!$V$11</f>
        <v>6</v>
      </c>
      <c r="V304" s="1148">
        <f>'Kano Workings'!$V$11</f>
        <v>6</v>
      </c>
      <c r="W304" s="1149">
        <f>'Kano Workings'!$V$11</f>
        <v>6</v>
      </c>
      <c r="X304" s="880"/>
    </row>
    <row r="305" spans="1:24" ht="13.5" thickBot="1">
      <c r="A305" s="885"/>
      <c r="B305" s="885"/>
      <c r="C305" s="100" t="s">
        <v>299</v>
      </c>
      <c r="D305" s="1017"/>
      <c r="E305" s="1018"/>
      <c r="F305" s="1018"/>
      <c r="G305" s="1019"/>
      <c r="H305" s="1147">
        <f>'LF-Lagos'!H94:K94</f>
        <v>1</v>
      </c>
      <c r="I305" s="1148"/>
      <c r="J305" s="1148"/>
      <c r="K305" s="1149"/>
      <c r="L305" s="1147">
        <f>'LF-Lagos'!L94:O94</f>
        <v>2.9</v>
      </c>
      <c r="M305" s="1148"/>
      <c r="N305" s="1148"/>
      <c r="O305" s="1149"/>
      <c r="P305" s="1147">
        <f>'LF-Lagos'!P94:S94</f>
        <v>3.5</v>
      </c>
      <c r="Q305" s="1148"/>
      <c r="R305" s="1148"/>
      <c r="S305" s="1149"/>
      <c r="T305" s="1147">
        <f>'Lagos Workings'!$V$56</f>
        <v>4.2</v>
      </c>
      <c r="U305" s="1148">
        <f>'Lagos Workings'!$V$11</f>
        <v>15</v>
      </c>
      <c r="V305" s="1148">
        <f>'Lagos Workings'!$V$11</f>
        <v>15</v>
      </c>
      <c r="W305" s="1149">
        <f>'Lagos Workings'!$V$11</f>
        <v>15</v>
      </c>
      <c r="X305" s="880"/>
    </row>
    <row r="306" spans="1:24" ht="24.75" thickBot="1">
      <c r="A306" s="885"/>
      <c r="B306" s="885"/>
      <c r="C306" s="100" t="s">
        <v>300</v>
      </c>
      <c r="D306" s="1017"/>
      <c r="E306" s="1018"/>
      <c r="F306" s="1018"/>
      <c r="G306" s="1019"/>
      <c r="H306" s="1017"/>
      <c r="I306" s="1018"/>
      <c r="J306" s="1018"/>
      <c r="K306" s="1019"/>
      <c r="L306" s="1147">
        <f>'LF-Zamfara'!L94:O94</f>
        <v>1</v>
      </c>
      <c r="M306" s="1148"/>
      <c r="N306" s="1148"/>
      <c r="O306" s="1149"/>
      <c r="P306" s="1147">
        <f>'LF-Zamfara'!P94:S94</f>
        <v>3.2</v>
      </c>
      <c r="Q306" s="1148"/>
      <c r="R306" s="1148"/>
      <c r="S306" s="1149"/>
      <c r="T306" s="1147">
        <f>'Zamfara Workings'!$V$56</f>
        <v>1.8</v>
      </c>
      <c r="U306" s="1148">
        <f>'Zamfara Workings'!$V$11</f>
        <v>1</v>
      </c>
      <c r="V306" s="1148">
        <f>'Zamfara Workings'!$V$11</f>
        <v>1</v>
      </c>
      <c r="W306" s="1149">
        <f>'Zamfara Workings'!$V$11</f>
        <v>1</v>
      </c>
      <c r="X306" s="880"/>
    </row>
    <row r="307" spans="1:24" ht="13.5" thickBot="1">
      <c r="A307" s="885"/>
      <c r="B307" s="885"/>
      <c r="C307" s="100" t="s">
        <v>301</v>
      </c>
      <c r="D307" s="1017"/>
      <c r="E307" s="1018"/>
      <c r="F307" s="1018"/>
      <c r="G307" s="1019"/>
      <c r="H307" s="1017"/>
      <c r="I307" s="1018"/>
      <c r="J307" s="1018"/>
      <c r="K307" s="1019"/>
      <c r="L307" s="1147">
        <f>'LF-Katsina'!L94:O94</f>
        <v>1</v>
      </c>
      <c r="M307" s="1148"/>
      <c r="N307" s="1148"/>
      <c r="O307" s="1149"/>
      <c r="P307" s="1147">
        <f>'LF-Katsina'!P94:S94</f>
        <v>1</v>
      </c>
      <c r="Q307" s="1148"/>
      <c r="R307" s="1148"/>
      <c r="S307" s="1149"/>
      <c r="T307" s="1147">
        <f>'Katsina Workings'!$V$56</f>
        <v>3.2</v>
      </c>
      <c r="U307" s="1148">
        <f>'Katsina Workings'!$V$11</f>
        <v>6</v>
      </c>
      <c r="V307" s="1148">
        <f>'Katsina Workings'!$V$11</f>
        <v>6</v>
      </c>
      <c r="W307" s="1149">
        <f>'Katsina Workings'!$V$11</f>
        <v>6</v>
      </c>
      <c r="X307" s="880"/>
    </row>
    <row r="308" spans="1:24" ht="13.5" thickBot="1">
      <c r="A308" s="885"/>
      <c r="B308" s="885"/>
      <c r="C308" s="100" t="s">
        <v>302</v>
      </c>
      <c r="D308" s="1017"/>
      <c r="E308" s="1018"/>
      <c r="F308" s="1018"/>
      <c r="G308" s="1019"/>
      <c r="H308" s="1017"/>
      <c r="I308" s="1018"/>
      <c r="J308" s="1018"/>
      <c r="K308" s="1019"/>
      <c r="L308" s="1147">
        <f>'LF-Yobe'!L94:O94</f>
        <v>1</v>
      </c>
      <c r="M308" s="1148"/>
      <c r="N308" s="1148"/>
      <c r="O308" s="1149"/>
      <c r="P308" s="1147">
        <f>'LF-Yobe'!P94:S94</f>
        <v>3.8</v>
      </c>
      <c r="Q308" s="1148"/>
      <c r="R308" s="1148"/>
      <c r="S308" s="1149"/>
      <c r="T308" s="1147">
        <f>'Yobe Workings'!$V$56</f>
        <v>4</v>
      </c>
      <c r="U308" s="1148">
        <f>'Yobe Workings'!$V$11</f>
        <v>10</v>
      </c>
      <c r="V308" s="1148">
        <f>'Yobe Workings'!$V$11</f>
        <v>10</v>
      </c>
      <c r="W308" s="1149">
        <f>'Yobe Workings'!$V$11</f>
        <v>10</v>
      </c>
      <c r="X308" s="880"/>
    </row>
    <row r="309" spans="1:24" ht="24.75" thickBot="1">
      <c r="A309" s="885"/>
      <c r="B309" s="885"/>
      <c r="C309" s="100" t="s">
        <v>303</v>
      </c>
      <c r="D309" s="1017"/>
      <c r="E309" s="1018"/>
      <c r="F309" s="1018"/>
      <c r="G309" s="1019"/>
      <c r="H309" s="1017"/>
      <c r="I309" s="1018"/>
      <c r="J309" s="1018"/>
      <c r="K309" s="1019"/>
      <c r="L309" s="1017"/>
      <c r="M309" s="1018"/>
      <c r="N309" s="1018"/>
      <c r="O309" s="1019"/>
      <c r="P309" s="1054"/>
      <c r="Q309" s="1055"/>
      <c r="R309" s="1055"/>
      <c r="S309" s="1056"/>
      <c r="T309" s="1147">
        <f t="shared" ref="T309:W309" si="51">T299</f>
        <v>1</v>
      </c>
      <c r="U309" s="1148">
        <f t="shared" si="51"/>
        <v>0</v>
      </c>
      <c r="V309" s="1148">
        <f t="shared" si="51"/>
        <v>0</v>
      </c>
      <c r="W309" s="1149">
        <f t="shared" si="51"/>
        <v>0</v>
      </c>
      <c r="X309" s="880"/>
    </row>
    <row r="310" spans="1:24" ht="13.5" thickBot="1">
      <c r="A310" s="885"/>
      <c r="B310" s="885"/>
      <c r="C310" s="100" t="s">
        <v>304</v>
      </c>
      <c r="D310" s="1017"/>
      <c r="E310" s="1018"/>
      <c r="F310" s="1018"/>
      <c r="G310" s="1019"/>
      <c r="H310" s="1017"/>
      <c r="I310" s="1018"/>
      <c r="J310" s="1018"/>
      <c r="K310" s="1019"/>
      <c r="L310" s="1017"/>
      <c r="M310" s="1018"/>
      <c r="N310" s="1018"/>
      <c r="O310" s="1019"/>
      <c r="P310" s="1054"/>
      <c r="Q310" s="1055"/>
      <c r="R310" s="1055"/>
      <c r="S310" s="1056"/>
      <c r="T310" s="1147">
        <f t="shared" ref="T310:W310" si="52">T300</f>
        <v>1</v>
      </c>
      <c r="U310" s="1148">
        <f t="shared" si="52"/>
        <v>0</v>
      </c>
      <c r="V310" s="1148">
        <f t="shared" si="52"/>
        <v>0</v>
      </c>
      <c r="W310" s="1149">
        <f t="shared" si="52"/>
        <v>0</v>
      </c>
      <c r="X310" s="880"/>
    </row>
    <row r="311" spans="1:24" ht="13.5" thickBot="1">
      <c r="A311" s="885"/>
      <c r="B311" s="885"/>
      <c r="C311" s="922" t="s">
        <v>413</v>
      </c>
      <c r="D311" s="927" t="s">
        <v>4</v>
      </c>
      <c r="E311" s="928"/>
      <c r="F311" s="928"/>
      <c r="G311" s="928"/>
      <c r="H311" s="928"/>
      <c r="I311" s="928"/>
      <c r="J311" s="928"/>
      <c r="K311" s="928"/>
      <c r="L311" s="928"/>
      <c r="M311" s="928"/>
      <c r="N311" s="928"/>
      <c r="O311" s="928"/>
      <c r="P311" s="928"/>
      <c r="Q311" s="928"/>
      <c r="R311" s="928"/>
      <c r="S311" s="928"/>
      <c r="T311" s="928"/>
      <c r="U311" s="928"/>
      <c r="V311" s="928"/>
      <c r="W311" s="929"/>
      <c r="X311" s="880"/>
    </row>
    <row r="312" spans="1:24" ht="13.5" thickBot="1">
      <c r="A312" s="885"/>
      <c r="B312" s="869"/>
      <c r="C312" s="923"/>
      <c r="D312" s="930" t="s">
        <v>118</v>
      </c>
      <c r="E312" s="931"/>
      <c r="F312" s="931"/>
      <c r="G312" s="931"/>
      <c r="H312" s="931"/>
      <c r="I312" s="931"/>
      <c r="J312" s="931"/>
      <c r="K312" s="931"/>
      <c r="L312" s="931"/>
      <c r="M312" s="931"/>
      <c r="N312" s="931"/>
      <c r="O312" s="931"/>
      <c r="P312" s="931"/>
      <c r="Q312" s="931"/>
      <c r="R312" s="931"/>
      <c r="S312" s="931"/>
      <c r="T312" s="931"/>
      <c r="U312" s="931"/>
      <c r="V312" s="931"/>
      <c r="W312" s="932"/>
      <c r="X312" s="880"/>
    </row>
    <row r="313" spans="1:24" ht="12.95" customHeight="1" thickBot="1">
      <c r="A313" s="885"/>
      <c r="B313" s="11" t="s">
        <v>21</v>
      </c>
      <c r="C313" s="12"/>
      <c r="D313" s="927" t="s">
        <v>78</v>
      </c>
      <c r="E313" s="928"/>
      <c r="F313" s="928"/>
      <c r="G313" s="929"/>
      <c r="H313" s="927" t="s">
        <v>77</v>
      </c>
      <c r="I313" s="928"/>
      <c r="J313" s="928"/>
      <c r="K313" s="929"/>
      <c r="L313" s="927" t="s">
        <v>81</v>
      </c>
      <c r="M313" s="928"/>
      <c r="N313" s="928"/>
      <c r="O313" s="929"/>
      <c r="P313" s="927" t="s">
        <v>254</v>
      </c>
      <c r="Q313" s="928"/>
      <c r="R313" s="928"/>
      <c r="S313" s="929"/>
      <c r="T313" s="1144" t="s">
        <v>908</v>
      </c>
      <c r="U313" s="1145"/>
      <c r="V313" s="1145"/>
      <c r="W313" s="1146"/>
      <c r="X313" s="880"/>
    </row>
    <row r="314" spans="1:24" ht="13.5" thickBot="1">
      <c r="A314" s="885"/>
      <c r="B314" s="868" t="s">
        <v>63</v>
      </c>
      <c r="C314" s="9" t="s">
        <v>285</v>
      </c>
      <c r="D314" s="924">
        <f>'LF-Enugu'!D98:G98</f>
        <v>0</v>
      </c>
      <c r="E314" s="925"/>
      <c r="F314" s="925"/>
      <c r="G314" s="926"/>
      <c r="H314" s="924">
        <f>'LF-Enugu'!H98:K98</f>
        <v>0</v>
      </c>
      <c r="I314" s="925"/>
      <c r="J314" s="925"/>
      <c r="K314" s="926"/>
      <c r="L314" s="924">
        <f>'LF-Enugu'!L98:O98</f>
        <v>2</v>
      </c>
      <c r="M314" s="925"/>
      <c r="N314" s="925"/>
      <c r="O314" s="926"/>
      <c r="P314" s="924">
        <f>'LF-Enugu'!P98:S98</f>
        <v>4</v>
      </c>
      <c r="Q314" s="925"/>
      <c r="R314" s="925"/>
      <c r="S314" s="926"/>
      <c r="T314" s="1159">
        <f>'Enugu Workings'!$V$58</f>
        <v>6</v>
      </c>
      <c r="U314" s="1160">
        <f>'Enugu Workings'!$V$10</f>
        <v>3.3333333333333339</v>
      </c>
      <c r="V314" s="1160">
        <f>'Enugu Workings'!$V$10</f>
        <v>3.3333333333333339</v>
      </c>
      <c r="W314" s="1161">
        <f>'Enugu Workings'!$V$10</f>
        <v>3.3333333333333339</v>
      </c>
      <c r="X314" s="880"/>
    </row>
    <row r="315" spans="1:24" ht="13.5" thickBot="1">
      <c r="A315" s="885"/>
      <c r="B315" s="885"/>
      <c r="C315" s="9" t="s">
        <v>286</v>
      </c>
      <c r="D315" s="924">
        <f>'LF-Jigawa'!D98:G98</f>
        <v>0</v>
      </c>
      <c r="E315" s="925"/>
      <c r="F315" s="925"/>
      <c r="G315" s="926"/>
      <c r="H315" s="924">
        <f>'LF-Jigawa'!H98:K98</f>
        <v>2</v>
      </c>
      <c r="I315" s="925"/>
      <c r="J315" s="925"/>
      <c r="K315" s="926"/>
      <c r="L315" s="924">
        <f>'LF-Jigawa'!L98:O98</f>
        <v>4</v>
      </c>
      <c r="M315" s="925"/>
      <c r="N315" s="925"/>
      <c r="O315" s="926"/>
      <c r="P315" s="939">
        <f>'LF-Jigawa'!P98:S98</f>
        <v>6</v>
      </c>
      <c r="Q315" s="940"/>
      <c r="R315" s="940"/>
      <c r="S315" s="941"/>
      <c r="T315" s="1159">
        <f>'Jigawa Workings'!$V$58</f>
        <v>7.3333333333333321</v>
      </c>
      <c r="U315" s="1160">
        <f>'Jigawa Workings'!$V$10</f>
        <v>14.666666666666664</v>
      </c>
      <c r="V315" s="1160">
        <f>'Jigawa Workings'!$V$10</f>
        <v>14.666666666666664</v>
      </c>
      <c r="W315" s="1161">
        <f>'Jigawa Workings'!$V$10</f>
        <v>14.666666666666664</v>
      </c>
      <c r="X315" s="880"/>
    </row>
    <row r="316" spans="1:24" ht="13.5" thickBot="1">
      <c r="A316" s="885"/>
      <c r="B316" s="885"/>
      <c r="C316" s="9" t="s">
        <v>287</v>
      </c>
      <c r="D316" s="924">
        <f>'LF-Kaduna'!D98:G98</f>
        <v>0</v>
      </c>
      <c r="E316" s="925"/>
      <c r="F316" s="925"/>
      <c r="G316" s="926"/>
      <c r="H316" s="924">
        <f>'LF-Kaduna'!H98:K98</f>
        <v>2</v>
      </c>
      <c r="I316" s="925"/>
      <c r="J316" s="925"/>
      <c r="K316" s="926"/>
      <c r="L316" s="924">
        <f>'LF-Kaduna'!L98:O98</f>
        <v>3</v>
      </c>
      <c r="M316" s="925"/>
      <c r="N316" s="925"/>
      <c r="O316" s="926"/>
      <c r="P316" s="939">
        <f>'LF-Kaduna'!P98:S98</f>
        <v>5</v>
      </c>
      <c r="Q316" s="940"/>
      <c r="R316" s="940"/>
      <c r="S316" s="941"/>
      <c r="T316" s="1159">
        <f>'Kaduna Workings'!$V$58</f>
        <v>6.3333333333333321</v>
      </c>
      <c r="U316" s="1160">
        <f>'Kaduna Workings'!$V$10</f>
        <v>13.666666666666664</v>
      </c>
      <c r="V316" s="1160">
        <f>'Kaduna Workings'!$V$10</f>
        <v>13.666666666666664</v>
      </c>
      <c r="W316" s="1161">
        <f>'Kaduna Workings'!$V$10</f>
        <v>13.666666666666664</v>
      </c>
      <c r="X316" s="880"/>
    </row>
    <row r="317" spans="1:24" ht="13.5" thickBot="1">
      <c r="A317" s="885"/>
      <c r="B317" s="885"/>
      <c r="C317" s="9" t="s">
        <v>288</v>
      </c>
      <c r="D317" s="924">
        <f>'LF-Kano'!D98:G98</f>
        <v>0</v>
      </c>
      <c r="E317" s="925"/>
      <c r="F317" s="925"/>
      <c r="G317" s="926"/>
      <c r="H317" s="924">
        <f>'LF-Kano'!H98:K98</f>
        <v>2</v>
      </c>
      <c r="I317" s="925"/>
      <c r="J317" s="925"/>
      <c r="K317" s="926"/>
      <c r="L317" s="924">
        <f>'LF-Kano'!L98:O98</f>
        <v>3</v>
      </c>
      <c r="M317" s="925"/>
      <c r="N317" s="925"/>
      <c r="O317" s="926"/>
      <c r="P317" s="939">
        <f>'LF-Kano'!P98:S98</f>
        <v>5</v>
      </c>
      <c r="Q317" s="940"/>
      <c r="R317" s="940"/>
      <c r="S317" s="941"/>
      <c r="T317" s="1159">
        <f>'Kano Workings'!$V$58</f>
        <v>6.3333333333333321</v>
      </c>
      <c r="U317" s="1160">
        <f>'Kano Workings'!$V$10</f>
        <v>5.666666666666667</v>
      </c>
      <c r="V317" s="1160">
        <f>'Kano Workings'!$V$10</f>
        <v>5.666666666666667</v>
      </c>
      <c r="W317" s="1161">
        <f>'Kano Workings'!$V$10</f>
        <v>5.666666666666667</v>
      </c>
      <c r="X317" s="880"/>
    </row>
    <row r="318" spans="1:24" ht="13.5" thickBot="1">
      <c r="A318" s="885"/>
      <c r="B318" s="885"/>
      <c r="C318" s="9" t="s">
        <v>289</v>
      </c>
      <c r="D318" s="924">
        <f>'LF-Lagos'!D98:G98</f>
        <v>0</v>
      </c>
      <c r="E318" s="925"/>
      <c r="F318" s="925"/>
      <c r="G318" s="926"/>
      <c r="H318" s="924">
        <f>'LF-Lagos'!H98:K98</f>
        <v>1</v>
      </c>
      <c r="I318" s="925"/>
      <c r="J318" s="925"/>
      <c r="K318" s="926"/>
      <c r="L318" s="924">
        <f>'LF-Lagos'!L98:O98</f>
        <v>2</v>
      </c>
      <c r="M318" s="925"/>
      <c r="N318" s="925"/>
      <c r="O318" s="926"/>
      <c r="P318" s="939">
        <f>'LF-Lagos'!P98:S98</f>
        <v>3</v>
      </c>
      <c r="Q318" s="940"/>
      <c r="R318" s="940"/>
      <c r="S318" s="941"/>
      <c r="T318" s="1159">
        <f>'Lagos Workings'!$V$58</f>
        <v>4.333333333333333</v>
      </c>
      <c r="U318" s="1160">
        <f>'Lagos Workings'!$V$10</f>
        <v>15</v>
      </c>
      <c r="V318" s="1160">
        <f>'Lagos Workings'!$V$10</f>
        <v>15</v>
      </c>
      <c r="W318" s="1161">
        <f>'Lagos Workings'!$V$10</f>
        <v>15</v>
      </c>
      <c r="X318" s="880"/>
    </row>
    <row r="319" spans="1:24" ht="13.5" thickBot="1">
      <c r="A319" s="885"/>
      <c r="B319" s="885"/>
      <c r="C319" s="9" t="s">
        <v>292</v>
      </c>
      <c r="D319" s="966" t="s">
        <v>255</v>
      </c>
      <c r="E319" s="967"/>
      <c r="F319" s="967"/>
      <c r="G319" s="968"/>
      <c r="H319" s="924">
        <f>'LF-Zamfara'!H98:K98</f>
        <v>0</v>
      </c>
      <c r="I319" s="925"/>
      <c r="J319" s="925"/>
      <c r="K319" s="926"/>
      <c r="L319" s="924">
        <f>'LF-Zamfara'!L98:O98</f>
        <v>0</v>
      </c>
      <c r="M319" s="925"/>
      <c r="N319" s="925"/>
      <c r="O319" s="926"/>
      <c r="P319" s="939">
        <f>'LF-Zamfara'!P98:S98</f>
        <v>1</v>
      </c>
      <c r="Q319" s="940"/>
      <c r="R319" s="940"/>
      <c r="S319" s="941"/>
      <c r="T319" s="1159">
        <f>'Zamfara Workings'!$V$58</f>
        <v>2.333333333333333</v>
      </c>
      <c r="U319" s="1160">
        <f>'Zamfara Workings'!$V$10</f>
        <v>3.3333333333333339</v>
      </c>
      <c r="V319" s="1160">
        <f>'Zamfara Workings'!$V$10</f>
        <v>3.3333333333333339</v>
      </c>
      <c r="W319" s="1161">
        <f>'Zamfara Workings'!$V$10</f>
        <v>3.3333333333333339</v>
      </c>
      <c r="X319" s="880"/>
    </row>
    <row r="320" spans="1:24" ht="13.5" thickBot="1">
      <c r="A320" s="885"/>
      <c r="B320" s="885"/>
      <c r="C320" s="9" t="s">
        <v>293</v>
      </c>
      <c r="D320" s="966" t="s">
        <v>255</v>
      </c>
      <c r="E320" s="967"/>
      <c r="F320" s="967"/>
      <c r="G320" s="968"/>
      <c r="H320" s="924">
        <f>'LF-Katsina'!H98:K98</f>
        <v>0</v>
      </c>
      <c r="I320" s="925"/>
      <c r="J320" s="925"/>
      <c r="K320" s="926"/>
      <c r="L320" s="939">
        <f>'LF-Katsina'!L98:O98</f>
        <v>0</v>
      </c>
      <c r="M320" s="940"/>
      <c r="N320" s="940"/>
      <c r="O320" s="941"/>
      <c r="P320" s="939">
        <f>'LF-Katsina'!P98:S98</f>
        <v>0</v>
      </c>
      <c r="Q320" s="940"/>
      <c r="R320" s="940"/>
      <c r="S320" s="941"/>
      <c r="T320" s="1159">
        <f>'Katsina Workings'!$V$58</f>
        <v>1.3333333333333333</v>
      </c>
      <c r="U320" s="1160">
        <f>'Katsina Workings'!$V$10</f>
        <v>6</v>
      </c>
      <c r="V320" s="1160">
        <f>'Katsina Workings'!$V$10</f>
        <v>6</v>
      </c>
      <c r="W320" s="1161">
        <f>'Katsina Workings'!$V$10</f>
        <v>6</v>
      </c>
      <c r="X320" s="880"/>
    </row>
    <row r="321" spans="1:24" ht="13.5" thickBot="1">
      <c r="A321" s="885"/>
      <c r="B321" s="885"/>
      <c r="C321" s="9" t="s">
        <v>294</v>
      </c>
      <c r="D321" s="966" t="s">
        <v>255</v>
      </c>
      <c r="E321" s="967"/>
      <c r="F321" s="967"/>
      <c r="G321" s="968"/>
      <c r="H321" s="924">
        <f>'LF-Yobe'!H98:K98</f>
        <v>0</v>
      </c>
      <c r="I321" s="925"/>
      <c r="J321" s="925"/>
      <c r="K321" s="926"/>
      <c r="L321" s="924">
        <f>'LF-Yobe'!L98:O98</f>
        <v>0</v>
      </c>
      <c r="M321" s="925"/>
      <c r="N321" s="925"/>
      <c r="O321" s="926"/>
      <c r="P321" s="924">
        <f>'LF-Yobe'!P98:S98</f>
        <v>1</v>
      </c>
      <c r="Q321" s="925"/>
      <c r="R321" s="925"/>
      <c r="S321" s="926"/>
      <c r="T321" s="1159">
        <f>'Yobe Workings'!$V$58</f>
        <v>2.333333333333333</v>
      </c>
      <c r="U321" s="1160">
        <f>'Yobe Workings'!$V$10</f>
        <v>2.6666666666666661</v>
      </c>
      <c r="V321" s="1160">
        <f>'Yobe Workings'!$V$10</f>
        <v>2.6666666666666661</v>
      </c>
      <c r="W321" s="1161">
        <f>'Yobe Workings'!$V$10</f>
        <v>2.6666666666666661</v>
      </c>
      <c r="X321" s="880"/>
    </row>
    <row r="322" spans="1:24" ht="12.95" customHeight="1" thickBot="1">
      <c r="A322" s="885"/>
      <c r="B322" s="885"/>
      <c r="C322" s="9" t="s">
        <v>290</v>
      </c>
      <c r="D322" s="933"/>
      <c r="E322" s="934"/>
      <c r="F322" s="934"/>
      <c r="G322" s="935"/>
      <c r="H322" s="1162"/>
      <c r="I322" s="1163"/>
      <c r="J322" s="1163"/>
      <c r="K322" s="1164"/>
      <c r="L322" s="1057" t="s">
        <v>909</v>
      </c>
      <c r="M322" s="1058"/>
      <c r="N322" s="1058"/>
      <c r="O322" s="1059"/>
      <c r="P322" s="924">
        <f>'LF-Anambra'!P98:S98</f>
        <v>0</v>
      </c>
      <c r="Q322" s="925"/>
      <c r="R322" s="925"/>
      <c r="S322" s="926"/>
      <c r="T322" s="960">
        <f t="shared" ref="T322:T323" si="53">P322</f>
        <v>0</v>
      </c>
      <c r="U322" s="961">
        <f t="shared" ref="U322:U323" si="54">Q322</f>
        <v>0</v>
      </c>
      <c r="V322" s="961">
        <f t="shared" ref="V322:V323" si="55">R322</f>
        <v>0</v>
      </c>
      <c r="W322" s="962">
        <f t="shared" ref="W322:W323" si="56">S322</f>
        <v>0</v>
      </c>
      <c r="X322" s="880"/>
    </row>
    <row r="323" spans="1:24" ht="12.95" customHeight="1" thickBot="1">
      <c r="A323" s="885"/>
      <c r="B323" s="885"/>
      <c r="C323" s="9" t="s">
        <v>291</v>
      </c>
      <c r="D323" s="933"/>
      <c r="E323" s="934"/>
      <c r="F323" s="934"/>
      <c r="G323" s="935"/>
      <c r="H323" s="1162"/>
      <c r="I323" s="1163"/>
      <c r="J323" s="1163"/>
      <c r="K323" s="1164"/>
      <c r="L323" s="1057" t="s">
        <v>909</v>
      </c>
      <c r="M323" s="1058"/>
      <c r="N323" s="1058"/>
      <c r="O323" s="1059"/>
      <c r="P323" s="924">
        <f>'LF-Niger'!P98:S98</f>
        <v>0</v>
      </c>
      <c r="Q323" s="925"/>
      <c r="R323" s="925"/>
      <c r="S323" s="926"/>
      <c r="T323" s="960">
        <f t="shared" si="53"/>
        <v>0</v>
      </c>
      <c r="U323" s="961">
        <f t="shared" si="54"/>
        <v>0</v>
      </c>
      <c r="V323" s="961">
        <f t="shared" si="55"/>
        <v>0</v>
      </c>
      <c r="W323" s="962">
        <f t="shared" si="56"/>
        <v>0</v>
      </c>
      <c r="X323" s="880"/>
    </row>
    <row r="324" spans="1:24" ht="13.5" thickBot="1">
      <c r="A324" s="885"/>
      <c r="B324" s="885"/>
      <c r="C324" s="100" t="s">
        <v>295</v>
      </c>
      <c r="D324" s="1011" t="s">
        <v>172</v>
      </c>
      <c r="E324" s="1012"/>
      <c r="F324" s="1012"/>
      <c r="G324" s="1013"/>
      <c r="H324" s="1054"/>
      <c r="I324" s="1055"/>
      <c r="J324" s="1055"/>
      <c r="K324" s="1056"/>
      <c r="L324" s="1140">
        <f>'LF-Enugu'!L99:O99</f>
        <v>3</v>
      </c>
      <c r="M324" s="1156"/>
      <c r="N324" s="1156"/>
      <c r="O324" s="1141"/>
      <c r="P324" s="1140">
        <f>'LF-Enugu'!P99:S99</f>
        <v>6</v>
      </c>
      <c r="Q324" s="1156"/>
      <c r="R324" s="1156"/>
      <c r="S324" s="1141"/>
      <c r="T324" s="1147">
        <f>'Enugu Workings'!$V$59</f>
        <v>10</v>
      </c>
      <c r="U324" s="1148">
        <f>'Enugu Workings'!$V$11</f>
        <v>2</v>
      </c>
      <c r="V324" s="1148">
        <f>'Enugu Workings'!$V$11</f>
        <v>2</v>
      </c>
      <c r="W324" s="1149">
        <f>'Enugu Workings'!$V$11</f>
        <v>2</v>
      </c>
      <c r="X324" s="880"/>
    </row>
    <row r="325" spans="1:24" ht="13.5" thickBot="1">
      <c r="A325" s="885"/>
      <c r="B325" s="885"/>
      <c r="C325" s="100" t="s">
        <v>296</v>
      </c>
      <c r="D325" s="1011" t="s">
        <v>417</v>
      </c>
      <c r="E325" s="1012"/>
      <c r="F325" s="1012"/>
      <c r="G325" s="1013"/>
      <c r="H325" s="1054"/>
      <c r="I325" s="1055"/>
      <c r="J325" s="1055"/>
      <c r="K325" s="1056"/>
      <c r="L325" s="1140">
        <f>'LF-Jigawa'!L99:O99</f>
        <v>2</v>
      </c>
      <c r="M325" s="1156"/>
      <c r="N325" s="1156"/>
      <c r="O325" s="1141"/>
      <c r="P325" s="1140">
        <f>'LF-Jigawa'!P99:S99</f>
        <v>6</v>
      </c>
      <c r="Q325" s="1156"/>
      <c r="R325" s="1156"/>
      <c r="S325" s="1141"/>
      <c r="T325" s="1147">
        <f>'Jigawa Workings'!$V$59</f>
        <v>9</v>
      </c>
      <c r="U325" s="1148">
        <f>'Jigawa Workings'!$V$11</f>
        <v>12</v>
      </c>
      <c r="V325" s="1148">
        <f>'Jigawa Workings'!$V$11</f>
        <v>12</v>
      </c>
      <c r="W325" s="1149">
        <f>'Jigawa Workings'!$V$11</f>
        <v>12</v>
      </c>
      <c r="X325" s="880"/>
    </row>
    <row r="326" spans="1:24" ht="13.5" thickBot="1">
      <c r="A326" s="885"/>
      <c r="B326" s="885"/>
      <c r="C326" s="100" t="s">
        <v>297</v>
      </c>
      <c r="D326" s="1054"/>
      <c r="E326" s="1055"/>
      <c r="F326" s="1055"/>
      <c r="G326" s="1056"/>
      <c r="H326" s="1054"/>
      <c r="I326" s="1055"/>
      <c r="J326" s="1055"/>
      <c r="K326" s="1056"/>
      <c r="L326" s="1140">
        <f>'LF-Kaduna'!L99:O99</f>
        <v>5</v>
      </c>
      <c r="M326" s="1156"/>
      <c r="N326" s="1156"/>
      <c r="O326" s="1141"/>
      <c r="P326" s="1140">
        <f>'LF-Kaduna'!P99:S99</f>
        <v>9</v>
      </c>
      <c r="Q326" s="1156"/>
      <c r="R326" s="1156"/>
      <c r="S326" s="1141"/>
      <c r="T326" s="1147">
        <f>'Kaduna Workings'!$V$59</f>
        <v>11</v>
      </c>
      <c r="U326" s="1148">
        <f>'Kaduna Workings'!$V$11</f>
        <v>2</v>
      </c>
      <c r="V326" s="1148">
        <f>'Kaduna Workings'!$V$11</f>
        <v>2</v>
      </c>
      <c r="W326" s="1149">
        <f>'Kaduna Workings'!$V$11</f>
        <v>2</v>
      </c>
      <c r="X326" s="880"/>
    </row>
    <row r="327" spans="1:24" ht="13.5" thickBot="1">
      <c r="A327" s="885"/>
      <c r="B327" s="885"/>
      <c r="C327" s="100" t="s">
        <v>298</v>
      </c>
      <c r="D327" s="1054"/>
      <c r="E327" s="1055"/>
      <c r="F327" s="1055"/>
      <c r="G327" s="1056"/>
      <c r="H327" s="1054"/>
      <c r="I327" s="1055"/>
      <c r="J327" s="1055"/>
      <c r="K327" s="1056"/>
      <c r="L327" s="1140">
        <f>'LF-Kano'!L99:O99</f>
        <v>4</v>
      </c>
      <c r="M327" s="1156"/>
      <c r="N327" s="1156"/>
      <c r="O327" s="1141"/>
      <c r="P327" s="1140">
        <f>'LF-Kano'!P99:S99</f>
        <v>8</v>
      </c>
      <c r="Q327" s="1156"/>
      <c r="R327" s="1156"/>
      <c r="S327" s="1141"/>
      <c r="T327" s="1147">
        <f>'Kano Workings'!$V$59</f>
        <v>9</v>
      </c>
      <c r="U327" s="1148">
        <f>'Kano Workings'!$V$11</f>
        <v>6</v>
      </c>
      <c r="V327" s="1148">
        <f>'Kano Workings'!$V$11</f>
        <v>6</v>
      </c>
      <c r="W327" s="1149">
        <f>'Kano Workings'!$V$11</f>
        <v>6</v>
      </c>
      <c r="X327" s="880"/>
    </row>
    <row r="328" spans="1:24" ht="13.5" thickBot="1">
      <c r="A328" s="885"/>
      <c r="B328" s="885"/>
      <c r="C328" s="100" t="s">
        <v>299</v>
      </c>
      <c r="D328" s="1054"/>
      <c r="E328" s="1055"/>
      <c r="F328" s="1055"/>
      <c r="G328" s="1056"/>
      <c r="H328" s="1054"/>
      <c r="I328" s="1055"/>
      <c r="J328" s="1055"/>
      <c r="K328" s="1056"/>
      <c r="L328" s="1140">
        <f>'LF-Lagos'!L99:O99</f>
        <v>2</v>
      </c>
      <c r="M328" s="1156"/>
      <c r="N328" s="1156"/>
      <c r="O328" s="1141"/>
      <c r="P328" s="1140">
        <f>'LF-Lagos'!P99:S99</f>
        <v>7</v>
      </c>
      <c r="Q328" s="1156"/>
      <c r="R328" s="1156"/>
      <c r="S328" s="1141"/>
      <c r="T328" s="1147">
        <f>'Lagos Workings'!$V$59</f>
        <v>12</v>
      </c>
      <c r="U328" s="1148">
        <f>'Lagos Workings'!$V$11</f>
        <v>15</v>
      </c>
      <c r="V328" s="1148">
        <f>'Lagos Workings'!$V$11</f>
        <v>15</v>
      </c>
      <c r="W328" s="1149">
        <f>'Lagos Workings'!$V$11</f>
        <v>15</v>
      </c>
      <c r="X328" s="880"/>
    </row>
    <row r="329" spans="1:24" ht="24.75" thickBot="1">
      <c r="A329" s="885"/>
      <c r="B329" s="885"/>
      <c r="C329" s="100" t="s">
        <v>300</v>
      </c>
      <c r="D329" s="1054"/>
      <c r="E329" s="1055"/>
      <c r="F329" s="1055"/>
      <c r="G329" s="1056"/>
      <c r="H329" s="1054"/>
      <c r="I329" s="1055"/>
      <c r="J329" s="1055"/>
      <c r="K329" s="1056"/>
      <c r="L329" s="1140">
        <f>'LF-Zamfara'!L99:O99</f>
        <v>0</v>
      </c>
      <c r="M329" s="1156"/>
      <c r="N329" s="1156"/>
      <c r="O329" s="1141"/>
      <c r="P329" s="1140">
        <f>'LF-Zamfara'!P99:S99</f>
        <v>0</v>
      </c>
      <c r="Q329" s="1156"/>
      <c r="R329" s="1156"/>
      <c r="S329" s="1141"/>
      <c r="T329" s="1147">
        <f>'Zamfara Workings'!$V$59</f>
        <v>1</v>
      </c>
      <c r="U329" s="1148">
        <f>'Zamfara Workings'!$V$11</f>
        <v>1</v>
      </c>
      <c r="V329" s="1148">
        <f>'Zamfara Workings'!$V$11</f>
        <v>1</v>
      </c>
      <c r="W329" s="1149">
        <f>'Zamfara Workings'!$V$11</f>
        <v>1</v>
      </c>
      <c r="X329" s="880"/>
    </row>
    <row r="330" spans="1:24" ht="13.5" thickBot="1">
      <c r="A330" s="885"/>
      <c r="B330" s="885"/>
      <c r="C330" s="100" t="s">
        <v>301</v>
      </c>
      <c r="D330" s="1054"/>
      <c r="E330" s="1055"/>
      <c r="F330" s="1055"/>
      <c r="G330" s="1056"/>
      <c r="H330" s="1054"/>
      <c r="I330" s="1055"/>
      <c r="J330" s="1055"/>
      <c r="K330" s="1056"/>
      <c r="L330" s="1140">
        <f>'LF-Katsina'!L99:O99</f>
        <v>0</v>
      </c>
      <c r="M330" s="1156"/>
      <c r="N330" s="1156"/>
      <c r="O330" s="1141"/>
      <c r="P330" s="1140">
        <f>'LF-Katsina'!P99:S99</f>
        <v>0</v>
      </c>
      <c r="Q330" s="1156"/>
      <c r="R330" s="1156"/>
      <c r="S330" s="1141"/>
      <c r="T330" s="1147">
        <f>'Katsina Workings'!$V$59</f>
        <v>0</v>
      </c>
      <c r="U330" s="1148">
        <f>'Katsina Workings'!$V$11</f>
        <v>6</v>
      </c>
      <c r="V330" s="1148">
        <f>'Katsina Workings'!$V$11</f>
        <v>6</v>
      </c>
      <c r="W330" s="1149">
        <f>'Katsina Workings'!$V$11</f>
        <v>6</v>
      </c>
      <c r="X330" s="880"/>
    </row>
    <row r="331" spans="1:24" ht="13.5" thickBot="1">
      <c r="A331" s="885"/>
      <c r="B331" s="885"/>
      <c r="C331" s="100" t="s">
        <v>302</v>
      </c>
      <c r="D331" s="1054"/>
      <c r="E331" s="1055"/>
      <c r="F331" s="1055"/>
      <c r="G331" s="1056"/>
      <c r="H331" s="1054"/>
      <c r="I331" s="1055"/>
      <c r="J331" s="1055"/>
      <c r="K331" s="1056"/>
      <c r="L331" s="1140">
        <f>'LF-Yobe'!L99:O99</f>
        <v>0</v>
      </c>
      <c r="M331" s="1156"/>
      <c r="N331" s="1156"/>
      <c r="O331" s="1141"/>
      <c r="P331" s="1140">
        <f>'LF-Yobe'!P99:S99</f>
        <v>3</v>
      </c>
      <c r="Q331" s="1156"/>
      <c r="R331" s="1156"/>
      <c r="S331" s="1141"/>
      <c r="T331" s="1147">
        <f>'Yobe Workings'!$V$59</f>
        <v>7</v>
      </c>
      <c r="U331" s="1148">
        <f>'Yobe Workings'!$V$11</f>
        <v>10</v>
      </c>
      <c r="V331" s="1148">
        <f>'Yobe Workings'!$V$11</f>
        <v>10</v>
      </c>
      <c r="W331" s="1149">
        <f>'Yobe Workings'!$V$11</f>
        <v>10</v>
      </c>
      <c r="X331" s="880"/>
    </row>
    <row r="332" spans="1:24" ht="24.75" thickBot="1">
      <c r="A332" s="885"/>
      <c r="B332" s="885"/>
      <c r="C332" s="100" t="s">
        <v>303</v>
      </c>
      <c r="D332" s="1054"/>
      <c r="E332" s="1055"/>
      <c r="F332" s="1055"/>
      <c r="G332" s="1056"/>
      <c r="H332" s="1054"/>
      <c r="I332" s="1055"/>
      <c r="J332" s="1055"/>
      <c r="K332" s="1056"/>
      <c r="L332" s="1054"/>
      <c r="M332" s="1055"/>
      <c r="N332" s="1055"/>
      <c r="O332" s="1056"/>
      <c r="P332" s="1054"/>
      <c r="Q332" s="1055"/>
      <c r="R332" s="1055"/>
      <c r="S332" s="1056"/>
      <c r="T332" s="1147">
        <f t="shared" ref="T332:W332" si="57">T322</f>
        <v>0</v>
      </c>
      <c r="U332" s="1148">
        <f t="shared" si="57"/>
        <v>0</v>
      </c>
      <c r="V332" s="1148">
        <f t="shared" si="57"/>
        <v>0</v>
      </c>
      <c r="W332" s="1149">
        <f t="shared" si="57"/>
        <v>0</v>
      </c>
      <c r="X332" s="880"/>
    </row>
    <row r="333" spans="1:24" ht="13.5" thickBot="1">
      <c r="A333" s="885"/>
      <c r="B333" s="885"/>
      <c r="C333" s="100" t="s">
        <v>304</v>
      </c>
      <c r="D333" s="1054"/>
      <c r="E333" s="1055"/>
      <c r="F333" s="1055"/>
      <c r="G333" s="1056"/>
      <c r="H333" s="1054"/>
      <c r="I333" s="1055"/>
      <c r="J333" s="1055"/>
      <c r="K333" s="1056"/>
      <c r="L333" s="1054"/>
      <c r="M333" s="1055"/>
      <c r="N333" s="1055"/>
      <c r="O333" s="1056"/>
      <c r="P333" s="1054"/>
      <c r="Q333" s="1055"/>
      <c r="R333" s="1055"/>
      <c r="S333" s="1056"/>
      <c r="T333" s="1147">
        <f t="shared" ref="T333:W333" si="58">T323</f>
        <v>0</v>
      </c>
      <c r="U333" s="1148">
        <f t="shared" si="58"/>
        <v>0</v>
      </c>
      <c r="V333" s="1148">
        <f t="shared" si="58"/>
        <v>0</v>
      </c>
      <c r="W333" s="1149">
        <f t="shared" si="58"/>
        <v>0</v>
      </c>
      <c r="X333" s="880"/>
    </row>
    <row r="334" spans="1:24" ht="13.5" thickBot="1">
      <c r="A334" s="513" t="s">
        <v>13</v>
      </c>
      <c r="B334" s="885"/>
      <c r="C334" s="922" t="s">
        <v>413</v>
      </c>
      <c r="D334" s="927" t="s">
        <v>4</v>
      </c>
      <c r="E334" s="928"/>
      <c r="F334" s="928"/>
      <c r="G334" s="928"/>
      <c r="H334" s="928"/>
      <c r="I334" s="928"/>
      <c r="J334" s="928"/>
      <c r="K334" s="928"/>
      <c r="L334" s="928"/>
      <c r="M334" s="928"/>
      <c r="N334" s="928"/>
      <c r="O334" s="928"/>
      <c r="P334" s="928"/>
      <c r="Q334" s="928"/>
      <c r="R334" s="928"/>
      <c r="S334" s="928"/>
      <c r="T334" s="928"/>
      <c r="U334" s="928"/>
      <c r="V334" s="928"/>
      <c r="W334" s="929"/>
      <c r="X334" s="550" t="s">
        <v>14</v>
      </c>
    </row>
    <row r="335" spans="1:24" ht="13.5" thickBot="1">
      <c r="A335" s="25" t="s">
        <v>75</v>
      </c>
      <c r="B335" s="869"/>
      <c r="C335" s="923"/>
      <c r="D335" s="930" t="s">
        <v>119</v>
      </c>
      <c r="E335" s="931"/>
      <c r="F335" s="931"/>
      <c r="G335" s="931"/>
      <c r="H335" s="931"/>
      <c r="I335" s="931"/>
      <c r="J335" s="931"/>
      <c r="K335" s="931"/>
      <c r="L335" s="931"/>
      <c r="M335" s="931"/>
      <c r="N335" s="931"/>
      <c r="O335" s="931"/>
      <c r="P335" s="931"/>
      <c r="Q335" s="931"/>
      <c r="R335" s="931"/>
      <c r="S335" s="931"/>
      <c r="T335" s="931"/>
      <c r="U335" s="931"/>
      <c r="V335" s="931"/>
      <c r="W335" s="932"/>
      <c r="X335" s="18" t="s">
        <v>93</v>
      </c>
    </row>
    <row r="336" spans="1:24" ht="13.5" thickBot="1">
      <c r="A336" s="906" t="s">
        <v>7</v>
      </c>
      <c r="B336" s="908" t="s">
        <v>173</v>
      </c>
      <c r="C336" s="909"/>
      <c r="D336" s="908" t="s">
        <v>8</v>
      </c>
      <c r="E336" s="918"/>
      <c r="F336" s="918"/>
      <c r="G336" s="909"/>
      <c r="H336" s="908" t="s">
        <v>88</v>
      </c>
      <c r="I336" s="918"/>
      <c r="J336" s="918"/>
      <c r="K336" s="909"/>
      <c r="L336" s="908" t="s">
        <v>89</v>
      </c>
      <c r="M336" s="918"/>
      <c r="N336" s="918"/>
      <c r="O336" s="909"/>
      <c r="P336" s="908" t="s">
        <v>9</v>
      </c>
      <c r="Q336" s="918"/>
      <c r="R336" s="918"/>
      <c r="S336" s="909"/>
      <c r="T336" s="908" t="s">
        <v>174</v>
      </c>
      <c r="U336" s="918"/>
      <c r="V336" s="918"/>
      <c r="W336" s="918"/>
      <c r="X336" s="909"/>
    </row>
    <row r="337" spans="1:24" ht="13.5" thickBot="1">
      <c r="A337" s="907"/>
      <c r="B337" s="919">
        <v>6200000</v>
      </c>
      <c r="C337" s="920"/>
      <c r="D337" s="919">
        <v>1200000</v>
      </c>
      <c r="E337" s="921"/>
      <c r="F337" s="921"/>
      <c r="G337" s="920"/>
      <c r="H337" s="919">
        <v>2500000</v>
      </c>
      <c r="I337" s="921"/>
      <c r="J337" s="921"/>
      <c r="K337" s="920"/>
      <c r="L337" s="919">
        <v>2800000</v>
      </c>
      <c r="M337" s="921"/>
      <c r="N337" s="921"/>
      <c r="O337" s="920"/>
      <c r="P337" s="919">
        <f>SUM(B337:O337)</f>
        <v>12700000</v>
      </c>
      <c r="Q337" s="921"/>
      <c r="R337" s="921"/>
      <c r="S337" s="920"/>
      <c r="T337" s="942">
        <f>B337/P337%</f>
        <v>48.818897637795274</v>
      </c>
      <c r="U337" s="943"/>
      <c r="V337" s="943"/>
      <c r="W337" s="943"/>
      <c r="X337" s="944"/>
    </row>
    <row r="338" spans="1:24" ht="13.5" thickBot="1">
      <c r="A338" s="906" t="s">
        <v>10</v>
      </c>
      <c r="B338" s="908" t="s">
        <v>175</v>
      </c>
      <c r="C338" s="909"/>
      <c r="D338" s="910"/>
      <c r="E338" s="911"/>
      <c r="F338" s="911"/>
      <c r="G338" s="911"/>
      <c r="H338" s="911"/>
      <c r="I338" s="911"/>
      <c r="J338" s="911"/>
      <c r="K338" s="911"/>
      <c r="L338" s="911"/>
      <c r="M338" s="911"/>
      <c r="N338" s="911"/>
      <c r="O338" s="911"/>
      <c r="P338" s="911"/>
      <c r="Q338" s="911"/>
      <c r="R338" s="911"/>
      <c r="S338" s="911"/>
      <c r="T338" s="911"/>
      <c r="U338" s="911"/>
      <c r="V338" s="911"/>
      <c r="W338" s="911"/>
      <c r="X338" s="912"/>
    </row>
    <row r="339" spans="1:24" ht="13.5" thickBot="1">
      <c r="A339" s="907"/>
      <c r="B339" s="916"/>
      <c r="C339" s="917"/>
      <c r="D339" s="913"/>
      <c r="E339" s="914"/>
      <c r="F339" s="914"/>
      <c r="G339" s="914"/>
      <c r="H339" s="914"/>
      <c r="I339" s="914"/>
      <c r="J339" s="914"/>
      <c r="K339" s="914"/>
      <c r="L339" s="914"/>
      <c r="M339" s="914"/>
      <c r="N339" s="914"/>
      <c r="O339" s="914"/>
      <c r="P339" s="914"/>
      <c r="Q339" s="914"/>
      <c r="R339" s="914"/>
      <c r="S339" s="914"/>
      <c r="T339" s="914"/>
      <c r="U339" s="914"/>
      <c r="V339" s="914"/>
      <c r="W339" s="914"/>
      <c r="X339" s="915"/>
    </row>
    <row r="341" spans="1:24" ht="13.5" thickBot="1"/>
    <row r="342" spans="1:24" ht="12.95" customHeight="1" thickBot="1">
      <c r="A342" s="506" t="s">
        <v>26</v>
      </c>
      <c r="B342" s="514" t="s">
        <v>29</v>
      </c>
      <c r="C342" s="8"/>
      <c r="D342" s="927" t="s">
        <v>78</v>
      </c>
      <c r="E342" s="928"/>
      <c r="F342" s="928"/>
      <c r="G342" s="929"/>
      <c r="H342" s="927" t="s">
        <v>77</v>
      </c>
      <c r="I342" s="928"/>
      <c r="J342" s="928"/>
      <c r="K342" s="929"/>
      <c r="L342" s="927" t="s">
        <v>81</v>
      </c>
      <c r="M342" s="928"/>
      <c r="N342" s="928"/>
      <c r="O342" s="929"/>
      <c r="P342" s="927" t="s">
        <v>254</v>
      </c>
      <c r="Q342" s="928"/>
      <c r="R342" s="928"/>
      <c r="S342" s="929"/>
      <c r="T342" s="1144" t="s">
        <v>908</v>
      </c>
      <c r="U342" s="1145"/>
      <c r="V342" s="1145"/>
      <c r="W342" s="1146"/>
      <c r="X342" s="16" t="s">
        <v>12</v>
      </c>
    </row>
    <row r="343" spans="1:24" ht="56.1" customHeight="1" thickBot="1">
      <c r="A343" s="868" t="s">
        <v>64</v>
      </c>
      <c r="B343" s="868" t="s">
        <v>156</v>
      </c>
      <c r="C343" s="9"/>
      <c r="D343" s="17" t="s">
        <v>101</v>
      </c>
      <c r="E343" s="17" t="s">
        <v>104</v>
      </c>
      <c r="F343" s="17" t="s">
        <v>102</v>
      </c>
      <c r="G343" s="17" t="s">
        <v>103</v>
      </c>
      <c r="H343" s="17" t="s">
        <v>101</v>
      </c>
      <c r="I343" s="17" t="s">
        <v>104</v>
      </c>
      <c r="J343" s="17" t="s">
        <v>102</v>
      </c>
      <c r="K343" s="17" t="s">
        <v>103</v>
      </c>
      <c r="L343" s="17" t="s">
        <v>101</v>
      </c>
      <c r="M343" s="17" t="s">
        <v>104</v>
      </c>
      <c r="N343" s="17" t="s">
        <v>102</v>
      </c>
      <c r="O343" s="17" t="s">
        <v>103</v>
      </c>
      <c r="P343" s="17" t="s">
        <v>101</v>
      </c>
      <c r="Q343" s="17" t="s">
        <v>104</v>
      </c>
      <c r="R343" s="17" t="s">
        <v>102</v>
      </c>
      <c r="S343" s="17" t="s">
        <v>103</v>
      </c>
      <c r="T343" s="17" t="s">
        <v>101</v>
      </c>
      <c r="U343" s="17" t="s">
        <v>104</v>
      </c>
      <c r="V343" s="17" t="s">
        <v>102</v>
      </c>
      <c r="W343" s="17" t="s">
        <v>103</v>
      </c>
      <c r="X343" s="879" t="s">
        <v>98</v>
      </c>
    </row>
    <row r="344" spans="1:24" ht="13.5" thickBot="1">
      <c r="A344" s="885"/>
      <c r="B344" s="885"/>
      <c r="C344" s="9" t="s">
        <v>285</v>
      </c>
      <c r="D344" s="104">
        <f>'LF-Enugu'!D110</f>
        <v>0</v>
      </c>
      <c r="E344" s="104">
        <f>'LF-Enugu'!E110</f>
        <v>0</v>
      </c>
      <c r="F344" s="104">
        <f>'LF-Enugu'!F110</f>
        <v>0</v>
      </c>
      <c r="G344" s="104">
        <f>'LF-Enugu'!G110</f>
        <v>0</v>
      </c>
      <c r="H344" s="104">
        <f>'LF-Enugu'!H110</f>
        <v>3</v>
      </c>
      <c r="I344" s="104">
        <f>'LF-Enugu'!I110</f>
        <v>2</v>
      </c>
      <c r="J344" s="104">
        <f>'LF-Enugu'!J110</f>
        <v>1</v>
      </c>
      <c r="K344" s="104">
        <f>'LF-Enugu'!K110</f>
        <v>0</v>
      </c>
      <c r="L344" s="104">
        <f>'LF-Enugu'!L110</f>
        <v>5</v>
      </c>
      <c r="M344" s="104">
        <f>'LF-Enugu'!M110</f>
        <v>4</v>
      </c>
      <c r="N344" s="104">
        <f>'LF-Enugu'!N110</f>
        <v>3</v>
      </c>
      <c r="O344" s="104">
        <f>'LF-Enugu'!O110</f>
        <v>1</v>
      </c>
      <c r="P344" s="104">
        <f>'LF-Enugu'!P110</f>
        <v>8</v>
      </c>
      <c r="Q344" s="104">
        <f>'LF-Enugu'!Q110</f>
        <v>6</v>
      </c>
      <c r="R344" s="104">
        <f>'LF-Enugu'!R110</f>
        <v>5</v>
      </c>
      <c r="S344" s="104">
        <f>'LF-Enugu'!S110</f>
        <v>3</v>
      </c>
      <c r="T344" s="515">
        <f>'Enugu Workings'!$V$61</f>
        <v>9.3333333333333357</v>
      </c>
      <c r="U344" s="515">
        <f>'Enugu Workings'!$V$64</f>
        <v>7.3333333333333321</v>
      </c>
      <c r="V344" s="515">
        <f>'Enugu Workings'!$V$67</f>
        <v>6.3333333333333321</v>
      </c>
      <c r="W344" s="515">
        <f>'Enugu Workings'!$V$70</f>
        <v>4.333333333333333</v>
      </c>
      <c r="X344" s="880"/>
    </row>
    <row r="345" spans="1:24" ht="13.5" thickBot="1">
      <c r="A345" s="885"/>
      <c r="B345" s="501" t="s">
        <v>151</v>
      </c>
      <c r="C345" s="9" t="s">
        <v>286</v>
      </c>
      <c r="D345" s="104">
        <f>'LF-Jigawa'!D110</f>
        <v>0</v>
      </c>
      <c r="E345" s="104">
        <f>'LF-Jigawa'!E110</f>
        <v>0</v>
      </c>
      <c r="F345" s="104">
        <f>'LF-Jigawa'!F110</f>
        <v>0</v>
      </c>
      <c r="G345" s="104">
        <f>'LF-Jigawa'!G110</f>
        <v>0</v>
      </c>
      <c r="H345" s="104">
        <f>'LF-Jigawa'!H110</f>
        <v>15</v>
      </c>
      <c r="I345" s="104">
        <f>'LF-Jigawa'!I110</f>
        <v>5</v>
      </c>
      <c r="J345" s="104">
        <f>'LF-Jigawa'!J110</f>
        <v>2</v>
      </c>
      <c r="K345" s="104">
        <f>'LF-Jigawa'!K110</f>
        <v>1</v>
      </c>
      <c r="L345" s="150">
        <f>'LF-Jigawa'!L110</f>
        <v>20</v>
      </c>
      <c r="M345" s="150">
        <f>'LF-Jigawa'!M110</f>
        <v>7</v>
      </c>
      <c r="N345" s="104">
        <f>'LF-Jigawa'!N110</f>
        <v>4</v>
      </c>
      <c r="O345" s="104">
        <f>'LF-Jigawa'!O110</f>
        <v>2</v>
      </c>
      <c r="P345" s="150">
        <f>'LF-Jigawa'!P110</f>
        <v>8</v>
      </c>
      <c r="Q345" s="150">
        <f>'LF-Jigawa'!Q110</f>
        <v>6</v>
      </c>
      <c r="R345" s="150">
        <f>'LF-Jigawa'!R110</f>
        <v>4</v>
      </c>
      <c r="S345" s="150">
        <f>'LF-Jigawa'!S110</f>
        <v>1</v>
      </c>
      <c r="T345" s="515">
        <f>'Jigawa Workings'!$V$61</f>
        <v>9.3333333333333357</v>
      </c>
      <c r="U345" s="515">
        <f>'Jigawa Workings'!$V$64</f>
        <v>7.3333333333333321</v>
      </c>
      <c r="V345" s="515">
        <f>'Jigawa Workings'!$V$67</f>
        <v>5.3333333333333321</v>
      </c>
      <c r="W345" s="515">
        <f>'Jigawa Workings'!$V$70</f>
        <v>1.666666666666667</v>
      </c>
      <c r="X345" s="880"/>
    </row>
    <row r="346" spans="1:24" ht="13.5" thickBot="1">
      <c r="A346" s="885"/>
      <c r="B346" s="501" t="s">
        <v>150</v>
      </c>
      <c r="C346" s="9" t="s">
        <v>287</v>
      </c>
      <c r="D346" s="104">
        <f>'LF-Kaduna'!D110</f>
        <v>2</v>
      </c>
      <c r="E346" s="104">
        <f>'LF-Kaduna'!E110</f>
        <v>0</v>
      </c>
      <c r="F346" s="104">
        <f>'LF-Kaduna'!F110</f>
        <v>0</v>
      </c>
      <c r="G346" s="104">
        <f>'LF-Kaduna'!G110</f>
        <v>0</v>
      </c>
      <c r="H346" s="104">
        <f>'LF-Kaduna'!H110</f>
        <v>3</v>
      </c>
      <c r="I346" s="104">
        <f>'LF-Kaduna'!I110</f>
        <v>2</v>
      </c>
      <c r="J346" s="104">
        <f>'LF-Kaduna'!J110</f>
        <v>1</v>
      </c>
      <c r="K346" s="104">
        <f>'LF-Kaduna'!K110</f>
        <v>0</v>
      </c>
      <c r="L346" s="150">
        <f>'LF-Kaduna'!L110</f>
        <v>5</v>
      </c>
      <c r="M346" s="150">
        <f>'LF-Kaduna'!M110</f>
        <v>4</v>
      </c>
      <c r="N346" s="104">
        <f>'LF-Kaduna'!N110</f>
        <v>3</v>
      </c>
      <c r="O346" s="104">
        <f>'LF-Kaduna'!O110</f>
        <v>1</v>
      </c>
      <c r="P346" s="150">
        <f>'LF-Kaduna'!P110</f>
        <v>8</v>
      </c>
      <c r="Q346" s="150">
        <f>'LF-Kaduna'!Q110</f>
        <v>6</v>
      </c>
      <c r="R346" s="150">
        <f>'LF-Kaduna'!R110</f>
        <v>5</v>
      </c>
      <c r="S346" s="150">
        <f>'LF-Kaduna'!S110</f>
        <v>3</v>
      </c>
      <c r="T346" s="515">
        <f>'Kaduna Workings'!$V$61</f>
        <v>9.3333333333333357</v>
      </c>
      <c r="U346" s="515">
        <f>'Kaduna Workings'!$V$64</f>
        <v>7.3333333333333321</v>
      </c>
      <c r="V346" s="515">
        <f>'Kaduna Workings'!$V$67</f>
        <v>6.3333333333333321</v>
      </c>
      <c r="W346" s="515">
        <f>'Kaduna Workings'!$V$70</f>
        <v>4.333333333333333</v>
      </c>
      <c r="X346" s="880"/>
    </row>
    <row r="347" spans="1:24" ht="24.75" thickBot="1">
      <c r="A347" s="885"/>
      <c r="B347" s="501" t="s">
        <v>149</v>
      </c>
      <c r="C347" s="9" t="s">
        <v>288</v>
      </c>
      <c r="D347" s="104">
        <f>'LF-Kano'!D110</f>
        <v>0</v>
      </c>
      <c r="E347" s="104">
        <f>'LF-Kano'!E110</f>
        <v>0</v>
      </c>
      <c r="F347" s="104">
        <f>'LF-Kano'!F110</f>
        <v>0</v>
      </c>
      <c r="G347" s="104">
        <f>'LF-Kano'!G110</f>
        <v>0</v>
      </c>
      <c r="H347" s="104">
        <f>'LF-Kano'!H110</f>
        <v>4</v>
      </c>
      <c r="I347" s="104">
        <f>'LF-Kano'!I110</f>
        <v>2</v>
      </c>
      <c r="J347" s="104">
        <f>'LF-Kano'!J110</f>
        <v>2</v>
      </c>
      <c r="K347" s="104">
        <f>'LF-Kano'!K110</f>
        <v>1</v>
      </c>
      <c r="L347" s="150">
        <f>'LF-Kano'!L110</f>
        <v>8</v>
      </c>
      <c r="M347" s="150">
        <f>'LF-Kano'!M110</f>
        <v>4</v>
      </c>
      <c r="N347" s="104">
        <f>'LF-Kano'!N110</f>
        <v>4</v>
      </c>
      <c r="O347" s="104">
        <f>'LF-Kano'!O110</f>
        <v>1</v>
      </c>
      <c r="P347" s="150">
        <f>'LF-Kano'!P110</f>
        <v>9</v>
      </c>
      <c r="Q347" s="150">
        <f>'LF-Kano'!Q110</f>
        <v>5</v>
      </c>
      <c r="R347" s="150">
        <f>'LF-Kano'!R110</f>
        <v>5</v>
      </c>
      <c r="S347" s="150">
        <f>'LF-Kano'!S110</f>
        <v>3</v>
      </c>
      <c r="T347" s="515">
        <f>'Kano Workings'!$V$61</f>
        <v>11</v>
      </c>
      <c r="U347" s="515">
        <f>'Kano Workings'!$V$64</f>
        <v>7</v>
      </c>
      <c r="V347" s="515">
        <f>'Kano Workings'!$V$67</f>
        <v>7</v>
      </c>
      <c r="W347" s="515">
        <f>'Kano Workings'!$V$70</f>
        <v>4.333333333333333</v>
      </c>
      <c r="X347" s="880"/>
    </row>
    <row r="348" spans="1:24" ht="13.5" thickBot="1">
      <c r="A348" s="885"/>
      <c r="B348" s="501"/>
      <c r="C348" s="9" t="s">
        <v>289</v>
      </c>
      <c r="D348" s="104">
        <f>'LF-Lagos'!D110</f>
        <v>0</v>
      </c>
      <c r="E348" s="104">
        <f>'LF-Lagos'!E110</f>
        <v>0</v>
      </c>
      <c r="F348" s="104">
        <f>'LF-Lagos'!F110</f>
        <v>0</v>
      </c>
      <c r="G348" s="104">
        <f>'LF-Lagos'!G110</f>
        <v>0</v>
      </c>
      <c r="H348" s="104">
        <f>'LF-Lagos'!H110</f>
        <v>3</v>
      </c>
      <c r="I348" s="104">
        <f>'LF-Lagos'!I110</f>
        <v>2</v>
      </c>
      <c r="J348" s="104">
        <f>'LF-Lagos'!J110</f>
        <v>1</v>
      </c>
      <c r="K348" s="104">
        <f>'LF-Lagos'!K110</f>
        <v>1</v>
      </c>
      <c r="L348" s="150">
        <f>'LF-Lagos'!L110</f>
        <v>5</v>
      </c>
      <c r="M348" s="150">
        <f>'LF-Lagos'!M110</f>
        <v>4</v>
      </c>
      <c r="N348" s="104">
        <f>'LF-Lagos'!N110</f>
        <v>3</v>
      </c>
      <c r="O348" s="104">
        <f>'LF-Lagos'!O110</f>
        <v>3</v>
      </c>
      <c r="P348" s="150">
        <f>'LF-Lagos'!P110</f>
        <v>6</v>
      </c>
      <c r="Q348" s="150">
        <f>'LF-Lagos'!Q110</f>
        <v>5</v>
      </c>
      <c r="R348" s="150">
        <f>'LF-Lagos'!R110</f>
        <v>4</v>
      </c>
      <c r="S348" s="150">
        <f>'LF-Lagos'!S110</f>
        <v>4</v>
      </c>
      <c r="T348" s="515">
        <f>'Lagos Workings'!$V$61</f>
        <v>8</v>
      </c>
      <c r="U348" s="515">
        <f>'Lagos Workings'!$V$64</f>
        <v>6.3333333333333321</v>
      </c>
      <c r="V348" s="515">
        <f>'Lagos Workings'!$V$67</f>
        <v>4.6666666666666679</v>
      </c>
      <c r="W348" s="515">
        <f>'Lagos Workings'!$V$70</f>
        <v>4.6666666666666679</v>
      </c>
      <c r="X348" s="880"/>
    </row>
    <row r="349" spans="1:24" ht="13.5" thickBot="1">
      <c r="A349" s="885"/>
      <c r="B349" s="501"/>
      <c r="C349" s="9" t="s">
        <v>292</v>
      </c>
      <c r="D349" s="1051" t="s">
        <v>255</v>
      </c>
      <c r="E349" s="1052"/>
      <c r="F349" s="1052"/>
      <c r="G349" s="1053"/>
      <c r="H349" s="104">
        <f>'LF-Zamfara'!H110</f>
        <v>2</v>
      </c>
      <c r="I349" s="104">
        <f>'LF-Zamfara'!I110</f>
        <v>0</v>
      </c>
      <c r="J349" s="104">
        <f>'LF-Zamfara'!J110</f>
        <v>0</v>
      </c>
      <c r="K349" s="104">
        <f>'LF-Zamfara'!K110</f>
        <v>0</v>
      </c>
      <c r="L349" s="150">
        <f>'LF-Zamfara'!L110</f>
        <v>2</v>
      </c>
      <c r="M349" s="150">
        <f>'LF-Zamfara'!M110</f>
        <v>0</v>
      </c>
      <c r="N349" s="104">
        <f>'LF-Zamfara'!N110</f>
        <v>0</v>
      </c>
      <c r="O349" s="104">
        <f>'LF-Zamfara'!O110</f>
        <v>0</v>
      </c>
      <c r="P349" s="150">
        <f>'LF-Zamfara'!P110</f>
        <v>4</v>
      </c>
      <c r="Q349" s="150">
        <f>'LF-Zamfara'!Q110</f>
        <v>2</v>
      </c>
      <c r="R349" s="150">
        <f>'LF-Zamfara'!R110</f>
        <v>2</v>
      </c>
      <c r="S349" s="150">
        <f>'LF-Zamfara'!S110</f>
        <v>1</v>
      </c>
      <c r="T349" s="515">
        <f>'Zamfara Workings'!$V$61</f>
        <v>5.3333333333333321</v>
      </c>
      <c r="U349" s="515">
        <f>'Zamfara Workings'!$V$64</f>
        <v>3.3333333333333339</v>
      </c>
      <c r="V349" s="515">
        <f>'Zamfara Workings'!$V$67</f>
        <v>2.6666666666666661</v>
      </c>
      <c r="W349" s="515">
        <f>'Zamfara Workings'!$V$70</f>
        <v>1.666666666666667</v>
      </c>
      <c r="X349" s="880"/>
    </row>
    <row r="350" spans="1:24" ht="13.5" thickBot="1">
      <c r="A350" s="885"/>
      <c r="B350" s="501"/>
      <c r="C350" s="9" t="s">
        <v>293</v>
      </c>
      <c r="D350" s="1051" t="s">
        <v>255</v>
      </c>
      <c r="E350" s="1052"/>
      <c r="F350" s="1052"/>
      <c r="G350" s="1053"/>
      <c r="H350" s="104">
        <f>'LF-Katsina'!H110</f>
        <v>0</v>
      </c>
      <c r="I350" s="104">
        <f>'LF-Katsina'!I110</f>
        <v>0</v>
      </c>
      <c r="J350" s="104">
        <f>'LF-Katsina'!J110</f>
        <v>0</v>
      </c>
      <c r="K350" s="104">
        <f>'LF-Katsina'!K110</f>
        <v>0</v>
      </c>
      <c r="L350" s="150">
        <f>'LF-Katsina'!L110</f>
        <v>3</v>
      </c>
      <c r="M350" s="150">
        <f>'LF-Katsina'!M110</f>
        <v>2</v>
      </c>
      <c r="N350" s="104">
        <f>'LF-Katsina'!N110</f>
        <v>0</v>
      </c>
      <c r="O350" s="104">
        <f>'LF-Katsina'!O110</f>
        <v>0</v>
      </c>
      <c r="P350" s="150">
        <f>'LF-Katsina'!P110</f>
        <v>4</v>
      </c>
      <c r="Q350" s="150">
        <f>'LF-Katsina'!Q110</f>
        <v>2</v>
      </c>
      <c r="R350" s="150">
        <f>'LF-Katsina'!R110</f>
        <v>1</v>
      </c>
      <c r="S350" s="150">
        <f>'LF-Katsina'!S110</f>
        <v>0</v>
      </c>
      <c r="T350" s="515">
        <f>'Katsina Workings'!$V$61</f>
        <v>4.6666666666666679</v>
      </c>
      <c r="U350" s="515">
        <f>'Katsina Workings'!$V$64</f>
        <v>3.3333333333333339</v>
      </c>
      <c r="V350" s="515">
        <f>'Katsina Workings'!$V$67</f>
        <v>2.333333333333333</v>
      </c>
      <c r="W350" s="515">
        <f>'Katsina Workings'!$V$70</f>
        <v>1.3333333333333333</v>
      </c>
      <c r="X350" s="880"/>
    </row>
    <row r="351" spans="1:24" ht="13.5" thickBot="1">
      <c r="A351" s="885"/>
      <c r="B351" s="501"/>
      <c r="C351" s="9" t="s">
        <v>294</v>
      </c>
      <c r="D351" s="1051" t="s">
        <v>255</v>
      </c>
      <c r="E351" s="1052"/>
      <c r="F351" s="1052"/>
      <c r="G351" s="1053"/>
      <c r="H351" s="104">
        <f>'LF-Yobe'!H110</f>
        <v>0</v>
      </c>
      <c r="I351" s="104">
        <f>'LF-Yobe'!I110</f>
        <v>0</v>
      </c>
      <c r="J351" s="104">
        <f>'LF-Yobe'!J110</f>
        <v>0</v>
      </c>
      <c r="K351" s="104">
        <f>'LF-Yobe'!K110</f>
        <v>0</v>
      </c>
      <c r="L351" s="104">
        <f>'LF-Yobe'!L110</f>
        <v>0</v>
      </c>
      <c r="M351" s="104">
        <f>'LF-Yobe'!M110</f>
        <v>0</v>
      </c>
      <c r="N351" s="104">
        <f>'LF-Yobe'!N110</f>
        <v>0</v>
      </c>
      <c r="O351" s="104">
        <f>'LF-Yobe'!O110</f>
        <v>0</v>
      </c>
      <c r="P351" s="150">
        <f>'LF-Yobe'!P110</f>
        <v>4</v>
      </c>
      <c r="Q351" s="150">
        <f>'LF-Yobe'!Q110</f>
        <v>2</v>
      </c>
      <c r="R351" s="150">
        <f>'LF-Yobe'!R110</f>
        <v>0</v>
      </c>
      <c r="S351" s="150">
        <f>'LF-Yobe'!S110</f>
        <v>0</v>
      </c>
      <c r="T351" s="515">
        <f>'Yobe Workings'!$V$61</f>
        <v>6.6666666666666679</v>
      </c>
      <c r="U351" s="515">
        <f>'Yobe Workings'!$V$64</f>
        <v>3.3333333333333339</v>
      </c>
      <c r="V351" s="515">
        <f>'Yobe Workings'!$V$67</f>
        <v>2</v>
      </c>
      <c r="W351" s="515">
        <f>'Yobe Workings'!$V$70</f>
        <v>1.3333333333333333</v>
      </c>
      <c r="X351" s="880"/>
    </row>
    <row r="352" spans="1:24" ht="12.95" customHeight="1" thickBot="1">
      <c r="A352" s="885"/>
      <c r="B352" s="501"/>
      <c r="C352" s="9" t="s">
        <v>290</v>
      </c>
      <c r="D352" s="945"/>
      <c r="E352" s="946"/>
      <c r="F352" s="946"/>
      <c r="G352" s="947"/>
      <c r="H352" s="1162"/>
      <c r="I352" s="1163"/>
      <c r="J352" s="1163"/>
      <c r="K352" s="1164"/>
      <c r="L352" s="1057" t="s">
        <v>909</v>
      </c>
      <c r="M352" s="1058"/>
      <c r="N352" s="1058"/>
      <c r="O352" s="1059"/>
      <c r="P352" s="104">
        <f>'LF-Anambra'!P110</f>
        <v>0</v>
      </c>
      <c r="Q352" s="104">
        <f>'LF-Anambra'!Q110</f>
        <v>0</v>
      </c>
      <c r="R352" s="104">
        <f>'LF-Anambra'!R110</f>
        <v>0</v>
      </c>
      <c r="S352" s="104">
        <f>'LF-Anambra'!S110</f>
        <v>0</v>
      </c>
      <c r="T352" s="118">
        <f>P352</f>
        <v>0</v>
      </c>
      <c r="U352" s="118">
        <f t="shared" ref="U352:U353" si="59">Q352</f>
        <v>0</v>
      </c>
      <c r="V352" s="118">
        <f t="shared" ref="V352:V353" si="60">R352</f>
        <v>0</v>
      </c>
      <c r="W352" s="118">
        <f t="shared" ref="W352:W353" si="61">S352</f>
        <v>0</v>
      </c>
      <c r="X352" s="880"/>
    </row>
    <row r="353" spans="1:24" ht="12.95" customHeight="1" thickBot="1">
      <c r="A353" s="885"/>
      <c r="B353" s="501"/>
      <c r="C353" s="9" t="s">
        <v>291</v>
      </c>
      <c r="D353" s="945"/>
      <c r="E353" s="946"/>
      <c r="F353" s="946"/>
      <c r="G353" s="947"/>
      <c r="H353" s="1162"/>
      <c r="I353" s="1163"/>
      <c r="J353" s="1163"/>
      <c r="K353" s="1164"/>
      <c r="L353" s="1057" t="s">
        <v>909</v>
      </c>
      <c r="M353" s="1058"/>
      <c r="N353" s="1058"/>
      <c r="O353" s="1059"/>
      <c r="P353" s="104">
        <f>'LF-Niger'!P110</f>
        <v>4</v>
      </c>
      <c r="Q353" s="104">
        <f>'LF-Niger'!Q110</f>
        <v>0</v>
      </c>
      <c r="R353" s="104">
        <f>'LF-Niger'!R110</f>
        <v>0</v>
      </c>
      <c r="S353" s="104">
        <f>'LF-Niger'!S110</f>
        <v>0</v>
      </c>
      <c r="T353" s="118">
        <f>P353</f>
        <v>4</v>
      </c>
      <c r="U353" s="118">
        <f t="shared" si="59"/>
        <v>0</v>
      </c>
      <c r="V353" s="118">
        <f t="shared" si="60"/>
        <v>0</v>
      </c>
      <c r="W353" s="118">
        <f t="shared" si="61"/>
        <v>0</v>
      </c>
      <c r="X353" s="880"/>
    </row>
    <row r="354" spans="1:24" ht="13.5" thickBot="1">
      <c r="A354" s="885"/>
      <c r="C354" s="100" t="s">
        <v>295</v>
      </c>
      <c r="D354" s="1042" t="s">
        <v>416</v>
      </c>
      <c r="E354" s="1043"/>
      <c r="F354" s="1043"/>
      <c r="G354" s="1044"/>
      <c r="H354" s="105">
        <f>'LF-Enugu'!H111</f>
        <v>0</v>
      </c>
      <c r="I354" s="105">
        <f>'LF-Enugu'!I111</f>
        <v>0</v>
      </c>
      <c r="J354" s="105">
        <f>'LF-Enugu'!J111</f>
        <v>0</v>
      </c>
      <c r="K354" s="105">
        <f>'LF-Enugu'!K111</f>
        <v>0</v>
      </c>
      <c r="L354" s="105">
        <f>'LF-Enugu'!L111</f>
        <v>5</v>
      </c>
      <c r="M354" s="105">
        <f>'LF-Enugu'!M111</f>
        <v>4</v>
      </c>
      <c r="N354" s="105">
        <f>'LF-Enugu'!N111</f>
        <v>2</v>
      </c>
      <c r="O354" s="105">
        <f>'LF-Enugu'!O111</f>
        <v>2</v>
      </c>
      <c r="P354" s="105">
        <f>'LF-Enugu'!P111</f>
        <v>11</v>
      </c>
      <c r="Q354" s="105">
        <f>'LF-Enugu'!Q111</f>
        <v>11</v>
      </c>
      <c r="R354" s="105">
        <f>'LF-Enugu'!R111</f>
        <v>10</v>
      </c>
      <c r="S354" s="105">
        <f>'LF-Enugu'!S111</f>
        <v>6</v>
      </c>
      <c r="T354" s="105">
        <f>'Enugu Workings'!$V$62</f>
        <v>7</v>
      </c>
      <c r="U354" s="105">
        <f>'Enugu Workings'!$V$65</f>
        <v>7</v>
      </c>
      <c r="V354" s="105">
        <f>'Enugu Workings'!$V$68</f>
        <v>5</v>
      </c>
      <c r="W354" s="105">
        <f>'Enugu Workings'!$V$71</f>
        <v>1</v>
      </c>
      <c r="X354" s="880"/>
    </row>
    <row r="355" spans="1:24" ht="13.5" thickBot="1">
      <c r="A355" s="885"/>
      <c r="B355" s="501"/>
      <c r="C355" s="100" t="s">
        <v>296</v>
      </c>
      <c r="D355" s="1042" t="s">
        <v>416</v>
      </c>
      <c r="E355" s="1043"/>
      <c r="F355" s="1043"/>
      <c r="G355" s="1044"/>
      <c r="H355" s="105">
        <f>'LF-Jigawa'!H111</f>
        <v>2</v>
      </c>
      <c r="I355" s="105">
        <f>'LF-Jigawa'!I111</f>
        <v>2</v>
      </c>
      <c r="J355" s="105">
        <f>'LF-Jigawa'!J111</f>
        <v>2</v>
      </c>
      <c r="K355" s="105">
        <f>'LF-Jigawa'!K111</f>
        <v>2</v>
      </c>
      <c r="L355" s="105">
        <f>'LF-Jigawa'!L111</f>
        <v>6</v>
      </c>
      <c r="M355" s="105">
        <f>'LF-Jigawa'!M111</f>
        <v>5</v>
      </c>
      <c r="N355" s="105">
        <f>'LF-Jigawa'!N111</f>
        <v>3</v>
      </c>
      <c r="O355" s="105">
        <f>'LF-Jigawa'!O111</f>
        <v>0</v>
      </c>
      <c r="P355" s="105">
        <f>'LF-Jigawa'!P111</f>
        <v>7</v>
      </c>
      <c r="Q355" s="105">
        <f>'LF-Jigawa'!Q111</f>
        <v>6</v>
      </c>
      <c r="R355" s="105">
        <f>'LF-Jigawa'!R111</f>
        <v>6</v>
      </c>
      <c r="S355" s="105">
        <f>'LF-Jigawa'!S111</f>
        <v>2</v>
      </c>
      <c r="T355" s="105">
        <f>'Jigawa Workings'!$V$62</f>
        <v>9</v>
      </c>
      <c r="U355" s="105">
        <f>'Jigawa Workings'!$V$65</f>
        <v>8</v>
      </c>
      <c r="V355" s="105">
        <f>'Jigawa Workings'!$V$68</f>
        <v>5</v>
      </c>
      <c r="W355" s="105">
        <f>'Jigawa Workings'!$V$71</f>
        <v>1</v>
      </c>
      <c r="X355" s="880"/>
    </row>
    <row r="356" spans="1:24" ht="13.5" thickBot="1">
      <c r="A356" s="885"/>
      <c r="B356" s="501"/>
      <c r="C356" s="100" t="s">
        <v>297</v>
      </c>
      <c r="D356" s="1042" t="s">
        <v>416</v>
      </c>
      <c r="E356" s="1043"/>
      <c r="F356" s="1043"/>
      <c r="G356" s="1044"/>
      <c r="H356" s="105">
        <f>'LF-Kaduna'!H111</f>
        <v>3</v>
      </c>
      <c r="I356" s="105">
        <f>'LF-Kaduna'!I111</f>
        <v>2</v>
      </c>
      <c r="J356" s="105">
        <f>'LF-Kaduna'!J111</f>
        <v>1</v>
      </c>
      <c r="K356" s="105">
        <f>'LF-Kaduna'!K111</f>
        <v>0</v>
      </c>
      <c r="L356" s="105">
        <f>'LF-Kaduna'!L111</f>
        <v>5</v>
      </c>
      <c r="M356" s="105">
        <f>'LF-Kaduna'!M111</f>
        <v>5</v>
      </c>
      <c r="N356" s="105">
        <f>'LF-Kaduna'!N111</f>
        <v>5</v>
      </c>
      <c r="O356" s="105">
        <f>'LF-Kaduna'!O111</f>
        <v>5</v>
      </c>
      <c r="P356" s="105">
        <f>'LF-Kaduna'!P111</f>
        <v>7</v>
      </c>
      <c r="Q356" s="105">
        <f>'LF-Kaduna'!Q111</f>
        <v>1</v>
      </c>
      <c r="R356" s="105">
        <f>'LF-Kaduna'!R111</f>
        <v>0</v>
      </c>
      <c r="S356" s="105">
        <f>'LF-Kaduna'!S111</f>
        <v>0</v>
      </c>
      <c r="T356" s="105">
        <f>'Kaduna Workings'!$V$62</f>
        <v>12</v>
      </c>
      <c r="U356" s="105">
        <f>'Kaduna Workings'!$V$65</f>
        <v>11</v>
      </c>
      <c r="V356" s="105">
        <f>'Kaduna Workings'!$V$68</f>
        <v>9</v>
      </c>
      <c r="W356" s="105">
        <f>'Kaduna Workings'!$V$71</f>
        <v>1</v>
      </c>
      <c r="X356" s="880"/>
    </row>
    <row r="357" spans="1:24" ht="13.5" thickBot="1">
      <c r="A357" s="885"/>
      <c r="B357" s="501"/>
      <c r="C357" s="100" t="s">
        <v>298</v>
      </c>
      <c r="D357" s="1042" t="s">
        <v>416</v>
      </c>
      <c r="E357" s="1043"/>
      <c r="F357" s="1043"/>
      <c r="G357" s="1044"/>
      <c r="H357" s="105">
        <f>'LF-Kano'!H111</f>
        <v>3</v>
      </c>
      <c r="I357" s="105">
        <f>'LF-Kano'!I111</f>
        <v>2</v>
      </c>
      <c r="J357" s="105">
        <f>'LF-Kano'!J111</f>
        <v>2</v>
      </c>
      <c r="K357" s="105">
        <f>'LF-Kano'!K111</f>
        <v>1</v>
      </c>
      <c r="L357" s="105">
        <f>'LF-Kano'!L111</f>
        <v>6</v>
      </c>
      <c r="M357" s="105">
        <f>'LF-Kano'!M111</f>
        <v>3</v>
      </c>
      <c r="N357" s="105">
        <f>'LF-Kano'!N111</f>
        <v>3</v>
      </c>
      <c r="O357" s="105">
        <f>'LF-Kano'!O111</f>
        <v>0</v>
      </c>
      <c r="P357" s="105">
        <f>'LF-Kano'!P111</f>
        <v>9</v>
      </c>
      <c r="Q357" s="105">
        <f>'LF-Kano'!Q111</f>
        <v>8</v>
      </c>
      <c r="R357" s="105">
        <f>'LF-Kano'!R111</f>
        <v>6</v>
      </c>
      <c r="S357" s="105">
        <f>'LF-Kano'!S111</f>
        <v>1</v>
      </c>
      <c r="T357" s="105">
        <f>'Kano Workings'!$V$62</f>
        <v>9</v>
      </c>
      <c r="U357" s="105">
        <f>'Kano Workings'!$V$65</f>
        <v>9</v>
      </c>
      <c r="V357" s="105">
        <f>'Kano Workings'!$V$68</f>
        <v>8</v>
      </c>
      <c r="W357" s="105">
        <f>'Kano Workings'!$V$71</f>
        <v>1</v>
      </c>
      <c r="X357" s="880"/>
    </row>
    <row r="358" spans="1:24" ht="13.5" thickBot="1">
      <c r="A358" s="885"/>
      <c r="B358" s="501"/>
      <c r="C358" s="100" t="s">
        <v>299</v>
      </c>
      <c r="D358" s="1042" t="s">
        <v>416</v>
      </c>
      <c r="E358" s="1043"/>
      <c r="F358" s="1043"/>
      <c r="G358" s="1044"/>
      <c r="H358" s="105">
        <f>'LF-Lagos'!H111</f>
        <v>3</v>
      </c>
      <c r="I358" s="105">
        <f>'LF-Lagos'!I111</f>
        <v>1</v>
      </c>
      <c r="J358" s="105">
        <f>'LF-Lagos'!J111</f>
        <v>1</v>
      </c>
      <c r="K358" s="105">
        <f>'LF-Lagos'!K111</f>
        <v>1</v>
      </c>
      <c r="L358" s="105">
        <f>'LF-Lagos'!L111</f>
        <v>5</v>
      </c>
      <c r="M358" s="105">
        <f>'LF-Lagos'!M111</f>
        <v>5</v>
      </c>
      <c r="N358" s="105">
        <f>'LF-Lagos'!N111</f>
        <v>3</v>
      </c>
      <c r="O358" s="105">
        <f>'LF-Lagos'!O111</f>
        <v>3</v>
      </c>
      <c r="P358" s="105">
        <f>'LF-Lagos'!P111</f>
        <v>7</v>
      </c>
      <c r="Q358" s="105">
        <f>'LF-Lagos'!Q111</f>
        <v>5</v>
      </c>
      <c r="R358" s="105">
        <f>'LF-Lagos'!R111</f>
        <v>4</v>
      </c>
      <c r="S358" s="105">
        <f>'LF-Lagos'!S111</f>
        <v>0</v>
      </c>
      <c r="T358" s="105">
        <f>'Lagos Workings'!$V$62</f>
        <v>7</v>
      </c>
      <c r="U358" s="105">
        <f>'Lagos Workings'!$V$65</f>
        <v>7</v>
      </c>
      <c r="V358" s="105">
        <f>'Lagos Workings'!$V$68</f>
        <v>7</v>
      </c>
      <c r="W358" s="105">
        <f>'Lagos Workings'!$V$71</f>
        <v>2</v>
      </c>
      <c r="X358" s="880"/>
    </row>
    <row r="359" spans="1:24" ht="24.75" thickBot="1">
      <c r="A359" s="885"/>
      <c r="B359" s="501"/>
      <c r="C359" s="100" t="s">
        <v>300</v>
      </c>
      <c r="D359" s="1054"/>
      <c r="E359" s="1055"/>
      <c r="F359" s="1055"/>
      <c r="G359" s="1056"/>
      <c r="H359" s="1054"/>
      <c r="I359" s="1055"/>
      <c r="J359" s="1055"/>
      <c r="K359" s="1056"/>
      <c r="L359" s="105">
        <f>'LF-Zamfara'!L111</f>
        <v>2</v>
      </c>
      <c r="M359" s="105">
        <f>'LF-Zamfara'!M111</f>
        <v>0</v>
      </c>
      <c r="N359" s="105">
        <f>'LF-Zamfara'!N111</f>
        <v>0</v>
      </c>
      <c r="O359" s="105">
        <f>'LF-Zamfara'!O111</f>
        <v>0</v>
      </c>
      <c r="P359" s="105">
        <f>'LF-Zamfara'!P111</f>
        <v>6</v>
      </c>
      <c r="Q359" s="105">
        <f>'LF-Zamfara'!Q111</f>
        <v>3</v>
      </c>
      <c r="R359" s="105">
        <f>'LF-Zamfara'!R111</f>
        <v>1</v>
      </c>
      <c r="S359" s="105">
        <f>'LF-Zamfara'!S111</f>
        <v>0</v>
      </c>
      <c r="T359" s="105">
        <f>'Zamfara Workings'!$V$62</f>
        <v>13</v>
      </c>
      <c r="U359" s="105">
        <f>'Zamfara Workings'!$V$65</f>
        <v>13</v>
      </c>
      <c r="V359" s="105">
        <f>'Zamfara Workings'!$V$68</f>
        <v>6</v>
      </c>
      <c r="W359" s="105">
        <f>'Zamfara Workings'!$V$71</f>
        <v>2</v>
      </c>
      <c r="X359" s="880"/>
    </row>
    <row r="360" spans="1:24" ht="13.5" thickBot="1">
      <c r="A360" s="885"/>
      <c r="B360" s="501"/>
      <c r="C360" s="100" t="s">
        <v>301</v>
      </c>
      <c r="D360" s="510"/>
      <c r="E360" s="511"/>
      <c r="F360" s="511"/>
      <c r="G360" s="512"/>
      <c r="H360" s="510"/>
      <c r="I360" s="511"/>
      <c r="J360" s="511"/>
      <c r="K360" s="512"/>
      <c r="L360" s="105">
        <f>'LF-Katsina'!L111</f>
        <v>0</v>
      </c>
      <c r="M360" s="105">
        <f>'LF-Katsina'!M111</f>
        <v>0</v>
      </c>
      <c r="N360" s="105">
        <f>'LF-Katsina'!N111</f>
        <v>0</v>
      </c>
      <c r="O360" s="105">
        <f>'LF-Katsina'!O111</f>
        <v>0</v>
      </c>
      <c r="P360" s="105">
        <f>'LF-Katsina'!P111</f>
        <v>9</v>
      </c>
      <c r="Q360" s="105">
        <f>'LF-Katsina'!Q111</f>
        <v>4</v>
      </c>
      <c r="R360" s="105">
        <f>'LF-Katsina'!R111</f>
        <v>0</v>
      </c>
      <c r="S360" s="105">
        <f>'LF-Katsina'!S111</f>
        <v>0</v>
      </c>
      <c r="T360" s="105">
        <f>'Katsina Workings'!$V$62</f>
        <v>8</v>
      </c>
      <c r="U360" s="105">
        <f>'Katsina Workings'!$V$65</f>
        <v>6</v>
      </c>
      <c r="V360" s="105">
        <f>'Katsina Workings'!$V$68</f>
        <v>4</v>
      </c>
      <c r="W360" s="105">
        <f>'Katsina Workings'!$V$71</f>
        <v>1</v>
      </c>
      <c r="X360" s="880"/>
    </row>
    <row r="361" spans="1:24" ht="13.5" thickBot="1">
      <c r="A361" s="885"/>
      <c r="B361" s="501"/>
      <c r="C361" s="100" t="s">
        <v>302</v>
      </c>
      <c r="D361" s="510"/>
      <c r="E361" s="511"/>
      <c r="F361" s="511"/>
      <c r="G361" s="512"/>
      <c r="H361" s="510"/>
      <c r="I361" s="511"/>
      <c r="J361" s="511"/>
      <c r="K361" s="512"/>
      <c r="L361" s="105">
        <f>'LF-Yobe'!L111</f>
        <v>0</v>
      </c>
      <c r="M361" s="105">
        <f>'LF-Yobe'!M111</f>
        <v>0</v>
      </c>
      <c r="N361" s="105">
        <f>'LF-Yobe'!N111</f>
        <v>0</v>
      </c>
      <c r="O361" s="105">
        <f>'LF-Yobe'!O111</f>
        <v>0</v>
      </c>
      <c r="P361" s="105">
        <f>'LF-Yobe'!P111</f>
        <v>10</v>
      </c>
      <c r="Q361" s="105">
        <f>'LF-Yobe'!Q111</f>
        <v>8</v>
      </c>
      <c r="R361" s="105">
        <f>'LF-Yobe'!R111</f>
        <v>3</v>
      </c>
      <c r="S361" s="105">
        <f>'LF-Yobe'!S111</f>
        <v>1</v>
      </c>
      <c r="T361" s="105">
        <f>'Yobe Workings'!$V$62</f>
        <v>11</v>
      </c>
      <c r="U361" s="105">
        <f>'Yobe Workings'!$V$65</f>
        <v>10</v>
      </c>
      <c r="V361" s="105">
        <f>'Yobe Workings'!$V$68</f>
        <v>6</v>
      </c>
      <c r="W361" s="105">
        <f>'Yobe Workings'!$V$71</f>
        <v>2</v>
      </c>
      <c r="X361" s="880"/>
    </row>
    <row r="362" spans="1:24" ht="24.75" thickBot="1">
      <c r="A362" s="885"/>
      <c r="B362" s="501"/>
      <c r="C362" s="100" t="s">
        <v>303</v>
      </c>
      <c r="D362" s="1054"/>
      <c r="E362" s="1055"/>
      <c r="F362" s="1055"/>
      <c r="G362" s="1056"/>
      <c r="H362" s="1054"/>
      <c r="I362" s="1055"/>
      <c r="J362" s="1055"/>
      <c r="K362" s="1056"/>
      <c r="L362" s="1054"/>
      <c r="M362" s="1055"/>
      <c r="N362" s="1055"/>
      <c r="O362" s="1056"/>
      <c r="P362" s="1054"/>
      <c r="Q362" s="1055"/>
      <c r="R362" s="1055"/>
      <c r="S362" s="1056"/>
      <c r="T362" s="105">
        <f>T352</f>
        <v>0</v>
      </c>
      <c r="U362" s="105">
        <f t="shared" ref="U362:W362" si="62">U352</f>
        <v>0</v>
      </c>
      <c r="V362" s="105">
        <f t="shared" si="62"/>
        <v>0</v>
      </c>
      <c r="W362" s="105">
        <f t="shared" si="62"/>
        <v>0</v>
      </c>
      <c r="X362" s="880"/>
    </row>
    <row r="363" spans="1:24" ht="13.5" thickBot="1">
      <c r="A363" s="885"/>
      <c r="B363" s="501"/>
      <c r="C363" s="100" t="s">
        <v>304</v>
      </c>
      <c r="D363" s="510"/>
      <c r="E363" s="511"/>
      <c r="F363" s="511"/>
      <c r="G363" s="512"/>
      <c r="H363" s="510"/>
      <c r="I363" s="511"/>
      <c r="J363" s="511"/>
      <c r="K363" s="512"/>
      <c r="L363" s="510"/>
      <c r="M363" s="511"/>
      <c r="N363" s="511"/>
      <c r="O363" s="512"/>
      <c r="P363" s="1054"/>
      <c r="Q363" s="1055"/>
      <c r="R363" s="1055"/>
      <c r="S363" s="1056"/>
      <c r="T363" s="105">
        <f>T353</f>
        <v>4</v>
      </c>
      <c r="U363" s="105">
        <f t="shared" ref="U363:W363" si="63">U353</f>
        <v>0</v>
      </c>
      <c r="V363" s="105">
        <f t="shared" si="63"/>
        <v>0</v>
      </c>
      <c r="W363" s="105">
        <f t="shared" si="63"/>
        <v>0</v>
      </c>
      <c r="X363" s="880"/>
    </row>
    <row r="364" spans="1:24" ht="13.5" thickBot="1">
      <c r="A364" s="885"/>
      <c r="C364" s="922" t="s">
        <v>413</v>
      </c>
      <c r="D364" s="927" t="s">
        <v>4</v>
      </c>
      <c r="E364" s="928"/>
      <c r="F364" s="928"/>
      <c r="G364" s="928"/>
      <c r="H364" s="928"/>
      <c r="I364" s="928"/>
      <c r="J364" s="928"/>
      <c r="K364" s="928"/>
      <c r="L364" s="928"/>
      <c r="M364" s="928"/>
      <c r="N364" s="928"/>
      <c r="O364" s="928"/>
      <c r="P364" s="928"/>
      <c r="Q364" s="928"/>
      <c r="R364" s="928"/>
      <c r="S364" s="928"/>
      <c r="T364" s="928"/>
      <c r="U364" s="928"/>
      <c r="V364" s="928"/>
      <c r="W364" s="929"/>
      <c r="X364" s="880"/>
    </row>
    <row r="365" spans="1:24" ht="13.5" thickBot="1">
      <c r="A365" s="885"/>
      <c r="B365" s="502"/>
      <c r="C365" s="923"/>
      <c r="D365" s="930" t="s">
        <v>420</v>
      </c>
      <c r="E365" s="931"/>
      <c r="F365" s="931"/>
      <c r="G365" s="931"/>
      <c r="H365" s="931"/>
      <c r="I365" s="931"/>
      <c r="J365" s="931"/>
      <c r="K365" s="931"/>
      <c r="L365" s="931"/>
      <c r="M365" s="931"/>
      <c r="N365" s="931"/>
      <c r="O365" s="931"/>
      <c r="P365" s="931"/>
      <c r="Q365" s="931"/>
      <c r="R365" s="931"/>
      <c r="S365" s="931"/>
      <c r="T365" s="931"/>
      <c r="U365" s="931"/>
      <c r="V365" s="931"/>
      <c r="W365" s="932"/>
      <c r="X365" s="880"/>
    </row>
    <row r="366" spans="1:24" ht="12.95" customHeight="1" thickBot="1">
      <c r="A366" s="885"/>
      <c r="B366" s="11" t="s">
        <v>30</v>
      </c>
      <c r="C366" s="12"/>
      <c r="D366" s="927" t="s">
        <v>78</v>
      </c>
      <c r="E366" s="928"/>
      <c r="F366" s="928"/>
      <c r="G366" s="929"/>
      <c r="H366" s="927" t="s">
        <v>77</v>
      </c>
      <c r="I366" s="928"/>
      <c r="J366" s="928"/>
      <c r="K366" s="929"/>
      <c r="L366" s="927" t="s">
        <v>81</v>
      </c>
      <c r="M366" s="928"/>
      <c r="N366" s="928"/>
      <c r="O366" s="929"/>
      <c r="P366" s="927" t="s">
        <v>254</v>
      </c>
      <c r="Q366" s="928"/>
      <c r="R366" s="928"/>
      <c r="S366" s="929"/>
      <c r="T366" s="1144" t="s">
        <v>908</v>
      </c>
      <c r="U366" s="1145"/>
      <c r="V366" s="1145"/>
      <c r="W366" s="1146"/>
      <c r="X366" s="880"/>
    </row>
    <row r="367" spans="1:24" ht="44.1" customHeight="1" thickBot="1">
      <c r="A367" s="885"/>
      <c r="B367" s="868" t="s">
        <v>157</v>
      </c>
      <c r="C367" s="23"/>
      <c r="D367" s="17" t="s">
        <v>101</v>
      </c>
      <c r="E367" s="17" t="s">
        <v>104</v>
      </c>
      <c r="F367" s="17" t="s">
        <v>102</v>
      </c>
      <c r="G367" s="17" t="s">
        <v>103</v>
      </c>
      <c r="H367" s="17" t="s">
        <v>101</v>
      </c>
      <c r="I367" s="17" t="s">
        <v>104</v>
      </c>
      <c r="J367" s="17" t="s">
        <v>102</v>
      </c>
      <c r="K367" s="17" t="s">
        <v>103</v>
      </c>
      <c r="L367" s="17" t="s">
        <v>101</v>
      </c>
      <c r="M367" s="17" t="s">
        <v>104</v>
      </c>
      <c r="N367" s="17" t="s">
        <v>102</v>
      </c>
      <c r="O367" s="17" t="s">
        <v>103</v>
      </c>
      <c r="P367" s="17" t="s">
        <v>101</v>
      </c>
      <c r="Q367" s="17" t="s">
        <v>104</v>
      </c>
      <c r="R367" s="17" t="s">
        <v>102</v>
      </c>
      <c r="S367" s="17" t="s">
        <v>103</v>
      </c>
      <c r="T367" s="17" t="s">
        <v>101</v>
      </c>
      <c r="U367" s="17" t="s">
        <v>104</v>
      </c>
      <c r="V367" s="17" t="s">
        <v>102</v>
      </c>
      <c r="W367" s="17" t="s">
        <v>103</v>
      </c>
      <c r="X367" s="880"/>
    </row>
    <row r="368" spans="1:24" ht="13.5" thickBot="1">
      <c r="A368" s="885"/>
      <c r="B368" s="885"/>
      <c r="C368" s="9" t="s">
        <v>285</v>
      </c>
      <c r="D368" s="104">
        <f>'LF-Enugu'!D116</f>
        <v>0</v>
      </c>
      <c r="E368" s="104">
        <f>'LF-Enugu'!E116</f>
        <v>0</v>
      </c>
      <c r="F368" s="104">
        <f>'LF-Enugu'!F116</f>
        <v>0</v>
      </c>
      <c r="G368" s="104">
        <f>'LF-Enugu'!G116</f>
        <v>0</v>
      </c>
      <c r="H368" s="104">
        <f>'LF-Enugu'!H116</f>
        <v>3</v>
      </c>
      <c r="I368" s="104">
        <f>'LF-Enugu'!I116</f>
        <v>2</v>
      </c>
      <c r="J368" s="104">
        <f>'LF-Enugu'!J116</f>
        <v>1</v>
      </c>
      <c r="K368" s="104">
        <f>'LF-Enugu'!K116</f>
        <v>0</v>
      </c>
      <c r="L368" s="104">
        <f>'LF-Enugu'!L116</f>
        <v>5</v>
      </c>
      <c r="M368" s="104">
        <f>'LF-Enugu'!M116</f>
        <v>4</v>
      </c>
      <c r="N368" s="104">
        <f>'LF-Enugu'!N116</f>
        <v>3</v>
      </c>
      <c r="O368" s="104">
        <f>'LF-Enugu'!O116</f>
        <v>1</v>
      </c>
      <c r="P368" s="104">
        <f>'LF-Enugu'!P116</f>
        <v>8</v>
      </c>
      <c r="Q368" s="104">
        <f>'LF-Enugu'!Q116</f>
        <v>6</v>
      </c>
      <c r="R368" s="104">
        <f>'LF-Enugu'!R116</f>
        <v>5</v>
      </c>
      <c r="S368" s="104">
        <f>'LF-Enugu'!S116</f>
        <v>3</v>
      </c>
      <c r="T368" s="515">
        <f>'Enugu Workings'!$V$73</f>
        <v>9.3333333333333357</v>
      </c>
      <c r="U368" s="515">
        <f>'Enugu Workings'!$V$76</f>
        <v>7.3333333333333321</v>
      </c>
      <c r="V368" s="515">
        <f>'Enugu Workings'!$V$79</f>
        <v>6.3333333333333321</v>
      </c>
      <c r="W368" s="515">
        <f>'Enugu Workings'!$V$82</f>
        <v>4.333333333333333</v>
      </c>
      <c r="X368" s="880"/>
    </row>
    <row r="369" spans="1:24" ht="13.5" thickBot="1">
      <c r="A369" s="885"/>
      <c r="B369" s="501" t="s">
        <v>151</v>
      </c>
      <c r="C369" s="9" t="s">
        <v>286</v>
      </c>
      <c r="D369" s="104">
        <f>'LF-Jigawa'!D116</f>
        <v>0</v>
      </c>
      <c r="E369" s="104">
        <f>'LF-Jigawa'!E116</f>
        <v>0</v>
      </c>
      <c r="F369" s="104">
        <f>'LF-Jigawa'!F116</f>
        <v>0</v>
      </c>
      <c r="G369" s="104">
        <f>'LF-Jigawa'!G116</f>
        <v>0</v>
      </c>
      <c r="H369" s="104">
        <f>'LF-Jigawa'!H116</f>
        <v>3</v>
      </c>
      <c r="I369" s="104">
        <f>'LF-Jigawa'!I116</f>
        <v>2</v>
      </c>
      <c r="J369" s="104">
        <f>'LF-Jigawa'!J116</f>
        <v>1</v>
      </c>
      <c r="K369" s="104">
        <f>'LF-Jigawa'!K116</f>
        <v>0</v>
      </c>
      <c r="L369" s="104">
        <f>'LF-Jigawa'!L116</f>
        <v>5</v>
      </c>
      <c r="M369" s="104">
        <f>'LF-Jigawa'!M116</f>
        <v>4</v>
      </c>
      <c r="N369" s="104">
        <f>'LF-Jigawa'!N116</f>
        <v>3</v>
      </c>
      <c r="O369" s="104">
        <f>'LF-Jigawa'!O116</f>
        <v>2</v>
      </c>
      <c r="P369" s="104">
        <f>'LF-Jigawa'!P116</f>
        <v>8</v>
      </c>
      <c r="Q369" s="104">
        <f>'LF-Jigawa'!Q116</f>
        <v>6</v>
      </c>
      <c r="R369" s="104">
        <f>'LF-Jigawa'!R116</f>
        <v>5</v>
      </c>
      <c r="S369" s="104">
        <f>'LF-Jigawa'!S116</f>
        <v>4</v>
      </c>
      <c r="T369" s="515">
        <f>'Jigawa Workings'!$V$73</f>
        <v>9.3333333333333357</v>
      </c>
      <c r="U369" s="515">
        <f>'Jigawa Workings'!$V$76</f>
        <v>7.3333333333333321</v>
      </c>
      <c r="V369" s="515">
        <f>'Jigawa Workings'!$V$79</f>
        <v>6.3333333333333321</v>
      </c>
      <c r="W369" s="515">
        <f>'Jigawa Workings'!$V$82</f>
        <v>4.6666666666666679</v>
      </c>
      <c r="X369" s="880"/>
    </row>
    <row r="370" spans="1:24" ht="13.5" thickBot="1">
      <c r="A370" s="885"/>
      <c r="B370" s="501" t="s">
        <v>150</v>
      </c>
      <c r="C370" s="9" t="s">
        <v>287</v>
      </c>
      <c r="D370" s="104">
        <f>'LF-Kaduna'!D116</f>
        <v>2</v>
      </c>
      <c r="E370" s="104">
        <f>'LF-Kaduna'!E116</f>
        <v>0</v>
      </c>
      <c r="F370" s="104">
        <f>'LF-Kaduna'!F116</f>
        <v>0</v>
      </c>
      <c r="G370" s="104">
        <f>'LF-Kaduna'!G116</f>
        <v>0</v>
      </c>
      <c r="H370" s="104">
        <f>'LF-Kaduna'!H116</f>
        <v>3</v>
      </c>
      <c r="I370" s="104">
        <f>'LF-Kaduna'!I116</f>
        <v>2</v>
      </c>
      <c r="J370" s="104">
        <f>'LF-Kaduna'!J116</f>
        <v>2</v>
      </c>
      <c r="K370" s="104">
        <f>'LF-Kaduna'!K116</f>
        <v>0</v>
      </c>
      <c r="L370" s="104">
        <f>'LF-Kaduna'!L116</f>
        <v>5</v>
      </c>
      <c r="M370" s="104">
        <f>'LF-Kaduna'!M116</f>
        <v>4</v>
      </c>
      <c r="N370" s="104">
        <f>'LF-Kaduna'!N116</f>
        <v>3</v>
      </c>
      <c r="O370" s="104">
        <f>'LF-Kaduna'!O116</f>
        <v>2</v>
      </c>
      <c r="P370" s="104">
        <f>'LF-Kaduna'!P116</f>
        <v>8</v>
      </c>
      <c r="Q370" s="104">
        <f>'LF-Kaduna'!Q116</f>
        <v>6</v>
      </c>
      <c r="R370" s="104">
        <f>'LF-Kaduna'!R116</f>
        <v>5</v>
      </c>
      <c r="S370" s="104">
        <f>'LF-Kaduna'!S116</f>
        <v>3</v>
      </c>
      <c r="T370" s="515">
        <f>'Kaduna Workings'!$V$73</f>
        <v>9.3333333333333357</v>
      </c>
      <c r="U370" s="515">
        <f>'Kaduna Workings'!$V$76</f>
        <v>7.3333333333333321</v>
      </c>
      <c r="V370" s="515">
        <f>'Kaduna Workings'!$V$79</f>
        <v>6.3333333333333321</v>
      </c>
      <c r="W370" s="515">
        <f>'Kaduna Workings'!$V$82</f>
        <v>4.333333333333333</v>
      </c>
      <c r="X370" s="880"/>
    </row>
    <row r="371" spans="1:24" ht="13.5" thickBot="1">
      <c r="A371" s="885"/>
      <c r="B371" s="501" t="s">
        <v>152</v>
      </c>
      <c r="C371" s="9" t="s">
        <v>288</v>
      </c>
      <c r="D371" s="104">
        <f>'LF-Kano'!D116</f>
        <v>0</v>
      </c>
      <c r="E371" s="104">
        <f>'LF-Kano'!E116</f>
        <v>0</v>
      </c>
      <c r="F371" s="104">
        <f>'LF-Kano'!F116</f>
        <v>0</v>
      </c>
      <c r="G371" s="104">
        <f>'LF-Kano'!G116</f>
        <v>0</v>
      </c>
      <c r="H371" s="104">
        <f>'LF-Kano'!H116</f>
        <v>2</v>
      </c>
      <c r="I371" s="104">
        <f>'LF-Kano'!I116</f>
        <v>2</v>
      </c>
      <c r="J371" s="104">
        <f>'LF-Kano'!J116</f>
        <v>2</v>
      </c>
      <c r="K371" s="104">
        <f>'LF-Kano'!K116</f>
        <v>1</v>
      </c>
      <c r="L371" s="104">
        <f>'LF-Kano'!L116</f>
        <v>5</v>
      </c>
      <c r="M371" s="104">
        <f>'LF-Kano'!M116</f>
        <v>5</v>
      </c>
      <c r="N371" s="104">
        <f>'LF-Kano'!N116</f>
        <v>3</v>
      </c>
      <c r="O371" s="104">
        <f>'LF-Kano'!O116</f>
        <v>1</v>
      </c>
      <c r="P371" s="150">
        <f>'LF-Kano'!P116</f>
        <v>7</v>
      </c>
      <c r="Q371" s="150">
        <f>'LF-Kano'!Q116</f>
        <v>7</v>
      </c>
      <c r="R371" s="150">
        <f>'LF-Kano'!R116</f>
        <v>5</v>
      </c>
      <c r="S371" s="150">
        <f>'LF-Kano'!S116</f>
        <v>2</v>
      </c>
      <c r="T371" s="515">
        <f>'Kano Workings'!$V$73</f>
        <v>7.6666666666666679</v>
      </c>
      <c r="U371" s="515">
        <f>'Kano Workings'!$V$76</f>
        <v>7.6666666666666679</v>
      </c>
      <c r="V371" s="515">
        <f>'Kano Workings'!$V$79</f>
        <v>5.6666666666666679</v>
      </c>
      <c r="W371" s="515">
        <f>'Kano Workings'!$V$82</f>
        <v>2.6666666666666661</v>
      </c>
      <c r="X371" s="880"/>
    </row>
    <row r="372" spans="1:24" ht="13.5" thickBot="1">
      <c r="A372" s="885"/>
      <c r="B372" s="501"/>
      <c r="C372" s="9" t="s">
        <v>289</v>
      </c>
      <c r="D372" s="104">
        <f>'LF-Lagos'!D116</f>
        <v>0</v>
      </c>
      <c r="E372" s="104">
        <f>'LF-Lagos'!E116</f>
        <v>0</v>
      </c>
      <c r="F372" s="104">
        <f>'LF-Lagos'!F116</f>
        <v>0</v>
      </c>
      <c r="G372" s="104">
        <f>'LF-Lagos'!G116</f>
        <v>0</v>
      </c>
      <c r="H372" s="104">
        <f>'LF-Lagos'!H116</f>
        <v>3</v>
      </c>
      <c r="I372" s="104">
        <f>'LF-Lagos'!I116</f>
        <v>2</v>
      </c>
      <c r="J372" s="104">
        <f>'LF-Lagos'!J116</f>
        <v>1</v>
      </c>
      <c r="K372" s="104">
        <f>'LF-Lagos'!K116</f>
        <v>1</v>
      </c>
      <c r="L372" s="104">
        <f>'LF-Lagos'!L116</f>
        <v>5</v>
      </c>
      <c r="M372" s="104">
        <f>'LF-Lagos'!M116</f>
        <v>4</v>
      </c>
      <c r="N372" s="104">
        <f>'LF-Lagos'!N116</f>
        <v>3</v>
      </c>
      <c r="O372" s="104">
        <f>'LF-Lagos'!O116</f>
        <v>2</v>
      </c>
      <c r="P372" s="150">
        <f>'LF-Lagos'!P116</f>
        <v>7</v>
      </c>
      <c r="Q372" s="150">
        <f>'LF-Lagos'!Q116</f>
        <v>5</v>
      </c>
      <c r="R372" s="150">
        <f>'LF-Lagos'!R116</f>
        <v>4</v>
      </c>
      <c r="S372" s="150">
        <f>'LF-Lagos'!S116</f>
        <v>3</v>
      </c>
      <c r="T372" s="515">
        <f>'Lagos Workings'!$V$73</f>
        <v>8.3333333333333321</v>
      </c>
      <c r="U372" s="515">
        <f>'Lagos Workings'!$V$76</f>
        <v>6.3333333333333321</v>
      </c>
      <c r="V372" s="515">
        <f>'Lagos Workings'!$V$79</f>
        <v>5.3333333333333321</v>
      </c>
      <c r="W372" s="515">
        <f>'Lagos Workings'!$V$82</f>
        <v>3.6666666666666661</v>
      </c>
      <c r="X372" s="880"/>
    </row>
    <row r="373" spans="1:24" ht="13.5" thickBot="1">
      <c r="A373" s="885"/>
      <c r="B373" s="501"/>
      <c r="C373" s="9" t="s">
        <v>292</v>
      </c>
      <c r="D373" s="1051" t="s">
        <v>255</v>
      </c>
      <c r="E373" s="1052"/>
      <c r="F373" s="1052"/>
      <c r="G373" s="1053"/>
      <c r="H373" s="104">
        <f>'LF-Zamfara'!H116</f>
        <v>1</v>
      </c>
      <c r="I373" s="104">
        <f>'LF-Zamfara'!I116</f>
        <v>0</v>
      </c>
      <c r="J373" s="104">
        <f>'LF-Zamfara'!J116</f>
        <v>0</v>
      </c>
      <c r="K373" s="104">
        <f>'LF-Zamfara'!K116</f>
        <v>0</v>
      </c>
      <c r="L373" s="150">
        <f>'LF-Zamfara'!L116</f>
        <v>1</v>
      </c>
      <c r="M373" s="150">
        <f>'LF-Zamfara'!M116</f>
        <v>0</v>
      </c>
      <c r="N373" s="104">
        <f>'LF-Zamfara'!N116</f>
        <v>0</v>
      </c>
      <c r="O373" s="104">
        <f>'LF-Zamfara'!O116</f>
        <v>0</v>
      </c>
      <c r="P373" s="150">
        <f>'LF-Zamfara'!P116</f>
        <v>2</v>
      </c>
      <c r="Q373" s="150">
        <f>'LF-Zamfara'!Q116</f>
        <v>1</v>
      </c>
      <c r="R373" s="150">
        <f>'LF-Zamfara'!R116</f>
        <v>1</v>
      </c>
      <c r="S373" s="150">
        <f>'LF-Zamfara'!S116</f>
        <v>0</v>
      </c>
      <c r="T373" s="515">
        <f>'Zamfara Workings'!$V$73</f>
        <v>3.3333333333333339</v>
      </c>
      <c r="U373" s="515">
        <f>'Zamfara Workings'!$V$76</f>
        <v>1.666666666666667</v>
      </c>
      <c r="V373" s="515">
        <f>'Zamfara Workings'!$V$79</f>
        <v>1.666666666666667</v>
      </c>
      <c r="W373" s="515">
        <f>'Zamfara Workings'!$V$82</f>
        <v>0.66666666666666663</v>
      </c>
      <c r="X373" s="880"/>
    </row>
    <row r="374" spans="1:24" ht="13.5" thickBot="1">
      <c r="A374" s="885"/>
      <c r="B374" s="501"/>
      <c r="C374" s="9" t="s">
        <v>293</v>
      </c>
      <c r="D374" s="1051" t="s">
        <v>255</v>
      </c>
      <c r="E374" s="1052"/>
      <c r="F374" s="1052"/>
      <c r="G374" s="1053"/>
      <c r="H374" s="104">
        <f>'LF-Katsina'!H116</f>
        <v>0</v>
      </c>
      <c r="I374" s="104">
        <f>'LF-Katsina'!I116</f>
        <v>0</v>
      </c>
      <c r="J374" s="104">
        <f>'LF-Katsina'!J116</f>
        <v>0</v>
      </c>
      <c r="K374" s="104">
        <f>'LF-Katsina'!K116</f>
        <v>0</v>
      </c>
      <c r="L374" s="150">
        <f>'LF-Katsina'!L116</f>
        <v>3</v>
      </c>
      <c r="M374" s="150">
        <f>'LF-Katsina'!M116</f>
        <v>2</v>
      </c>
      <c r="N374" s="104">
        <f>'LF-Katsina'!N116</f>
        <v>0</v>
      </c>
      <c r="O374" s="104">
        <f>'LF-Katsina'!O116</f>
        <v>0</v>
      </c>
      <c r="P374" s="150">
        <f>'LF-Katsina'!P116</f>
        <v>3</v>
      </c>
      <c r="Q374" s="150">
        <f>'LF-Katsina'!Q116</f>
        <v>2</v>
      </c>
      <c r="R374" s="150">
        <f>'LF-Katsina'!R116</f>
        <v>0</v>
      </c>
      <c r="S374" s="150">
        <f>'LF-Katsina'!S116</f>
        <v>0</v>
      </c>
      <c r="T374" s="515">
        <f>'Katsina Workings'!$V$73</f>
        <v>3.6666666666666661</v>
      </c>
      <c r="U374" s="515">
        <f>'Katsina Workings'!$V$76</f>
        <v>2.6666666666666661</v>
      </c>
      <c r="V374" s="515">
        <f>'Katsina Workings'!$V$79</f>
        <v>0.66666666666666663</v>
      </c>
      <c r="W374" s="515">
        <f>'Katsina Workings'!$V$82</f>
        <v>0.66666666666666663</v>
      </c>
      <c r="X374" s="880"/>
    </row>
    <row r="375" spans="1:24" ht="13.5" thickBot="1">
      <c r="A375" s="885"/>
      <c r="B375" s="501"/>
      <c r="C375" s="9" t="s">
        <v>294</v>
      </c>
      <c r="D375" s="1051" t="s">
        <v>255</v>
      </c>
      <c r="E375" s="1052"/>
      <c r="F375" s="1052"/>
      <c r="G375" s="1053"/>
      <c r="H375" s="104">
        <f>'LF-Yobe'!H116</f>
        <v>0</v>
      </c>
      <c r="I375" s="104">
        <f>'LF-Yobe'!I116</f>
        <v>0</v>
      </c>
      <c r="J375" s="104">
        <f>'LF-Yobe'!J116</f>
        <v>0</v>
      </c>
      <c r="K375" s="104">
        <f>'LF-Yobe'!K116</f>
        <v>0</v>
      </c>
      <c r="L375" s="104">
        <f>'LF-Yobe'!L116</f>
        <v>0</v>
      </c>
      <c r="M375" s="104">
        <f>'LF-Yobe'!M116</f>
        <v>0</v>
      </c>
      <c r="N375" s="104">
        <f>'LF-Yobe'!N116</f>
        <v>0</v>
      </c>
      <c r="O375" s="104">
        <f>'LF-Yobe'!O116</f>
        <v>0</v>
      </c>
      <c r="P375" s="150">
        <f>'LF-Yobe'!P116</f>
        <v>2</v>
      </c>
      <c r="Q375" s="150">
        <f>'LF-Yobe'!Q116</f>
        <v>1</v>
      </c>
      <c r="R375" s="150">
        <f>'LF-Yobe'!R116</f>
        <v>0</v>
      </c>
      <c r="S375" s="150">
        <f>'LF-Yobe'!S116</f>
        <v>0</v>
      </c>
      <c r="T375" s="515">
        <f>'Yobe Workings'!$V$73</f>
        <v>3.3333333333333339</v>
      </c>
      <c r="U375" s="515">
        <f>'Yobe Workings'!$V$76</f>
        <v>1.666666666666667</v>
      </c>
      <c r="V375" s="515">
        <f>'Yobe Workings'!$V$79</f>
        <v>0.66666666666666663</v>
      </c>
      <c r="W375" s="515">
        <f>'Yobe Workings'!$V$82</f>
        <v>0.66666666666666663</v>
      </c>
      <c r="X375" s="880"/>
    </row>
    <row r="376" spans="1:24" ht="12.95" customHeight="1" thickBot="1">
      <c r="A376" s="885"/>
      <c r="B376" s="501"/>
      <c r="C376" s="9" t="s">
        <v>290</v>
      </c>
      <c r="D376" s="1166"/>
      <c r="E376" s="1167"/>
      <c r="F376" s="1167"/>
      <c r="G376" s="1168"/>
      <c r="H376" s="1162"/>
      <c r="I376" s="1163"/>
      <c r="J376" s="1163"/>
      <c r="K376" s="1164"/>
      <c r="L376" s="1057" t="s">
        <v>909</v>
      </c>
      <c r="M376" s="1058"/>
      <c r="N376" s="1058"/>
      <c r="O376" s="1059"/>
      <c r="P376" s="104">
        <f>'LF-Anambra'!P116</f>
        <v>4</v>
      </c>
      <c r="Q376" s="104">
        <f>'LF-Anambra'!Q116</f>
        <v>3</v>
      </c>
      <c r="R376" s="104">
        <f>'LF-Anambra'!R116</f>
        <v>2</v>
      </c>
      <c r="S376" s="104">
        <f>'LF-Anambra'!S116</f>
        <v>0</v>
      </c>
      <c r="T376" s="118">
        <f>P376</f>
        <v>4</v>
      </c>
      <c r="U376" s="118">
        <f t="shared" ref="U376:U377" si="64">Q376</f>
        <v>3</v>
      </c>
      <c r="V376" s="118">
        <f t="shared" ref="V376:V377" si="65">R376</f>
        <v>2</v>
      </c>
      <c r="W376" s="118">
        <f t="shared" ref="W376:W377" si="66">S376</f>
        <v>0</v>
      </c>
      <c r="X376" s="880"/>
    </row>
    <row r="377" spans="1:24" ht="12.95" customHeight="1" thickBot="1">
      <c r="A377" s="885"/>
      <c r="B377" s="501"/>
      <c r="C377" s="9" t="s">
        <v>291</v>
      </c>
      <c r="D377" s="1166"/>
      <c r="E377" s="1167"/>
      <c r="F377" s="1167"/>
      <c r="G377" s="1168"/>
      <c r="H377" s="1162"/>
      <c r="I377" s="1163"/>
      <c r="J377" s="1163"/>
      <c r="K377" s="1164"/>
      <c r="L377" s="1057" t="s">
        <v>909</v>
      </c>
      <c r="M377" s="1058"/>
      <c r="N377" s="1058"/>
      <c r="O377" s="1059"/>
      <c r="P377" s="104">
        <f>'LF-Niger'!P116</f>
        <v>2</v>
      </c>
      <c r="Q377" s="104">
        <f>'LF-Niger'!Q116</f>
        <v>1</v>
      </c>
      <c r="R377" s="104">
        <f>'LF-Niger'!R116</f>
        <v>0</v>
      </c>
      <c r="S377" s="104">
        <f>'LF-Niger'!S116</f>
        <v>0</v>
      </c>
      <c r="T377" s="118">
        <f>P377</f>
        <v>2</v>
      </c>
      <c r="U377" s="118">
        <f t="shared" si="64"/>
        <v>1</v>
      </c>
      <c r="V377" s="118">
        <f t="shared" si="65"/>
        <v>0</v>
      </c>
      <c r="W377" s="118">
        <f t="shared" si="66"/>
        <v>0</v>
      </c>
      <c r="X377" s="880"/>
    </row>
    <row r="378" spans="1:24" ht="13.5" thickBot="1">
      <c r="A378" s="885"/>
      <c r="B378" s="501"/>
      <c r="C378" s="100" t="s">
        <v>295</v>
      </c>
      <c r="D378" s="1003" t="s">
        <v>172</v>
      </c>
      <c r="E378" s="1004"/>
      <c r="F378" s="1004"/>
      <c r="G378" s="1005"/>
      <c r="H378" s="1054"/>
      <c r="I378" s="1055"/>
      <c r="J378" s="1055"/>
      <c r="K378" s="1056"/>
      <c r="L378" s="105">
        <f>'LF-Enugu'!L117</f>
        <v>5</v>
      </c>
      <c r="M378" s="105">
        <f>'LF-Enugu'!M117</f>
        <v>4</v>
      </c>
      <c r="N378" s="105">
        <f>'LF-Enugu'!N117</f>
        <v>3</v>
      </c>
      <c r="O378" s="105">
        <f>'LF-Enugu'!O117</f>
        <v>0</v>
      </c>
      <c r="P378" s="105">
        <f>'LF-Enugu'!P117</f>
        <v>7</v>
      </c>
      <c r="Q378" s="105">
        <f>'LF-Enugu'!Q117</f>
        <v>1</v>
      </c>
      <c r="R378" s="105">
        <f>'LF-Enugu'!R117</f>
        <v>1</v>
      </c>
      <c r="S378" s="105">
        <f>'LF-Enugu'!S117</f>
        <v>0</v>
      </c>
      <c r="T378" s="105">
        <f>'Enugu Workings'!$V$74</f>
        <v>6</v>
      </c>
      <c r="U378" s="105">
        <f>'Enugu Workings'!$V$77</f>
        <v>5</v>
      </c>
      <c r="V378" s="105">
        <f>'Enugu Workings'!$V$80</f>
        <v>4</v>
      </c>
      <c r="W378" s="105">
        <f>'Enugu Workings'!$V$83</f>
        <v>0</v>
      </c>
      <c r="X378" s="880"/>
    </row>
    <row r="379" spans="1:24" ht="13.5" thickBot="1">
      <c r="A379" s="885"/>
      <c r="B379" s="501"/>
      <c r="C379" s="100" t="s">
        <v>296</v>
      </c>
      <c r="D379" s="1003" t="s">
        <v>417</v>
      </c>
      <c r="E379" s="1004"/>
      <c r="F379" s="1004"/>
      <c r="G379" s="1005"/>
      <c r="H379" s="1054"/>
      <c r="I379" s="1055"/>
      <c r="J379" s="1055"/>
      <c r="K379" s="1056"/>
      <c r="L379" s="105">
        <f>'LF-Jigawa'!L117</f>
        <v>7</v>
      </c>
      <c r="M379" s="105">
        <f>'LF-Jigawa'!M117</f>
        <v>6</v>
      </c>
      <c r="N379" s="105">
        <f>'LF-Jigawa'!N117</f>
        <v>4</v>
      </c>
      <c r="O379" s="105">
        <f>'LF-Jigawa'!O117</f>
        <v>0</v>
      </c>
      <c r="P379" s="105">
        <f>'LF-Jigawa'!P117</f>
        <v>8</v>
      </c>
      <c r="Q379" s="105">
        <f>'LF-Jigawa'!Q117</f>
        <v>4</v>
      </c>
      <c r="R379" s="105">
        <f>'LF-Jigawa'!R117</f>
        <v>1</v>
      </c>
      <c r="S379" s="105">
        <f>'LF-Jigawa'!S117</f>
        <v>0</v>
      </c>
      <c r="T379" s="105">
        <f>'Jigawa Workings'!$V$74</f>
        <v>8</v>
      </c>
      <c r="U379" s="105">
        <f>'Jigawa Workings'!$V$77</f>
        <v>7</v>
      </c>
      <c r="V379" s="105">
        <f>'Jigawa Workings'!$V$80</f>
        <v>6</v>
      </c>
      <c r="W379" s="105">
        <f>'Jigawa Workings'!$V$83</f>
        <v>1</v>
      </c>
      <c r="X379" s="880"/>
    </row>
    <row r="380" spans="1:24" ht="13.5" thickBot="1">
      <c r="A380" s="885"/>
      <c r="B380" s="501"/>
      <c r="C380" s="100" t="s">
        <v>297</v>
      </c>
      <c r="D380" s="1054"/>
      <c r="E380" s="1055"/>
      <c r="F380" s="1055"/>
      <c r="G380" s="1056"/>
      <c r="H380" s="1054"/>
      <c r="I380" s="1055"/>
      <c r="J380" s="1055"/>
      <c r="K380" s="1056"/>
      <c r="L380" s="105">
        <f>'LF-Kaduna'!L117</f>
        <v>4</v>
      </c>
      <c r="M380" s="105">
        <f>'LF-Kaduna'!M117</f>
        <v>4</v>
      </c>
      <c r="N380" s="105">
        <f>'LF-Kaduna'!N117</f>
        <v>4</v>
      </c>
      <c r="O380" s="105">
        <f>'LF-Kaduna'!O117</f>
        <v>4</v>
      </c>
      <c r="P380" s="105">
        <f>'LF-Kaduna'!P117</f>
        <v>7</v>
      </c>
      <c r="Q380" s="105">
        <f>'LF-Kaduna'!Q117</f>
        <v>6</v>
      </c>
      <c r="R380" s="105">
        <f>'LF-Kaduna'!R117</f>
        <v>6</v>
      </c>
      <c r="S380" s="105">
        <f>'LF-Kaduna'!S117</f>
        <v>6</v>
      </c>
      <c r="T380" s="105">
        <f>'Kaduna Workings'!$V$74</f>
        <v>13</v>
      </c>
      <c r="U380" s="105">
        <f>'Kaduna Workings'!$V$77</f>
        <v>13</v>
      </c>
      <c r="V380" s="105">
        <f>'Kaduna Workings'!$V$80</f>
        <v>9</v>
      </c>
      <c r="W380" s="105">
        <f>'Kaduna Workings'!$V$83</f>
        <v>2</v>
      </c>
      <c r="X380" s="880"/>
    </row>
    <row r="381" spans="1:24" ht="13.5" thickBot="1">
      <c r="A381" s="885"/>
      <c r="B381" s="501"/>
      <c r="C381" s="100" t="s">
        <v>298</v>
      </c>
      <c r="D381" s="1054"/>
      <c r="E381" s="1055"/>
      <c r="F381" s="1055"/>
      <c r="G381" s="1056"/>
      <c r="H381" s="1054"/>
      <c r="I381" s="1055"/>
      <c r="J381" s="1055"/>
      <c r="K381" s="1056"/>
      <c r="L381" s="105">
        <f>'LF-Kano'!L117</f>
        <v>3</v>
      </c>
      <c r="M381" s="105">
        <f>'LF-Kano'!M117</f>
        <v>3</v>
      </c>
      <c r="N381" s="105">
        <f>'LF-Kano'!N117</f>
        <v>3</v>
      </c>
      <c r="O381" s="105">
        <f>'LF-Kano'!O117</f>
        <v>0</v>
      </c>
      <c r="P381" s="105">
        <f>'LF-Kano'!P117</f>
        <v>6</v>
      </c>
      <c r="Q381" s="105">
        <f>'LF-Kano'!Q117</f>
        <v>6</v>
      </c>
      <c r="R381" s="105">
        <f>'LF-Kano'!R117</f>
        <v>5</v>
      </c>
      <c r="S381" s="105">
        <f>'LF-Kano'!S117</f>
        <v>2</v>
      </c>
      <c r="T381" s="105">
        <f>'Kano Workings'!$V$74</f>
        <v>10</v>
      </c>
      <c r="U381" s="105">
        <f>'Kano Workings'!$V$77</f>
        <v>6</v>
      </c>
      <c r="V381" s="105">
        <f>'Kano Workings'!$V$80</f>
        <v>4</v>
      </c>
      <c r="W381" s="105">
        <f>'Kano Workings'!$V$83</f>
        <v>0</v>
      </c>
      <c r="X381" s="880"/>
    </row>
    <row r="382" spans="1:24" ht="13.5" thickBot="1">
      <c r="A382" s="885"/>
      <c r="B382" s="501"/>
      <c r="C382" s="100" t="s">
        <v>299</v>
      </c>
      <c r="D382" s="1054"/>
      <c r="E382" s="1055"/>
      <c r="F382" s="1055"/>
      <c r="G382" s="1056"/>
      <c r="H382" s="1054"/>
      <c r="I382" s="1055"/>
      <c r="J382" s="1055"/>
      <c r="K382" s="1056"/>
      <c r="L382" s="105">
        <f>'LF-Lagos'!L117</f>
        <v>4</v>
      </c>
      <c r="M382" s="105">
        <f>'LF-Lagos'!M117</f>
        <v>4</v>
      </c>
      <c r="N382" s="105">
        <f>'LF-Lagos'!N117</f>
        <v>3</v>
      </c>
      <c r="O382" s="105">
        <f>'LF-Lagos'!O117</f>
        <v>3</v>
      </c>
      <c r="P382" s="105">
        <f>'LF-Lagos'!P117</f>
        <v>9</v>
      </c>
      <c r="Q382" s="105">
        <f>'LF-Lagos'!Q117</f>
        <v>6</v>
      </c>
      <c r="R382" s="105">
        <f>'LF-Lagos'!R117</f>
        <v>5</v>
      </c>
      <c r="S382" s="105">
        <f>'LF-Lagos'!S117</f>
        <v>0</v>
      </c>
      <c r="T382" s="105">
        <f>'Lagos Workings'!$V$74</f>
        <v>0</v>
      </c>
      <c r="U382" s="105">
        <f>'Lagos Workings'!$V$77</f>
        <v>7</v>
      </c>
      <c r="V382" s="105">
        <f>'Lagos Workings'!$V$80</f>
        <v>7</v>
      </c>
      <c r="W382" s="105">
        <f>'Lagos Workings'!$V$83</f>
        <v>2</v>
      </c>
      <c r="X382" s="880"/>
    </row>
    <row r="383" spans="1:24" ht="24.75" thickBot="1">
      <c r="A383" s="885"/>
      <c r="B383" s="501"/>
      <c r="C383" s="100" t="s">
        <v>300</v>
      </c>
      <c r="D383" s="1054"/>
      <c r="E383" s="1055"/>
      <c r="F383" s="1055"/>
      <c r="G383" s="1056"/>
      <c r="H383" s="1054"/>
      <c r="I383" s="1055"/>
      <c r="J383" s="1055"/>
      <c r="K383" s="1056"/>
      <c r="L383" s="105">
        <f>'LF-Zamfara'!L117</f>
        <v>1</v>
      </c>
      <c r="M383" s="105">
        <f>'LF-Zamfara'!M117</f>
        <v>0</v>
      </c>
      <c r="N383" s="105">
        <f>'LF-Zamfara'!N117</f>
        <v>0</v>
      </c>
      <c r="O383" s="105">
        <f>'LF-Zamfara'!O117</f>
        <v>0</v>
      </c>
      <c r="P383" s="105">
        <f>'LF-Zamfara'!P117</f>
        <v>0</v>
      </c>
      <c r="Q383" s="105">
        <f>'LF-Zamfara'!Q117</f>
        <v>0</v>
      </c>
      <c r="R383" s="105">
        <f>'LF-Zamfara'!R117</f>
        <v>0</v>
      </c>
      <c r="S383" s="105">
        <f>'LF-Zamfara'!S117</f>
        <v>0</v>
      </c>
      <c r="T383" s="105">
        <f>'Zamfara Workings'!$V$74</f>
        <v>10</v>
      </c>
      <c r="U383" s="105">
        <f>'Zamfara Workings'!$V$77</f>
        <v>9</v>
      </c>
      <c r="V383" s="105">
        <f>'Zamfara Workings'!$V$80</f>
        <v>6</v>
      </c>
      <c r="W383" s="105">
        <f>'Zamfara Workings'!$V$83</f>
        <v>0</v>
      </c>
      <c r="X383" s="880"/>
    </row>
    <row r="384" spans="1:24" ht="13.5" thickBot="1">
      <c r="A384" s="885"/>
      <c r="B384" s="501"/>
      <c r="C384" s="100" t="s">
        <v>301</v>
      </c>
      <c r="D384" s="1054"/>
      <c r="E384" s="1055"/>
      <c r="F384" s="1055"/>
      <c r="G384" s="1056"/>
      <c r="H384" s="1054"/>
      <c r="I384" s="1055"/>
      <c r="J384" s="1055"/>
      <c r="K384" s="1056"/>
      <c r="L384" s="105">
        <f>'LF-Katsina'!L117</f>
        <v>0</v>
      </c>
      <c r="M384" s="105">
        <f>'LF-Katsina'!M117</f>
        <v>0</v>
      </c>
      <c r="N384" s="105">
        <f>'LF-Katsina'!N117</f>
        <v>0</v>
      </c>
      <c r="O384" s="105">
        <f>'LF-Katsina'!O117</f>
        <v>0</v>
      </c>
      <c r="P384" s="105">
        <f>'LF-Katsina'!P117</f>
        <v>2</v>
      </c>
      <c r="Q384" s="105">
        <f>'LF-Katsina'!Q117</f>
        <v>2</v>
      </c>
      <c r="R384" s="105">
        <f>'LF-Katsina'!R117</f>
        <v>2</v>
      </c>
      <c r="S384" s="105">
        <f>'LF-Katsina'!S117</f>
        <v>0</v>
      </c>
      <c r="T384" s="105">
        <f>'Katsina Workings'!$V$74</f>
        <v>7</v>
      </c>
      <c r="U384" s="105">
        <f>'Katsina Workings'!$V$77</f>
        <v>5</v>
      </c>
      <c r="V384" s="105">
        <f>'Katsina Workings'!$V$80</f>
        <v>4</v>
      </c>
      <c r="W384" s="105">
        <f>'Katsina Workings'!$V$83</f>
        <v>1</v>
      </c>
      <c r="X384" s="880"/>
    </row>
    <row r="385" spans="1:24" ht="13.5" thickBot="1">
      <c r="A385" s="885"/>
      <c r="B385" s="501"/>
      <c r="C385" s="100" t="s">
        <v>302</v>
      </c>
      <c r="D385" s="1054"/>
      <c r="E385" s="1055"/>
      <c r="F385" s="1055"/>
      <c r="G385" s="1056"/>
      <c r="H385" s="1054"/>
      <c r="I385" s="1055"/>
      <c r="J385" s="1055"/>
      <c r="K385" s="1056"/>
      <c r="L385" s="105">
        <f>'LF-Yobe'!L117</f>
        <v>0</v>
      </c>
      <c r="M385" s="105">
        <f>'LF-Yobe'!M117</f>
        <v>0</v>
      </c>
      <c r="N385" s="105">
        <f>'LF-Yobe'!N117</f>
        <v>0</v>
      </c>
      <c r="O385" s="105">
        <f>'LF-Yobe'!O117</f>
        <v>0</v>
      </c>
      <c r="P385" s="105">
        <f>'LF-Yobe'!P117</f>
        <v>5</v>
      </c>
      <c r="Q385" s="105">
        <f>'LF-Yobe'!Q117</f>
        <v>2</v>
      </c>
      <c r="R385" s="105">
        <f>'LF-Yobe'!R117</f>
        <v>0</v>
      </c>
      <c r="S385" s="105">
        <f>'LF-Yobe'!S117</f>
        <v>0</v>
      </c>
      <c r="T385" s="105">
        <f>'Yobe Workings'!$V$74</f>
        <v>11</v>
      </c>
      <c r="U385" s="105">
        <f>'Yobe Workings'!$V$77</f>
        <v>8</v>
      </c>
      <c r="V385" s="105">
        <f>'Yobe Workings'!$V$80</f>
        <v>3</v>
      </c>
      <c r="W385" s="105">
        <f>'Yobe Workings'!$V$83</f>
        <v>0</v>
      </c>
      <c r="X385" s="880"/>
    </row>
    <row r="386" spans="1:24" ht="24.75" thickBot="1">
      <c r="A386" s="885"/>
      <c r="B386" s="501"/>
      <c r="C386" s="100" t="s">
        <v>303</v>
      </c>
      <c r="D386" s="1054"/>
      <c r="E386" s="1055"/>
      <c r="F386" s="1055"/>
      <c r="G386" s="1056"/>
      <c r="H386" s="1054"/>
      <c r="I386" s="1055"/>
      <c r="J386" s="1055"/>
      <c r="K386" s="1056"/>
      <c r="L386" s="1054"/>
      <c r="M386" s="1055"/>
      <c r="N386" s="1055"/>
      <c r="O386" s="1056"/>
      <c r="P386" s="1054"/>
      <c r="Q386" s="1055"/>
      <c r="R386" s="1055"/>
      <c r="S386" s="1056"/>
      <c r="T386" s="105">
        <f>T376</f>
        <v>4</v>
      </c>
      <c r="U386" s="105">
        <f t="shared" ref="U386:W386" si="67">U376</f>
        <v>3</v>
      </c>
      <c r="V386" s="105">
        <f t="shared" si="67"/>
        <v>2</v>
      </c>
      <c r="W386" s="105">
        <f t="shared" si="67"/>
        <v>0</v>
      </c>
      <c r="X386" s="880"/>
    </row>
    <row r="387" spans="1:24" ht="13.5" thickBot="1">
      <c r="A387" s="885"/>
      <c r="B387" s="501"/>
      <c r="C387" s="100" t="s">
        <v>304</v>
      </c>
      <c r="D387" s="1054"/>
      <c r="E387" s="1055"/>
      <c r="F387" s="1055"/>
      <c r="G387" s="1056"/>
      <c r="H387" s="1054"/>
      <c r="I387" s="1055"/>
      <c r="J387" s="1055"/>
      <c r="K387" s="1056"/>
      <c r="L387" s="1054"/>
      <c r="M387" s="1055"/>
      <c r="N387" s="1055"/>
      <c r="O387" s="1056"/>
      <c r="P387" s="1054"/>
      <c r="Q387" s="1055"/>
      <c r="R387" s="1055"/>
      <c r="S387" s="1056"/>
      <c r="T387" s="105">
        <f>T377</f>
        <v>2</v>
      </c>
      <c r="U387" s="105">
        <f t="shared" ref="U387:W387" si="68">U377</f>
        <v>1</v>
      </c>
      <c r="V387" s="105">
        <f t="shared" si="68"/>
        <v>0</v>
      </c>
      <c r="W387" s="105">
        <f t="shared" si="68"/>
        <v>0</v>
      </c>
      <c r="X387" s="880"/>
    </row>
    <row r="388" spans="1:24" ht="13.5" thickBot="1">
      <c r="A388" s="885"/>
      <c r="B388" s="501"/>
      <c r="C388" s="922" t="s">
        <v>413</v>
      </c>
      <c r="D388" s="927" t="s">
        <v>4</v>
      </c>
      <c r="E388" s="928"/>
      <c r="F388" s="928"/>
      <c r="G388" s="928"/>
      <c r="H388" s="928"/>
      <c r="I388" s="928"/>
      <c r="J388" s="928"/>
      <c r="K388" s="928"/>
      <c r="L388" s="928"/>
      <c r="M388" s="928"/>
      <c r="N388" s="928"/>
      <c r="O388" s="928"/>
      <c r="P388" s="928"/>
      <c r="Q388" s="928"/>
      <c r="R388" s="928"/>
      <c r="S388" s="928"/>
      <c r="T388" s="928"/>
      <c r="U388" s="928"/>
      <c r="V388" s="928"/>
      <c r="W388" s="929"/>
      <c r="X388" s="880"/>
    </row>
    <row r="389" spans="1:24" ht="13.5" thickBot="1">
      <c r="A389" s="885"/>
      <c r="B389" s="502"/>
      <c r="C389" s="923"/>
      <c r="D389" s="930" t="s">
        <v>420</v>
      </c>
      <c r="E389" s="931"/>
      <c r="F389" s="931"/>
      <c r="G389" s="931"/>
      <c r="H389" s="931"/>
      <c r="I389" s="931"/>
      <c r="J389" s="931"/>
      <c r="K389" s="931"/>
      <c r="L389" s="931"/>
      <c r="M389" s="931"/>
      <c r="N389" s="931"/>
      <c r="O389" s="931"/>
      <c r="P389" s="931"/>
      <c r="Q389" s="931"/>
      <c r="R389" s="931"/>
      <c r="S389" s="931"/>
      <c r="T389" s="931"/>
      <c r="U389" s="931"/>
      <c r="V389" s="931"/>
      <c r="W389" s="932"/>
      <c r="X389" s="880"/>
    </row>
    <row r="390" spans="1:24" ht="12.95" customHeight="1" thickBot="1">
      <c r="A390" s="885"/>
      <c r="B390" s="92" t="s">
        <v>31</v>
      </c>
      <c r="C390" s="12"/>
      <c r="D390" s="927" t="s">
        <v>78</v>
      </c>
      <c r="E390" s="928"/>
      <c r="F390" s="928"/>
      <c r="G390" s="929"/>
      <c r="H390" s="927" t="s">
        <v>77</v>
      </c>
      <c r="I390" s="928"/>
      <c r="J390" s="928"/>
      <c r="K390" s="929"/>
      <c r="L390" s="927" t="s">
        <v>81</v>
      </c>
      <c r="M390" s="928"/>
      <c r="N390" s="928"/>
      <c r="O390" s="929"/>
      <c r="P390" s="927" t="s">
        <v>254</v>
      </c>
      <c r="Q390" s="928"/>
      <c r="R390" s="928"/>
      <c r="S390" s="929"/>
      <c r="T390" s="1144" t="s">
        <v>908</v>
      </c>
      <c r="U390" s="1145"/>
      <c r="V390" s="1145"/>
      <c r="W390" s="1146"/>
      <c r="X390" s="880"/>
    </row>
    <row r="391" spans="1:24" ht="18" customHeight="1" thickBot="1">
      <c r="A391" s="971"/>
      <c r="B391" s="868" t="s">
        <v>421</v>
      </c>
      <c r="C391" s="23"/>
      <c r="D391" s="955" t="s">
        <v>418</v>
      </c>
      <c r="E391" s="956"/>
      <c r="F391" s="955" t="s">
        <v>419</v>
      </c>
      <c r="G391" s="956"/>
      <c r="H391" s="955" t="s">
        <v>418</v>
      </c>
      <c r="I391" s="956"/>
      <c r="J391" s="955" t="s">
        <v>419</v>
      </c>
      <c r="K391" s="956"/>
      <c r="L391" s="955" t="s">
        <v>418</v>
      </c>
      <c r="M391" s="956"/>
      <c r="N391" s="955" t="s">
        <v>419</v>
      </c>
      <c r="O391" s="956"/>
      <c r="P391" s="955" t="s">
        <v>418</v>
      </c>
      <c r="Q391" s="956"/>
      <c r="R391" s="955" t="s">
        <v>419</v>
      </c>
      <c r="S391" s="956"/>
      <c r="T391" s="955" t="s">
        <v>418</v>
      </c>
      <c r="U391" s="956"/>
      <c r="V391" s="955" t="s">
        <v>419</v>
      </c>
      <c r="W391" s="956"/>
      <c r="X391" s="880"/>
    </row>
    <row r="392" spans="1:24" ht="13.5" thickBot="1">
      <c r="A392" s="971"/>
      <c r="B392" s="885"/>
      <c r="C392" s="9" t="s">
        <v>285</v>
      </c>
      <c r="D392" s="933" t="s">
        <v>172</v>
      </c>
      <c r="E392" s="934"/>
      <c r="F392" s="934"/>
      <c r="G392" s="935"/>
      <c r="H392" s="966" t="s">
        <v>248</v>
      </c>
      <c r="I392" s="967"/>
      <c r="J392" s="967"/>
      <c r="K392" s="968"/>
      <c r="L392" s="954">
        <f>'LF-Enugu'!L122:M122</f>
        <v>60</v>
      </c>
      <c r="M392" s="953"/>
      <c r="N392" s="954">
        <f>'LF-Enugu'!N122:O122</f>
        <v>50</v>
      </c>
      <c r="O392" s="953"/>
      <c r="P392" s="954">
        <f>'LF-Enugu'!P122:Q122</f>
        <v>70</v>
      </c>
      <c r="Q392" s="953"/>
      <c r="R392" s="954">
        <f>'LF-Enugu'!R122:S122</f>
        <v>55</v>
      </c>
      <c r="S392" s="953"/>
      <c r="T392" s="963">
        <f>'Enugu Workings'!$V$85</f>
        <v>80</v>
      </c>
      <c r="U392" s="965">
        <f>'Enugu Workings'!$V$73</f>
        <v>9.3333333333333357</v>
      </c>
      <c r="V392" s="963">
        <f>'Enugu Workings'!$V$88</f>
        <v>61.666666666666657</v>
      </c>
      <c r="W392" s="965">
        <f>'Enugu Workings'!$V$73</f>
        <v>9.3333333333333357</v>
      </c>
      <c r="X392" s="880"/>
    </row>
    <row r="393" spans="1:24" ht="13.5" thickBot="1">
      <c r="A393" s="971"/>
      <c r="B393" s="885"/>
      <c r="C393" s="9" t="s">
        <v>286</v>
      </c>
      <c r="D393" s="957"/>
      <c r="E393" s="958"/>
      <c r="F393" s="958"/>
      <c r="G393" s="959"/>
      <c r="H393" s="966" t="s">
        <v>248</v>
      </c>
      <c r="I393" s="967"/>
      <c r="J393" s="967"/>
      <c r="K393" s="968"/>
      <c r="L393" s="954">
        <f>'LF-Jigawa'!L122:M122</f>
        <v>69</v>
      </c>
      <c r="M393" s="953"/>
      <c r="N393" s="954">
        <f>'LF-Jigawa'!N122:O122</f>
        <v>48</v>
      </c>
      <c r="O393" s="953"/>
      <c r="P393" s="954">
        <f>'LF-Jigawa'!P122:Q122</f>
        <v>75</v>
      </c>
      <c r="Q393" s="953"/>
      <c r="R393" s="954">
        <f>'LF-Jigawa'!R122:S122</f>
        <v>49</v>
      </c>
      <c r="S393" s="953"/>
      <c r="T393" s="963">
        <f>'Jigawa Workings'!$V$85</f>
        <v>81.666666666666686</v>
      </c>
      <c r="U393" s="965">
        <f>'Jigawa Workings'!$V$73</f>
        <v>9.3333333333333357</v>
      </c>
      <c r="V393" s="963">
        <f>'Jigawa Workings'!$V$88</f>
        <v>49.666666666666657</v>
      </c>
      <c r="W393" s="965">
        <f>'Jigawa Workings'!$V$73</f>
        <v>9.3333333333333357</v>
      </c>
      <c r="X393" s="880"/>
    </row>
    <row r="394" spans="1:24" ht="13.5" thickBot="1">
      <c r="A394" s="971"/>
      <c r="B394" s="885"/>
      <c r="C394" s="9" t="s">
        <v>287</v>
      </c>
      <c r="D394" s="957"/>
      <c r="E394" s="958"/>
      <c r="F394" s="958"/>
      <c r="G394" s="959"/>
      <c r="H394" s="966" t="s">
        <v>248</v>
      </c>
      <c r="I394" s="967"/>
      <c r="J394" s="967"/>
      <c r="K394" s="968"/>
      <c r="L394" s="954">
        <f>'LF-Kaduna'!L122:M122</f>
        <v>50</v>
      </c>
      <c r="M394" s="953"/>
      <c r="N394" s="954">
        <f>'LF-Kaduna'!N122:O122</f>
        <v>10</v>
      </c>
      <c r="O394" s="953"/>
      <c r="P394" s="954">
        <f>'LF-Kaduna'!P122:Q122</f>
        <v>70</v>
      </c>
      <c r="Q394" s="953"/>
      <c r="R394" s="954">
        <f>'LF-Kaduna'!R122:S122</f>
        <v>15</v>
      </c>
      <c r="S394" s="953"/>
      <c r="T394" s="963">
        <f>'Kaduna Workings'!$V$85</f>
        <v>76.666666666666686</v>
      </c>
      <c r="U394" s="965">
        <f>'Kaduna Workings'!$V$73</f>
        <v>9.3333333333333357</v>
      </c>
      <c r="V394" s="963">
        <f>'Kaduna Workings'!$V$88</f>
        <v>18.333333333333332</v>
      </c>
      <c r="W394" s="965">
        <f>'Kaduna Workings'!$V$73</f>
        <v>9.3333333333333357</v>
      </c>
      <c r="X394" s="880"/>
    </row>
    <row r="395" spans="1:24" ht="13.5" thickBot="1">
      <c r="A395" s="971"/>
      <c r="B395" s="501" t="s">
        <v>179</v>
      </c>
      <c r="C395" s="9" t="s">
        <v>288</v>
      </c>
      <c r="D395" s="957"/>
      <c r="E395" s="958"/>
      <c r="F395" s="958"/>
      <c r="G395" s="959"/>
      <c r="H395" s="966" t="s">
        <v>248</v>
      </c>
      <c r="I395" s="967"/>
      <c r="J395" s="967"/>
      <c r="K395" s="968"/>
      <c r="L395" s="954">
        <f>'LF-Kano'!L122:M122</f>
        <v>50</v>
      </c>
      <c r="M395" s="953"/>
      <c r="N395" s="954">
        <f>'LF-Kano'!N122:O122</f>
        <v>55</v>
      </c>
      <c r="O395" s="953"/>
      <c r="P395" s="954">
        <f>'LF-Kano'!P122:Q122</f>
        <v>70</v>
      </c>
      <c r="Q395" s="953"/>
      <c r="R395" s="954">
        <f>'LF-Kano'!R122:S122</f>
        <v>60</v>
      </c>
      <c r="S395" s="953"/>
      <c r="T395" s="963">
        <f>'Kano Workings'!$V$85</f>
        <v>83.333333333333314</v>
      </c>
      <c r="U395" s="965">
        <f>'Kano Workings'!$V$73</f>
        <v>7.6666666666666679</v>
      </c>
      <c r="V395" s="963">
        <f>'Kano Workings'!$V$88</f>
        <v>63.333333333333343</v>
      </c>
      <c r="W395" s="965">
        <f>'Kano Workings'!$V$73</f>
        <v>7.6666666666666679</v>
      </c>
      <c r="X395" s="880"/>
    </row>
    <row r="396" spans="1:24" ht="13.5" thickBot="1">
      <c r="A396" s="971"/>
      <c r="B396" s="501"/>
      <c r="C396" s="9" t="s">
        <v>289</v>
      </c>
      <c r="D396" s="957"/>
      <c r="E396" s="958"/>
      <c r="F396" s="958"/>
      <c r="G396" s="959"/>
      <c r="H396" s="966" t="s">
        <v>248</v>
      </c>
      <c r="I396" s="967"/>
      <c r="J396" s="967"/>
      <c r="K396" s="968"/>
      <c r="L396" s="954">
        <f>'LF-Lagos'!L122:M122</f>
        <v>20</v>
      </c>
      <c r="M396" s="953"/>
      <c r="N396" s="954">
        <f>'LF-Lagos'!N122:O122</f>
        <v>20</v>
      </c>
      <c r="O396" s="953"/>
      <c r="P396" s="954">
        <f>'LF-Lagos'!P122:Q122</f>
        <v>30</v>
      </c>
      <c r="Q396" s="953"/>
      <c r="R396" s="954">
        <f>'LF-Lagos'!R122:S122</f>
        <v>20</v>
      </c>
      <c r="S396" s="953"/>
      <c r="T396" s="963">
        <f>'Lagos Workings'!$V$85</f>
        <v>36.666666666666664</v>
      </c>
      <c r="U396" s="965">
        <f>'Lagos Workings'!$V$73</f>
        <v>8.3333333333333321</v>
      </c>
      <c r="V396" s="963">
        <f>'Lagos Workings'!$V$88</f>
        <v>20</v>
      </c>
      <c r="W396" s="965">
        <f>'Lagos Workings'!$V$73</f>
        <v>8.3333333333333321</v>
      </c>
      <c r="X396" s="880"/>
    </row>
    <row r="397" spans="1:24" ht="13.5" thickBot="1">
      <c r="A397" s="971"/>
      <c r="B397" s="501"/>
      <c r="C397" s="9" t="s">
        <v>292</v>
      </c>
      <c r="D397" s="957"/>
      <c r="E397" s="958"/>
      <c r="F397" s="958"/>
      <c r="G397" s="959"/>
      <c r="H397" s="966" t="s">
        <v>248</v>
      </c>
      <c r="I397" s="967"/>
      <c r="J397" s="967"/>
      <c r="K397" s="968"/>
      <c r="L397" s="954">
        <f>'LF-Zamfara'!L122:M122</f>
        <v>20</v>
      </c>
      <c r="M397" s="953"/>
      <c r="N397" s="954">
        <f>'LF-Zamfara'!N122:O122</f>
        <v>5</v>
      </c>
      <c r="O397" s="953"/>
      <c r="P397" s="954">
        <f>'LF-Zamfara'!P122:Q122</f>
        <v>25</v>
      </c>
      <c r="Q397" s="953"/>
      <c r="R397" s="954">
        <f>'LF-Zamfara'!R122:S122</f>
        <v>10</v>
      </c>
      <c r="S397" s="953"/>
      <c r="T397" s="963">
        <f>'Zamfara Workings'!$V$85</f>
        <v>58.333333333333343</v>
      </c>
      <c r="U397" s="965">
        <f>'Zamfara Workings'!$V$73</f>
        <v>3.3333333333333339</v>
      </c>
      <c r="V397" s="963">
        <f>'Zamfara Workings'!$V$88</f>
        <v>30</v>
      </c>
      <c r="W397" s="965">
        <f>'Zamfara Workings'!$V$73</f>
        <v>3.3333333333333339</v>
      </c>
      <c r="X397" s="880"/>
    </row>
    <row r="398" spans="1:24" ht="13.5" thickBot="1">
      <c r="A398" s="971"/>
      <c r="B398" s="501"/>
      <c r="C398" s="9" t="s">
        <v>293</v>
      </c>
      <c r="D398" s="957"/>
      <c r="E398" s="958"/>
      <c r="F398" s="958"/>
      <c r="G398" s="959"/>
      <c r="H398" s="966" t="s">
        <v>248</v>
      </c>
      <c r="I398" s="967"/>
      <c r="J398" s="967"/>
      <c r="K398" s="968"/>
      <c r="L398" s="954">
        <f>'LF-Katsina'!L122:M122</f>
        <v>25</v>
      </c>
      <c r="M398" s="953"/>
      <c r="N398" s="954">
        <f>'LF-Katsina'!N122:O122</f>
        <v>32</v>
      </c>
      <c r="O398" s="953"/>
      <c r="P398" s="954">
        <f>'LF-Katsina'!P122:Q122</f>
        <v>50</v>
      </c>
      <c r="Q398" s="953"/>
      <c r="R398" s="954">
        <f>'LF-Katsina'!R122:S122</f>
        <v>45</v>
      </c>
      <c r="S398" s="953"/>
      <c r="T398" s="963">
        <f>'Katsina Workings'!$V$85</f>
        <v>66.666666666666657</v>
      </c>
      <c r="U398" s="965">
        <f>'Katsina Workings'!$V$73</f>
        <v>3.6666666666666661</v>
      </c>
      <c r="V398" s="963">
        <f>'Katsina Workings'!$V$88</f>
        <v>58.333333333333343</v>
      </c>
      <c r="W398" s="965">
        <f>'Katsina Workings'!$V$73</f>
        <v>3.6666666666666661</v>
      </c>
      <c r="X398" s="880"/>
    </row>
    <row r="399" spans="1:24" ht="13.5" thickBot="1">
      <c r="A399" s="971"/>
      <c r="B399" s="501"/>
      <c r="C399" s="9" t="s">
        <v>294</v>
      </c>
      <c r="D399" s="957"/>
      <c r="E399" s="958"/>
      <c r="F399" s="958"/>
      <c r="G399" s="959"/>
      <c r="H399" s="966" t="s">
        <v>248</v>
      </c>
      <c r="I399" s="967"/>
      <c r="J399" s="967"/>
      <c r="K399" s="968"/>
      <c r="L399" s="951">
        <f>'LF-Yobe'!L122:M122</f>
        <v>40</v>
      </c>
      <c r="M399" s="952"/>
      <c r="N399" s="951">
        <f>'LF-Yobe'!N122:O122</f>
        <v>25</v>
      </c>
      <c r="O399" s="952"/>
      <c r="P399" s="951">
        <f>'LF-Yobe'!P122:Q122</f>
        <v>50</v>
      </c>
      <c r="Q399" s="952"/>
      <c r="R399" s="951">
        <f>'LF-Yobe'!R122:S122</f>
        <v>30</v>
      </c>
      <c r="S399" s="952"/>
      <c r="T399" s="942">
        <f>'Yobe Workings'!$V$85</f>
        <v>66.666666666666657</v>
      </c>
      <c r="U399" s="944">
        <f>'Yobe Workings'!$V$73</f>
        <v>3.3333333333333339</v>
      </c>
      <c r="V399" s="942">
        <f>'Yobe Workings'!$V$88</f>
        <v>40</v>
      </c>
      <c r="W399" s="944">
        <f>'Yobe Workings'!$V$73</f>
        <v>3.3333333333333339</v>
      </c>
      <c r="X399" s="880"/>
    </row>
    <row r="400" spans="1:24" ht="12.95" customHeight="1" thickBot="1">
      <c r="A400" s="971"/>
      <c r="B400" s="501"/>
      <c r="C400" s="9" t="s">
        <v>290</v>
      </c>
      <c r="D400" s="957"/>
      <c r="E400" s="958"/>
      <c r="F400" s="958"/>
      <c r="G400" s="959"/>
      <c r="H400" s="1162"/>
      <c r="I400" s="1163"/>
      <c r="J400" s="1163"/>
      <c r="K400" s="1164"/>
      <c r="L400" s="1057" t="s">
        <v>909</v>
      </c>
      <c r="M400" s="1058"/>
      <c r="N400" s="1058"/>
      <c r="O400" s="1059"/>
      <c r="P400" s="951">
        <f>'LF-Anambra'!P122:Q122</f>
        <v>48</v>
      </c>
      <c r="Q400" s="952"/>
      <c r="R400" s="951">
        <f>'LF-Anambra'!R122:S122</f>
        <v>70</v>
      </c>
      <c r="S400" s="952"/>
      <c r="T400" s="942">
        <f t="shared" ref="T400:U401" si="69">P400</f>
        <v>48</v>
      </c>
      <c r="U400" s="944">
        <f t="shared" si="69"/>
        <v>0</v>
      </c>
      <c r="V400" s="942">
        <f t="shared" ref="V400:V401" si="70">R400</f>
        <v>70</v>
      </c>
      <c r="W400" s="944">
        <f t="shared" ref="W400:W401" si="71">S400</f>
        <v>0</v>
      </c>
      <c r="X400" s="880"/>
    </row>
    <row r="401" spans="1:24" ht="12.95" customHeight="1" thickBot="1">
      <c r="A401" s="971"/>
      <c r="B401" s="501"/>
      <c r="C401" s="9" t="s">
        <v>291</v>
      </c>
      <c r="D401" s="957"/>
      <c r="E401" s="958"/>
      <c r="F401" s="958"/>
      <c r="G401" s="959"/>
      <c r="H401" s="1162"/>
      <c r="I401" s="1163"/>
      <c r="J401" s="1163"/>
      <c r="K401" s="1164"/>
      <c r="L401" s="1057" t="s">
        <v>909</v>
      </c>
      <c r="M401" s="1058"/>
      <c r="N401" s="1058"/>
      <c r="O401" s="1059"/>
      <c r="P401" s="951">
        <f>'LF-Niger'!P122:Q122</f>
        <v>40</v>
      </c>
      <c r="Q401" s="952"/>
      <c r="R401" s="951">
        <f>'LF-Niger'!R122:S122</f>
        <v>73</v>
      </c>
      <c r="S401" s="952"/>
      <c r="T401" s="942">
        <f t="shared" si="69"/>
        <v>40</v>
      </c>
      <c r="U401" s="944">
        <f t="shared" si="69"/>
        <v>0</v>
      </c>
      <c r="V401" s="942">
        <f t="shared" si="70"/>
        <v>73</v>
      </c>
      <c r="W401" s="944">
        <f t="shared" si="71"/>
        <v>0</v>
      </c>
      <c r="X401" s="880"/>
    </row>
    <row r="402" spans="1:24" ht="13.5" thickBot="1">
      <c r="A402" s="971"/>
      <c r="B402" s="501"/>
      <c r="C402" s="100" t="s">
        <v>295</v>
      </c>
      <c r="D402" s="1017"/>
      <c r="E402" s="1018"/>
      <c r="F402" s="1018"/>
      <c r="G402" s="1019"/>
      <c r="H402" s="1017"/>
      <c r="I402" s="1018"/>
      <c r="J402" s="1018"/>
      <c r="K402" s="1019"/>
      <c r="L402" s="1017"/>
      <c r="M402" s="1018"/>
      <c r="N402" s="1018"/>
      <c r="O402" s="1019"/>
      <c r="P402" s="1169">
        <f>'LF-Enugu'!P123:Q123</f>
        <v>76</v>
      </c>
      <c r="Q402" s="1170"/>
      <c r="R402" s="1169">
        <f>'LF-Enugu'!R123:S123</f>
        <v>60</v>
      </c>
      <c r="S402" s="1170"/>
      <c r="T402" s="1140">
        <f>'Enugu Workings'!$V$86</f>
        <v>70</v>
      </c>
      <c r="U402" s="1141">
        <f>'Enugu Workings'!$V$74</f>
        <v>6</v>
      </c>
      <c r="V402" s="1140">
        <f>'Enugu Workings'!$V$89</f>
        <v>93</v>
      </c>
      <c r="W402" s="1141">
        <f>'Enugu Workings'!$V$74</f>
        <v>6</v>
      </c>
      <c r="X402" s="880"/>
    </row>
    <row r="403" spans="1:24" ht="13.5" thickBot="1">
      <c r="A403" s="971"/>
      <c r="B403" s="501"/>
      <c r="C403" s="100" t="s">
        <v>296</v>
      </c>
      <c r="D403" s="1017"/>
      <c r="E403" s="1018"/>
      <c r="F403" s="1018"/>
      <c r="G403" s="1019"/>
      <c r="H403" s="1017"/>
      <c r="I403" s="1018"/>
      <c r="J403" s="1018"/>
      <c r="K403" s="1019"/>
      <c r="L403" s="1017"/>
      <c r="M403" s="1018"/>
      <c r="N403" s="1018"/>
      <c r="O403" s="1019"/>
      <c r="P403" s="1169">
        <f>'LF-Jigawa'!P123:Q123</f>
        <v>83</v>
      </c>
      <c r="Q403" s="1170"/>
      <c r="R403" s="1169">
        <f>'LF-Jigawa'!R123:S123</f>
        <v>79</v>
      </c>
      <c r="S403" s="1170"/>
      <c r="T403" s="1140">
        <f>'Jigawa Workings'!$V$86</f>
        <v>73</v>
      </c>
      <c r="U403" s="1141">
        <f>'Jigawa Workings'!$V$74</f>
        <v>8</v>
      </c>
      <c r="V403" s="1140">
        <f>'Jigawa Workings'!$V$89</f>
        <v>74</v>
      </c>
      <c r="W403" s="1141">
        <f>'Jigawa Workings'!$V$74</f>
        <v>8</v>
      </c>
      <c r="X403" s="880"/>
    </row>
    <row r="404" spans="1:24" ht="13.5" thickBot="1">
      <c r="A404" s="971"/>
      <c r="B404" s="501"/>
      <c r="C404" s="100" t="s">
        <v>297</v>
      </c>
      <c r="D404" s="1017"/>
      <c r="E404" s="1018"/>
      <c r="F404" s="1018"/>
      <c r="G404" s="1019"/>
      <c r="H404" s="1017"/>
      <c r="I404" s="1018"/>
      <c r="J404" s="1018"/>
      <c r="K404" s="1019"/>
      <c r="L404" s="1017"/>
      <c r="M404" s="1018"/>
      <c r="N404" s="1018"/>
      <c r="O404" s="1019"/>
      <c r="P404" s="1169">
        <f>'LF-Kaduna'!P123:Q123</f>
        <v>85</v>
      </c>
      <c r="Q404" s="1170"/>
      <c r="R404" s="1169">
        <f>'LF-Kaduna'!R123:S123</f>
        <v>15</v>
      </c>
      <c r="S404" s="1170"/>
      <c r="T404" s="1140">
        <f>'Kaduna Workings'!$V$86</f>
        <v>83</v>
      </c>
      <c r="U404" s="1141">
        <f>'Kaduna Workings'!$V$74</f>
        <v>13</v>
      </c>
      <c r="V404" s="1140">
        <f>'Kaduna Workings'!$V$89</f>
        <v>44</v>
      </c>
      <c r="W404" s="1141">
        <f>'Kaduna Workings'!$V$74</f>
        <v>13</v>
      </c>
      <c r="X404" s="880"/>
    </row>
    <row r="405" spans="1:24" ht="13.5" thickBot="1">
      <c r="A405" s="971"/>
      <c r="B405" s="501"/>
      <c r="C405" s="100" t="s">
        <v>298</v>
      </c>
      <c r="D405" s="1017"/>
      <c r="E405" s="1018"/>
      <c r="F405" s="1018"/>
      <c r="G405" s="1019"/>
      <c r="H405" s="1017"/>
      <c r="I405" s="1018"/>
      <c r="J405" s="1018"/>
      <c r="K405" s="1019"/>
      <c r="L405" s="1017"/>
      <c r="M405" s="1018"/>
      <c r="N405" s="1018"/>
      <c r="O405" s="1019"/>
      <c r="P405" s="1169">
        <f>'LF-Kano'!P123:Q123</f>
        <v>66</v>
      </c>
      <c r="Q405" s="1170"/>
      <c r="R405" s="1169">
        <f>'LF-Kano'!R123:S123</f>
        <v>86</v>
      </c>
      <c r="S405" s="1170"/>
      <c r="T405" s="1140">
        <f>'Kano Workings'!$V$86</f>
        <v>73</v>
      </c>
      <c r="U405" s="1141">
        <f>'Kano Workings'!$V$74</f>
        <v>10</v>
      </c>
      <c r="V405" s="1140">
        <f>'Kano Workings'!$V$89</f>
        <v>89</v>
      </c>
      <c r="W405" s="1141">
        <f>'Kano Workings'!$V$74</f>
        <v>10</v>
      </c>
      <c r="X405" s="880"/>
    </row>
    <row r="406" spans="1:24" ht="13.5" thickBot="1">
      <c r="A406" s="971"/>
      <c r="B406" s="501"/>
      <c r="C406" s="100" t="s">
        <v>299</v>
      </c>
      <c r="D406" s="1017"/>
      <c r="E406" s="1018"/>
      <c r="F406" s="1018"/>
      <c r="G406" s="1019"/>
      <c r="H406" s="1017"/>
      <c r="I406" s="1018"/>
      <c r="J406" s="1018"/>
      <c r="K406" s="1019"/>
      <c r="L406" s="1017"/>
      <c r="M406" s="1018"/>
      <c r="N406" s="1018"/>
      <c r="O406" s="1019"/>
      <c r="P406" s="1169">
        <f>'LF-Lagos'!P123:Q123</f>
        <v>70</v>
      </c>
      <c r="Q406" s="1170"/>
      <c r="R406" s="1169">
        <f>'LF-Lagos'!R123:S123</f>
        <v>59</v>
      </c>
      <c r="S406" s="1170"/>
      <c r="T406" s="1140">
        <f>'Lagos Workings'!$V$86</f>
        <v>80</v>
      </c>
      <c r="U406" s="1141">
        <f>'Lagos Workings'!$V$74</f>
        <v>0</v>
      </c>
      <c r="V406" s="1140">
        <f>'Lagos Workings'!$V$89</f>
        <v>66</v>
      </c>
      <c r="W406" s="1141">
        <f>'Lagos Workings'!$V$74</f>
        <v>0</v>
      </c>
      <c r="X406" s="880"/>
    </row>
    <row r="407" spans="1:24" ht="24.75" thickBot="1">
      <c r="A407" s="971"/>
      <c r="B407" s="501"/>
      <c r="C407" s="100" t="s">
        <v>300</v>
      </c>
      <c r="D407" s="1017"/>
      <c r="E407" s="1018"/>
      <c r="F407" s="1018"/>
      <c r="G407" s="1019"/>
      <c r="H407" s="1017"/>
      <c r="I407" s="1018"/>
      <c r="J407" s="1018"/>
      <c r="K407" s="1019"/>
      <c r="L407" s="1017"/>
      <c r="M407" s="1018"/>
      <c r="N407" s="1018"/>
      <c r="O407" s="1019"/>
      <c r="P407" s="1169">
        <f>'LF-Zamfara'!P123:Q123</f>
        <v>30</v>
      </c>
      <c r="Q407" s="1170"/>
      <c r="R407" s="1169">
        <f>'LF-Zamfara'!R123:S123</f>
        <v>10</v>
      </c>
      <c r="S407" s="1170"/>
      <c r="T407" s="1140">
        <f>'Zamfara Workings'!$V$86</f>
        <v>63</v>
      </c>
      <c r="U407" s="1141">
        <f>'Zamfara Workings'!$V$74</f>
        <v>10</v>
      </c>
      <c r="V407" s="1140">
        <f>'Zamfara Workings'!$V$89</f>
        <v>65</v>
      </c>
      <c r="W407" s="1141">
        <f>'Zamfara Workings'!$V$74</f>
        <v>10</v>
      </c>
      <c r="X407" s="880"/>
    </row>
    <row r="408" spans="1:24" ht="13.5" thickBot="1">
      <c r="A408" s="971"/>
      <c r="B408" s="501"/>
      <c r="C408" s="100" t="s">
        <v>301</v>
      </c>
      <c r="D408" s="1017"/>
      <c r="E408" s="1018"/>
      <c r="F408" s="1018"/>
      <c r="G408" s="1019"/>
      <c r="H408" s="1017"/>
      <c r="I408" s="1018"/>
      <c r="J408" s="1018"/>
      <c r="K408" s="1019"/>
      <c r="L408" s="1017"/>
      <c r="M408" s="1018"/>
      <c r="N408" s="1018"/>
      <c r="O408" s="1019"/>
      <c r="P408" s="1169">
        <f>'LF-Katsina'!P123:Q123</f>
        <v>40</v>
      </c>
      <c r="Q408" s="1170"/>
      <c r="R408" s="1169">
        <f>'LF-Katsina'!R123:S123</f>
        <v>40</v>
      </c>
      <c r="S408" s="1170"/>
      <c r="T408" s="1140">
        <f>'Katsina Workings'!$V$86</f>
        <v>60</v>
      </c>
      <c r="U408" s="1141">
        <f>'Katsina Workings'!$V$74</f>
        <v>7</v>
      </c>
      <c r="V408" s="1140">
        <f>'Katsina Workings'!$V$89</f>
        <v>52</v>
      </c>
      <c r="W408" s="1141">
        <f>'Katsina Workings'!$V$74</f>
        <v>7</v>
      </c>
      <c r="X408" s="880"/>
    </row>
    <row r="409" spans="1:24" ht="13.5" thickBot="1">
      <c r="A409" s="971"/>
      <c r="B409" s="501"/>
      <c r="C409" s="100" t="s">
        <v>302</v>
      </c>
      <c r="D409" s="1017"/>
      <c r="E409" s="1018"/>
      <c r="F409" s="1018"/>
      <c r="G409" s="1019"/>
      <c r="H409" s="1017"/>
      <c r="I409" s="1018"/>
      <c r="J409" s="1018"/>
      <c r="K409" s="1019"/>
      <c r="L409" s="1017"/>
      <c r="M409" s="1018"/>
      <c r="N409" s="1018"/>
      <c r="O409" s="1019"/>
      <c r="P409" s="1169">
        <f>'LF-Yobe'!P123:Q123</f>
        <v>58</v>
      </c>
      <c r="Q409" s="1170"/>
      <c r="R409" s="1169">
        <f>'LF-Yobe'!R123:S123</f>
        <v>32</v>
      </c>
      <c r="S409" s="1170"/>
      <c r="T409" s="1140">
        <f>'Yobe Workings'!$V$86</f>
        <v>72</v>
      </c>
      <c r="U409" s="1141">
        <f>'Yobe Workings'!$V$74</f>
        <v>11</v>
      </c>
      <c r="V409" s="1140">
        <f>'Yobe Workings'!$V$89</f>
        <v>68</v>
      </c>
      <c r="W409" s="1141">
        <f>'Yobe Workings'!$V$74</f>
        <v>11</v>
      </c>
      <c r="X409" s="880"/>
    </row>
    <row r="410" spans="1:24" ht="24.75" thickBot="1">
      <c r="A410" s="971"/>
      <c r="B410" s="501"/>
      <c r="C410" s="100" t="s">
        <v>303</v>
      </c>
      <c r="D410" s="1017"/>
      <c r="E410" s="1018"/>
      <c r="F410" s="1018"/>
      <c r="G410" s="1019"/>
      <c r="H410" s="1017"/>
      <c r="I410" s="1018"/>
      <c r="J410" s="1018"/>
      <c r="K410" s="1019"/>
      <c r="L410" s="1017"/>
      <c r="M410" s="1018"/>
      <c r="N410" s="1018"/>
      <c r="O410" s="1019"/>
      <c r="P410" s="1054"/>
      <c r="Q410" s="1055"/>
      <c r="R410" s="1055"/>
      <c r="S410" s="1056"/>
      <c r="T410" s="1140">
        <f t="shared" ref="T410:U410" si="72">T400</f>
        <v>48</v>
      </c>
      <c r="U410" s="1141">
        <f t="shared" si="72"/>
        <v>0</v>
      </c>
      <c r="V410" s="1140">
        <f t="shared" ref="V410:W410" si="73">V400</f>
        <v>70</v>
      </c>
      <c r="W410" s="1141">
        <f t="shared" si="73"/>
        <v>0</v>
      </c>
      <c r="X410" s="880"/>
    </row>
    <row r="411" spans="1:24" ht="13.5" thickBot="1">
      <c r="A411" s="971"/>
      <c r="B411" s="501"/>
      <c r="C411" s="100" t="s">
        <v>304</v>
      </c>
      <c r="D411" s="1017"/>
      <c r="E411" s="1018"/>
      <c r="F411" s="1018"/>
      <c r="G411" s="1019"/>
      <c r="H411" s="1017"/>
      <c r="I411" s="1018"/>
      <c r="J411" s="1018"/>
      <c r="K411" s="1019"/>
      <c r="L411" s="1017"/>
      <c r="M411" s="1018"/>
      <c r="N411" s="1018"/>
      <c r="O411" s="1019"/>
      <c r="P411" s="1054"/>
      <c r="Q411" s="1055"/>
      <c r="R411" s="1055"/>
      <c r="S411" s="1056"/>
      <c r="T411" s="1140">
        <f t="shared" ref="T411:U411" si="74">T401</f>
        <v>40</v>
      </c>
      <c r="U411" s="1141">
        <f t="shared" si="74"/>
        <v>0</v>
      </c>
      <c r="V411" s="1140">
        <f t="shared" ref="V411:W411" si="75">V401</f>
        <v>73</v>
      </c>
      <c r="W411" s="1141">
        <f t="shared" si="75"/>
        <v>0</v>
      </c>
      <c r="X411" s="880"/>
    </row>
    <row r="412" spans="1:24" ht="13.5" thickBot="1">
      <c r="A412" s="971"/>
      <c r="B412" s="885"/>
      <c r="C412" s="922" t="s">
        <v>413</v>
      </c>
      <c r="D412" s="927" t="s">
        <v>4</v>
      </c>
      <c r="E412" s="928"/>
      <c r="F412" s="928"/>
      <c r="G412" s="928"/>
      <c r="H412" s="928"/>
      <c r="I412" s="928"/>
      <c r="J412" s="928"/>
      <c r="K412" s="928"/>
      <c r="L412" s="928"/>
      <c r="M412" s="928"/>
      <c r="N412" s="928"/>
      <c r="O412" s="928"/>
      <c r="P412" s="928"/>
      <c r="Q412" s="928"/>
      <c r="R412" s="928"/>
      <c r="S412" s="928"/>
      <c r="T412" s="928"/>
      <c r="U412" s="928"/>
      <c r="V412" s="928"/>
      <c r="W412" s="929"/>
      <c r="X412" s="880"/>
    </row>
    <row r="413" spans="1:24" ht="24" customHeight="1" thickBot="1">
      <c r="A413" s="971"/>
      <c r="B413" s="869"/>
      <c r="C413" s="923"/>
      <c r="D413" s="930" t="s">
        <v>121</v>
      </c>
      <c r="E413" s="931"/>
      <c r="F413" s="931"/>
      <c r="G413" s="931"/>
      <c r="H413" s="931"/>
      <c r="I413" s="931"/>
      <c r="J413" s="931"/>
      <c r="K413" s="931"/>
      <c r="L413" s="931"/>
      <c r="M413" s="931"/>
      <c r="N413" s="931"/>
      <c r="O413" s="931"/>
      <c r="P413" s="931"/>
      <c r="Q413" s="931"/>
      <c r="R413" s="931"/>
      <c r="S413" s="931"/>
      <c r="T413" s="931"/>
      <c r="U413" s="931"/>
      <c r="V413" s="931"/>
      <c r="W413" s="932"/>
      <c r="X413" s="880"/>
    </row>
    <row r="414" spans="1:24" ht="12.95" customHeight="1" thickBot="1">
      <c r="A414" s="885"/>
      <c r="B414" s="11" t="s">
        <v>40</v>
      </c>
      <c r="C414" s="12"/>
      <c r="D414" s="927" t="s">
        <v>78</v>
      </c>
      <c r="E414" s="928"/>
      <c r="F414" s="928"/>
      <c r="G414" s="929"/>
      <c r="H414" s="927" t="s">
        <v>77</v>
      </c>
      <c r="I414" s="928"/>
      <c r="J414" s="928"/>
      <c r="K414" s="929"/>
      <c r="L414" s="927" t="s">
        <v>81</v>
      </c>
      <c r="M414" s="928"/>
      <c r="N414" s="928"/>
      <c r="O414" s="929"/>
      <c r="P414" s="927" t="s">
        <v>254</v>
      </c>
      <c r="Q414" s="928"/>
      <c r="R414" s="928"/>
      <c r="S414" s="929"/>
      <c r="T414" s="1144" t="s">
        <v>908</v>
      </c>
      <c r="U414" s="1145"/>
      <c r="V414" s="1145"/>
      <c r="W414" s="1146"/>
      <c r="X414" s="880"/>
    </row>
    <row r="415" spans="1:24" ht="13.5" thickBot="1">
      <c r="A415" s="885"/>
      <c r="B415" s="868" t="s">
        <v>644</v>
      </c>
      <c r="C415" s="9" t="s">
        <v>285</v>
      </c>
      <c r="D415" s="1171" t="s">
        <v>171</v>
      </c>
      <c r="E415" s="1172"/>
      <c r="F415" s="1172"/>
      <c r="G415" s="1173"/>
      <c r="H415" s="1048" t="s">
        <v>248</v>
      </c>
      <c r="I415" s="1049"/>
      <c r="J415" s="1049"/>
      <c r="K415" s="1050"/>
      <c r="L415" s="942">
        <f>'LF-Enugu'!L127:O127</f>
        <v>3.9</v>
      </c>
      <c r="M415" s="943"/>
      <c r="N415" s="943"/>
      <c r="O415" s="944"/>
      <c r="P415" s="942">
        <f>'LF-Enugu'!P127:S127</f>
        <v>4.2</v>
      </c>
      <c r="Q415" s="943"/>
      <c r="R415" s="943"/>
      <c r="S415" s="944"/>
      <c r="T415" s="1159">
        <f>'Enugu Workings'!$V$91</f>
        <v>4.3999999999999995</v>
      </c>
      <c r="U415" s="1160">
        <f>'Enugu Workings'!$V$10</f>
        <v>3.3333333333333339</v>
      </c>
      <c r="V415" s="1160">
        <f>'Enugu Workings'!$V$10</f>
        <v>3.3333333333333339</v>
      </c>
      <c r="W415" s="1161">
        <f>'Enugu Workings'!$V$10</f>
        <v>3.3333333333333339</v>
      </c>
      <c r="X415" s="880"/>
    </row>
    <row r="416" spans="1:24" ht="13.5" thickBot="1">
      <c r="A416" s="885"/>
      <c r="B416" s="885"/>
      <c r="C416" s="9" t="s">
        <v>286</v>
      </c>
      <c r="D416" s="957"/>
      <c r="E416" s="958"/>
      <c r="F416" s="958"/>
      <c r="G416" s="959"/>
      <c r="H416" s="1048" t="s">
        <v>248</v>
      </c>
      <c r="I416" s="1049"/>
      <c r="J416" s="1049"/>
      <c r="K416" s="1050"/>
      <c r="L416" s="942">
        <f>'LF-Jigawa'!L127:O127</f>
        <v>3.6</v>
      </c>
      <c r="M416" s="943"/>
      <c r="N416" s="943"/>
      <c r="O416" s="944"/>
      <c r="P416" s="963">
        <f>'LF-Jigawa'!P127:S127</f>
        <v>3.8</v>
      </c>
      <c r="Q416" s="964"/>
      <c r="R416" s="964"/>
      <c r="S416" s="965"/>
      <c r="T416" s="1159">
        <f>'Jigawa Workings'!$V$91</f>
        <v>3.9333333333333327</v>
      </c>
      <c r="U416" s="1160">
        <f>'Jigawa Workings'!$V$10</f>
        <v>14.666666666666664</v>
      </c>
      <c r="V416" s="1160">
        <f>'Jigawa Workings'!$V$10</f>
        <v>14.666666666666664</v>
      </c>
      <c r="W416" s="1161">
        <f>'Jigawa Workings'!$V$10</f>
        <v>14.666666666666664</v>
      </c>
      <c r="X416" s="880"/>
    </row>
    <row r="417" spans="1:24" ht="13.5" thickBot="1">
      <c r="A417" s="885"/>
      <c r="B417" s="885"/>
      <c r="C417" s="9" t="s">
        <v>287</v>
      </c>
      <c r="D417" s="957"/>
      <c r="E417" s="958"/>
      <c r="F417" s="958"/>
      <c r="G417" s="959"/>
      <c r="H417" s="1048" t="s">
        <v>248</v>
      </c>
      <c r="I417" s="1049"/>
      <c r="J417" s="1049"/>
      <c r="K417" s="1050"/>
      <c r="L417" s="942">
        <f>'LF-Kaduna'!L127:O127</f>
        <v>3.5</v>
      </c>
      <c r="M417" s="943"/>
      <c r="N417" s="943"/>
      <c r="O417" s="944"/>
      <c r="P417" s="963">
        <f>'LF-Kaduna'!P127:S127</f>
        <v>3.6</v>
      </c>
      <c r="Q417" s="964"/>
      <c r="R417" s="964"/>
      <c r="S417" s="965"/>
      <c r="T417" s="1159">
        <f>'Kaduna Workings'!$V$91</f>
        <v>3.8666666666666663</v>
      </c>
      <c r="U417" s="1160">
        <f>'Kaduna Workings'!$V$10</f>
        <v>13.666666666666664</v>
      </c>
      <c r="V417" s="1160">
        <f>'Kaduna Workings'!$V$10</f>
        <v>13.666666666666664</v>
      </c>
      <c r="W417" s="1161">
        <f>'Kaduna Workings'!$V$10</f>
        <v>13.666666666666664</v>
      </c>
      <c r="X417" s="880"/>
    </row>
    <row r="418" spans="1:24" ht="13.5" thickBot="1">
      <c r="A418" s="885"/>
      <c r="B418" s="885"/>
      <c r="C418" s="9" t="s">
        <v>288</v>
      </c>
      <c r="D418" s="957"/>
      <c r="E418" s="958"/>
      <c r="F418" s="958"/>
      <c r="G418" s="959"/>
      <c r="H418" s="1048" t="s">
        <v>248</v>
      </c>
      <c r="I418" s="1049"/>
      <c r="J418" s="1049"/>
      <c r="K418" s="1050"/>
      <c r="L418" s="942">
        <f>'LF-Kano'!L127:O127</f>
        <v>3</v>
      </c>
      <c r="M418" s="943"/>
      <c r="N418" s="943"/>
      <c r="O418" s="944"/>
      <c r="P418" s="963">
        <f>'LF-Kano'!P127:S127</f>
        <v>3.5</v>
      </c>
      <c r="Q418" s="964"/>
      <c r="R418" s="964"/>
      <c r="S418" s="965"/>
      <c r="T418" s="1159">
        <f>'Kano Workings'!$V$91</f>
        <v>3.8333333333333339</v>
      </c>
      <c r="U418" s="1160">
        <f>'Kano Workings'!$V$10</f>
        <v>5.666666666666667</v>
      </c>
      <c r="V418" s="1160">
        <f>'Kano Workings'!$V$10</f>
        <v>5.666666666666667</v>
      </c>
      <c r="W418" s="1161">
        <f>'Kano Workings'!$V$10</f>
        <v>5.666666666666667</v>
      </c>
      <c r="X418" s="880"/>
    </row>
    <row r="419" spans="1:24" ht="13.5" thickBot="1">
      <c r="A419" s="885"/>
      <c r="B419" s="885"/>
      <c r="C419" s="9" t="s">
        <v>289</v>
      </c>
      <c r="D419" s="957"/>
      <c r="E419" s="958"/>
      <c r="F419" s="958"/>
      <c r="G419" s="959"/>
      <c r="H419" s="1048" t="s">
        <v>248</v>
      </c>
      <c r="I419" s="1049"/>
      <c r="J419" s="1049"/>
      <c r="K419" s="1050"/>
      <c r="L419" s="942">
        <f>'LF-Lagos'!L127:O127</f>
        <v>3.4</v>
      </c>
      <c r="M419" s="943"/>
      <c r="N419" s="943"/>
      <c r="O419" s="944"/>
      <c r="P419" s="963">
        <f>'LF-Lagos'!P127:S127</f>
        <v>3.8</v>
      </c>
      <c r="Q419" s="964"/>
      <c r="R419" s="964"/>
      <c r="S419" s="965"/>
      <c r="T419" s="1159">
        <f>'Lagos Workings'!$V$91</f>
        <v>4.0666666666666664</v>
      </c>
      <c r="U419" s="1160">
        <f>'Lagos Workings'!$V$10</f>
        <v>15</v>
      </c>
      <c r="V419" s="1160">
        <f>'Lagos Workings'!$V$10</f>
        <v>15</v>
      </c>
      <c r="W419" s="1161">
        <f>'Lagos Workings'!$V$10</f>
        <v>15</v>
      </c>
      <c r="X419" s="880"/>
    </row>
    <row r="420" spans="1:24" ht="13.5" thickBot="1">
      <c r="A420" s="885"/>
      <c r="B420" s="885"/>
      <c r="C420" s="9" t="s">
        <v>292</v>
      </c>
      <c r="D420" s="957"/>
      <c r="E420" s="958"/>
      <c r="F420" s="958"/>
      <c r="G420" s="959"/>
      <c r="H420" s="1048" t="s">
        <v>248</v>
      </c>
      <c r="I420" s="1049"/>
      <c r="J420" s="1049"/>
      <c r="K420" s="1050"/>
      <c r="L420" s="942">
        <f>'LF-Zamfara'!L127:O127</f>
        <v>2</v>
      </c>
      <c r="M420" s="943"/>
      <c r="N420" s="943"/>
      <c r="O420" s="944"/>
      <c r="P420" s="963">
        <f>'LF-Zamfara'!P127:S127</f>
        <v>2.2999999999999998</v>
      </c>
      <c r="Q420" s="964"/>
      <c r="R420" s="964"/>
      <c r="S420" s="965"/>
      <c r="T420" s="1159">
        <f>'Zamfara Workings'!$V$91</f>
        <v>2.7666666666666666</v>
      </c>
      <c r="U420" s="1160">
        <f>'Zamfara Workings'!$V$10</f>
        <v>3.3333333333333339</v>
      </c>
      <c r="V420" s="1160">
        <f>'Zamfara Workings'!$V$10</f>
        <v>3.3333333333333339</v>
      </c>
      <c r="W420" s="1161">
        <f>'Zamfara Workings'!$V$10</f>
        <v>3.3333333333333339</v>
      </c>
      <c r="X420" s="880"/>
    </row>
    <row r="421" spans="1:24" ht="13.5" thickBot="1">
      <c r="A421" s="885"/>
      <c r="B421" s="885"/>
      <c r="C421" s="9" t="s">
        <v>293</v>
      </c>
      <c r="D421" s="957"/>
      <c r="E421" s="958"/>
      <c r="F421" s="958"/>
      <c r="G421" s="959"/>
      <c r="H421" s="1048" t="s">
        <v>248</v>
      </c>
      <c r="I421" s="1049"/>
      <c r="J421" s="1049"/>
      <c r="K421" s="1050"/>
      <c r="L421" s="942">
        <f>'LF-Katsina'!L127:O127</f>
        <v>2.2000000000000002</v>
      </c>
      <c r="M421" s="943"/>
      <c r="N421" s="943"/>
      <c r="O421" s="944"/>
      <c r="P421" s="963">
        <f>'LF-Katsina'!P127:S127</f>
        <v>2.5</v>
      </c>
      <c r="Q421" s="964"/>
      <c r="R421" s="964"/>
      <c r="S421" s="965"/>
      <c r="T421" s="1159">
        <f>'Katsina Workings'!$V$91</f>
        <v>2.8333333333333339</v>
      </c>
      <c r="U421" s="1160">
        <f>'Katsina Workings'!$V$10</f>
        <v>6</v>
      </c>
      <c r="V421" s="1160">
        <f>'Katsina Workings'!$V$10</f>
        <v>6</v>
      </c>
      <c r="W421" s="1161">
        <f>'Katsina Workings'!$V$10</f>
        <v>6</v>
      </c>
      <c r="X421" s="880"/>
    </row>
    <row r="422" spans="1:24" ht="13.5" thickBot="1">
      <c r="A422" s="885"/>
      <c r="B422" s="885"/>
      <c r="C422" s="9" t="s">
        <v>294</v>
      </c>
      <c r="D422" s="957"/>
      <c r="E422" s="958"/>
      <c r="F422" s="958"/>
      <c r="G422" s="959"/>
      <c r="H422" s="1048" t="s">
        <v>248</v>
      </c>
      <c r="I422" s="1049"/>
      <c r="J422" s="1049"/>
      <c r="K422" s="1050"/>
      <c r="L422" s="942">
        <f>'LF-Yobe'!L127:O127</f>
        <v>1.9</v>
      </c>
      <c r="M422" s="943"/>
      <c r="N422" s="943"/>
      <c r="O422" s="944"/>
      <c r="P422" s="942">
        <f>'LF-Yobe'!P127:S127</f>
        <v>2.2000000000000002</v>
      </c>
      <c r="Q422" s="943"/>
      <c r="R422" s="943"/>
      <c r="S422" s="944"/>
      <c r="T422" s="1159">
        <f>'Yobe Workings'!$V$91</f>
        <v>2.3999999999999995</v>
      </c>
      <c r="U422" s="1160">
        <f>'Yobe Workings'!$V$10</f>
        <v>2.6666666666666661</v>
      </c>
      <c r="V422" s="1160">
        <f>'Yobe Workings'!$V$10</f>
        <v>2.6666666666666661</v>
      </c>
      <c r="W422" s="1161">
        <f>'Yobe Workings'!$V$10</f>
        <v>2.6666666666666661</v>
      </c>
      <c r="X422" s="880"/>
    </row>
    <row r="423" spans="1:24" ht="12.95" customHeight="1" thickBot="1">
      <c r="A423" s="885"/>
      <c r="B423" s="885"/>
      <c r="C423" s="9" t="s">
        <v>290</v>
      </c>
      <c r="D423" s="957"/>
      <c r="E423" s="958"/>
      <c r="F423" s="958"/>
      <c r="G423" s="959"/>
      <c r="H423" s="1162"/>
      <c r="I423" s="1163"/>
      <c r="J423" s="1163"/>
      <c r="K423" s="1164"/>
      <c r="L423" s="1057" t="s">
        <v>909</v>
      </c>
      <c r="M423" s="1058"/>
      <c r="N423" s="1058"/>
      <c r="O423" s="1059"/>
      <c r="P423" s="942">
        <f>'LF-Anambra'!P127:S127</f>
        <v>2.9</v>
      </c>
      <c r="Q423" s="943"/>
      <c r="R423" s="943"/>
      <c r="S423" s="944"/>
      <c r="T423" s="960">
        <f t="shared" ref="T423:T424" si="76">P423</f>
        <v>2.9</v>
      </c>
      <c r="U423" s="961">
        <f t="shared" ref="U423:U424" si="77">Q423</f>
        <v>0</v>
      </c>
      <c r="V423" s="961">
        <f t="shared" ref="V423:V424" si="78">R423</f>
        <v>0</v>
      </c>
      <c r="W423" s="962">
        <f t="shared" ref="W423:W424" si="79">S423</f>
        <v>0</v>
      </c>
      <c r="X423" s="880"/>
    </row>
    <row r="424" spans="1:24" ht="12.95" customHeight="1" thickBot="1">
      <c r="A424" s="885"/>
      <c r="B424" s="885"/>
      <c r="C424" s="9" t="s">
        <v>291</v>
      </c>
      <c r="D424" s="957"/>
      <c r="E424" s="958"/>
      <c r="F424" s="958"/>
      <c r="G424" s="959"/>
      <c r="H424" s="1162"/>
      <c r="I424" s="1163"/>
      <c r="J424" s="1163"/>
      <c r="K424" s="1164"/>
      <c r="L424" s="1057" t="s">
        <v>909</v>
      </c>
      <c r="M424" s="1058"/>
      <c r="N424" s="1058"/>
      <c r="O424" s="1059"/>
      <c r="P424" s="942">
        <f>'LF-Niger'!P127:S127</f>
        <v>2.7</v>
      </c>
      <c r="Q424" s="943"/>
      <c r="R424" s="943"/>
      <c r="S424" s="944"/>
      <c r="T424" s="960">
        <f t="shared" si="76"/>
        <v>2.7</v>
      </c>
      <c r="U424" s="961">
        <f t="shared" si="77"/>
        <v>0</v>
      </c>
      <c r="V424" s="961">
        <f t="shared" si="78"/>
        <v>0</v>
      </c>
      <c r="W424" s="962">
        <f t="shared" si="79"/>
        <v>0</v>
      </c>
      <c r="X424" s="880"/>
    </row>
    <row r="425" spans="1:24" ht="13.5" thickBot="1">
      <c r="A425" s="885"/>
      <c r="B425" s="885"/>
      <c r="C425" s="100" t="s">
        <v>295</v>
      </c>
      <c r="D425" s="1017"/>
      <c r="E425" s="1018"/>
      <c r="F425" s="1018"/>
      <c r="G425" s="1019"/>
      <c r="H425" s="1017"/>
      <c r="I425" s="1018"/>
      <c r="J425" s="1018"/>
      <c r="K425" s="1019"/>
      <c r="L425" s="1017"/>
      <c r="M425" s="1018"/>
      <c r="N425" s="1018"/>
      <c r="O425" s="1019"/>
      <c r="P425" s="1147">
        <f>'LF-Enugu'!P128:S128</f>
        <v>4.0999999999999996</v>
      </c>
      <c r="Q425" s="1148"/>
      <c r="R425" s="1148"/>
      <c r="S425" s="1149"/>
      <c r="T425" s="1147">
        <f>'Enugu Workings'!$V$92</f>
        <v>4.2</v>
      </c>
      <c r="U425" s="1148">
        <f>'Enugu Workings'!$V$11</f>
        <v>2</v>
      </c>
      <c r="V425" s="1148">
        <f>'Enugu Workings'!$V$11</f>
        <v>2</v>
      </c>
      <c r="W425" s="1149">
        <f>'Enugu Workings'!$V$11</f>
        <v>2</v>
      </c>
      <c r="X425" s="880"/>
    </row>
    <row r="426" spans="1:24" ht="13.5" thickBot="1">
      <c r="A426" s="885"/>
      <c r="B426" s="885"/>
      <c r="C426" s="100" t="s">
        <v>296</v>
      </c>
      <c r="D426" s="1017"/>
      <c r="E426" s="1018"/>
      <c r="F426" s="1018"/>
      <c r="G426" s="1019"/>
      <c r="H426" s="1017"/>
      <c r="I426" s="1018"/>
      <c r="J426" s="1018"/>
      <c r="K426" s="1019"/>
      <c r="L426" s="1017"/>
      <c r="M426" s="1018"/>
      <c r="N426" s="1018"/>
      <c r="O426" s="1019"/>
      <c r="P426" s="1147">
        <f>'LF-Jigawa'!P128:S128</f>
        <v>3.6</v>
      </c>
      <c r="Q426" s="1148"/>
      <c r="R426" s="1148"/>
      <c r="S426" s="1149"/>
      <c r="T426" s="1147">
        <f>'Jigawa Workings'!$V$92</f>
        <v>4.2</v>
      </c>
      <c r="U426" s="1148">
        <f>'Jigawa Workings'!$V$11</f>
        <v>12</v>
      </c>
      <c r="V426" s="1148">
        <f>'Jigawa Workings'!$V$11</f>
        <v>12</v>
      </c>
      <c r="W426" s="1149">
        <f>'Jigawa Workings'!$V$11</f>
        <v>12</v>
      </c>
      <c r="X426" s="880"/>
    </row>
    <row r="427" spans="1:24" ht="13.5" thickBot="1">
      <c r="A427" s="885"/>
      <c r="B427" s="885"/>
      <c r="C427" s="100" t="s">
        <v>297</v>
      </c>
      <c r="D427" s="1017"/>
      <c r="E427" s="1018"/>
      <c r="F427" s="1018"/>
      <c r="G427" s="1019"/>
      <c r="H427" s="1017"/>
      <c r="I427" s="1018"/>
      <c r="J427" s="1018"/>
      <c r="K427" s="1019"/>
      <c r="L427" s="1017"/>
      <c r="M427" s="1018"/>
      <c r="N427" s="1018"/>
      <c r="O427" s="1019"/>
      <c r="P427" s="1147">
        <f>'LF-Kaduna'!P128:S128</f>
        <v>3.5</v>
      </c>
      <c r="Q427" s="1148"/>
      <c r="R427" s="1148"/>
      <c r="S427" s="1149"/>
      <c r="T427" s="1147">
        <f>'Kaduna Workings'!$V$92</f>
        <v>4</v>
      </c>
      <c r="U427" s="1148">
        <f>'Kaduna Workings'!$V$11</f>
        <v>2</v>
      </c>
      <c r="V427" s="1148">
        <f>'Kaduna Workings'!$V$11</f>
        <v>2</v>
      </c>
      <c r="W427" s="1149">
        <f>'Kaduna Workings'!$V$11</f>
        <v>2</v>
      </c>
      <c r="X427" s="880"/>
    </row>
    <row r="428" spans="1:24" ht="13.5" thickBot="1">
      <c r="A428" s="885"/>
      <c r="B428" s="885"/>
      <c r="C428" s="100" t="s">
        <v>298</v>
      </c>
      <c r="D428" s="1017"/>
      <c r="E428" s="1018"/>
      <c r="F428" s="1018"/>
      <c r="G428" s="1019"/>
      <c r="H428" s="1017"/>
      <c r="I428" s="1018"/>
      <c r="J428" s="1018"/>
      <c r="K428" s="1019"/>
      <c r="L428" s="1017"/>
      <c r="M428" s="1018"/>
      <c r="N428" s="1018"/>
      <c r="O428" s="1019"/>
      <c r="P428" s="1147">
        <f>'LF-Kano'!P128:S128</f>
        <v>3.6</v>
      </c>
      <c r="Q428" s="1148"/>
      <c r="R428" s="1148"/>
      <c r="S428" s="1149"/>
      <c r="T428" s="1147">
        <f>'Kano Workings'!$V$92</f>
        <v>3.4</v>
      </c>
      <c r="U428" s="1148">
        <f>'Kano Workings'!$V$11</f>
        <v>6</v>
      </c>
      <c r="V428" s="1148">
        <f>'Kano Workings'!$V$11</f>
        <v>6</v>
      </c>
      <c r="W428" s="1149">
        <f>'Kano Workings'!$V$11</f>
        <v>6</v>
      </c>
      <c r="X428" s="880"/>
    </row>
    <row r="429" spans="1:24" ht="13.5" thickBot="1">
      <c r="A429" s="885"/>
      <c r="B429" s="885"/>
      <c r="C429" s="100" t="s">
        <v>299</v>
      </c>
      <c r="D429" s="1017"/>
      <c r="E429" s="1018"/>
      <c r="F429" s="1018"/>
      <c r="G429" s="1019"/>
      <c r="H429" s="1017"/>
      <c r="I429" s="1018"/>
      <c r="J429" s="1018"/>
      <c r="K429" s="1019"/>
      <c r="L429" s="1017"/>
      <c r="M429" s="1018"/>
      <c r="N429" s="1018"/>
      <c r="O429" s="1019"/>
      <c r="P429" s="1147">
        <f>'LF-Lagos'!P128:S128</f>
        <v>3.8</v>
      </c>
      <c r="Q429" s="1148"/>
      <c r="R429" s="1148"/>
      <c r="S429" s="1149"/>
      <c r="T429" s="1147">
        <f>'Lagos Workings'!$V$92</f>
        <v>4.4000000000000004</v>
      </c>
      <c r="U429" s="1148">
        <f>'Lagos Workings'!$V$11</f>
        <v>15</v>
      </c>
      <c r="V429" s="1148">
        <f>'Lagos Workings'!$V$11</f>
        <v>15</v>
      </c>
      <c r="W429" s="1149">
        <f>'Lagos Workings'!$V$11</f>
        <v>15</v>
      </c>
      <c r="X429" s="880"/>
    </row>
    <row r="430" spans="1:24" ht="24.75" thickBot="1">
      <c r="A430" s="885"/>
      <c r="B430" s="885"/>
      <c r="C430" s="100" t="s">
        <v>300</v>
      </c>
      <c r="D430" s="1017"/>
      <c r="E430" s="1018"/>
      <c r="F430" s="1018"/>
      <c r="G430" s="1019"/>
      <c r="H430" s="1017"/>
      <c r="I430" s="1018"/>
      <c r="J430" s="1018"/>
      <c r="K430" s="1019"/>
      <c r="L430" s="1017"/>
      <c r="M430" s="1018"/>
      <c r="N430" s="1018"/>
      <c r="O430" s="1019"/>
      <c r="P430" s="1147">
        <f>'LF-Zamfara'!P128:S128</f>
        <v>2.8</v>
      </c>
      <c r="Q430" s="1148"/>
      <c r="R430" s="1148"/>
      <c r="S430" s="1149"/>
      <c r="T430" s="1147">
        <f>'Zamfara Workings'!$V$92</f>
        <v>4</v>
      </c>
      <c r="U430" s="1148">
        <f>'Zamfara Workings'!$V$11</f>
        <v>1</v>
      </c>
      <c r="V430" s="1148">
        <f>'Zamfara Workings'!$V$11</f>
        <v>1</v>
      </c>
      <c r="W430" s="1149">
        <f>'Zamfara Workings'!$V$11</f>
        <v>1</v>
      </c>
      <c r="X430" s="880"/>
    </row>
    <row r="431" spans="1:24" ht="13.5" thickBot="1">
      <c r="A431" s="885"/>
      <c r="B431" s="885"/>
      <c r="C431" s="100" t="s">
        <v>301</v>
      </c>
      <c r="D431" s="1017"/>
      <c r="E431" s="1018"/>
      <c r="F431" s="1018"/>
      <c r="G431" s="1019"/>
      <c r="H431" s="1017"/>
      <c r="I431" s="1018"/>
      <c r="J431" s="1018"/>
      <c r="K431" s="1019"/>
      <c r="L431" s="1017"/>
      <c r="M431" s="1018"/>
      <c r="N431" s="1018"/>
      <c r="O431" s="1019"/>
      <c r="P431" s="1147">
        <f>'LF-Katsina'!P128:S128</f>
        <v>2.2999999999999998</v>
      </c>
      <c r="Q431" s="1148"/>
      <c r="R431" s="1148"/>
      <c r="S431" s="1149"/>
      <c r="T431" s="1147">
        <f>'Katsina Workings'!$V$92</f>
        <v>3.4</v>
      </c>
      <c r="U431" s="1148">
        <f>'Katsina Workings'!$V$11</f>
        <v>6</v>
      </c>
      <c r="V431" s="1148">
        <f>'Katsina Workings'!$V$11</f>
        <v>6</v>
      </c>
      <c r="W431" s="1149">
        <f>'Katsina Workings'!$V$11</f>
        <v>6</v>
      </c>
      <c r="X431" s="880"/>
    </row>
    <row r="432" spans="1:24" ht="13.5" thickBot="1">
      <c r="A432" s="885"/>
      <c r="B432" s="885"/>
      <c r="C432" s="100" t="s">
        <v>302</v>
      </c>
      <c r="D432" s="1017"/>
      <c r="E432" s="1018"/>
      <c r="F432" s="1018"/>
      <c r="G432" s="1019"/>
      <c r="H432" s="1017"/>
      <c r="I432" s="1018"/>
      <c r="J432" s="1018"/>
      <c r="K432" s="1019"/>
      <c r="L432" s="1017"/>
      <c r="M432" s="1018"/>
      <c r="N432" s="1018"/>
      <c r="O432" s="1019"/>
      <c r="P432" s="1147">
        <f>'LF-Yobe'!P128:S128</f>
        <v>2.4</v>
      </c>
      <c r="Q432" s="1148"/>
      <c r="R432" s="1148"/>
      <c r="S432" s="1149"/>
      <c r="T432" s="1147">
        <f>'Yobe Workings'!$V$92</f>
        <v>3.3</v>
      </c>
      <c r="U432" s="1148">
        <f>'Yobe Workings'!$V$11</f>
        <v>10</v>
      </c>
      <c r="V432" s="1148">
        <f>'Yobe Workings'!$V$11</f>
        <v>10</v>
      </c>
      <c r="W432" s="1149">
        <f>'Yobe Workings'!$V$11</f>
        <v>10</v>
      </c>
      <c r="X432" s="880"/>
    </row>
    <row r="433" spans="1:24" ht="24.75" thickBot="1">
      <c r="A433" s="885"/>
      <c r="B433" s="885"/>
      <c r="C433" s="100" t="s">
        <v>303</v>
      </c>
      <c r="D433" s="1017"/>
      <c r="E433" s="1018"/>
      <c r="F433" s="1018"/>
      <c r="G433" s="1019"/>
      <c r="H433" s="1017"/>
      <c r="I433" s="1018"/>
      <c r="J433" s="1018"/>
      <c r="K433" s="1019"/>
      <c r="L433" s="1017"/>
      <c r="M433" s="1018"/>
      <c r="N433" s="1018"/>
      <c r="O433" s="1019"/>
      <c r="P433" s="1054"/>
      <c r="Q433" s="1055"/>
      <c r="R433" s="1055"/>
      <c r="S433" s="1056"/>
      <c r="T433" s="1147">
        <f t="shared" ref="T433:W433" si="80">T423</f>
        <v>2.9</v>
      </c>
      <c r="U433" s="1148">
        <f t="shared" si="80"/>
        <v>0</v>
      </c>
      <c r="V433" s="1148">
        <f t="shared" si="80"/>
        <v>0</v>
      </c>
      <c r="W433" s="1149">
        <f t="shared" si="80"/>
        <v>0</v>
      </c>
      <c r="X433" s="880"/>
    </row>
    <row r="434" spans="1:24" ht="13.5" thickBot="1">
      <c r="A434" s="885"/>
      <c r="B434" s="885"/>
      <c r="C434" s="100" t="s">
        <v>304</v>
      </c>
      <c r="D434" s="1017"/>
      <c r="E434" s="1018"/>
      <c r="F434" s="1018"/>
      <c r="G434" s="1019"/>
      <c r="H434" s="1017"/>
      <c r="I434" s="1018"/>
      <c r="J434" s="1018"/>
      <c r="K434" s="1019"/>
      <c r="L434" s="1017"/>
      <c r="M434" s="1018"/>
      <c r="N434" s="1018"/>
      <c r="O434" s="1019"/>
      <c r="P434" s="1054"/>
      <c r="Q434" s="1055"/>
      <c r="R434" s="1055"/>
      <c r="S434" s="1056"/>
      <c r="T434" s="1147">
        <f t="shared" ref="T434:W434" si="81">T424</f>
        <v>2.7</v>
      </c>
      <c r="U434" s="1148">
        <f t="shared" si="81"/>
        <v>0</v>
      </c>
      <c r="V434" s="1148">
        <f t="shared" si="81"/>
        <v>0</v>
      </c>
      <c r="W434" s="1149">
        <f t="shared" si="81"/>
        <v>0</v>
      </c>
      <c r="X434" s="880"/>
    </row>
    <row r="435" spans="1:24" ht="13.5" thickBot="1">
      <c r="A435" s="513" t="s">
        <v>13</v>
      </c>
      <c r="B435" s="885"/>
      <c r="C435" s="922" t="s">
        <v>413</v>
      </c>
      <c r="D435" s="927" t="s">
        <v>4</v>
      </c>
      <c r="E435" s="928"/>
      <c r="F435" s="928"/>
      <c r="G435" s="928"/>
      <c r="H435" s="928"/>
      <c r="I435" s="928"/>
      <c r="J435" s="928"/>
      <c r="K435" s="928"/>
      <c r="L435" s="928"/>
      <c r="M435" s="928"/>
      <c r="N435" s="928"/>
      <c r="O435" s="928"/>
      <c r="P435" s="928"/>
      <c r="Q435" s="928"/>
      <c r="R435" s="928"/>
      <c r="S435" s="928"/>
      <c r="T435" s="928"/>
      <c r="U435" s="928"/>
      <c r="V435" s="928"/>
      <c r="W435" s="929"/>
      <c r="X435" s="550" t="s">
        <v>14</v>
      </c>
    </row>
    <row r="436" spans="1:24" ht="13.5" thickBot="1">
      <c r="A436" s="25" t="s">
        <v>75</v>
      </c>
      <c r="B436" s="869"/>
      <c r="C436" s="923"/>
      <c r="D436" s="930" t="s">
        <v>122</v>
      </c>
      <c r="E436" s="931"/>
      <c r="F436" s="931"/>
      <c r="G436" s="931"/>
      <c r="H436" s="931"/>
      <c r="I436" s="931"/>
      <c r="J436" s="931"/>
      <c r="K436" s="931"/>
      <c r="L436" s="931"/>
      <c r="M436" s="931"/>
      <c r="N436" s="931"/>
      <c r="O436" s="931"/>
      <c r="P436" s="931"/>
      <c r="Q436" s="931"/>
      <c r="R436" s="931"/>
      <c r="S436" s="931"/>
      <c r="T436" s="931"/>
      <c r="U436" s="931"/>
      <c r="V436" s="931"/>
      <c r="W436" s="932"/>
      <c r="X436" s="18" t="s">
        <v>92</v>
      </c>
    </row>
    <row r="437" spans="1:24" ht="13.5" thickBot="1">
      <c r="A437" s="906" t="s">
        <v>7</v>
      </c>
      <c r="B437" s="908" t="s">
        <v>173</v>
      </c>
      <c r="C437" s="909"/>
      <c r="D437" s="908" t="s">
        <v>8</v>
      </c>
      <c r="E437" s="918"/>
      <c r="F437" s="918"/>
      <c r="G437" s="909"/>
      <c r="H437" s="908" t="s">
        <v>88</v>
      </c>
      <c r="I437" s="918"/>
      <c r="J437" s="918"/>
      <c r="K437" s="909"/>
      <c r="L437" s="908" t="s">
        <v>89</v>
      </c>
      <c r="M437" s="918"/>
      <c r="N437" s="918"/>
      <c r="O437" s="909"/>
      <c r="P437" s="908" t="s">
        <v>9</v>
      </c>
      <c r="Q437" s="918"/>
      <c r="R437" s="918"/>
      <c r="S437" s="909"/>
      <c r="T437" s="908" t="s">
        <v>174</v>
      </c>
      <c r="U437" s="918"/>
      <c r="V437" s="918"/>
      <c r="W437" s="918"/>
      <c r="X437" s="909"/>
    </row>
    <row r="438" spans="1:24" ht="13.5" thickBot="1">
      <c r="A438" s="907"/>
      <c r="B438" s="919">
        <v>4200000</v>
      </c>
      <c r="C438" s="920"/>
      <c r="D438" s="919">
        <v>0</v>
      </c>
      <c r="E438" s="921"/>
      <c r="F438" s="921"/>
      <c r="G438" s="920"/>
      <c r="H438" s="919">
        <v>3200000</v>
      </c>
      <c r="I438" s="921"/>
      <c r="J438" s="921"/>
      <c r="K438" s="920"/>
      <c r="L438" s="919">
        <v>0</v>
      </c>
      <c r="M438" s="921"/>
      <c r="N438" s="921"/>
      <c r="O438" s="920"/>
      <c r="P438" s="919">
        <f>SUM(B438:O438)</f>
        <v>7400000</v>
      </c>
      <c r="Q438" s="921"/>
      <c r="R438" s="921"/>
      <c r="S438" s="920"/>
      <c r="T438" s="942">
        <f>B438/P438%</f>
        <v>56.756756756756758</v>
      </c>
      <c r="U438" s="943"/>
      <c r="V438" s="943"/>
      <c r="W438" s="943"/>
      <c r="X438" s="944"/>
    </row>
    <row r="439" spans="1:24" ht="13.5" thickBot="1">
      <c r="A439" s="906" t="s">
        <v>10</v>
      </c>
      <c r="B439" s="908" t="s">
        <v>175</v>
      </c>
      <c r="C439" s="909"/>
      <c r="D439" s="910"/>
      <c r="E439" s="911"/>
      <c r="F439" s="911"/>
      <c r="G439" s="911"/>
      <c r="H439" s="911"/>
      <c r="I439" s="911"/>
      <c r="J439" s="911"/>
      <c r="K439" s="911"/>
      <c r="L439" s="911"/>
      <c r="M439" s="911"/>
      <c r="N439" s="911"/>
      <c r="O439" s="911"/>
      <c r="P439" s="911"/>
      <c r="Q439" s="911"/>
      <c r="R439" s="911"/>
      <c r="S439" s="911"/>
      <c r="T439" s="911"/>
      <c r="U439" s="911"/>
      <c r="V439" s="911"/>
      <c r="W439" s="911"/>
      <c r="X439" s="912"/>
    </row>
    <row r="440" spans="1:24" ht="13.5" thickBot="1">
      <c r="A440" s="907"/>
      <c r="B440" s="916"/>
      <c r="C440" s="917"/>
      <c r="D440" s="913"/>
      <c r="E440" s="914"/>
      <c r="F440" s="914"/>
      <c r="G440" s="914"/>
      <c r="H440" s="914"/>
      <c r="I440" s="914"/>
      <c r="J440" s="914"/>
      <c r="K440" s="914"/>
      <c r="L440" s="914"/>
      <c r="M440" s="914"/>
      <c r="N440" s="914"/>
      <c r="O440" s="914"/>
      <c r="P440" s="914"/>
      <c r="Q440" s="914"/>
      <c r="R440" s="914"/>
      <c r="S440" s="914"/>
      <c r="T440" s="914"/>
      <c r="U440" s="914"/>
      <c r="V440" s="914"/>
      <c r="W440" s="914"/>
      <c r="X440" s="915"/>
    </row>
    <row r="441" spans="1:24">
      <c r="A441" s="5"/>
      <c r="B441" s="5"/>
      <c r="C441" s="6"/>
      <c r="D441" s="5"/>
      <c r="E441" s="5"/>
      <c r="F441" s="5"/>
      <c r="G441" s="5"/>
      <c r="H441" s="5"/>
      <c r="I441" s="5"/>
      <c r="J441" s="5"/>
      <c r="K441" s="5"/>
      <c r="L441" s="5"/>
      <c r="M441" s="5"/>
      <c r="N441" s="5"/>
      <c r="O441" s="5"/>
      <c r="P441" s="5"/>
      <c r="Q441" s="5"/>
      <c r="R441" s="5"/>
      <c r="S441" s="5"/>
      <c r="T441" s="5"/>
      <c r="U441" s="5"/>
      <c r="V441" s="5"/>
      <c r="W441" s="5"/>
      <c r="X441" s="5"/>
    </row>
    <row r="442" spans="1:24" ht="13.5" thickBot="1">
      <c r="A442" s="5"/>
      <c r="B442" s="5"/>
      <c r="C442" s="6"/>
      <c r="D442" s="5"/>
      <c r="E442" s="5"/>
      <c r="F442" s="5"/>
      <c r="G442" s="5"/>
      <c r="H442" s="5"/>
      <c r="I442" s="5"/>
      <c r="J442" s="5"/>
      <c r="K442" s="5"/>
      <c r="L442" s="5"/>
      <c r="M442" s="5"/>
      <c r="N442" s="5"/>
      <c r="O442" s="5"/>
      <c r="P442" s="5"/>
      <c r="Q442" s="5"/>
      <c r="R442" s="5"/>
      <c r="S442" s="5"/>
      <c r="T442" s="5"/>
      <c r="U442" s="5"/>
      <c r="V442" s="5"/>
      <c r="W442" s="5"/>
      <c r="X442" s="5"/>
    </row>
    <row r="443" spans="1:24" ht="12.95" customHeight="1" thickBot="1">
      <c r="A443" s="506" t="s">
        <v>28</v>
      </c>
      <c r="B443" s="514" t="s">
        <v>32</v>
      </c>
      <c r="C443" s="8"/>
      <c r="D443" s="927" t="s">
        <v>78</v>
      </c>
      <c r="E443" s="928"/>
      <c r="F443" s="928"/>
      <c r="G443" s="929"/>
      <c r="H443" s="927" t="s">
        <v>77</v>
      </c>
      <c r="I443" s="928"/>
      <c r="J443" s="928"/>
      <c r="K443" s="929"/>
      <c r="L443" s="927" t="s">
        <v>81</v>
      </c>
      <c r="M443" s="928"/>
      <c r="N443" s="928"/>
      <c r="O443" s="929"/>
      <c r="P443" s="927" t="s">
        <v>254</v>
      </c>
      <c r="Q443" s="928"/>
      <c r="R443" s="928"/>
      <c r="S443" s="929"/>
      <c r="T443" s="1144" t="s">
        <v>908</v>
      </c>
      <c r="U443" s="1145"/>
      <c r="V443" s="1145"/>
      <c r="W443" s="1146"/>
      <c r="X443" s="16" t="s">
        <v>6</v>
      </c>
    </row>
    <row r="444" spans="1:24" ht="13.5" thickBot="1">
      <c r="A444" s="868" t="s">
        <v>65</v>
      </c>
      <c r="B444" s="868" t="s">
        <v>66</v>
      </c>
      <c r="C444" s="9" t="s">
        <v>285</v>
      </c>
      <c r="D444" s="942">
        <f>'LF-Enugu'!D138:G138</f>
        <v>1</v>
      </c>
      <c r="E444" s="943"/>
      <c r="F444" s="943"/>
      <c r="G444" s="944"/>
      <c r="H444" s="942">
        <f>'LF-Enugu'!H138:K138</f>
        <v>2</v>
      </c>
      <c r="I444" s="943"/>
      <c r="J444" s="943"/>
      <c r="K444" s="944"/>
      <c r="L444" s="942">
        <f>'LF-Enugu'!L138:O138</f>
        <v>2</v>
      </c>
      <c r="M444" s="943"/>
      <c r="N444" s="943"/>
      <c r="O444" s="944"/>
      <c r="P444" s="963">
        <f>'LF-Enugu'!P138:S138</f>
        <v>3</v>
      </c>
      <c r="Q444" s="964"/>
      <c r="R444" s="964"/>
      <c r="S444" s="965"/>
      <c r="T444" s="1159">
        <f>'Enugu Workings'!$V$94</f>
        <v>3.3333333333333339</v>
      </c>
      <c r="U444" s="1160">
        <f>'Enugu Workings'!$V$10</f>
        <v>3.3333333333333339</v>
      </c>
      <c r="V444" s="1160">
        <f>'Enugu Workings'!$V$10</f>
        <v>3.3333333333333339</v>
      </c>
      <c r="W444" s="1161">
        <f>'Enugu Workings'!$V$10</f>
        <v>3.3333333333333339</v>
      </c>
      <c r="X444" s="879" t="s">
        <v>91</v>
      </c>
    </row>
    <row r="445" spans="1:24" ht="13.5" thickBot="1">
      <c r="A445" s="885"/>
      <c r="B445" s="885"/>
      <c r="C445" s="9" t="s">
        <v>286</v>
      </c>
      <c r="D445" s="942">
        <f>'LF-Jigawa'!D138:G138</f>
        <v>1</v>
      </c>
      <c r="E445" s="943"/>
      <c r="F445" s="943"/>
      <c r="G445" s="944"/>
      <c r="H445" s="942">
        <f>'LF-Jigawa'!H138:K138</f>
        <v>1.5</v>
      </c>
      <c r="I445" s="943"/>
      <c r="J445" s="943"/>
      <c r="K445" s="944"/>
      <c r="L445" s="942">
        <f>'LF-Jigawa'!L138:O138</f>
        <v>2.5</v>
      </c>
      <c r="M445" s="943"/>
      <c r="N445" s="943"/>
      <c r="O445" s="944"/>
      <c r="P445" s="963">
        <f>'LF-Jigawa'!P138:S138</f>
        <v>2.8</v>
      </c>
      <c r="Q445" s="964"/>
      <c r="R445" s="964"/>
      <c r="S445" s="965"/>
      <c r="T445" s="1159">
        <f>'Jigawa Workings'!$V$94</f>
        <v>2.9333333333333327</v>
      </c>
      <c r="U445" s="1160">
        <f>'Jigawa Workings'!$V$10</f>
        <v>14.666666666666664</v>
      </c>
      <c r="V445" s="1160">
        <f>'Jigawa Workings'!$V$10</f>
        <v>14.666666666666664</v>
      </c>
      <c r="W445" s="1161">
        <f>'Jigawa Workings'!$V$10</f>
        <v>14.666666666666664</v>
      </c>
      <c r="X445" s="880"/>
    </row>
    <row r="446" spans="1:24" ht="13.5" thickBot="1">
      <c r="A446" s="885"/>
      <c r="B446" s="885"/>
      <c r="C446" s="9" t="s">
        <v>287</v>
      </c>
      <c r="D446" s="942">
        <f>'LF-Kaduna'!D138:G138</f>
        <v>1</v>
      </c>
      <c r="E446" s="943"/>
      <c r="F446" s="943"/>
      <c r="G446" s="944"/>
      <c r="H446" s="942">
        <f>'LF-Kaduna'!H138:K138</f>
        <v>1</v>
      </c>
      <c r="I446" s="943"/>
      <c r="J446" s="943"/>
      <c r="K446" s="944"/>
      <c r="L446" s="942">
        <f>'LF-Kaduna'!L138:O138</f>
        <v>2</v>
      </c>
      <c r="M446" s="943"/>
      <c r="N446" s="943"/>
      <c r="O446" s="944"/>
      <c r="P446" s="963">
        <f>'LF-Kaduna'!P138:S138</f>
        <v>2.1</v>
      </c>
      <c r="Q446" s="964"/>
      <c r="R446" s="964"/>
      <c r="S446" s="965"/>
      <c r="T446" s="1159">
        <f>'Kaduna Workings'!$V$94</f>
        <v>2.433333333333334</v>
      </c>
      <c r="U446" s="1160">
        <f>'Kaduna Workings'!$V$10</f>
        <v>13.666666666666664</v>
      </c>
      <c r="V446" s="1160">
        <f>'Kaduna Workings'!$V$10</f>
        <v>13.666666666666664</v>
      </c>
      <c r="W446" s="1161">
        <f>'Kaduna Workings'!$V$10</f>
        <v>13.666666666666664</v>
      </c>
      <c r="X446" s="880"/>
    </row>
    <row r="447" spans="1:24" ht="13.5" thickBot="1">
      <c r="A447" s="885"/>
      <c r="B447" s="885"/>
      <c r="C447" s="9" t="s">
        <v>288</v>
      </c>
      <c r="D447" s="942">
        <f>'LF-Kano'!D138:G138</f>
        <v>2</v>
      </c>
      <c r="E447" s="943"/>
      <c r="F447" s="943"/>
      <c r="G447" s="944"/>
      <c r="H447" s="942">
        <f>'LF-Kano'!H138:K138</f>
        <v>2</v>
      </c>
      <c r="I447" s="943"/>
      <c r="J447" s="943"/>
      <c r="K447" s="944"/>
      <c r="L447" s="942">
        <f>'LF-Kano'!L138:O138</f>
        <v>2.5</v>
      </c>
      <c r="M447" s="943"/>
      <c r="N447" s="943"/>
      <c r="O447" s="944"/>
      <c r="P447" s="963">
        <f>'LF-Kano'!P138:S138</f>
        <v>2.5</v>
      </c>
      <c r="Q447" s="964"/>
      <c r="R447" s="964"/>
      <c r="S447" s="965"/>
      <c r="T447" s="1159">
        <f>'Kano Workings'!$V$94</f>
        <v>2.8333333333333339</v>
      </c>
      <c r="U447" s="1160">
        <f>'Kano Workings'!$V$10</f>
        <v>5.666666666666667</v>
      </c>
      <c r="V447" s="1160">
        <f>'Kano Workings'!$V$10</f>
        <v>5.666666666666667</v>
      </c>
      <c r="W447" s="1161">
        <f>'Kano Workings'!$V$10</f>
        <v>5.666666666666667</v>
      </c>
      <c r="X447" s="880"/>
    </row>
    <row r="448" spans="1:24" ht="13.5" thickBot="1">
      <c r="A448" s="885"/>
      <c r="B448" s="885"/>
      <c r="C448" s="9" t="s">
        <v>289</v>
      </c>
      <c r="D448" s="942">
        <f>'LF-Lagos'!D138:G138</f>
        <v>1</v>
      </c>
      <c r="E448" s="943"/>
      <c r="F448" s="943"/>
      <c r="G448" s="944"/>
      <c r="H448" s="942">
        <f>'LF-Lagos'!H138:K138</f>
        <v>3</v>
      </c>
      <c r="I448" s="943"/>
      <c r="J448" s="943"/>
      <c r="K448" s="944"/>
      <c r="L448" s="942">
        <f>'LF-Lagos'!L138:O138</f>
        <v>3.5</v>
      </c>
      <c r="M448" s="943"/>
      <c r="N448" s="943"/>
      <c r="O448" s="944"/>
      <c r="P448" s="963">
        <f>'LF-Lagos'!P138:S138</f>
        <v>3.5</v>
      </c>
      <c r="Q448" s="964"/>
      <c r="R448" s="964"/>
      <c r="S448" s="965"/>
      <c r="T448" s="1159">
        <f>'Lagos Workings'!$V$94</f>
        <v>4.1666666666666661</v>
      </c>
      <c r="U448" s="1160">
        <f>'Lagos Workings'!$V$10</f>
        <v>15</v>
      </c>
      <c r="V448" s="1160">
        <f>'Lagos Workings'!$V$10</f>
        <v>15</v>
      </c>
      <c r="W448" s="1161">
        <f>'Lagos Workings'!$V$10</f>
        <v>15</v>
      </c>
      <c r="X448" s="880"/>
    </row>
    <row r="449" spans="1:24" ht="13.5" thickBot="1">
      <c r="A449" s="885"/>
      <c r="B449" s="885"/>
      <c r="C449" s="9" t="s">
        <v>292</v>
      </c>
      <c r="D449" s="966" t="s">
        <v>255</v>
      </c>
      <c r="E449" s="967"/>
      <c r="F449" s="967"/>
      <c r="G449" s="968"/>
      <c r="H449" s="942">
        <f>'LF-Zamfara'!H138:K138</f>
        <v>1</v>
      </c>
      <c r="I449" s="943"/>
      <c r="J449" s="943"/>
      <c r="K449" s="944"/>
      <c r="L449" s="942">
        <f>'LF-Zamfara'!L138:O138</f>
        <v>1</v>
      </c>
      <c r="M449" s="943"/>
      <c r="N449" s="943"/>
      <c r="O449" s="944"/>
      <c r="P449" s="963">
        <f>'LF-Zamfara'!P138:S138</f>
        <v>1.3</v>
      </c>
      <c r="Q449" s="964"/>
      <c r="R449" s="964"/>
      <c r="S449" s="965"/>
      <c r="T449" s="1159">
        <f>'Zamfara Workings'!$V$94</f>
        <v>2.1</v>
      </c>
      <c r="U449" s="1160">
        <f>'Zamfara Workings'!$V$10</f>
        <v>3.3333333333333339</v>
      </c>
      <c r="V449" s="1160">
        <f>'Zamfara Workings'!$V$10</f>
        <v>3.3333333333333339</v>
      </c>
      <c r="W449" s="1161">
        <f>'Zamfara Workings'!$V$10</f>
        <v>3.3333333333333339</v>
      </c>
      <c r="X449" s="880"/>
    </row>
    <row r="450" spans="1:24" ht="13.5" thickBot="1">
      <c r="A450" s="885"/>
      <c r="B450" s="885"/>
      <c r="C450" s="9" t="s">
        <v>293</v>
      </c>
      <c r="D450" s="966" t="s">
        <v>255</v>
      </c>
      <c r="E450" s="967"/>
      <c r="F450" s="967"/>
      <c r="G450" s="968"/>
      <c r="H450" s="942">
        <f>'LF-Katsina'!H138:K138</f>
        <v>2.5</v>
      </c>
      <c r="I450" s="943"/>
      <c r="J450" s="943"/>
      <c r="K450" s="944"/>
      <c r="L450" s="942">
        <f>'LF-Katsina'!L138:O138</f>
        <v>2.5</v>
      </c>
      <c r="M450" s="943"/>
      <c r="N450" s="943"/>
      <c r="O450" s="944"/>
      <c r="P450" s="963">
        <f>'LF-Katsina'!P138:S138</f>
        <v>2.7</v>
      </c>
      <c r="Q450" s="964"/>
      <c r="R450" s="964"/>
      <c r="S450" s="965"/>
      <c r="T450" s="1159">
        <f>'Katsina Workings'!$V$94</f>
        <v>2.8999999999999995</v>
      </c>
      <c r="U450" s="1160">
        <f>'Katsina Workings'!$V$10</f>
        <v>6</v>
      </c>
      <c r="V450" s="1160">
        <f>'Katsina Workings'!$V$10</f>
        <v>6</v>
      </c>
      <c r="W450" s="1161">
        <f>'Katsina Workings'!$V$10</f>
        <v>6</v>
      </c>
      <c r="X450" s="880"/>
    </row>
    <row r="451" spans="1:24" ht="13.5" thickBot="1">
      <c r="A451" s="885"/>
      <c r="B451" s="885"/>
      <c r="C451" s="9" t="s">
        <v>294</v>
      </c>
      <c r="D451" s="966" t="s">
        <v>255</v>
      </c>
      <c r="E451" s="967"/>
      <c r="F451" s="967"/>
      <c r="G451" s="968"/>
      <c r="H451" s="942">
        <f>'LF-Yobe'!H138:K138</f>
        <v>1</v>
      </c>
      <c r="I451" s="943"/>
      <c r="J451" s="943"/>
      <c r="K451" s="944"/>
      <c r="L451" s="942">
        <f>'LF-Yobe'!L138:O138</f>
        <v>1</v>
      </c>
      <c r="M451" s="943"/>
      <c r="N451" s="943"/>
      <c r="O451" s="944"/>
      <c r="P451" s="963">
        <f>'LF-Yobe'!P138:S138</f>
        <v>1.5</v>
      </c>
      <c r="Q451" s="964"/>
      <c r="R451" s="964"/>
      <c r="S451" s="965"/>
      <c r="T451" s="1159">
        <f>'Yobe Workings'!$V$94</f>
        <v>2.1666666666666665</v>
      </c>
      <c r="U451" s="1160">
        <f>'Yobe Workings'!$V$10</f>
        <v>2.6666666666666661</v>
      </c>
      <c r="V451" s="1160">
        <f>'Yobe Workings'!$V$10</f>
        <v>2.6666666666666661</v>
      </c>
      <c r="W451" s="1161">
        <f>'Yobe Workings'!$V$10</f>
        <v>2.6666666666666661</v>
      </c>
      <c r="X451" s="880"/>
    </row>
    <row r="452" spans="1:24" ht="12.95" customHeight="1" thickBot="1">
      <c r="A452" s="885"/>
      <c r="B452" s="885"/>
      <c r="C452" s="9" t="s">
        <v>290</v>
      </c>
      <c r="D452" s="957"/>
      <c r="E452" s="958"/>
      <c r="F452" s="958"/>
      <c r="G452" s="959"/>
      <c r="H452" s="1162"/>
      <c r="I452" s="1163"/>
      <c r="J452" s="1163"/>
      <c r="K452" s="1164"/>
      <c r="L452" s="1057" t="s">
        <v>910</v>
      </c>
      <c r="M452" s="1058"/>
      <c r="N452" s="1058"/>
      <c r="O452" s="1059"/>
      <c r="P452" s="942">
        <f>'LF-Anambra'!P138:S138</f>
        <v>1</v>
      </c>
      <c r="Q452" s="943"/>
      <c r="R452" s="943"/>
      <c r="S452" s="944"/>
      <c r="T452" s="960">
        <f t="shared" ref="T452:T453" si="82">P452</f>
        <v>1</v>
      </c>
      <c r="U452" s="961">
        <f t="shared" ref="U452:U453" si="83">Q452</f>
        <v>0</v>
      </c>
      <c r="V452" s="961">
        <f t="shared" ref="V452:V453" si="84">R452</f>
        <v>0</v>
      </c>
      <c r="W452" s="962">
        <f t="shared" ref="W452:W453" si="85">S452</f>
        <v>0</v>
      </c>
      <c r="X452" s="880"/>
    </row>
    <row r="453" spans="1:24" ht="12.95" customHeight="1" thickBot="1">
      <c r="A453" s="885"/>
      <c r="B453" s="885"/>
      <c r="C453" s="9" t="s">
        <v>291</v>
      </c>
      <c r="D453" s="957"/>
      <c r="E453" s="958"/>
      <c r="F453" s="958"/>
      <c r="G453" s="959"/>
      <c r="H453" s="1162"/>
      <c r="I453" s="1163"/>
      <c r="J453" s="1163"/>
      <c r="K453" s="1164"/>
      <c r="L453" s="1057" t="s">
        <v>910</v>
      </c>
      <c r="M453" s="1058"/>
      <c r="N453" s="1058"/>
      <c r="O453" s="1059"/>
      <c r="P453" s="942">
        <f>'LF-Niger'!P138:S138</f>
        <v>1.5</v>
      </c>
      <c r="Q453" s="943"/>
      <c r="R453" s="943"/>
      <c r="S453" s="944"/>
      <c r="T453" s="960">
        <f t="shared" si="82"/>
        <v>1.5</v>
      </c>
      <c r="U453" s="961">
        <f t="shared" si="83"/>
        <v>0</v>
      </c>
      <c r="V453" s="961">
        <f t="shared" si="84"/>
        <v>0</v>
      </c>
      <c r="W453" s="962">
        <f t="shared" si="85"/>
        <v>0</v>
      </c>
      <c r="X453" s="880"/>
    </row>
    <row r="454" spans="1:24" ht="13.5" thickBot="1">
      <c r="A454" s="885"/>
      <c r="B454" s="885"/>
      <c r="C454" s="100" t="s">
        <v>295</v>
      </c>
      <c r="D454" s="1017"/>
      <c r="E454" s="1018"/>
      <c r="F454" s="1018"/>
      <c r="G454" s="1019"/>
      <c r="H454" s="1147">
        <f>'LF-Enugu'!H139:K139</f>
        <v>1.5</v>
      </c>
      <c r="I454" s="1148"/>
      <c r="J454" s="1148"/>
      <c r="K454" s="1149"/>
      <c r="L454" s="1147">
        <f>'LF-Enugu'!L139:O139</f>
        <v>2.7</v>
      </c>
      <c r="M454" s="1148"/>
      <c r="N454" s="1148"/>
      <c r="O454" s="1149"/>
      <c r="P454" s="1147">
        <f>'LF-Enugu'!P139:S139</f>
        <v>2.8</v>
      </c>
      <c r="Q454" s="1148"/>
      <c r="R454" s="1148"/>
      <c r="S454" s="1149"/>
      <c r="T454" s="1147">
        <f>'Enugu Workings'!$V$95</f>
        <v>2.2999999999999998</v>
      </c>
      <c r="U454" s="1148">
        <f>'Enugu Workings'!$V$11</f>
        <v>2</v>
      </c>
      <c r="V454" s="1148">
        <f>'Enugu Workings'!$V$11</f>
        <v>2</v>
      </c>
      <c r="W454" s="1149">
        <f>'Enugu Workings'!$V$11</f>
        <v>2</v>
      </c>
      <c r="X454" s="880"/>
    </row>
    <row r="455" spans="1:24" ht="13.5" thickBot="1">
      <c r="A455" s="885"/>
      <c r="B455" s="885"/>
      <c r="C455" s="100" t="s">
        <v>296</v>
      </c>
      <c r="D455" s="1017"/>
      <c r="E455" s="1018"/>
      <c r="F455" s="1018"/>
      <c r="G455" s="1019"/>
      <c r="H455" s="1147">
        <f>'LF-Jigawa'!H139:K139</f>
        <v>1.6</v>
      </c>
      <c r="I455" s="1148"/>
      <c r="J455" s="1148"/>
      <c r="K455" s="1149"/>
      <c r="L455" s="1147">
        <f>'LF-Jigawa'!L139:O139</f>
        <v>2.2999999999999998</v>
      </c>
      <c r="M455" s="1148"/>
      <c r="N455" s="1148"/>
      <c r="O455" s="1149"/>
      <c r="P455" s="1147">
        <f>'LF-Jigawa'!P139:S139</f>
        <v>2.8</v>
      </c>
      <c r="Q455" s="1148"/>
      <c r="R455" s="1148"/>
      <c r="S455" s="1149"/>
      <c r="T455" s="1147">
        <f>'Jigawa Workings'!$V$95</f>
        <v>3.8</v>
      </c>
      <c r="U455" s="1148">
        <f>'Jigawa Workings'!$V$11</f>
        <v>12</v>
      </c>
      <c r="V455" s="1148">
        <f>'Jigawa Workings'!$V$11</f>
        <v>12</v>
      </c>
      <c r="W455" s="1149">
        <f>'Jigawa Workings'!$V$11</f>
        <v>12</v>
      </c>
      <c r="X455" s="880"/>
    </row>
    <row r="456" spans="1:24" ht="13.5" thickBot="1">
      <c r="A456" s="885"/>
      <c r="B456" s="885"/>
      <c r="C456" s="100" t="s">
        <v>297</v>
      </c>
      <c r="D456" s="1017"/>
      <c r="E456" s="1018"/>
      <c r="F456" s="1018"/>
      <c r="G456" s="1019"/>
      <c r="H456" s="1147">
        <f>'LF-Kaduna'!H139:K139</f>
        <v>1.5</v>
      </c>
      <c r="I456" s="1148"/>
      <c r="J456" s="1148"/>
      <c r="K456" s="1149"/>
      <c r="L456" s="1147">
        <f>'LF-Kaduna'!L139:O139</f>
        <v>2</v>
      </c>
      <c r="M456" s="1148"/>
      <c r="N456" s="1148"/>
      <c r="O456" s="1149"/>
      <c r="P456" s="1147">
        <f>'LF-Kaduna'!P139:S139</f>
        <v>2.8</v>
      </c>
      <c r="Q456" s="1148"/>
      <c r="R456" s="1148"/>
      <c r="S456" s="1149"/>
      <c r="T456" s="1147">
        <f>'Kaduna Workings'!$V$95</f>
        <v>3.3</v>
      </c>
      <c r="U456" s="1148">
        <f>'Kaduna Workings'!$V$11</f>
        <v>2</v>
      </c>
      <c r="V456" s="1148">
        <f>'Kaduna Workings'!$V$11</f>
        <v>2</v>
      </c>
      <c r="W456" s="1149">
        <f>'Kaduna Workings'!$V$11</f>
        <v>2</v>
      </c>
      <c r="X456" s="880"/>
    </row>
    <row r="457" spans="1:24" ht="13.5" thickBot="1">
      <c r="A457" s="885"/>
      <c r="B457" s="885"/>
      <c r="C457" s="100" t="s">
        <v>298</v>
      </c>
      <c r="D457" s="1017"/>
      <c r="E457" s="1018"/>
      <c r="F457" s="1018"/>
      <c r="G457" s="1019"/>
      <c r="H457" s="1147">
        <f>'LF-Kano'!H139:K139</f>
        <v>2</v>
      </c>
      <c r="I457" s="1148"/>
      <c r="J457" s="1148"/>
      <c r="K457" s="1149"/>
      <c r="L457" s="1147">
        <f>'LF-Kano'!L139:O139</f>
        <v>3.3</v>
      </c>
      <c r="M457" s="1148"/>
      <c r="N457" s="1148"/>
      <c r="O457" s="1149"/>
      <c r="P457" s="1147">
        <f>'LF-Kano'!P139:S139</f>
        <v>2.8</v>
      </c>
      <c r="Q457" s="1148"/>
      <c r="R457" s="1148"/>
      <c r="S457" s="1149"/>
      <c r="T457" s="1147">
        <f>'Kano Workings'!$V$95</f>
        <v>3</v>
      </c>
      <c r="U457" s="1148">
        <f>'Kano Workings'!$V$11</f>
        <v>6</v>
      </c>
      <c r="V457" s="1148">
        <f>'Kano Workings'!$V$11</f>
        <v>6</v>
      </c>
      <c r="W457" s="1149">
        <f>'Kano Workings'!$V$11</f>
        <v>6</v>
      </c>
      <c r="X457" s="880"/>
    </row>
    <row r="458" spans="1:24" ht="13.5" thickBot="1">
      <c r="A458" s="885"/>
      <c r="B458" s="885"/>
      <c r="C458" s="100" t="s">
        <v>299</v>
      </c>
      <c r="D458" s="1017"/>
      <c r="E458" s="1018"/>
      <c r="F458" s="1018"/>
      <c r="G458" s="1019"/>
      <c r="H458" s="1147">
        <f>'LF-Lagos'!H139:K139</f>
        <v>3</v>
      </c>
      <c r="I458" s="1148"/>
      <c r="J458" s="1148"/>
      <c r="K458" s="1149"/>
      <c r="L458" s="1147">
        <f>'LF-Lagos'!L139:O139</f>
        <v>3</v>
      </c>
      <c r="M458" s="1148"/>
      <c r="N458" s="1148"/>
      <c r="O458" s="1149"/>
      <c r="P458" s="1147">
        <f>'LF-Lagos'!P139:S139</f>
        <v>4</v>
      </c>
      <c r="Q458" s="1148"/>
      <c r="R458" s="1148"/>
      <c r="S458" s="1149"/>
      <c r="T458" s="1147">
        <f>'Lagos Workings'!$V$95</f>
        <v>4</v>
      </c>
      <c r="U458" s="1148">
        <f>'Lagos Workings'!$V$11</f>
        <v>15</v>
      </c>
      <c r="V458" s="1148">
        <f>'Lagos Workings'!$V$11</f>
        <v>15</v>
      </c>
      <c r="W458" s="1149">
        <f>'Lagos Workings'!$V$11</f>
        <v>15</v>
      </c>
      <c r="X458" s="880"/>
    </row>
    <row r="459" spans="1:24" ht="24.75" thickBot="1">
      <c r="A459" s="885"/>
      <c r="B459" s="885"/>
      <c r="C459" s="100" t="s">
        <v>300</v>
      </c>
      <c r="D459" s="1017"/>
      <c r="E459" s="1018"/>
      <c r="F459" s="1018"/>
      <c r="G459" s="1019"/>
      <c r="H459" s="1017"/>
      <c r="I459" s="1018"/>
      <c r="J459" s="1018"/>
      <c r="K459" s="1019"/>
      <c r="L459" s="1147">
        <f>'LF-Zamfara'!L139:O139</f>
        <v>1</v>
      </c>
      <c r="M459" s="1148"/>
      <c r="N459" s="1148"/>
      <c r="O459" s="1149"/>
      <c r="P459" s="1147">
        <f>'LF-Zamfara'!P139:S139</f>
        <v>3</v>
      </c>
      <c r="Q459" s="1148"/>
      <c r="R459" s="1148"/>
      <c r="S459" s="1149"/>
      <c r="T459" s="1147">
        <f>'Zamfara Workings'!$V$95</f>
        <v>3.8</v>
      </c>
      <c r="U459" s="1148">
        <f>'Zamfara Workings'!$V$11</f>
        <v>1</v>
      </c>
      <c r="V459" s="1148">
        <f>'Zamfara Workings'!$V$11</f>
        <v>1</v>
      </c>
      <c r="W459" s="1149">
        <f>'Zamfara Workings'!$V$11</f>
        <v>1</v>
      </c>
      <c r="X459" s="880"/>
    </row>
    <row r="460" spans="1:24" ht="13.5" thickBot="1">
      <c r="A460" s="885"/>
      <c r="B460" s="885"/>
      <c r="C460" s="100" t="s">
        <v>301</v>
      </c>
      <c r="D460" s="1017"/>
      <c r="E460" s="1018"/>
      <c r="F460" s="1018"/>
      <c r="G460" s="1019"/>
      <c r="H460" s="1017"/>
      <c r="I460" s="1018"/>
      <c r="J460" s="1018"/>
      <c r="K460" s="1019"/>
      <c r="L460" s="1147">
        <f>'LF-Katsina'!L139:O139</f>
        <v>2.5</v>
      </c>
      <c r="M460" s="1148"/>
      <c r="N460" s="1148"/>
      <c r="O460" s="1149"/>
      <c r="P460" s="1147">
        <f>'LF-Katsina'!P139:S139</f>
        <v>2.8</v>
      </c>
      <c r="Q460" s="1148"/>
      <c r="R460" s="1148"/>
      <c r="S460" s="1149"/>
      <c r="T460" s="1147">
        <f>'Katsina Workings'!$V$95</f>
        <v>4</v>
      </c>
      <c r="U460" s="1148">
        <f>'Katsina Workings'!$V$11</f>
        <v>6</v>
      </c>
      <c r="V460" s="1148">
        <f>'Katsina Workings'!$V$11</f>
        <v>6</v>
      </c>
      <c r="W460" s="1149">
        <f>'Katsina Workings'!$V$11</f>
        <v>6</v>
      </c>
      <c r="X460" s="880"/>
    </row>
    <row r="461" spans="1:24" ht="13.5" thickBot="1">
      <c r="A461" s="885"/>
      <c r="B461" s="885"/>
      <c r="C461" s="100" t="s">
        <v>302</v>
      </c>
      <c r="D461" s="1017"/>
      <c r="E461" s="1018"/>
      <c r="F461" s="1018"/>
      <c r="G461" s="1019"/>
      <c r="H461" s="1017"/>
      <c r="I461" s="1018"/>
      <c r="J461" s="1018"/>
      <c r="K461" s="1019"/>
      <c r="L461" s="1147">
        <f>'LF-Yobe'!L139:O139</f>
        <v>1</v>
      </c>
      <c r="M461" s="1148"/>
      <c r="N461" s="1148"/>
      <c r="O461" s="1149"/>
      <c r="P461" s="1147">
        <f>'LF-Yobe'!P139:S139</f>
        <v>2.2999999999999998</v>
      </c>
      <c r="Q461" s="1148"/>
      <c r="R461" s="1148"/>
      <c r="S461" s="1149"/>
      <c r="T461" s="1147">
        <f>'Yobe Workings'!$V$95</f>
        <v>3.5</v>
      </c>
      <c r="U461" s="1148">
        <f>'Yobe Workings'!$V$11</f>
        <v>10</v>
      </c>
      <c r="V461" s="1148">
        <f>'Yobe Workings'!$V$11</f>
        <v>10</v>
      </c>
      <c r="W461" s="1149">
        <f>'Yobe Workings'!$V$11</f>
        <v>10</v>
      </c>
      <c r="X461" s="880"/>
    </row>
    <row r="462" spans="1:24" ht="24.75" thickBot="1">
      <c r="A462" s="885"/>
      <c r="B462" s="885"/>
      <c r="C462" s="100" t="s">
        <v>303</v>
      </c>
      <c r="D462" s="1017"/>
      <c r="E462" s="1018"/>
      <c r="F462" s="1018"/>
      <c r="G462" s="1019"/>
      <c r="H462" s="1017"/>
      <c r="I462" s="1018"/>
      <c r="J462" s="1018"/>
      <c r="K462" s="1019"/>
      <c r="L462" s="1017"/>
      <c r="M462" s="1018"/>
      <c r="N462" s="1018"/>
      <c r="O462" s="1019"/>
      <c r="P462" s="1054"/>
      <c r="Q462" s="1055"/>
      <c r="R462" s="1055"/>
      <c r="S462" s="1056"/>
      <c r="T462" s="1147">
        <f t="shared" ref="T462:W462" si="86">T452</f>
        <v>1</v>
      </c>
      <c r="U462" s="1148">
        <f t="shared" si="86"/>
        <v>0</v>
      </c>
      <c r="V462" s="1148">
        <f t="shared" si="86"/>
        <v>0</v>
      </c>
      <c r="W462" s="1149">
        <f t="shared" si="86"/>
        <v>0</v>
      </c>
      <c r="X462" s="880"/>
    </row>
    <row r="463" spans="1:24" ht="13.5" thickBot="1">
      <c r="A463" s="885"/>
      <c r="B463" s="885"/>
      <c r="C463" s="100" t="s">
        <v>304</v>
      </c>
      <c r="D463" s="1017"/>
      <c r="E463" s="1018"/>
      <c r="F463" s="1018"/>
      <c r="G463" s="1019"/>
      <c r="H463" s="1017"/>
      <c r="I463" s="1018"/>
      <c r="J463" s="1018"/>
      <c r="K463" s="1019"/>
      <c r="L463" s="1017"/>
      <c r="M463" s="1018"/>
      <c r="N463" s="1018"/>
      <c r="O463" s="1019"/>
      <c r="P463" s="1054"/>
      <c r="Q463" s="1055"/>
      <c r="R463" s="1055"/>
      <c r="S463" s="1056"/>
      <c r="T463" s="1147">
        <f t="shared" ref="T463:W463" si="87">T453</f>
        <v>1.5</v>
      </c>
      <c r="U463" s="1148">
        <f t="shared" si="87"/>
        <v>0</v>
      </c>
      <c r="V463" s="1148">
        <f t="shared" si="87"/>
        <v>0</v>
      </c>
      <c r="W463" s="1149">
        <f t="shared" si="87"/>
        <v>0</v>
      </c>
      <c r="X463" s="880"/>
    </row>
    <row r="464" spans="1:24" ht="13.5" thickBot="1">
      <c r="A464" s="885"/>
      <c r="B464" s="885"/>
      <c r="C464" s="922" t="s">
        <v>413</v>
      </c>
      <c r="D464" s="927" t="s">
        <v>4</v>
      </c>
      <c r="E464" s="928"/>
      <c r="F464" s="928"/>
      <c r="G464" s="928"/>
      <c r="H464" s="928"/>
      <c r="I464" s="928"/>
      <c r="J464" s="928"/>
      <c r="K464" s="928"/>
      <c r="L464" s="928"/>
      <c r="M464" s="928"/>
      <c r="N464" s="928"/>
      <c r="O464" s="928"/>
      <c r="P464" s="928"/>
      <c r="Q464" s="928"/>
      <c r="R464" s="928"/>
      <c r="S464" s="928"/>
      <c r="T464" s="928"/>
      <c r="U464" s="928"/>
      <c r="V464" s="928"/>
      <c r="W464" s="929"/>
      <c r="X464" s="880"/>
    </row>
    <row r="465" spans="1:24" ht="13.5" thickBot="1">
      <c r="A465" s="885"/>
      <c r="B465" s="869"/>
      <c r="C465" s="923"/>
      <c r="D465" s="930" t="s">
        <v>123</v>
      </c>
      <c r="E465" s="931"/>
      <c r="F465" s="931"/>
      <c r="G465" s="931"/>
      <c r="H465" s="931"/>
      <c r="I465" s="931"/>
      <c r="J465" s="931"/>
      <c r="K465" s="931"/>
      <c r="L465" s="931"/>
      <c r="M465" s="931"/>
      <c r="N465" s="931"/>
      <c r="O465" s="931"/>
      <c r="P465" s="931"/>
      <c r="Q465" s="931"/>
      <c r="R465" s="931"/>
      <c r="S465" s="931"/>
      <c r="T465" s="931"/>
      <c r="U465" s="931"/>
      <c r="V465" s="931"/>
      <c r="W465" s="932"/>
      <c r="X465" s="880"/>
    </row>
    <row r="466" spans="1:24" ht="12.95" customHeight="1" thickBot="1">
      <c r="A466" s="885"/>
      <c r="B466" s="11" t="s">
        <v>33</v>
      </c>
      <c r="C466" s="12"/>
      <c r="D466" s="927" t="s">
        <v>78</v>
      </c>
      <c r="E466" s="928"/>
      <c r="F466" s="928"/>
      <c r="G466" s="929"/>
      <c r="H466" s="927" t="s">
        <v>77</v>
      </c>
      <c r="I466" s="928"/>
      <c r="J466" s="928"/>
      <c r="K466" s="929"/>
      <c r="L466" s="927" t="s">
        <v>81</v>
      </c>
      <c r="M466" s="928"/>
      <c r="N466" s="928"/>
      <c r="O466" s="929"/>
      <c r="P466" s="927" t="s">
        <v>254</v>
      </c>
      <c r="Q466" s="928"/>
      <c r="R466" s="928"/>
      <c r="S466" s="929"/>
      <c r="T466" s="1144" t="s">
        <v>908</v>
      </c>
      <c r="U466" s="1145"/>
      <c r="V466" s="1145"/>
      <c r="W466" s="1146"/>
      <c r="X466" s="880"/>
    </row>
    <row r="467" spans="1:24" ht="13.5" thickBot="1">
      <c r="A467" s="885"/>
      <c r="B467" s="868" t="s">
        <v>67</v>
      </c>
      <c r="C467" s="9" t="s">
        <v>285</v>
      </c>
      <c r="D467" s="942">
        <f>'LF-Enugu'!D143:G143</f>
        <v>1</v>
      </c>
      <c r="E467" s="943"/>
      <c r="F467" s="943"/>
      <c r="G467" s="944"/>
      <c r="H467" s="942">
        <f>'LF-Enugu'!H143:K143</f>
        <v>2</v>
      </c>
      <c r="I467" s="943"/>
      <c r="J467" s="943"/>
      <c r="K467" s="944"/>
      <c r="L467" s="942">
        <f>'LF-Enugu'!L143:O143</f>
        <v>2.5</v>
      </c>
      <c r="M467" s="943"/>
      <c r="N467" s="943"/>
      <c r="O467" s="944"/>
      <c r="P467" s="942">
        <f>'LF-Enugu'!P143:S143</f>
        <v>3.5</v>
      </c>
      <c r="Q467" s="943"/>
      <c r="R467" s="943"/>
      <c r="S467" s="944"/>
      <c r="T467" s="1159">
        <f>'Enugu Workings'!$V$97</f>
        <v>3.8333333333333339</v>
      </c>
      <c r="U467" s="1160">
        <f>'Enugu Workings'!$V$10</f>
        <v>3.3333333333333339</v>
      </c>
      <c r="V467" s="1160">
        <f>'Enugu Workings'!$V$10</f>
        <v>3.3333333333333339</v>
      </c>
      <c r="W467" s="1161">
        <f>'Enugu Workings'!$V$10</f>
        <v>3.3333333333333339</v>
      </c>
      <c r="X467" s="880"/>
    </row>
    <row r="468" spans="1:24" ht="13.5" thickBot="1">
      <c r="A468" s="885"/>
      <c r="B468" s="885"/>
      <c r="C468" s="9" t="s">
        <v>286</v>
      </c>
      <c r="D468" s="942">
        <f>'LF-Jigawa'!D143:G143</f>
        <v>1</v>
      </c>
      <c r="E468" s="943"/>
      <c r="F468" s="943"/>
      <c r="G468" s="944"/>
      <c r="H468" s="942">
        <f>'LF-Jigawa'!H143:K143</f>
        <v>2</v>
      </c>
      <c r="I468" s="943"/>
      <c r="J468" s="943"/>
      <c r="K468" s="944"/>
      <c r="L468" s="942">
        <f>'LF-Jigawa'!L143:O143</f>
        <v>3</v>
      </c>
      <c r="M468" s="943"/>
      <c r="N468" s="943"/>
      <c r="O468" s="944"/>
      <c r="P468" s="963">
        <f>'LF-Jigawa'!P143:S143</f>
        <v>3.2</v>
      </c>
      <c r="Q468" s="964"/>
      <c r="R468" s="964"/>
      <c r="S468" s="965"/>
      <c r="T468" s="1159">
        <f>'Jigawa Workings'!$V$97</f>
        <v>3.3999999999999995</v>
      </c>
      <c r="U468" s="1160">
        <f>'Jigawa Workings'!$V$10</f>
        <v>14.666666666666664</v>
      </c>
      <c r="V468" s="1160">
        <f>'Jigawa Workings'!$V$10</f>
        <v>14.666666666666664</v>
      </c>
      <c r="W468" s="1161">
        <f>'Jigawa Workings'!$V$10</f>
        <v>14.666666666666664</v>
      </c>
      <c r="X468" s="880"/>
    </row>
    <row r="469" spans="1:24" ht="13.5" thickBot="1">
      <c r="A469" s="885"/>
      <c r="B469" s="885"/>
      <c r="C469" s="9" t="s">
        <v>287</v>
      </c>
      <c r="D469" s="942">
        <f>'LF-Kaduna'!D143:G143</f>
        <v>1</v>
      </c>
      <c r="E469" s="943"/>
      <c r="F469" s="943"/>
      <c r="G469" s="944"/>
      <c r="H469" s="942">
        <f>'LF-Kaduna'!H143:K143</f>
        <v>1</v>
      </c>
      <c r="I469" s="943"/>
      <c r="J469" s="943"/>
      <c r="K469" s="944"/>
      <c r="L469" s="942">
        <f>'LF-Kaduna'!L143:O143</f>
        <v>2</v>
      </c>
      <c r="M469" s="943"/>
      <c r="N469" s="943"/>
      <c r="O469" s="944"/>
      <c r="P469" s="963">
        <f>'LF-Kaduna'!P143:S143</f>
        <v>2.1</v>
      </c>
      <c r="Q469" s="964"/>
      <c r="R469" s="964"/>
      <c r="S469" s="965"/>
      <c r="T469" s="1159">
        <f>'Kaduna Workings'!$V$97</f>
        <v>2.3666666666666663</v>
      </c>
      <c r="U469" s="1160">
        <f>'Kaduna Workings'!$V$10</f>
        <v>13.666666666666664</v>
      </c>
      <c r="V469" s="1160">
        <f>'Kaduna Workings'!$V$10</f>
        <v>13.666666666666664</v>
      </c>
      <c r="W469" s="1161">
        <f>'Kaduna Workings'!$V$10</f>
        <v>13.666666666666664</v>
      </c>
      <c r="X469" s="880"/>
    </row>
    <row r="470" spans="1:24" ht="13.5" thickBot="1">
      <c r="A470" s="885"/>
      <c r="B470" s="885"/>
      <c r="C470" s="9" t="s">
        <v>288</v>
      </c>
      <c r="D470" s="942">
        <f>'LF-Kano'!D143:G143</f>
        <v>2</v>
      </c>
      <c r="E470" s="943"/>
      <c r="F470" s="943"/>
      <c r="G470" s="944"/>
      <c r="H470" s="942">
        <f>'LF-Kano'!H143:K143</f>
        <v>2</v>
      </c>
      <c r="I470" s="943"/>
      <c r="J470" s="943"/>
      <c r="K470" s="944"/>
      <c r="L470" s="942">
        <f>'LF-Kano'!L143:O143</f>
        <v>3</v>
      </c>
      <c r="M470" s="943"/>
      <c r="N470" s="943"/>
      <c r="O470" s="944"/>
      <c r="P470" s="963">
        <f>'LF-Kano'!P143:S143</f>
        <v>3</v>
      </c>
      <c r="Q470" s="964"/>
      <c r="R470" s="964"/>
      <c r="S470" s="965"/>
      <c r="T470" s="1159">
        <f>'Kano Workings'!$V$97</f>
        <v>3.1333333333333329</v>
      </c>
      <c r="U470" s="1160">
        <f>'Kano Workings'!$V$10</f>
        <v>5.666666666666667</v>
      </c>
      <c r="V470" s="1160">
        <f>'Kano Workings'!$V$10</f>
        <v>5.666666666666667</v>
      </c>
      <c r="W470" s="1161">
        <f>'Kano Workings'!$V$10</f>
        <v>5.666666666666667</v>
      </c>
      <c r="X470" s="880"/>
    </row>
    <row r="471" spans="1:24" ht="13.5" thickBot="1">
      <c r="A471" s="885"/>
      <c r="B471" s="885"/>
      <c r="C471" s="9" t="s">
        <v>289</v>
      </c>
      <c r="D471" s="942">
        <f>'LF-Lagos'!D143:G143</f>
        <v>1</v>
      </c>
      <c r="E471" s="943"/>
      <c r="F471" s="943"/>
      <c r="G471" s="944"/>
      <c r="H471" s="942">
        <f>'LF-Lagos'!H143:K143</f>
        <v>2</v>
      </c>
      <c r="I471" s="943"/>
      <c r="J471" s="943"/>
      <c r="K471" s="944"/>
      <c r="L471" s="942">
        <f>'LF-Lagos'!L143:O143</f>
        <v>3</v>
      </c>
      <c r="M471" s="943"/>
      <c r="N471" s="943"/>
      <c r="O471" s="944"/>
      <c r="P471" s="963">
        <f>'LF-Lagos'!P143:S143</f>
        <v>3.8</v>
      </c>
      <c r="Q471" s="964"/>
      <c r="R471" s="964"/>
      <c r="S471" s="965"/>
      <c r="T471" s="1159">
        <f>'Lagos Workings'!$V$97</f>
        <v>4.0666666666666664</v>
      </c>
      <c r="U471" s="1160">
        <f>'Lagos Workings'!$V$10</f>
        <v>15</v>
      </c>
      <c r="V471" s="1160">
        <f>'Lagos Workings'!$V$10</f>
        <v>15</v>
      </c>
      <c r="W471" s="1161">
        <f>'Lagos Workings'!$V$10</f>
        <v>15</v>
      </c>
      <c r="X471" s="880"/>
    </row>
    <row r="472" spans="1:24" ht="13.5" thickBot="1">
      <c r="A472" s="885"/>
      <c r="B472" s="885"/>
      <c r="C472" s="9" t="s">
        <v>292</v>
      </c>
      <c r="D472" s="966" t="s">
        <v>255</v>
      </c>
      <c r="E472" s="967"/>
      <c r="F472" s="967"/>
      <c r="G472" s="968"/>
      <c r="H472" s="942">
        <f>'LF-Zamfara'!H143:K143</f>
        <v>2</v>
      </c>
      <c r="I472" s="943"/>
      <c r="J472" s="943"/>
      <c r="K472" s="944"/>
      <c r="L472" s="942">
        <f>'LF-Zamfara'!L143:O143</f>
        <v>2</v>
      </c>
      <c r="M472" s="943"/>
      <c r="N472" s="943"/>
      <c r="O472" s="944"/>
      <c r="P472" s="963">
        <f>'LF-Zamfara'!P143:S143</f>
        <v>2.4</v>
      </c>
      <c r="Q472" s="964"/>
      <c r="R472" s="964"/>
      <c r="S472" s="965"/>
      <c r="T472" s="1159">
        <f>'Zamfara Workings'!$V$97</f>
        <v>2.8000000000000003</v>
      </c>
      <c r="U472" s="1160">
        <f>'Zamfara Workings'!$V$10</f>
        <v>3.3333333333333339</v>
      </c>
      <c r="V472" s="1160">
        <f>'Zamfara Workings'!$V$10</f>
        <v>3.3333333333333339</v>
      </c>
      <c r="W472" s="1161">
        <f>'Zamfara Workings'!$V$10</f>
        <v>3.3333333333333339</v>
      </c>
      <c r="X472" s="880"/>
    </row>
    <row r="473" spans="1:24" ht="13.5" thickBot="1">
      <c r="A473" s="885"/>
      <c r="B473" s="885"/>
      <c r="C473" s="9" t="s">
        <v>293</v>
      </c>
      <c r="D473" s="966" t="s">
        <v>255</v>
      </c>
      <c r="E473" s="967"/>
      <c r="F473" s="967"/>
      <c r="G473" s="968"/>
      <c r="H473" s="963">
        <f>'LF-Katsina'!H143:K143</f>
        <v>3.7</v>
      </c>
      <c r="I473" s="964"/>
      <c r="J473" s="964"/>
      <c r="K473" s="965"/>
      <c r="L473" s="963">
        <f>'LF-Katsina'!L143:O143</f>
        <v>3.7</v>
      </c>
      <c r="M473" s="964"/>
      <c r="N473" s="964"/>
      <c r="O473" s="965"/>
      <c r="P473" s="963">
        <f>'LF-Katsina'!P143:S143</f>
        <v>4</v>
      </c>
      <c r="Q473" s="964"/>
      <c r="R473" s="964"/>
      <c r="S473" s="965"/>
      <c r="T473" s="1159">
        <f>'Katsina Workings'!$V$97</f>
        <v>4.3333333333333321</v>
      </c>
      <c r="U473" s="1160">
        <f>'Katsina Workings'!$V$10</f>
        <v>6</v>
      </c>
      <c r="V473" s="1160">
        <f>'Katsina Workings'!$V$10</f>
        <v>6</v>
      </c>
      <c r="W473" s="1161">
        <f>'Katsina Workings'!$V$10</f>
        <v>6</v>
      </c>
      <c r="X473" s="880"/>
    </row>
    <row r="474" spans="1:24" ht="13.5" thickBot="1">
      <c r="A474" s="885"/>
      <c r="B474" s="885"/>
      <c r="C474" s="9" t="s">
        <v>294</v>
      </c>
      <c r="D474" s="966" t="s">
        <v>255</v>
      </c>
      <c r="E474" s="967"/>
      <c r="F474" s="967"/>
      <c r="G474" s="968"/>
      <c r="H474" s="942">
        <f>'LF-Yobe'!H143:K143</f>
        <v>1.7</v>
      </c>
      <c r="I474" s="943"/>
      <c r="J474" s="943"/>
      <c r="K474" s="944"/>
      <c r="L474" s="942">
        <f>'LF-Yobe'!L143:O143</f>
        <v>1.7</v>
      </c>
      <c r="M474" s="943"/>
      <c r="N474" s="943"/>
      <c r="O474" s="944"/>
      <c r="P474" s="942">
        <f>'LF-Yobe'!P143:S143</f>
        <v>2</v>
      </c>
      <c r="Q474" s="943"/>
      <c r="R474" s="943"/>
      <c r="S474" s="944"/>
      <c r="T474" s="1159">
        <f>'Yobe Workings'!$V$97</f>
        <v>2.3333333333333339</v>
      </c>
      <c r="U474" s="1160">
        <f>'Yobe Workings'!$V$10</f>
        <v>2.6666666666666661</v>
      </c>
      <c r="V474" s="1160">
        <f>'Yobe Workings'!$V$10</f>
        <v>2.6666666666666661</v>
      </c>
      <c r="W474" s="1161">
        <f>'Yobe Workings'!$V$10</f>
        <v>2.6666666666666661</v>
      </c>
      <c r="X474" s="880"/>
    </row>
    <row r="475" spans="1:24" ht="12.95" customHeight="1" thickBot="1">
      <c r="A475" s="885"/>
      <c r="B475" s="885"/>
      <c r="C475" s="9" t="s">
        <v>290</v>
      </c>
      <c r="D475" s="957"/>
      <c r="E475" s="958"/>
      <c r="F475" s="958"/>
      <c r="G475" s="959"/>
      <c r="H475" s="1162"/>
      <c r="I475" s="1163"/>
      <c r="J475" s="1163"/>
      <c r="K475" s="1164"/>
      <c r="L475" s="1057" t="s">
        <v>910</v>
      </c>
      <c r="M475" s="1058"/>
      <c r="N475" s="1058"/>
      <c r="O475" s="1059"/>
      <c r="P475" s="942">
        <f>'LF-Anambra'!P143:S143</f>
        <v>1.8</v>
      </c>
      <c r="Q475" s="943"/>
      <c r="R475" s="943"/>
      <c r="S475" s="944"/>
      <c r="T475" s="960">
        <f t="shared" ref="T475:T476" si="88">P475</f>
        <v>1.8</v>
      </c>
      <c r="U475" s="961">
        <f t="shared" ref="U475:U476" si="89">Q475</f>
        <v>0</v>
      </c>
      <c r="V475" s="961">
        <f t="shared" ref="V475:V476" si="90">R475</f>
        <v>0</v>
      </c>
      <c r="W475" s="962">
        <f t="shared" ref="W475:W476" si="91">S475</f>
        <v>0</v>
      </c>
      <c r="X475" s="880"/>
    </row>
    <row r="476" spans="1:24" ht="12.95" customHeight="1" thickBot="1">
      <c r="A476" s="885"/>
      <c r="B476" s="885"/>
      <c r="C476" s="9" t="s">
        <v>291</v>
      </c>
      <c r="D476" s="957"/>
      <c r="E476" s="958"/>
      <c r="F476" s="958"/>
      <c r="G476" s="959"/>
      <c r="H476" s="1162"/>
      <c r="I476" s="1163"/>
      <c r="J476" s="1163"/>
      <c r="K476" s="1164"/>
      <c r="L476" s="1057" t="s">
        <v>910</v>
      </c>
      <c r="M476" s="1058"/>
      <c r="N476" s="1058"/>
      <c r="O476" s="1059"/>
      <c r="P476" s="942">
        <f>'LF-Niger'!P143:S143</f>
        <v>1.8</v>
      </c>
      <c r="Q476" s="943"/>
      <c r="R476" s="943"/>
      <c r="S476" s="944"/>
      <c r="T476" s="960">
        <f t="shared" si="88"/>
        <v>1.8</v>
      </c>
      <c r="U476" s="961">
        <f t="shared" si="89"/>
        <v>0</v>
      </c>
      <c r="V476" s="961">
        <f t="shared" si="90"/>
        <v>0</v>
      </c>
      <c r="W476" s="962">
        <f t="shared" si="91"/>
        <v>0</v>
      </c>
      <c r="X476" s="880"/>
    </row>
    <row r="477" spans="1:24" ht="13.5" thickBot="1">
      <c r="A477" s="885"/>
      <c r="B477" s="885"/>
      <c r="C477" s="100" t="s">
        <v>295</v>
      </c>
      <c r="D477" s="1017"/>
      <c r="E477" s="1018"/>
      <c r="F477" s="1018"/>
      <c r="G477" s="1019"/>
      <c r="H477" s="1147">
        <f>'LF-Enugu'!H144:K144</f>
        <v>1.5</v>
      </c>
      <c r="I477" s="1148"/>
      <c r="J477" s="1148"/>
      <c r="K477" s="1149"/>
      <c r="L477" s="1147">
        <f>'LF-Enugu'!L144:O144</f>
        <v>3.3</v>
      </c>
      <c r="M477" s="1148"/>
      <c r="N477" s="1148"/>
      <c r="O477" s="1149"/>
      <c r="P477" s="1147">
        <f>'LF-Enugu'!P144:S144</f>
        <v>4.3</v>
      </c>
      <c r="Q477" s="1148"/>
      <c r="R477" s="1148"/>
      <c r="S477" s="1149"/>
      <c r="T477" s="1147">
        <f>'Enugu Workings'!$V$98</f>
        <v>4.3</v>
      </c>
      <c r="U477" s="1148">
        <f>'Enugu Workings'!$V$11</f>
        <v>2</v>
      </c>
      <c r="V477" s="1148">
        <f>'Enugu Workings'!$V$11</f>
        <v>2</v>
      </c>
      <c r="W477" s="1149">
        <f>'Enugu Workings'!$V$11</f>
        <v>2</v>
      </c>
      <c r="X477" s="880"/>
    </row>
    <row r="478" spans="1:24" ht="13.5" thickBot="1">
      <c r="A478" s="885"/>
      <c r="B478" s="885"/>
      <c r="C478" s="100" t="s">
        <v>296</v>
      </c>
      <c r="D478" s="1017"/>
      <c r="E478" s="1018"/>
      <c r="F478" s="1018"/>
      <c r="G478" s="1019"/>
      <c r="H478" s="1147">
        <f>'LF-Jigawa'!H144:K144</f>
        <v>2.8</v>
      </c>
      <c r="I478" s="1148"/>
      <c r="J478" s="1148"/>
      <c r="K478" s="1149"/>
      <c r="L478" s="1147">
        <f>'LF-Jigawa'!L144:O144</f>
        <v>2</v>
      </c>
      <c r="M478" s="1148"/>
      <c r="N478" s="1148"/>
      <c r="O478" s="1149"/>
      <c r="P478" s="1147">
        <f>'LF-Jigawa'!P144:S144</f>
        <v>4.5</v>
      </c>
      <c r="Q478" s="1148"/>
      <c r="R478" s="1148"/>
      <c r="S478" s="1149"/>
      <c r="T478" s="1147">
        <f>'Jigawa Workings'!$V$98</f>
        <v>4.8</v>
      </c>
      <c r="U478" s="1148">
        <f>'Jigawa Workings'!$V$11</f>
        <v>12</v>
      </c>
      <c r="V478" s="1148">
        <f>'Jigawa Workings'!$V$11</f>
        <v>12</v>
      </c>
      <c r="W478" s="1149">
        <f>'Jigawa Workings'!$V$11</f>
        <v>12</v>
      </c>
      <c r="X478" s="880"/>
    </row>
    <row r="479" spans="1:24" ht="13.5" thickBot="1">
      <c r="A479" s="885"/>
      <c r="B479" s="885"/>
      <c r="C479" s="100" t="s">
        <v>297</v>
      </c>
      <c r="D479" s="1017"/>
      <c r="E479" s="1018"/>
      <c r="F479" s="1018"/>
      <c r="G479" s="1019"/>
      <c r="H479" s="1147">
        <f>'LF-Kaduna'!H144:K144</f>
        <v>1</v>
      </c>
      <c r="I479" s="1148"/>
      <c r="J479" s="1148"/>
      <c r="K479" s="1149"/>
      <c r="L479" s="1147">
        <f>'LF-Kaduna'!L144:O144</f>
        <v>2</v>
      </c>
      <c r="M479" s="1148"/>
      <c r="N479" s="1148"/>
      <c r="O479" s="1149"/>
      <c r="P479" s="1147">
        <f>'LF-Kaduna'!P144:S144</f>
        <v>4.3</v>
      </c>
      <c r="Q479" s="1148"/>
      <c r="R479" s="1148"/>
      <c r="S479" s="1149"/>
      <c r="T479" s="1147">
        <f>'Kaduna Workings'!$V$98</f>
        <v>4.5</v>
      </c>
      <c r="U479" s="1148">
        <f>'Kaduna Workings'!$V$11</f>
        <v>2</v>
      </c>
      <c r="V479" s="1148">
        <f>'Kaduna Workings'!$V$11</f>
        <v>2</v>
      </c>
      <c r="W479" s="1149">
        <f>'Kaduna Workings'!$V$11</f>
        <v>2</v>
      </c>
      <c r="X479" s="880"/>
    </row>
    <row r="480" spans="1:24" ht="13.5" thickBot="1">
      <c r="A480" s="885"/>
      <c r="B480" s="885"/>
      <c r="C480" s="100" t="s">
        <v>298</v>
      </c>
      <c r="D480" s="1017"/>
      <c r="E480" s="1018"/>
      <c r="F480" s="1018"/>
      <c r="G480" s="1019"/>
      <c r="H480" s="1147">
        <f>'LF-Kano'!H144:K144</f>
        <v>1</v>
      </c>
      <c r="I480" s="1148"/>
      <c r="J480" s="1148"/>
      <c r="K480" s="1149"/>
      <c r="L480" s="1147">
        <f>'LF-Kano'!L144:O144</f>
        <v>2.7</v>
      </c>
      <c r="M480" s="1148"/>
      <c r="N480" s="1148"/>
      <c r="O480" s="1149"/>
      <c r="P480" s="1147">
        <f>'LF-Kano'!P144:S144</f>
        <v>4.3</v>
      </c>
      <c r="Q480" s="1148"/>
      <c r="R480" s="1148"/>
      <c r="S480" s="1149"/>
      <c r="T480" s="1147">
        <f>'Kano Workings'!$V$98</f>
        <v>4.3</v>
      </c>
      <c r="U480" s="1148">
        <f>'Kano Workings'!$V$11</f>
        <v>6</v>
      </c>
      <c r="V480" s="1148">
        <f>'Kano Workings'!$V$11</f>
        <v>6</v>
      </c>
      <c r="W480" s="1149">
        <f>'Kano Workings'!$V$11</f>
        <v>6</v>
      </c>
      <c r="X480" s="880"/>
    </row>
    <row r="481" spans="1:24" ht="13.5" thickBot="1">
      <c r="A481" s="885"/>
      <c r="B481" s="885"/>
      <c r="C481" s="100" t="s">
        <v>299</v>
      </c>
      <c r="D481" s="1017"/>
      <c r="E481" s="1018"/>
      <c r="F481" s="1018"/>
      <c r="G481" s="1019"/>
      <c r="H481" s="1147">
        <f>'LF-Lagos'!H144:K144</f>
        <v>3</v>
      </c>
      <c r="I481" s="1148"/>
      <c r="J481" s="1148"/>
      <c r="K481" s="1149"/>
      <c r="L481" s="1147">
        <f>'LF-Lagos'!L144:O144</f>
        <v>3.3</v>
      </c>
      <c r="M481" s="1148"/>
      <c r="N481" s="1148"/>
      <c r="O481" s="1149"/>
      <c r="P481" s="1147">
        <f>'LF-Lagos'!P144:S144</f>
        <v>3.3</v>
      </c>
      <c r="Q481" s="1148"/>
      <c r="R481" s="1148"/>
      <c r="S481" s="1149"/>
      <c r="T481" s="1147">
        <f>'Lagos Workings'!$V$98</f>
        <v>3.5</v>
      </c>
      <c r="U481" s="1148">
        <f>'Lagos Workings'!$V$11</f>
        <v>15</v>
      </c>
      <c r="V481" s="1148">
        <f>'Lagos Workings'!$V$11</f>
        <v>15</v>
      </c>
      <c r="W481" s="1149">
        <f>'Lagos Workings'!$V$11</f>
        <v>15</v>
      </c>
      <c r="X481" s="880"/>
    </row>
    <row r="482" spans="1:24" ht="24.75" thickBot="1">
      <c r="A482" s="885"/>
      <c r="B482" s="885"/>
      <c r="C482" s="100" t="s">
        <v>300</v>
      </c>
      <c r="D482" s="1017"/>
      <c r="E482" s="1018"/>
      <c r="F482" s="1018"/>
      <c r="G482" s="1019"/>
      <c r="H482" s="1017"/>
      <c r="I482" s="1018"/>
      <c r="J482" s="1018"/>
      <c r="K482" s="1019"/>
      <c r="L482" s="1147">
        <f>'LF-Zamfara'!L144:O144</f>
        <v>2</v>
      </c>
      <c r="M482" s="1148"/>
      <c r="N482" s="1148"/>
      <c r="O482" s="1149"/>
      <c r="P482" s="1147">
        <f>'LF-Zamfara'!P144:S144</f>
        <v>3.3</v>
      </c>
      <c r="Q482" s="1148"/>
      <c r="R482" s="1148"/>
      <c r="S482" s="1149"/>
      <c r="T482" s="1147">
        <f>'Zamfara Workings'!$V$98</f>
        <v>4.3</v>
      </c>
      <c r="U482" s="1148">
        <f>'Zamfara Workings'!$V$11</f>
        <v>1</v>
      </c>
      <c r="V482" s="1148">
        <f>'Zamfara Workings'!$V$11</f>
        <v>1</v>
      </c>
      <c r="W482" s="1149">
        <f>'Zamfara Workings'!$V$11</f>
        <v>1</v>
      </c>
      <c r="X482" s="880"/>
    </row>
    <row r="483" spans="1:24" ht="13.5" thickBot="1">
      <c r="A483" s="885"/>
      <c r="B483" s="885"/>
      <c r="C483" s="100" t="s">
        <v>301</v>
      </c>
      <c r="D483" s="1017"/>
      <c r="E483" s="1018"/>
      <c r="F483" s="1018"/>
      <c r="G483" s="1019"/>
      <c r="H483" s="1017"/>
      <c r="I483" s="1018"/>
      <c r="J483" s="1018"/>
      <c r="K483" s="1019"/>
      <c r="L483" s="1147">
        <f>'LF-Katsina'!L144:O144</f>
        <v>3.7</v>
      </c>
      <c r="M483" s="1148"/>
      <c r="N483" s="1148"/>
      <c r="O483" s="1149"/>
      <c r="P483" s="1147">
        <f>'LF-Katsina'!P144:S144</f>
        <v>3.5</v>
      </c>
      <c r="Q483" s="1148"/>
      <c r="R483" s="1148"/>
      <c r="S483" s="1149"/>
      <c r="T483" s="1147">
        <f>'Katsina Workings'!$V$98</f>
        <v>4.8</v>
      </c>
      <c r="U483" s="1148">
        <f>'Katsina Workings'!$V$11</f>
        <v>6</v>
      </c>
      <c r="V483" s="1148">
        <f>'Katsina Workings'!$V$11</f>
        <v>6</v>
      </c>
      <c r="W483" s="1149">
        <f>'Katsina Workings'!$V$11</f>
        <v>6</v>
      </c>
      <c r="X483" s="880"/>
    </row>
    <row r="484" spans="1:24" ht="13.5" thickBot="1">
      <c r="A484" s="885"/>
      <c r="B484" s="885"/>
      <c r="C484" s="100" t="s">
        <v>302</v>
      </c>
      <c r="D484" s="1017"/>
      <c r="E484" s="1018"/>
      <c r="F484" s="1018"/>
      <c r="G484" s="1019"/>
      <c r="H484" s="1017"/>
      <c r="I484" s="1018"/>
      <c r="J484" s="1018"/>
      <c r="K484" s="1019"/>
      <c r="L484" s="1147">
        <f>'LF-Yobe'!L144:O144</f>
        <v>1.7</v>
      </c>
      <c r="M484" s="1148"/>
      <c r="N484" s="1148"/>
      <c r="O484" s="1149"/>
      <c r="P484" s="1147">
        <f>'LF-Yobe'!P144:S144</f>
        <v>2.2999999999999998</v>
      </c>
      <c r="Q484" s="1148"/>
      <c r="R484" s="1148"/>
      <c r="S484" s="1149"/>
      <c r="T484" s="1147">
        <f>'Yobe Workings'!$V$98</f>
        <v>3.8</v>
      </c>
      <c r="U484" s="1148">
        <f>'Yobe Workings'!$V$11</f>
        <v>10</v>
      </c>
      <c r="V484" s="1148">
        <f>'Yobe Workings'!$V$11</f>
        <v>10</v>
      </c>
      <c r="W484" s="1149">
        <f>'Yobe Workings'!$V$11</f>
        <v>10</v>
      </c>
      <c r="X484" s="880"/>
    </row>
    <row r="485" spans="1:24" ht="24.75" thickBot="1">
      <c r="A485" s="885"/>
      <c r="B485" s="885"/>
      <c r="C485" s="100" t="s">
        <v>303</v>
      </c>
      <c r="D485" s="1017"/>
      <c r="E485" s="1018"/>
      <c r="F485" s="1018"/>
      <c r="G485" s="1019"/>
      <c r="H485" s="1017"/>
      <c r="I485" s="1018"/>
      <c r="J485" s="1018"/>
      <c r="K485" s="1019"/>
      <c r="L485" s="1017"/>
      <c r="M485" s="1018"/>
      <c r="N485" s="1018"/>
      <c r="O485" s="1019"/>
      <c r="P485" s="1054"/>
      <c r="Q485" s="1055"/>
      <c r="R485" s="1055"/>
      <c r="S485" s="1056"/>
      <c r="T485" s="1147">
        <f t="shared" ref="T485:W485" si="92">T475</f>
        <v>1.8</v>
      </c>
      <c r="U485" s="1148">
        <f t="shared" si="92"/>
        <v>0</v>
      </c>
      <c r="V485" s="1148">
        <f t="shared" si="92"/>
        <v>0</v>
      </c>
      <c r="W485" s="1149">
        <f t="shared" si="92"/>
        <v>0</v>
      </c>
      <c r="X485" s="880"/>
    </row>
    <row r="486" spans="1:24" ht="13.5" thickBot="1">
      <c r="A486" s="885"/>
      <c r="B486" s="885"/>
      <c r="C486" s="100" t="s">
        <v>304</v>
      </c>
      <c r="D486" s="1017"/>
      <c r="E486" s="1018"/>
      <c r="F486" s="1018"/>
      <c r="G486" s="1019"/>
      <c r="H486" s="1017"/>
      <c r="I486" s="1018"/>
      <c r="J486" s="1018"/>
      <c r="K486" s="1019"/>
      <c r="L486" s="1017"/>
      <c r="M486" s="1018"/>
      <c r="N486" s="1018"/>
      <c r="O486" s="1019"/>
      <c r="P486" s="1054"/>
      <c r="Q486" s="1055"/>
      <c r="R486" s="1055"/>
      <c r="S486" s="1056"/>
      <c r="T486" s="1147">
        <f t="shared" ref="T486:W486" si="93">T476</f>
        <v>1.8</v>
      </c>
      <c r="U486" s="1148">
        <f t="shared" si="93"/>
        <v>0</v>
      </c>
      <c r="V486" s="1148">
        <f t="shared" si="93"/>
        <v>0</v>
      </c>
      <c r="W486" s="1149">
        <f t="shared" si="93"/>
        <v>0</v>
      </c>
      <c r="X486" s="880"/>
    </row>
    <row r="487" spans="1:24" ht="13.5" thickBot="1">
      <c r="A487" s="885"/>
      <c r="B487" s="885"/>
      <c r="C487" s="922" t="s">
        <v>413</v>
      </c>
      <c r="D487" s="927" t="s">
        <v>4</v>
      </c>
      <c r="E487" s="928"/>
      <c r="F487" s="928"/>
      <c r="G487" s="928"/>
      <c r="H487" s="928"/>
      <c r="I487" s="928"/>
      <c r="J487" s="928"/>
      <c r="K487" s="928"/>
      <c r="L487" s="928"/>
      <c r="M487" s="928"/>
      <c r="N487" s="928"/>
      <c r="O487" s="928"/>
      <c r="P487" s="928"/>
      <c r="Q487" s="928"/>
      <c r="R487" s="928"/>
      <c r="S487" s="928"/>
      <c r="T487" s="928"/>
      <c r="U487" s="928"/>
      <c r="V487" s="928"/>
      <c r="W487" s="929"/>
      <c r="X487" s="880"/>
    </row>
    <row r="488" spans="1:24" ht="13.5" thickBot="1">
      <c r="A488" s="885"/>
      <c r="B488" s="869"/>
      <c r="C488" s="923"/>
      <c r="D488" s="930" t="s">
        <v>123</v>
      </c>
      <c r="E488" s="931"/>
      <c r="F488" s="931"/>
      <c r="G488" s="931"/>
      <c r="H488" s="931"/>
      <c r="I488" s="931"/>
      <c r="J488" s="931"/>
      <c r="K488" s="931"/>
      <c r="L488" s="931"/>
      <c r="M488" s="931"/>
      <c r="N488" s="931"/>
      <c r="O488" s="931"/>
      <c r="P488" s="931"/>
      <c r="Q488" s="931"/>
      <c r="R488" s="931"/>
      <c r="S488" s="931"/>
      <c r="T488" s="931"/>
      <c r="U488" s="931"/>
      <c r="V488" s="931"/>
      <c r="W488" s="932"/>
      <c r="X488" s="880"/>
    </row>
    <row r="489" spans="1:24" ht="12.95" customHeight="1" thickBot="1">
      <c r="A489" s="885"/>
      <c r="B489" s="11" t="s">
        <v>34</v>
      </c>
      <c r="C489" s="12"/>
      <c r="D489" s="927" t="s">
        <v>78</v>
      </c>
      <c r="E489" s="928"/>
      <c r="F489" s="928"/>
      <c r="G489" s="929"/>
      <c r="H489" s="927" t="s">
        <v>77</v>
      </c>
      <c r="I489" s="928"/>
      <c r="J489" s="928"/>
      <c r="K489" s="929"/>
      <c r="L489" s="927" t="s">
        <v>81</v>
      </c>
      <c r="M489" s="928"/>
      <c r="N489" s="928"/>
      <c r="O489" s="929"/>
      <c r="P489" s="927" t="s">
        <v>254</v>
      </c>
      <c r="Q489" s="928"/>
      <c r="R489" s="928"/>
      <c r="S489" s="929"/>
      <c r="T489" s="1144" t="s">
        <v>908</v>
      </c>
      <c r="U489" s="1145"/>
      <c r="V489" s="1145"/>
      <c r="W489" s="1146"/>
      <c r="X489" s="880"/>
    </row>
    <row r="490" spans="1:24" ht="13.5" thickBot="1">
      <c r="A490" s="885"/>
      <c r="B490" s="868" t="s">
        <v>68</v>
      </c>
      <c r="C490" s="9" t="s">
        <v>285</v>
      </c>
      <c r="D490" s="942">
        <f>'LF-Enugu'!D148:G148</f>
        <v>1</v>
      </c>
      <c r="E490" s="943"/>
      <c r="F490" s="943"/>
      <c r="G490" s="944"/>
      <c r="H490" s="942">
        <f>'LF-Enugu'!H148:K148</f>
        <v>1</v>
      </c>
      <c r="I490" s="943"/>
      <c r="J490" s="943"/>
      <c r="K490" s="944"/>
      <c r="L490" s="942">
        <f>'LF-Enugu'!L148:O148</f>
        <v>2</v>
      </c>
      <c r="M490" s="943"/>
      <c r="N490" s="943"/>
      <c r="O490" s="944"/>
      <c r="P490" s="942">
        <f>'LF-Enugu'!P148:S148</f>
        <v>2.5</v>
      </c>
      <c r="Q490" s="943"/>
      <c r="R490" s="943"/>
      <c r="S490" s="944"/>
      <c r="T490" s="1159">
        <f>'Enugu Workings'!$V$100</f>
        <v>2.8333333333333339</v>
      </c>
      <c r="U490" s="1160">
        <f>'Enugu Workings'!$V$10</f>
        <v>3.3333333333333339</v>
      </c>
      <c r="V490" s="1160">
        <f>'Enugu Workings'!$V$10</f>
        <v>3.3333333333333339</v>
      </c>
      <c r="W490" s="1161">
        <f>'Enugu Workings'!$V$10</f>
        <v>3.3333333333333339</v>
      </c>
      <c r="X490" s="880"/>
    </row>
    <row r="491" spans="1:24" ht="13.5" thickBot="1">
      <c r="A491" s="885"/>
      <c r="B491" s="885"/>
      <c r="C491" s="9" t="s">
        <v>286</v>
      </c>
      <c r="D491" s="942">
        <f>'LF-Jigawa'!D148:G148</f>
        <v>1</v>
      </c>
      <c r="E491" s="943"/>
      <c r="F491" s="943"/>
      <c r="G491" s="944"/>
      <c r="H491" s="942">
        <f>'LF-Jigawa'!H148:K148</f>
        <v>2</v>
      </c>
      <c r="I491" s="943"/>
      <c r="J491" s="943"/>
      <c r="K491" s="944"/>
      <c r="L491" s="942">
        <f>'LF-Jigawa'!L148:O148</f>
        <v>3</v>
      </c>
      <c r="M491" s="943"/>
      <c r="N491" s="943"/>
      <c r="O491" s="944"/>
      <c r="P491" s="963">
        <f>'LF-Jigawa'!P148:S148</f>
        <v>3</v>
      </c>
      <c r="Q491" s="964"/>
      <c r="R491" s="964"/>
      <c r="S491" s="965"/>
      <c r="T491" s="1159">
        <f>'Jigawa Workings'!$V$100</f>
        <v>3.3333333333333339</v>
      </c>
      <c r="U491" s="1160">
        <f>'Jigawa Workings'!$V$10</f>
        <v>14.666666666666664</v>
      </c>
      <c r="V491" s="1160">
        <f>'Jigawa Workings'!$V$10</f>
        <v>14.666666666666664</v>
      </c>
      <c r="W491" s="1161">
        <f>'Jigawa Workings'!$V$10</f>
        <v>14.666666666666664</v>
      </c>
      <c r="X491" s="880"/>
    </row>
    <row r="492" spans="1:24" ht="13.5" thickBot="1">
      <c r="A492" s="885"/>
      <c r="B492" s="885"/>
      <c r="C492" s="9" t="s">
        <v>287</v>
      </c>
      <c r="D492" s="942">
        <f>'LF-Kaduna'!D148:G148</f>
        <v>1</v>
      </c>
      <c r="E492" s="943"/>
      <c r="F492" s="943"/>
      <c r="G492" s="944"/>
      <c r="H492" s="942">
        <f>'LF-Kaduna'!H148:K148</f>
        <v>1</v>
      </c>
      <c r="I492" s="943"/>
      <c r="J492" s="943"/>
      <c r="K492" s="944"/>
      <c r="L492" s="942">
        <f>'LF-Kaduna'!L148:O148</f>
        <v>2</v>
      </c>
      <c r="M492" s="943"/>
      <c r="N492" s="943"/>
      <c r="O492" s="944"/>
      <c r="P492" s="963">
        <f>'LF-Kaduna'!P148:S148</f>
        <v>2.5</v>
      </c>
      <c r="Q492" s="964"/>
      <c r="R492" s="964"/>
      <c r="S492" s="965"/>
      <c r="T492" s="1159">
        <f>'Kaduna Workings'!$V$100</f>
        <v>2.6999999999999993</v>
      </c>
      <c r="U492" s="1160">
        <f>'Kaduna Workings'!$V$10</f>
        <v>13.666666666666664</v>
      </c>
      <c r="V492" s="1160">
        <f>'Kaduna Workings'!$V$10</f>
        <v>13.666666666666664</v>
      </c>
      <c r="W492" s="1161">
        <f>'Kaduna Workings'!$V$10</f>
        <v>13.666666666666664</v>
      </c>
      <c r="X492" s="880"/>
    </row>
    <row r="493" spans="1:24" ht="13.5" thickBot="1">
      <c r="A493" s="885"/>
      <c r="B493" s="885"/>
      <c r="C493" s="9" t="s">
        <v>288</v>
      </c>
      <c r="D493" s="942">
        <f>'LF-Kano'!D148:G148</f>
        <v>1</v>
      </c>
      <c r="E493" s="943"/>
      <c r="F493" s="943"/>
      <c r="G493" s="944"/>
      <c r="H493" s="942">
        <f>'LF-Kano'!H148:K148</f>
        <v>1</v>
      </c>
      <c r="I493" s="943"/>
      <c r="J493" s="943"/>
      <c r="K493" s="944"/>
      <c r="L493" s="942">
        <f>'LF-Kano'!L148:O148</f>
        <v>2</v>
      </c>
      <c r="M493" s="943"/>
      <c r="N493" s="943"/>
      <c r="O493" s="944"/>
      <c r="P493" s="963">
        <f>'LF-Kano'!P148:S148</f>
        <v>2.5</v>
      </c>
      <c r="Q493" s="964"/>
      <c r="R493" s="964"/>
      <c r="S493" s="965"/>
      <c r="T493" s="1159">
        <f>'Kano Workings'!$V$100</f>
        <v>2.8333333333333339</v>
      </c>
      <c r="U493" s="1160">
        <f>'Kano Workings'!$V$10</f>
        <v>5.666666666666667</v>
      </c>
      <c r="V493" s="1160">
        <f>'Kano Workings'!$V$10</f>
        <v>5.666666666666667</v>
      </c>
      <c r="W493" s="1161">
        <f>'Kano Workings'!$V$10</f>
        <v>5.666666666666667</v>
      </c>
      <c r="X493" s="880"/>
    </row>
    <row r="494" spans="1:24" ht="13.5" thickBot="1">
      <c r="A494" s="885"/>
      <c r="B494" s="885"/>
      <c r="C494" s="9" t="s">
        <v>289</v>
      </c>
      <c r="D494" s="942">
        <f>'LF-Lagos'!D148:G148</f>
        <v>2</v>
      </c>
      <c r="E494" s="943"/>
      <c r="F494" s="943"/>
      <c r="G494" s="944"/>
      <c r="H494" s="942">
        <f>'LF-Lagos'!H148:K148</f>
        <v>2</v>
      </c>
      <c r="I494" s="943"/>
      <c r="J494" s="943"/>
      <c r="K494" s="944"/>
      <c r="L494" s="942">
        <f>'LF-Lagos'!L148:O148</f>
        <v>3</v>
      </c>
      <c r="M494" s="943"/>
      <c r="N494" s="943"/>
      <c r="O494" s="944"/>
      <c r="P494" s="963">
        <f>'LF-Lagos'!P148:S148</f>
        <v>3.2</v>
      </c>
      <c r="Q494" s="964"/>
      <c r="R494" s="964"/>
      <c r="S494" s="965"/>
      <c r="T494" s="1159">
        <f>'Lagos Workings'!$V$100</f>
        <v>3.7333333333333334</v>
      </c>
      <c r="U494" s="1160">
        <f>'Lagos Workings'!$V$10</f>
        <v>15</v>
      </c>
      <c r="V494" s="1160">
        <f>'Lagos Workings'!$V$10</f>
        <v>15</v>
      </c>
      <c r="W494" s="1161">
        <f>'Lagos Workings'!$V$10</f>
        <v>15</v>
      </c>
      <c r="X494" s="880"/>
    </row>
    <row r="495" spans="1:24" ht="13.5" thickBot="1">
      <c r="A495" s="885"/>
      <c r="B495" s="885"/>
      <c r="C495" s="9" t="s">
        <v>292</v>
      </c>
      <c r="D495" s="966" t="s">
        <v>255</v>
      </c>
      <c r="E495" s="967"/>
      <c r="F495" s="967"/>
      <c r="G495" s="968"/>
      <c r="H495" s="942">
        <f>'LF-Zamfara'!H148:K148</f>
        <v>1</v>
      </c>
      <c r="I495" s="943"/>
      <c r="J495" s="943"/>
      <c r="K495" s="944"/>
      <c r="L495" s="942">
        <f>'LF-Zamfara'!L148:O148</f>
        <v>1</v>
      </c>
      <c r="M495" s="943"/>
      <c r="N495" s="943"/>
      <c r="O495" s="944"/>
      <c r="P495" s="963">
        <f>'LF-Zamfara'!P148:S148</f>
        <v>1.3</v>
      </c>
      <c r="Q495" s="964"/>
      <c r="R495" s="964"/>
      <c r="S495" s="965"/>
      <c r="T495" s="1159">
        <f>'Zamfara Workings'!$V$100</f>
        <v>1.8333333333333333</v>
      </c>
      <c r="U495" s="1160">
        <f>'Zamfara Workings'!$V$10</f>
        <v>3.3333333333333339</v>
      </c>
      <c r="V495" s="1160">
        <f>'Zamfara Workings'!$V$10</f>
        <v>3.3333333333333339</v>
      </c>
      <c r="W495" s="1161">
        <f>'Zamfara Workings'!$V$10</f>
        <v>3.3333333333333339</v>
      </c>
      <c r="X495" s="880"/>
    </row>
    <row r="496" spans="1:24" ht="13.5" thickBot="1">
      <c r="A496" s="885"/>
      <c r="B496" s="885"/>
      <c r="C496" s="9" t="s">
        <v>293</v>
      </c>
      <c r="D496" s="966" t="s">
        <v>255</v>
      </c>
      <c r="E496" s="967"/>
      <c r="F496" s="967"/>
      <c r="G496" s="968"/>
      <c r="H496" s="942">
        <f>'LF-Katsina'!H148:K148</f>
        <v>2</v>
      </c>
      <c r="I496" s="943"/>
      <c r="J496" s="943"/>
      <c r="K496" s="944"/>
      <c r="L496" s="942">
        <f>'LF-Katsina'!L148:O148</f>
        <v>2</v>
      </c>
      <c r="M496" s="943"/>
      <c r="N496" s="943"/>
      <c r="O496" s="944"/>
      <c r="P496" s="942">
        <f>'LF-Katsina'!P148:S148</f>
        <v>2.5</v>
      </c>
      <c r="Q496" s="943"/>
      <c r="R496" s="943"/>
      <c r="S496" s="944"/>
      <c r="T496" s="1159">
        <f>'Katsina Workings'!$V$100</f>
        <v>2.8333333333333339</v>
      </c>
      <c r="U496" s="1160">
        <f>'Katsina Workings'!$V$10</f>
        <v>6</v>
      </c>
      <c r="V496" s="1160">
        <f>'Katsina Workings'!$V$10</f>
        <v>6</v>
      </c>
      <c r="W496" s="1161">
        <f>'Katsina Workings'!$V$10</f>
        <v>6</v>
      </c>
      <c r="X496" s="880"/>
    </row>
    <row r="497" spans="1:24" ht="13.5" thickBot="1">
      <c r="A497" s="885"/>
      <c r="B497" s="885"/>
      <c r="C497" s="9" t="s">
        <v>294</v>
      </c>
      <c r="D497" s="966" t="s">
        <v>255</v>
      </c>
      <c r="E497" s="967"/>
      <c r="F497" s="967"/>
      <c r="G497" s="968"/>
      <c r="H497" s="942">
        <f>'LF-Yobe'!H148:K148</f>
        <v>1.8</v>
      </c>
      <c r="I497" s="943"/>
      <c r="J497" s="943"/>
      <c r="K497" s="944"/>
      <c r="L497" s="942">
        <f>'LF-Yobe'!L148:O148</f>
        <v>1.8</v>
      </c>
      <c r="M497" s="943"/>
      <c r="N497" s="943"/>
      <c r="O497" s="944"/>
      <c r="P497" s="942">
        <f>'LF-Yobe'!P148:S148</f>
        <v>2.1</v>
      </c>
      <c r="Q497" s="943"/>
      <c r="R497" s="943"/>
      <c r="S497" s="944"/>
      <c r="T497" s="1159">
        <f>'Yobe Workings'!$V$100</f>
        <v>2.5000000000000004</v>
      </c>
      <c r="U497" s="1160">
        <f>'Yobe Workings'!$V$10</f>
        <v>2.6666666666666661</v>
      </c>
      <c r="V497" s="1160">
        <f>'Yobe Workings'!$V$10</f>
        <v>2.6666666666666661</v>
      </c>
      <c r="W497" s="1161">
        <f>'Yobe Workings'!$V$10</f>
        <v>2.6666666666666661</v>
      </c>
      <c r="X497" s="880"/>
    </row>
    <row r="498" spans="1:24" ht="12.95" customHeight="1" thickBot="1">
      <c r="A498" s="885"/>
      <c r="B498" s="885"/>
      <c r="C498" s="9" t="s">
        <v>290</v>
      </c>
      <c r="D498" s="957"/>
      <c r="E498" s="958"/>
      <c r="F498" s="958"/>
      <c r="G498" s="959"/>
      <c r="H498" s="1162"/>
      <c r="I498" s="1163"/>
      <c r="J498" s="1163"/>
      <c r="K498" s="1164"/>
      <c r="L498" s="1057" t="s">
        <v>910</v>
      </c>
      <c r="M498" s="1058"/>
      <c r="N498" s="1058"/>
      <c r="O498" s="1059"/>
      <c r="P498" s="942">
        <f>'LF-Anambra'!P148:S148</f>
        <v>1.1000000000000001</v>
      </c>
      <c r="Q498" s="943"/>
      <c r="R498" s="943"/>
      <c r="S498" s="944"/>
      <c r="T498" s="960">
        <f t="shared" ref="T498:T499" si="94">P498</f>
        <v>1.1000000000000001</v>
      </c>
      <c r="U498" s="961">
        <f t="shared" ref="U498:U499" si="95">Q498</f>
        <v>0</v>
      </c>
      <c r="V498" s="961">
        <f t="shared" ref="V498:V499" si="96">R498</f>
        <v>0</v>
      </c>
      <c r="W498" s="962">
        <f t="shared" ref="W498:W499" si="97">S498</f>
        <v>0</v>
      </c>
      <c r="X498" s="880"/>
    </row>
    <row r="499" spans="1:24" ht="12.95" customHeight="1" thickBot="1">
      <c r="A499" s="885"/>
      <c r="B499" s="885"/>
      <c r="C499" s="9" t="s">
        <v>291</v>
      </c>
      <c r="D499" s="957"/>
      <c r="E499" s="958"/>
      <c r="F499" s="958"/>
      <c r="G499" s="959"/>
      <c r="H499" s="1162"/>
      <c r="I499" s="1163"/>
      <c r="J499" s="1163"/>
      <c r="K499" s="1164"/>
      <c r="L499" s="1057" t="s">
        <v>910</v>
      </c>
      <c r="M499" s="1058"/>
      <c r="N499" s="1058"/>
      <c r="O499" s="1059"/>
      <c r="P499" s="942">
        <f>'LF-Niger'!P148:S148</f>
        <v>1.1000000000000001</v>
      </c>
      <c r="Q499" s="943"/>
      <c r="R499" s="943"/>
      <c r="S499" s="944"/>
      <c r="T499" s="960">
        <f t="shared" si="94"/>
        <v>1.1000000000000001</v>
      </c>
      <c r="U499" s="961">
        <f t="shared" si="95"/>
        <v>0</v>
      </c>
      <c r="V499" s="961">
        <f t="shared" si="96"/>
        <v>0</v>
      </c>
      <c r="W499" s="962">
        <f t="shared" si="97"/>
        <v>0</v>
      </c>
      <c r="X499" s="880"/>
    </row>
    <row r="500" spans="1:24" ht="13.5" thickBot="1">
      <c r="A500" s="885"/>
      <c r="B500" s="885"/>
      <c r="C500" s="100" t="s">
        <v>295</v>
      </c>
      <c r="D500" s="1017"/>
      <c r="E500" s="1018"/>
      <c r="F500" s="1018"/>
      <c r="G500" s="1019"/>
      <c r="H500" s="1147">
        <f>'LF-Enugu'!H149:K149</f>
        <v>2.5</v>
      </c>
      <c r="I500" s="1148"/>
      <c r="J500" s="1148"/>
      <c r="K500" s="1149"/>
      <c r="L500" s="1147">
        <f>'LF-Enugu'!L149:O149</f>
        <v>2.2999999999999998</v>
      </c>
      <c r="M500" s="1148"/>
      <c r="N500" s="1148"/>
      <c r="O500" s="1149"/>
      <c r="P500" s="1147">
        <f>'LF-Enugu'!P149:S149</f>
        <v>3</v>
      </c>
      <c r="Q500" s="1148"/>
      <c r="R500" s="1148"/>
      <c r="S500" s="1149"/>
      <c r="T500" s="1147">
        <f>'Enugu Workings'!$V$101</f>
        <v>3.6</v>
      </c>
      <c r="U500" s="1148">
        <f>'Enugu Workings'!$V$11</f>
        <v>2</v>
      </c>
      <c r="V500" s="1148">
        <f>'Enugu Workings'!$V$11</f>
        <v>2</v>
      </c>
      <c r="W500" s="1149">
        <f>'Enugu Workings'!$V$11</f>
        <v>2</v>
      </c>
      <c r="X500" s="880"/>
    </row>
    <row r="501" spans="1:24" ht="13.5" thickBot="1">
      <c r="A501" s="885"/>
      <c r="B501" s="885"/>
      <c r="C501" s="100" t="s">
        <v>296</v>
      </c>
      <c r="D501" s="1017"/>
      <c r="E501" s="1018"/>
      <c r="F501" s="1018"/>
      <c r="G501" s="1019"/>
      <c r="H501" s="1147">
        <f>'LF-Jigawa'!H149:K149</f>
        <v>2</v>
      </c>
      <c r="I501" s="1148"/>
      <c r="J501" s="1148"/>
      <c r="K501" s="1149"/>
      <c r="L501" s="1147">
        <f>'LF-Jigawa'!L149:O149</f>
        <v>2.2000000000000002</v>
      </c>
      <c r="M501" s="1148"/>
      <c r="N501" s="1148"/>
      <c r="O501" s="1149"/>
      <c r="P501" s="1147">
        <f>'LF-Jigawa'!P149:S149</f>
        <v>3</v>
      </c>
      <c r="Q501" s="1148"/>
      <c r="R501" s="1148"/>
      <c r="S501" s="1149"/>
      <c r="T501" s="1147">
        <f>'Jigawa Workings'!$V$101</f>
        <v>3.7</v>
      </c>
      <c r="U501" s="1148">
        <f>'Jigawa Workings'!$V$11</f>
        <v>12</v>
      </c>
      <c r="V501" s="1148">
        <f>'Jigawa Workings'!$V$11</f>
        <v>12</v>
      </c>
      <c r="W501" s="1149">
        <f>'Jigawa Workings'!$V$11</f>
        <v>12</v>
      </c>
      <c r="X501" s="880"/>
    </row>
    <row r="502" spans="1:24" ht="13.5" thickBot="1">
      <c r="A502" s="885"/>
      <c r="B502" s="885"/>
      <c r="C502" s="100" t="s">
        <v>297</v>
      </c>
      <c r="D502" s="1017"/>
      <c r="E502" s="1018"/>
      <c r="F502" s="1018"/>
      <c r="G502" s="1019"/>
      <c r="H502" s="1147">
        <f>'LF-Kaduna'!H149:K149</f>
        <v>1</v>
      </c>
      <c r="I502" s="1148"/>
      <c r="J502" s="1148"/>
      <c r="K502" s="1149"/>
      <c r="L502" s="1147">
        <f>'LF-Kaduna'!L149:O149</f>
        <v>2.2999999999999998</v>
      </c>
      <c r="M502" s="1148"/>
      <c r="N502" s="1148"/>
      <c r="O502" s="1149"/>
      <c r="P502" s="1147">
        <f>'LF-Kaduna'!P149:S149</f>
        <v>2.6</v>
      </c>
      <c r="Q502" s="1148"/>
      <c r="R502" s="1148"/>
      <c r="S502" s="1149"/>
      <c r="T502" s="1147">
        <f>'Kaduna Workings'!$V$101</f>
        <v>2.9</v>
      </c>
      <c r="U502" s="1148">
        <f>'Kaduna Workings'!$V$11</f>
        <v>2</v>
      </c>
      <c r="V502" s="1148">
        <f>'Kaduna Workings'!$V$11</f>
        <v>2</v>
      </c>
      <c r="W502" s="1149">
        <f>'Kaduna Workings'!$V$11</f>
        <v>2</v>
      </c>
      <c r="X502" s="880"/>
    </row>
    <row r="503" spans="1:24" ht="13.5" thickBot="1">
      <c r="A503" s="885"/>
      <c r="B503" s="885"/>
      <c r="C503" s="100" t="s">
        <v>298</v>
      </c>
      <c r="D503" s="1017"/>
      <c r="E503" s="1018"/>
      <c r="F503" s="1018"/>
      <c r="G503" s="1019"/>
      <c r="H503" s="1147">
        <f>'LF-Kano'!H149:K149</f>
        <v>2</v>
      </c>
      <c r="I503" s="1148"/>
      <c r="J503" s="1148"/>
      <c r="K503" s="1149"/>
      <c r="L503" s="1147">
        <f>'LF-Kano'!L149:O149</f>
        <v>1.6</v>
      </c>
      <c r="M503" s="1148"/>
      <c r="N503" s="1148"/>
      <c r="O503" s="1149"/>
      <c r="P503" s="1147">
        <f>'LF-Kano'!P149:S149</f>
        <v>2.6</v>
      </c>
      <c r="Q503" s="1148"/>
      <c r="R503" s="1148"/>
      <c r="S503" s="1149"/>
      <c r="T503" s="1147">
        <f>'Kano Workings'!$V$101</f>
        <v>3.9</v>
      </c>
      <c r="U503" s="1148">
        <f>'Kano Workings'!$V$11</f>
        <v>6</v>
      </c>
      <c r="V503" s="1148">
        <f>'Kano Workings'!$V$11</f>
        <v>6</v>
      </c>
      <c r="W503" s="1149">
        <f>'Kano Workings'!$V$11</f>
        <v>6</v>
      </c>
      <c r="X503" s="880"/>
    </row>
    <row r="504" spans="1:24" ht="13.5" thickBot="1">
      <c r="A504" s="885"/>
      <c r="B504" s="885"/>
      <c r="C504" s="100" t="s">
        <v>299</v>
      </c>
      <c r="D504" s="1017"/>
      <c r="E504" s="1018"/>
      <c r="F504" s="1018"/>
      <c r="G504" s="1019"/>
      <c r="H504" s="1147">
        <f>'LF-Lagos'!H149:K149</f>
        <v>3</v>
      </c>
      <c r="I504" s="1148"/>
      <c r="J504" s="1148"/>
      <c r="K504" s="1149"/>
      <c r="L504" s="1147">
        <f>'LF-Lagos'!L149:O149</f>
        <v>2.7</v>
      </c>
      <c r="M504" s="1148"/>
      <c r="N504" s="1148"/>
      <c r="O504" s="1149"/>
      <c r="P504" s="1147">
        <f>'LF-Lagos'!P149:S149</f>
        <v>3</v>
      </c>
      <c r="Q504" s="1148"/>
      <c r="R504" s="1148"/>
      <c r="S504" s="1149"/>
      <c r="T504" s="1147">
        <f>'Lagos Workings'!$V$101</f>
        <v>3.3</v>
      </c>
      <c r="U504" s="1148">
        <f>'Lagos Workings'!$V$11</f>
        <v>15</v>
      </c>
      <c r="V504" s="1148">
        <f>'Lagos Workings'!$V$11</f>
        <v>15</v>
      </c>
      <c r="W504" s="1149">
        <f>'Lagos Workings'!$V$11</f>
        <v>15</v>
      </c>
      <c r="X504" s="880"/>
    </row>
    <row r="505" spans="1:24" ht="24.75" thickBot="1">
      <c r="A505" s="885"/>
      <c r="B505" s="885"/>
      <c r="C505" s="100" t="s">
        <v>300</v>
      </c>
      <c r="D505" s="1017"/>
      <c r="E505" s="1018"/>
      <c r="F505" s="1018"/>
      <c r="G505" s="1019"/>
      <c r="H505" s="1017"/>
      <c r="I505" s="1018"/>
      <c r="J505" s="1018"/>
      <c r="K505" s="1019"/>
      <c r="L505" s="1147">
        <f>'LF-Zamfara'!L149:O149</f>
        <v>1</v>
      </c>
      <c r="M505" s="1148"/>
      <c r="N505" s="1148"/>
      <c r="O505" s="1149"/>
      <c r="P505" s="1147">
        <f>'LF-Zamfara'!P149:S149</f>
        <v>2.6</v>
      </c>
      <c r="Q505" s="1148"/>
      <c r="R505" s="1148"/>
      <c r="S505" s="1149"/>
      <c r="T505" s="1147">
        <f>'Zamfara Workings'!$V$101</f>
        <v>3.3</v>
      </c>
      <c r="U505" s="1148">
        <f>'Zamfara Workings'!$V$11</f>
        <v>1</v>
      </c>
      <c r="V505" s="1148">
        <f>'Zamfara Workings'!$V$11</f>
        <v>1</v>
      </c>
      <c r="W505" s="1149">
        <f>'Zamfara Workings'!$V$11</f>
        <v>1</v>
      </c>
      <c r="X505" s="880"/>
    </row>
    <row r="506" spans="1:24" ht="13.5" thickBot="1">
      <c r="A506" s="885"/>
      <c r="B506" s="885"/>
      <c r="C506" s="100" t="s">
        <v>301</v>
      </c>
      <c r="D506" s="1017"/>
      <c r="E506" s="1018"/>
      <c r="F506" s="1018"/>
      <c r="G506" s="1019"/>
      <c r="H506" s="1017"/>
      <c r="I506" s="1018"/>
      <c r="J506" s="1018"/>
      <c r="K506" s="1019"/>
      <c r="L506" s="1147">
        <f>'LF-Katsina'!L149:O149</f>
        <v>2</v>
      </c>
      <c r="M506" s="1148"/>
      <c r="N506" s="1148"/>
      <c r="O506" s="1149"/>
      <c r="P506" s="1147">
        <f>'LF-Katsina'!P149:S149</f>
        <v>2.4</v>
      </c>
      <c r="Q506" s="1148"/>
      <c r="R506" s="1148"/>
      <c r="S506" s="1149"/>
      <c r="T506" s="1147">
        <f>'Katsina Workings'!$V$101</f>
        <v>4.0999999999999996</v>
      </c>
      <c r="U506" s="1148">
        <f>'Katsina Workings'!$V$11</f>
        <v>6</v>
      </c>
      <c r="V506" s="1148">
        <f>'Katsina Workings'!$V$11</f>
        <v>6</v>
      </c>
      <c r="W506" s="1149">
        <f>'Katsina Workings'!$V$11</f>
        <v>6</v>
      </c>
      <c r="X506" s="880"/>
    </row>
    <row r="507" spans="1:24" ht="13.5" thickBot="1">
      <c r="A507" s="885"/>
      <c r="B507" s="885"/>
      <c r="C507" s="100" t="s">
        <v>302</v>
      </c>
      <c r="D507" s="1017"/>
      <c r="E507" s="1018"/>
      <c r="F507" s="1018"/>
      <c r="G507" s="1019"/>
      <c r="H507" s="1017"/>
      <c r="I507" s="1018"/>
      <c r="J507" s="1018"/>
      <c r="K507" s="1019"/>
      <c r="L507" s="1147">
        <f>'LF-Yobe'!L149:O149</f>
        <v>1.8</v>
      </c>
      <c r="M507" s="1148"/>
      <c r="N507" s="1148"/>
      <c r="O507" s="1149"/>
      <c r="P507" s="1147">
        <f>'LF-Yobe'!P149:S149</f>
        <v>2</v>
      </c>
      <c r="Q507" s="1148"/>
      <c r="R507" s="1148"/>
      <c r="S507" s="1149"/>
      <c r="T507" s="1147">
        <f>'Yobe Workings'!$V$101</f>
        <v>3.6</v>
      </c>
      <c r="U507" s="1148">
        <f>'Yobe Workings'!$V$11</f>
        <v>10</v>
      </c>
      <c r="V507" s="1148">
        <f>'Yobe Workings'!$V$11</f>
        <v>10</v>
      </c>
      <c r="W507" s="1149">
        <f>'Yobe Workings'!$V$11</f>
        <v>10</v>
      </c>
      <c r="X507" s="880"/>
    </row>
    <row r="508" spans="1:24" ht="24.75" thickBot="1">
      <c r="A508" s="885"/>
      <c r="B508" s="885"/>
      <c r="C508" s="100" t="s">
        <v>303</v>
      </c>
      <c r="D508" s="1017"/>
      <c r="E508" s="1018"/>
      <c r="F508" s="1018"/>
      <c r="G508" s="1019"/>
      <c r="H508" s="1017"/>
      <c r="I508" s="1018"/>
      <c r="J508" s="1018"/>
      <c r="K508" s="1019"/>
      <c r="L508" s="1017"/>
      <c r="M508" s="1018"/>
      <c r="N508" s="1018"/>
      <c r="O508" s="1019"/>
      <c r="P508" s="1054"/>
      <c r="Q508" s="1055"/>
      <c r="R508" s="1055"/>
      <c r="S508" s="1056"/>
      <c r="T508" s="1147">
        <f t="shared" ref="T508:W508" si="98">T498</f>
        <v>1.1000000000000001</v>
      </c>
      <c r="U508" s="1148">
        <f t="shared" si="98"/>
        <v>0</v>
      </c>
      <c r="V508" s="1148">
        <f t="shared" si="98"/>
        <v>0</v>
      </c>
      <c r="W508" s="1149">
        <f t="shared" si="98"/>
        <v>0</v>
      </c>
      <c r="X508" s="880"/>
    </row>
    <row r="509" spans="1:24" ht="13.5" thickBot="1">
      <c r="A509" s="885"/>
      <c r="B509" s="885"/>
      <c r="C509" s="100" t="s">
        <v>304</v>
      </c>
      <c r="D509" s="1017"/>
      <c r="E509" s="1018"/>
      <c r="F509" s="1018"/>
      <c r="G509" s="1019"/>
      <c r="H509" s="1017"/>
      <c r="I509" s="1018"/>
      <c r="J509" s="1018"/>
      <c r="K509" s="1019"/>
      <c r="L509" s="1017"/>
      <c r="M509" s="1018"/>
      <c r="N509" s="1018"/>
      <c r="O509" s="1019"/>
      <c r="P509" s="1054"/>
      <c r="Q509" s="1055"/>
      <c r="R509" s="1055"/>
      <c r="S509" s="1056"/>
      <c r="T509" s="1147">
        <f t="shared" ref="T509:W509" si="99">T499</f>
        <v>1.1000000000000001</v>
      </c>
      <c r="U509" s="1148">
        <f t="shared" si="99"/>
        <v>0</v>
      </c>
      <c r="V509" s="1148">
        <f t="shared" si="99"/>
        <v>0</v>
      </c>
      <c r="W509" s="1149">
        <f t="shared" si="99"/>
        <v>0</v>
      </c>
      <c r="X509" s="880"/>
    </row>
    <row r="510" spans="1:24" ht="13.5" thickBot="1">
      <c r="A510" s="885"/>
      <c r="B510" s="885"/>
      <c r="C510" s="922" t="s">
        <v>413</v>
      </c>
      <c r="D510" s="927" t="s">
        <v>4</v>
      </c>
      <c r="E510" s="928"/>
      <c r="F510" s="928"/>
      <c r="G510" s="928"/>
      <c r="H510" s="928"/>
      <c r="I510" s="928"/>
      <c r="J510" s="928"/>
      <c r="K510" s="928"/>
      <c r="L510" s="928"/>
      <c r="M510" s="928"/>
      <c r="N510" s="928"/>
      <c r="O510" s="928"/>
      <c r="P510" s="928"/>
      <c r="Q510" s="928"/>
      <c r="R510" s="928"/>
      <c r="S510" s="928"/>
      <c r="T510" s="928"/>
      <c r="U510" s="928"/>
      <c r="V510" s="928"/>
      <c r="W510" s="929"/>
      <c r="X510" s="880"/>
    </row>
    <row r="511" spans="1:24" ht="13.5" thickBot="1">
      <c r="A511" s="885"/>
      <c r="B511" s="869"/>
      <c r="C511" s="923"/>
      <c r="D511" s="930" t="s">
        <v>123</v>
      </c>
      <c r="E511" s="931"/>
      <c r="F511" s="931"/>
      <c r="G511" s="931"/>
      <c r="H511" s="931"/>
      <c r="I511" s="931"/>
      <c r="J511" s="931"/>
      <c r="K511" s="931"/>
      <c r="L511" s="931"/>
      <c r="M511" s="931"/>
      <c r="N511" s="931"/>
      <c r="O511" s="931"/>
      <c r="P511" s="931"/>
      <c r="Q511" s="931"/>
      <c r="R511" s="931"/>
      <c r="S511" s="931"/>
      <c r="T511" s="931"/>
      <c r="U511" s="931"/>
      <c r="V511" s="931"/>
      <c r="W511" s="932"/>
      <c r="X511" s="880"/>
    </row>
    <row r="512" spans="1:24" ht="12.95" customHeight="1" thickBot="1">
      <c r="A512" s="885"/>
      <c r="B512" s="11" t="s">
        <v>41</v>
      </c>
      <c r="C512" s="12"/>
      <c r="D512" s="927" t="s">
        <v>78</v>
      </c>
      <c r="E512" s="928"/>
      <c r="F512" s="928"/>
      <c r="G512" s="929"/>
      <c r="H512" s="927" t="s">
        <v>77</v>
      </c>
      <c r="I512" s="928"/>
      <c r="J512" s="928"/>
      <c r="K512" s="929"/>
      <c r="L512" s="927" t="s">
        <v>81</v>
      </c>
      <c r="M512" s="928"/>
      <c r="N512" s="928"/>
      <c r="O512" s="929"/>
      <c r="P512" s="927" t="s">
        <v>254</v>
      </c>
      <c r="Q512" s="928"/>
      <c r="R512" s="928"/>
      <c r="S512" s="929"/>
      <c r="T512" s="1144" t="s">
        <v>908</v>
      </c>
      <c r="U512" s="1145"/>
      <c r="V512" s="1145"/>
      <c r="W512" s="1146"/>
      <c r="X512" s="880"/>
    </row>
    <row r="513" spans="1:24" ht="13.5" thickBot="1">
      <c r="A513" s="885"/>
      <c r="B513" s="868" t="s">
        <v>69</v>
      </c>
      <c r="C513" s="9" t="s">
        <v>285</v>
      </c>
      <c r="D513" s="942">
        <f>'LF-Enugu'!D153:G153</f>
        <v>1</v>
      </c>
      <c r="E513" s="943"/>
      <c r="F513" s="943"/>
      <c r="G513" s="944"/>
      <c r="H513" s="942">
        <f>'LF-Enugu'!H153:K153</f>
        <v>1</v>
      </c>
      <c r="I513" s="943"/>
      <c r="J513" s="943"/>
      <c r="K513" s="944"/>
      <c r="L513" s="942">
        <f>'LF-Enugu'!L153:O153</f>
        <v>2</v>
      </c>
      <c r="M513" s="943"/>
      <c r="N513" s="943"/>
      <c r="O513" s="944"/>
      <c r="P513" s="963">
        <f>'LF-Enugu'!P153:S153</f>
        <v>2.2000000000000002</v>
      </c>
      <c r="Q513" s="964"/>
      <c r="R513" s="964"/>
      <c r="S513" s="965"/>
      <c r="T513" s="1159">
        <f>'Enugu Workings'!$V$103</f>
        <v>2.3999999999999995</v>
      </c>
      <c r="U513" s="1160">
        <f>'Enugu Workings'!$V$10</f>
        <v>3.3333333333333339</v>
      </c>
      <c r="V513" s="1160">
        <f>'Enugu Workings'!$V$10</f>
        <v>3.3333333333333339</v>
      </c>
      <c r="W513" s="1161">
        <f>'Enugu Workings'!$V$10</f>
        <v>3.3333333333333339</v>
      </c>
      <c r="X513" s="880"/>
    </row>
    <row r="514" spans="1:24" ht="13.5" thickBot="1">
      <c r="A514" s="885"/>
      <c r="B514" s="885"/>
      <c r="C514" s="9" t="s">
        <v>286</v>
      </c>
      <c r="D514" s="942">
        <f>'LF-Jigawa'!D153:G153</f>
        <v>1</v>
      </c>
      <c r="E514" s="943"/>
      <c r="F514" s="943"/>
      <c r="G514" s="944"/>
      <c r="H514" s="942">
        <f>'LF-Jigawa'!H153:K153</f>
        <v>2</v>
      </c>
      <c r="I514" s="943"/>
      <c r="J514" s="943"/>
      <c r="K514" s="944"/>
      <c r="L514" s="942">
        <f>'LF-Jigawa'!L153:O153</f>
        <v>3</v>
      </c>
      <c r="M514" s="943"/>
      <c r="N514" s="943"/>
      <c r="O514" s="944"/>
      <c r="P514" s="963">
        <f>'LF-Jigawa'!P153:S153</f>
        <v>3.2</v>
      </c>
      <c r="Q514" s="964"/>
      <c r="R514" s="964"/>
      <c r="S514" s="965"/>
      <c r="T514" s="1159">
        <f>'Jigawa Workings'!$V$103</f>
        <v>3.6000000000000005</v>
      </c>
      <c r="U514" s="1160">
        <f>'Jigawa Workings'!$V$10</f>
        <v>14.666666666666664</v>
      </c>
      <c r="V514" s="1160">
        <f>'Jigawa Workings'!$V$10</f>
        <v>14.666666666666664</v>
      </c>
      <c r="W514" s="1161">
        <f>'Jigawa Workings'!$V$10</f>
        <v>14.666666666666664</v>
      </c>
      <c r="X514" s="880"/>
    </row>
    <row r="515" spans="1:24" ht="13.5" thickBot="1">
      <c r="A515" s="885"/>
      <c r="B515" s="885"/>
      <c r="C515" s="9" t="s">
        <v>287</v>
      </c>
      <c r="D515" s="942">
        <f>'LF-Kaduna'!D153:G153</f>
        <v>1</v>
      </c>
      <c r="E515" s="943"/>
      <c r="F515" s="943"/>
      <c r="G515" s="944"/>
      <c r="H515" s="942">
        <f>'LF-Kaduna'!H153:K153</f>
        <v>1</v>
      </c>
      <c r="I515" s="943"/>
      <c r="J515" s="943"/>
      <c r="K515" s="944"/>
      <c r="L515" s="942">
        <f>'LF-Kaduna'!L153:O153</f>
        <v>2</v>
      </c>
      <c r="M515" s="943"/>
      <c r="N515" s="943"/>
      <c r="O515" s="944"/>
      <c r="P515" s="963">
        <f>'LF-Kaduna'!P153:S153</f>
        <v>2.2999999999999998</v>
      </c>
      <c r="Q515" s="964"/>
      <c r="R515" s="964"/>
      <c r="S515" s="965"/>
      <c r="T515" s="1159">
        <f>'Kaduna Workings'!$V$103</f>
        <v>2.4333333333333327</v>
      </c>
      <c r="U515" s="1160">
        <f>'Kaduna Workings'!$V$10</f>
        <v>13.666666666666664</v>
      </c>
      <c r="V515" s="1160">
        <f>'Kaduna Workings'!$V$10</f>
        <v>13.666666666666664</v>
      </c>
      <c r="W515" s="1161">
        <f>'Kaduna Workings'!$V$10</f>
        <v>13.666666666666664</v>
      </c>
      <c r="X515" s="880"/>
    </row>
    <row r="516" spans="1:24" ht="13.5" thickBot="1">
      <c r="A516" s="885"/>
      <c r="B516" s="885"/>
      <c r="C516" s="9" t="s">
        <v>288</v>
      </c>
      <c r="D516" s="942">
        <f>'LF-Kano'!D153:G153</f>
        <v>1</v>
      </c>
      <c r="E516" s="943"/>
      <c r="F516" s="943"/>
      <c r="G516" s="944"/>
      <c r="H516" s="942">
        <f>'LF-Kano'!H153:K153</f>
        <v>2</v>
      </c>
      <c r="I516" s="943"/>
      <c r="J516" s="943"/>
      <c r="K516" s="944"/>
      <c r="L516" s="942">
        <f>'LF-Kano'!L153:O153</f>
        <v>3</v>
      </c>
      <c r="M516" s="943"/>
      <c r="N516" s="943"/>
      <c r="O516" s="944"/>
      <c r="P516" s="963">
        <f>'LF-Kano'!P153:S153</f>
        <v>3.1</v>
      </c>
      <c r="Q516" s="964"/>
      <c r="R516" s="964"/>
      <c r="S516" s="965"/>
      <c r="T516" s="1159">
        <f>'Kano Workings'!$V$103</f>
        <v>3.3666666666666663</v>
      </c>
      <c r="U516" s="1160">
        <f>'Kano Workings'!$V$10</f>
        <v>5.666666666666667</v>
      </c>
      <c r="V516" s="1160">
        <f>'Kano Workings'!$V$10</f>
        <v>5.666666666666667</v>
      </c>
      <c r="W516" s="1161">
        <f>'Kano Workings'!$V$10</f>
        <v>5.666666666666667</v>
      </c>
      <c r="X516" s="880"/>
    </row>
    <row r="517" spans="1:24" ht="13.5" thickBot="1">
      <c r="A517" s="885"/>
      <c r="B517" s="885"/>
      <c r="C517" s="9" t="s">
        <v>289</v>
      </c>
      <c r="D517" s="942">
        <f>'LF-Lagos'!D153:G153</f>
        <v>2</v>
      </c>
      <c r="E517" s="943"/>
      <c r="F517" s="943"/>
      <c r="G517" s="944"/>
      <c r="H517" s="942">
        <f>'LF-Lagos'!H153:K153</f>
        <v>2</v>
      </c>
      <c r="I517" s="943"/>
      <c r="J517" s="943"/>
      <c r="K517" s="944"/>
      <c r="L517" s="942">
        <f>'LF-Lagos'!L153:O153</f>
        <v>3</v>
      </c>
      <c r="M517" s="943"/>
      <c r="N517" s="943"/>
      <c r="O517" s="944"/>
      <c r="P517" s="963">
        <f>'LF-Lagos'!P153:S153</f>
        <v>3</v>
      </c>
      <c r="Q517" s="964"/>
      <c r="R517" s="964"/>
      <c r="S517" s="965"/>
      <c r="T517" s="1159">
        <f>'Lagos Workings'!$V$103</f>
        <v>3.3333333333333339</v>
      </c>
      <c r="U517" s="1160">
        <f>'Lagos Workings'!$V$10</f>
        <v>15</v>
      </c>
      <c r="V517" s="1160">
        <f>'Lagos Workings'!$V$10</f>
        <v>15</v>
      </c>
      <c r="W517" s="1161">
        <f>'Lagos Workings'!$V$10</f>
        <v>15</v>
      </c>
      <c r="X517" s="880"/>
    </row>
    <row r="518" spans="1:24" ht="13.5" thickBot="1">
      <c r="A518" s="885"/>
      <c r="B518" s="885"/>
      <c r="C518" s="9" t="s">
        <v>292</v>
      </c>
      <c r="D518" s="966" t="s">
        <v>255</v>
      </c>
      <c r="E518" s="967"/>
      <c r="F518" s="967"/>
      <c r="G518" s="968"/>
      <c r="H518" s="942">
        <f>'LF-Zamfara'!H153:K153</f>
        <v>1</v>
      </c>
      <c r="I518" s="943"/>
      <c r="J518" s="943"/>
      <c r="K518" s="944"/>
      <c r="L518" s="942">
        <f>'LF-Zamfara'!L153:O153</f>
        <v>1</v>
      </c>
      <c r="M518" s="943"/>
      <c r="N518" s="943"/>
      <c r="O518" s="944"/>
      <c r="P518" s="963">
        <f>'LF-Zamfara'!P153:S153</f>
        <v>1.3</v>
      </c>
      <c r="Q518" s="964"/>
      <c r="R518" s="964"/>
      <c r="S518" s="965"/>
      <c r="T518" s="1159">
        <f>'Zamfara Workings'!$V$103</f>
        <v>2.1</v>
      </c>
      <c r="U518" s="1160">
        <f>'Zamfara Workings'!$V$10</f>
        <v>3.3333333333333339</v>
      </c>
      <c r="V518" s="1160">
        <f>'Zamfara Workings'!$V$10</f>
        <v>3.3333333333333339</v>
      </c>
      <c r="W518" s="1161">
        <f>'Zamfara Workings'!$V$10</f>
        <v>3.3333333333333339</v>
      </c>
      <c r="X518" s="880"/>
    </row>
    <row r="519" spans="1:24" ht="13.5" thickBot="1">
      <c r="A519" s="885"/>
      <c r="B519" s="885"/>
      <c r="C519" s="9" t="s">
        <v>293</v>
      </c>
      <c r="D519" s="966" t="s">
        <v>255</v>
      </c>
      <c r="E519" s="967"/>
      <c r="F519" s="967"/>
      <c r="G519" s="968"/>
      <c r="H519" s="942">
        <f>'LF-Katsina'!H153:K153</f>
        <v>2.2999999999999998</v>
      </c>
      <c r="I519" s="943"/>
      <c r="J519" s="943"/>
      <c r="K519" s="944"/>
      <c r="L519" s="942">
        <f>'LF-Katsina'!L153:O153</f>
        <v>2.2999999999999998</v>
      </c>
      <c r="M519" s="943"/>
      <c r="N519" s="943"/>
      <c r="O519" s="944"/>
      <c r="P519" s="963">
        <f>'LF-Katsina'!P153:S153</f>
        <v>2.5</v>
      </c>
      <c r="Q519" s="964"/>
      <c r="R519" s="964"/>
      <c r="S519" s="965"/>
      <c r="T519" s="1159">
        <f>'Katsina Workings'!$V$103</f>
        <v>2.8333333333333339</v>
      </c>
      <c r="U519" s="1160">
        <f>'Katsina Workings'!$V$10</f>
        <v>6</v>
      </c>
      <c r="V519" s="1160">
        <f>'Katsina Workings'!$V$10</f>
        <v>6</v>
      </c>
      <c r="W519" s="1161">
        <f>'Katsina Workings'!$V$10</f>
        <v>6</v>
      </c>
      <c r="X519" s="880"/>
    </row>
    <row r="520" spans="1:24" ht="13.5" thickBot="1">
      <c r="A520" s="885"/>
      <c r="B520" s="885"/>
      <c r="C520" s="9" t="s">
        <v>294</v>
      </c>
      <c r="D520" s="966" t="s">
        <v>255</v>
      </c>
      <c r="E520" s="967"/>
      <c r="F520" s="967"/>
      <c r="G520" s="968"/>
      <c r="H520" s="942">
        <f>'LF-Yobe'!H153:K153</f>
        <v>1.9</v>
      </c>
      <c r="I520" s="943"/>
      <c r="J520" s="943"/>
      <c r="K520" s="944"/>
      <c r="L520" s="942">
        <f>'LF-Yobe'!L153:O153</f>
        <v>1.9</v>
      </c>
      <c r="M520" s="943"/>
      <c r="N520" s="943"/>
      <c r="O520" s="944"/>
      <c r="P520" s="963">
        <f>'LF-Yobe'!P153:S153</f>
        <v>2.1</v>
      </c>
      <c r="Q520" s="964"/>
      <c r="R520" s="964"/>
      <c r="S520" s="965"/>
      <c r="T520" s="1159">
        <f>'Yobe Workings'!$V$103</f>
        <v>2.7666666666666666</v>
      </c>
      <c r="U520" s="1160">
        <f>'Yobe Workings'!$V$10</f>
        <v>2.6666666666666661</v>
      </c>
      <c r="V520" s="1160">
        <f>'Yobe Workings'!$V$10</f>
        <v>2.6666666666666661</v>
      </c>
      <c r="W520" s="1161">
        <f>'Yobe Workings'!$V$10</f>
        <v>2.6666666666666661</v>
      </c>
      <c r="X520" s="880"/>
    </row>
    <row r="521" spans="1:24" ht="12.95" customHeight="1" thickBot="1">
      <c r="A521" s="885"/>
      <c r="B521" s="885"/>
      <c r="C521" s="9" t="s">
        <v>290</v>
      </c>
      <c r="D521" s="957"/>
      <c r="E521" s="958"/>
      <c r="F521" s="958"/>
      <c r="G521" s="959"/>
      <c r="H521" s="1162"/>
      <c r="I521" s="1163"/>
      <c r="J521" s="1163"/>
      <c r="K521" s="1164"/>
      <c r="L521" s="1057" t="s">
        <v>910</v>
      </c>
      <c r="M521" s="1058"/>
      <c r="N521" s="1058"/>
      <c r="O521" s="1059"/>
      <c r="P521" s="942">
        <f>'LF-Anambra'!P153:S153</f>
        <v>1.2</v>
      </c>
      <c r="Q521" s="943"/>
      <c r="R521" s="943"/>
      <c r="S521" s="944"/>
      <c r="T521" s="960">
        <f t="shared" ref="T521:T522" si="100">P521</f>
        <v>1.2</v>
      </c>
      <c r="U521" s="961">
        <f t="shared" ref="U521:U522" si="101">Q521</f>
        <v>0</v>
      </c>
      <c r="V521" s="961">
        <f t="shared" ref="V521:V522" si="102">R521</f>
        <v>0</v>
      </c>
      <c r="W521" s="962">
        <f t="shared" ref="W521:W522" si="103">S521</f>
        <v>0</v>
      </c>
      <c r="X521" s="880"/>
    </row>
    <row r="522" spans="1:24" ht="12.95" customHeight="1" thickBot="1">
      <c r="A522" s="885"/>
      <c r="B522" s="885"/>
      <c r="C522" s="9" t="s">
        <v>291</v>
      </c>
      <c r="D522" s="957"/>
      <c r="E522" s="958"/>
      <c r="F522" s="958"/>
      <c r="G522" s="959"/>
      <c r="H522" s="1162"/>
      <c r="I522" s="1163"/>
      <c r="J522" s="1163"/>
      <c r="K522" s="1164"/>
      <c r="L522" s="1057" t="s">
        <v>910</v>
      </c>
      <c r="M522" s="1058"/>
      <c r="N522" s="1058"/>
      <c r="O522" s="1059"/>
      <c r="P522" s="942">
        <f>'LF-Niger'!P153:S153</f>
        <v>1.3</v>
      </c>
      <c r="Q522" s="943"/>
      <c r="R522" s="943"/>
      <c r="S522" s="944"/>
      <c r="T522" s="960">
        <f t="shared" si="100"/>
        <v>1.3</v>
      </c>
      <c r="U522" s="961">
        <f t="shared" si="101"/>
        <v>0</v>
      </c>
      <c r="V522" s="961">
        <f t="shared" si="102"/>
        <v>0</v>
      </c>
      <c r="W522" s="962">
        <f t="shared" si="103"/>
        <v>0</v>
      </c>
      <c r="X522" s="880"/>
    </row>
    <row r="523" spans="1:24" ht="13.5" thickBot="1">
      <c r="A523" s="885"/>
      <c r="B523" s="885"/>
      <c r="C523" s="100" t="s">
        <v>295</v>
      </c>
      <c r="D523" s="1017"/>
      <c r="E523" s="1018"/>
      <c r="F523" s="1018"/>
      <c r="G523" s="1019"/>
      <c r="H523" s="1147">
        <f>'LF-Enugu'!H154:K154</f>
        <v>2</v>
      </c>
      <c r="I523" s="1148"/>
      <c r="J523" s="1148"/>
      <c r="K523" s="1149"/>
      <c r="L523" s="1147">
        <f>'LF-Enugu'!L154:O154</f>
        <v>1.6</v>
      </c>
      <c r="M523" s="1148"/>
      <c r="N523" s="1148"/>
      <c r="O523" s="1149"/>
      <c r="P523" s="1147">
        <f>'LF-Enugu'!P154:S154</f>
        <v>2.9</v>
      </c>
      <c r="Q523" s="1148"/>
      <c r="R523" s="1148"/>
      <c r="S523" s="1149"/>
      <c r="T523" s="1147">
        <f>'Enugu Workings'!$V$104</f>
        <v>3.1</v>
      </c>
      <c r="U523" s="1148">
        <f>'Enugu Workings'!$V$11</f>
        <v>2</v>
      </c>
      <c r="V523" s="1148">
        <f>'Enugu Workings'!$V$11</f>
        <v>2</v>
      </c>
      <c r="W523" s="1149">
        <f>'Enugu Workings'!$V$11</f>
        <v>2</v>
      </c>
      <c r="X523" s="880"/>
    </row>
    <row r="524" spans="1:24" ht="13.5" thickBot="1">
      <c r="A524" s="885"/>
      <c r="B524" s="885"/>
      <c r="C524" s="100" t="s">
        <v>296</v>
      </c>
      <c r="D524" s="1017"/>
      <c r="E524" s="1018"/>
      <c r="F524" s="1018"/>
      <c r="G524" s="1019"/>
      <c r="H524" s="1147">
        <f>'LF-Jigawa'!H154:K154</f>
        <v>1.7</v>
      </c>
      <c r="I524" s="1148"/>
      <c r="J524" s="1148"/>
      <c r="K524" s="1149"/>
      <c r="L524" s="1147">
        <f>'LF-Jigawa'!L154:O154</f>
        <v>2.4</v>
      </c>
      <c r="M524" s="1148"/>
      <c r="N524" s="1148"/>
      <c r="O524" s="1149"/>
      <c r="P524" s="1147">
        <f>'LF-Jigawa'!P154:S154</f>
        <v>4</v>
      </c>
      <c r="Q524" s="1148"/>
      <c r="R524" s="1148"/>
      <c r="S524" s="1149"/>
      <c r="T524" s="1147">
        <f>'Jigawa Workings'!$V$104</f>
        <v>4.4000000000000004</v>
      </c>
      <c r="U524" s="1148">
        <f>'Jigawa Workings'!$V$11</f>
        <v>12</v>
      </c>
      <c r="V524" s="1148">
        <f>'Jigawa Workings'!$V$11</f>
        <v>12</v>
      </c>
      <c r="W524" s="1149">
        <f>'Jigawa Workings'!$V$11</f>
        <v>12</v>
      </c>
      <c r="X524" s="880"/>
    </row>
    <row r="525" spans="1:24" ht="13.5" thickBot="1">
      <c r="A525" s="885"/>
      <c r="B525" s="885"/>
      <c r="C525" s="100" t="s">
        <v>297</v>
      </c>
      <c r="D525" s="1017"/>
      <c r="E525" s="1018"/>
      <c r="F525" s="1018"/>
      <c r="G525" s="1019"/>
      <c r="H525" s="1147">
        <f>'LF-Kaduna'!H154:K154</f>
        <v>1</v>
      </c>
      <c r="I525" s="1148"/>
      <c r="J525" s="1148"/>
      <c r="K525" s="1149"/>
      <c r="L525" s="1147">
        <f>'LF-Kaduna'!L154:O154</f>
        <v>2</v>
      </c>
      <c r="M525" s="1148"/>
      <c r="N525" s="1148"/>
      <c r="O525" s="1149"/>
      <c r="P525" s="1147">
        <f>'LF-Kaduna'!P154:S154</f>
        <v>3.1</v>
      </c>
      <c r="Q525" s="1148"/>
      <c r="R525" s="1148"/>
      <c r="S525" s="1149"/>
      <c r="T525" s="1147">
        <f>'Kaduna Workings'!$V$104</f>
        <v>3</v>
      </c>
      <c r="U525" s="1148">
        <f>'Kaduna Workings'!$V$11</f>
        <v>2</v>
      </c>
      <c r="V525" s="1148">
        <f>'Kaduna Workings'!$V$11</f>
        <v>2</v>
      </c>
      <c r="W525" s="1149">
        <f>'Kaduna Workings'!$V$11</f>
        <v>2</v>
      </c>
      <c r="X525" s="880"/>
    </row>
    <row r="526" spans="1:24" ht="13.5" thickBot="1">
      <c r="A526" s="885"/>
      <c r="B526" s="885"/>
      <c r="C526" s="100" t="s">
        <v>298</v>
      </c>
      <c r="D526" s="1017"/>
      <c r="E526" s="1018"/>
      <c r="F526" s="1018"/>
      <c r="G526" s="1019"/>
      <c r="H526" s="1147">
        <f>'LF-Kano'!H154:K154</f>
        <v>2</v>
      </c>
      <c r="I526" s="1148"/>
      <c r="J526" s="1148"/>
      <c r="K526" s="1149"/>
      <c r="L526" s="1147">
        <f>'LF-Kano'!L154:O154</f>
        <v>2</v>
      </c>
      <c r="M526" s="1148"/>
      <c r="N526" s="1148"/>
      <c r="O526" s="1149"/>
      <c r="P526" s="1147">
        <f>'LF-Kano'!P154:S154</f>
        <v>2.4</v>
      </c>
      <c r="Q526" s="1148"/>
      <c r="R526" s="1148"/>
      <c r="S526" s="1149"/>
      <c r="T526" s="1147">
        <f>'Kano Workings'!$V$104</f>
        <v>3.5</v>
      </c>
      <c r="U526" s="1148">
        <f>'Kano Workings'!$V$11</f>
        <v>6</v>
      </c>
      <c r="V526" s="1148">
        <f>'Kano Workings'!$V$11</f>
        <v>6</v>
      </c>
      <c r="W526" s="1149">
        <f>'Kano Workings'!$V$11</f>
        <v>6</v>
      </c>
      <c r="X526" s="880"/>
    </row>
    <row r="527" spans="1:24" ht="13.5" thickBot="1">
      <c r="A527" s="885"/>
      <c r="B527" s="885"/>
      <c r="C527" s="100" t="s">
        <v>299</v>
      </c>
      <c r="D527" s="1017"/>
      <c r="E527" s="1018"/>
      <c r="F527" s="1018"/>
      <c r="G527" s="1019"/>
      <c r="H527" s="1147">
        <f>'LF-Lagos'!H154:K154</f>
        <v>2</v>
      </c>
      <c r="I527" s="1148"/>
      <c r="J527" s="1148"/>
      <c r="K527" s="1149"/>
      <c r="L527" s="1147">
        <f>'LF-Lagos'!L154:O154</f>
        <v>2.6</v>
      </c>
      <c r="M527" s="1148"/>
      <c r="N527" s="1148"/>
      <c r="O527" s="1149"/>
      <c r="P527" s="1147">
        <f>'LF-Lagos'!P154:S154</f>
        <v>2.9</v>
      </c>
      <c r="Q527" s="1148"/>
      <c r="R527" s="1148"/>
      <c r="S527" s="1149"/>
      <c r="T527" s="1147">
        <f>'Lagos Workings'!$V$104</f>
        <v>3.3</v>
      </c>
      <c r="U527" s="1148">
        <f>'Lagos Workings'!$V$11</f>
        <v>15</v>
      </c>
      <c r="V527" s="1148">
        <f>'Lagos Workings'!$V$11</f>
        <v>15</v>
      </c>
      <c r="W527" s="1149">
        <f>'Lagos Workings'!$V$11</f>
        <v>15</v>
      </c>
      <c r="X527" s="880"/>
    </row>
    <row r="528" spans="1:24" ht="24.75" thickBot="1">
      <c r="A528" s="885"/>
      <c r="B528" s="885"/>
      <c r="C528" s="100" t="s">
        <v>300</v>
      </c>
      <c r="D528" s="1017"/>
      <c r="E528" s="1018"/>
      <c r="F528" s="1018"/>
      <c r="G528" s="1019"/>
      <c r="H528" s="1017"/>
      <c r="I528" s="1018"/>
      <c r="J528" s="1018"/>
      <c r="K528" s="1019"/>
      <c r="L528" s="1147">
        <f>'LF-Zamfara'!L154:O154</f>
        <v>1</v>
      </c>
      <c r="M528" s="1148"/>
      <c r="N528" s="1148"/>
      <c r="O528" s="1149"/>
      <c r="P528" s="1147">
        <f>'LF-Zamfara'!P154:S154</f>
        <v>2.5</v>
      </c>
      <c r="Q528" s="1148"/>
      <c r="R528" s="1148"/>
      <c r="S528" s="1149"/>
      <c r="T528" s="1147">
        <f>'Zamfara Workings'!$V$104</f>
        <v>3.2</v>
      </c>
      <c r="U528" s="1148">
        <f>'Zamfara Workings'!$V$11</f>
        <v>1</v>
      </c>
      <c r="V528" s="1148">
        <f>'Zamfara Workings'!$V$11</f>
        <v>1</v>
      </c>
      <c r="W528" s="1149">
        <f>'Zamfara Workings'!$V$11</f>
        <v>1</v>
      </c>
      <c r="X528" s="880"/>
    </row>
    <row r="529" spans="1:24" ht="13.5" thickBot="1">
      <c r="A529" s="885"/>
      <c r="B529" s="885"/>
      <c r="C529" s="100" t="s">
        <v>301</v>
      </c>
      <c r="D529" s="1017"/>
      <c r="E529" s="1018"/>
      <c r="F529" s="1018"/>
      <c r="G529" s="1019"/>
      <c r="H529" s="1017"/>
      <c r="I529" s="1018"/>
      <c r="J529" s="1018"/>
      <c r="K529" s="1019"/>
      <c r="L529" s="1147">
        <f>'LF-Katsina'!L154:O154</f>
        <v>2.2999999999999998</v>
      </c>
      <c r="M529" s="1148"/>
      <c r="N529" s="1148"/>
      <c r="O529" s="1149"/>
      <c r="P529" s="1147">
        <f>'LF-Katsina'!P154:S154</f>
        <v>1.8</v>
      </c>
      <c r="Q529" s="1148"/>
      <c r="R529" s="1148"/>
      <c r="S529" s="1149"/>
      <c r="T529" s="1147">
        <f>'Katsina Workings'!$V$104</f>
        <v>3.6</v>
      </c>
      <c r="U529" s="1148">
        <f>'Katsina Workings'!$V$11</f>
        <v>6</v>
      </c>
      <c r="V529" s="1148">
        <f>'Katsina Workings'!$V$11</f>
        <v>6</v>
      </c>
      <c r="W529" s="1149">
        <f>'Katsina Workings'!$V$11</f>
        <v>6</v>
      </c>
      <c r="X529" s="880"/>
    </row>
    <row r="530" spans="1:24" ht="13.5" thickBot="1">
      <c r="A530" s="885"/>
      <c r="B530" s="885"/>
      <c r="C530" s="100" t="s">
        <v>302</v>
      </c>
      <c r="D530" s="1017"/>
      <c r="E530" s="1018"/>
      <c r="F530" s="1018"/>
      <c r="G530" s="1019"/>
      <c r="H530" s="1017"/>
      <c r="I530" s="1018"/>
      <c r="J530" s="1018"/>
      <c r="K530" s="1019"/>
      <c r="L530" s="1147">
        <f>'LF-Yobe'!L154:O154</f>
        <v>1.9</v>
      </c>
      <c r="M530" s="1148"/>
      <c r="N530" s="1148"/>
      <c r="O530" s="1149"/>
      <c r="P530" s="1147">
        <f>'LF-Yobe'!P154:S154</f>
        <v>2.4</v>
      </c>
      <c r="Q530" s="1148"/>
      <c r="R530" s="1148"/>
      <c r="S530" s="1149"/>
      <c r="T530" s="1147">
        <f>'Yobe Workings'!$V$104</f>
        <v>3.8</v>
      </c>
      <c r="U530" s="1148">
        <f>'Yobe Workings'!$V$11</f>
        <v>10</v>
      </c>
      <c r="V530" s="1148">
        <f>'Yobe Workings'!$V$11</f>
        <v>10</v>
      </c>
      <c r="W530" s="1149">
        <f>'Yobe Workings'!$V$11</f>
        <v>10</v>
      </c>
      <c r="X530" s="880"/>
    </row>
    <row r="531" spans="1:24" ht="24.75" thickBot="1">
      <c r="A531" s="885"/>
      <c r="B531" s="885"/>
      <c r="C531" s="100" t="s">
        <v>303</v>
      </c>
      <c r="D531" s="1017"/>
      <c r="E531" s="1018"/>
      <c r="F531" s="1018"/>
      <c r="G531" s="1019"/>
      <c r="H531" s="1017"/>
      <c r="I531" s="1018"/>
      <c r="J531" s="1018"/>
      <c r="K531" s="1019"/>
      <c r="L531" s="1017"/>
      <c r="M531" s="1018"/>
      <c r="N531" s="1018"/>
      <c r="O531" s="1019"/>
      <c r="P531" s="1054"/>
      <c r="Q531" s="1055"/>
      <c r="R531" s="1055"/>
      <c r="S531" s="1056"/>
      <c r="T531" s="1147">
        <f t="shared" ref="T531:W531" si="104">T521</f>
        <v>1.2</v>
      </c>
      <c r="U531" s="1148">
        <f t="shared" si="104"/>
        <v>0</v>
      </c>
      <c r="V531" s="1148">
        <f t="shared" si="104"/>
        <v>0</v>
      </c>
      <c r="W531" s="1149">
        <f t="shared" si="104"/>
        <v>0</v>
      </c>
      <c r="X531" s="880"/>
    </row>
    <row r="532" spans="1:24" ht="13.5" thickBot="1">
      <c r="A532" s="885"/>
      <c r="B532" s="885"/>
      <c r="C532" s="100" t="s">
        <v>304</v>
      </c>
      <c r="D532" s="1017"/>
      <c r="E532" s="1018"/>
      <c r="F532" s="1018"/>
      <c r="G532" s="1019"/>
      <c r="H532" s="1017"/>
      <c r="I532" s="1018"/>
      <c r="J532" s="1018"/>
      <c r="K532" s="1019"/>
      <c r="L532" s="1017"/>
      <c r="M532" s="1018"/>
      <c r="N532" s="1018"/>
      <c r="O532" s="1019"/>
      <c r="P532" s="1054"/>
      <c r="Q532" s="1055"/>
      <c r="R532" s="1055"/>
      <c r="S532" s="1056"/>
      <c r="T532" s="1147">
        <f t="shared" ref="T532:W532" si="105">T522</f>
        <v>1.3</v>
      </c>
      <c r="U532" s="1148">
        <f t="shared" si="105"/>
        <v>0</v>
      </c>
      <c r="V532" s="1148">
        <f t="shared" si="105"/>
        <v>0</v>
      </c>
      <c r="W532" s="1149">
        <f t="shared" si="105"/>
        <v>0</v>
      </c>
      <c r="X532" s="880"/>
    </row>
    <row r="533" spans="1:24" ht="13.5" thickBot="1">
      <c r="A533" s="885"/>
      <c r="B533" s="885"/>
      <c r="C533" s="922" t="s">
        <v>413</v>
      </c>
      <c r="D533" s="927" t="s">
        <v>4</v>
      </c>
      <c r="E533" s="928"/>
      <c r="F533" s="928"/>
      <c r="G533" s="928"/>
      <c r="H533" s="928"/>
      <c r="I533" s="928"/>
      <c r="J533" s="928"/>
      <c r="K533" s="928"/>
      <c r="L533" s="928"/>
      <c r="M533" s="928"/>
      <c r="N533" s="928"/>
      <c r="O533" s="928"/>
      <c r="P533" s="928"/>
      <c r="Q533" s="928"/>
      <c r="R533" s="928"/>
      <c r="S533" s="928"/>
      <c r="T533" s="928"/>
      <c r="U533" s="928"/>
      <c r="V533" s="928"/>
      <c r="W533" s="929"/>
      <c r="X533" s="880"/>
    </row>
    <row r="534" spans="1:24" ht="13.5" thickBot="1">
      <c r="A534" s="885"/>
      <c r="B534" s="869"/>
      <c r="C534" s="923"/>
      <c r="D534" s="930" t="s">
        <v>123</v>
      </c>
      <c r="E534" s="931"/>
      <c r="F534" s="931"/>
      <c r="G534" s="931"/>
      <c r="H534" s="931"/>
      <c r="I534" s="931"/>
      <c r="J534" s="931"/>
      <c r="K534" s="931"/>
      <c r="L534" s="931"/>
      <c r="M534" s="931"/>
      <c r="N534" s="931"/>
      <c r="O534" s="931"/>
      <c r="P534" s="931"/>
      <c r="Q534" s="931"/>
      <c r="R534" s="931"/>
      <c r="S534" s="931"/>
      <c r="T534" s="931"/>
      <c r="U534" s="931"/>
      <c r="V534" s="931"/>
      <c r="W534" s="932"/>
      <c r="X534" s="880"/>
    </row>
    <row r="535" spans="1:24" ht="12.95" customHeight="1" thickBot="1">
      <c r="A535" s="885"/>
      <c r="B535" s="11" t="s">
        <v>42</v>
      </c>
      <c r="C535" s="28"/>
      <c r="D535" s="927" t="s">
        <v>78</v>
      </c>
      <c r="E535" s="928"/>
      <c r="F535" s="928"/>
      <c r="G535" s="929"/>
      <c r="H535" s="927" t="s">
        <v>77</v>
      </c>
      <c r="I535" s="928"/>
      <c r="J535" s="928"/>
      <c r="K535" s="929"/>
      <c r="L535" s="927" t="s">
        <v>81</v>
      </c>
      <c r="M535" s="928"/>
      <c r="N535" s="928"/>
      <c r="O535" s="929"/>
      <c r="P535" s="927" t="s">
        <v>254</v>
      </c>
      <c r="Q535" s="928"/>
      <c r="R535" s="928"/>
      <c r="S535" s="929"/>
      <c r="T535" s="1144" t="s">
        <v>908</v>
      </c>
      <c r="U535" s="1145"/>
      <c r="V535" s="1145"/>
      <c r="W535" s="1146"/>
      <c r="X535" s="880"/>
    </row>
    <row r="536" spans="1:24" ht="18.95" customHeight="1" thickBot="1">
      <c r="A536" s="885"/>
      <c r="B536" s="868" t="s">
        <v>180</v>
      </c>
      <c r="C536" s="26"/>
      <c r="D536" s="955" t="s">
        <v>99</v>
      </c>
      <c r="E536" s="956"/>
      <c r="F536" s="955" t="s">
        <v>100</v>
      </c>
      <c r="G536" s="956"/>
      <c r="H536" s="955" t="s">
        <v>99</v>
      </c>
      <c r="I536" s="956"/>
      <c r="J536" s="955" t="s">
        <v>100</v>
      </c>
      <c r="K536" s="956"/>
      <c r="L536" s="955" t="s">
        <v>99</v>
      </c>
      <c r="M536" s="956"/>
      <c r="N536" s="955" t="s">
        <v>100</v>
      </c>
      <c r="O536" s="956"/>
      <c r="P536" s="955" t="s">
        <v>99</v>
      </c>
      <c r="Q536" s="956"/>
      <c r="R536" s="955" t="s">
        <v>100</v>
      </c>
      <c r="S536" s="956"/>
      <c r="T536" s="955" t="s">
        <v>99</v>
      </c>
      <c r="U536" s="956"/>
      <c r="V536" s="955" t="s">
        <v>100</v>
      </c>
      <c r="W536" s="956"/>
      <c r="X536" s="880"/>
    </row>
    <row r="537" spans="1:24" ht="13.5" thickBot="1">
      <c r="A537" s="885"/>
      <c r="B537" s="885"/>
      <c r="C537" s="9" t="s">
        <v>285</v>
      </c>
      <c r="D537" s="951">
        <f>'LF-Enugu'!D159:E159</f>
        <v>0</v>
      </c>
      <c r="E537" s="952"/>
      <c r="F537" s="951">
        <f>'LF-Enugu'!F159:G159</f>
        <v>0</v>
      </c>
      <c r="G537" s="952"/>
      <c r="H537" s="951">
        <f>'LF-Enugu'!H159:I159</f>
        <v>0</v>
      </c>
      <c r="I537" s="952"/>
      <c r="J537" s="951">
        <f>'LF-Enugu'!J159:K159</f>
        <v>1</v>
      </c>
      <c r="K537" s="952"/>
      <c r="L537" s="951">
        <f>'LF-Enugu'!L159:M159</f>
        <v>2</v>
      </c>
      <c r="M537" s="952"/>
      <c r="N537" s="951">
        <f>'LF-Enugu'!N159:O159</f>
        <v>1</v>
      </c>
      <c r="O537" s="952"/>
      <c r="P537" s="954">
        <f>'LF-Enugu'!P159:Q159</f>
        <v>5</v>
      </c>
      <c r="Q537" s="953"/>
      <c r="R537" s="954">
        <f>'LF-Enugu'!R159:S159</f>
        <v>2</v>
      </c>
      <c r="S537" s="953"/>
      <c r="T537" s="963">
        <f>'Enugu Workings'!$V$106</f>
        <v>6.3333333333333321</v>
      </c>
      <c r="U537" s="965">
        <f>'Enugu Workings'!$V$73</f>
        <v>9.3333333333333357</v>
      </c>
      <c r="V537" s="963">
        <f>'Enugu Workings'!$V$109</f>
        <v>2.6666666666666661</v>
      </c>
      <c r="W537" s="965">
        <f>'Enugu Workings'!$V$73</f>
        <v>9.3333333333333357</v>
      </c>
      <c r="X537" s="880"/>
    </row>
    <row r="538" spans="1:24" ht="13.5" thickBot="1">
      <c r="A538" s="885"/>
      <c r="B538" s="885"/>
      <c r="C538" s="9" t="s">
        <v>286</v>
      </c>
      <c r="D538" s="951">
        <f>'LF-Jigawa'!D159:E159</f>
        <v>0</v>
      </c>
      <c r="E538" s="952"/>
      <c r="F538" s="951">
        <f>'LF-Jigawa'!F159:G159</f>
        <v>0</v>
      </c>
      <c r="G538" s="952"/>
      <c r="H538" s="951">
        <f>'LF-Jigawa'!H159:I159</f>
        <v>2</v>
      </c>
      <c r="I538" s="952"/>
      <c r="J538" s="951">
        <f>'LF-Jigawa'!J159:K159</f>
        <v>1</v>
      </c>
      <c r="K538" s="952"/>
      <c r="L538" s="951">
        <f>'LF-Jigawa'!L159:M159</f>
        <v>4</v>
      </c>
      <c r="M538" s="952"/>
      <c r="N538" s="951">
        <f>'LF-Jigawa'!N159:O159</f>
        <v>1</v>
      </c>
      <c r="O538" s="952"/>
      <c r="P538" s="954">
        <f>'LF-Jigawa'!P159:Q159</f>
        <v>6</v>
      </c>
      <c r="Q538" s="953"/>
      <c r="R538" s="954">
        <f>'LF-Jigawa'!R159:S159</f>
        <v>3</v>
      </c>
      <c r="S538" s="953"/>
      <c r="T538" s="963">
        <f>'Jigawa Workings'!$V$106</f>
        <v>7.3333333333333321</v>
      </c>
      <c r="U538" s="965">
        <f>'Jigawa Workings'!$V$73</f>
        <v>9.3333333333333357</v>
      </c>
      <c r="V538" s="963">
        <f>'Jigawa Workings'!$V$109</f>
        <v>3.6666666666666661</v>
      </c>
      <c r="W538" s="965">
        <f>'Jigawa Workings'!$V$73</f>
        <v>9.3333333333333357</v>
      </c>
      <c r="X538" s="880"/>
    </row>
    <row r="539" spans="1:24" ht="13.5" thickBot="1">
      <c r="A539" s="885"/>
      <c r="B539" s="885" t="s">
        <v>178</v>
      </c>
      <c r="C539" s="9" t="s">
        <v>287</v>
      </c>
      <c r="D539" s="951">
        <f>'LF-Kaduna'!D159:E159</f>
        <v>0</v>
      </c>
      <c r="E539" s="952"/>
      <c r="F539" s="951">
        <f>'LF-Kaduna'!F159:G159</f>
        <v>0</v>
      </c>
      <c r="G539" s="952"/>
      <c r="H539" s="951">
        <f>'LF-Kaduna'!H159:I159</f>
        <v>4</v>
      </c>
      <c r="I539" s="952"/>
      <c r="J539" s="951">
        <f>'LF-Kaduna'!J159:K159</f>
        <v>1</v>
      </c>
      <c r="K539" s="952"/>
      <c r="L539" s="954">
        <f>'LF-Kaduna'!L159:M159</f>
        <v>5</v>
      </c>
      <c r="M539" s="953"/>
      <c r="N539" s="954">
        <f>'LF-Kaduna'!N159:O159</f>
        <v>1</v>
      </c>
      <c r="O539" s="953"/>
      <c r="P539" s="954">
        <f>'LF-Kaduna'!P159:Q159</f>
        <v>8</v>
      </c>
      <c r="Q539" s="953"/>
      <c r="R539" s="954">
        <f>'LF-Kaduna'!R159:S159</f>
        <v>3</v>
      </c>
      <c r="S539" s="953"/>
      <c r="T539" s="963">
        <f>'Kaduna Workings'!$V$106</f>
        <v>9.3333333333333357</v>
      </c>
      <c r="U539" s="965">
        <f>'Kaduna Workings'!$V$73</f>
        <v>9.3333333333333357</v>
      </c>
      <c r="V539" s="963">
        <f>'Kaduna Workings'!$V$109</f>
        <v>3.6666666666666661</v>
      </c>
      <c r="W539" s="965">
        <f>'Kaduna Workings'!$V$73</f>
        <v>9.3333333333333357</v>
      </c>
      <c r="X539" s="880"/>
    </row>
    <row r="540" spans="1:24" ht="13.5" thickBot="1">
      <c r="A540" s="885"/>
      <c r="B540" s="885"/>
      <c r="C540" s="9" t="s">
        <v>288</v>
      </c>
      <c r="D540" s="951">
        <f>'LF-Kano'!D159:E159</f>
        <v>0</v>
      </c>
      <c r="E540" s="952"/>
      <c r="F540" s="951">
        <f>'LF-Kano'!F159:G159</f>
        <v>0</v>
      </c>
      <c r="G540" s="952"/>
      <c r="H540" s="951">
        <f>'LF-Kano'!H159:I159</f>
        <v>6</v>
      </c>
      <c r="I540" s="952"/>
      <c r="J540" s="951">
        <f>'LF-Kano'!J159:K159</f>
        <v>1</v>
      </c>
      <c r="K540" s="952"/>
      <c r="L540" s="954">
        <f>'LF-Kano'!L159:M159</f>
        <v>10</v>
      </c>
      <c r="M540" s="953"/>
      <c r="N540" s="954">
        <f>'LF-Kano'!N159:O159</f>
        <v>2</v>
      </c>
      <c r="O540" s="953"/>
      <c r="P540" s="951">
        <f>'LF-Kano'!P159:Q159</f>
        <v>10</v>
      </c>
      <c r="Q540" s="952"/>
      <c r="R540" s="951">
        <f>'LF-Kano'!R159:S159</f>
        <v>2</v>
      </c>
      <c r="S540" s="952"/>
      <c r="T540" s="963">
        <f>'Kano Workings'!$V$106</f>
        <v>13.333333333333336</v>
      </c>
      <c r="U540" s="965">
        <f>'Kano Workings'!$V$73</f>
        <v>7.6666666666666679</v>
      </c>
      <c r="V540" s="963">
        <f>'Kano Workings'!$V$109</f>
        <v>2.6666666666666661</v>
      </c>
      <c r="W540" s="965">
        <f>'Kano Workings'!$V$73</f>
        <v>7.6666666666666679</v>
      </c>
      <c r="X540" s="880"/>
    </row>
    <row r="541" spans="1:24" ht="13.5" thickBot="1">
      <c r="A541" s="885"/>
      <c r="B541" s="885"/>
      <c r="C541" s="9" t="s">
        <v>289</v>
      </c>
      <c r="D541" s="951">
        <f>'LF-Lagos'!D159:E159</f>
        <v>0</v>
      </c>
      <c r="E541" s="952"/>
      <c r="F541" s="951">
        <f>'LF-Lagos'!F159:G159</f>
        <v>0</v>
      </c>
      <c r="G541" s="952"/>
      <c r="H541" s="951">
        <f>'LF-Lagos'!H159:I159</f>
        <v>2</v>
      </c>
      <c r="I541" s="952"/>
      <c r="J541" s="951">
        <f>'LF-Lagos'!J159:K159</f>
        <v>3</v>
      </c>
      <c r="K541" s="952"/>
      <c r="L541" s="954">
        <f>'LF-Lagos'!L159:M159</f>
        <v>3</v>
      </c>
      <c r="M541" s="953"/>
      <c r="N541" s="954">
        <f>'LF-Lagos'!N159:O159</f>
        <v>4</v>
      </c>
      <c r="O541" s="953"/>
      <c r="P541" s="951">
        <f>'LF-Lagos'!P159:Q159</f>
        <v>6</v>
      </c>
      <c r="Q541" s="952"/>
      <c r="R541" s="951">
        <f>'LF-Lagos'!R159:S159</f>
        <v>6</v>
      </c>
      <c r="S541" s="952"/>
      <c r="T541" s="963">
        <f>'Lagos Workings'!$V$106</f>
        <v>8</v>
      </c>
      <c r="U541" s="965">
        <f>'Lagos Workings'!$V$73</f>
        <v>8.3333333333333321</v>
      </c>
      <c r="V541" s="963">
        <f>'Lagos Workings'!$V$109</f>
        <v>7.3333333333333321</v>
      </c>
      <c r="W541" s="965">
        <f>'Lagos Workings'!$V$73</f>
        <v>8.3333333333333321</v>
      </c>
      <c r="X541" s="880"/>
    </row>
    <row r="542" spans="1:24" ht="13.5" thickBot="1">
      <c r="A542" s="885"/>
      <c r="B542" s="885"/>
      <c r="C542" s="9" t="s">
        <v>292</v>
      </c>
      <c r="D542" s="966" t="s">
        <v>255</v>
      </c>
      <c r="E542" s="967"/>
      <c r="F542" s="967"/>
      <c r="G542" s="968"/>
      <c r="H542" s="951">
        <f>'LF-Zamfara'!H159:I159</f>
        <v>0</v>
      </c>
      <c r="I542" s="952"/>
      <c r="J542" s="951">
        <f>'LF-Zamfara'!J159:K159</f>
        <v>0</v>
      </c>
      <c r="K542" s="952"/>
      <c r="L542" s="954">
        <f>'LF-Zamfara'!L159:M159</f>
        <v>2</v>
      </c>
      <c r="M542" s="953"/>
      <c r="N542" s="954">
        <f>'LF-Zamfara'!N159:O159</f>
        <v>1</v>
      </c>
      <c r="O542" s="953"/>
      <c r="P542" s="951">
        <f>'LF-Zamfara'!P159:Q159</f>
        <v>3</v>
      </c>
      <c r="Q542" s="952"/>
      <c r="R542" s="951">
        <f>'LF-Zamfara'!R159:S159</f>
        <v>1</v>
      </c>
      <c r="S542" s="952"/>
      <c r="T542" s="963">
        <f>'Zamfara Workings'!$V$106</f>
        <v>4.333333333333333</v>
      </c>
      <c r="U542" s="965">
        <f>'Zamfara Workings'!$V$73</f>
        <v>3.3333333333333339</v>
      </c>
      <c r="V542" s="963">
        <f>'Zamfara Workings'!$V$109</f>
        <v>1.666666666666667</v>
      </c>
      <c r="W542" s="965">
        <f>'Zamfara Workings'!$V$73</f>
        <v>3.3333333333333339</v>
      </c>
      <c r="X542" s="880"/>
    </row>
    <row r="543" spans="1:24" ht="13.5" thickBot="1">
      <c r="A543" s="885"/>
      <c r="B543" s="885"/>
      <c r="C543" s="9" t="s">
        <v>293</v>
      </c>
      <c r="D543" s="966" t="s">
        <v>255</v>
      </c>
      <c r="E543" s="967"/>
      <c r="F543" s="967"/>
      <c r="G543" s="968"/>
      <c r="H543" s="951">
        <f>'LF-Katsina'!H159:I159</f>
        <v>0</v>
      </c>
      <c r="I543" s="952"/>
      <c r="J543" s="951">
        <f>'LF-Katsina'!J159:K159</f>
        <v>0</v>
      </c>
      <c r="K543" s="952"/>
      <c r="L543" s="954">
        <f>'LF-Katsina'!L159:M159</f>
        <v>3</v>
      </c>
      <c r="M543" s="953"/>
      <c r="N543" s="954">
        <f>'LF-Katsina'!N159:O159</f>
        <v>1</v>
      </c>
      <c r="O543" s="953"/>
      <c r="P543" s="951">
        <f>'LF-Katsina'!P159:Q159</f>
        <v>4</v>
      </c>
      <c r="Q543" s="952"/>
      <c r="R543" s="951">
        <f>'LF-Katsina'!R159:S159</f>
        <v>1</v>
      </c>
      <c r="S543" s="952"/>
      <c r="T543" s="963">
        <f>'Katsina Workings'!$V$106</f>
        <v>4.6666666666666679</v>
      </c>
      <c r="U543" s="965">
        <f>'Katsina Workings'!$V$73</f>
        <v>3.6666666666666661</v>
      </c>
      <c r="V543" s="963">
        <f>'Katsina Workings'!$V$109</f>
        <v>1.666666666666667</v>
      </c>
      <c r="W543" s="965">
        <f>'Katsina Workings'!$V$73</f>
        <v>3.6666666666666661</v>
      </c>
      <c r="X543" s="880"/>
    </row>
    <row r="544" spans="1:24" ht="13.5" thickBot="1">
      <c r="A544" s="885"/>
      <c r="B544" s="885"/>
      <c r="C544" s="9" t="s">
        <v>294</v>
      </c>
      <c r="D544" s="966" t="s">
        <v>255</v>
      </c>
      <c r="E544" s="967"/>
      <c r="F544" s="967"/>
      <c r="G544" s="968"/>
      <c r="H544" s="951">
        <f>'LF-Yobe'!H159:I159</f>
        <v>0</v>
      </c>
      <c r="I544" s="952"/>
      <c r="J544" s="951">
        <f>'LF-Yobe'!J159:K159</f>
        <v>0</v>
      </c>
      <c r="K544" s="952"/>
      <c r="L544" s="954">
        <f>'LF-Yobe'!L159:M159</f>
        <v>0</v>
      </c>
      <c r="M544" s="953"/>
      <c r="N544" s="954">
        <f>'LF-Yobe'!N159:O159</f>
        <v>0</v>
      </c>
      <c r="O544" s="953"/>
      <c r="P544" s="951">
        <f>'LF-Yobe'!P159:Q159</f>
        <v>2</v>
      </c>
      <c r="Q544" s="952"/>
      <c r="R544" s="951">
        <f>'LF-Yobe'!R159:S159</f>
        <v>1</v>
      </c>
      <c r="S544" s="952"/>
      <c r="T544" s="942">
        <f>'Yobe Workings'!$V$106</f>
        <v>3.3333333333333339</v>
      </c>
      <c r="U544" s="944">
        <f>'Yobe Workings'!$V$73</f>
        <v>3.3333333333333339</v>
      </c>
      <c r="V544" s="942">
        <f>'Yobe Workings'!$V$109</f>
        <v>1.666666666666667</v>
      </c>
      <c r="W544" s="944">
        <f>'Yobe Workings'!$V$73</f>
        <v>3.3333333333333339</v>
      </c>
      <c r="X544" s="880"/>
    </row>
    <row r="545" spans="1:24" ht="12.95" customHeight="1" thickBot="1">
      <c r="A545" s="885"/>
      <c r="B545" s="885"/>
      <c r="C545" s="9" t="s">
        <v>290</v>
      </c>
      <c r="D545" s="933"/>
      <c r="E545" s="934"/>
      <c r="F545" s="934"/>
      <c r="G545" s="935"/>
      <c r="H545" s="1162"/>
      <c r="I545" s="1163"/>
      <c r="J545" s="1163"/>
      <c r="K545" s="1164"/>
      <c r="L545" s="1057" t="s">
        <v>910</v>
      </c>
      <c r="M545" s="1058"/>
      <c r="N545" s="1058"/>
      <c r="O545" s="1059"/>
      <c r="P545" s="951">
        <f>'LF-Anambra'!P159:Q159</f>
        <v>0</v>
      </c>
      <c r="Q545" s="952"/>
      <c r="R545" s="951">
        <f>'LF-Anambra'!R159:S159</f>
        <v>0</v>
      </c>
      <c r="S545" s="952"/>
      <c r="T545" s="942">
        <f t="shared" ref="T545:T546" si="106">P545</f>
        <v>0</v>
      </c>
      <c r="U545" s="944">
        <f t="shared" ref="U545:U546" si="107">Q545</f>
        <v>0</v>
      </c>
      <c r="V545" s="942">
        <f t="shared" ref="V545:V546" si="108">R545</f>
        <v>0</v>
      </c>
      <c r="W545" s="944">
        <f t="shared" ref="W545:W546" si="109">S545</f>
        <v>0</v>
      </c>
      <c r="X545" s="880"/>
    </row>
    <row r="546" spans="1:24" ht="12.95" customHeight="1" thickBot="1">
      <c r="A546" s="885"/>
      <c r="B546" s="885"/>
      <c r="C546" s="9" t="s">
        <v>291</v>
      </c>
      <c r="D546" s="933"/>
      <c r="E546" s="934"/>
      <c r="F546" s="934"/>
      <c r="G546" s="935"/>
      <c r="H546" s="1162"/>
      <c r="I546" s="1163"/>
      <c r="J546" s="1163"/>
      <c r="K546" s="1164"/>
      <c r="L546" s="1057" t="s">
        <v>910</v>
      </c>
      <c r="M546" s="1058"/>
      <c r="N546" s="1058"/>
      <c r="O546" s="1059"/>
      <c r="P546" s="951">
        <f>'LF-Niger'!P159:Q159</f>
        <v>2</v>
      </c>
      <c r="Q546" s="952"/>
      <c r="R546" s="951">
        <f>'LF-Niger'!R159:S159</f>
        <v>0</v>
      </c>
      <c r="S546" s="952"/>
      <c r="T546" s="942">
        <f t="shared" si="106"/>
        <v>2</v>
      </c>
      <c r="U546" s="944">
        <f t="shared" si="107"/>
        <v>0</v>
      </c>
      <c r="V546" s="942">
        <f t="shared" si="108"/>
        <v>0</v>
      </c>
      <c r="W546" s="944">
        <f t="shared" si="109"/>
        <v>0</v>
      </c>
      <c r="X546" s="880"/>
    </row>
    <row r="547" spans="1:24" ht="13.5" thickBot="1">
      <c r="A547" s="885"/>
      <c r="B547" s="885"/>
      <c r="C547" s="100" t="s">
        <v>295</v>
      </c>
      <c r="D547" s="1011" t="s">
        <v>172</v>
      </c>
      <c r="E547" s="1012"/>
      <c r="F547" s="1012"/>
      <c r="G547" s="1013"/>
      <c r="H547" s="1054"/>
      <c r="I547" s="1055"/>
      <c r="J547" s="1055"/>
      <c r="K547" s="1056"/>
      <c r="L547" s="1169">
        <f>'LF-Enugu'!L160:M160</f>
        <v>4</v>
      </c>
      <c r="M547" s="1170"/>
      <c r="N547" s="1169">
        <f>'LF-Enugu'!N160:O160</f>
        <v>2</v>
      </c>
      <c r="O547" s="1170"/>
      <c r="P547" s="1169">
        <f>'LF-Enugu'!P160:Q160</f>
        <v>8</v>
      </c>
      <c r="Q547" s="1170"/>
      <c r="R547" s="1169">
        <f>'LF-Enugu'!R160:S160</f>
        <v>5</v>
      </c>
      <c r="S547" s="1170"/>
      <c r="T547" s="1140">
        <f>'Enugu Workings'!$V$107</f>
        <v>10</v>
      </c>
      <c r="U547" s="1141">
        <f>'Enugu Workings'!$V$74</f>
        <v>6</v>
      </c>
      <c r="V547" s="1140">
        <f>'Enugu Workings'!$V$110</f>
        <v>5</v>
      </c>
      <c r="W547" s="1141">
        <f>'Enugu Workings'!$V$74</f>
        <v>6</v>
      </c>
      <c r="X547" s="880"/>
    </row>
    <row r="548" spans="1:24" ht="13.5" thickBot="1">
      <c r="A548" s="885"/>
      <c r="B548" s="885"/>
      <c r="C548" s="100" t="s">
        <v>296</v>
      </c>
      <c r="D548" s="1011" t="s">
        <v>417</v>
      </c>
      <c r="E548" s="1012"/>
      <c r="F548" s="1012"/>
      <c r="G548" s="1013"/>
      <c r="H548" s="1054"/>
      <c r="I548" s="1055"/>
      <c r="J548" s="1055"/>
      <c r="K548" s="1056"/>
      <c r="L548" s="1169">
        <f>'LF-Jigawa'!L160:M160</f>
        <v>5</v>
      </c>
      <c r="M548" s="1170"/>
      <c r="N548" s="1169">
        <f>'LF-Jigawa'!N160:O160</f>
        <v>3</v>
      </c>
      <c r="O548" s="1170"/>
      <c r="P548" s="1169">
        <f>'LF-Jigawa'!P160:Q160</f>
        <v>9</v>
      </c>
      <c r="Q548" s="1170"/>
      <c r="R548" s="1169">
        <f>'LF-Jigawa'!R160:S160</f>
        <v>4</v>
      </c>
      <c r="S548" s="1170"/>
      <c r="T548" s="1140">
        <f>'Jigawa Workings'!$V$107</f>
        <v>12</v>
      </c>
      <c r="U548" s="1141">
        <f>'Jigawa Workings'!$V$74</f>
        <v>8</v>
      </c>
      <c r="V548" s="1140">
        <f>'Jigawa Workings'!$V$110</f>
        <v>6</v>
      </c>
      <c r="W548" s="1141">
        <f>'Jigawa Workings'!$V$74</f>
        <v>8</v>
      </c>
      <c r="X548" s="880"/>
    </row>
    <row r="549" spans="1:24" ht="13.5" thickBot="1">
      <c r="A549" s="885"/>
      <c r="B549" s="885"/>
      <c r="C549" s="100" t="s">
        <v>297</v>
      </c>
      <c r="D549" s="1054"/>
      <c r="E549" s="1055"/>
      <c r="F549" s="1055"/>
      <c r="G549" s="1056"/>
      <c r="H549" s="1054"/>
      <c r="I549" s="1055"/>
      <c r="J549" s="1055"/>
      <c r="K549" s="1056"/>
      <c r="L549" s="1169">
        <f>'LF-Kaduna'!L160:M160</f>
        <v>6</v>
      </c>
      <c r="M549" s="1170"/>
      <c r="N549" s="1169">
        <f>'LF-Kaduna'!N160:O160</f>
        <v>2</v>
      </c>
      <c r="O549" s="1170"/>
      <c r="P549" s="1169">
        <f>'LF-Kaduna'!P160:Q160</f>
        <v>4</v>
      </c>
      <c r="Q549" s="1170"/>
      <c r="R549" s="1169">
        <f>'LF-Kaduna'!R160:S160</f>
        <v>2</v>
      </c>
      <c r="S549" s="1170"/>
      <c r="T549" s="1140">
        <f>'Kaduna Workings'!$V$107</f>
        <v>7</v>
      </c>
      <c r="U549" s="1141">
        <f>'Kaduna Workings'!$V$74</f>
        <v>13</v>
      </c>
      <c r="V549" s="1140">
        <f>'Kaduna Workings'!$V$110</f>
        <v>3</v>
      </c>
      <c r="W549" s="1141">
        <f>'Kaduna Workings'!$V$74</f>
        <v>13</v>
      </c>
      <c r="X549" s="880"/>
    </row>
    <row r="550" spans="1:24" ht="13.5" thickBot="1">
      <c r="A550" s="885"/>
      <c r="B550" s="885"/>
      <c r="C550" s="100" t="s">
        <v>298</v>
      </c>
      <c r="D550" s="1054"/>
      <c r="E550" s="1055"/>
      <c r="F550" s="1055"/>
      <c r="G550" s="1056"/>
      <c r="H550" s="1054"/>
      <c r="I550" s="1055"/>
      <c r="J550" s="1055"/>
      <c r="K550" s="1056"/>
      <c r="L550" s="1169">
        <f>'LF-Kano'!L160:M160</f>
        <v>7</v>
      </c>
      <c r="M550" s="1170"/>
      <c r="N550" s="1169">
        <f>'LF-Kano'!N160:O160</f>
        <v>1</v>
      </c>
      <c r="O550" s="1170"/>
      <c r="P550" s="1169">
        <f>'LF-Kano'!P160:Q160</f>
        <v>10</v>
      </c>
      <c r="Q550" s="1170"/>
      <c r="R550" s="1169">
        <f>'LF-Kano'!R160:S160</f>
        <v>2</v>
      </c>
      <c r="S550" s="1170"/>
      <c r="T550" s="1140">
        <f>'Kano Workings'!$V$107</f>
        <v>11</v>
      </c>
      <c r="U550" s="1141">
        <f>'Kano Workings'!$V$74</f>
        <v>10</v>
      </c>
      <c r="V550" s="1140">
        <f>'Kano Workings'!$V$110</f>
        <v>7</v>
      </c>
      <c r="W550" s="1141">
        <f>'Kano Workings'!$V$74</f>
        <v>10</v>
      </c>
      <c r="X550" s="880"/>
    </row>
    <row r="551" spans="1:24" ht="13.5" thickBot="1">
      <c r="A551" s="885"/>
      <c r="B551" s="885"/>
      <c r="C551" s="100" t="s">
        <v>299</v>
      </c>
      <c r="D551" s="1054"/>
      <c r="E551" s="1055"/>
      <c r="F551" s="1055"/>
      <c r="G551" s="1056"/>
      <c r="H551" s="1054"/>
      <c r="I551" s="1055"/>
      <c r="J551" s="1055"/>
      <c r="K551" s="1056"/>
      <c r="L551" s="1169">
        <f>'LF-Lagos'!L160:M160</f>
        <v>4</v>
      </c>
      <c r="M551" s="1170"/>
      <c r="N551" s="1169">
        <f>'LF-Lagos'!N160:O160</f>
        <v>6</v>
      </c>
      <c r="O551" s="1170"/>
      <c r="P551" s="1169">
        <f>'LF-Lagos'!P160:Q160</f>
        <v>8</v>
      </c>
      <c r="Q551" s="1170"/>
      <c r="R551" s="1169">
        <f>'LF-Lagos'!R160:S160</f>
        <v>10</v>
      </c>
      <c r="S551" s="1170"/>
      <c r="T551" s="1140">
        <f>'Lagos Workings'!$V$107</f>
        <v>8</v>
      </c>
      <c r="U551" s="1141">
        <f>'Lagos Workings'!$V$74</f>
        <v>0</v>
      </c>
      <c r="V551" s="1140">
        <f>'Lagos Workings'!$V$110</f>
        <v>11</v>
      </c>
      <c r="W551" s="1141">
        <f>'Lagos Workings'!$V$74</f>
        <v>0</v>
      </c>
      <c r="X551" s="880"/>
    </row>
    <row r="552" spans="1:24" ht="24.75" thickBot="1">
      <c r="A552" s="885"/>
      <c r="B552" s="885"/>
      <c r="C552" s="100" t="s">
        <v>300</v>
      </c>
      <c r="D552" s="1054"/>
      <c r="E552" s="1055"/>
      <c r="F552" s="1055"/>
      <c r="G552" s="1056"/>
      <c r="H552" s="1054"/>
      <c r="I552" s="1055"/>
      <c r="J552" s="1055"/>
      <c r="K552" s="1056"/>
      <c r="L552" s="1169">
        <f>'LF-Zamfara'!L160:M160</f>
        <v>2</v>
      </c>
      <c r="M552" s="1170"/>
      <c r="N552" s="1169">
        <f>'LF-Zamfara'!N160:O160</f>
        <v>1</v>
      </c>
      <c r="O552" s="1170"/>
      <c r="P552" s="1169">
        <f>'LF-Zamfara'!P160:Q160</f>
        <v>4</v>
      </c>
      <c r="Q552" s="1170"/>
      <c r="R552" s="1169">
        <f>'LF-Zamfara'!R160:S160</f>
        <v>2</v>
      </c>
      <c r="S552" s="1170"/>
      <c r="T552" s="1140">
        <f>'Zamfara Workings'!$V$107</f>
        <v>5</v>
      </c>
      <c r="U552" s="1141">
        <f>'Zamfara Workings'!$V$74</f>
        <v>10</v>
      </c>
      <c r="V552" s="1140">
        <f>'Zamfara Workings'!$V$110</f>
        <v>2</v>
      </c>
      <c r="W552" s="1141">
        <f>'Zamfara Workings'!$V$74</f>
        <v>10</v>
      </c>
      <c r="X552" s="880"/>
    </row>
    <row r="553" spans="1:24" ht="13.5" thickBot="1">
      <c r="A553" s="885"/>
      <c r="B553" s="885"/>
      <c r="C553" s="100" t="s">
        <v>301</v>
      </c>
      <c r="D553" s="1054"/>
      <c r="E553" s="1055"/>
      <c r="F553" s="1055"/>
      <c r="G553" s="1056"/>
      <c r="H553" s="1054"/>
      <c r="I553" s="1055"/>
      <c r="J553" s="1055"/>
      <c r="K553" s="1056"/>
      <c r="L553" s="1169">
        <f>'LF-Katsina'!L160:M160</f>
        <v>0</v>
      </c>
      <c r="M553" s="1170"/>
      <c r="N553" s="1169">
        <f>'LF-Katsina'!N160:O160</f>
        <v>0</v>
      </c>
      <c r="O553" s="1170"/>
      <c r="P553" s="1169">
        <f>'LF-Katsina'!P160:Q160</f>
        <v>2</v>
      </c>
      <c r="Q553" s="1170"/>
      <c r="R553" s="1169">
        <f>'LF-Katsina'!R160:S160</f>
        <v>2</v>
      </c>
      <c r="S553" s="1170"/>
      <c r="T553" s="1140">
        <f>'Katsina Workings'!$V$107</f>
        <v>6</v>
      </c>
      <c r="U553" s="1141">
        <f>'Katsina Workings'!$V$74</f>
        <v>7</v>
      </c>
      <c r="V553" s="1140">
        <f>'Katsina Workings'!$V$110</f>
        <v>3</v>
      </c>
      <c r="W553" s="1141">
        <f>'Katsina Workings'!$V$74</f>
        <v>7</v>
      </c>
      <c r="X553" s="880"/>
    </row>
    <row r="554" spans="1:24" ht="13.5" thickBot="1">
      <c r="A554" s="885"/>
      <c r="B554" s="885"/>
      <c r="C554" s="100" t="s">
        <v>302</v>
      </c>
      <c r="D554" s="1054"/>
      <c r="E554" s="1055"/>
      <c r="F554" s="1055"/>
      <c r="G554" s="1056"/>
      <c r="H554" s="1054"/>
      <c r="I554" s="1055"/>
      <c r="J554" s="1055"/>
      <c r="K554" s="1056"/>
      <c r="L554" s="1169">
        <f>'LF-Yobe'!L160:M160</f>
        <v>0</v>
      </c>
      <c r="M554" s="1170"/>
      <c r="N554" s="1169">
        <f>'LF-Yobe'!N160:O160</f>
        <v>0</v>
      </c>
      <c r="O554" s="1170"/>
      <c r="P554" s="1169">
        <f>'LF-Yobe'!P160:Q160</f>
        <v>3</v>
      </c>
      <c r="Q554" s="1170"/>
      <c r="R554" s="1169">
        <f>'LF-Yobe'!R160:S160</f>
        <v>1</v>
      </c>
      <c r="S554" s="1170"/>
      <c r="T554" s="1140">
        <f>'Yobe Workings'!$V$107</f>
        <v>6</v>
      </c>
      <c r="U554" s="1141">
        <f>'Yobe Workings'!$V$74</f>
        <v>11</v>
      </c>
      <c r="V554" s="1140">
        <f>'Yobe Workings'!$V$110</f>
        <v>1</v>
      </c>
      <c r="W554" s="1141">
        <f>'Yobe Workings'!$V$74</f>
        <v>11</v>
      </c>
      <c r="X554" s="880"/>
    </row>
    <row r="555" spans="1:24" ht="24.75" thickBot="1">
      <c r="A555" s="885"/>
      <c r="B555" s="885"/>
      <c r="C555" s="100" t="s">
        <v>303</v>
      </c>
      <c r="D555" s="1054"/>
      <c r="E555" s="1055"/>
      <c r="F555" s="1055"/>
      <c r="G555" s="1056"/>
      <c r="H555" s="1054"/>
      <c r="I555" s="1055"/>
      <c r="J555" s="1055"/>
      <c r="K555" s="1056"/>
      <c r="L555" s="1054"/>
      <c r="M555" s="1055"/>
      <c r="N555" s="1055"/>
      <c r="O555" s="1056"/>
      <c r="P555" s="1054"/>
      <c r="Q555" s="1055"/>
      <c r="R555" s="1055"/>
      <c r="S555" s="1056"/>
      <c r="T555" s="1140">
        <f t="shared" ref="T555:W555" si="110">T545</f>
        <v>0</v>
      </c>
      <c r="U555" s="1141">
        <f t="shared" si="110"/>
        <v>0</v>
      </c>
      <c r="V555" s="1140">
        <f t="shared" si="110"/>
        <v>0</v>
      </c>
      <c r="W555" s="1141">
        <f t="shared" si="110"/>
        <v>0</v>
      </c>
      <c r="X555" s="880"/>
    </row>
    <row r="556" spans="1:24" ht="13.5" thickBot="1">
      <c r="A556" s="885"/>
      <c r="B556" s="885"/>
      <c r="C556" s="100" t="s">
        <v>304</v>
      </c>
      <c r="D556" s="1054"/>
      <c r="E556" s="1055"/>
      <c r="F556" s="1055"/>
      <c r="G556" s="1056"/>
      <c r="H556" s="1054"/>
      <c r="I556" s="1055"/>
      <c r="J556" s="1055"/>
      <c r="K556" s="1056"/>
      <c r="L556" s="1054"/>
      <c r="M556" s="1055"/>
      <c r="N556" s="1055"/>
      <c r="O556" s="1056"/>
      <c r="P556" s="1054"/>
      <c r="Q556" s="1055"/>
      <c r="R556" s="1055"/>
      <c r="S556" s="1056"/>
      <c r="T556" s="1140">
        <f t="shared" ref="T556:W556" si="111">T546</f>
        <v>2</v>
      </c>
      <c r="U556" s="1141">
        <f t="shared" si="111"/>
        <v>0</v>
      </c>
      <c r="V556" s="1140">
        <f t="shared" si="111"/>
        <v>0</v>
      </c>
      <c r="W556" s="1141">
        <f t="shared" si="111"/>
        <v>0</v>
      </c>
      <c r="X556" s="880"/>
    </row>
    <row r="557" spans="1:24" ht="13.5" thickBot="1">
      <c r="A557" s="513" t="s">
        <v>13</v>
      </c>
      <c r="B557" s="885"/>
      <c r="C557" s="922" t="s">
        <v>413</v>
      </c>
      <c r="D557" s="927" t="s">
        <v>4</v>
      </c>
      <c r="E557" s="928"/>
      <c r="F557" s="928"/>
      <c r="G557" s="928"/>
      <c r="H557" s="928"/>
      <c r="I557" s="928"/>
      <c r="J557" s="928"/>
      <c r="K557" s="928"/>
      <c r="L557" s="928"/>
      <c r="M557" s="928"/>
      <c r="N557" s="928"/>
      <c r="O557" s="928"/>
      <c r="P557" s="928"/>
      <c r="Q557" s="928"/>
      <c r="R557" s="928"/>
      <c r="S557" s="928"/>
      <c r="T557" s="928"/>
      <c r="U557" s="928"/>
      <c r="V557" s="928"/>
      <c r="W557" s="929"/>
      <c r="X557" s="550" t="s">
        <v>14</v>
      </c>
    </row>
    <row r="558" spans="1:24" ht="13.5" thickBot="1">
      <c r="A558" s="25" t="s">
        <v>74</v>
      </c>
      <c r="B558" s="869"/>
      <c r="C558" s="923"/>
      <c r="D558" s="930" t="s">
        <v>124</v>
      </c>
      <c r="E558" s="931"/>
      <c r="F558" s="931"/>
      <c r="G558" s="931"/>
      <c r="H558" s="931"/>
      <c r="I558" s="931"/>
      <c r="J558" s="931"/>
      <c r="K558" s="931"/>
      <c r="L558" s="931"/>
      <c r="M558" s="931"/>
      <c r="N558" s="931"/>
      <c r="O558" s="931"/>
      <c r="P558" s="931"/>
      <c r="Q558" s="931"/>
      <c r="R558" s="931"/>
      <c r="S558" s="931"/>
      <c r="T558" s="931"/>
      <c r="U558" s="931"/>
      <c r="V558" s="931"/>
      <c r="W558" s="932"/>
      <c r="X558" s="18" t="s">
        <v>93</v>
      </c>
    </row>
    <row r="559" spans="1:24" ht="13.5" thickBot="1">
      <c r="A559" s="906" t="s">
        <v>7</v>
      </c>
      <c r="B559" s="908" t="s">
        <v>173</v>
      </c>
      <c r="C559" s="909"/>
      <c r="D559" s="908" t="s">
        <v>8</v>
      </c>
      <c r="E559" s="918"/>
      <c r="F559" s="918"/>
      <c r="G559" s="909"/>
      <c r="H559" s="908" t="s">
        <v>88</v>
      </c>
      <c r="I559" s="918"/>
      <c r="J559" s="918"/>
      <c r="K559" s="909"/>
      <c r="L559" s="908" t="s">
        <v>89</v>
      </c>
      <c r="M559" s="918"/>
      <c r="N559" s="918"/>
      <c r="O559" s="909"/>
      <c r="P559" s="908" t="s">
        <v>9</v>
      </c>
      <c r="Q559" s="918"/>
      <c r="R559" s="918"/>
      <c r="S559" s="909"/>
      <c r="T559" s="908" t="s">
        <v>174</v>
      </c>
      <c r="U559" s="918"/>
      <c r="V559" s="918"/>
      <c r="W559" s="918"/>
      <c r="X559" s="909"/>
    </row>
    <row r="560" spans="1:24" ht="13.5" thickBot="1">
      <c r="A560" s="907"/>
      <c r="B560" s="919">
        <v>10300000</v>
      </c>
      <c r="C560" s="920"/>
      <c r="D560" s="919">
        <v>0</v>
      </c>
      <c r="E560" s="921"/>
      <c r="F560" s="921"/>
      <c r="G560" s="920"/>
      <c r="H560" s="919">
        <v>5500000</v>
      </c>
      <c r="I560" s="921"/>
      <c r="J560" s="921"/>
      <c r="K560" s="920"/>
      <c r="L560" s="919">
        <v>3100000</v>
      </c>
      <c r="M560" s="921"/>
      <c r="N560" s="921"/>
      <c r="O560" s="920"/>
      <c r="P560" s="919">
        <f>SUM(B560:O560)</f>
        <v>18900000</v>
      </c>
      <c r="Q560" s="921"/>
      <c r="R560" s="921"/>
      <c r="S560" s="920"/>
      <c r="T560" s="942">
        <f>B560/P560%</f>
        <v>54.4973544973545</v>
      </c>
      <c r="U560" s="943"/>
      <c r="V560" s="943"/>
      <c r="W560" s="943"/>
      <c r="X560" s="944"/>
    </row>
    <row r="561" spans="1:24" ht="13.5" thickBot="1">
      <c r="A561" s="906" t="s">
        <v>10</v>
      </c>
      <c r="B561" s="908" t="s">
        <v>175</v>
      </c>
      <c r="C561" s="909"/>
      <c r="D561" s="910"/>
      <c r="E561" s="911"/>
      <c r="F561" s="911"/>
      <c r="G561" s="911"/>
      <c r="H561" s="911"/>
      <c r="I561" s="911"/>
      <c r="J561" s="911"/>
      <c r="K561" s="911"/>
      <c r="L561" s="911"/>
      <c r="M561" s="911"/>
      <c r="N561" s="911"/>
      <c r="O561" s="911"/>
      <c r="P561" s="911"/>
      <c r="Q561" s="911"/>
      <c r="R561" s="911"/>
      <c r="S561" s="911"/>
      <c r="T561" s="911"/>
      <c r="U561" s="911"/>
      <c r="V561" s="911"/>
      <c r="W561" s="911"/>
      <c r="X561" s="912"/>
    </row>
    <row r="562" spans="1:24" ht="13.5" thickBot="1">
      <c r="A562" s="907"/>
      <c r="B562" s="916"/>
      <c r="C562" s="917"/>
      <c r="D562" s="913"/>
      <c r="E562" s="914"/>
      <c r="F562" s="914"/>
      <c r="G562" s="914"/>
      <c r="H562" s="914"/>
      <c r="I562" s="914"/>
      <c r="J562" s="914"/>
      <c r="K562" s="914"/>
      <c r="L562" s="914"/>
      <c r="M562" s="914"/>
      <c r="N562" s="914"/>
      <c r="O562" s="914"/>
      <c r="P562" s="914"/>
      <c r="Q562" s="914"/>
      <c r="R562" s="914"/>
      <c r="S562" s="914"/>
      <c r="T562" s="914"/>
      <c r="U562" s="914"/>
      <c r="V562" s="914"/>
      <c r="W562" s="914"/>
      <c r="X562" s="915"/>
    </row>
    <row r="564" spans="1:24" ht="13.5" thickBot="1"/>
    <row r="565" spans="1:24" ht="12.95" customHeight="1" thickBot="1">
      <c r="A565" s="506" t="s">
        <v>27</v>
      </c>
      <c r="B565" s="514" t="s">
        <v>35</v>
      </c>
      <c r="C565" s="8"/>
      <c r="D565" s="927" t="s">
        <v>78</v>
      </c>
      <c r="E565" s="928"/>
      <c r="F565" s="928"/>
      <c r="G565" s="929"/>
      <c r="H565" s="927" t="s">
        <v>77</v>
      </c>
      <c r="I565" s="928"/>
      <c r="J565" s="928"/>
      <c r="K565" s="929"/>
      <c r="L565" s="927" t="s">
        <v>81</v>
      </c>
      <c r="M565" s="928"/>
      <c r="N565" s="928"/>
      <c r="O565" s="929"/>
      <c r="P565" s="927" t="s">
        <v>254</v>
      </c>
      <c r="Q565" s="928"/>
      <c r="R565" s="928"/>
      <c r="S565" s="929"/>
      <c r="T565" s="1144" t="s">
        <v>908</v>
      </c>
      <c r="U565" s="1145"/>
      <c r="V565" s="1145"/>
      <c r="W565" s="1146"/>
      <c r="X565" s="16" t="s">
        <v>12</v>
      </c>
    </row>
    <row r="566" spans="1:24" ht="12.95" customHeight="1" thickBot="1">
      <c r="A566" s="868" t="s">
        <v>70</v>
      </c>
      <c r="B566" s="868" t="s">
        <v>609</v>
      </c>
      <c r="C566" s="9" t="s">
        <v>285</v>
      </c>
      <c r="D566" s="924">
        <f>'LF-Enugu'!D171:G171</f>
        <v>0</v>
      </c>
      <c r="E566" s="925"/>
      <c r="F566" s="925"/>
      <c r="G566" s="926"/>
      <c r="H566" s="924">
        <f>'LF-Enugu'!H171:K171</f>
        <v>2</v>
      </c>
      <c r="I566" s="925"/>
      <c r="J566" s="925"/>
      <c r="K566" s="926"/>
      <c r="L566" s="924">
        <f>'LF-Enugu'!L171:O171</f>
        <v>3</v>
      </c>
      <c r="M566" s="925"/>
      <c r="N566" s="925"/>
      <c r="O566" s="926"/>
      <c r="P566" s="939">
        <f>'LF-Enugu'!P171:S171</f>
        <v>4</v>
      </c>
      <c r="Q566" s="940"/>
      <c r="R566" s="940"/>
      <c r="S566" s="941"/>
      <c r="T566" s="515">
        <f>'Enugu Workings'!$V$112</f>
        <v>8.6666666666666679</v>
      </c>
      <c r="U566" s="515">
        <f>'Enugu Workings'!$V$115</f>
        <v>7.333333333333333</v>
      </c>
      <c r="V566" s="515">
        <f>'Enugu Workings'!$V$118</f>
        <v>6</v>
      </c>
      <c r="W566" s="515">
        <f>'Enugu Workings'!$V$121</f>
        <v>4</v>
      </c>
      <c r="X566" s="879" t="s">
        <v>90</v>
      </c>
    </row>
    <row r="567" spans="1:24" ht="12.95" customHeight="1" thickBot="1">
      <c r="A567" s="885"/>
      <c r="B567" s="885"/>
      <c r="C567" s="9" t="s">
        <v>286</v>
      </c>
      <c r="D567" s="924">
        <f>'LF-Jigawa'!D171:G171</f>
        <v>0</v>
      </c>
      <c r="E567" s="925"/>
      <c r="F567" s="925"/>
      <c r="G567" s="926"/>
      <c r="H567" s="924">
        <f>'LF-Jigawa'!H171:K171</f>
        <v>5</v>
      </c>
      <c r="I567" s="925"/>
      <c r="J567" s="925"/>
      <c r="K567" s="926"/>
      <c r="L567" s="924">
        <f>'LF-Jigawa'!L171:O171</f>
        <v>8</v>
      </c>
      <c r="M567" s="925"/>
      <c r="N567" s="925"/>
      <c r="O567" s="926"/>
      <c r="P567" s="939">
        <f>'LF-Jigawa'!P171:S171</f>
        <v>11</v>
      </c>
      <c r="Q567" s="940"/>
      <c r="R567" s="940"/>
      <c r="S567" s="941"/>
      <c r="T567" s="515">
        <f>'Jigawa Workings'!$V$112</f>
        <v>20.333333333333332</v>
      </c>
      <c r="U567" s="515">
        <f>'Jigawa Workings'!$V$115</f>
        <v>8.3333333333333321</v>
      </c>
      <c r="V567" s="515">
        <f>'Jigawa Workings'!$V$118</f>
        <v>8.3333333333333321</v>
      </c>
      <c r="W567" s="515">
        <f>'Jigawa Workings'!$V$121</f>
        <v>5.6666666666666679</v>
      </c>
      <c r="X567" s="880"/>
    </row>
    <row r="568" spans="1:24" ht="12.95" customHeight="1" thickBot="1">
      <c r="A568" s="885"/>
      <c r="B568" s="885"/>
      <c r="C568" s="9" t="s">
        <v>287</v>
      </c>
      <c r="D568" s="924">
        <f>'LF-Kaduna'!D171:G171</f>
        <v>3</v>
      </c>
      <c r="E568" s="925"/>
      <c r="F568" s="925"/>
      <c r="G568" s="926"/>
      <c r="H568" s="924">
        <f>'LF-Kaduna'!H171:K171</f>
        <v>5</v>
      </c>
      <c r="I568" s="925"/>
      <c r="J568" s="925"/>
      <c r="K568" s="926"/>
      <c r="L568" s="924">
        <f>'LF-Kaduna'!L171:O171</f>
        <v>10</v>
      </c>
      <c r="M568" s="925"/>
      <c r="N568" s="925"/>
      <c r="O568" s="926"/>
      <c r="P568" s="939">
        <f>'LF-Kaduna'!P171:S171</f>
        <v>10</v>
      </c>
      <c r="Q568" s="940"/>
      <c r="R568" s="940"/>
      <c r="S568" s="941"/>
      <c r="T568" s="515">
        <f>'Kaduna Workings'!$V$112</f>
        <v>12.666666666666664</v>
      </c>
      <c r="U568" s="515">
        <f>'Kaduna Workings'!$V$115</f>
        <v>6</v>
      </c>
      <c r="V568" s="515">
        <f>'Kaduna Workings'!$V$118</f>
        <v>4</v>
      </c>
      <c r="W568" s="515">
        <f>'Kaduna Workings'!$V$121</f>
        <v>2.6666666666666661</v>
      </c>
      <c r="X568" s="880"/>
    </row>
    <row r="569" spans="1:24" ht="12.95" customHeight="1" thickBot="1">
      <c r="A569" s="885"/>
      <c r="B569" s="885"/>
      <c r="C569" s="9" t="s">
        <v>288</v>
      </c>
      <c r="D569" s="924">
        <f>'LF-Kano'!D171:G171</f>
        <v>0</v>
      </c>
      <c r="E569" s="925"/>
      <c r="F569" s="925"/>
      <c r="G569" s="926"/>
      <c r="H569" s="924">
        <f>'LF-Kano'!H171:K171</f>
        <v>3</v>
      </c>
      <c r="I569" s="925"/>
      <c r="J569" s="925"/>
      <c r="K569" s="926"/>
      <c r="L569" s="924">
        <f>'LF-Kano'!L171:O171</f>
        <v>6</v>
      </c>
      <c r="M569" s="925"/>
      <c r="N569" s="925"/>
      <c r="O569" s="926"/>
      <c r="P569" s="939">
        <f>'LF-Kano'!P171:S171</f>
        <v>10</v>
      </c>
      <c r="Q569" s="940"/>
      <c r="R569" s="940"/>
      <c r="S569" s="941"/>
      <c r="T569" s="515">
        <f>'Kano Workings'!$V$112</f>
        <v>19.333333333333332</v>
      </c>
      <c r="U569" s="515">
        <f>'Kano Workings'!$V$115</f>
        <v>9.6666666666666661</v>
      </c>
      <c r="V569" s="515">
        <f>'Kano Workings'!$V$118</f>
        <v>5</v>
      </c>
      <c r="W569" s="515">
        <f>'Kano Workings'!$V$121</f>
        <v>5</v>
      </c>
      <c r="X569" s="880"/>
    </row>
    <row r="570" spans="1:24" ht="12.95" customHeight="1" thickBot="1">
      <c r="A570" s="885"/>
      <c r="B570" s="885"/>
      <c r="C570" s="9" t="s">
        <v>289</v>
      </c>
      <c r="D570" s="924">
        <f>'LF-Lagos'!D171:G171</f>
        <v>2</v>
      </c>
      <c r="E570" s="925"/>
      <c r="F570" s="925"/>
      <c r="G570" s="926"/>
      <c r="H570" s="924">
        <f>'LF-Lagos'!H171:K171</f>
        <v>5</v>
      </c>
      <c r="I570" s="925"/>
      <c r="J570" s="925"/>
      <c r="K570" s="926"/>
      <c r="L570" s="924">
        <f>'LF-Lagos'!L171:O171</f>
        <v>6</v>
      </c>
      <c r="M570" s="925"/>
      <c r="N570" s="925"/>
      <c r="O570" s="926"/>
      <c r="P570" s="939">
        <f>'LF-Lagos'!P171:S171</f>
        <v>11</v>
      </c>
      <c r="Q570" s="940"/>
      <c r="R570" s="940"/>
      <c r="S570" s="941"/>
      <c r="T570" s="515">
        <f>'Lagos Workings'!$V$112</f>
        <v>15.666666666666664</v>
      </c>
      <c r="U570" s="515">
        <f>'Lagos Workings'!$V$115</f>
        <v>5.333333333333333</v>
      </c>
      <c r="V570" s="515">
        <f>'Lagos Workings'!$V$118</f>
        <v>5.333333333333333</v>
      </c>
      <c r="W570" s="515">
        <f>'Lagos Workings'!$V$121</f>
        <v>5.333333333333333</v>
      </c>
      <c r="X570" s="880"/>
    </row>
    <row r="571" spans="1:24" ht="12.95" customHeight="1" thickBot="1">
      <c r="A571" s="885"/>
      <c r="B571" s="885"/>
      <c r="C571" s="9" t="s">
        <v>292</v>
      </c>
      <c r="D571" s="945"/>
      <c r="E571" s="946"/>
      <c r="F571" s="946"/>
      <c r="G571" s="947"/>
      <c r="H571" s="924">
        <f>'LF-Zamfara'!H171:K171</f>
        <v>0</v>
      </c>
      <c r="I571" s="925"/>
      <c r="J571" s="925"/>
      <c r="K571" s="926"/>
      <c r="L571" s="924">
        <f>'LF-Zamfara'!L171:O171</f>
        <v>2</v>
      </c>
      <c r="M571" s="925"/>
      <c r="N571" s="925"/>
      <c r="O571" s="926"/>
      <c r="P571" s="939">
        <f>'LF-Zamfara'!P171:S171</f>
        <v>4</v>
      </c>
      <c r="Q571" s="940"/>
      <c r="R571" s="940"/>
      <c r="S571" s="941"/>
      <c r="T571" s="515">
        <f>'Zamfara Workings'!$V$112</f>
        <v>6</v>
      </c>
      <c r="U571" s="515">
        <f>'Zamfara Workings'!$V$115</f>
        <v>1.6666666666666665</v>
      </c>
      <c r="V571" s="515">
        <f>'Zamfara Workings'!$V$118</f>
        <v>1.6666666666666665</v>
      </c>
      <c r="W571" s="515">
        <f>'Zamfara Workings'!$V$121</f>
        <v>2.3333333333333321</v>
      </c>
      <c r="X571" s="880"/>
    </row>
    <row r="572" spans="1:24" ht="12.95" customHeight="1" thickBot="1">
      <c r="A572" s="885"/>
      <c r="B572" s="885"/>
      <c r="C572" s="9" t="s">
        <v>293</v>
      </c>
      <c r="D572" s="945"/>
      <c r="E572" s="946"/>
      <c r="F572" s="946"/>
      <c r="G572" s="947"/>
      <c r="H572" s="924">
        <f>'LF-Katsina'!H171:K171</f>
        <v>0</v>
      </c>
      <c r="I572" s="925"/>
      <c r="J572" s="925"/>
      <c r="K572" s="926"/>
      <c r="L572" s="924">
        <f>'LF-Katsina'!L171:O171</f>
        <v>1</v>
      </c>
      <c r="M572" s="925"/>
      <c r="N572" s="925"/>
      <c r="O572" s="926"/>
      <c r="P572" s="939">
        <f>'LF-Katsina'!P171:S171</f>
        <v>3</v>
      </c>
      <c r="Q572" s="940"/>
      <c r="R572" s="940"/>
      <c r="S572" s="941"/>
      <c r="T572" s="515">
        <f>'Katsina Workings'!$V$112</f>
        <v>7.6666666666666679</v>
      </c>
      <c r="U572" s="515">
        <f>'Katsina Workings'!$V$115</f>
        <v>4</v>
      </c>
      <c r="V572" s="515">
        <f>'Katsina Workings'!$V$118</f>
        <v>1.666666666666667</v>
      </c>
      <c r="W572" s="515">
        <f>'Katsina Workings'!$V$121</f>
        <v>0.66666666666666663</v>
      </c>
      <c r="X572" s="880"/>
    </row>
    <row r="573" spans="1:24" ht="12.95" customHeight="1" thickBot="1">
      <c r="A573" s="885"/>
      <c r="B573" s="885"/>
      <c r="C573" s="9" t="s">
        <v>294</v>
      </c>
      <c r="D573" s="945"/>
      <c r="E573" s="946"/>
      <c r="F573" s="946"/>
      <c r="G573" s="947"/>
      <c r="H573" s="924">
        <f>'LF-Yobe'!H171:K171</f>
        <v>0</v>
      </c>
      <c r="I573" s="925"/>
      <c r="J573" s="925"/>
      <c r="K573" s="926"/>
      <c r="L573" s="924">
        <f>'LF-Yobe'!L171:O171</f>
        <v>1</v>
      </c>
      <c r="M573" s="925"/>
      <c r="N573" s="925"/>
      <c r="O573" s="926"/>
      <c r="P573" s="939">
        <f>'LF-Yobe'!P171:S171</f>
        <v>1</v>
      </c>
      <c r="Q573" s="940"/>
      <c r="R573" s="940"/>
      <c r="S573" s="941"/>
      <c r="T573" s="515">
        <f>'Yobe Workings'!$V$112</f>
        <v>5.6666666666666679</v>
      </c>
      <c r="U573" s="515">
        <f>'Yobe Workings'!$V$115</f>
        <v>2.6666666666666665</v>
      </c>
      <c r="V573" s="515">
        <f>'Yobe Workings'!$V$118</f>
        <v>3</v>
      </c>
      <c r="W573" s="515">
        <f>'Yobe Workings'!$V$121</f>
        <v>2.6666666666666665</v>
      </c>
      <c r="X573" s="880"/>
    </row>
    <row r="574" spans="1:24" ht="12.95" customHeight="1" thickBot="1">
      <c r="A574" s="885"/>
      <c r="B574" s="885"/>
      <c r="C574" s="9" t="s">
        <v>290</v>
      </c>
      <c r="D574" s="945"/>
      <c r="E574" s="946"/>
      <c r="F574" s="946"/>
      <c r="G574" s="947"/>
      <c r="H574" s="1162"/>
      <c r="I574" s="1163"/>
      <c r="J574" s="1163"/>
      <c r="K574" s="1164"/>
      <c r="L574" s="1057" t="s">
        <v>443</v>
      </c>
      <c r="M574" s="1058"/>
      <c r="N574" s="1058"/>
      <c r="O574" s="1059"/>
      <c r="P574" s="68">
        <f>'LF-Anambra'!P171</f>
        <v>0</v>
      </c>
      <c r="Q574" s="68">
        <f>'LF-Anambra'!Q171</f>
        <v>0</v>
      </c>
      <c r="R574" s="68">
        <f>'LF-Anambra'!R171</f>
        <v>0</v>
      </c>
      <c r="S574" s="68">
        <f>'LF-Anambra'!S171</f>
        <v>0</v>
      </c>
      <c r="T574" s="118">
        <f>P574</f>
        <v>0</v>
      </c>
      <c r="U574" s="118">
        <f t="shared" ref="U574:U575" si="112">Q574</f>
        <v>0</v>
      </c>
      <c r="V574" s="118">
        <f t="shared" ref="V574:V575" si="113">R574</f>
        <v>0</v>
      </c>
      <c r="W574" s="118">
        <f t="shared" ref="W574:W575" si="114">S574</f>
        <v>0</v>
      </c>
      <c r="X574" s="880"/>
    </row>
    <row r="575" spans="1:24" ht="12.95" customHeight="1" thickBot="1">
      <c r="A575" s="885"/>
      <c r="B575" s="885"/>
      <c r="C575" s="9" t="s">
        <v>291</v>
      </c>
      <c r="D575" s="945"/>
      <c r="E575" s="946"/>
      <c r="F575" s="946"/>
      <c r="G575" s="947"/>
      <c r="H575" s="1162"/>
      <c r="I575" s="1163"/>
      <c r="J575" s="1163"/>
      <c r="K575" s="1164"/>
      <c r="L575" s="1057" t="s">
        <v>443</v>
      </c>
      <c r="M575" s="1058"/>
      <c r="N575" s="1058"/>
      <c r="O575" s="1059"/>
      <c r="P575" s="68">
        <f>'LF-Niger'!P171</f>
        <v>0</v>
      </c>
      <c r="Q575" s="68">
        <f>'LF-Niger'!Q171</f>
        <v>0</v>
      </c>
      <c r="R575" s="68">
        <f>'LF-Niger'!R171</f>
        <v>0</v>
      </c>
      <c r="S575" s="68">
        <f>'LF-Niger'!S171</f>
        <v>0</v>
      </c>
      <c r="T575" s="118">
        <f>P575</f>
        <v>0</v>
      </c>
      <c r="U575" s="118">
        <f t="shared" si="112"/>
        <v>0</v>
      </c>
      <c r="V575" s="118">
        <f t="shared" si="113"/>
        <v>0</v>
      </c>
      <c r="W575" s="118">
        <f t="shared" si="114"/>
        <v>0</v>
      </c>
      <c r="X575" s="880"/>
    </row>
    <row r="576" spans="1:24" ht="13.5" thickBot="1">
      <c r="A576" s="885"/>
      <c r="B576" s="885"/>
      <c r="C576" s="9" t="s">
        <v>436</v>
      </c>
      <c r="D576" s="1174">
        <v>0</v>
      </c>
      <c r="E576" s="1175"/>
      <c r="F576" s="1175"/>
      <c r="G576" s="1176"/>
      <c r="H576" s="1174">
        <v>10</v>
      </c>
      <c r="I576" s="1175"/>
      <c r="J576" s="1175"/>
      <c r="K576" s="1176"/>
      <c r="L576" s="1174">
        <v>15</v>
      </c>
      <c r="M576" s="1175"/>
      <c r="N576" s="1175"/>
      <c r="O576" s="1176"/>
      <c r="P576" s="1174">
        <v>20</v>
      </c>
      <c r="Q576" s="1175"/>
      <c r="R576" s="1175"/>
      <c r="S576" s="1176"/>
      <c r="T576" s="551">
        <f>P588+(2/3*('State DisAgg LFx10 (2015)'!T576-P588))</f>
        <v>28</v>
      </c>
      <c r="U576" s="551">
        <f>Q588+(2/3*('State DisAgg LFx10 (2015)'!U576-Q588))</f>
        <v>19.333333333333332</v>
      </c>
      <c r="V576" s="551">
        <f>R588+(2/3*('State DisAgg LFx10 (2015)'!V576-R588))</f>
        <v>9.3333333333333339</v>
      </c>
      <c r="W576" s="551">
        <f>S588+(2/3*('State DisAgg LFx10 (2015)'!W576-S588))</f>
        <v>9</v>
      </c>
      <c r="X576" s="880"/>
    </row>
    <row r="577" spans="1:24" ht="13.5" thickBot="1">
      <c r="A577" s="885"/>
      <c r="B577" s="885"/>
      <c r="C577" s="9" t="s">
        <v>641</v>
      </c>
      <c r="D577" s="1174">
        <v>0</v>
      </c>
      <c r="E577" s="1175"/>
      <c r="F577" s="1175"/>
      <c r="G577" s="1176"/>
      <c r="H577" s="1174">
        <v>0</v>
      </c>
      <c r="I577" s="1175"/>
      <c r="J577" s="1175"/>
      <c r="K577" s="1176"/>
      <c r="L577" s="1174">
        <v>0</v>
      </c>
      <c r="M577" s="1175"/>
      <c r="N577" s="1175"/>
      <c r="O577" s="1176"/>
      <c r="P577" s="1174">
        <v>10</v>
      </c>
      <c r="Q577" s="1175"/>
      <c r="R577" s="1175"/>
      <c r="S577" s="1176"/>
      <c r="T577" s="551">
        <f>P589+(2/3*('State DisAgg LFx10 (2015)'!T577-P589))</f>
        <v>19.333333333333332</v>
      </c>
      <c r="U577" s="551">
        <f>Q589+(2/3*('State DisAgg LFx10 (2015)'!U577-Q589))</f>
        <v>13.666666666666666</v>
      </c>
      <c r="V577" s="551">
        <f>R589+(2/3*('State DisAgg LFx10 (2015)'!V577-R589))</f>
        <v>4.666666666666667</v>
      </c>
      <c r="W577" s="551">
        <f>S589+(2/3*('State DisAgg LFx10 (2015)'!W577-S589))</f>
        <v>4.666666666666667</v>
      </c>
      <c r="X577" s="880"/>
    </row>
    <row r="578" spans="1:24" ht="13.5" thickBot="1">
      <c r="A578" s="885"/>
      <c r="B578" s="885"/>
      <c r="C578" s="100" t="s">
        <v>295</v>
      </c>
      <c r="D578" s="1054"/>
      <c r="E578" s="1055"/>
      <c r="F578" s="1055"/>
      <c r="G578" s="1056"/>
      <c r="H578" s="1140">
        <f>'LF-Enugu'!H172:K172</f>
        <v>0</v>
      </c>
      <c r="I578" s="1156"/>
      <c r="J578" s="1156"/>
      <c r="K578" s="1141"/>
      <c r="L578" s="1140">
        <f>'LF-Enugu'!L172:O172</f>
        <v>3</v>
      </c>
      <c r="M578" s="1156"/>
      <c r="N578" s="1156"/>
      <c r="O578" s="1141"/>
      <c r="P578" s="186">
        <f>'LF-Enugu'!P172</f>
        <v>10</v>
      </c>
      <c r="Q578" s="186">
        <f>'LF-Enugu'!Q172</f>
        <v>10</v>
      </c>
      <c r="R578" s="186">
        <f>'LF-Enugu'!R172</f>
        <v>8</v>
      </c>
      <c r="S578" s="186">
        <f>'LF-Enugu'!S172</f>
        <v>5</v>
      </c>
      <c r="T578" s="105">
        <f>'Enugu Workings'!$V$113</f>
        <v>10</v>
      </c>
      <c r="U578" s="105">
        <f>'Enugu Workings'!$V$116</f>
        <v>6</v>
      </c>
      <c r="V578" s="105">
        <f>'Enugu Workings'!$V$119</f>
        <v>3</v>
      </c>
      <c r="W578" s="105">
        <f>'Enugu Workings'!$V$122</f>
        <v>1</v>
      </c>
      <c r="X578" s="880"/>
    </row>
    <row r="579" spans="1:24" ht="13.5" thickBot="1">
      <c r="A579" s="885"/>
      <c r="B579" s="885"/>
      <c r="C579" s="100" t="s">
        <v>296</v>
      </c>
      <c r="D579" s="1054"/>
      <c r="E579" s="1055"/>
      <c r="F579" s="1055"/>
      <c r="G579" s="1056"/>
      <c r="H579" s="1140">
        <f>'LF-Jigawa'!H172:K172</f>
        <v>1</v>
      </c>
      <c r="I579" s="1156"/>
      <c r="J579" s="1156"/>
      <c r="K579" s="1141"/>
      <c r="L579" s="1140">
        <f>'LF-Jigawa'!L172:O172</f>
        <v>10</v>
      </c>
      <c r="M579" s="1156"/>
      <c r="N579" s="1156"/>
      <c r="O579" s="1141"/>
      <c r="P579" s="186">
        <f>'LF-Jigawa'!P172</f>
        <v>18</v>
      </c>
      <c r="Q579" s="186">
        <f>'LF-Jigawa'!Q172</f>
        <v>5</v>
      </c>
      <c r="R579" s="186">
        <f>'LF-Jigawa'!R172</f>
        <v>5</v>
      </c>
      <c r="S579" s="186">
        <f>'LF-Jigawa'!S172</f>
        <v>7</v>
      </c>
      <c r="T579" s="105">
        <f>'Jigawa Workings'!$V$113</f>
        <v>24</v>
      </c>
      <c r="U579" s="105">
        <f>'Jigawa Workings'!$V$116</f>
        <v>10</v>
      </c>
      <c r="V579" s="105">
        <f>'Jigawa Workings'!$V$119</f>
        <v>8</v>
      </c>
      <c r="W579" s="105">
        <f>'Jigawa Workings'!$V$122</f>
        <v>13</v>
      </c>
      <c r="X579" s="880"/>
    </row>
    <row r="580" spans="1:24" ht="13.5" thickBot="1">
      <c r="A580" s="885"/>
      <c r="B580" s="885"/>
      <c r="C580" s="100" t="s">
        <v>297</v>
      </c>
      <c r="D580" s="1054"/>
      <c r="E580" s="1055"/>
      <c r="F580" s="1055"/>
      <c r="G580" s="1056"/>
      <c r="H580" s="1140">
        <f>'LF-Kaduna'!H172:K172</f>
        <v>7</v>
      </c>
      <c r="I580" s="1156"/>
      <c r="J580" s="1156"/>
      <c r="K580" s="1141"/>
      <c r="L580" s="1140">
        <f>'LF-Kaduna'!L172:O172</f>
        <v>8</v>
      </c>
      <c r="M580" s="1156"/>
      <c r="N580" s="1156"/>
      <c r="O580" s="1141"/>
      <c r="P580" s="186">
        <f>'LF-Kaduna'!P172</f>
        <v>12</v>
      </c>
      <c r="Q580" s="186">
        <f>'LF-Kaduna'!Q172</f>
        <v>4</v>
      </c>
      <c r="R580" s="186">
        <f>'LF-Kaduna'!R172</f>
        <v>4</v>
      </c>
      <c r="S580" s="186">
        <f>'LF-Kaduna'!S172</f>
        <v>2</v>
      </c>
      <c r="T580" s="105">
        <f>'Kaduna Workings'!$V$113</f>
        <v>18</v>
      </c>
      <c r="U580" s="105">
        <f>'Kaduna Workings'!$V$116</f>
        <v>10</v>
      </c>
      <c r="V580" s="105">
        <f>'Kaduna Workings'!$V$119</f>
        <v>7</v>
      </c>
      <c r="W580" s="105">
        <f>'Kaduna Workings'!$V$122</f>
        <v>4</v>
      </c>
      <c r="X580" s="880"/>
    </row>
    <row r="581" spans="1:24" ht="13.5" thickBot="1">
      <c r="A581" s="885"/>
      <c r="B581" s="885"/>
      <c r="C581" s="100" t="s">
        <v>298</v>
      </c>
      <c r="D581" s="1054"/>
      <c r="E581" s="1055"/>
      <c r="F581" s="1055"/>
      <c r="G581" s="1056"/>
      <c r="H581" s="1140">
        <f>'LF-Kano'!H172:K172</f>
        <v>3</v>
      </c>
      <c r="I581" s="1156"/>
      <c r="J581" s="1156"/>
      <c r="K581" s="1141"/>
      <c r="L581" s="1140">
        <f>'LF-Kano'!L172:O172</f>
        <v>8</v>
      </c>
      <c r="M581" s="1156"/>
      <c r="N581" s="1156"/>
      <c r="O581" s="1141"/>
      <c r="P581" s="186">
        <f>'LF-Kano'!P172</f>
        <v>13</v>
      </c>
      <c r="Q581" s="186">
        <f>'LF-Kano'!Q172</f>
        <v>5</v>
      </c>
      <c r="R581" s="186">
        <f>'LF-Kano'!R172</f>
        <v>3</v>
      </c>
      <c r="S581" s="186">
        <f>'LF-Kano'!S172</f>
        <v>5</v>
      </c>
      <c r="T581" s="105">
        <f>'Kano Workings'!$V$113</f>
        <v>22</v>
      </c>
      <c r="U581" s="105">
        <f>'Kano Workings'!$V$116</f>
        <v>9</v>
      </c>
      <c r="V581" s="105">
        <f>'Kano Workings'!$V$119</f>
        <v>8</v>
      </c>
      <c r="W581" s="105">
        <f>'Kano Workings'!$V$122</f>
        <v>8</v>
      </c>
      <c r="X581" s="880"/>
    </row>
    <row r="582" spans="1:24" ht="13.5" thickBot="1">
      <c r="A582" s="885"/>
      <c r="B582" s="885"/>
      <c r="C582" s="100" t="s">
        <v>299</v>
      </c>
      <c r="D582" s="1054"/>
      <c r="E582" s="1055"/>
      <c r="F582" s="1055"/>
      <c r="G582" s="1056"/>
      <c r="H582" s="1140">
        <f>'LF-Lagos'!H172:K172</f>
        <v>5</v>
      </c>
      <c r="I582" s="1156"/>
      <c r="J582" s="1156"/>
      <c r="K582" s="1141"/>
      <c r="L582" s="1140">
        <f>'LF-Lagos'!L172:O172</f>
        <v>8</v>
      </c>
      <c r="M582" s="1156"/>
      <c r="N582" s="1156"/>
      <c r="O582" s="1141"/>
      <c r="P582" s="186">
        <f>'LF-Lagos'!P172</f>
        <v>9</v>
      </c>
      <c r="Q582" s="186">
        <f>'LF-Lagos'!Q172</f>
        <v>6</v>
      </c>
      <c r="R582" s="186">
        <f>'LF-Lagos'!R172</f>
        <v>6</v>
      </c>
      <c r="S582" s="186">
        <f>'LF-Lagos'!S172</f>
        <v>6</v>
      </c>
      <c r="T582" s="105">
        <f>'Lagos Workings'!$V$113</f>
        <v>9</v>
      </c>
      <c r="U582" s="105">
        <f>'Lagos Workings'!$V$116</f>
        <v>8</v>
      </c>
      <c r="V582" s="105">
        <f>'Lagos Workings'!$V$119</f>
        <v>8</v>
      </c>
      <c r="W582" s="105">
        <f>'Lagos Workings'!$V$122</f>
        <v>7</v>
      </c>
      <c r="X582" s="880"/>
    </row>
    <row r="583" spans="1:24" ht="24.75" thickBot="1">
      <c r="A583" s="885"/>
      <c r="B583" s="885"/>
      <c r="C583" s="100" t="s">
        <v>300</v>
      </c>
      <c r="D583" s="1054"/>
      <c r="E583" s="1055"/>
      <c r="F583" s="1055"/>
      <c r="G583" s="1056"/>
      <c r="H583" s="1054"/>
      <c r="I583" s="1055"/>
      <c r="J583" s="1055"/>
      <c r="K583" s="1056"/>
      <c r="L583" s="1140">
        <f>'LF-Zamfara'!L172:O172</f>
        <v>2</v>
      </c>
      <c r="M583" s="1156"/>
      <c r="N583" s="1156"/>
      <c r="O583" s="1141"/>
      <c r="P583" s="186">
        <f>'LF-Zamfara'!P172</f>
        <v>2</v>
      </c>
      <c r="Q583" s="186">
        <f>'LF-Zamfara'!Q172</f>
        <v>1</v>
      </c>
      <c r="R583" s="186">
        <f>'LF-Zamfara'!R172</f>
        <v>1</v>
      </c>
      <c r="S583" s="186">
        <f>'LF-Zamfara'!S172</f>
        <v>0</v>
      </c>
      <c r="T583" s="105">
        <f>'Zamfara Workings'!$V$113</f>
        <v>4</v>
      </c>
      <c r="U583" s="105">
        <f>'Zamfara Workings'!$V$116</f>
        <v>3</v>
      </c>
      <c r="V583" s="105">
        <f>'Zamfara Workings'!$V$119</f>
        <v>1</v>
      </c>
      <c r="W583" s="105">
        <f>'Zamfara Workings'!$V$122</f>
        <v>1</v>
      </c>
      <c r="X583" s="880"/>
    </row>
    <row r="584" spans="1:24" ht="13.5" thickBot="1">
      <c r="A584" s="885"/>
      <c r="B584" s="885"/>
      <c r="C584" s="100" t="s">
        <v>301</v>
      </c>
      <c r="D584" s="1054"/>
      <c r="E584" s="1055"/>
      <c r="F584" s="1055"/>
      <c r="G584" s="1056"/>
      <c r="H584" s="1054"/>
      <c r="I584" s="1055"/>
      <c r="J584" s="1055"/>
      <c r="K584" s="1056"/>
      <c r="L584" s="1140">
        <f>'LF-Katsina'!L172:O172</f>
        <v>1</v>
      </c>
      <c r="M584" s="1156"/>
      <c r="N584" s="1156"/>
      <c r="O584" s="1141"/>
      <c r="P584" s="186">
        <f>'LF-Katsina'!P172</f>
        <v>3</v>
      </c>
      <c r="Q584" s="186">
        <f>'LF-Katsina'!Q172</f>
        <v>2</v>
      </c>
      <c r="R584" s="186">
        <f>'LF-Katsina'!R172</f>
        <v>1</v>
      </c>
      <c r="S584" s="186">
        <f>'LF-Katsina'!S172</f>
        <v>0</v>
      </c>
      <c r="T584" s="105">
        <f>'Katsina Workings'!$V$113</f>
        <v>9</v>
      </c>
      <c r="U584" s="105">
        <f>'Katsina Workings'!$V$116</f>
        <v>9</v>
      </c>
      <c r="V584" s="105">
        <f>'Katsina Workings'!$V$119</f>
        <v>9</v>
      </c>
      <c r="W584" s="105">
        <f>'Katsina Workings'!$V$122</f>
        <v>6</v>
      </c>
      <c r="X584" s="880"/>
    </row>
    <row r="585" spans="1:24" ht="13.5" thickBot="1">
      <c r="A585" s="885"/>
      <c r="B585" s="885"/>
      <c r="C585" s="100" t="s">
        <v>302</v>
      </c>
      <c r="D585" s="1054"/>
      <c r="E585" s="1055"/>
      <c r="F585" s="1055"/>
      <c r="G585" s="1056"/>
      <c r="H585" s="1054"/>
      <c r="I585" s="1055"/>
      <c r="J585" s="1055"/>
      <c r="K585" s="1056"/>
      <c r="L585" s="1140">
        <f>'LF-Yobe'!L172:O172</f>
        <v>1</v>
      </c>
      <c r="M585" s="1156"/>
      <c r="N585" s="1156"/>
      <c r="O585" s="1141"/>
      <c r="P585" s="186">
        <f>'LF-Yobe'!P172</f>
        <v>1</v>
      </c>
      <c r="Q585" s="186">
        <f>'LF-Yobe'!Q172</f>
        <v>0</v>
      </c>
      <c r="R585" s="186">
        <f>'LF-Yobe'!R172</f>
        <v>1</v>
      </c>
      <c r="S585" s="186">
        <f>'LF-Yobe'!S172</f>
        <v>0</v>
      </c>
      <c r="T585" s="105">
        <f>'Yobe Workings'!$V$113</f>
        <v>8</v>
      </c>
      <c r="U585" s="105">
        <f>'Yobe Workings'!$V$116</f>
        <v>6</v>
      </c>
      <c r="V585" s="105">
        <f>'Yobe Workings'!$V$119</f>
        <v>3</v>
      </c>
      <c r="W585" s="105">
        <f>'Yobe Workings'!$V$122</f>
        <v>0</v>
      </c>
      <c r="X585" s="880"/>
    </row>
    <row r="586" spans="1:24" ht="24.75" thickBot="1">
      <c r="A586" s="885"/>
      <c r="B586" s="885"/>
      <c r="C586" s="100" t="s">
        <v>303</v>
      </c>
      <c r="D586" s="1054"/>
      <c r="E586" s="1055"/>
      <c r="F586" s="1055"/>
      <c r="G586" s="1056"/>
      <c r="H586" s="1054"/>
      <c r="I586" s="1055"/>
      <c r="J586" s="1055"/>
      <c r="K586" s="1056"/>
      <c r="L586" s="1054"/>
      <c r="M586" s="1055"/>
      <c r="N586" s="1055"/>
      <c r="O586" s="1056"/>
      <c r="P586" s="1054"/>
      <c r="Q586" s="1055"/>
      <c r="R586" s="1055"/>
      <c r="S586" s="1056"/>
      <c r="T586" s="105">
        <f>T574</f>
        <v>0</v>
      </c>
      <c r="U586" s="105">
        <f t="shared" ref="U586:W586" si="115">U574</f>
        <v>0</v>
      </c>
      <c r="V586" s="105">
        <f t="shared" si="115"/>
        <v>0</v>
      </c>
      <c r="W586" s="105">
        <f t="shared" si="115"/>
        <v>0</v>
      </c>
      <c r="X586" s="880"/>
    </row>
    <row r="587" spans="1:24" ht="13.5" thickBot="1">
      <c r="A587" s="885"/>
      <c r="B587" s="885"/>
      <c r="C587" s="100" t="s">
        <v>304</v>
      </c>
      <c r="D587" s="1054"/>
      <c r="E587" s="1055"/>
      <c r="F587" s="1055"/>
      <c r="G587" s="1056"/>
      <c r="H587" s="1054"/>
      <c r="I587" s="1055"/>
      <c r="J587" s="1055"/>
      <c r="K587" s="1056"/>
      <c r="L587" s="1054"/>
      <c r="M587" s="1055"/>
      <c r="N587" s="1055"/>
      <c r="O587" s="1056"/>
      <c r="P587" s="1054"/>
      <c r="Q587" s="1055"/>
      <c r="R587" s="1055"/>
      <c r="S587" s="1056"/>
      <c r="T587" s="105">
        <f>T575</f>
        <v>0</v>
      </c>
      <c r="U587" s="105">
        <f t="shared" ref="U587:W587" si="116">U575</f>
        <v>0</v>
      </c>
      <c r="V587" s="105">
        <f t="shared" si="116"/>
        <v>0</v>
      </c>
      <c r="W587" s="105">
        <f t="shared" si="116"/>
        <v>0</v>
      </c>
      <c r="X587" s="880"/>
    </row>
    <row r="588" spans="1:24" ht="13.5" thickBot="1">
      <c r="A588" s="885"/>
      <c r="B588" s="885"/>
      <c r="C588" s="100" t="s">
        <v>435</v>
      </c>
      <c r="D588" s="1054"/>
      <c r="E588" s="1055"/>
      <c r="F588" s="1055"/>
      <c r="G588" s="1056"/>
      <c r="H588" s="1177">
        <v>10</v>
      </c>
      <c r="I588" s="1178"/>
      <c r="J588" s="1178"/>
      <c r="K588" s="1179"/>
      <c r="L588" s="1177">
        <v>13</v>
      </c>
      <c r="M588" s="1178"/>
      <c r="N588" s="1178"/>
      <c r="O588" s="1179"/>
      <c r="P588" s="552">
        <v>24</v>
      </c>
      <c r="Q588" s="552">
        <v>18</v>
      </c>
      <c r="R588" s="552">
        <v>8</v>
      </c>
      <c r="S588" s="552">
        <v>7</v>
      </c>
      <c r="T588" s="106">
        <f>'Nat-Intl Replication Diary'!Q9</f>
        <v>42</v>
      </c>
      <c r="U588" s="106">
        <f>'Nat-Intl Replication Diary'!Q10</f>
        <v>31</v>
      </c>
      <c r="V588" s="106">
        <f>'Nat-Intl Replication Diary'!Q11</f>
        <v>22</v>
      </c>
      <c r="W588" s="106">
        <f>'Nat-Intl Replication Diary'!Q12</f>
        <v>15</v>
      </c>
      <c r="X588" s="880"/>
    </row>
    <row r="589" spans="1:24" ht="13.5" thickBot="1">
      <c r="A589" s="885"/>
      <c r="B589" s="885"/>
      <c r="C589" s="100" t="s">
        <v>642</v>
      </c>
      <c r="D589" s="1054"/>
      <c r="E589" s="1055"/>
      <c r="F589" s="1055"/>
      <c r="G589" s="1056"/>
      <c r="H589" s="1177">
        <v>0</v>
      </c>
      <c r="I589" s="1178"/>
      <c r="J589" s="1178"/>
      <c r="K589" s="1179"/>
      <c r="L589" s="1177">
        <v>0</v>
      </c>
      <c r="M589" s="1178"/>
      <c r="N589" s="1178"/>
      <c r="O589" s="1179"/>
      <c r="P589" s="552">
        <v>18</v>
      </c>
      <c r="Q589" s="552">
        <v>11</v>
      </c>
      <c r="R589" s="552">
        <v>4</v>
      </c>
      <c r="S589" s="552">
        <v>4</v>
      </c>
      <c r="T589" s="106">
        <f>'Nat-Intl Replication Diary'!R9</f>
        <v>42</v>
      </c>
      <c r="U589" s="106">
        <f>'Nat-Intl Replication Diary'!R10</f>
        <v>22</v>
      </c>
      <c r="V589" s="106">
        <f>'Nat-Intl Replication Diary'!R11</f>
        <v>10</v>
      </c>
      <c r="W589" s="106">
        <f>'Nat-Intl Replication Diary'!R12</f>
        <v>6</v>
      </c>
      <c r="X589" s="880"/>
    </row>
    <row r="590" spans="1:24" ht="13.5" thickBot="1">
      <c r="A590" s="885"/>
      <c r="B590" s="885"/>
      <c r="C590" s="922" t="s">
        <v>413</v>
      </c>
      <c r="D590" s="927" t="s">
        <v>4</v>
      </c>
      <c r="E590" s="928"/>
      <c r="F590" s="928"/>
      <c r="G590" s="928"/>
      <c r="H590" s="928"/>
      <c r="I590" s="928"/>
      <c r="J590" s="928"/>
      <c r="K590" s="928"/>
      <c r="L590" s="928"/>
      <c r="M590" s="928"/>
      <c r="N590" s="928"/>
      <c r="O590" s="928"/>
      <c r="P590" s="928"/>
      <c r="Q590" s="928"/>
      <c r="R590" s="928"/>
      <c r="S590" s="928"/>
      <c r="T590" s="928"/>
      <c r="U590" s="928"/>
      <c r="V590" s="928"/>
      <c r="W590" s="929"/>
      <c r="X590" s="880"/>
    </row>
    <row r="591" spans="1:24" ht="13.5" thickBot="1">
      <c r="A591" s="885"/>
      <c r="B591" s="869"/>
      <c r="C591" s="923"/>
      <c r="D591" s="930" t="s">
        <v>125</v>
      </c>
      <c r="E591" s="931"/>
      <c r="F591" s="931"/>
      <c r="G591" s="931"/>
      <c r="H591" s="931"/>
      <c r="I591" s="931"/>
      <c r="J591" s="931"/>
      <c r="K591" s="931"/>
      <c r="L591" s="931"/>
      <c r="M591" s="931"/>
      <c r="N591" s="931"/>
      <c r="O591" s="931"/>
      <c r="P591" s="931"/>
      <c r="Q591" s="931"/>
      <c r="R591" s="931"/>
      <c r="S591" s="931"/>
      <c r="T591" s="931"/>
      <c r="U591" s="931"/>
      <c r="V591" s="931"/>
      <c r="W591" s="932"/>
      <c r="X591" s="880"/>
    </row>
    <row r="592" spans="1:24" ht="12.95" customHeight="1" thickBot="1">
      <c r="A592" s="885"/>
      <c r="B592" s="11" t="s">
        <v>36</v>
      </c>
      <c r="C592" s="12"/>
      <c r="D592" s="927" t="s">
        <v>78</v>
      </c>
      <c r="E592" s="928"/>
      <c r="F592" s="928"/>
      <c r="G592" s="929"/>
      <c r="H592" s="927" t="s">
        <v>77</v>
      </c>
      <c r="I592" s="928"/>
      <c r="J592" s="928"/>
      <c r="K592" s="929"/>
      <c r="L592" s="927" t="s">
        <v>81</v>
      </c>
      <c r="M592" s="928"/>
      <c r="N592" s="928"/>
      <c r="O592" s="929"/>
      <c r="P592" s="927" t="s">
        <v>254</v>
      </c>
      <c r="Q592" s="928"/>
      <c r="R592" s="928"/>
      <c r="S592" s="929"/>
      <c r="T592" s="1144" t="s">
        <v>908</v>
      </c>
      <c r="U592" s="1145"/>
      <c r="V592" s="1145"/>
      <c r="W592" s="1146"/>
      <c r="X592" s="880"/>
    </row>
    <row r="593" spans="1:24" ht="13.5" thickBot="1">
      <c r="A593" s="885"/>
      <c r="B593" s="868" t="s">
        <v>601</v>
      </c>
      <c r="C593" s="9" t="s">
        <v>285</v>
      </c>
      <c r="D593" s="924">
        <f>'LF-Enugu'!D177:G177</f>
        <v>0</v>
      </c>
      <c r="E593" s="925"/>
      <c r="F593" s="925"/>
      <c r="G593" s="926"/>
      <c r="H593" s="924">
        <f>'LF-Enugu'!H177:K177</f>
        <v>1</v>
      </c>
      <c r="I593" s="925"/>
      <c r="J593" s="925"/>
      <c r="K593" s="926"/>
      <c r="L593" s="939">
        <f>'LF-Enugu'!L177:O177</f>
        <v>1</v>
      </c>
      <c r="M593" s="940"/>
      <c r="N593" s="940"/>
      <c r="O593" s="941"/>
      <c r="P593" s="939">
        <f>'LF-Enugu'!P177:S177</f>
        <v>2</v>
      </c>
      <c r="Q593" s="940"/>
      <c r="R593" s="940"/>
      <c r="S593" s="941"/>
      <c r="T593" s="515">
        <f>'Enugu Workings'!$V$124</f>
        <v>4.6666666666666661</v>
      </c>
      <c r="U593" s="515">
        <f>'Enugu Workings'!$V$127</f>
        <v>2.6666666666666665</v>
      </c>
      <c r="V593" s="515">
        <f>'Enugu Workings'!$V$130</f>
        <v>2</v>
      </c>
      <c r="W593" s="515">
        <f>'Enugu Workings'!$V$133</f>
        <v>0.66666666666666663</v>
      </c>
      <c r="X593" s="880"/>
    </row>
    <row r="594" spans="1:24" ht="13.5" thickBot="1">
      <c r="A594" s="885"/>
      <c r="B594" s="885"/>
      <c r="C594" s="9" t="s">
        <v>286</v>
      </c>
      <c r="D594" s="924">
        <f>'LF-Jigawa'!D177:G177</f>
        <v>0</v>
      </c>
      <c r="E594" s="925"/>
      <c r="F594" s="925"/>
      <c r="G594" s="926"/>
      <c r="H594" s="924">
        <f>'LF-Jigawa'!H177:K177</f>
        <v>1</v>
      </c>
      <c r="I594" s="925"/>
      <c r="J594" s="925"/>
      <c r="K594" s="926"/>
      <c r="L594" s="939">
        <f>'LF-Jigawa'!L177:O177</f>
        <v>4</v>
      </c>
      <c r="M594" s="940"/>
      <c r="N594" s="940"/>
      <c r="O594" s="941"/>
      <c r="P594" s="939">
        <f>'LF-Jigawa'!P177:S177</f>
        <v>2</v>
      </c>
      <c r="Q594" s="940"/>
      <c r="R594" s="940"/>
      <c r="S594" s="941"/>
      <c r="T594" s="515">
        <f>'Jigawa Workings'!$V$124</f>
        <v>7.3333333333333321</v>
      </c>
      <c r="U594" s="515">
        <f>'Jigawa Workings'!$V$127</f>
        <v>4.6666666666666661</v>
      </c>
      <c r="V594" s="515">
        <f>'Jigawa Workings'!$V$130</f>
        <v>3</v>
      </c>
      <c r="W594" s="515">
        <f>'Jigawa Workings'!$V$133</f>
        <v>1.666666666666667</v>
      </c>
      <c r="X594" s="880"/>
    </row>
    <row r="595" spans="1:24" ht="13.5" thickBot="1">
      <c r="A595" s="885"/>
      <c r="B595" s="885"/>
      <c r="C595" s="9" t="s">
        <v>287</v>
      </c>
      <c r="D595" s="924">
        <f>'LF-Kaduna'!D177:G177</f>
        <v>0</v>
      </c>
      <c r="E595" s="925"/>
      <c r="F595" s="925"/>
      <c r="G595" s="926"/>
      <c r="H595" s="924">
        <f>'LF-Kaduna'!H177:K177</f>
        <v>2</v>
      </c>
      <c r="I595" s="925"/>
      <c r="J595" s="925"/>
      <c r="K595" s="926"/>
      <c r="L595" s="939">
        <f>'LF-Kaduna'!L177:O177</f>
        <v>5</v>
      </c>
      <c r="M595" s="940"/>
      <c r="N595" s="940"/>
      <c r="O595" s="941"/>
      <c r="P595" s="939">
        <f>'LF-Kaduna'!P177:S177</f>
        <v>5</v>
      </c>
      <c r="Q595" s="940"/>
      <c r="R595" s="940"/>
      <c r="S595" s="941"/>
      <c r="T595" s="515">
        <f>'Kaduna Workings'!$V$124</f>
        <v>6.3333333333333321</v>
      </c>
      <c r="U595" s="515">
        <f>'Kaduna Workings'!$V$127</f>
        <v>4.6666666666666679</v>
      </c>
      <c r="V595" s="515">
        <f>'Kaduna Workings'!$V$130</f>
        <v>2</v>
      </c>
      <c r="W595" s="515">
        <f>'Kaduna Workings'!$V$133</f>
        <v>1.333333333333333</v>
      </c>
      <c r="X595" s="880"/>
    </row>
    <row r="596" spans="1:24" ht="13.5" thickBot="1">
      <c r="A596" s="885"/>
      <c r="B596" s="885"/>
      <c r="C596" s="9" t="s">
        <v>288</v>
      </c>
      <c r="D596" s="924">
        <f>'LF-Kano'!D177:G177</f>
        <v>0</v>
      </c>
      <c r="E596" s="925"/>
      <c r="F596" s="925"/>
      <c r="G596" s="926"/>
      <c r="H596" s="924">
        <f>'LF-Kano'!H177:K177</f>
        <v>5</v>
      </c>
      <c r="I596" s="925"/>
      <c r="J596" s="925"/>
      <c r="K596" s="926"/>
      <c r="L596" s="939">
        <f>'LF-Kano'!L177:O177</f>
        <v>10</v>
      </c>
      <c r="M596" s="940"/>
      <c r="N596" s="940"/>
      <c r="O596" s="941"/>
      <c r="P596" s="939">
        <f>'LF-Kano'!P177:S177</f>
        <v>8</v>
      </c>
      <c r="Q596" s="940"/>
      <c r="R596" s="940"/>
      <c r="S596" s="941"/>
      <c r="T596" s="515">
        <f>'Kano Workings'!$V$124</f>
        <v>11.333333333333336</v>
      </c>
      <c r="U596" s="515">
        <f>'Kano Workings'!$V$127</f>
        <v>7.3333333333333321</v>
      </c>
      <c r="V596" s="515">
        <f>'Kano Workings'!$V$130</f>
        <v>5</v>
      </c>
      <c r="W596" s="515">
        <f>'Kano Workings'!$V$133</f>
        <v>1.666666666666667</v>
      </c>
      <c r="X596" s="880"/>
    </row>
    <row r="597" spans="1:24" ht="13.5" thickBot="1">
      <c r="A597" s="885"/>
      <c r="B597" s="885"/>
      <c r="C597" s="9" t="s">
        <v>289</v>
      </c>
      <c r="D597" s="924">
        <f>'LF-Lagos'!D177:G177</f>
        <v>2</v>
      </c>
      <c r="E597" s="925"/>
      <c r="F597" s="925"/>
      <c r="G597" s="926"/>
      <c r="H597" s="924">
        <f>'LF-Lagos'!H177:K177</f>
        <v>5</v>
      </c>
      <c r="I597" s="925"/>
      <c r="J597" s="925"/>
      <c r="K597" s="926"/>
      <c r="L597" s="939">
        <f>'LF-Lagos'!L177:O177</f>
        <v>8</v>
      </c>
      <c r="M597" s="940"/>
      <c r="N597" s="940"/>
      <c r="O597" s="941"/>
      <c r="P597" s="939">
        <f>'LF-Lagos'!P177:S177</f>
        <v>4</v>
      </c>
      <c r="Q597" s="940"/>
      <c r="R597" s="940"/>
      <c r="S597" s="941"/>
      <c r="T597" s="515">
        <f>'Lagos Workings'!$V$124</f>
        <v>7.3333333333333321</v>
      </c>
      <c r="U597" s="515">
        <f>'Lagos Workings'!$V$127</f>
        <v>4</v>
      </c>
      <c r="V597" s="515">
        <f>'Lagos Workings'!$V$130</f>
        <v>3.3333333333333335</v>
      </c>
      <c r="W597" s="515">
        <f>'Lagos Workings'!$V$133</f>
        <v>1.3333333333333333</v>
      </c>
      <c r="X597" s="880"/>
    </row>
    <row r="598" spans="1:24" ht="12.95" customHeight="1" thickBot="1">
      <c r="A598" s="885"/>
      <c r="B598" s="885"/>
      <c r="C598" s="9" t="s">
        <v>292</v>
      </c>
      <c r="D598" s="1166"/>
      <c r="E598" s="1167"/>
      <c r="F598" s="1167"/>
      <c r="G598" s="1168"/>
      <c r="H598" s="924">
        <f>'LF-Zamfara'!H177:K177</f>
        <v>0</v>
      </c>
      <c r="I598" s="925"/>
      <c r="J598" s="925"/>
      <c r="K598" s="926"/>
      <c r="L598" s="939">
        <f>'LF-Zamfara'!L177:O177</f>
        <v>1</v>
      </c>
      <c r="M598" s="940"/>
      <c r="N598" s="940"/>
      <c r="O598" s="941"/>
      <c r="P598" s="939">
        <f>'LF-Zamfara'!P177:S177</f>
        <v>2</v>
      </c>
      <c r="Q598" s="940"/>
      <c r="R598" s="940"/>
      <c r="S598" s="941"/>
      <c r="T598" s="515">
        <f>'Zamfara Workings'!$V$124</f>
        <v>4</v>
      </c>
      <c r="U598" s="515">
        <f>'Zamfara Workings'!$V$127</f>
        <v>0.66666666666666696</v>
      </c>
      <c r="V598" s="515">
        <f>'Zamfara Workings'!$V$130</f>
        <v>0.33333333333333348</v>
      </c>
      <c r="W598" s="515">
        <f>'Zamfara Workings'!$V$133</f>
        <v>0.33333333333333348</v>
      </c>
      <c r="X598" s="880"/>
    </row>
    <row r="599" spans="1:24" ht="12.95" customHeight="1" thickBot="1">
      <c r="A599" s="885"/>
      <c r="B599" s="885"/>
      <c r="C599" s="9" t="s">
        <v>293</v>
      </c>
      <c r="D599" s="1166"/>
      <c r="E599" s="1167"/>
      <c r="F599" s="1167"/>
      <c r="G599" s="1168"/>
      <c r="H599" s="924">
        <f>'LF-Katsina'!H177:K177</f>
        <v>0</v>
      </c>
      <c r="I599" s="925"/>
      <c r="J599" s="925"/>
      <c r="K599" s="926"/>
      <c r="L599" s="939">
        <f>'LF-Katsina'!L177:O177</f>
        <v>0</v>
      </c>
      <c r="M599" s="940"/>
      <c r="N599" s="940"/>
      <c r="O599" s="941"/>
      <c r="P599" s="939">
        <f>'LF-Katsina'!P177:S177</f>
        <v>0</v>
      </c>
      <c r="Q599" s="940"/>
      <c r="R599" s="940"/>
      <c r="S599" s="941"/>
      <c r="T599" s="515">
        <f>'Katsina Workings'!$V$124</f>
        <v>4</v>
      </c>
      <c r="U599" s="515">
        <f>'Katsina Workings'!$V$127</f>
        <v>3</v>
      </c>
      <c r="V599" s="515">
        <f>'Katsina Workings'!$V$130</f>
        <v>1.3333333333333333</v>
      </c>
      <c r="W599" s="515">
        <f>'Katsina Workings'!$V$133</f>
        <v>0</v>
      </c>
      <c r="X599" s="880"/>
    </row>
    <row r="600" spans="1:24" ht="12.95" customHeight="1" thickBot="1">
      <c r="A600" s="885"/>
      <c r="B600" s="885"/>
      <c r="C600" s="9" t="s">
        <v>294</v>
      </c>
      <c r="D600" s="1166"/>
      <c r="E600" s="1167"/>
      <c r="F600" s="1167"/>
      <c r="G600" s="1168"/>
      <c r="H600" s="924">
        <f>'LF-Yobe'!H177:K177</f>
        <v>0</v>
      </c>
      <c r="I600" s="925"/>
      <c r="J600" s="925"/>
      <c r="K600" s="926"/>
      <c r="L600" s="924">
        <f>'LF-Yobe'!L177:O177</f>
        <v>0</v>
      </c>
      <c r="M600" s="925"/>
      <c r="N600" s="925"/>
      <c r="O600" s="926"/>
      <c r="P600" s="939">
        <f>'LF-Yobe'!P177:S177</f>
        <v>0</v>
      </c>
      <c r="Q600" s="940"/>
      <c r="R600" s="940"/>
      <c r="S600" s="941"/>
      <c r="T600" s="515">
        <f>'Yobe Workings'!$V$124</f>
        <v>2.6666666666666665</v>
      </c>
      <c r="U600" s="515">
        <f>'Yobe Workings'!$V$127</f>
        <v>2.333333333333333</v>
      </c>
      <c r="V600" s="515">
        <f>'Yobe Workings'!$V$130</f>
        <v>1.3333333333333333</v>
      </c>
      <c r="W600" s="515">
        <f>'Yobe Workings'!$V$133</f>
        <v>0.66666666666666663</v>
      </c>
      <c r="X600" s="880"/>
    </row>
    <row r="601" spans="1:24" ht="12.95" customHeight="1" thickBot="1">
      <c r="A601" s="885"/>
      <c r="B601" s="885"/>
      <c r="C601" s="9" t="s">
        <v>290</v>
      </c>
      <c r="D601" s="1166"/>
      <c r="E601" s="1167"/>
      <c r="F601" s="1167"/>
      <c r="G601" s="1168"/>
      <c r="H601" s="1162"/>
      <c r="I601" s="1163"/>
      <c r="J601" s="1163"/>
      <c r="K601" s="1164"/>
      <c r="L601" s="1057" t="s">
        <v>443</v>
      </c>
      <c r="M601" s="1058"/>
      <c r="N601" s="1058"/>
      <c r="O601" s="1059"/>
      <c r="P601" s="68">
        <f>'LF-Anambra'!P177</f>
        <v>0</v>
      </c>
      <c r="Q601" s="68">
        <f>'LF-Anambra'!Q177</f>
        <v>0</v>
      </c>
      <c r="R601" s="68">
        <f>'LF-Anambra'!R177</f>
        <v>0</v>
      </c>
      <c r="S601" s="68">
        <f>'LF-Anambra'!S177</f>
        <v>0</v>
      </c>
      <c r="T601" s="118">
        <f>P601</f>
        <v>0</v>
      </c>
      <c r="U601" s="118">
        <f t="shared" ref="U601:U602" si="117">Q601</f>
        <v>0</v>
      </c>
      <c r="V601" s="118">
        <f t="shared" ref="V601:V602" si="118">R601</f>
        <v>0</v>
      </c>
      <c r="W601" s="118">
        <f t="shared" ref="W601:W602" si="119">S601</f>
        <v>0</v>
      </c>
      <c r="X601" s="880"/>
    </row>
    <row r="602" spans="1:24" ht="12.95" customHeight="1" thickBot="1">
      <c r="A602" s="885"/>
      <c r="B602" s="885"/>
      <c r="C602" s="9" t="s">
        <v>291</v>
      </c>
      <c r="D602" s="1166"/>
      <c r="E602" s="1167"/>
      <c r="F602" s="1167"/>
      <c r="G602" s="1168"/>
      <c r="H602" s="1162"/>
      <c r="I602" s="1163"/>
      <c r="J602" s="1163"/>
      <c r="K602" s="1164"/>
      <c r="L602" s="1057" t="s">
        <v>443</v>
      </c>
      <c r="M602" s="1058"/>
      <c r="N602" s="1058"/>
      <c r="O602" s="1059"/>
      <c r="P602" s="68">
        <f>'LF-Niger'!P177</f>
        <v>0</v>
      </c>
      <c r="Q602" s="68">
        <f>'LF-Niger'!Q177</f>
        <v>0</v>
      </c>
      <c r="R602" s="68">
        <f>'LF-Niger'!R177</f>
        <v>0</v>
      </c>
      <c r="S602" s="68">
        <f>'LF-Niger'!S177</f>
        <v>0</v>
      </c>
      <c r="T602" s="118">
        <f>P602</f>
        <v>0</v>
      </c>
      <c r="U602" s="118">
        <f t="shared" si="117"/>
        <v>0</v>
      </c>
      <c r="V602" s="118">
        <f t="shared" si="118"/>
        <v>0</v>
      </c>
      <c r="W602" s="118">
        <f t="shared" si="119"/>
        <v>0</v>
      </c>
      <c r="X602" s="880"/>
    </row>
    <row r="603" spans="1:24" ht="13.5" thickBot="1">
      <c r="A603" s="885"/>
      <c r="B603" s="885"/>
      <c r="C603" s="9" t="s">
        <v>436</v>
      </c>
      <c r="D603" s="1174">
        <v>0</v>
      </c>
      <c r="E603" s="1175"/>
      <c r="F603" s="1175"/>
      <c r="G603" s="1176"/>
      <c r="H603" s="1174">
        <v>0</v>
      </c>
      <c r="I603" s="1175"/>
      <c r="J603" s="1175"/>
      <c r="K603" s="1176"/>
      <c r="L603" s="1174">
        <v>5</v>
      </c>
      <c r="M603" s="1175"/>
      <c r="N603" s="1175"/>
      <c r="O603" s="1176"/>
      <c r="P603" s="1174">
        <v>10</v>
      </c>
      <c r="Q603" s="1175"/>
      <c r="R603" s="1175"/>
      <c r="S603" s="1176"/>
      <c r="T603" s="551">
        <f>P615+(2/3*('State DisAgg LFx10 (2015)'!T603-P615))</f>
        <v>13.333333333333332</v>
      </c>
      <c r="U603" s="551">
        <f>Q615+(2/3*('State DisAgg LFx10 (2015)'!U603-Q615))</f>
        <v>9.6666666666666661</v>
      </c>
      <c r="V603" s="551">
        <f>R615+(2/3*('State DisAgg LFx10 (2015)'!V603-R615))</f>
        <v>4.333333333333333</v>
      </c>
      <c r="W603" s="551">
        <f>S615+(2/3*('State DisAgg LFx10 (2015)'!W603-S615))</f>
        <v>2.6666666666666665</v>
      </c>
      <c r="X603" s="880"/>
    </row>
    <row r="604" spans="1:24" ht="13.5" thickBot="1">
      <c r="A604" s="885"/>
      <c r="B604" s="885"/>
      <c r="C604" s="9" t="s">
        <v>641</v>
      </c>
      <c r="D604" s="1174">
        <v>0</v>
      </c>
      <c r="E604" s="1175"/>
      <c r="F604" s="1175"/>
      <c r="G604" s="1176"/>
      <c r="H604" s="1174">
        <v>0</v>
      </c>
      <c r="I604" s="1175"/>
      <c r="J604" s="1175"/>
      <c r="K604" s="1176"/>
      <c r="L604" s="1174">
        <v>0</v>
      </c>
      <c r="M604" s="1175"/>
      <c r="N604" s="1175"/>
      <c r="O604" s="1176"/>
      <c r="P604" s="1174">
        <v>5</v>
      </c>
      <c r="Q604" s="1175"/>
      <c r="R604" s="1175"/>
      <c r="S604" s="1176"/>
      <c r="T604" s="551">
        <f>P616+(2/3*('State DisAgg LFx10 (2015)'!T604-P616))</f>
        <v>9</v>
      </c>
      <c r="U604" s="551">
        <f>Q616+(2/3*('State DisAgg LFx10 (2015)'!U604-Q616))</f>
        <v>5.333333333333333</v>
      </c>
      <c r="V604" s="551">
        <f>R616+(2/3*('State DisAgg LFx10 (2015)'!V604-R616))</f>
        <v>2.6666666666666665</v>
      </c>
      <c r="W604" s="551">
        <f>S616+(2/3*('State DisAgg LFx10 (2015)'!W604-S616))</f>
        <v>0.66666666666666663</v>
      </c>
      <c r="X604" s="880"/>
    </row>
    <row r="605" spans="1:24" ht="12.95" customHeight="1" thickBot="1">
      <c r="A605" s="885"/>
      <c r="B605" s="885"/>
      <c r="C605" s="100" t="s">
        <v>295</v>
      </c>
      <c r="D605" s="1054"/>
      <c r="E605" s="1055"/>
      <c r="F605" s="1055"/>
      <c r="G605" s="1056"/>
      <c r="H605" s="1054"/>
      <c r="I605" s="1055"/>
      <c r="J605" s="1055"/>
      <c r="K605" s="1056"/>
      <c r="L605" s="1140">
        <f>'LF-Enugu'!L178:O178</f>
        <v>1</v>
      </c>
      <c r="M605" s="1156"/>
      <c r="N605" s="1156"/>
      <c r="O605" s="1141"/>
      <c r="P605" s="186">
        <f>'LF-Enugu'!P178</f>
        <v>6</v>
      </c>
      <c r="Q605" s="186">
        <f>'LF-Enugu'!Q178</f>
        <v>2</v>
      </c>
      <c r="R605" s="186">
        <f>'LF-Enugu'!R178</f>
        <v>2</v>
      </c>
      <c r="S605" s="186">
        <f>'LF-Enugu'!S178</f>
        <v>1</v>
      </c>
      <c r="T605" s="105">
        <f>'Enugu Workings'!$V$125</f>
        <v>7</v>
      </c>
      <c r="U605" s="105">
        <f>'Enugu Workings'!$V$128</f>
        <v>5</v>
      </c>
      <c r="V605" s="105">
        <f>'Enugu Workings'!$V$131</f>
        <v>0</v>
      </c>
      <c r="W605" s="105">
        <f>'Enugu Workings'!$V$134</f>
        <v>0</v>
      </c>
      <c r="X605" s="880"/>
    </row>
    <row r="606" spans="1:24" ht="12.95" customHeight="1" thickBot="1">
      <c r="A606" s="885"/>
      <c r="B606" s="885"/>
      <c r="C606" s="100" t="s">
        <v>296</v>
      </c>
      <c r="D606" s="1054"/>
      <c r="E606" s="1055"/>
      <c r="F606" s="1055"/>
      <c r="G606" s="1056"/>
      <c r="H606" s="1054"/>
      <c r="I606" s="1055"/>
      <c r="J606" s="1055"/>
      <c r="K606" s="1056"/>
      <c r="L606" s="1140">
        <f>'LF-Jigawa'!L178:O178</f>
        <v>0</v>
      </c>
      <c r="M606" s="1156"/>
      <c r="N606" s="1156"/>
      <c r="O606" s="1141"/>
      <c r="P606" s="186">
        <f>'LF-Jigawa'!P178</f>
        <v>4</v>
      </c>
      <c r="Q606" s="186">
        <f>'LF-Jigawa'!Q178</f>
        <v>2</v>
      </c>
      <c r="R606" s="186">
        <f>'LF-Jigawa'!R178</f>
        <v>1</v>
      </c>
      <c r="S606" s="186">
        <f>'LF-Jigawa'!S178</f>
        <v>1</v>
      </c>
      <c r="T606" s="105">
        <f>'Jigawa Workings'!$V$125</f>
        <v>8</v>
      </c>
      <c r="U606" s="105">
        <f>'Jigawa Workings'!$V$128</f>
        <v>6</v>
      </c>
      <c r="V606" s="105">
        <f>'Jigawa Workings'!$V$131</f>
        <v>3</v>
      </c>
      <c r="W606" s="105">
        <f>'Jigawa Workings'!$V$134</f>
        <v>2</v>
      </c>
      <c r="X606" s="880"/>
    </row>
    <row r="607" spans="1:24" ht="13.5" thickBot="1">
      <c r="A607" s="885"/>
      <c r="B607" s="885"/>
      <c r="C607" s="100" t="s">
        <v>297</v>
      </c>
      <c r="D607" s="1054"/>
      <c r="E607" s="1055"/>
      <c r="F607" s="1055"/>
      <c r="G607" s="1056"/>
      <c r="H607" s="1054"/>
      <c r="I607" s="1055"/>
      <c r="J607" s="1055"/>
      <c r="K607" s="1056"/>
      <c r="L607" s="1140">
        <f>'LF-Kaduna'!L178:O178</f>
        <v>4</v>
      </c>
      <c r="M607" s="1156"/>
      <c r="N607" s="1156"/>
      <c r="O607" s="1141"/>
      <c r="P607" s="186">
        <f>'LF-Kaduna'!P178</f>
        <v>6</v>
      </c>
      <c r="Q607" s="186">
        <f>'LF-Kaduna'!Q178</f>
        <v>2</v>
      </c>
      <c r="R607" s="186">
        <f>'LF-Kaduna'!R178</f>
        <v>2</v>
      </c>
      <c r="S607" s="186">
        <f>'LF-Kaduna'!S178</f>
        <v>1</v>
      </c>
      <c r="T607" s="105">
        <f>'Kaduna Workings'!$V$125</f>
        <v>7</v>
      </c>
      <c r="U607" s="105">
        <f>'Kaduna Workings'!$V$128</f>
        <v>2</v>
      </c>
      <c r="V607" s="105">
        <f>'Kaduna Workings'!$V$131</f>
        <v>2</v>
      </c>
      <c r="W607" s="105">
        <f>'Kaduna Workings'!$V$134</f>
        <v>2</v>
      </c>
      <c r="X607" s="880"/>
    </row>
    <row r="608" spans="1:24" ht="13.5" thickBot="1">
      <c r="A608" s="885"/>
      <c r="B608" s="885"/>
      <c r="C608" s="100" t="s">
        <v>298</v>
      </c>
      <c r="D608" s="1054"/>
      <c r="E608" s="1055"/>
      <c r="F608" s="1055"/>
      <c r="G608" s="1056"/>
      <c r="H608" s="1054"/>
      <c r="I608" s="1055"/>
      <c r="J608" s="1055"/>
      <c r="K608" s="1056"/>
      <c r="L608" s="1140">
        <f>'LF-Kano'!L178:O178</f>
        <v>5</v>
      </c>
      <c r="M608" s="1156"/>
      <c r="N608" s="1156"/>
      <c r="O608" s="1141"/>
      <c r="P608" s="186">
        <f>'LF-Kano'!P178</f>
        <v>8</v>
      </c>
      <c r="Q608" s="186">
        <f>'LF-Kano'!Q178</f>
        <v>4</v>
      </c>
      <c r="R608" s="186">
        <f>'LF-Kano'!R178</f>
        <v>3</v>
      </c>
      <c r="S608" s="186">
        <f>'LF-Kano'!S178</f>
        <v>1</v>
      </c>
      <c r="T608" s="105">
        <f>'Kano Workings'!$V$125</f>
        <v>12</v>
      </c>
      <c r="U608" s="105">
        <f>'Kano Workings'!$V$128</f>
        <v>6</v>
      </c>
      <c r="V608" s="105">
        <f>'Kano Workings'!$V$131</f>
        <v>4</v>
      </c>
      <c r="W608" s="105">
        <f>'Kano Workings'!$V$134</f>
        <v>1</v>
      </c>
      <c r="X608" s="880"/>
    </row>
    <row r="609" spans="1:24" ht="13.5" thickBot="1">
      <c r="A609" s="885"/>
      <c r="B609" s="885"/>
      <c r="C609" s="100" t="s">
        <v>299</v>
      </c>
      <c r="D609" s="1054"/>
      <c r="E609" s="1055"/>
      <c r="F609" s="1055"/>
      <c r="G609" s="1056"/>
      <c r="H609" s="1054"/>
      <c r="I609" s="1055"/>
      <c r="J609" s="1055"/>
      <c r="K609" s="1056"/>
      <c r="L609" s="1140">
        <f>'LF-Lagos'!L178:O178</f>
        <v>2</v>
      </c>
      <c r="M609" s="1156"/>
      <c r="N609" s="1156"/>
      <c r="O609" s="1141"/>
      <c r="P609" s="186">
        <f>'LF-Lagos'!P178</f>
        <v>6</v>
      </c>
      <c r="Q609" s="186">
        <f>'LF-Lagos'!Q178</f>
        <v>5</v>
      </c>
      <c r="R609" s="186">
        <f>'LF-Lagos'!R178</f>
        <v>4</v>
      </c>
      <c r="S609" s="186">
        <f>'LF-Lagos'!S178</f>
        <v>2</v>
      </c>
      <c r="T609" s="105">
        <f>'Lagos Workings'!$V$125</f>
        <v>9</v>
      </c>
      <c r="U609" s="105">
        <f>'Lagos Workings'!$V$128</f>
        <v>8</v>
      </c>
      <c r="V609" s="105">
        <f>'Lagos Workings'!$V$131</f>
        <v>6</v>
      </c>
      <c r="W609" s="105">
        <f>'Lagos Workings'!$V$134</f>
        <v>2</v>
      </c>
      <c r="X609" s="880"/>
    </row>
    <row r="610" spans="1:24" ht="24.75" thickBot="1">
      <c r="A610" s="885"/>
      <c r="B610" s="885"/>
      <c r="C610" s="100" t="s">
        <v>300</v>
      </c>
      <c r="D610" s="1054"/>
      <c r="E610" s="1055"/>
      <c r="F610" s="1055"/>
      <c r="G610" s="1056"/>
      <c r="H610" s="1054"/>
      <c r="I610" s="1055"/>
      <c r="J610" s="1055"/>
      <c r="K610" s="1056"/>
      <c r="L610" s="1140">
        <f>'LF-Zamfara'!L178:O178</f>
        <v>1</v>
      </c>
      <c r="M610" s="1156"/>
      <c r="N610" s="1156"/>
      <c r="O610" s="1141"/>
      <c r="P610" s="186">
        <f>'LF-Zamfara'!P178</f>
        <v>2</v>
      </c>
      <c r="Q610" s="186">
        <f>'LF-Zamfara'!Q178</f>
        <v>2</v>
      </c>
      <c r="R610" s="186">
        <f>'LF-Zamfara'!R178</f>
        <v>0</v>
      </c>
      <c r="S610" s="186">
        <f>'LF-Zamfara'!S178</f>
        <v>0</v>
      </c>
      <c r="T610" s="105">
        <f>'Zamfara Workings'!$V$125</f>
        <v>4</v>
      </c>
      <c r="U610" s="105">
        <f>'Zamfara Workings'!$V$128</f>
        <v>2</v>
      </c>
      <c r="V610" s="105">
        <f>'Zamfara Workings'!$V$131</f>
        <v>0</v>
      </c>
      <c r="W610" s="105">
        <f>'Zamfara Workings'!$V$134</f>
        <v>0</v>
      </c>
      <c r="X610" s="880"/>
    </row>
    <row r="611" spans="1:24" ht="13.5" thickBot="1">
      <c r="A611" s="885"/>
      <c r="B611" s="885"/>
      <c r="C611" s="100" t="s">
        <v>301</v>
      </c>
      <c r="D611" s="1054"/>
      <c r="E611" s="1055"/>
      <c r="F611" s="1055"/>
      <c r="G611" s="1056"/>
      <c r="H611" s="1054"/>
      <c r="I611" s="1055"/>
      <c r="J611" s="1055"/>
      <c r="K611" s="1056"/>
      <c r="L611" s="1140">
        <f>'LF-Katsina'!L178:O178</f>
        <v>0</v>
      </c>
      <c r="M611" s="1156"/>
      <c r="N611" s="1156"/>
      <c r="O611" s="1141"/>
      <c r="P611" s="186">
        <f>'LF-Katsina'!P178</f>
        <v>2</v>
      </c>
      <c r="Q611" s="186">
        <f>'LF-Katsina'!Q178</f>
        <v>1</v>
      </c>
      <c r="R611" s="186">
        <f>'LF-Katsina'!R178</f>
        <v>0</v>
      </c>
      <c r="S611" s="186">
        <f>'LF-Katsina'!S178</f>
        <v>0</v>
      </c>
      <c r="T611" s="105">
        <f>'Katsina Workings'!$V$125</f>
        <v>5</v>
      </c>
      <c r="U611" s="105">
        <f>'Katsina Workings'!$V$128</f>
        <v>4</v>
      </c>
      <c r="V611" s="105">
        <f>'Katsina Workings'!$V$131</f>
        <v>4</v>
      </c>
      <c r="W611" s="105">
        <f>'Katsina Workings'!$V$134</f>
        <v>3</v>
      </c>
      <c r="X611" s="880"/>
    </row>
    <row r="612" spans="1:24" ht="13.5" thickBot="1">
      <c r="A612" s="885"/>
      <c r="B612" s="885"/>
      <c r="C612" s="100" t="s">
        <v>302</v>
      </c>
      <c r="D612" s="1054"/>
      <c r="E612" s="1055"/>
      <c r="F612" s="1055"/>
      <c r="G612" s="1056"/>
      <c r="H612" s="1054"/>
      <c r="I612" s="1055"/>
      <c r="J612" s="1055"/>
      <c r="K612" s="1056"/>
      <c r="L612" s="1140">
        <f>'LF-Yobe'!L178:O178</f>
        <v>0</v>
      </c>
      <c r="M612" s="1156"/>
      <c r="N612" s="1156"/>
      <c r="O612" s="1141"/>
      <c r="P612" s="186">
        <f>'LF-Yobe'!P178</f>
        <v>1</v>
      </c>
      <c r="Q612" s="186">
        <f>'LF-Yobe'!Q178</f>
        <v>1</v>
      </c>
      <c r="R612" s="186">
        <f>'LF-Yobe'!R178</f>
        <v>0</v>
      </c>
      <c r="S612" s="186">
        <f>'LF-Yobe'!S178</f>
        <v>0</v>
      </c>
      <c r="T612" s="105">
        <f>'Yobe Workings'!$V$125</f>
        <v>6</v>
      </c>
      <c r="U612" s="105">
        <f>'Yobe Workings'!$V$128</f>
        <v>6</v>
      </c>
      <c r="V612" s="105">
        <f>'Yobe Workings'!$V$131</f>
        <v>3</v>
      </c>
      <c r="W612" s="105">
        <f>'Yobe Workings'!$V$134</f>
        <v>0</v>
      </c>
      <c r="X612" s="880"/>
    </row>
    <row r="613" spans="1:24" ht="24.75" thickBot="1">
      <c r="A613" s="885"/>
      <c r="B613" s="885"/>
      <c r="C613" s="100" t="s">
        <v>303</v>
      </c>
      <c r="D613" s="1054"/>
      <c r="E613" s="1055"/>
      <c r="F613" s="1055"/>
      <c r="G613" s="1056"/>
      <c r="H613" s="1054"/>
      <c r="I613" s="1055"/>
      <c r="J613" s="1055"/>
      <c r="K613" s="1056"/>
      <c r="L613" s="1054"/>
      <c r="M613" s="1055"/>
      <c r="N613" s="1055"/>
      <c r="O613" s="1056"/>
      <c r="P613" s="1054"/>
      <c r="Q613" s="1055"/>
      <c r="R613" s="1055"/>
      <c r="S613" s="1056"/>
      <c r="T613" s="105">
        <f>T601</f>
        <v>0</v>
      </c>
      <c r="U613" s="105">
        <f t="shared" ref="U613:W613" si="120">U601</f>
        <v>0</v>
      </c>
      <c r="V613" s="105">
        <f t="shared" si="120"/>
        <v>0</v>
      </c>
      <c r="W613" s="105">
        <f t="shared" si="120"/>
        <v>0</v>
      </c>
      <c r="X613" s="880"/>
    </row>
    <row r="614" spans="1:24" ht="13.5" thickBot="1">
      <c r="A614" s="885"/>
      <c r="B614" s="885"/>
      <c r="C614" s="100" t="s">
        <v>304</v>
      </c>
      <c r="D614" s="1054"/>
      <c r="E614" s="1055"/>
      <c r="F614" s="1055"/>
      <c r="G614" s="1056"/>
      <c r="H614" s="1054"/>
      <c r="I614" s="1055"/>
      <c r="J614" s="1055"/>
      <c r="K614" s="1056"/>
      <c r="L614" s="1054"/>
      <c r="M614" s="1055"/>
      <c r="N614" s="1055"/>
      <c r="O614" s="1056"/>
      <c r="P614" s="1054"/>
      <c r="Q614" s="1055"/>
      <c r="R614" s="1055"/>
      <c r="S614" s="1056"/>
      <c r="T614" s="105">
        <f>T602</f>
        <v>0</v>
      </c>
      <c r="U614" s="105">
        <f t="shared" ref="U614:W614" si="121">U602</f>
        <v>0</v>
      </c>
      <c r="V614" s="105">
        <f t="shared" si="121"/>
        <v>0</v>
      </c>
      <c r="W614" s="105">
        <f t="shared" si="121"/>
        <v>0</v>
      </c>
      <c r="X614" s="880"/>
    </row>
    <row r="615" spans="1:24" ht="13.5" thickBot="1">
      <c r="A615" s="885"/>
      <c r="B615" s="885"/>
      <c r="C615" s="100" t="s">
        <v>435</v>
      </c>
      <c r="D615" s="1054"/>
      <c r="E615" s="1055"/>
      <c r="F615" s="1055"/>
      <c r="G615" s="1056"/>
      <c r="H615" s="1054"/>
      <c r="I615" s="1055"/>
      <c r="J615" s="1055"/>
      <c r="K615" s="1056"/>
      <c r="L615" s="1177">
        <v>8</v>
      </c>
      <c r="M615" s="1178"/>
      <c r="N615" s="1178"/>
      <c r="O615" s="1179"/>
      <c r="P615" s="552">
        <v>10</v>
      </c>
      <c r="Q615" s="552">
        <v>9</v>
      </c>
      <c r="R615" s="552">
        <v>3</v>
      </c>
      <c r="S615" s="552">
        <v>2</v>
      </c>
      <c r="T615" s="106">
        <f>'Nat-Intl Replication Diary'!Q110</f>
        <v>16</v>
      </c>
      <c r="U615" s="106">
        <f>'Nat-Intl Replication Diary'!Q111</f>
        <v>15</v>
      </c>
      <c r="V615" s="106">
        <f>'Nat-Intl Replication Diary'!Q112</f>
        <v>7</v>
      </c>
      <c r="W615" s="106">
        <f>'Nat-Intl Replication Diary'!Q113</f>
        <v>4</v>
      </c>
      <c r="X615" s="880"/>
    </row>
    <row r="616" spans="1:24" ht="13.5" thickBot="1">
      <c r="A616" s="885"/>
      <c r="B616" s="885"/>
      <c r="C616" s="100" t="s">
        <v>642</v>
      </c>
      <c r="D616" s="1054"/>
      <c r="E616" s="1055"/>
      <c r="F616" s="1055"/>
      <c r="G616" s="1056"/>
      <c r="H616" s="1054"/>
      <c r="I616" s="1055"/>
      <c r="J616" s="1055"/>
      <c r="K616" s="1056"/>
      <c r="L616" s="1177">
        <v>0</v>
      </c>
      <c r="M616" s="1178"/>
      <c r="N616" s="1178"/>
      <c r="O616" s="1179"/>
      <c r="P616" s="552">
        <v>7</v>
      </c>
      <c r="Q616" s="552">
        <v>6</v>
      </c>
      <c r="R616" s="552">
        <v>2</v>
      </c>
      <c r="S616" s="552">
        <v>0</v>
      </c>
      <c r="T616" s="106">
        <f>'Nat-Intl Replication Diary'!R110</f>
        <v>16</v>
      </c>
      <c r="U616" s="106">
        <f>'Nat-Intl Replication Diary'!R111</f>
        <v>15</v>
      </c>
      <c r="V616" s="106">
        <f>'Nat-Intl Replication Diary'!R112</f>
        <v>10</v>
      </c>
      <c r="W616" s="106">
        <f>'Nat-Intl Replication Diary'!R113</f>
        <v>1</v>
      </c>
      <c r="X616" s="880"/>
    </row>
    <row r="617" spans="1:24" ht="13.5" thickBot="1">
      <c r="A617" s="885"/>
      <c r="B617" s="885"/>
      <c r="C617" s="922" t="s">
        <v>413</v>
      </c>
      <c r="D617" s="927" t="s">
        <v>4</v>
      </c>
      <c r="E617" s="928"/>
      <c r="F617" s="928"/>
      <c r="G617" s="928"/>
      <c r="H617" s="928"/>
      <c r="I617" s="928"/>
      <c r="J617" s="928"/>
      <c r="K617" s="928"/>
      <c r="L617" s="928"/>
      <c r="M617" s="928"/>
      <c r="N617" s="928"/>
      <c r="O617" s="928"/>
      <c r="P617" s="928"/>
      <c r="Q617" s="928"/>
      <c r="R617" s="928"/>
      <c r="S617" s="928"/>
      <c r="T617" s="928"/>
      <c r="U617" s="928"/>
      <c r="V617" s="928"/>
      <c r="W617" s="929"/>
      <c r="X617" s="880"/>
    </row>
    <row r="618" spans="1:24" ht="13.5" thickBot="1">
      <c r="A618" s="885"/>
      <c r="B618" s="869"/>
      <c r="C618" s="923"/>
      <c r="D618" s="930" t="s">
        <v>125</v>
      </c>
      <c r="E618" s="931"/>
      <c r="F618" s="931"/>
      <c r="G618" s="931"/>
      <c r="H618" s="931"/>
      <c r="I618" s="931"/>
      <c r="J618" s="931"/>
      <c r="K618" s="931"/>
      <c r="L618" s="931"/>
      <c r="M618" s="931"/>
      <c r="N618" s="931"/>
      <c r="O618" s="931"/>
      <c r="P618" s="931"/>
      <c r="Q618" s="931"/>
      <c r="R618" s="931"/>
      <c r="S618" s="931"/>
      <c r="T618" s="931"/>
      <c r="U618" s="931"/>
      <c r="V618" s="931"/>
      <c r="W618" s="932"/>
      <c r="X618" s="880"/>
    </row>
    <row r="619" spans="1:24" ht="12.95" customHeight="1" thickBot="1">
      <c r="A619" s="885"/>
      <c r="B619" s="11" t="s">
        <v>600</v>
      </c>
      <c r="C619" s="12"/>
      <c r="D619" s="927" t="s">
        <v>78</v>
      </c>
      <c r="E619" s="928"/>
      <c r="F619" s="928"/>
      <c r="G619" s="929"/>
      <c r="H619" s="927" t="s">
        <v>77</v>
      </c>
      <c r="I619" s="928"/>
      <c r="J619" s="928"/>
      <c r="K619" s="929"/>
      <c r="L619" s="927" t="s">
        <v>81</v>
      </c>
      <c r="M619" s="928"/>
      <c r="N619" s="928"/>
      <c r="O619" s="929"/>
      <c r="P619" s="927" t="s">
        <v>254</v>
      </c>
      <c r="Q619" s="928"/>
      <c r="R619" s="928"/>
      <c r="S619" s="929"/>
      <c r="T619" s="1144" t="s">
        <v>908</v>
      </c>
      <c r="U619" s="1145"/>
      <c r="V619" s="1145"/>
      <c r="W619" s="1146"/>
      <c r="X619" s="880"/>
    </row>
    <row r="620" spans="1:24" ht="12.95" customHeight="1" thickBot="1">
      <c r="A620" s="885"/>
      <c r="B620" s="868" t="s">
        <v>647</v>
      </c>
      <c r="C620" s="9" t="s">
        <v>285</v>
      </c>
      <c r="D620" s="1166"/>
      <c r="E620" s="1167"/>
      <c r="F620" s="1167"/>
      <c r="G620" s="1168"/>
      <c r="H620" s="1162"/>
      <c r="I620" s="1163"/>
      <c r="J620" s="1163"/>
      <c r="K620" s="1164"/>
      <c r="L620" s="1057" t="s">
        <v>443</v>
      </c>
      <c r="M620" s="1058"/>
      <c r="N620" s="1058"/>
      <c r="O620" s="1059"/>
      <c r="P620" s="68">
        <f>'LF-Enugu'!P183</f>
        <v>4</v>
      </c>
      <c r="Q620" s="68">
        <f>'LF-Enugu'!Q183</f>
        <v>4</v>
      </c>
      <c r="R620" s="68">
        <f>'LF-Enugu'!R183</f>
        <v>1</v>
      </c>
      <c r="S620" s="68">
        <f>'LF-Enugu'!S183</f>
        <v>0</v>
      </c>
      <c r="T620" s="515">
        <f>'Enugu Workings'!$V$136</f>
        <v>5.3333333333333321</v>
      </c>
      <c r="U620" s="515">
        <f>'Enugu Workings'!$V$139</f>
        <v>4.6666666666666679</v>
      </c>
      <c r="V620" s="515">
        <f>'Enugu Workings'!$V$142</f>
        <v>2.333333333333333</v>
      </c>
      <c r="W620" s="515">
        <f>'Enugu Workings'!$V$145</f>
        <v>0.66666666666666663</v>
      </c>
      <c r="X620" s="880"/>
    </row>
    <row r="621" spans="1:24" ht="12.95" customHeight="1" thickBot="1">
      <c r="A621" s="885"/>
      <c r="B621" s="885"/>
      <c r="C621" s="9" t="s">
        <v>286</v>
      </c>
      <c r="D621" s="1166"/>
      <c r="E621" s="1167"/>
      <c r="F621" s="1167"/>
      <c r="G621" s="1168"/>
      <c r="H621" s="1162"/>
      <c r="I621" s="1163"/>
      <c r="J621" s="1163"/>
      <c r="K621" s="1164"/>
      <c r="L621" s="1057" t="s">
        <v>443</v>
      </c>
      <c r="M621" s="1058"/>
      <c r="N621" s="1058"/>
      <c r="O621" s="1059"/>
      <c r="P621" s="68">
        <f>'LF-Jigawa'!P183</f>
        <v>2</v>
      </c>
      <c r="Q621" s="68">
        <f>'LF-Jigawa'!Q183</f>
        <v>1</v>
      </c>
      <c r="R621" s="68">
        <f>'LF-Jigawa'!R183</f>
        <v>1</v>
      </c>
      <c r="S621" s="68">
        <f>'LF-Jigawa'!S183</f>
        <v>0</v>
      </c>
      <c r="T621" s="515">
        <f>'Jigawa Workings'!$V$136</f>
        <v>3.3333333333333339</v>
      </c>
      <c r="U621" s="515">
        <f>'Jigawa Workings'!$V$139</f>
        <v>2.333333333333333</v>
      </c>
      <c r="V621" s="515">
        <f>'Jigawa Workings'!$V$142</f>
        <v>1.666666666666667</v>
      </c>
      <c r="W621" s="515">
        <f>'Jigawa Workings'!$V$145</f>
        <v>0.66666666666666663</v>
      </c>
      <c r="X621" s="880"/>
    </row>
    <row r="622" spans="1:24" ht="12.95" customHeight="1" thickBot="1">
      <c r="A622" s="885"/>
      <c r="B622" s="885"/>
      <c r="C622" s="9" t="s">
        <v>287</v>
      </c>
      <c r="D622" s="1166"/>
      <c r="E622" s="1167"/>
      <c r="F622" s="1167"/>
      <c r="G622" s="1168"/>
      <c r="H622" s="1162"/>
      <c r="I622" s="1163"/>
      <c r="J622" s="1163"/>
      <c r="K622" s="1164"/>
      <c r="L622" s="1057" t="s">
        <v>443</v>
      </c>
      <c r="M622" s="1058"/>
      <c r="N622" s="1058"/>
      <c r="O622" s="1059"/>
      <c r="P622" s="68">
        <f>'LF-Kaduna'!P183</f>
        <v>5</v>
      </c>
      <c r="Q622" s="68">
        <f>'LF-Kaduna'!Q183</f>
        <v>4</v>
      </c>
      <c r="R622" s="68">
        <f>'LF-Kaduna'!R183</f>
        <v>2</v>
      </c>
      <c r="S622" s="68">
        <f>'LF-Kaduna'!S183</f>
        <v>0</v>
      </c>
      <c r="T622" s="515">
        <f>'Kaduna Workings'!$V$136</f>
        <v>5.6666666666666679</v>
      </c>
      <c r="U622" s="515">
        <f>'Kaduna Workings'!$V$139</f>
        <v>5.3333333333333321</v>
      </c>
      <c r="V622" s="515">
        <f>'Kaduna Workings'!$V$142</f>
        <v>3.3333333333333339</v>
      </c>
      <c r="W622" s="515">
        <f>'Kaduna Workings'!$V$145</f>
        <v>0.66666666666666663</v>
      </c>
      <c r="X622" s="880"/>
    </row>
    <row r="623" spans="1:24" ht="12.95" customHeight="1" thickBot="1">
      <c r="A623" s="885"/>
      <c r="B623" s="885"/>
      <c r="C623" s="9" t="s">
        <v>288</v>
      </c>
      <c r="D623" s="1166"/>
      <c r="E623" s="1167"/>
      <c r="F623" s="1167"/>
      <c r="G623" s="1168"/>
      <c r="H623" s="1162"/>
      <c r="I623" s="1163"/>
      <c r="J623" s="1163"/>
      <c r="K623" s="1164"/>
      <c r="L623" s="1057" t="s">
        <v>443</v>
      </c>
      <c r="M623" s="1058"/>
      <c r="N623" s="1058"/>
      <c r="O623" s="1059"/>
      <c r="P623" s="68">
        <f>'LF-Kano'!P183</f>
        <v>4</v>
      </c>
      <c r="Q623" s="68">
        <f>'LF-Kano'!Q183</f>
        <v>2</v>
      </c>
      <c r="R623" s="68">
        <f>'LF-Kano'!R183</f>
        <v>1</v>
      </c>
      <c r="S623" s="68">
        <f>'LF-Kano'!S183</f>
        <v>1</v>
      </c>
      <c r="T623" s="515">
        <f>'Kano Workings'!$V$136</f>
        <v>6.6666666666666679</v>
      </c>
      <c r="U623" s="515">
        <f>'Kano Workings'!$V$139</f>
        <v>2.6666666666666661</v>
      </c>
      <c r="V623" s="515">
        <f>'Kano Workings'!$V$142</f>
        <v>1</v>
      </c>
      <c r="W623" s="515">
        <f>'Kano Workings'!$V$145</f>
        <v>1</v>
      </c>
      <c r="X623" s="880"/>
    </row>
    <row r="624" spans="1:24" ht="12.95" customHeight="1" thickBot="1">
      <c r="A624" s="885"/>
      <c r="B624" s="885"/>
      <c r="C624" s="9" t="s">
        <v>289</v>
      </c>
      <c r="D624" s="1166"/>
      <c r="E624" s="1167"/>
      <c r="F624" s="1167"/>
      <c r="G624" s="1168"/>
      <c r="H624" s="1162"/>
      <c r="I624" s="1163"/>
      <c r="J624" s="1163"/>
      <c r="K624" s="1164"/>
      <c r="L624" s="1057" t="s">
        <v>443</v>
      </c>
      <c r="M624" s="1058"/>
      <c r="N624" s="1058"/>
      <c r="O624" s="1059"/>
      <c r="P624" s="68">
        <f>'LF-Lagos'!P183</f>
        <v>3</v>
      </c>
      <c r="Q624" s="68">
        <f>'LF-Lagos'!Q183</f>
        <v>2</v>
      </c>
      <c r="R624" s="68">
        <f>'LF-Lagos'!R183</f>
        <v>1</v>
      </c>
      <c r="S624" s="68">
        <f>'LF-Lagos'!S183</f>
        <v>0</v>
      </c>
      <c r="T624" s="515">
        <f>'Lagos Workings'!$V$136</f>
        <v>3</v>
      </c>
      <c r="U624" s="515">
        <f>'Lagos Workings'!$V$139</f>
        <v>2.6666666666666661</v>
      </c>
      <c r="V624" s="515">
        <f>'Lagos Workings'!$V$142</f>
        <v>1.666666666666667</v>
      </c>
      <c r="W624" s="515">
        <f>'Lagos Workings'!$V$145</f>
        <v>0.66666666666666663</v>
      </c>
      <c r="X624" s="880"/>
    </row>
    <row r="625" spans="1:24" ht="12.95" customHeight="1" thickBot="1">
      <c r="A625" s="885"/>
      <c r="B625" s="885"/>
      <c r="C625" s="9" t="s">
        <v>292</v>
      </c>
      <c r="D625" s="1166"/>
      <c r="E625" s="1167"/>
      <c r="F625" s="1167"/>
      <c r="G625" s="1168"/>
      <c r="H625" s="1162"/>
      <c r="I625" s="1163"/>
      <c r="J625" s="1163"/>
      <c r="K625" s="1164"/>
      <c r="L625" s="1057" t="s">
        <v>443</v>
      </c>
      <c r="M625" s="1058"/>
      <c r="N625" s="1058"/>
      <c r="O625" s="1059"/>
      <c r="P625" s="68">
        <f>'LF-Zamfara'!P183</f>
        <v>1</v>
      </c>
      <c r="Q625" s="68">
        <f>'LF-Zamfara'!Q183</f>
        <v>1</v>
      </c>
      <c r="R625" s="68">
        <f>'LF-Zamfara'!R183</f>
        <v>0</v>
      </c>
      <c r="S625" s="68">
        <f>'LF-Zamfara'!S183</f>
        <v>0</v>
      </c>
      <c r="T625" s="515">
        <f>'Zamfara Workings'!$V$136</f>
        <v>2.333333333333333</v>
      </c>
      <c r="U625" s="515">
        <f>'Zamfara Workings'!$V$139</f>
        <v>1.666666666666667</v>
      </c>
      <c r="V625" s="515">
        <f>'Zamfara Workings'!$V$142</f>
        <v>0</v>
      </c>
      <c r="W625" s="515">
        <f>'Zamfara Workings'!$V$145</f>
        <v>0</v>
      </c>
      <c r="X625" s="880"/>
    </row>
    <row r="626" spans="1:24" ht="12.95" customHeight="1" thickBot="1">
      <c r="A626" s="885"/>
      <c r="B626" s="885"/>
      <c r="C626" s="9" t="s">
        <v>293</v>
      </c>
      <c r="D626" s="1166"/>
      <c r="E626" s="1167"/>
      <c r="F626" s="1167"/>
      <c r="G626" s="1168"/>
      <c r="H626" s="1162"/>
      <c r="I626" s="1163"/>
      <c r="J626" s="1163"/>
      <c r="K626" s="1164"/>
      <c r="L626" s="1057" t="s">
        <v>443</v>
      </c>
      <c r="M626" s="1058"/>
      <c r="N626" s="1058"/>
      <c r="O626" s="1059"/>
      <c r="P626" s="68">
        <f>'LF-Katsina'!P183</f>
        <v>2</v>
      </c>
      <c r="Q626" s="68">
        <f>'LF-Katsina'!Q183</f>
        <v>0</v>
      </c>
      <c r="R626" s="68">
        <f>'LF-Katsina'!R183</f>
        <v>0</v>
      </c>
      <c r="S626" s="68">
        <f>'LF-Katsina'!S183</f>
        <v>0</v>
      </c>
      <c r="T626" s="515">
        <f>'Katsina Workings'!$V$136</f>
        <v>2.6666666666666661</v>
      </c>
      <c r="U626" s="515">
        <f>'Katsina Workings'!$V$139</f>
        <v>1.3333333333333333</v>
      </c>
      <c r="V626" s="515">
        <f>'Katsina Workings'!$V$142</f>
        <v>0.66666666666666663</v>
      </c>
      <c r="W626" s="515">
        <f>'Katsina Workings'!$V$145</f>
        <v>0</v>
      </c>
      <c r="X626" s="880"/>
    </row>
    <row r="627" spans="1:24" ht="12.95" customHeight="1" thickBot="1">
      <c r="A627" s="885"/>
      <c r="B627" s="885"/>
      <c r="C627" s="9" t="s">
        <v>294</v>
      </c>
      <c r="D627" s="1166"/>
      <c r="E627" s="1167"/>
      <c r="F627" s="1167"/>
      <c r="G627" s="1168"/>
      <c r="H627" s="1162"/>
      <c r="I627" s="1163"/>
      <c r="J627" s="1163"/>
      <c r="K627" s="1164"/>
      <c r="L627" s="1057" t="s">
        <v>443</v>
      </c>
      <c r="M627" s="1058"/>
      <c r="N627" s="1058"/>
      <c r="O627" s="1059"/>
      <c r="P627" s="68">
        <f>'LF-Yobe'!P183</f>
        <v>1</v>
      </c>
      <c r="Q627" s="68">
        <f>'LF-Yobe'!Q183</f>
        <v>0</v>
      </c>
      <c r="R627" s="68">
        <f>'LF-Yobe'!R183</f>
        <v>0</v>
      </c>
      <c r="S627" s="68">
        <f>'LF-Yobe'!S183</f>
        <v>0</v>
      </c>
      <c r="T627" s="515">
        <f>'Yobe Workings'!$V$136</f>
        <v>3</v>
      </c>
      <c r="U627" s="515">
        <f>'Yobe Workings'!$V$139</f>
        <v>1.3333333333333333</v>
      </c>
      <c r="V627" s="515">
        <f>'Yobe Workings'!$V$142</f>
        <v>0.66666666666666663</v>
      </c>
      <c r="W627" s="515">
        <f>'Yobe Workings'!$V$145</f>
        <v>0</v>
      </c>
      <c r="X627" s="880"/>
    </row>
    <row r="628" spans="1:24" ht="12.95" customHeight="1" thickBot="1">
      <c r="A628" s="885"/>
      <c r="B628" s="885"/>
      <c r="C628" s="9" t="s">
        <v>290</v>
      </c>
      <c r="D628" s="1166"/>
      <c r="E628" s="1167"/>
      <c r="F628" s="1167"/>
      <c r="G628" s="1168"/>
      <c r="H628" s="1162"/>
      <c r="I628" s="1163"/>
      <c r="J628" s="1163"/>
      <c r="K628" s="1164"/>
      <c r="L628" s="1057" t="s">
        <v>443</v>
      </c>
      <c r="M628" s="1058"/>
      <c r="N628" s="1058"/>
      <c r="O628" s="1059"/>
      <c r="P628" s="185">
        <f>'LF-Anambra'!P183</f>
        <v>0</v>
      </c>
      <c r="Q628" s="185">
        <f>'LF-Anambra'!Q183</f>
        <v>0</v>
      </c>
      <c r="R628" s="185">
        <f>'LF-Anambra'!R183</f>
        <v>0</v>
      </c>
      <c r="S628" s="185">
        <f>'LF-Anambra'!S183</f>
        <v>0</v>
      </c>
      <c r="T628" s="118">
        <f>P628</f>
        <v>0</v>
      </c>
      <c r="U628" s="118">
        <f t="shared" ref="U628:U629" si="122">Q628</f>
        <v>0</v>
      </c>
      <c r="V628" s="118">
        <f t="shared" ref="V628:V629" si="123">R628</f>
        <v>0</v>
      </c>
      <c r="W628" s="118">
        <f t="shared" ref="W628:W629" si="124">S628</f>
        <v>0</v>
      </c>
      <c r="X628" s="880"/>
    </row>
    <row r="629" spans="1:24" ht="12.95" customHeight="1" thickBot="1">
      <c r="A629" s="885"/>
      <c r="B629" s="885"/>
      <c r="C629" s="9" t="s">
        <v>291</v>
      </c>
      <c r="D629" s="1166"/>
      <c r="E629" s="1167"/>
      <c r="F629" s="1167"/>
      <c r="G629" s="1168"/>
      <c r="H629" s="1162"/>
      <c r="I629" s="1163"/>
      <c r="J629" s="1163"/>
      <c r="K629" s="1164"/>
      <c r="L629" s="1057" t="s">
        <v>443</v>
      </c>
      <c r="M629" s="1058"/>
      <c r="N629" s="1058"/>
      <c r="O629" s="1059"/>
      <c r="P629" s="185">
        <f>'LF-Niger'!P183</f>
        <v>0</v>
      </c>
      <c r="Q629" s="185">
        <f>'LF-Niger'!Q183</f>
        <v>0</v>
      </c>
      <c r="R629" s="185">
        <f>'LF-Niger'!R183</f>
        <v>0</v>
      </c>
      <c r="S629" s="185">
        <f>'LF-Niger'!S183</f>
        <v>0</v>
      </c>
      <c r="T629" s="118">
        <f>P629</f>
        <v>0</v>
      </c>
      <c r="U629" s="118">
        <f t="shared" si="122"/>
        <v>0</v>
      </c>
      <c r="V629" s="118">
        <f t="shared" si="123"/>
        <v>0</v>
      </c>
      <c r="W629" s="118">
        <f t="shared" si="124"/>
        <v>0</v>
      </c>
      <c r="X629" s="880"/>
    </row>
    <row r="630" spans="1:24" ht="13.5" thickBot="1">
      <c r="A630" s="885"/>
      <c r="B630" s="885"/>
      <c r="C630" s="9" t="s">
        <v>436</v>
      </c>
      <c r="D630" s="1166"/>
      <c r="E630" s="1167"/>
      <c r="F630" s="1167"/>
      <c r="G630" s="1168"/>
      <c r="H630" s="1162"/>
      <c r="I630" s="1163"/>
      <c r="J630" s="1163"/>
      <c r="K630" s="1164"/>
      <c r="L630" s="1057" t="s">
        <v>443</v>
      </c>
      <c r="M630" s="1058"/>
      <c r="N630" s="1058"/>
      <c r="O630" s="1059"/>
      <c r="P630" s="551">
        <v>10</v>
      </c>
      <c r="Q630" s="551">
        <v>8</v>
      </c>
      <c r="R630" s="551">
        <v>3</v>
      </c>
      <c r="S630" s="551">
        <v>1</v>
      </c>
      <c r="T630" s="551">
        <f>P642+(2/3*('State DisAgg LFx10 (2015)'!T630-P642))</f>
        <v>10</v>
      </c>
      <c r="U630" s="551">
        <f>Q642+(2/3*('State DisAgg LFx10 (2015)'!U630-Q642))</f>
        <v>6.6666666666666661</v>
      </c>
      <c r="V630" s="551">
        <f>R642+(2/3*('State DisAgg LFx10 (2015)'!V630-R642))</f>
        <v>3.333333333333333</v>
      </c>
      <c r="W630" s="551">
        <f>S642+(2/3*('State DisAgg LFx10 (2015)'!W630-S642))</f>
        <v>1.3333333333333333</v>
      </c>
      <c r="X630" s="880"/>
    </row>
    <row r="631" spans="1:24" ht="13.5" thickBot="1">
      <c r="A631" s="885"/>
      <c r="B631" s="885"/>
      <c r="C631" s="9" t="s">
        <v>641</v>
      </c>
      <c r="D631" s="1166"/>
      <c r="E631" s="1167"/>
      <c r="F631" s="1167"/>
      <c r="G631" s="1168"/>
      <c r="H631" s="1162"/>
      <c r="I631" s="1163"/>
      <c r="J631" s="1163"/>
      <c r="K631" s="1164"/>
      <c r="L631" s="1057" t="s">
        <v>443</v>
      </c>
      <c r="M631" s="1058"/>
      <c r="N631" s="1058"/>
      <c r="O631" s="1059"/>
      <c r="P631" s="551">
        <v>7</v>
      </c>
      <c r="Q631" s="551">
        <v>7</v>
      </c>
      <c r="R631" s="551">
        <v>1</v>
      </c>
      <c r="S631" s="551">
        <v>0</v>
      </c>
      <c r="T631" s="551">
        <f>P643+(2/3*('State DisAgg LFx10 (2015)'!T631-P643))</f>
        <v>6.6666666666666661</v>
      </c>
      <c r="U631" s="551">
        <f>Q643+(2/3*('State DisAgg LFx10 (2015)'!U631-Q643))</f>
        <v>6.6666666666666661</v>
      </c>
      <c r="V631" s="551">
        <f>R643+(2/3*('State DisAgg LFx10 (2015)'!V631-R643))</f>
        <v>2</v>
      </c>
      <c r="W631" s="551">
        <f>S643+(2/3*('State DisAgg LFx10 (2015)'!W631-S643))</f>
        <v>0.66666666666666663</v>
      </c>
      <c r="X631" s="880"/>
    </row>
    <row r="632" spans="1:24" ht="12.95" customHeight="1" thickBot="1">
      <c r="A632" s="885"/>
      <c r="B632" s="885"/>
      <c r="C632" s="100" t="s">
        <v>295</v>
      </c>
      <c r="D632" s="1054"/>
      <c r="E632" s="1055"/>
      <c r="F632" s="1055"/>
      <c r="G632" s="1056"/>
      <c r="H632" s="1054"/>
      <c r="I632" s="1055"/>
      <c r="J632" s="1055"/>
      <c r="K632" s="1056"/>
      <c r="L632" s="1054"/>
      <c r="M632" s="1055"/>
      <c r="N632" s="1055"/>
      <c r="O632" s="1056"/>
      <c r="P632" s="1054"/>
      <c r="Q632" s="1055"/>
      <c r="R632" s="1055"/>
      <c r="S632" s="1056"/>
      <c r="T632" s="105">
        <f>'Enugu Workings'!$V$137</f>
        <v>5</v>
      </c>
      <c r="U632" s="105">
        <f>'Enugu Workings'!$V$140</f>
        <v>4</v>
      </c>
      <c r="V632" s="105">
        <f>'Enugu Workings'!$V$143</f>
        <v>3</v>
      </c>
      <c r="W632" s="105">
        <f>'Enugu Workings'!$V$146</f>
        <v>0</v>
      </c>
      <c r="X632" s="880"/>
    </row>
    <row r="633" spans="1:24" ht="12.95" customHeight="1" thickBot="1">
      <c r="A633" s="885"/>
      <c r="B633" s="885"/>
      <c r="C633" s="100" t="s">
        <v>296</v>
      </c>
      <c r="D633" s="1054"/>
      <c r="E633" s="1055"/>
      <c r="F633" s="1055"/>
      <c r="G633" s="1056"/>
      <c r="H633" s="1054"/>
      <c r="I633" s="1055"/>
      <c r="J633" s="1055"/>
      <c r="K633" s="1056"/>
      <c r="L633" s="1054"/>
      <c r="M633" s="1055"/>
      <c r="N633" s="1055"/>
      <c r="O633" s="1056"/>
      <c r="P633" s="1054"/>
      <c r="Q633" s="1055"/>
      <c r="R633" s="1055"/>
      <c r="S633" s="1056"/>
      <c r="T633" s="105">
        <f>'Jigawa Workings'!$V$137</f>
        <v>6</v>
      </c>
      <c r="U633" s="105">
        <f>'Jigawa Workings'!$V$140</f>
        <v>3</v>
      </c>
      <c r="V633" s="105">
        <f>'Jigawa Workings'!$V$143</f>
        <v>2</v>
      </c>
      <c r="W633" s="105">
        <f>'Jigawa Workings'!$V$146</f>
        <v>1</v>
      </c>
      <c r="X633" s="880"/>
    </row>
    <row r="634" spans="1:24" ht="13.5" thickBot="1">
      <c r="A634" s="885"/>
      <c r="B634" s="885"/>
      <c r="C634" s="100" t="s">
        <v>297</v>
      </c>
      <c r="D634" s="1054"/>
      <c r="E634" s="1055"/>
      <c r="F634" s="1055"/>
      <c r="G634" s="1056"/>
      <c r="H634" s="1054"/>
      <c r="I634" s="1055"/>
      <c r="J634" s="1055"/>
      <c r="K634" s="1056"/>
      <c r="L634" s="1054"/>
      <c r="M634" s="1055"/>
      <c r="N634" s="1055"/>
      <c r="O634" s="1056"/>
      <c r="P634" s="1054"/>
      <c r="Q634" s="1055"/>
      <c r="R634" s="1055"/>
      <c r="S634" s="1056"/>
      <c r="T634" s="105">
        <f>'Kaduna Workings'!$V$137</f>
        <v>4</v>
      </c>
      <c r="U634" s="105">
        <f>'Kaduna Workings'!$V$140</f>
        <v>2</v>
      </c>
      <c r="V634" s="105">
        <f>'Kaduna Workings'!$V$143</f>
        <v>2</v>
      </c>
      <c r="W634" s="105">
        <f>'Kaduna Workings'!$V$146</f>
        <v>1</v>
      </c>
      <c r="X634" s="880"/>
    </row>
    <row r="635" spans="1:24" ht="13.5" thickBot="1">
      <c r="A635" s="885"/>
      <c r="B635" s="885"/>
      <c r="C635" s="100" t="s">
        <v>298</v>
      </c>
      <c r="D635" s="1054"/>
      <c r="E635" s="1055"/>
      <c r="F635" s="1055"/>
      <c r="G635" s="1056"/>
      <c r="H635" s="1054"/>
      <c r="I635" s="1055"/>
      <c r="J635" s="1055"/>
      <c r="K635" s="1056"/>
      <c r="L635" s="1054"/>
      <c r="M635" s="1055"/>
      <c r="N635" s="1055"/>
      <c r="O635" s="1056"/>
      <c r="P635" s="1054"/>
      <c r="Q635" s="1055"/>
      <c r="R635" s="1055"/>
      <c r="S635" s="1056"/>
      <c r="T635" s="105">
        <f>'Kano Workings'!$V$137</f>
        <v>7</v>
      </c>
      <c r="U635" s="105">
        <f>'Kano Workings'!$V$140</f>
        <v>3</v>
      </c>
      <c r="V635" s="105">
        <f>'Kano Workings'!$V$143</f>
        <v>1</v>
      </c>
      <c r="W635" s="105">
        <f>'Kano Workings'!$V$146</f>
        <v>1</v>
      </c>
      <c r="X635" s="880"/>
    </row>
    <row r="636" spans="1:24" ht="13.5" thickBot="1">
      <c r="A636" s="885"/>
      <c r="B636" s="885"/>
      <c r="C636" s="100" t="s">
        <v>299</v>
      </c>
      <c r="D636" s="1054"/>
      <c r="E636" s="1055"/>
      <c r="F636" s="1055"/>
      <c r="G636" s="1056"/>
      <c r="H636" s="1054"/>
      <c r="I636" s="1055"/>
      <c r="J636" s="1055"/>
      <c r="K636" s="1056"/>
      <c r="L636" s="1054"/>
      <c r="M636" s="1055"/>
      <c r="N636" s="1055"/>
      <c r="O636" s="1056"/>
      <c r="P636" s="1054"/>
      <c r="Q636" s="1055"/>
      <c r="R636" s="1055"/>
      <c r="S636" s="1056"/>
      <c r="T636" s="105">
        <f>'Lagos Workings'!$V$137</f>
        <v>9</v>
      </c>
      <c r="U636" s="105">
        <f>'Lagos Workings'!$V$140</f>
        <v>5</v>
      </c>
      <c r="V636" s="105">
        <f>'Lagos Workings'!$V$143</f>
        <v>2</v>
      </c>
      <c r="W636" s="105">
        <f>'Lagos Workings'!$V$146</f>
        <v>0</v>
      </c>
      <c r="X636" s="880"/>
    </row>
    <row r="637" spans="1:24" ht="24.75" thickBot="1">
      <c r="A637" s="885"/>
      <c r="B637" s="885"/>
      <c r="C637" s="100" t="s">
        <v>300</v>
      </c>
      <c r="D637" s="1054"/>
      <c r="E637" s="1055"/>
      <c r="F637" s="1055"/>
      <c r="G637" s="1056"/>
      <c r="H637" s="1054"/>
      <c r="I637" s="1055"/>
      <c r="J637" s="1055"/>
      <c r="K637" s="1056"/>
      <c r="L637" s="1054"/>
      <c r="M637" s="1055"/>
      <c r="N637" s="1055"/>
      <c r="O637" s="1056"/>
      <c r="P637" s="1054"/>
      <c r="Q637" s="1055"/>
      <c r="R637" s="1055"/>
      <c r="S637" s="1056"/>
      <c r="T637" s="105">
        <f>'Zamfara Workings'!$V$137</f>
        <v>2</v>
      </c>
      <c r="U637" s="105">
        <f>'Zamfara Workings'!$V$140</f>
        <v>2</v>
      </c>
      <c r="V637" s="105">
        <f>'Zamfara Workings'!$V$143</f>
        <v>0</v>
      </c>
      <c r="W637" s="105">
        <f>'Zamfara Workings'!$V$146</f>
        <v>0</v>
      </c>
      <c r="X637" s="880"/>
    </row>
    <row r="638" spans="1:24" ht="13.5" thickBot="1">
      <c r="A638" s="885"/>
      <c r="B638" s="885"/>
      <c r="C638" s="100" t="s">
        <v>301</v>
      </c>
      <c r="D638" s="1054"/>
      <c r="E638" s="1055"/>
      <c r="F638" s="1055"/>
      <c r="G638" s="1056"/>
      <c r="H638" s="1054"/>
      <c r="I638" s="1055"/>
      <c r="J638" s="1055"/>
      <c r="K638" s="1056"/>
      <c r="L638" s="1054"/>
      <c r="M638" s="1055"/>
      <c r="N638" s="1055"/>
      <c r="O638" s="1056"/>
      <c r="P638" s="1054"/>
      <c r="Q638" s="1055"/>
      <c r="R638" s="1055"/>
      <c r="S638" s="1056"/>
      <c r="T638" s="105">
        <f>'Katsina Workings'!$V$137</f>
        <v>3</v>
      </c>
      <c r="U638" s="105">
        <f>'Katsina Workings'!$V$140</f>
        <v>3</v>
      </c>
      <c r="V638" s="105">
        <f>'Katsina Workings'!$V$143</f>
        <v>0</v>
      </c>
      <c r="W638" s="105">
        <f>'Katsina Workings'!$V$146</f>
        <v>0</v>
      </c>
      <c r="X638" s="880"/>
    </row>
    <row r="639" spans="1:24" ht="13.5" thickBot="1">
      <c r="A639" s="885"/>
      <c r="B639" s="885"/>
      <c r="C639" s="100" t="s">
        <v>302</v>
      </c>
      <c r="D639" s="1054"/>
      <c r="E639" s="1055"/>
      <c r="F639" s="1055"/>
      <c r="G639" s="1056"/>
      <c r="H639" s="1054"/>
      <c r="I639" s="1055"/>
      <c r="J639" s="1055"/>
      <c r="K639" s="1056"/>
      <c r="L639" s="1054"/>
      <c r="M639" s="1055"/>
      <c r="N639" s="1055"/>
      <c r="O639" s="1056"/>
      <c r="P639" s="1054"/>
      <c r="Q639" s="1055"/>
      <c r="R639" s="1055"/>
      <c r="S639" s="1056"/>
      <c r="T639" s="105">
        <f>'Yobe Workings'!$V$137</f>
        <v>1</v>
      </c>
      <c r="U639" s="105">
        <f>'Yobe Workings'!$V$140</f>
        <v>5</v>
      </c>
      <c r="V639" s="105">
        <f>'Yobe Workings'!$V$143</f>
        <v>0</v>
      </c>
      <c r="W639" s="105">
        <f>'Yobe Workings'!$V$146</f>
        <v>0</v>
      </c>
      <c r="X639" s="880"/>
    </row>
    <row r="640" spans="1:24" ht="24.75" thickBot="1">
      <c r="A640" s="885"/>
      <c r="B640" s="885"/>
      <c r="C640" s="100" t="s">
        <v>303</v>
      </c>
      <c r="D640" s="1054"/>
      <c r="E640" s="1055"/>
      <c r="F640" s="1055"/>
      <c r="G640" s="1056"/>
      <c r="H640" s="1054"/>
      <c r="I640" s="1055"/>
      <c r="J640" s="1055"/>
      <c r="K640" s="1056"/>
      <c r="L640" s="1054"/>
      <c r="M640" s="1055"/>
      <c r="N640" s="1055"/>
      <c r="O640" s="1056"/>
      <c r="P640" s="1054"/>
      <c r="Q640" s="1055"/>
      <c r="R640" s="1055"/>
      <c r="S640" s="1056"/>
      <c r="T640" s="105">
        <f>T628</f>
        <v>0</v>
      </c>
      <c r="U640" s="105">
        <f t="shared" ref="U640:W640" si="125">U628</f>
        <v>0</v>
      </c>
      <c r="V640" s="105">
        <f t="shared" si="125"/>
        <v>0</v>
      </c>
      <c r="W640" s="105">
        <f t="shared" si="125"/>
        <v>0</v>
      </c>
      <c r="X640" s="880"/>
    </row>
    <row r="641" spans="1:24" ht="13.5" thickBot="1">
      <c r="A641" s="885"/>
      <c r="B641" s="885"/>
      <c r="C641" s="100" t="s">
        <v>304</v>
      </c>
      <c r="D641" s="1054"/>
      <c r="E641" s="1055"/>
      <c r="F641" s="1055"/>
      <c r="G641" s="1056"/>
      <c r="H641" s="1054"/>
      <c r="I641" s="1055"/>
      <c r="J641" s="1055"/>
      <c r="K641" s="1056"/>
      <c r="L641" s="1054"/>
      <c r="M641" s="1055"/>
      <c r="N641" s="1055"/>
      <c r="O641" s="1056"/>
      <c r="P641" s="1054"/>
      <c r="Q641" s="1055"/>
      <c r="R641" s="1055"/>
      <c r="S641" s="1056"/>
      <c r="T641" s="105">
        <f>T629</f>
        <v>0</v>
      </c>
      <c r="U641" s="105">
        <f t="shared" ref="U641:W641" si="126">U629</f>
        <v>0</v>
      </c>
      <c r="V641" s="105">
        <f t="shared" si="126"/>
        <v>0</v>
      </c>
      <c r="W641" s="105">
        <f t="shared" si="126"/>
        <v>0</v>
      </c>
      <c r="X641" s="880"/>
    </row>
    <row r="642" spans="1:24" ht="13.5" thickBot="1">
      <c r="A642" s="885"/>
      <c r="B642" s="885"/>
      <c r="C642" s="100" t="s">
        <v>435</v>
      </c>
      <c r="D642" s="1054"/>
      <c r="E642" s="1055"/>
      <c r="F642" s="1055"/>
      <c r="G642" s="1056"/>
      <c r="H642" s="1054"/>
      <c r="I642" s="1055"/>
      <c r="J642" s="1055"/>
      <c r="K642" s="1056"/>
      <c r="L642" s="1054"/>
      <c r="M642" s="1055"/>
      <c r="N642" s="1055"/>
      <c r="O642" s="1056"/>
      <c r="P642" s="1054"/>
      <c r="Q642" s="1055"/>
      <c r="R642" s="1055"/>
      <c r="S642" s="1056"/>
      <c r="T642" s="106">
        <f>'Nat-Intl Replication Diary'!Q118</f>
        <v>11</v>
      </c>
      <c r="U642" s="106">
        <f>'Nat-Intl Replication Diary'!Q119</f>
        <v>9</v>
      </c>
      <c r="V642" s="106">
        <f>'Nat-Intl Replication Diary'!Q120</f>
        <v>7</v>
      </c>
      <c r="W642" s="106">
        <f>'Nat-Intl Replication Diary'!Q121</f>
        <v>3</v>
      </c>
      <c r="X642" s="880"/>
    </row>
    <row r="643" spans="1:24" ht="13.5" thickBot="1">
      <c r="A643" s="885"/>
      <c r="B643" s="885"/>
      <c r="C643" s="100" t="s">
        <v>642</v>
      </c>
      <c r="D643" s="1054"/>
      <c r="E643" s="1055"/>
      <c r="F643" s="1055"/>
      <c r="G643" s="1056"/>
      <c r="H643" s="1054"/>
      <c r="I643" s="1055"/>
      <c r="J643" s="1055"/>
      <c r="K643" s="1056"/>
      <c r="L643" s="1054"/>
      <c r="M643" s="1055"/>
      <c r="N643" s="1055"/>
      <c r="O643" s="1056"/>
      <c r="P643" s="1054"/>
      <c r="Q643" s="1055"/>
      <c r="R643" s="1055"/>
      <c r="S643" s="1056"/>
      <c r="T643" s="106">
        <f>'Nat-Intl Replication Diary'!R118</f>
        <v>9</v>
      </c>
      <c r="U643" s="106">
        <f>'Nat-Intl Replication Diary'!R119</f>
        <v>9</v>
      </c>
      <c r="V643" s="106">
        <f>'Nat-Intl Replication Diary'!R120</f>
        <v>11</v>
      </c>
      <c r="W643" s="106">
        <f>'Nat-Intl Replication Diary'!R121</f>
        <v>3</v>
      </c>
      <c r="X643" s="881"/>
    </row>
    <row r="644" spans="1:24" ht="13.5" thickBot="1">
      <c r="A644" s="513" t="s">
        <v>13</v>
      </c>
      <c r="B644" s="885"/>
      <c r="C644" s="922" t="s">
        <v>413</v>
      </c>
      <c r="D644" s="927" t="s">
        <v>4</v>
      </c>
      <c r="E644" s="928"/>
      <c r="F644" s="928"/>
      <c r="G644" s="928"/>
      <c r="H644" s="928"/>
      <c r="I644" s="928"/>
      <c r="J644" s="928"/>
      <c r="K644" s="928"/>
      <c r="L644" s="928"/>
      <c r="M644" s="928"/>
      <c r="N644" s="928"/>
      <c r="O644" s="928"/>
      <c r="P644" s="928"/>
      <c r="Q644" s="928"/>
      <c r="R644" s="928"/>
      <c r="S644" s="928"/>
      <c r="T644" s="928"/>
      <c r="U644" s="928"/>
      <c r="V644" s="928"/>
      <c r="W644" s="929"/>
      <c r="X644" s="550" t="s">
        <v>14</v>
      </c>
    </row>
    <row r="645" spans="1:24" ht="13.5" thickBot="1">
      <c r="A645" s="25" t="s">
        <v>73</v>
      </c>
      <c r="B645" s="869"/>
      <c r="C645" s="923"/>
      <c r="D645" s="930" t="s">
        <v>125</v>
      </c>
      <c r="E645" s="931"/>
      <c r="F645" s="931"/>
      <c r="G645" s="931"/>
      <c r="H645" s="931"/>
      <c r="I645" s="931"/>
      <c r="J645" s="931"/>
      <c r="K645" s="931"/>
      <c r="L645" s="931"/>
      <c r="M645" s="931"/>
      <c r="N645" s="931"/>
      <c r="O645" s="931"/>
      <c r="P645" s="931"/>
      <c r="Q645" s="931"/>
      <c r="R645" s="931"/>
      <c r="S645" s="931"/>
      <c r="T645" s="931"/>
      <c r="U645" s="931"/>
      <c r="V645" s="931"/>
      <c r="W645" s="932"/>
      <c r="X645" s="18" t="s">
        <v>92</v>
      </c>
    </row>
    <row r="646" spans="1:24" ht="13.5" thickBot="1">
      <c r="A646" s="906" t="s">
        <v>7</v>
      </c>
      <c r="B646" s="908" t="s">
        <v>173</v>
      </c>
      <c r="C646" s="909"/>
      <c r="D646" s="908" t="s">
        <v>8</v>
      </c>
      <c r="E646" s="918"/>
      <c r="F646" s="918"/>
      <c r="G646" s="909"/>
      <c r="H646" s="908" t="s">
        <v>88</v>
      </c>
      <c r="I646" s="918"/>
      <c r="J646" s="918"/>
      <c r="K646" s="909"/>
      <c r="L646" s="908" t="s">
        <v>89</v>
      </c>
      <c r="M646" s="918"/>
      <c r="N646" s="918"/>
      <c r="O646" s="909"/>
      <c r="P646" s="908" t="s">
        <v>9</v>
      </c>
      <c r="Q646" s="918"/>
      <c r="R646" s="918"/>
      <c r="S646" s="909"/>
      <c r="T646" s="908" t="s">
        <v>174</v>
      </c>
      <c r="U646" s="918"/>
      <c r="V646" s="918"/>
      <c r="W646" s="918"/>
      <c r="X646" s="909"/>
    </row>
    <row r="647" spans="1:24" ht="13.5" thickBot="1">
      <c r="A647" s="907"/>
      <c r="B647" s="919">
        <v>4100000</v>
      </c>
      <c r="C647" s="920"/>
      <c r="D647" s="919">
        <v>0</v>
      </c>
      <c r="E647" s="921"/>
      <c r="F647" s="921"/>
      <c r="G647" s="920"/>
      <c r="H647" s="919">
        <v>0</v>
      </c>
      <c r="I647" s="921"/>
      <c r="J647" s="921"/>
      <c r="K647" s="920"/>
      <c r="L647" s="919">
        <v>2700000</v>
      </c>
      <c r="M647" s="921"/>
      <c r="N647" s="921"/>
      <c r="O647" s="920"/>
      <c r="P647" s="919">
        <f>SUM(B647:O647)</f>
        <v>6800000</v>
      </c>
      <c r="Q647" s="921"/>
      <c r="R647" s="921"/>
      <c r="S647" s="920"/>
      <c r="T647" s="942">
        <f>B647/P647%</f>
        <v>60.294117647058826</v>
      </c>
      <c r="U647" s="943"/>
      <c r="V647" s="943"/>
      <c r="W647" s="943"/>
      <c r="X647" s="944"/>
    </row>
    <row r="648" spans="1:24" ht="13.5" thickBot="1">
      <c r="A648" s="906" t="s">
        <v>10</v>
      </c>
      <c r="B648" s="908" t="s">
        <v>175</v>
      </c>
      <c r="C648" s="909"/>
      <c r="D648" s="910"/>
      <c r="E648" s="911"/>
      <c r="F648" s="911"/>
      <c r="G648" s="911"/>
      <c r="H648" s="911"/>
      <c r="I648" s="911"/>
      <c r="J648" s="911"/>
      <c r="K648" s="911"/>
      <c r="L648" s="911"/>
      <c r="M648" s="911"/>
      <c r="N648" s="911"/>
      <c r="O648" s="911"/>
      <c r="P648" s="911"/>
      <c r="Q648" s="911"/>
      <c r="R648" s="911"/>
      <c r="S648" s="911"/>
      <c r="T648" s="911"/>
      <c r="U648" s="911"/>
      <c r="V648" s="911"/>
      <c r="W648" s="911"/>
      <c r="X648" s="912"/>
    </row>
    <row r="649" spans="1:24" ht="13.5" thickBot="1">
      <c r="A649" s="907"/>
      <c r="B649" s="916"/>
      <c r="C649" s="917"/>
      <c r="D649" s="913"/>
      <c r="E649" s="914"/>
      <c r="F649" s="914"/>
      <c r="G649" s="914"/>
      <c r="H649" s="914"/>
      <c r="I649" s="914"/>
      <c r="J649" s="914"/>
      <c r="K649" s="914"/>
      <c r="L649" s="914"/>
      <c r="M649" s="914"/>
      <c r="N649" s="914"/>
      <c r="O649" s="914"/>
      <c r="P649" s="914"/>
      <c r="Q649" s="914"/>
      <c r="R649" s="914"/>
      <c r="S649" s="914"/>
      <c r="T649" s="914"/>
      <c r="U649" s="914"/>
      <c r="V649" s="914"/>
      <c r="W649" s="914"/>
      <c r="X649" s="915"/>
    </row>
  </sheetData>
  <sheetProtection password="CF55" sheet="1" objects="1" scenarios="1" selectLockedCells="1" selectUnlockedCells="1"/>
  <mergeCells count="2660">
    <mergeCell ref="X566:X643"/>
    <mergeCell ref="A648:A649"/>
    <mergeCell ref="B648:C648"/>
    <mergeCell ref="D648:X649"/>
    <mergeCell ref="B649:C649"/>
    <mergeCell ref="T646:X646"/>
    <mergeCell ref="B647:C647"/>
    <mergeCell ref="D647:G647"/>
    <mergeCell ref="H647:K647"/>
    <mergeCell ref="L647:O647"/>
    <mergeCell ref="P647:S647"/>
    <mergeCell ref="T647:X647"/>
    <mergeCell ref="A646:A647"/>
    <mergeCell ref="B646:C646"/>
    <mergeCell ref="D646:G646"/>
    <mergeCell ref="H646:K646"/>
    <mergeCell ref="L646:O646"/>
    <mergeCell ref="P646:S646"/>
    <mergeCell ref="P634:S634"/>
    <mergeCell ref="D643:G643"/>
    <mergeCell ref="H643:K643"/>
    <mergeCell ref="L643:O643"/>
    <mergeCell ref="P643:S643"/>
    <mergeCell ref="C644:C645"/>
    <mergeCell ref="D644:W644"/>
    <mergeCell ref="D645:W645"/>
    <mergeCell ref="D641:G641"/>
    <mergeCell ref="H641:K641"/>
    <mergeCell ref="L641:O641"/>
    <mergeCell ref="P641:S641"/>
    <mergeCell ref="D642:G642"/>
    <mergeCell ref="H642:K642"/>
    <mergeCell ref="P642:S642"/>
    <mergeCell ref="D639:G639"/>
    <mergeCell ref="H639:K639"/>
    <mergeCell ref="L639:O639"/>
    <mergeCell ref="P639:S639"/>
    <mergeCell ref="D640:G640"/>
    <mergeCell ref="H640:K640"/>
    <mergeCell ref="L640:O640"/>
    <mergeCell ref="P640:S640"/>
    <mergeCell ref="H630:K630"/>
    <mergeCell ref="L630:O630"/>
    <mergeCell ref="D627:G627"/>
    <mergeCell ref="H627:K627"/>
    <mergeCell ref="L627:O627"/>
    <mergeCell ref="D628:G628"/>
    <mergeCell ref="H628:K628"/>
    <mergeCell ref="L628:O628"/>
    <mergeCell ref="D637:G637"/>
    <mergeCell ref="H637:K637"/>
    <mergeCell ref="L637:O637"/>
    <mergeCell ref="P637:S637"/>
    <mergeCell ref="D638:G638"/>
    <mergeCell ref="H638:K638"/>
    <mergeCell ref="L638:O638"/>
    <mergeCell ref="P638:S638"/>
    <mergeCell ref="D635:G635"/>
    <mergeCell ref="H635:K635"/>
    <mergeCell ref="L635:O635"/>
    <mergeCell ref="P635:S635"/>
    <mergeCell ref="D636:G636"/>
    <mergeCell ref="H636:K636"/>
    <mergeCell ref="P636:S636"/>
    <mergeCell ref="P632:S632"/>
    <mergeCell ref="D633:G633"/>
    <mergeCell ref="H633:K633"/>
    <mergeCell ref="L633:O633"/>
    <mergeCell ref="P633:S633"/>
    <mergeCell ref="D634:G634"/>
    <mergeCell ref="H634:K634"/>
    <mergeCell ref="L634:O634"/>
    <mergeCell ref="D625:G625"/>
    <mergeCell ref="H625:K625"/>
    <mergeCell ref="L625:O625"/>
    <mergeCell ref="D626:G626"/>
    <mergeCell ref="H626:K626"/>
    <mergeCell ref="L626:O626"/>
    <mergeCell ref="D623:G623"/>
    <mergeCell ref="H623:K623"/>
    <mergeCell ref="L623:O623"/>
    <mergeCell ref="D624:G624"/>
    <mergeCell ref="H624:K624"/>
    <mergeCell ref="L624:O624"/>
    <mergeCell ref="B620:B645"/>
    <mergeCell ref="D620:G620"/>
    <mergeCell ref="H620:K620"/>
    <mergeCell ref="L620:O620"/>
    <mergeCell ref="D621:G621"/>
    <mergeCell ref="H621:K621"/>
    <mergeCell ref="L621:O621"/>
    <mergeCell ref="D622:G622"/>
    <mergeCell ref="H622:K622"/>
    <mergeCell ref="L622:O622"/>
    <mergeCell ref="D631:G631"/>
    <mergeCell ref="H631:K631"/>
    <mergeCell ref="L631:O631"/>
    <mergeCell ref="D632:G632"/>
    <mergeCell ref="H632:K632"/>
    <mergeCell ref="L632:O632"/>
    <mergeCell ref="D629:G629"/>
    <mergeCell ref="H629:K629"/>
    <mergeCell ref="L629:O629"/>
    <mergeCell ref="D630:G630"/>
    <mergeCell ref="L636:O636"/>
    <mergeCell ref="L642:O642"/>
    <mergeCell ref="C617:C618"/>
    <mergeCell ref="D617:W617"/>
    <mergeCell ref="D618:W618"/>
    <mergeCell ref="D619:G619"/>
    <mergeCell ref="H619:K619"/>
    <mergeCell ref="L619:O619"/>
    <mergeCell ref="P619:S619"/>
    <mergeCell ref="T619:W619"/>
    <mergeCell ref="D615:G615"/>
    <mergeCell ref="H615:K615"/>
    <mergeCell ref="L615:O615"/>
    <mergeCell ref="D616:G616"/>
    <mergeCell ref="H616:K616"/>
    <mergeCell ref="L616:O616"/>
    <mergeCell ref="D613:G613"/>
    <mergeCell ref="H613:K613"/>
    <mergeCell ref="L613:O613"/>
    <mergeCell ref="P613:S613"/>
    <mergeCell ref="D614:G614"/>
    <mergeCell ref="H614:K614"/>
    <mergeCell ref="L614:O614"/>
    <mergeCell ref="P614:S614"/>
    <mergeCell ref="D611:G611"/>
    <mergeCell ref="H611:K611"/>
    <mergeCell ref="L611:O611"/>
    <mergeCell ref="D612:G612"/>
    <mergeCell ref="H612:K612"/>
    <mergeCell ref="L612:O612"/>
    <mergeCell ref="D609:G609"/>
    <mergeCell ref="H609:K609"/>
    <mergeCell ref="L609:O609"/>
    <mergeCell ref="D610:G610"/>
    <mergeCell ref="H610:K610"/>
    <mergeCell ref="L610:O610"/>
    <mergeCell ref="D607:G607"/>
    <mergeCell ref="H607:K607"/>
    <mergeCell ref="L607:O607"/>
    <mergeCell ref="D608:G608"/>
    <mergeCell ref="H608:K608"/>
    <mergeCell ref="L608:O608"/>
    <mergeCell ref="L598:O598"/>
    <mergeCell ref="P598:S598"/>
    <mergeCell ref="H595:K595"/>
    <mergeCell ref="L595:O595"/>
    <mergeCell ref="P595:S595"/>
    <mergeCell ref="D596:G596"/>
    <mergeCell ref="H596:K596"/>
    <mergeCell ref="L596:O596"/>
    <mergeCell ref="P596:S596"/>
    <mergeCell ref="D605:G605"/>
    <mergeCell ref="H605:K605"/>
    <mergeCell ref="L605:O605"/>
    <mergeCell ref="D606:G606"/>
    <mergeCell ref="H606:K606"/>
    <mergeCell ref="L606:O606"/>
    <mergeCell ref="D603:G603"/>
    <mergeCell ref="H603:K603"/>
    <mergeCell ref="L603:O603"/>
    <mergeCell ref="P603:S603"/>
    <mergeCell ref="D604:G604"/>
    <mergeCell ref="H604:K604"/>
    <mergeCell ref="L604:O604"/>
    <mergeCell ref="P604:S604"/>
    <mergeCell ref="D601:G601"/>
    <mergeCell ref="H601:K601"/>
    <mergeCell ref="L601:O601"/>
    <mergeCell ref="D602:G602"/>
    <mergeCell ref="H602:K602"/>
    <mergeCell ref="L602:O602"/>
    <mergeCell ref="B593:B618"/>
    <mergeCell ref="D593:G593"/>
    <mergeCell ref="H593:K593"/>
    <mergeCell ref="L593:O593"/>
    <mergeCell ref="P593:S593"/>
    <mergeCell ref="D594:G594"/>
    <mergeCell ref="H594:K594"/>
    <mergeCell ref="L594:O594"/>
    <mergeCell ref="P594:S594"/>
    <mergeCell ref="D595:G595"/>
    <mergeCell ref="C590:C591"/>
    <mergeCell ref="D590:W590"/>
    <mergeCell ref="D591:W591"/>
    <mergeCell ref="D592:G592"/>
    <mergeCell ref="H592:K592"/>
    <mergeCell ref="L592:O592"/>
    <mergeCell ref="P592:S592"/>
    <mergeCell ref="T592:W592"/>
    <mergeCell ref="D599:G599"/>
    <mergeCell ref="H599:K599"/>
    <mergeCell ref="L599:O599"/>
    <mergeCell ref="P599:S599"/>
    <mergeCell ref="D600:G600"/>
    <mergeCell ref="H600:K600"/>
    <mergeCell ref="L600:O600"/>
    <mergeCell ref="P600:S600"/>
    <mergeCell ref="D597:G597"/>
    <mergeCell ref="H597:K597"/>
    <mergeCell ref="L597:O597"/>
    <mergeCell ref="P597:S597"/>
    <mergeCell ref="D598:G598"/>
    <mergeCell ref="H598:K598"/>
    <mergeCell ref="D588:G588"/>
    <mergeCell ref="H588:K588"/>
    <mergeCell ref="L588:O588"/>
    <mergeCell ref="D589:G589"/>
    <mergeCell ref="H589:K589"/>
    <mergeCell ref="L589:O589"/>
    <mergeCell ref="D586:G586"/>
    <mergeCell ref="H586:K586"/>
    <mergeCell ref="L586:O586"/>
    <mergeCell ref="P586:S586"/>
    <mergeCell ref="D587:G587"/>
    <mergeCell ref="H587:K587"/>
    <mergeCell ref="L587:O587"/>
    <mergeCell ref="P587:S587"/>
    <mergeCell ref="D584:G584"/>
    <mergeCell ref="H584:K584"/>
    <mergeCell ref="L584:O584"/>
    <mergeCell ref="D585:G585"/>
    <mergeCell ref="H585:K585"/>
    <mergeCell ref="L585:O585"/>
    <mergeCell ref="D582:G582"/>
    <mergeCell ref="H582:K582"/>
    <mergeCell ref="L582:O582"/>
    <mergeCell ref="D583:G583"/>
    <mergeCell ref="H583:K583"/>
    <mergeCell ref="L583:O583"/>
    <mergeCell ref="D580:G580"/>
    <mergeCell ref="H580:K580"/>
    <mergeCell ref="L580:O580"/>
    <mergeCell ref="D581:G581"/>
    <mergeCell ref="H581:K581"/>
    <mergeCell ref="L581:O581"/>
    <mergeCell ref="D578:G578"/>
    <mergeCell ref="H578:K578"/>
    <mergeCell ref="L578:O578"/>
    <mergeCell ref="D579:G579"/>
    <mergeCell ref="H579:K579"/>
    <mergeCell ref="L579:O579"/>
    <mergeCell ref="L568:O568"/>
    <mergeCell ref="P568:S568"/>
    <mergeCell ref="D569:G569"/>
    <mergeCell ref="D576:G576"/>
    <mergeCell ref="H576:K576"/>
    <mergeCell ref="L576:O576"/>
    <mergeCell ref="P576:S576"/>
    <mergeCell ref="D577:G577"/>
    <mergeCell ref="H577:K577"/>
    <mergeCell ref="L577:O577"/>
    <mergeCell ref="P577:S577"/>
    <mergeCell ref="D574:G574"/>
    <mergeCell ref="H574:K574"/>
    <mergeCell ref="L574:O574"/>
    <mergeCell ref="D575:G575"/>
    <mergeCell ref="H575:K575"/>
    <mergeCell ref="L575:O575"/>
    <mergeCell ref="D572:G572"/>
    <mergeCell ref="H572:K572"/>
    <mergeCell ref="L572:O572"/>
    <mergeCell ref="P572:S572"/>
    <mergeCell ref="D573:G573"/>
    <mergeCell ref="H573:K573"/>
    <mergeCell ref="L573:O573"/>
    <mergeCell ref="P573:S573"/>
    <mergeCell ref="A566:A643"/>
    <mergeCell ref="B566:B591"/>
    <mergeCell ref="D566:G566"/>
    <mergeCell ref="H566:K566"/>
    <mergeCell ref="L566:O566"/>
    <mergeCell ref="P566:S566"/>
    <mergeCell ref="H569:K569"/>
    <mergeCell ref="L569:O569"/>
    <mergeCell ref="P569:S569"/>
    <mergeCell ref="D570:G570"/>
    <mergeCell ref="A561:A562"/>
    <mergeCell ref="B561:C561"/>
    <mergeCell ref="D561:X562"/>
    <mergeCell ref="B562:C562"/>
    <mergeCell ref="D565:G565"/>
    <mergeCell ref="H565:K565"/>
    <mergeCell ref="L565:O565"/>
    <mergeCell ref="P565:S565"/>
    <mergeCell ref="T565:W565"/>
    <mergeCell ref="H570:K570"/>
    <mergeCell ref="L570:O570"/>
    <mergeCell ref="P570:S570"/>
    <mergeCell ref="D571:G571"/>
    <mergeCell ref="H571:K571"/>
    <mergeCell ref="L571:O571"/>
    <mergeCell ref="P571:S571"/>
    <mergeCell ref="D567:G567"/>
    <mergeCell ref="H567:K567"/>
    <mergeCell ref="L567:O567"/>
    <mergeCell ref="P567:S567"/>
    <mergeCell ref="D568:G568"/>
    <mergeCell ref="H568:K568"/>
    <mergeCell ref="B560:C560"/>
    <mergeCell ref="D560:G560"/>
    <mergeCell ref="H560:K560"/>
    <mergeCell ref="L560:O560"/>
    <mergeCell ref="P560:S560"/>
    <mergeCell ref="T560:X560"/>
    <mergeCell ref="C557:C558"/>
    <mergeCell ref="D557:W557"/>
    <mergeCell ref="D558:W558"/>
    <mergeCell ref="A559:A560"/>
    <mergeCell ref="B559:C559"/>
    <mergeCell ref="D559:G559"/>
    <mergeCell ref="H559:K559"/>
    <mergeCell ref="L559:O559"/>
    <mergeCell ref="P559:S559"/>
    <mergeCell ref="T559:X559"/>
    <mergeCell ref="D556:G556"/>
    <mergeCell ref="H556:K556"/>
    <mergeCell ref="L556:O556"/>
    <mergeCell ref="P556:S556"/>
    <mergeCell ref="T556:U556"/>
    <mergeCell ref="V556:W556"/>
    <mergeCell ref="A444:A556"/>
    <mergeCell ref="B444:B465"/>
    <mergeCell ref="D548:G548"/>
    <mergeCell ref="H548:K548"/>
    <mergeCell ref="L548:M548"/>
    <mergeCell ref="N548:O548"/>
    <mergeCell ref="P548:Q548"/>
    <mergeCell ref="R548:S548"/>
    <mergeCell ref="T554:U554"/>
    <mergeCell ref="V554:W554"/>
    <mergeCell ref="D555:G555"/>
    <mergeCell ref="H555:K555"/>
    <mergeCell ref="L555:O555"/>
    <mergeCell ref="P555:S555"/>
    <mergeCell ref="T555:U555"/>
    <mergeCell ref="V555:W555"/>
    <mergeCell ref="D554:G554"/>
    <mergeCell ref="H554:K554"/>
    <mergeCell ref="L554:M554"/>
    <mergeCell ref="N554:O554"/>
    <mergeCell ref="P554:Q554"/>
    <mergeCell ref="R554:S554"/>
    <mergeCell ref="T552:U552"/>
    <mergeCell ref="V552:W552"/>
    <mergeCell ref="D553:G553"/>
    <mergeCell ref="H553:K553"/>
    <mergeCell ref="L553:M553"/>
    <mergeCell ref="N553:O553"/>
    <mergeCell ref="P553:Q553"/>
    <mergeCell ref="R553:S553"/>
    <mergeCell ref="T553:U553"/>
    <mergeCell ref="V553:W553"/>
    <mergeCell ref="D552:G552"/>
    <mergeCell ref="H552:K552"/>
    <mergeCell ref="L552:M552"/>
    <mergeCell ref="N552:O552"/>
    <mergeCell ref="P552:Q552"/>
    <mergeCell ref="R552:S552"/>
    <mergeCell ref="H545:K545"/>
    <mergeCell ref="L545:O545"/>
    <mergeCell ref="P545:Q545"/>
    <mergeCell ref="R545:S545"/>
    <mergeCell ref="T545:U545"/>
    <mergeCell ref="V545:W545"/>
    <mergeCell ref="T550:U550"/>
    <mergeCell ref="V550:W550"/>
    <mergeCell ref="D551:G551"/>
    <mergeCell ref="H551:K551"/>
    <mergeCell ref="L551:M551"/>
    <mergeCell ref="N551:O551"/>
    <mergeCell ref="P551:Q551"/>
    <mergeCell ref="R551:S551"/>
    <mergeCell ref="T551:U551"/>
    <mergeCell ref="V551:W551"/>
    <mergeCell ref="D550:G550"/>
    <mergeCell ref="H550:K550"/>
    <mergeCell ref="L550:M550"/>
    <mergeCell ref="N550:O550"/>
    <mergeCell ref="P550:Q550"/>
    <mergeCell ref="R550:S550"/>
    <mergeCell ref="T548:U548"/>
    <mergeCell ref="V548:W548"/>
    <mergeCell ref="D549:G549"/>
    <mergeCell ref="H549:K549"/>
    <mergeCell ref="L549:M549"/>
    <mergeCell ref="N549:O549"/>
    <mergeCell ref="P549:Q549"/>
    <mergeCell ref="R549:S549"/>
    <mergeCell ref="T549:U549"/>
    <mergeCell ref="V549:W549"/>
    <mergeCell ref="L544:M544"/>
    <mergeCell ref="N544:O544"/>
    <mergeCell ref="P544:Q544"/>
    <mergeCell ref="R544:S544"/>
    <mergeCell ref="P542:Q542"/>
    <mergeCell ref="R542:S542"/>
    <mergeCell ref="T542:U542"/>
    <mergeCell ref="V542:W542"/>
    <mergeCell ref="D543:G543"/>
    <mergeCell ref="H543:I543"/>
    <mergeCell ref="J543:K543"/>
    <mergeCell ref="L543:M543"/>
    <mergeCell ref="N543:O543"/>
    <mergeCell ref="P543:Q543"/>
    <mergeCell ref="V546:W546"/>
    <mergeCell ref="D547:G547"/>
    <mergeCell ref="H547:K547"/>
    <mergeCell ref="L547:M547"/>
    <mergeCell ref="N547:O547"/>
    <mergeCell ref="P547:Q547"/>
    <mergeCell ref="R547:S547"/>
    <mergeCell ref="T547:U547"/>
    <mergeCell ref="V547:W547"/>
    <mergeCell ref="D546:G546"/>
    <mergeCell ref="H546:K546"/>
    <mergeCell ref="L546:O546"/>
    <mergeCell ref="P546:Q546"/>
    <mergeCell ref="R546:S546"/>
    <mergeCell ref="T546:U546"/>
    <mergeCell ref="T544:U544"/>
    <mergeCell ref="V544:W544"/>
    <mergeCell ref="D545:G545"/>
    <mergeCell ref="B539:B558"/>
    <mergeCell ref="D539:E539"/>
    <mergeCell ref="F539:G539"/>
    <mergeCell ref="H539:I539"/>
    <mergeCell ref="J539:K539"/>
    <mergeCell ref="L539:M539"/>
    <mergeCell ref="N541:O541"/>
    <mergeCell ref="P541:Q541"/>
    <mergeCell ref="R541:S541"/>
    <mergeCell ref="T541:U541"/>
    <mergeCell ref="V541:W541"/>
    <mergeCell ref="D542:G542"/>
    <mergeCell ref="H542:I542"/>
    <mergeCell ref="J542:K542"/>
    <mergeCell ref="L542:M542"/>
    <mergeCell ref="N542:O542"/>
    <mergeCell ref="N540:O540"/>
    <mergeCell ref="P540:Q540"/>
    <mergeCell ref="R540:S540"/>
    <mergeCell ref="T540:U540"/>
    <mergeCell ref="V540:W540"/>
    <mergeCell ref="D541:E541"/>
    <mergeCell ref="F541:G541"/>
    <mergeCell ref="H541:I541"/>
    <mergeCell ref="J541:K541"/>
    <mergeCell ref="L541:M541"/>
    <mergeCell ref="R543:S543"/>
    <mergeCell ref="T543:U543"/>
    <mergeCell ref="V543:W543"/>
    <mergeCell ref="D544:G544"/>
    <mergeCell ref="H544:I544"/>
    <mergeCell ref="J544:K544"/>
    <mergeCell ref="R536:S536"/>
    <mergeCell ref="T536:U536"/>
    <mergeCell ref="V536:W536"/>
    <mergeCell ref="N539:O539"/>
    <mergeCell ref="P539:Q539"/>
    <mergeCell ref="R539:S539"/>
    <mergeCell ref="T539:U539"/>
    <mergeCell ref="V539:W539"/>
    <mergeCell ref="D540:E540"/>
    <mergeCell ref="F540:G540"/>
    <mergeCell ref="H540:I540"/>
    <mergeCell ref="J540:K540"/>
    <mergeCell ref="L540:M540"/>
    <mergeCell ref="P538:Q538"/>
    <mergeCell ref="R538:S538"/>
    <mergeCell ref="T538:U538"/>
    <mergeCell ref="V538:W538"/>
    <mergeCell ref="B536:B538"/>
    <mergeCell ref="D536:E536"/>
    <mergeCell ref="F536:G536"/>
    <mergeCell ref="H536:I536"/>
    <mergeCell ref="J536:K536"/>
    <mergeCell ref="D532:G532"/>
    <mergeCell ref="H532:K532"/>
    <mergeCell ref="L532:O532"/>
    <mergeCell ref="P532:S532"/>
    <mergeCell ref="T532:W532"/>
    <mergeCell ref="C533:C534"/>
    <mergeCell ref="D533:W533"/>
    <mergeCell ref="D534:W534"/>
    <mergeCell ref="P537:Q537"/>
    <mergeCell ref="R537:S537"/>
    <mergeCell ref="T537:U537"/>
    <mergeCell ref="V537:W537"/>
    <mergeCell ref="D538:E538"/>
    <mergeCell ref="F538:G538"/>
    <mergeCell ref="H538:I538"/>
    <mergeCell ref="J538:K538"/>
    <mergeCell ref="L538:M538"/>
    <mergeCell ref="N538:O538"/>
    <mergeCell ref="D537:E537"/>
    <mergeCell ref="F537:G537"/>
    <mergeCell ref="H537:I537"/>
    <mergeCell ref="J537:K537"/>
    <mergeCell ref="L537:M537"/>
    <mergeCell ref="N537:O537"/>
    <mergeCell ref="L536:M536"/>
    <mergeCell ref="N536:O536"/>
    <mergeCell ref="P536:Q536"/>
    <mergeCell ref="D531:G531"/>
    <mergeCell ref="H531:K531"/>
    <mergeCell ref="L531:O531"/>
    <mergeCell ref="P531:S531"/>
    <mergeCell ref="T531:W531"/>
    <mergeCell ref="D528:G528"/>
    <mergeCell ref="H528:K528"/>
    <mergeCell ref="L528:O528"/>
    <mergeCell ref="P528:S528"/>
    <mergeCell ref="T528:W528"/>
    <mergeCell ref="D529:G529"/>
    <mergeCell ref="H529:K529"/>
    <mergeCell ref="L529:O529"/>
    <mergeCell ref="P529:S529"/>
    <mergeCell ref="T529:W529"/>
    <mergeCell ref="D535:G535"/>
    <mergeCell ref="H535:K535"/>
    <mergeCell ref="L535:O535"/>
    <mergeCell ref="P535:S535"/>
    <mergeCell ref="T535:W535"/>
    <mergeCell ref="D527:G527"/>
    <mergeCell ref="H527:K527"/>
    <mergeCell ref="L527:O527"/>
    <mergeCell ref="P527:S527"/>
    <mergeCell ref="T527:W527"/>
    <mergeCell ref="D524:G524"/>
    <mergeCell ref="H524:K524"/>
    <mergeCell ref="L524:O524"/>
    <mergeCell ref="P524:S524"/>
    <mergeCell ref="T524:W524"/>
    <mergeCell ref="D525:G525"/>
    <mergeCell ref="H525:K525"/>
    <mergeCell ref="L525:O525"/>
    <mergeCell ref="P525:S525"/>
    <mergeCell ref="T525:W525"/>
    <mergeCell ref="D530:G530"/>
    <mergeCell ref="H530:K530"/>
    <mergeCell ref="L530:O530"/>
    <mergeCell ref="P530:S530"/>
    <mergeCell ref="T530:W530"/>
    <mergeCell ref="D523:G523"/>
    <mergeCell ref="H523:K523"/>
    <mergeCell ref="L523:O523"/>
    <mergeCell ref="P523:S523"/>
    <mergeCell ref="T523:W523"/>
    <mergeCell ref="D520:G520"/>
    <mergeCell ref="H520:K520"/>
    <mergeCell ref="L520:O520"/>
    <mergeCell ref="P520:S520"/>
    <mergeCell ref="T520:W520"/>
    <mergeCell ref="D521:G521"/>
    <mergeCell ref="H521:K521"/>
    <mergeCell ref="L521:O521"/>
    <mergeCell ref="P521:S521"/>
    <mergeCell ref="T521:W521"/>
    <mergeCell ref="D526:G526"/>
    <mergeCell ref="H526:K526"/>
    <mergeCell ref="L526:O526"/>
    <mergeCell ref="P526:S526"/>
    <mergeCell ref="T526:W526"/>
    <mergeCell ref="L519:O519"/>
    <mergeCell ref="P519:S519"/>
    <mergeCell ref="T519:W519"/>
    <mergeCell ref="D516:G516"/>
    <mergeCell ref="H516:K516"/>
    <mergeCell ref="L516:O516"/>
    <mergeCell ref="P516:S516"/>
    <mergeCell ref="T516:W516"/>
    <mergeCell ref="D517:G517"/>
    <mergeCell ref="H517:K517"/>
    <mergeCell ref="L517:O517"/>
    <mergeCell ref="P517:S517"/>
    <mergeCell ref="T517:W517"/>
    <mergeCell ref="D522:G522"/>
    <mergeCell ref="H522:K522"/>
    <mergeCell ref="L522:O522"/>
    <mergeCell ref="P522:S522"/>
    <mergeCell ref="T522:W522"/>
    <mergeCell ref="T514:W514"/>
    <mergeCell ref="D515:G515"/>
    <mergeCell ref="H515:K515"/>
    <mergeCell ref="L515:O515"/>
    <mergeCell ref="P515:S515"/>
    <mergeCell ref="T515:W515"/>
    <mergeCell ref="B513:B534"/>
    <mergeCell ref="D513:G513"/>
    <mergeCell ref="H513:K513"/>
    <mergeCell ref="L513:O513"/>
    <mergeCell ref="P513:S513"/>
    <mergeCell ref="T513:W513"/>
    <mergeCell ref="D514:G514"/>
    <mergeCell ref="H514:K514"/>
    <mergeCell ref="L514:O514"/>
    <mergeCell ref="P514:S514"/>
    <mergeCell ref="C510:C511"/>
    <mergeCell ref="D510:W510"/>
    <mergeCell ref="D511:W511"/>
    <mergeCell ref="D512:G512"/>
    <mergeCell ref="H512:K512"/>
    <mergeCell ref="L512:O512"/>
    <mergeCell ref="P512:S512"/>
    <mergeCell ref="T512:W512"/>
    <mergeCell ref="B490:B511"/>
    <mergeCell ref="D518:G518"/>
    <mergeCell ref="H518:K518"/>
    <mergeCell ref="L518:O518"/>
    <mergeCell ref="P518:S518"/>
    <mergeCell ref="T518:W518"/>
    <mergeCell ref="D519:G519"/>
    <mergeCell ref="H519:K519"/>
    <mergeCell ref="D508:G508"/>
    <mergeCell ref="H508:K508"/>
    <mergeCell ref="L508:O508"/>
    <mergeCell ref="P508:S508"/>
    <mergeCell ref="T508:W508"/>
    <mergeCell ref="D509:G509"/>
    <mergeCell ref="H509:K509"/>
    <mergeCell ref="L509:O509"/>
    <mergeCell ref="P509:S509"/>
    <mergeCell ref="T509:W509"/>
    <mergeCell ref="D506:G506"/>
    <mergeCell ref="H506:K506"/>
    <mergeCell ref="L506:O506"/>
    <mergeCell ref="P506:S506"/>
    <mergeCell ref="T506:W506"/>
    <mergeCell ref="D507:G507"/>
    <mergeCell ref="H507:K507"/>
    <mergeCell ref="L507:O507"/>
    <mergeCell ref="P507:S507"/>
    <mergeCell ref="T507:W507"/>
    <mergeCell ref="D504:G504"/>
    <mergeCell ref="H504:K504"/>
    <mergeCell ref="L504:O504"/>
    <mergeCell ref="P504:S504"/>
    <mergeCell ref="T504:W504"/>
    <mergeCell ref="D505:G505"/>
    <mergeCell ref="H505:K505"/>
    <mergeCell ref="L505:O505"/>
    <mergeCell ref="P505:S505"/>
    <mergeCell ref="T505:W505"/>
    <mergeCell ref="D502:G502"/>
    <mergeCell ref="H502:K502"/>
    <mergeCell ref="L502:O502"/>
    <mergeCell ref="P502:S502"/>
    <mergeCell ref="T502:W502"/>
    <mergeCell ref="D503:G503"/>
    <mergeCell ref="H503:K503"/>
    <mergeCell ref="L503:O503"/>
    <mergeCell ref="P503:S503"/>
    <mergeCell ref="T503:W503"/>
    <mergeCell ref="D500:G500"/>
    <mergeCell ref="H500:K500"/>
    <mergeCell ref="L500:O500"/>
    <mergeCell ref="P500:S500"/>
    <mergeCell ref="T500:W500"/>
    <mergeCell ref="D501:G501"/>
    <mergeCell ref="H501:K501"/>
    <mergeCell ref="L501:O501"/>
    <mergeCell ref="P501:S501"/>
    <mergeCell ref="T501:W501"/>
    <mergeCell ref="D498:G498"/>
    <mergeCell ref="H498:K498"/>
    <mergeCell ref="L498:O498"/>
    <mergeCell ref="P498:S498"/>
    <mergeCell ref="T498:W498"/>
    <mergeCell ref="D499:G499"/>
    <mergeCell ref="H499:K499"/>
    <mergeCell ref="L499:O499"/>
    <mergeCell ref="P499:S499"/>
    <mergeCell ref="T499:W499"/>
    <mergeCell ref="D496:G496"/>
    <mergeCell ref="H496:K496"/>
    <mergeCell ref="L496:O496"/>
    <mergeCell ref="P496:S496"/>
    <mergeCell ref="T496:W496"/>
    <mergeCell ref="D497:G497"/>
    <mergeCell ref="H497:K497"/>
    <mergeCell ref="L497:O497"/>
    <mergeCell ref="P497:S497"/>
    <mergeCell ref="T497:W497"/>
    <mergeCell ref="D494:G494"/>
    <mergeCell ref="H494:K494"/>
    <mergeCell ref="L494:O494"/>
    <mergeCell ref="P494:S494"/>
    <mergeCell ref="T494:W494"/>
    <mergeCell ref="D495:G495"/>
    <mergeCell ref="H495:K495"/>
    <mergeCell ref="L495:O495"/>
    <mergeCell ref="P495:S495"/>
    <mergeCell ref="T495:W495"/>
    <mergeCell ref="D493:G493"/>
    <mergeCell ref="H493:K493"/>
    <mergeCell ref="L493:O493"/>
    <mergeCell ref="P493:S493"/>
    <mergeCell ref="T493:W493"/>
    <mergeCell ref="T490:W490"/>
    <mergeCell ref="D491:G491"/>
    <mergeCell ref="H491:K491"/>
    <mergeCell ref="L491:O491"/>
    <mergeCell ref="P491:S491"/>
    <mergeCell ref="T491:W491"/>
    <mergeCell ref="D489:G489"/>
    <mergeCell ref="H489:K489"/>
    <mergeCell ref="L489:O489"/>
    <mergeCell ref="P489:S489"/>
    <mergeCell ref="T489:W489"/>
    <mergeCell ref="D490:G490"/>
    <mergeCell ref="H490:K490"/>
    <mergeCell ref="L490:O490"/>
    <mergeCell ref="P490:S490"/>
    <mergeCell ref="C487:C488"/>
    <mergeCell ref="D487:W487"/>
    <mergeCell ref="D488:W488"/>
    <mergeCell ref="D484:G484"/>
    <mergeCell ref="H484:K484"/>
    <mergeCell ref="L484:O484"/>
    <mergeCell ref="P484:S484"/>
    <mergeCell ref="T484:W484"/>
    <mergeCell ref="D485:G485"/>
    <mergeCell ref="H485:K485"/>
    <mergeCell ref="L485:O485"/>
    <mergeCell ref="P485:S485"/>
    <mergeCell ref="T485:W485"/>
    <mergeCell ref="D492:G492"/>
    <mergeCell ref="H492:K492"/>
    <mergeCell ref="L492:O492"/>
    <mergeCell ref="P492:S492"/>
    <mergeCell ref="T492:W492"/>
    <mergeCell ref="D483:G483"/>
    <mergeCell ref="H483:K483"/>
    <mergeCell ref="L483:O483"/>
    <mergeCell ref="P483:S483"/>
    <mergeCell ref="T483:W483"/>
    <mergeCell ref="D480:G480"/>
    <mergeCell ref="H480:K480"/>
    <mergeCell ref="L480:O480"/>
    <mergeCell ref="P480:S480"/>
    <mergeCell ref="T480:W480"/>
    <mergeCell ref="D481:G481"/>
    <mergeCell ref="H481:K481"/>
    <mergeCell ref="L481:O481"/>
    <mergeCell ref="P481:S481"/>
    <mergeCell ref="T481:W481"/>
    <mergeCell ref="D486:G486"/>
    <mergeCell ref="H486:K486"/>
    <mergeCell ref="L486:O486"/>
    <mergeCell ref="P486:S486"/>
    <mergeCell ref="T486:W486"/>
    <mergeCell ref="D479:G479"/>
    <mergeCell ref="H479:K479"/>
    <mergeCell ref="L479:O479"/>
    <mergeCell ref="P479:S479"/>
    <mergeCell ref="T479:W479"/>
    <mergeCell ref="D476:G476"/>
    <mergeCell ref="H476:K476"/>
    <mergeCell ref="L476:O476"/>
    <mergeCell ref="P476:S476"/>
    <mergeCell ref="T476:W476"/>
    <mergeCell ref="D477:G477"/>
    <mergeCell ref="H477:K477"/>
    <mergeCell ref="L477:O477"/>
    <mergeCell ref="P477:S477"/>
    <mergeCell ref="T477:W477"/>
    <mergeCell ref="D482:G482"/>
    <mergeCell ref="H482:K482"/>
    <mergeCell ref="L482:O482"/>
    <mergeCell ref="P482:S482"/>
    <mergeCell ref="T482:W482"/>
    <mergeCell ref="H475:K475"/>
    <mergeCell ref="L475:O475"/>
    <mergeCell ref="P475:S475"/>
    <mergeCell ref="T475:W475"/>
    <mergeCell ref="D472:G472"/>
    <mergeCell ref="H472:K472"/>
    <mergeCell ref="L472:O472"/>
    <mergeCell ref="P472:S472"/>
    <mergeCell ref="T472:W472"/>
    <mergeCell ref="D473:G473"/>
    <mergeCell ref="H473:K473"/>
    <mergeCell ref="L473:O473"/>
    <mergeCell ref="P473:S473"/>
    <mergeCell ref="T473:W473"/>
    <mergeCell ref="D478:G478"/>
    <mergeCell ref="H478:K478"/>
    <mergeCell ref="L478:O478"/>
    <mergeCell ref="P478:S478"/>
    <mergeCell ref="T478:W478"/>
    <mergeCell ref="D470:G470"/>
    <mergeCell ref="H470:K470"/>
    <mergeCell ref="L470:O470"/>
    <mergeCell ref="P470:S470"/>
    <mergeCell ref="T470:W470"/>
    <mergeCell ref="D471:G471"/>
    <mergeCell ref="H471:K471"/>
    <mergeCell ref="L471:O471"/>
    <mergeCell ref="P471:S471"/>
    <mergeCell ref="T471:W471"/>
    <mergeCell ref="T468:W468"/>
    <mergeCell ref="D469:G469"/>
    <mergeCell ref="H469:K469"/>
    <mergeCell ref="L469:O469"/>
    <mergeCell ref="P469:S469"/>
    <mergeCell ref="T469:W469"/>
    <mergeCell ref="B467:B488"/>
    <mergeCell ref="D467:G467"/>
    <mergeCell ref="H467:K467"/>
    <mergeCell ref="L467:O467"/>
    <mergeCell ref="P467:S467"/>
    <mergeCell ref="T467:W467"/>
    <mergeCell ref="D468:G468"/>
    <mergeCell ref="H468:K468"/>
    <mergeCell ref="L468:O468"/>
    <mergeCell ref="P468:S468"/>
    <mergeCell ref="D474:G474"/>
    <mergeCell ref="H474:K474"/>
    <mergeCell ref="L474:O474"/>
    <mergeCell ref="P474:S474"/>
    <mergeCell ref="T474:W474"/>
    <mergeCell ref="D475:G475"/>
    <mergeCell ref="C464:C465"/>
    <mergeCell ref="D464:W464"/>
    <mergeCell ref="D465:W465"/>
    <mergeCell ref="D466:G466"/>
    <mergeCell ref="H466:K466"/>
    <mergeCell ref="L466:O466"/>
    <mergeCell ref="P466:S466"/>
    <mergeCell ref="T466:W466"/>
    <mergeCell ref="D462:G462"/>
    <mergeCell ref="H462:K462"/>
    <mergeCell ref="L462:O462"/>
    <mergeCell ref="P462:S462"/>
    <mergeCell ref="T462:W462"/>
    <mergeCell ref="D463:G463"/>
    <mergeCell ref="H463:K463"/>
    <mergeCell ref="L463:O463"/>
    <mergeCell ref="P463:S463"/>
    <mergeCell ref="T463:W463"/>
    <mergeCell ref="D460:G460"/>
    <mergeCell ref="H460:K460"/>
    <mergeCell ref="L460:O460"/>
    <mergeCell ref="P460:S460"/>
    <mergeCell ref="T460:W460"/>
    <mergeCell ref="D461:G461"/>
    <mergeCell ref="H461:K461"/>
    <mergeCell ref="L461:O461"/>
    <mergeCell ref="P461:S461"/>
    <mergeCell ref="T461:W461"/>
    <mergeCell ref="D458:G458"/>
    <mergeCell ref="H458:K458"/>
    <mergeCell ref="L458:O458"/>
    <mergeCell ref="P458:S458"/>
    <mergeCell ref="T458:W458"/>
    <mergeCell ref="D459:G459"/>
    <mergeCell ref="H459:K459"/>
    <mergeCell ref="L459:O459"/>
    <mergeCell ref="P459:S459"/>
    <mergeCell ref="T459:W459"/>
    <mergeCell ref="D456:G456"/>
    <mergeCell ref="H456:K456"/>
    <mergeCell ref="L456:O456"/>
    <mergeCell ref="P456:S456"/>
    <mergeCell ref="T456:W456"/>
    <mergeCell ref="D457:G457"/>
    <mergeCell ref="H457:K457"/>
    <mergeCell ref="L457:O457"/>
    <mergeCell ref="P457:S457"/>
    <mergeCell ref="T457:W457"/>
    <mergeCell ref="D454:G454"/>
    <mergeCell ref="H454:K454"/>
    <mergeCell ref="L454:O454"/>
    <mergeCell ref="P454:S454"/>
    <mergeCell ref="T454:W454"/>
    <mergeCell ref="D455:G455"/>
    <mergeCell ref="H455:K455"/>
    <mergeCell ref="L455:O455"/>
    <mergeCell ref="P455:S455"/>
    <mergeCell ref="T455:W455"/>
    <mergeCell ref="H452:K452"/>
    <mergeCell ref="L452:O452"/>
    <mergeCell ref="P452:S452"/>
    <mergeCell ref="T452:W452"/>
    <mergeCell ref="D453:G453"/>
    <mergeCell ref="H453:K453"/>
    <mergeCell ref="L453:O453"/>
    <mergeCell ref="P453:S453"/>
    <mergeCell ref="T453:W453"/>
    <mergeCell ref="D450:G450"/>
    <mergeCell ref="H450:K450"/>
    <mergeCell ref="L450:O450"/>
    <mergeCell ref="P450:S450"/>
    <mergeCell ref="T450:W450"/>
    <mergeCell ref="D451:G451"/>
    <mergeCell ref="H451:K451"/>
    <mergeCell ref="L451:O451"/>
    <mergeCell ref="P451:S451"/>
    <mergeCell ref="T451:W451"/>
    <mergeCell ref="P448:S448"/>
    <mergeCell ref="T448:W448"/>
    <mergeCell ref="D449:G449"/>
    <mergeCell ref="H449:K449"/>
    <mergeCell ref="L449:O449"/>
    <mergeCell ref="P449:S449"/>
    <mergeCell ref="T449:W449"/>
    <mergeCell ref="T446:W446"/>
    <mergeCell ref="D447:G447"/>
    <mergeCell ref="H447:K447"/>
    <mergeCell ref="L447:O447"/>
    <mergeCell ref="P447:S447"/>
    <mergeCell ref="T447:W447"/>
    <mergeCell ref="T444:W444"/>
    <mergeCell ref="X444:X556"/>
    <mergeCell ref="D445:G445"/>
    <mergeCell ref="H445:K445"/>
    <mergeCell ref="L445:O445"/>
    <mergeCell ref="P445:S445"/>
    <mergeCell ref="T445:W445"/>
    <mergeCell ref="D446:G446"/>
    <mergeCell ref="H446:K446"/>
    <mergeCell ref="L446:O446"/>
    <mergeCell ref="D444:G444"/>
    <mergeCell ref="H444:K444"/>
    <mergeCell ref="L444:O444"/>
    <mergeCell ref="P444:S444"/>
    <mergeCell ref="P446:S446"/>
    <mergeCell ref="D448:G448"/>
    <mergeCell ref="H448:K448"/>
    <mergeCell ref="L448:O448"/>
    <mergeCell ref="D452:G452"/>
    <mergeCell ref="D443:G443"/>
    <mergeCell ref="H443:K443"/>
    <mergeCell ref="L443:O443"/>
    <mergeCell ref="P443:S443"/>
    <mergeCell ref="T443:W443"/>
    <mergeCell ref="T437:X437"/>
    <mergeCell ref="B438:C438"/>
    <mergeCell ref="D438:G438"/>
    <mergeCell ref="H438:K438"/>
    <mergeCell ref="L438:O438"/>
    <mergeCell ref="P438:S438"/>
    <mergeCell ref="T438:X438"/>
    <mergeCell ref="A437:A438"/>
    <mergeCell ref="B437:C437"/>
    <mergeCell ref="D437:G437"/>
    <mergeCell ref="H437:K437"/>
    <mergeCell ref="L437:O437"/>
    <mergeCell ref="P437:S437"/>
    <mergeCell ref="C435:C436"/>
    <mergeCell ref="D435:W435"/>
    <mergeCell ref="D436:W436"/>
    <mergeCell ref="D432:G432"/>
    <mergeCell ref="H432:K432"/>
    <mergeCell ref="L432:O432"/>
    <mergeCell ref="P432:S432"/>
    <mergeCell ref="T432:W432"/>
    <mergeCell ref="D433:G433"/>
    <mergeCell ref="H433:K433"/>
    <mergeCell ref="L433:O433"/>
    <mergeCell ref="P433:S433"/>
    <mergeCell ref="T433:W433"/>
    <mergeCell ref="A439:A440"/>
    <mergeCell ref="B439:C439"/>
    <mergeCell ref="D439:X440"/>
    <mergeCell ref="B440:C440"/>
    <mergeCell ref="D431:G431"/>
    <mergeCell ref="H431:K431"/>
    <mergeCell ref="L431:O431"/>
    <mergeCell ref="P431:S431"/>
    <mergeCell ref="T431:W431"/>
    <mergeCell ref="D428:G428"/>
    <mergeCell ref="H428:K428"/>
    <mergeCell ref="L428:O428"/>
    <mergeCell ref="P428:S428"/>
    <mergeCell ref="T428:W428"/>
    <mergeCell ref="D429:G429"/>
    <mergeCell ref="H429:K429"/>
    <mergeCell ref="L429:O429"/>
    <mergeCell ref="P429:S429"/>
    <mergeCell ref="T429:W429"/>
    <mergeCell ref="D434:G434"/>
    <mergeCell ref="H434:K434"/>
    <mergeCell ref="L434:O434"/>
    <mergeCell ref="P434:S434"/>
    <mergeCell ref="T434:W434"/>
    <mergeCell ref="D427:G427"/>
    <mergeCell ref="H427:K427"/>
    <mergeCell ref="L427:O427"/>
    <mergeCell ref="P427:S427"/>
    <mergeCell ref="T427:W427"/>
    <mergeCell ref="D424:G424"/>
    <mergeCell ref="H424:K424"/>
    <mergeCell ref="L424:O424"/>
    <mergeCell ref="P424:S424"/>
    <mergeCell ref="T424:W424"/>
    <mergeCell ref="D425:G425"/>
    <mergeCell ref="H425:K425"/>
    <mergeCell ref="L425:O425"/>
    <mergeCell ref="P425:S425"/>
    <mergeCell ref="T425:W425"/>
    <mergeCell ref="D430:G430"/>
    <mergeCell ref="H430:K430"/>
    <mergeCell ref="L430:O430"/>
    <mergeCell ref="P430:S430"/>
    <mergeCell ref="T430:W430"/>
    <mergeCell ref="H423:K423"/>
    <mergeCell ref="L423:O423"/>
    <mergeCell ref="P423:S423"/>
    <mergeCell ref="T423:W423"/>
    <mergeCell ref="D420:G420"/>
    <mergeCell ref="H420:K420"/>
    <mergeCell ref="L420:O420"/>
    <mergeCell ref="P420:S420"/>
    <mergeCell ref="T420:W420"/>
    <mergeCell ref="D421:G421"/>
    <mergeCell ref="H421:K421"/>
    <mergeCell ref="L421:O421"/>
    <mergeCell ref="P421:S421"/>
    <mergeCell ref="T421:W421"/>
    <mergeCell ref="D426:G426"/>
    <mergeCell ref="H426:K426"/>
    <mergeCell ref="L426:O426"/>
    <mergeCell ref="P426:S426"/>
    <mergeCell ref="T426:W426"/>
    <mergeCell ref="D418:G418"/>
    <mergeCell ref="H418:K418"/>
    <mergeCell ref="L418:O418"/>
    <mergeCell ref="P418:S418"/>
    <mergeCell ref="T418:W418"/>
    <mergeCell ref="D419:G419"/>
    <mergeCell ref="H419:K419"/>
    <mergeCell ref="L419:O419"/>
    <mergeCell ref="P419:S419"/>
    <mergeCell ref="T419:W419"/>
    <mergeCell ref="T416:W416"/>
    <mergeCell ref="D417:G417"/>
    <mergeCell ref="H417:K417"/>
    <mergeCell ref="L417:O417"/>
    <mergeCell ref="P417:S417"/>
    <mergeCell ref="T417:W417"/>
    <mergeCell ref="B415:B436"/>
    <mergeCell ref="D415:G415"/>
    <mergeCell ref="H415:K415"/>
    <mergeCell ref="L415:O415"/>
    <mergeCell ref="P415:S415"/>
    <mergeCell ref="T415:W415"/>
    <mergeCell ref="D416:G416"/>
    <mergeCell ref="H416:K416"/>
    <mergeCell ref="L416:O416"/>
    <mergeCell ref="P416:S416"/>
    <mergeCell ref="D422:G422"/>
    <mergeCell ref="H422:K422"/>
    <mergeCell ref="L422:O422"/>
    <mergeCell ref="P422:S422"/>
    <mergeCell ref="T422:W422"/>
    <mergeCell ref="D423:G423"/>
    <mergeCell ref="B412:B413"/>
    <mergeCell ref="C412:C413"/>
    <mergeCell ref="D412:W412"/>
    <mergeCell ref="D413:W413"/>
    <mergeCell ref="D414:G414"/>
    <mergeCell ref="H414:K414"/>
    <mergeCell ref="L414:O414"/>
    <mergeCell ref="P414:S414"/>
    <mergeCell ref="T414:W414"/>
    <mergeCell ref="D411:G411"/>
    <mergeCell ref="H411:K411"/>
    <mergeCell ref="L411:O411"/>
    <mergeCell ref="P411:S411"/>
    <mergeCell ref="T411:U411"/>
    <mergeCell ref="V411:W411"/>
    <mergeCell ref="D410:G410"/>
    <mergeCell ref="H410:K410"/>
    <mergeCell ref="L410:O410"/>
    <mergeCell ref="P410:S410"/>
    <mergeCell ref="T410:U410"/>
    <mergeCell ref="V410:W410"/>
    <mergeCell ref="T402:U402"/>
    <mergeCell ref="V408:W408"/>
    <mergeCell ref="D409:G409"/>
    <mergeCell ref="H409:K409"/>
    <mergeCell ref="L409:O409"/>
    <mergeCell ref="P409:Q409"/>
    <mergeCell ref="R409:S409"/>
    <mergeCell ref="T409:U409"/>
    <mergeCell ref="V409:W409"/>
    <mergeCell ref="D408:G408"/>
    <mergeCell ref="H408:K408"/>
    <mergeCell ref="L408:O408"/>
    <mergeCell ref="P408:Q408"/>
    <mergeCell ref="R408:S408"/>
    <mergeCell ref="T408:U408"/>
    <mergeCell ref="V406:W406"/>
    <mergeCell ref="D407:G407"/>
    <mergeCell ref="H407:K407"/>
    <mergeCell ref="L407:O407"/>
    <mergeCell ref="P407:Q407"/>
    <mergeCell ref="R407:S407"/>
    <mergeCell ref="T407:U407"/>
    <mergeCell ref="V407:W407"/>
    <mergeCell ref="D406:G406"/>
    <mergeCell ref="H406:K406"/>
    <mergeCell ref="L406:O406"/>
    <mergeCell ref="P406:Q406"/>
    <mergeCell ref="R406:S406"/>
    <mergeCell ref="T406:U406"/>
    <mergeCell ref="H398:K398"/>
    <mergeCell ref="L398:M398"/>
    <mergeCell ref="N398:O398"/>
    <mergeCell ref="P398:Q398"/>
    <mergeCell ref="R398:S398"/>
    <mergeCell ref="V404:W404"/>
    <mergeCell ref="D405:G405"/>
    <mergeCell ref="H405:K405"/>
    <mergeCell ref="L405:O405"/>
    <mergeCell ref="P405:Q405"/>
    <mergeCell ref="R405:S405"/>
    <mergeCell ref="T405:U405"/>
    <mergeCell ref="V405:W405"/>
    <mergeCell ref="D404:G404"/>
    <mergeCell ref="H404:K404"/>
    <mergeCell ref="L404:O404"/>
    <mergeCell ref="P404:Q404"/>
    <mergeCell ref="R404:S404"/>
    <mergeCell ref="T404:U404"/>
    <mergeCell ref="V402:W402"/>
    <mergeCell ref="D403:G403"/>
    <mergeCell ref="H403:K403"/>
    <mergeCell ref="L403:O403"/>
    <mergeCell ref="P403:Q403"/>
    <mergeCell ref="R403:S403"/>
    <mergeCell ref="T403:U403"/>
    <mergeCell ref="V403:W403"/>
    <mergeCell ref="D402:G402"/>
    <mergeCell ref="H402:K402"/>
    <mergeCell ref="L402:O402"/>
    <mergeCell ref="P402:Q402"/>
    <mergeCell ref="R402:S402"/>
    <mergeCell ref="V395:W395"/>
    <mergeCell ref="D394:G394"/>
    <mergeCell ref="H394:K394"/>
    <mergeCell ref="L394:M394"/>
    <mergeCell ref="N394:O394"/>
    <mergeCell ref="P394:Q394"/>
    <mergeCell ref="R394:S394"/>
    <mergeCell ref="V400:W400"/>
    <mergeCell ref="D401:G401"/>
    <mergeCell ref="H401:K401"/>
    <mergeCell ref="L401:O401"/>
    <mergeCell ref="P401:Q401"/>
    <mergeCell ref="R401:S401"/>
    <mergeCell ref="T401:U401"/>
    <mergeCell ref="V401:W401"/>
    <mergeCell ref="D400:G400"/>
    <mergeCell ref="H400:K400"/>
    <mergeCell ref="L400:O400"/>
    <mergeCell ref="P400:Q400"/>
    <mergeCell ref="R400:S400"/>
    <mergeCell ref="T400:U400"/>
    <mergeCell ref="T398:U398"/>
    <mergeCell ref="V398:W398"/>
    <mergeCell ref="D399:G399"/>
    <mergeCell ref="H399:K399"/>
    <mergeCell ref="L399:M399"/>
    <mergeCell ref="N399:O399"/>
    <mergeCell ref="P399:Q399"/>
    <mergeCell ref="R399:S399"/>
    <mergeCell ref="T399:U399"/>
    <mergeCell ref="V399:W399"/>
    <mergeCell ref="D398:G398"/>
    <mergeCell ref="R392:S392"/>
    <mergeCell ref="L391:M391"/>
    <mergeCell ref="N391:O391"/>
    <mergeCell ref="P391:Q391"/>
    <mergeCell ref="R391:S391"/>
    <mergeCell ref="T391:U391"/>
    <mergeCell ref="V391:W391"/>
    <mergeCell ref="T396:U396"/>
    <mergeCell ref="V396:W396"/>
    <mergeCell ref="D397:G397"/>
    <mergeCell ref="H397:K397"/>
    <mergeCell ref="L397:M397"/>
    <mergeCell ref="N397:O397"/>
    <mergeCell ref="P397:Q397"/>
    <mergeCell ref="R397:S397"/>
    <mergeCell ref="T397:U397"/>
    <mergeCell ref="V397:W397"/>
    <mergeCell ref="D396:G396"/>
    <mergeCell ref="H396:K396"/>
    <mergeCell ref="L396:M396"/>
    <mergeCell ref="N396:O396"/>
    <mergeCell ref="P396:Q396"/>
    <mergeCell ref="R396:S396"/>
    <mergeCell ref="T394:U394"/>
    <mergeCell ref="V394:W394"/>
    <mergeCell ref="D395:G395"/>
    <mergeCell ref="H395:K395"/>
    <mergeCell ref="L395:M395"/>
    <mergeCell ref="N395:O395"/>
    <mergeCell ref="P395:Q395"/>
    <mergeCell ref="R395:S395"/>
    <mergeCell ref="T395:U395"/>
    <mergeCell ref="D390:G390"/>
    <mergeCell ref="H390:K390"/>
    <mergeCell ref="L390:O390"/>
    <mergeCell ref="P390:S390"/>
    <mergeCell ref="T390:W390"/>
    <mergeCell ref="B391:B394"/>
    <mergeCell ref="D391:E391"/>
    <mergeCell ref="F391:G391"/>
    <mergeCell ref="H391:I391"/>
    <mergeCell ref="J391:K391"/>
    <mergeCell ref="D387:G387"/>
    <mergeCell ref="H387:K387"/>
    <mergeCell ref="L387:O387"/>
    <mergeCell ref="P387:S387"/>
    <mergeCell ref="C388:C389"/>
    <mergeCell ref="D388:W388"/>
    <mergeCell ref="D389:W389"/>
    <mergeCell ref="T392:U392"/>
    <mergeCell ref="V392:W392"/>
    <mergeCell ref="D393:G393"/>
    <mergeCell ref="H393:K393"/>
    <mergeCell ref="L393:M393"/>
    <mergeCell ref="N393:O393"/>
    <mergeCell ref="P393:Q393"/>
    <mergeCell ref="R393:S393"/>
    <mergeCell ref="T393:U393"/>
    <mergeCell ref="V393:W393"/>
    <mergeCell ref="D392:G392"/>
    <mergeCell ref="H392:K392"/>
    <mergeCell ref="L392:M392"/>
    <mergeCell ref="N392:O392"/>
    <mergeCell ref="P392:Q392"/>
    <mergeCell ref="D376:G376"/>
    <mergeCell ref="H376:K376"/>
    <mergeCell ref="P362:S362"/>
    <mergeCell ref="P363:S363"/>
    <mergeCell ref="C364:C365"/>
    <mergeCell ref="D364:W364"/>
    <mergeCell ref="D365:W365"/>
    <mergeCell ref="D366:G366"/>
    <mergeCell ref="H366:K366"/>
    <mergeCell ref="L366:O366"/>
    <mergeCell ref="P366:S366"/>
    <mergeCell ref="T366:W366"/>
    <mergeCell ref="D385:G385"/>
    <mergeCell ref="H385:K385"/>
    <mergeCell ref="D386:G386"/>
    <mergeCell ref="H386:K386"/>
    <mergeCell ref="L386:O386"/>
    <mergeCell ref="P386:S386"/>
    <mergeCell ref="D382:G382"/>
    <mergeCell ref="H382:K382"/>
    <mergeCell ref="D383:G383"/>
    <mergeCell ref="H383:K383"/>
    <mergeCell ref="D384:G384"/>
    <mergeCell ref="H384:K384"/>
    <mergeCell ref="D379:G379"/>
    <mergeCell ref="H379:K379"/>
    <mergeCell ref="D380:G380"/>
    <mergeCell ref="H380:K380"/>
    <mergeCell ref="D381:G381"/>
    <mergeCell ref="H381:K381"/>
    <mergeCell ref="D358:G358"/>
    <mergeCell ref="D359:G359"/>
    <mergeCell ref="H359:K359"/>
    <mergeCell ref="D362:G362"/>
    <mergeCell ref="H362:K362"/>
    <mergeCell ref="L362:O362"/>
    <mergeCell ref="H353:K353"/>
    <mergeCell ref="L353:O353"/>
    <mergeCell ref="D354:G354"/>
    <mergeCell ref="D355:G355"/>
    <mergeCell ref="D356:G356"/>
    <mergeCell ref="D357:G357"/>
    <mergeCell ref="A343:A434"/>
    <mergeCell ref="B343:B344"/>
    <mergeCell ref="X343:X434"/>
    <mergeCell ref="D349:G349"/>
    <mergeCell ref="D350:G350"/>
    <mergeCell ref="D351:G351"/>
    <mergeCell ref="D352:G352"/>
    <mergeCell ref="H352:K352"/>
    <mergeCell ref="L352:O352"/>
    <mergeCell ref="D353:G353"/>
    <mergeCell ref="L376:O376"/>
    <mergeCell ref="D377:G377"/>
    <mergeCell ref="H377:K377"/>
    <mergeCell ref="L377:O377"/>
    <mergeCell ref="D378:G378"/>
    <mergeCell ref="H378:K378"/>
    <mergeCell ref="B367:B368"/>
    <mergeCell ref="D373:G373"/>
    <mergeCell ref="D374:G374"/>
    <mergeCell ref="D375:G375"/>
    <mergeCell ref="A338:A339"/>
    <mergeCell ref="B338:C338"/>
    <mergeCell ref="D338:X339"/>
    <mergeCell ref="B339:C339"/>
    <mergeCell ref="D342:G342"/>
    <mergeCell ref="H342:K342"/>
    <mergeCell ref="L342:O342"/>
    <mergeCell ref="P342:S342"/>
    <mergeCell ref="T342:W342"/>
    <mergeCell ref="B337:C337"/>
    <mergeCell ref="D337:G337"/>
    <mergeCell ref="H337:K337"/>
    <mergeCell ref="L337:O337"/>
    <mergeCell ref="P337:S337"/>
    <mergeCell ref="T337:X337"/>
    <mergeCell ref="C334:C335"/>
    <mergeCell ref="D334:W334"/>
    <mergeCell ref="D335:W335"/>
    <mergeCell ref="A336:A337"/>
    <mergeCell ref="B336:C336"/>
    <mergeCell ref="D336:G336"/>
    <mergeCell ref="H336:K336"/>
    <mergeCell ref="L336:O336"/>
    <mergeCell ref="P336:S336"/>
    <mergeCell ref="T336:X336"/>
    <mergeCell ref="B314:B335"/>
    <mergeCell ref="A268:A333"/>
    <mergeCell ref="B268:B289"/>
    <mergeCell ref="D332:G332"/>
    <mergeCell ref="H332:K332"/>
    <mergeCell ref="L332:O332"/>
    <mergeCell ref="P332:S332"/>
    <mergeCell ref="T332:W332"/>
    <mergeCell ref="D333:G333"/>
    <mergeCell ref="H333:K333"/>
    <mergeCell ref="L333:O333"/>
    <mergeCell ref="P333:S333"/>
    <mergeCell ref="T333:W333"/>
    <mergeCell ref="D330:G330"/>
    <mergeCell ref="H330:K330"/>
    <mergeCell ref="L330:O330"/>
    <mergeCell ref="P330:S330"/>
    <mergeCell ref="T330:W330"/>
    <mergeCell ref="D331:G331"/>
    <mergeCell ref="H331:K331"/>
    <mergeCell ref="L331:O331"/>
    <mergeCell ref="P331:S331"/>
    <mergeCell ref="T331:W331"/>
    <mergeCell ref="D328:G328"/>
    <mergeCell ref="H328:K328"/>
    <mergeCell ref="L328:O328"/>
    <mergeCell ref="P328:S328"/>
    <mergeCell ref="T328:W328"/>
    <mergeCell ref="D329:G329"/>
    <mergeCell ref="H329:K329"/>
    <mergeCell ref="L329:O329"/>
    <mergeCell ref="P329:S329"/>
    <mergeCell ref="T329:W329"/>
    <mergeCell ref="D326:G326"/>
    <mergeCell ref="H326:K326"/>
    <mergeCell ref="L326:O326"/>
    <mergeCell ref="P326:S326"/>
    <mergeCell ref="T326:W326"/>
    <mergeCell ref="D327:G327"/>
    <mergeCell ref="H327:K327"/>
    <mergeCell ref="L327:O327"/>
    <mergeCell ref="P327:S327"/>
    <mergeCell ref="T327:W327"/>
    <mergeCell ref="D324:G324"/>
    <mergeCell ref="H324:K324"/>
    <mergeCell ref="L324:O324"/>
    <mergeCell ref="P324:S324"/>
    <mergeCell ref="T324:W324"/>
    <mergeCell ref="D325:G325"/>
    <mergeCell ref="H325:K325"/>
    <mergeCell ref="L325:O325"/>
    <mergeCell ref="P325:S325"/>
    <mergeCell ref="T325:W325"/>
    <mergeCell ref="D322:G322"/>
    <mergeCell ref="H322:K322"/>
    <mergeCell ref="L322:O322"/>
    <mergeCell ref="P322:S322"/>
    <mergeCell ref="T322:W322"/>
    <mergeCell ref="D323:G323"/>
    <mergeCell ref="H323:K323"/>
    <mergeCell ref="L323:O323"/>
    <mergeCell ref="P323:S323"/>
    <mergeCell ref="T323:W323"/>
    <mergeCell ref="D320:G320"/>
    <mergeCell ref="H320:K320"/>
    <mergeCell ref="L320:O320"/>
    <mergeCell ref="P320:S320"/>
    <mergeCell ref="T320:W320"/>
    <mergeCell ref="D321:G321"/>
    <mergeCell ref="H321:K321"/>
    <mergeCell ref="L321:O321"/>
    <mergeCell ref="P321:S321"/>
    <mergeCell ref="T321:W321"/>
    <mergeCell ref="D318:G318"/>
    <mergeCell ref="H318:K318"/>
    <mergeCell ref="L318:O318"/>
    <mergeCell ref="P318:S318"/>
    <mergeCell ref="T318:W318"/>
    <mergeCell ref="D319:G319"/>
    <mergeCell ref="H319:K319"/>
    <mergeCell ref="L319:O319"/>
    <mergeCell ref="P319:S319"/>
    <mergeCell ref="T319:W319"/>
    <mergeCell ref="D317:G317"/>
    <mergeCell ref="H317:K317"/>
    <mergeCell ref="L317:O317"/>
    <mergeCell ref="P317:S317"/>
    <mergeCell ref="T317:W317"/>
    <mergeCell ref="T314:W314"/>
    <mergeCell ref="D315:G315"/>
    <mergeCell ref="H315:K315"/>
    <mergeCell ref="L315:O315"/>
    <mergeCell ref="P315:S315"/>
    <mergeCell ref="T315:W315"/>
    <mergeCell ref="D316:G316"/>
    <mergeCell ref="H316:K316"/>
    <mergeCell ref="L316:O316"/>
    <mergeCell ref="P316:S316"/>
    <mergeCell ref="T316:W316"/>
    <mergeCell ref="D313:G313"/>
    <mergeCell ref="H313:K313"/>
    <mergeCell ref="L313:O313"/>
    <mergeCell ref="P313:S313"/>
    <mergeCell ref="T313:W313"/>
    <mergeCell ref="D314:G314"/>
    <mergeCell ref="H314:K314"/>
    <mergeCell ref="L314:O314"/>
    <mergeCell ref="P314:S314"/>
    <mergeCell ref="C311:C312"/>
    <mergeCell ref="D311:W311"/>
    <mergeCell ref="D312:W312"/>
    <mergeCell ref="D308:G308"/>
    <mergeCell ref="H308:K308"/>
    <mergeCell ref="L308:O308"/>
    <mergeCell ref="P308:S308"/>
    <mergeCell ref="T308:W308"/>
    <mergeCell ref="D309:G309"/>
    <mergeCell ref="H309:K309"/>
    <mergeCell ref="L309:O309"/>
    <mergeCell ref="P309:S309"/>
    <mergeCell ref="T309:W309"/>
    <mergeCell ref="D307:G307"/>
    <mergeCell ref="H307:K307"/>
    <mergeCell ref="L307:O307"/>
    <mergeCell ref="P307:S307"/>
    <mergeCell ref="T307:W307"/>
    <mergeCell ref="D304:G304"/>
    <mergeCell ref="H304:K304"/>
    <mergeCell ref="L304:O304"/>
    <mergeCell ref="P304:S304"/>
    <mergeCell ref="T304:W304"/>
    <mergeCell ref="D305:G305"/>
    <mergeCell ref="H305:K305"/>
    <mergeCell ref="L305:O305"/>
    <mergeCell ref="P305:S305"/>
    <mergeCell ref="T305:W305"/>
    <mergeCell ref="D310:G310"/>
    <mergeCell ref="H310:K310"/>
    <mergeCell ref="L310:O310"/>
    <mergeCell ref="P310:S310"/>
    <mergeCell ref="T310:W310"/>
    <mergeCell ref="D303:G303"/>
    <mergeCell ref="H303:K303"/>
    <mergeCell ref="L303:O303"/>
    <mergeCell ref="P303:S303"/>
    <mergeCell ref="T303:W303"/>
    <mergeCell ref="D300:G300"/>
    <mergeCell ref="H300:K300"/>
    <mergeCell ref="L300:O300"/>
    <mergeCell ref="P300:S300"/>
    <mergeCell ref="T300:W300"/>
    <mergeCell ref="D301:G301"/>
    <mergeCell ref="H301:K301"/>
    <mergeCell ref="L301:O301"/>
    <mergeCell ref="P301:S301"/>
    <mergeCell ref="T301:W301"/>
    <mergeCell ref="D306:G306"/>
    <mergeCell ref="H306:K306"/>
    <mergeCell ref="L306:O306"/>
    <mergeCell ref="P306:S306"/>
    <mergeCell ref="T306:W306"/>
    <mergeCell ref="H299:K299"/>
    <mergeCell ref="L299:O299"/>
    <mergeCell ref="P299:S299"/>
    <mergeCell ref="T299:W299"/>
    <mergeCell ref="D296:G296"/>
    <mergeCell ref="H296:K296"/>
    <mergeCell ref="L296:O296"/>
    <mergeCell ref="P296:S296"/>
    <mergeCell ref="T296:W296"/>
    <mergeCell ref="D297:G297"/>
    <mergeCell ref="H297:K297"/>
    <mergeCell ref="L297:O297"/>
    <mergeCell ref="P297:S297"/>
    <mergeCell ref="T297:W297"/>
    <mergeCell ref="D302:G302"/>
    <mergeCell ref="H302:K302"/>
    <mergeCell ref="L302:O302"/>
    <mergeCell ref="P302:S302"/>
    <mergeCell ref="T302:W302"/>
    <mergeCell ref="D294:G294"/>
    <mergeCell ref="H294:K294"/>
    <mergeCell ref="L294:O294"/>
    <mergeCell ref="P294:S294"/>
    <mergeCell ref="T294:W294"/>
    <mergeCell ref="D295:G295"/>
    <mergeCell ref="H295:K295"/>
    <mergeCell ref="L295:O295"/>
    <mergeCell ref="P295:S295"/>
    <mergeCell ref="T295:W295"/>
    <mergeCell ref="T292:W292"/>
    <mergeCell ref="D293:G293"/>
    <mergeCell ref="H293:K293"/>
    <mergeCell ref="L293:O293"/>
    <mergeCell ref="P293:S293"/>
    <mergeCell ref="T293:W293"/>
    <mergeCell ref="B291:B312"/>
    <mergeCell ref="D291:G291"/>
    <mergeCell ref="H291:K291"/>
    <mergeCell ref="L291:O291"/>
    <mergeCell ref="P291:S291"/>
    <mergeCell ref="T291:W291"/>
    <mergeCell ref="D292:G292"/>
    <mergeCell ref="H292:K292"/>
    <mergeCell ref="L292:O292"/>
    <mergeCell ref="P292:S292"/>
    <mergeCell ref="D298:G298"/>
    <mergeCell ref="H298:K298"/>
    <mergeCell ref="L298:O298"/>
    <mergeCell ref="P298:S298"/>
    <mergeCell ref="T298:W298"/>
    <mergeCell ref="D299:G299"/>
    <mergeCell ref="C288:C289"/>
    <mergeCell ref="D288:W288"/>
    <mergeCell ref="D289:W289"/>
    <mergeCell ref="D290:G290"/>
    <mergeCell ref="H290:K290"/>
    <mergeCell ref="L290:O290"/>
    <mergeCell ref="P290:S290"/>
    <mergeCell ref="T290:W290"/>
    <mergeCell ref="D286:G286"/>
    <mergeCell ref="H286:K286"/>
    <mergeCell ref="L286:O286"/>
    <mergeCell ref="P286:S286"/>
    <mergeCell ref="T286:W286"/>
    <mergeCell ref="D287:G287"/>
    <mergeCell ref="H287:K287"/>
    <mergeCell ref="L287:O287"/>
    <mergeCell ref="P287:S287"/>
    <mergeCell ref="T287:W287"/>
    <mergeCell ref="D284:G284"/>
    <mergeCell ref="H284:K284"/>
    <mergeCell ref="L284:O284"/>
    <mergeCell ref="P284:S284"/>
    <mergeCell ref="T284:W284"/>
    <mergeCell ref="D285:G285"/>
    <mergeCell ref="H285:K285"/>
    <mergeCell ref="L285:O285"/>
    <mergeCell ref="P285:S285"/>
    <mergeCell ref="T285:W285"/>
    <mergeCell ref="D282:G282"/>
    <mergeCell ref="H282:K282"/>
    <mergeCell ref="L282:O282"/>
    <mergeCell ref="P282:S282"/>
    <mergeCell ref="T282:W282"/>
    <mergeCell ref="D283:G283"/>
    <mergeCell ref="H283:K283"/>
    <mergeCell ref="L283:O283"/>
    <mergeCell ref="P283:S283"/>
    <mergeCell ref="T283:W283"/>
    <mergeCell ref="D280:G280"/>
    <mergeCell ref="H280:K280"/>
    <mergeCell ref="L280:O280"/>
    <mergeCell ref="P280:S280"/>
    <mergeCell ref="T280:W280"/>
    <mergeCell ref="D281:G281"/>
    <mergeCell ref="H281:K281"/>
    <mergeCell ref="L281:O281"/>
    <mergeCell ref="P281:S281"/>
    <mergeCell ref="T281:W281"/>
    <mergeCell ref="D278:G278"/>
    <mergeCell ref="H278:K278"/>
    <mergeCell ref="L278:O278"/>
    <mergeCell ref="P278:S278"/>
    <mergeCell ref="T278:W278"/>
    <mergeCell ref="D279:G279"/>
    <mergeCell ref="H279:K279"/>
    <mergeCell ref="L279:O279"/>
    <mergeCell ref="P279:S279"/>
    <mergeCell ref="T279:W279"/>
    <mergeCell ref="H276:K276"/>
    <mergeCell ref="L276:O276"/>
    <mergeCell ref="P276:S276"/>
    <mergeCell ref="T276:W276"/>
    <mergeCell ref="D277:G277"/>
    <mergeCell ref="H277:K277"/>
    <mergeCell ref="L277:O277"/>
    <mergeCell ref="P277:S277"/>
    <mergeCell ref="T277:W277"/>
    <mergeCell ref="D274:G274"/>
    <mergeCell ref="H274:K274"/>
    <mergeCell ref="L274:O274"/>
    <mergeCell ref="P274:S274"/>
    <mergeCell ref="T274:W274"/>
    <mergeCell ref="D275:G275"/>
    <mergeCell ref="H275:K275"/>
    <mergeCell ref="L275:O275"/>
    <mergeCell ref="P275:S275"/>
    <mergeCell ref="T275:W275"/>
    <mergeCell ref="P272:S272"/>
    <mergeCell ref="T272:W272"/>
    <mergeCell ref="D273:G273"/>
    <mergeCell ref="H273:K273"/>
    <mergeCell ref="L273:O273"/>
    <mergeCell ref="P273:S273"/>
    <mergeCell ref="T273:W273"/>
    <mergeCell ref="T270:W270"/>
    <mergeCell ref="D271:G271"/>
    <mergeCell ref="H271:K271"/>
    <mergeCell ref="L271:O271"/>
    <mergeCell ref="P271:S271"/>
    <mergeCell ref="T271:W271"/>
    <mergeCell ref="T268:W268"/>
    <mergeCell ref="X268:X333"/>
    <mergeCell ref="D269:G269"/>
    <mergeCell ref="H269:K269"/>
    <mergeCell ref="L269:O269"/>
    <mergeCell ref="P269:S269"/>
    <mergeCell ref="T269:W269"/>
    <mergeCell ref="D270:G270"/>
    <mergeCell ref="H270:K270"/>
    <mergeCell ref="L270:O270"/>
    <mergeCell ref="D268:G268"/>
    <mergeCell ref="H268:K268"/>
    <mergeCell ref="L268:O268"/>
    <mergeCell ref="P268:S268"/>
    <mergeCell ref="P270:S270"/>
    <mergeCell ref="D272:G272"/>
    <mergeCell ref="H272:K272"/>
    <mergeCell ref="L272:O272"/>
    <mergeCell ref="D276:G276"/>
    <mergeCell ref="A263:A264"/>
    <mergeCell ref="B263:C263"/>
    <mergeCell ref="D263:X264"/>
    <mergeCell ref="B264:C264"/>
    <mergeCell ref="D267:G267"/>
    <mergeCell ref="H267:K267"/>
    <mergeCell ref="L267:O267"/>
    <mergeCell ref="P267:S267"/>
    <mergeCell ref="T267:W267"/>
    <mergeCell ref="B262:C262"/>
    <mergeCell ref="D262:G262"/>
    <mergeCell ref="H262:K262"/>
    <mergeCell ref="L262:O262"/>
    <mergeCell ref="P262:S262"/>
    <mergeCell ref="T262:X262"/>
    <mergeCell ref="C259:C260"/>
    <mergeCell ref="D259:W259"/>
    <mergeCell ref="D260:W260"/>
    <mergeCell ref="A261:A262"/>
    <mergeCell ref="B261:C261"/>
    <mergeCell ref="D261:G261"/>
    <mergeCell ref="H261:K261"/>
    <mergeCell ref="L261:O261"/>
    <mergeCell ref="P261:S261"/>
    <mergeCell ref="T261:X261"/>
    <mergeCell ref="B239:B260"/>
    <mergeCell ref="A193:A258"/>
    <mergeCell ref="B193:B214"/>
    <mergeCell ref="D257:G257"/>
    <mergeCell ref="H257:K257"/>
    <mergeCell ref="L257:O257"/>
    <mergeCell ref="P257:S257"/>
    <mergeCell ref="T257:W257"/>
    <mergeCell ref="D258:G258"/>
    <mergeCell ref="H258:K258"/>
    <mergeCell ref="L258:O258"/>
    <mergeCell ref="P258:S258"/>
    <mergeCell ref="T258:W258"/>
    <mergeCell ref="D255:G255"/>
    <mergeCell ref="H255:K255"/>
    <mergeCell ref="L255:O255"/>
    <mergeCell ref="P255:S255"/>
    <mergeCell ref="T255:W255"/>
    <mergeCell ref="D256:G256"/>
    <mergeCell ref="H256:K256"/>
    <mergeCell ref="L256:O256"/>
    <mergeCell ref="P256:S256"/>
    <mergeCell ref="T256:W256"/>
    <mergeCell ref="D253:G253"/>
    <mergeCell ref="H253:K253"/>
    <mergeCell ref="L253:O253"/>
    <mergeCell ref="P253:S253"/>
    <mergeCell ref="T253:W253"/>
    <mergeCell ref="D254:G254"/>
    <mergeCell ref="H254:K254"/>
    <mergeCell ref="L254:O254"/>
    <mergeCell ref="P254:S254"/>
    <mergeCell ref="T254:W254"/>
    <mergeCell ref="D251:G251"/>
    <mergeCell ref="H251:K251"/>
    <mergeCell ref="L251:O251"/>
    <mergeCell ref="P251:S251"/>
    <mergeCell ref="T251:W251"/>
    <mergeCell ref="D252:G252"/>
    <mergeCell ref="H252:K252"/>
    <mergeCell ref="L252:O252"/>
    <mergeCell ref="P252:S252"/>
    <mergeCell ref="T252:W252"/>
    <mergeCell ref="D249:G249"/>
    <mergeCell ref="H249:K249"/>
    <mergeCell ref="L249:O249"/>
    <mergeCell ref="P249:S249"/>
    <mergeCell ref="T249:W249"/>
    <mergeCell ref="D250:G250"/>
    <mergeCell ref="H250:K250"/>
    <mergeCell ref="L250:O250"/>
    <mergeCell ref="P250:S250"/>
    <mergeCell ref="T250:W250"/>
    <mergeCell ref="D247:G247"/>
    <mergeCell ref="H247:K247"/>
    <mergeCell ref="L247:O247"/>
    <mergeCell ref="P247:S247"/>
    <mergeCell ref="T247:W247"/>
    <mergeCell ref="D248:G248"/>
    <mergeCell ref="H248:K248"/>
    <mergeCell ref="L248:O248"/>
    <mergeCell ref="P248:S248"/>
    <mergeCell ref="T248:W248"/>
    <mergeCell ref="D245:G245"/>
    <mergeCell ref="H245:K245"/>
    <mergeCell ref="L245:O245"/>
    <mergeCell ref="P245:S245"/>
    <mergeCell ref="T245:W245"/>
    <mergeCell ref="D246:G246"/>
    <mergeCell ref="H246:K246"/>
    <mergeCell ref="L246:O246"/>
    <mergeCell ref="P246:S246"/>
    <mergeCell ref="T246:W246"/>
    <mergeCell ref="D243:G243"/>
    <mergeCell ref="H243:K243"/>
    <mergeCell ref="L243:O243"/>
    <mergeCell ref="P243:S243"/>
    <mergeCell ref="T243:W243"/>
    <mergeCell ref="D244:G244"/>
    <mergeCell ref="H244:K244"/>
    <mergeCell ref="L244:O244"/>
    <mergeCell ref="P244:S244"/>
    <mergeCell ref="T244:W244"/>
    <mergeCell ref="D242:G242"/>
    <mergeCell ref="H242:K242"/>
    <mergeCell ref="L242:O242"/>
    <mergeCell ref="P242:S242"/>
    <mergeCell ref="T242:W242"/>
    <mergeCell ref="T239:W239"/>
    <mergeCell ref="D240:G240"/>
    <mergeCell ref="H240:K240"/>
    <mergeCell ref="L240:O240"/>
    <mergeCell ref="P240:S240"/>
    <mergeCell ref="T240:W240"/>
    <mergeCell ref="D241:G241"/>
    <mergeCell ref="H241:K241"/>
    <mergeCell ref="L241:O241"/>
    <mergeCell ref="P241:S241"/>
    <mergeCell ref="T241:W241"/>
    <mergeCell ref="D238:G238"/>
    <mergeCell ref="H238:K238"/>
    <mergeCell ref="L238:O238"/>
    <mergeCell ref="P238:S238"/>
    <mergeCell ref="T238:W238"/>
    <mergeCell ref="D239:G239"/>
    <mergeCell ref="H239:K239"/>
    <mergeCell ref="L239:O239"/>
    <mergeCell ref="P239:S239"/>
    <mergeCell ref="C236:C237"/>
    <mergeCell ref="D236:W236"/>
    <mergeCell ref="D237:W237"/>
    <mergeCell ref="D233:G233"/>
    <mergeCell ref="H233:K233"/>
    <mergeCell ref="L233:O233"/>
    <mergeCell ref="P233:S233"/>
    <mergeCell ref="T233:W233"/>
    <mergeCell ref="D234:G234"/>
    <mergeCell ref="H234:K234"/>
    <mergeCell ref="L234:O234"/>
    <mergeCell ref="P234:S234"/>
    <mergeCell ref="T234:W234"/>
    <mergeCell ref="D232:G232"/>
    <mergeCell ref="H232:K232"/>
    <mergeCell ref="L232:O232"/>
    <mergeCell ref="P232:S232"/>
    <mergeCell ref="T232:W232"/>
    <mergeCell ref="D229:G229"/>
    <mergeCell ref="H229:K229"/>
    <mergeCell ref="L229:O229"/>
    <mergeCell ref="P229:S229"/>
    <mergeCell ref="T229:W229"/>
    <mergeCell ref="D230:G230"/>
    <mergeCell ref="H230:K230"/>
    <mergeCell ref="L230:O230"/>
    <mergeCell ref="P230:S230"/>
    <mergeCell ref="T230:W230"/>
    <mergeCell ref="D235:G235"/>
    <mergeCell ref="H235:K235"/>
    <mergeCell ref="L235:O235"/>
    <mergeCell ref="P235:S235"/>
    <mergeCell ref="T235:W235"/>
    <mergeCell ref="D228:G228"/>
    <mergeCell ref="H228:K228"/>
    <mergeCell ref="L228:O228"/>
    <mergeCell ref="P228:S228"/>
    <mergeCell ref="T228:W228"/>
    <mergeCell ref="D225:G225"/>
    <mergeCell ref="H225:K225"/>
    <mergeCell ref="L225:O225"/>
    <mergeCell ref="P225:S225"/>
    <mergeCell ref="T225:W225"/>
    <mergeCell ref="D226:G226"/>
    <mergeCell ref="H226:K226"/>
    <mergeCell ref="L226:O226"/>
    <mergeCell ref="P226:S226"/>
    <mergeCell ref="T226:W226"/>
    <mergeCell ref="D231:G231"/>
    <mergeCell ref="H231:K231"/>
    <mergeCell ref="L231:O231"/>
    <mergeCell ref="P231:S231"/>
    <mergeCell ref="T231:W231"/>
    <mergeCell ref="H224:K224"/>
    <mergeCell ref="L224:O224"/>
    <mergeCell ref="P224:S224"/>
    <mergeCell ref="T224:W224"/>
    <mergeCell ref="D221:G221"/>
    <mergeCell ref="H221:K221"/>
    <mergeCell ref="L221:O221"/>
    <mergeCell ref="P221:S221"/>
    <mergeCell ref="T221:W221"/>
    <mergeCell ref="D222:G222"/>
    <mergeCell ref="H222:K222"/>
    <mergeCell ref="L222:O222"/>
    <mergeCell ref="P222:S222"/>
    <mergeCell ref="T222:W222"/>
    <mergeCell ref="D227:G227"/>
    <mergeCell ref="H227:K227"/>
    <mergeCell ref="L227:O227"/>
    <mergeCell ref="P227:S227"/>
    <mergeCell ref="T227:W227"/>
    <mergeCell ref="D219:G219"/>
    <mergeCell ref="H219:K219"/>
    <mergeCell ref="L219:O219"/>
    <mergeCell ref="P219:S219"/>
    <mergeCell ref="T219:W219"/>
    <mergeCell ref="D220:G220"/>
    <mergeCell ref="H220:K220"/>
    <mergeCell ref="L220:O220"/>
    <mergeCell ref="P220:S220"/>
    <mergeCell ref="T220:W220"/>
    <mergeCell ref="T217:W217"/>
    <mergeCell ref="D218:G218"/>
    <mergeCell ref="H218:K218"/>
    <mergeCell ref="L218:O218"/>
    <mergeCell ref="P218:S218"/>
    <mergeCell ref="T218:W218"/>
    <mergeCell ref="B216:B237"/>
    <mergeCell ref="D216:G216"/>
    <mergeCell ref="H216:K216"/>
    <mergeCell ref="L216:O216"/>
    <mergeCell ref="P216:S216"/>
    <mergeCell ref="T216:W216"/>
    <mergeCell ref="D217:G217"/>
    <mergeCell ref="H217:K217"/>
    <mergeCell ref="L217:O217"/>
    <mergeCell ref="P217:S217"/>
    <mergeCell ref="D223:G223"/>
    <mergeCell ref="H223:K223"/>
    <mergeCell ref="L223:O223"/>
    <mergeCell ref="P223:S223"/>
    <mergeCell ref="T223:W223"/>
    <mergeCell ref="D224:G224"/>
    <mergeCell ref="C213:C214"/>
    <mergeCell ref="D213:W213"/>
    <mergeCell ref="D214:W214"/>
    <mergeCell ref="D215:G215"/>
    <mergeCell ref="H215:K215"/>
    <mergeCell ref="L215:O215"/>
    <mergeCell ref="P215:S215"/>
    <mergeCell ref="T215:W215"/>
    <mergeCell ref="D211:G211"/>
    <mergeCell ref="H211:K211"/>
    <mergeCell ref="L211:O211"/>
    <mergeCell ref="P211:S211"/>
    <mergeCell ref="T211:W211"/>
    <mergeCell ref="D212:G212"/>
    <mergeCell ref="H212:K212"/>
    <mergeCell ref="L212:O212"/>
    <mergeCell ref="P212:S212"/>
    <mergeCell ref="T212:W212"/>
    <mergeCell ref="D209:G209"/>
    <mergeCell ref="H209:K209"/>
    <mergeCell ref="L209:O209"/>
    <mergeCell ref="P209:S209"/>
    <mergeCell ref="T209:W209"/>
    <mergeCell ref="D210:G210"/>
    <mergeCell ref="H210:K210"/>
    <mergeCell ref="L210:O210"/>
    <mergeCell ref="P210:S210"/>
    <mergeCell ref="T210:W210"/>
    <mergeCell ref="D207:G207"/>
    <mergeCell ref="H207:K207"/>
    <mergeCell ref="L207:O207"/>
    <mergeCell ref="P207:S207"/>
    <mergeCell ref="T207:W207"/>
    <mergeCell ref="D208:G208"/>
    <mergeCell ref="H208:K208"/>
    <mergeCell ref="L208:O208"/>
    <mergeCell ref="P208:S208"/>
    <mergeCell ref="T208:W208"/>
    <mergeCell ref="D205:G205"/>
    <mergeCell ref="H205:K205"/>
    <mergeCell ref="L205:O205"/>
    <mergeCell ref="P205:S205"/>
    <mergeCell ref="T205:W205"/>
    <mergeCell ref="D206:G206"/>
    <mergeCell ref="H206:K206"/>
    <mergeCell ref="L206:O206"/>
    <mergeCell ref="P206:S206"/>
    <mergeCell ref="T206:W206"/>
    <mergeCell ref="D203:G203"/>
    <mergeCell ref="H203:K203"/>
    <mergeCell ref="L203:O203"/>
    <mergeCell ref="P203:S203"/>
    <mergeCell ref="T203:W203"/>
    <mergeCell ref="D204:G204"/>
    <mergeCell ref="H204:K204"/>
    <mergeCell ref="L204:O204"/>
    <mergeCell ref="P204:S204"/>
    <mergeCell ref="T204:W204"/>
    <mergeCell ref="H201:K201"/>
    <mergeCell ref="L201:O201"/>
    <mergeCell ref="P201:S201"/>
    <mergeCell ref="T201:W201"/>
    <mergeCell ref="D202:G202"/>
    <mergeCell ref="H202:K202"/>
    <mergeCell ref="L202:O202"/>
    <mergeCell ref="P202:S202"/>
    <mergeCell ref="T202:W202"/>
    <mergeCell ref="D199:G199"/>
    <mergeCell ref="H199:K199"/>
    <mergeCell ref="L199:O199"/>
    <mergeCell ref="P199:S199"/>
    <mergeCell ref="T199:W199"/>
    <mergeCell ref="D200:G200"/>
    <mergeCell ref="H200:K200"/>
    <mergeCell ref="L200:O200"/>
    <mergeCell ref="P200:S200"/>
    <mergeCell ref="T200:W200"/>
    <mergeCell ref="P197:S197"/>
    <mergeCell ref="T197:W197"/>
    <mergeCell ref="D198:G198"/>
    <mergeCell ref="H198:K198"/>
    <mergeCell ref="L198:O198"/>
    <mergeCell ref="P198:S198"/>
    <mergeCell ref="T198:W198"/>
    <mergeCell ref="T195:W195"/>
    <mergeCell ref="D196:G196"/>
    <mergeCell ref="H196:K196"/>
    <mergeCell ref="L196:O196"/>
    <mergeCell ref="P196:S196"/>
    <mergeCell ref="T196:W196"/>
    <mergeCell ref="T193:W193"/>
    <mergeCell ref="X193:X258"/>
    <mergeCell ref="D194:G194"/>
    <mergeCell ref="H194:K194"/>
    <mergeCell ref="L194:O194"/>
    <mergeCell ref="P194:S194"/>
    <mergeCell ref="T194:W194"/>
    <mergeCell ref="D195:G195"/>
    <mergeCell ref="H195:K195"/>
    <mergeCell ref="L195:O195"/>
    <mergeCell ref="D193:G193"/>
    <mergeCell ref="H193:K193"/>
    <mergeCell ref="L193:O193"/>
    <mergeCell ref="P193:S193"/>
    <mergeCell ref="P195:S195"/>
    <mergeCell ref="D197:G197"/>
    <mergeCell ref="H197:K197"/>
    <mergeCell ref="L197:O197"/>
    <mergeCell ref="D201:G201"/>
    <mergeCell ref="A188:A189"/>
    <mergeCell ref="B188:C188"/>
    <mergeCell ref="D188:X189"/>
    <mergeCell ref="B189:C189"/>
    <mergeCell ref="D192:G192"/>
    <mergeCell ref="H192:K192"/>
    <mergeCell ref="L192:O192"/>
    <mergeCell ref="P192:S192"/>
    <mergeCell ref="T192:W192"/>
    <mergeCell ref="B187:C187"/>
    <mergeCell ref="D187:G187"/>
    <mergeCell ref="H187:K187"/>
    <mergeCell ref="L187:O187"/>
    <mergeCell ref="P187:S187"/>
    <mergeCell ref="T187:X187"/>
    <mergeCell ref="C184:C185"/>
    <mergeCell ref="D184:W184"/>
    <mergeCell ref="D185:W185"/>
    <mergeCell ref="A186:A187"/>
    <mergeCell ref="B186:C186"/>
    <mergeCell ref="D186:G186"/>
    <mergeCell ref="H186:K186"/>
    <mergeCell ref="L186:O186"/>
    <mergeCell ref="P186:S186"/>
    <mergeCell ref="T186:X186"/>
    <mergeCell ref="X94:X185"/>
    <mergeCell ref="D95:G95"/>
    <mergeCell ref="H95:K95"/>
    <mergeCell ref="L95:O95"/>
    <mergeCell ref="P95:S95"/>
    <mergeCell ref="T95:W95"/>
    <mergeCell ref="D96:G96"/>
    <mergeCell ref="D179:G179"/>
    <mergeCell ref="H179:K179"/>
    <mergeCell ref="D182:G182"/>
    <mergeCell ref="H182:K182"/>
    <mergeCell ref="L182:O182"/>
    <mergeCell ref="P182:S182"/>
    <mergeCell ref="H172:K172"/>
    <mergeCell ref="L172:O172"/>
    <mergeCell ref="D173:G173"/>
    <mergeCell ref="H173:K173"/>
    <mergeCell ref="L173:O173"/>
    <mergeCell ref="D174:G174"/>
    <mergeCell ref="B163:B164"/>
    <mergeCell ref="B167:B185"/>
    <mergeCell ref="D169:G169"/>
    <mergeCell ref="D170:G170"/>
    <mergeCell ref="D171:G171"/>
    <mergeCell ref="D172:G172"/>
    <mergeCell ref="D175:G175"/>
    <mergeCell ref="D176:G176"/>
    <mergeCell ref="D177:G177"/>
    <mergeCell ref="D178:G178"/>
    <mergeCell ref="C160:C161"/>
    <mergeCell ref="D160:W160"/>
    <mergeCell ref="D161:W161"/>
    <mergeCell ref="D162:G162"/>
    <mergeCell ref="H162:K162"/>
    <mergeCell ref="L162:O162"/>
    <mergeCell ref="P162:S162"/>
    <mergeCell ref="T162:W162"/>
    <mergeCell ref="D158:G158"/>
    <mergeCell ref="H158:K158"/>
    <mergeCell ref="L158:O158"/>
    <mergeCell ref="P158:S158"/>
    <mergeCell ref="T158:W158"/>
    <mergeCell ref="D159:G159"/>
    <mergeCell ref="H159:K159"/>
    <mergeCell ref="L159:O159"/>
    <mergeCell ref="P159:S159"/>
    <mergeCell ref="T159:W159"/>
    <mergeCell ref="D156:G156"/>
    <mergeCell ref="H156:K156"/>
    <mergeCell ref="L156:O156"/>
    <mergeCell ref="P156:S156"/>
    <mergeCell ref="T156:W156"/>
    <mergeCell ref="D157:G157"/>
    <mergeCell ref="H157:K157"/>
    <mergeCell ref="L157:O157"/>
    <mergeCell ref="P157:S157"/>
    <mergeCell ref="T157:W157"/>
    <mergeCell ref="D154:G154"/>
    <mergeCell ref="H154:K154"/>
    <mergeCell ref="L154:O154"/>
    <mergeCell ref="P154:S154"/>
    <mergeCell ref="T154:W154"/>
    <mergeCell ref="D155:G155"/>
    <mergeCell ref="H155:K155"/>
    <mergeCell ref="L155:O155"/>
    <mergeCell ref="P155:S155"/>
    <mergeCell ref="T155:W155"/>
    <mergeCell ref="D152:G152"/>
    <mergeCell ref="H152:K152"/>
    <mergeCell ref="L152:O152"/>
    <mergeCell ref="P152:S152"/>
    <mergeCell ref="T152:W152"/>
    <mergeCell ref="D153:G153"/>
    <mergeCell ref="H153:K153"/>
    <mergeCell ref="L153:O153"/>
    <mergeCell ref="P153:S153"/>
    <mergeCell ref="T153:W153"/>
    <mergeCell ref="D150:G150"/>
    <mergeCell ref="H150:K150"/>
    <mergeCell ref="L150:O150"/>
    <mergeCell ref="P150:S150"/>
    <mergeCell ref="T150:W150"/>
    <mergeCell ref="D151:G151"/>
    <mergeCell ref="H151:K151"/>
    <mergeCell ref="L151:O151"/>
    <mergeCell ref="P151:S151"/>
    <mergeCell ref="T151:W151"/>
    <mergeCell ref="T143:W143"/>
    <mergeCell ref="D148:G148"/>
    <mergeCell ref="H148:K148"/>
    <mergeCell ref="L148:O148"/>
    <mergeCell ref="P148:S148"/>
    <mergeCell ref="T148:W148"/>
    <mergeCell ref="D149:G149"/>
    <mergeCell ref="H149:K149"/>
    <mergeCell ref="L149:O149"/>
    <mergeCell ref="P149:S149"/>
    <mergeCell ref="T149:W149"/>
    <mergeCell ref="D146:G146"/>
    <mergeCell ref="H146:K146"/>
    <mergeCell ref="L146:O146"/>
    <mergeCell ref="P146:S146"/>
    <mergeCell ref="T146:W146"/>
    <mergeCell ref="D147:G147"/>
    <mergeCell ref="H147:K147"/>
    <mergeCell ref="L147:O147"/>
    <mergeCell ref="P147:S147"/>
    <mergeCell ref="T147:W147"/>
    <mergeCell ref="B140:B161"/>
    <mergeCell ref="D140:G140"/>
    <mergeCell ref="H140:K140"/>
    <mergeCell ref="L140:O140"/>
    <mergeCell ref="P140:S140"/>
    <mergeCell ref="D136:G136"/>
    <mergeCell ref="H136:K136"/>
    <mergeCell ref="L136:O136"/>
    <mergeCell ref="P136:S136"/>
    <mergeCell ref="T136:W136"/>
    <mergeCell ref="C137:C138"/>
    <mergeCell ref="D137:W137"/>
    <mergeCell ref="D138:W138"/>
    <mergeCell ref="D144:G144"/>
    <mergeCell ref="H144:K144"/>
    <mergeCell ref="L144:O144"/>
    <mergeCell ref="P144:S144"/>
    <mergeCell ref="T144:W144"/>
    <mergeCell ref="D145:G145"/>
    <mergeCell ref="H145:K145"/>
    <mergeCell ref="L145:O145"/>
    <mergeCell ref="P145:S145"/>
    <mergeCell ref="T145:W145"/>
    <mergeCell ref="D142:G142"/>
    <mergeCell ref="H142:K142"/>
    <mergeCell ref="L142:O142"/>
    <mergeCell ref="P142:S142"/>
    <mergeCell ref="T142:W142"/>
    <mergeCell ref="D143:G143"/>
    <mergeCell ref="H143:K143"/>
    <mergeCell ref="L143:O143"/>
    <mergeCell ref="P143:S143"/>
    <mergeCell ref="D135:G135"/>
    <mergeCell ref="H135:K135"/>
    <mergeCell ref="L135:O135"/>
    <mergeCell ref="P135:S135"/>
    <mergeCell ref="T135:W135"/>
    <mergeCell ref="D132:G132"/>
    <mergeCell ref="H132:K132"/>
    <mergeCell ref="L132:O132"/>
    <mergeCell ref="P132:S132"/>
    <mergeCell ref="T132:W132"/>
    <mergeCell ref="D133:G133"/>
    <mergeCell ref="H133:K133"/>
    <mergeCell ref="L133:O133"/>
    <mergeCell ref="P133:S133"/>
    <mergeCell ref="T133:W133"/>
    <mergeCell ref="T140:W140"/>
    <mergeCell ref="D141:G141"/>
    <mergeCell ref="H141:K141"/>
    <mergeCell ref="L141:O141"/>
    <mergeCell ref="P141:S141"/>
    <mergeCell ref="T141:W141"/>
    <mergeCell ref="D139:G139"/>
    <mergeCell ref="H139:K139"/>
    <mergeCell ref="L139:O139"/>
    <mergeCell ref="P139:S139"/>
    <mergeCell ref="T139:W139"/>
    <mergeCell ref="D131:G131"/>
    <mergeCell ref="H131:K131"/>
    <mergeCell ref="L131:O131"/>
    <mergeCell ref="P131:S131"/>
    <mergeCell ref="T131:W131"/>
    <mergeCell ref="D128:G128"/>
    <mergeCell ref="H128:K128"/>
    <mergeCell ref="L128:O128"/>
    <mergeCell ref="P128:S128"/>
    <mergeCell ref="T128:W128"/>
    <mergeCell ref="D129:G129"/>
    <mergeCell ref="H129:K129"/>
    <mergeCell ref="L129:O129"/>
    <mergeCell ref="P129:S129"/>
    <mergeCell ref="T129:W129"/>
    <mergeCell ref="D134:G134"/>
    <mergeCell ref="H134:K134"/>
    <mergeCell ref="L134:O134"/>
    <mergeCell ref="P134:S134"/>
    <mergeCell ref="T134:W134"/>
    <mergeCell ref="D127:G127"/>
    <mergeCell ref="H127:K127"/>
    <mergeCell ref="L127:O127"/>
    <mergeCell ref="P127:S127"/>
    <mergeCell ref="T127:W127"/>
    <mergeCell ref="D124:G124"/>
    <mergeCell ref="H124:K124"/>
    <mergeCell ref="L124:O124"/>
    <mergeCell ref="P124:S124"/>
    <mergeCell ref="T124:W124"/>
    <mergeCell ref="D125:G125"/>
    <mergeCell ref="H125:K125"/>
    <mergeCell ref="L125:O125"/>
    <mergeCell ref="P125:S125"/>
    <mergeCell ref="T125:W125"/>
    <mergeCell ref="D130:G130"/>
    <mergeCell ref="H130:K130"/>
    <mergeCell ref="L130:O130"/>
    <mergeCell ref="P130:S130"/>
    <mergeCell ref="T130:W130"/>
    <mergeCell ref="P123:S123"/>
    <mergeCell ref="T123:W123"/>
    <mergeCell ref="D120:G120"/>
    <mergeCell ref="H120:K120"/>
    <mergeCell ref="L120:O120"/>
    <mergeCell ref="P120:S120"/>
    <mergeCell ref="T120:W120"/>
    <mergeCell ref="D121:G121"/>
    <mergeCell ref="H121:K121"/>
    <mergeCell ref="L121:O121"/>
    <mergeCell ref="P121:S121"/>
    <mergeCell ref="T121:W121"/>
    <mergeCell ref="D126:G126"/>
    <mergeCell ref="H126:K126"/>
    <mergeCell ref="L126:O126"/>
    <mergeCell ref="P126:S126"/>
    <mergeCell ref="T126:W126"/>
    <mergeCell ref="T118:W118"/>
    <mergeCell ref="D119:G119"/>
    <mergeCell ref="H119:K119"/>
    <mergeCell ref="L119:O119"/>
    <mergeCell ref="P119:S119"/>
    <mergeCell ref="T119:W119"/>
    <mergeCell ref="B117:B138"/>
    <mergeCell ref="D117:G117"/>
    <mergeCell ref="H117:K117"/>
    <mergeCell ref="L117:O117"/>
    <mergeCell ref="P117:S117"/>
    <mergeCell ref="T117:W117"/>
    <mergeCell ref="D118:G118"/>
    <mergeCell ref="H118:K118"/>
    <mergeCell ref="L118:O118"/>
    <mergeCell ref="P118:S118"/>
    <mergeCell ref="C114:C115"/>
    <mergeCell ref="D114:W114"/>
    <mergeCell ref="D115:W115"/>
    <mergeCell ref="D116:G116"/>
    <mergeCell ref="H116:K116"/>
    <mergeCell ref="L116:O116"/>
    <mergeCell ref="P116:S116"/>
    <mergeCell ref="T116:W116"/>
    <mergeCell ref="D122:G122"/>
    <mergeCell ref="H122:K122"/>
    <mergeCell ref="L122:O122"/>
    <mergeCell ref="P122:S122"/>
    <mergeCell ref="T122:W122"/>
    <mergeCell ref="D123:G123"/>
    <mergeCell ref="H123:K123"/>
    <mergeCell ref="L123:O123"/>
    <mergeCell ref="D112:G112"/>
    <mergeCell ref="H112:K112"/>
    <mergeCell ref="L112:O112"/>
    <mergeCell ref="P112:S112"/>
    <mergeCell ref="T112:W112"/>
    <mergeCell ref="D113:G113"/>
    <mergeCell ref="H113:K113"/>
    <mergeCell ref="L113:O113"/>
    <mergeCell ref="P113:S113"/>
    <mergeCell ref="T113:W113"/>
    <mergeCell ref="D110:G110"/>
    <mergeCell ref="H110:K110"/>
    <mergeCell ref="L110:O110"/>
    <mergeCell ref="P110:S110"/>
    <mergeCell ref="T110:W110"/>
    <mergeCell ref="D111:G111"/>
    <mergeCell ref="H111:K111"/>
    <mergeCell ref="L111:O111"/>
    <mergeCell ref="P111:S111"/>
    <mergeCell ref="T111:W111"/>
    <mergeCell ref="H103:K103"/>
    <mergeCell ref="L103:O103"/>
    <mergeCell ref="P103:S103"/>
    <mergeCell ref="T103:W103"/>
    <mergeCell ref="D104:G104"/>
    <mergeCell ref="H105:K105"/>
    <mergeCell ref="L105:O105"/>
    <mergeCell ref="P105:S105"/>
    <mergeCell ref="H104:K104"/>
    <mergeCell ref="L104:O104"/>
    <mergeCell ref="P104:S104"/>
    <mergeCell ref="D108:G108"/>
    <mergeCell ref="H108:K108"/>
    <mergeCell ref="L108:O108"/>
    <mergeCell ref="P108:S108"/>
    <mergeCell ref="T108:W108"/>
    <mergeCell ref="D109:G109"/>
    <mergeCell ref="H109:K109"/>
    <mergeCell ref="L109:O109"/>
    <mergeCell ref="P109:S109"/>
    <mergeCell ref="T109:W109"/>
    <mergeCell ref="D106:G106"/>
    <mergeCell ref="H106:K106"/>
    <mergeCell ref="L106:O106"/>
    <mergeCell ref="P106:S106"/>
    <mergeCell ref="T106:W106"/>
    <mergeCell ref="D107:G107"/>
    <mergeCell ref="H107:K107"/>
    <mergeCell ref="L107:O107"/>
    <mergeCell ref="P107:S107"/>
    <mergeCell ref="T107:W107"/>
    <mergeCell ref="L97:O97"/>
    <mergeCell ref="P97:S97"/>
    <mergeCell ref="T97:W97"/>
    <mergeCell ref="P94:S94"/>
    <mergeCell ref="T94:W94"/>
    <mergeCell ref="T104:W104"/>
    <mergeCell ref="D105:G105"/>
    <mergeCell ref="H96:K96"/>
    <mergeCell ref="D100:G100"/>
    <mergeCell ref="H100:K100"/>
    <mergeCell ref="L100:O100"/>
    <mergeCell ref="P100:S100"/>
    <mergeCell ref="T100:W100"/>
    <mergeCell ref="D101:G101"/>
    <mergeCell ref="T101:W101"/>
    <mergeCell ref="D98:G98"/>
    <mergeCell ref="H98:K98"/>
    <mergeCell ref="L98:O98"/>
    <mergeCell ref="P98:S98"/>
    <mergeCell ref="T98:W98"/>
    <mergeCell ref="D99:G99"/>
    <mergeCell ref="H99:K99"/>
    <mergeCell ref="L99:O99"/>
    <mergeCell ref="P99:S99"/>
    <mergeCell ref="T99:W99"/>
    <mergeCell ref="T105:W105"/>
    <mergeCell ref="D102:G102"/>
    <mergeCell ref="H102:K102"/>
    <mergeCell ref="L102:O102"/>
    <mergeCell ref="P102:S102"/>
    <mergeCell ref="T102:W102"/>
    <mergeCell ref="D103:G103"/>
    <mergeCell ref="D87:G87"/>
    <mergeCell ref="H87:K87"/>
    <mergeCell ref="D78:G78"/>
    <mergeCell ref="H78:K78"/>
    <mergeCell ref="L78:O78"/>
    <mergeCell ref="D79:G79"/>
    <mergeCell ref="D80:G80"/>
    <mergeCell ref="D81:G81"/>
    <mergeCell ref="D74:G74"/>
    <mergeCell ref="D75:G75"/>
    <mergeCell ref="D76:G76"/>
    <mergeCell ref="D77:G77"/>
    <mergeCell ref="H77:K77"/>
    <mergeCell ref="L77:O77"/>
    <mergeCell ref="T93:W93"/>
    <mergeCell ref="A94:A185"/>
    <mergeCell ref="B94:B115"/>
    <mergeCell ref="D94:G94"/>
    <mergeCell ref="H94:K94"/>
    <mergeCell ref="L94:O94"/>
    <mergeCell ref="L87:O87"/>
    <mergeCell ref="P87:S87"/>
    <mergeCell ref="P88:S88"/>
    <mergeCell ref="B89:B90"/>
    <mergeCell ref="C89:C90"/>
    <mergeCell ref="D89:W89"/>
    <mergeCell ref="D90:W90"/>
    <mergeCell ref="L96:O96"/>
    <mergeCell ref="P96:S96"/>
    <mergeCell ref="T96:W96"/>
    <mergeCell ref="D97:G97"/>
    <mergeCell ref="H97:K97"/>
    <mergeCell ref="D93:G93"/>
    <mergeCell ref="H93:K93"/>
    <mergeCell ref="L93:O93"/>
    <mergeCell ref="P93:S93"/>
    <mergeCell ref="H101:K101"/>
    <mergeCell ref="L101:O101"/>
    <mergeCell ref="P101:S101"/>
    <mergeCell ref="D67:G67"/>
    <mergeCell ref="H67:K67"/>
    <mergeCell ref="L67:O67"/>
    <mergeCell ref="P67:S67"/>
    <mergeCell ref="T67:W67"/>
    <mergeCell ref="B68:B69"/>
    <mergeCell ref="D64:G64"/>
    <mergeCell ref="H64:K64"/>
    <mergeCell ref="L64:O64"/>
    <mergeCell ref="P64:S64"/>
    <mergeCell ref="T64:W64"/>
    <mergeCell ref="C65:C66"/>
    <mergeCell ref="D65:W65"/>
    <mergeCell ref="D66:W66"/>
    <mergeCell ref="B45:B66"/>
    <mergeCell ref="D45:G45"/>
    <mergeCell ref="H45:K45"/>
    <mergeCell ref="L45:O45"/>
    <mergeCell ref="P45:S45"/>
    <mergeCell ref="T45:W45"/>
    <mergeCell ref="D50:G50"/>
    <mergeCell ref="D82:G82"/>
    <mergeCell ref="D83:G83"/>
    <mergeCell ref="D84:G84"/>
    <mergeCell ref="H84:K84"/>
    <mergeCell ref="D62:G62"/>
    <mergeCell ref="H62:K62"/>
    <mergeCell ref="L62:O62"/>
    <mergeCell ref="P62:S62"/>
    <mergeCell ref="T62:W62"/>
    <mergeCell ref="D63:G63"/>
    <mergeCell ref="H63:K63"/>
    <mergeCell ref="L63:O63"/>
    <mergeCell ref="P63:S63"/>
    <mergeCell ref="T63:W63"/>
    <mergeCell ref="D60:G60"/>
    <mergeCell ref="H60:K60"/>
    <mergeCell ref="L60:O60"/>
    <mergeCell ref="P60:S60"/>
    <mergeCell ref="T60:W60"/>
    <mergeCell ref="D61:G61"/>
    <mergeCell ref="H61:K61"/>
    <mergeCell ref="L61:O61"/>
    <mergeCell ref="P61:S61"/>
    <mergeCell ref="T61:W61"/>
    <mergeCell ref="D58:G58"/>
    <mergeCell ref="H58:K58"/>
    <mergeCell ref="L58:O58"/>
    <mergeCell ref="P58:S58"/>
    <mergeCell ref="T58:W58"/>
    <mergeCell ref="D59:G59"/>
    <mergeCell ref="H59:K59"/>
    <mergeCell ref="L59:O59"/>
    <mergeCell ref="P59:S59"/>
    <mergeCell ref="T59:W59"/>
    <mergeCell ref="H50:K50"/>
    <mergeCell ref="L50:O50"/>
    <mergeCell ref="P50:S50"/>
    <mergeCell ref="T50:W50"/>
    <mergeCell ref="D51:G51"/>
    <mergeCell ref="H51:K51"/>
    <mergeCell ref="L51:O51"/>
    <mergeCell ref="P51:S51"/>
    <mergeCell ref="T51:W51"/>
    <mergeCell ref="D56:G56"/>
    <mergeCell ref="H56:K56"/>
    <mergeCell ref="L56:O56"/>
    <mergeCell ref="P56:S56"/>
    <mergeCell ref="T56:W56"/>
    <mergeCell ref="D57:G57"/>
    <mergeCell ref="H57:K57"/>
    <mergeCell ref="L57:O57"/>
    <mergeCell ref="P57:S57"/>
    <mergeCell ref="T57:W57"/>
    <mergeCell ref="D54:G54"/>
    <mergeCell ref="H54:K54"/>
    <mergeCell ref="L54:O54"/>
    <mergeCell ref="P54:S54"/>
    <mergeCell ref="T54:W54"/>
    <mergeCell ref="D55:G55"/>
    <mergeCell ref="H55:K55"/>
    <mergeCell ref="L55:O55"/>
    <mergeCell ref="P55:S55"/>
    <mergeCell ref="T55:W55"/>
    <mergeCell ref="D49:G49"/>
    <mergeCell ref="H49:K49"/>
    <mergeCell ref="L49:O49"/>
    <mergeCell ref="P49:S49"/>
    <mergeCell ref="T49:W49"/>
    <mergeCell ref="T46:W46"/>
    <mergeCell ref="D47:G47"/>
    <mergeCell ref="H47:K47"/>
    <mergeCell ref="L47:O47"/>
    <mergeCell ref="P47:S47"/>
    <mergeCell ref="T47:W47"/>
    <mergeCell ref="D46:G46"/>
    <mergeCell ref="H46:K46"/>
    <mergeCell ref="L46:O46"/>
    <mergeCell ref="P46:S46"/>
    <mergeCell ref="D52:G52"/>
    <mergeCell ref="H52:K52"/>
    <mergeCell ref="L52:O52"/>
    <mergeCell ref="P52:S52"/>
    <mergeCell ref="T52:W52"/>
    <mergeCell ref="D53:G53"/>
    <mergeCell ref="H53:K53"/>
    <mergeCell ref="L53:O53"/>
    <mergeCell ref="P53:S53"/>
    <mergeCell ref="T53:W53"/>
    <mergeCell ref="D44:G44"/>
    <mergeCell ref="H44:K44"/>
    <mergeCell ref="L44:O44"/>
    <mergeCell ref="P44:S44"/>
    <mergeCell ref="T44:W44"/>
    <mergeCell ref="D40:G40"/>
    <mergeCell ref="H40:K40"/>
    <mergeCell ref="L40:O40"/>
    <mergeCell ref="P40:S40"/>
    <mergeCell ref="T40:W40"/>
    <mergeCell ref="D41:G41"/>
    <mergeCell ref="H41:K41"/>
    <mergeCell ref="L41:O41"/>
    <mergeCell ref="P41:S41"/>
    <mergeCell ref="T41:W41"/>
    <mergeCell ref="D48:G48"/>
    <mergeCell ref="H48:K48"/>
    <mergeCell ref="L48:O48"/>
    <mergeCell ref="P48:S48"/>
    <mergeCell ref="T48:W48"/>
    <mergeCell ref="D39:G39"/>
    <mergeCell ref="H39:K39"/>
    <mergeCell ref="L39:O39"/>
    <mergeCell ref="P39:S39"/>
    <mergeCell ref="T39:W39"/>
    <mergeCell ref="D36:G36"/>
    <mergeCell ref="H36:K36"/>
    <mergeCell ref="L36:O36"/>
    <mergeCell ref="P36:S36"/>
    <mergeCell ref="T36:W36"/>
    <mergeCell ref="D37:G37"/>
    <mergeCell ref="H37:K37"/>
    <mergeCell ref="L37:O37"/>
    <mergeCell ref="P37:S37"/>
    <mergeCell ref="T37:W37"/>
    <mergeCell ref="C42:C43"/>
    <mergeCell ref="D42:W42"/>
    <mergeCell ref="D43:W43"/>
    <mergeCell ref="D35:G35"/>
    <mergeCell ref="H35:K35"/>
    <mergeCell ref="L35:O35"/>
    <mergeCell ref="P35:S35"/>
    <mergeCell ref="T35:W35"/>
    <mergeCell ref="D32:G32"/>
    <mergeCell ref="H32:K32"/>
    <mergeCell ref="L32:O32"/>
    <mergeCell ref="P32:S32"/>
    <mergeCell ref="T32:W32"/>
    <mergeCell ref="D33:G33"/>
    <mergeCell ref="H33:K33"/>
    <mergeCell ref="L33:O33"/>
    <mergeCell ref="P33:S33"/>
    <mergeCell ref="T33:W33"/>
    <mergeCell ref="D38:G38"/>
    <mergeCell ref="H38:K38"/>
    <mergeCell ref="L38:O38"/>
    <mergeCell ref="P38:S38"/>
    <mergeCell ref="T38:W38"/>
    <mergeCell ref="D31:G31"/>
    <mergeCell ref="H31:K31"/>
    <mergeCell ref="L31:O31"/>
    <mergeCell ref="P31:S31"/>
    <mergeCell ref="T31:W31"/>
    <mergeCell ref="D28:G28"/>
    <mergeCell ref="H28:K28"/>
    <mergeCell ref="L28:O28"/>
    <mergeCell ref="P28:S28"/>
    <mergeCell ref="T28:W28"/>
    <mergeCell ref="D29:G29"/>
    <mergeCell ref="H29:K29"/>
    <mergeCell ref="L29:O29"/>
    <mergeCell ref="P29:S29"/>
    <mergeCell ref="T29:W29"/>
    <mergeCell ref="D34:G34"/>
    <mergeCell ref="H34:K34"/>
    <mergeCell ref="L34:O34"/>
    <mergeCell ref="P34:S34"/>
    <mergeCell ref="T34:W34"/>
    <mergeCell ref="L26:O26"/>
    <mergeCell ref="P26:S26"/>
    <mergeCell ref="T26:W26"/>
    <mergeCell ref="D27:G27"/>
    <mergeCell ref="H27:K27"/>
    <mergeCell ref="L27:O27"/>
    <mergeCell ref="P27:S27"/>
    <mergeCell ref="T27:W27"/>
    <mergeCell ref="L24:O24"/>
    <mergeCell ref="P24:S24"/>
    <mergeCell ref="T24:W24"/>
    <mergeCell ref="D25:G25"/>
    <mergeCell ref="H25:K25"/>
    <mergeCell ref="L25:O25"/>
    <mergeCell ref="P25:S25"/>
    <mergeCell ref="T25:W25"/>
    <mergeCell ref="D30:G30"/>
    <mergeCell ref="H30:K30"/>
    <mergeCell ref="L30:O30"/>
    <mergeCell ref="P30:S30"/>
    <mergeCell ref="T30:W30"/>
    <mergeCell ref="A5:A18"/>
    <mergeCell ref="B5:B8"/>
    <mergeCell ref="D5:W5"/>
    <mergeCell ref="D6:W6"/>
    <mergeCell ref="C7:C8"/>
    <mergeCell ref="D7:W7"/>
    <mergeCell ref="D8:W8"/>
    <mergeCell ref="D9:G9"/>
    <mergeCell ref="H9:K9"/>
    <mergeCell ref="L9:O9"/>
    <mergeCell ref="P22:S22"/>
    <mergeCell ref="T22:W22"/>
    <mergeCell ref="X22:X90"/>
    <mergeCell ref="D23:G23"/>
    <mergeCell ref="H23:K23"/>
    <mergeCell ref="L23:O23"/>
    <mergeCell ref="P23:S23"/>
    <mergeCell ref="T23:W23"/>
    <mergeCell ref="D24:G24"/>
    <mergeCell ref="H24:K24"/>
    <mergeCell ref="D21:G21"/>
    <mergeCell ref="H21:K21"/>
    <mergeCell ref="L21:O21"/>
    <mergeCell ref="P21:S21"/>
    <mergeCell ref="T21:W21"/>
    <mergeCell ref="A22:A90"/>
    <mergeCell ref="B22:B43"/>
    <mergeCell ref="D22:G22"/>
    <mergeCell ref="H22:K22"/>
    <mergeCell ref="L22:O22"/>
    <mergeCell ref="D26:G26"/>
    <mergeCell ref="H26:K26"/>
    <mergeCell ref="D4:G4"/>
    <mergeCell ref="H4:K4"/>
    <mergeCell ref="L4:O4"/>
    <mergeCell ref="P4:S4"/>
    <mergeCell ref="T4:W4"/>
    <mergeCell ref="X4:X18"/>
    <mergeCell ref="P9:S9"/>
    <mergeCell ref="T9:W9"/>
    <mergeCell ref="D14:G14"/>
    <mergeCell ref="H14:K14"/>
    <mergeCell ref="L14:O14"/>
    <mergeCell ref="P14:S14"/>
    <mergeCell ref="T14:W14"/>
    <mergeCell ref="B15:B18"/>
    <mergeCell ref="D15:W15"/>
    <mergeCell ref="D16:W16"/>
    <mergeCell ref="C17:C18"/>
    <mergeCell ref="D17:W17"/>
    <mergeCell ref="D18:W18"/>
    <mergeCell ref="B10:B13"/>
    <mergeCell ref="D10:W10"/>
    <mergeCell ref="D11:W11"/>
    <mergeCell ref="C12:C13"/>
    <mergeCell ref="D12:W12"/>
    <mergeCell ref="D13:W13"/>
  </mergeCells>
  <hyperlinks>
    <hyperlink ref="C7" location="Reference!C7" display="★ click here for more guidance"/>
    <hyperlink ref="C8" location="Reference!C7" display="Reference!C7"/>
    <hyperlink ref="C12" location="Reference!C9" display="★ click here for more guidance"/>
    <hyperlink ref="C13" location="Reference!C9" display="Reference!C9"/>
    <hyperlink ref="C17" location="Reference!C11" display="★ click here for more guidance"/>
    <hyperlink ref="C18" location="Reference!C11" display="Reference!C11"/>
    <hyperlink ref="C42" location="Reference!C13" display="★ click here for more guidance"/>
    <hyperlink ref="C43" location="Reference!C13" display="Reference!C13"/>
    <hyperlink ref="C65" location="Reference!C15" display="★ click here for more guidance"/>
    <hyperlink ref="C66" location="Reference!C15" display="Reference!C15"/>
    <hyperlink ref="C89" location="Reference!C17" display="★ click here for more guidance"/>
    <hyperlink ref="C90" location="Reference!C17" display="Reference!C17"/>
    <hyperlink ref="C114" location="Reference!C22" display="★ click here for more guidance"/>
    <hyperlink ref="C115" location="Reference!C22" display="Reference!C22"/>
    <hyperlink ref="C137" location="Reference!C24" display="★ click here for more guidance"/>
    <hyperlink ref="C138" location="Reference!C24" display="Reference!C24"/>
    <hyperlink ref="C160" location="Reference!C26" display="★ click here for more guidance"/>
    <hyperlink ref="C161" location="Reference!C26" display="Reference!C26"/>
    <hyperlink ref="C184" location="Reference!C28" display="★ click here for more guidance"/>
    <hyperlink ref="C185" location="Reference!C28" display="Reference!C28"/>
    <hyperlink ref="C213" location="Reference!C33" display="★ click here for more guidance"/>
    <hyperlink ref="C214" location="Reference!C33" display="Reference!C33"/>
    <hyperlink ref="C236" location="Reference!C35" display="★ click here for more guidance"/>
    <hyperlink ref="C237" location="Reference!C35" display="Reference!C35"/>
    <hyperlink ref="C259" location="Reference!C37" display="★ click here for more guidance"/>
    <hyperlink ref="C260" location="Reference!C37" display="Reference!C37"/>
    <hyperlink ref="C288" location="Reference!C39" display="★ click here for more guidance"/>
    <hyperlink ref="C289" location="Reference!C39" display="Reference!C39"/>
    <hyperlink ref="C311" location="Reference!C41" display="★ click here for more guidance"/>
    <hyperlink ref="C312" location="Reference!C41" display="Reference!C41"/>
    <hyperlink ref="C334" location="Reference!C43" display="★ click here for more guidance"/>
    <hyperlink ref="C335" location="Reference!C43" display="Reference!C43"/>
    <hyperlink ref="C364" location="Reference!C45" display="★ click here for more guidance"/>
    <hyperlink ref="C365" location="Reference!C45" display="Reference!C45"/>
    <hyperlink ref="C388" location="Reference!C50" display="★ click here for more guidance"/>
    <hyperlink ref="C389" location="Reference!C50" display="Reference!C50"/>
    <hyperlink ref="C412" location="Reference!C55" display="★ click here for more guidance"/>
    <hyperlink ref="C413" location="Reference!C55" display="Reference!C55"/>
    <hyperlink ref="C435" location="Reference!C58" display="★ click here for more guidance"/>
    <hyperlink ref="C436" location="Reference!C58" display="Reference!C58"/>
    <hyperlink ref="C464" location="Reference!C60" display="★ click here for more guidance"/>
    <hyperlink ref="C465" location="Reference!C60" display="Reference!C60"/>
    <hyperlink ref="C487" location="Reference!C62" display="★ click here for more guidance"/>
    <hyperlink ref="C488" location="Reference!C62" display="Reference!C62"/>
    <hyperlink ref="C510" location="Reference!C64" display="★ click here for more guidance"/>
    <hyperlink ref="C511" location="Reference!C64" display="Reference!C64"/>
    <hyperlink ref="C533" location="Reference!C66" display="★ click here for more guidance"/>
    <hyperlink ref="C534" location="Reference!C66" display="Reference!C66"/>
    <hyperlink ref="C557" location="Reference!C68" display="★ click here for more guidance"/>
    <hyperlink ref="C558" location="Reference!C68" display="Reference!C68"/>
    <hyperlink ref="C590" location="Reference!C71" display="★ click here for more guidance"/>
    <hyperlink ref="C591" location="Reference!C71" display="Reference!C71"/>
    <hyperlink ref="C617" location="Reference!C73" display="★ click here for more guidance"/>
    <hyperlink ref="C618" location="Reference!C73" display="Reference!C73"/>
    <hyperlink ref="C644" location="Reference!C73" display="★ click here for more guidance"/>
    <hyperlink ref="C645" location="Reference!C73" display="Reference!C73"/>
  </hyperlinks>
  <pageMargins left="0.79000000000000015" right="0.79000000000000015" top="0.79000000000000015" bottom="0.79000000000000015" header="0.39000000000000007" footer="0.39000000000000007"/>
  <pageSetup paperSize="9" scale="55" fitToHeight="3" orientation="landscape"/>
  <headerFooter>
    <oddFooter>&amp;L&amp;K000000&amp;F&amp;C&amp;K000000&amp;D&amp;R&amp;K000000Page &amp;P</oddFooter>
  </headerFooter>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FFFF00"/>
  </sheetPr>
  <dimension ref="A1:X254"/>
  <sheetViews>
    <sheetView workbookViewId="0">
      <pane xSplit="2" ySplit="1" topLeftCell="C2" activePane="bottomRight" state="frozen"/>
      <selection activeCell="AG595" sqref="AG595"/>
      <selection pane="topRight" activeCell="AG595" sqref="AG595"/>
      <selection pane="bottomLeft" activeCell="AG595" sqref="AG595"/>
      <selection pane="bottomRight" activeCell="AG595" sqref="AG595"/>
    </sheetView>
  </sheetViews>
  <sheetFormatPr defaultColWidth="8.85546875" defaultRowHeight="12.75"/>
  <cols>
    <col min="1" max="1" width="20.85546875" style="4" customWidth="1"/>
    <col min="2" max="2" width="40.85546875" style="4" customWidth="1"/>
    <col min="3" max="3" width="15.85546875" style="27" customWidth="1"/>
    <col min="4" max="23" width="5.85546875" style="4" customWidth="1"/>
    <col min="24" max="24" width="30.85546875" style="4" customWidth="1"/>
    <col min="25" max="16384" width="8.85546875" style="4"/>
  </cols>
  <sheetData>
    <row r="1" spans="1:24" s="67" customFormat="1" ht="32.25" thickBot="1">
      <c r="A1" s="3" t="s">
        <v>0</v>
      </c>
      <c r="B1" s="64" t="s">
        <v>231</v>
      </c>
      <c r="C1" s="65" t="s">
        <v>270</v>
      </c>
      <c r="D1" s="65"/>
      <c r="E1" s="65"/>
      <c r="F1" s="65"/>
      <c r="G1" s="65"/>
      <c r="H1" s="65"/>
      <c r="I1" s="65"/>
      <c r="J1" s="65"/>
      <c r="K1" s="65"/>
      <c r="L1" s="65"/>
      <c r="M1" s="65"/>
      <c r="N1" s="65"/>
      <c r="O1" s="65"/>
      <c r="P1" s="65"/>
      <c r="Q1" s="65"/>
      <c r="R1" s="65"/>
      <c r="S1" s="65"/>
      <c r="T1" s="65"/>
      <c r="U1" s="65"/>
      <c r="V1" s="65"/>
      <c r="W1" s="65"/>
      <c r="X1" s="66"/>
    </row>
    <row r="2" spans="1:24">
      <c r="A2" s="5"/>
      <c r="B2" s="5"/>
      <c r="C2" s="6"/>
      <c r="D2" s="5"/>
      <c r="E2" s="5"/>
      <c r="F2" s="5"/>
      <c r="G2" s="5"/>
      <c r="H2" s="5"/>
      <c r="I2" s="5"/>
      <c r="J2" s="5"/>
      <c r="K2" s="5"/>
      <c r="L2" s="5"/>
      <c r="M2" s="5"/>
      <c r="N2" s="5"/>
      <c r="O2" s="5"/>
      <c r="P2" s="5"/>
      <c r="Q2" s="5"/>
      <c r="R2" s="5"/>
      <c r="S2" s="5"/>
      <c r="T2" s="5"/>
      <c r="U2" s="5"/>
      <c r="V2" s="5"/>
      <c r="W2" s="5"/>
      <c r="X2" s="5"/>
    </row>
    <row r="3" spans="1:24" ht="13.5" thickBot="1">
      <c r="A3" s="5"/>
      <c r="B3" s="5"/>
      <c r="C3" s="6"/>
      <c r="D3" s="5"/>
      <c r="E3" s="5"/>
      <c r="F3" s="5"/>
      <c r="G3" s="5"/>
      <c r="H3" s="5"/>
      <c r="I3" s="5"/>
      <c r="J3" s="5"/>
      <c r="K3" s="5"/>
      <c r="L3" s="5"/>
      <c r="M3" s="5"/>
      <c r="N3" s="5"/>
      <c r="O3" s="5"/>
      <c r="P3" s="5"/>
      <c r="Q3" s="5"/>
      <c r="R3" s="5"/>
      <c r="S3" s="5"/>
      <c r="T3" s="5"/>
      <c r="U3" s="5"/>
      <c r="V3" s="5"/>
      <c r="W3" s="5"/>
      <c r="X3" s="5"/>
    </row>
    <row r="4" spans="1:24" ht="13.5" thickBot="1">
      <c r="A4" s="521" t="s">
        <v>50</v>
      </c>
      <c r="B4" s="522" t="s">
        <v>51</v>
      </c>
      <c r="C4" s="8"/>
      <c r="D4" s="927" t="s">
        <v>79</v>
      </c>
      <c r="E4" s="928"/>
      <c r="F4" s="928"/>
      <c r="G4" s="929"/>
      <c r="H4" s="927" t="s">
        <v>80</v>
      </c>
      <c r="I4" s="928"/>
      <c r="J4" s="928"/>
      <c r="K4" s="929"/>
      <c r="L4" s="927" t="s">
        <v>81</v>
      </c>
      <c r="M4" s="928"/>
      <c r="N4" s="928"/>
      <c r="O4" s="929"/>
      <c r="P4" s="927" t="s">
        <v>254</v>
      </c>
      <c r="Q4" s="928"/>
      <c r="R4" s="928"/>
      <c r="S4" s="929"/>
      <c r="T4" s="927" t="s">
        <v>76</v>
      </c>
      <c r="U4" s="928"/>
      <c r="V4" s="928"/>
      <c r="W4" s="929"/>
      <c r="X4" s="991"/>
    </row>
    <row r="5" spans="1:24" ht="13.5" thickBot="1">
      <c r="A5" s="868" t="s">
        <v>43</v>
      </c>
      <c r="B5" s="868" t="s">
        <v>46</v>
      </c>
      <c r="C5" s="9" t="s">
        <v>2</v>
      </c>
      <c r="D5" s="983" t="s">
        <v>82</v>
      </c>
      <c r="E5" s="984"/>
      <c r="F5" s="984"/>
      <c r="G5" s="984"/>
      <c r="H5" s="984"/>
      <c r="I5" s="984"/>
      <c r="J5" s="984"/>
      <c r="K5" s="984"/>
      <c r="L5" s="984"/>
      <c r="M5" s="984"/>
      <c r="N5" s="984"/>
      <c r="O5" s="984"/>
      <c r="P5" s="984"/>
      <c r="Q5" s="984"/>
      <c r="R5" s="984"/>
      <c r="S5" s="984"/>
      <c r="T5" s="984"/>
      <c r="U5" s="984"/>
      <c r="V5" s="984"/>
      <c r="W5" s="985"/>
      <c r="X5" s="992"/>
    </row>
    <row r="6" spans="1:24" ht="13.5" thickBot="1">
      <c r="A6" s="885"/>
      <c r="B6" s="885"/>
      <c r="C6" s="10" t="s">
        <v>3</v>
      </c>
      <c r="D6" s="986"/>
      <c r="E6" s="987"/>
      <c r="F6" s="987"/>
      <c r="G6" s="987"/>
      <c r="H6" s="987"/>
      <c r="I6" s="987"/>
      <c r="J6" s="987"/>
      <c r="K6" s="987"/>
      <c r="L6" s="987"/>
      <c r="M6" s="987"/>
      <c r="N6" s="987"/>
      <c r="O6" s="987"/>
      <c r="P6" s="987"/>
      <c r="Q6" s="987"/>
      <c r="R6" s="987"/>
      <c r="S6" s="987"/>
      <c r="T6" s="987"/>
      <c r="U6" s="987"/>
      <c r="V6" s="987"/>
      <c r="W6" s="988"/>
      <c r="X6" s="992"/>
    </row>
    <row r="7" spans="1:24" ht="13.5" thickBot="1">
      <c r="A7" s="885"/>
      <c r="B7" s="885"/>
      <c r="C7" s="998" t="s">
        <v>413</v>
      </c>
      <c r="D7" s="989" t="s">
        <v>4</v>
      </c>
      <c r="E7" s="990"/>
      <c r="F7" s="990"/>
      <c r="G7" s="990"/>
      <c r="H7" s="990"/>
      <c r="I7" s="990"/>
      <c r="J7" s="990"/>
      <c r="K7" s="990"/>
      <c r="L7" s="990"/>
      <c r="M7" s="990"/>
      <c r="N7" s="990"/>
      <c r="O7" s="990"/>
      <c r="P7" s="990"/>
      <c r="Q7" s="990"/>
      <c r="R7" s="990"/>
      <c r="S7" s="990"/>
      <c r="T7" s="990"/>
      <c r="U7" s="990"/>
      <c r="V7" s="990"/>
      <c r="W7" s="990"/>
      <c r="X7" s="992"/>
    </row>
    <row r="8" spans="1:24" ht="13.5" thickBot="1">
      <c r="A8" s="885"/>
      <c r="B8" s="869"/>
      <c r="C8" s="999"/>
      <c r="D8" s="930" t="s">
        <v>85</v>
      </c>
      <c r="E8" s="931"/>
      <c r="F8" s="931"/>
      <c r="G8" s="931"/>
      <c r="H8" s="931"/>
      <c r="I8" s="931"/>
      <c r="J8" s="931"/>
      <c r="K8" s="931"/>
      <c r="L8" s="931"/>
      <c r="M8" s="931"/>
      <c r="N8" s="931"/>
      <c r="O8" s="931"/>
      <c r="P8" s="931"/>
      <c r="Q8" s="931"/>
      <c r="R8" s="931"/>
      <c r="S8" s="931"/>
      <c r="T8" s="931"/>
      <c r="U8" s="931"/>
      <c r="V8" s="931"/>
      <c r="W8" s="932"/>
      <c r="X8" s="992"/>
    </row>
    <row r="9" spans="1:24" ht="13.5" thickBot="1">
      <c r="A9" s="885"/>
      <c r="B9" s="11" t="s">
        <v>52</v>
      </c>
      <c r="C9" s="12"/>
      <c r="D9" s="927" t="s">
        <v>79</v>
      </c>
      <c r="E9" s="928"/>
      <c r="F9" s="928"/>
      <c r="G9" s="929"/>
      <c r="H9" s="927" t="s">
        <v>80</v>
      </c>
      <c r="I9" s="928"/>
      <c r="J9" s="928"/>
      <c r="K9" s="929"/>
      <c r="L9" s="927" t="s">
        <v>81</v>
      </c>
      <c r="M9" s="928"/>
      <c r="N9" s="928"/>
      <c r="O9" s="929"/>
      <c r="P9" s="927" t="s">
        <v>254</v>
      </c>
      <c r="Q9" s="928"/>
      <c r="R9" s="928"/>
      <c r="S9" s="929"/>
      <c r="T9" s="927" t="s">
        <v>76</v>
      </c>
      <c r="U9" s="928"/>
      <c r="V9" s="928"/>
      <c r="W9" s="929"/>
      <c r="X9" s="992"/>
    </row>
    <row r="10" spans="1:24" ht="35.1" customHeight="1" thickBot="1">
      <c r="A10" s="885"/>
      <c r="B10" s="868" t="s">
        <v>45</v>
      </c>
      <c r="C10" s="13" t="s">
        <v>2</v>
      </c>
      <c r="D10" s="930" t="s">
        <v>86</v>
      </c>
      <c r="E10" s="931"/>
      <c r="F10" s="931"/>
      <c r="G10" s="931"/>
      <c r="H10" s="931"/>
      <c r="I10" s="931"/>
      <c r="J10" s="931"/>
      <c r="K10" s="931"/>
      <c r="L10" s="931"/>
      <c r="M10" s="931"/>
      <c r="N10" s="931"/>
      <c r="O10" s="931"/>
      <c r="P10" s="931"/>
      <c r="Q10" s="931"/>
      <c r="R10" s="931"/>
      <c r="S10" s="931"/>
      <c r="T10" s="931"/>
      <c r="U10" s="931"/>
      <c r="V10" s="931"/>
      <c r="W10" s="932"/>
      <c r="X10" s="992"/>
    </row>
    <row r="11" spans="1:24" ht="13.5" thickBot="1">
      <c r="A11" s="885"/>
      <c r="B11" s="885"/>
      <c r="C11" s="10" t="s">
        <v>3</v>
      </c>
      <c r="D11" s="986"/>
      <c r="E11" s="987"/>
      <c r="F11" s="987"/>
      <c r="G11" s="987"/>
      <c r="H11" s="987"/>
      <c r="I11" s="987"/>
      <c r="J11" s="987"/>
      <c r="K11" s="987"/>
      <c r="L11" s="987"/>
      <c r="M11" s="987"/>
      <c r="N11" s="987"/>
      <c r="O11" s="987"/>
      <c r="P11" s="987"/>
      <c r="Q11" s="987"/>
      <c r="R11" s="987"/>
      <c r="S11" s="987"/>
      <c r="T11" s="987"/>
      <c r="U11" s="987"/>
      <c r="V11" s="987"/>
      <c r="W11" s="988"/>
      <c r="X11" s="992"/>
    </row>
    <row r="12" spans="1:24" ht="13.5" thickBot="1">
      <c r="A12" s="885"/>
      <c r="B12" s="885"/>
      <c r="C12" s="998" t="s">
        <v>413</v>
      </c>
      <c r="D12" s="927" t="s">
        <v>4</v>
      </c>
      <c r="E12" s="928"/>
      <c r="F12" s="928"/>
      <c r="G12" s="928"/>
      <c r="H12" s="928"/>
      <c r="I12" s="928"/>
      <c r="J12" s="928"/>
      <c r="K12" s="928"/>
      <c r="L12" s="928"/>
      <c r="M12" s="928"/>
      <c r="N12" s="928"/>
      <c r="O12" s="928"/>
      <c r="P12" s="928"/>
      <c r="Q12" s="928"/>
      <c r="R12" s="928"/>
      <c r="S12" s="928"/>
      <c r="T12" s="928"/>
      <c r="U12" s="928"/>
      <c r="V12" s="928"/>
      <c r="W12" s="928"/>
      <c r="X12" s="992"/>
    </row>
    <row r="13" spans="1:24" ht="24" customHeight="1" thickBot="1">
      <c r="A13" s="885"/>
      <c r="B13" s="869"/>
      <c r="C13" s="999"/>
      <c r="D13" s="930" t="s">
        <v>87</v>
      </c>
      <c r="E13" s="931"/>
      <c r="F13" s="931"/>
      <c r="G13" s="931"/>
      <c r="H13" s="931"/>
      <c r="I13" s="931"/>
      <c r="J13" s="931"/>
      <c r="K13" s="931"/>
      <c r="L13" s="931"/>
      <c r="M13" s="931"/>
      <c r="N13" s="931"/>
      <c r="O13" s="931"/>
      <c r="P13" s="931"/>
      <c r="Q13" s="931"/>
      <c r="R13" s="931"/>
      <c r="S13" s="931"/>
      <c r="T13" s="931"/>
      <c r="U13" s="931"/>
      <c r="V13" s="931"/>
      <c r="W13" s="932"/>
      <c r="X13" s="992"/>
    </row>
    <row r="14" spans="1:24" ht="13.5" thickBot="1">
      <c r="A14" s="885"/>
      <c r="B14" s="11" t="s">
        <v>53</v>
      </c>
      <c r="C14" s="12"/>
      <c r="D14" s="927" t="s">
        <v>79</v>
      </c>
      <c r="E14" s="928"/>
      <c r="F14" s="928"/>
      <c r="G14" s="929"/>
      <c r="H14" s="927" t="s">
        <v>80</v>
      </c>
      <c r="I14" s="928"/>
      <c r="J14" s="928"/>
      <c r="K14" s="929"/>
      <c r="L14" s="927" t="s">
        <v>81</v>
      </c>
      <c r="M14" s="928"/>
      <c r="N14" s="928"/>
      <c r="O14" s="929"/>
      <c r="P14" s="927" t="s">
        <v>254</v>
      </c>
      <c r="Q14" s="928"/>
      <c r="R14" s="928"/>
      <c r="S14" s="929"/>
      <c r="T14" s="927" t="s">
        <v>76</v>
      </c>
      <c r="U14" s="928"/>
      <c r="V14" s="928"/>
      <c r="W14" s="929"/>
      <c r="X14" s="992"/>
    </row>
    <row r="15" spans="1:24" ht="13.5" thickBot="1">
      <c r="A15" s="885"/>
      <c r="B15" s="868" t="s">
        <v>44</v>
      </c>
      <c r="C15" s="9" t="s">
        <v>2</v>
      </c>
      <c r="D15" s="930" t="s">
        <v>83</v>
      </c>
      <c r="E15" s="931"/>
      <c r="F15" s="931"/>
      <c r="G15" s="931"/>
      <c r="H15" s="931"/>
      <c r="I15" s="931"/>
      <c r="J15" s="931"/>
      <c r="K15" s="931"/>
      <c r="L15" s="931"/>
      <c r="M15" s="931"/>
      <c r="N15" s="931"/>
      <c r="O15" s="931"/>
      <c r="P15" s="931"/>
      <c r="Q15" s="931"/>
      <c r="R15" s="931"/>
      <c r="S15" s="931"/>
      <c r="T15" s="931"/>
      <c r="U15" s="931"/>
      <c r="V15" s="931"/>
      <c r="W15" s="932"/>
      <c r="X15" s="992"/>
    </row>
    <row r="16" spans="1:24" ht="13.5" thickBot="1">
      <c r="A16" s="885"/>
      <c r="B16" s="885"/>
      <c r="C16" s="10" t="s">
        <v>3</v>
      </c>
      <c r="D16" s="986"/>
      <c r="E16" s="987"/>
      <c r="F16" s="987"/>
      <c r="G16" s="987"/>
      <c r="H16" s="987"/>
      <c r="I16" s="987"/>
      <c r="J16" s="987"/>
      <c r="K16" s="987"/>
      <c r="L16" s="987"/>
      <c r="M16" s="987"/>
      <c r="N16" s="987"/>
      <c r="O16" s="987"/>
      <c r="P16" s="987"/>
      <c r="Q16" s="987"/>
      <c r="R16" s="987"/>
      <c r="S16" s="987"/>
      <c r="T16" s="987"/>
      <c r="U16" s="987"/>
      <c r="V16" s="987"/>
      <c r="W16" s="988"/>
      <c r="X16" s="992"/>
    </row>
    <row r="17" spans="1:24" ht="13.5" thickBot="1">
      <c r="A17" s="885"/>
      <c r="B17" s="885"/>
      <c r="C17" s="998" t="s">
        <v>413</v>
      </c>
      <c r="D17" s="989" t="s">
        <v>4</v>
      </c>
      <c r="E17" s="990"/>
      <c r="F17" s="990"/>
      <c r="G17" s="990"/>
      <c r="H17" s="990"/>
      <c r="I17" s="990"/>
      <c r="J17" s="990"/>
      <c r="K17" s="990"/>
      <c r="L17" s="990"/>
      <c r="M17" s="990"/>
      <c r="N17" s="990"/>
      <c r="O17" s="990"/>
      <c r="P17" s="990"/>
      <c r="Q17" s="990"/>
      <c r="R17" s="990"/>
      <c r="S17" s="990"/>
      <c r="T17" s="990"/>
      <c r="U17" s="990"/>
      <c r="V17" s="990"/>
      <c r="W17" s="990"/>
      <c r="X17" s="992"/>
    </row>
    <row r="18" spans="1:24" ht="13.5" thickBot="1">
      <c r="A18" s="869"/>
      <c r="B18" s="869"/>
      <c r="C18" s="999"/>
      <c r="D18" s="930" t="s">
        <v>84</v>
      </c>
      <c r="E18" s="931"/>
      <c r="F18" s="931"/>
      <c r="G18" s="931"/>
      <c r="H18" s="931"/>
      <c r="I18" s="931"/>
      <c r="J18" s="931"/>
      <c r="K18" s="931"/>
      <c r="L18" s="931"/>
      <c r="M18" s="931"/>
      <c r="N18" s="931"/>
      <c r="O18" s="931"/>
      <c r="P18" s="931"/>
      <c r="Q18" s="931"/>
      <c r="R18" s="931"/>
      <c r="S18" s="931"/>
      <c r="T18" s="931"/>
      <c r="U18" s="931"/>
      <c r="V18" s="931"/>
      <c r="W18" s="932"/>
      <c r="X18" s="993"/>
    </row>
    <row r="19" spans="1:24">
      <c r="A19" s="5"/>
      <c r="B19" s="5"/>
      <c r="C19" s="14"/>
      <c r="D19" s="5"/>
      <c r="E19" s="5"/>
      <c r="F19" s="5"/>
      <c r="G19" s="5"/>
      <c r="H19" s="5"/>
      <c r="I19" s="5"/>
      <c r="J19" s="5"/>
      <c r="K19" s="5"/>
      <c r="L19" s="5"/>
      <c r="M19" s="5"/>
      <c r="N19" s="5"/>
      <c r="O19" s="5"/>
      <c r="P19" s="5"/>
      <c r="Q19" s="5"/>
      <c r="R19" s="5"/>
      <c r="S19" s="5"/>
      <c r="T19" s="5"/>
      <c r="U19" s="5"/>
      <c r="V19" s="5"/>
      <c r="W19" s="5"/>
      <c r="X19" s="5"/>
    </row>
    <row r="20" spans="1:24" ht="13.5" thickBot="1">
      <c r="A20" s="5"/>
      <c r="B20" s="5"/>
      <c r="C20" s="6"/>
      <c r="D20" s="5"/>
      <c r="E20" s="5"/>
      <c r="F20" s="5"/>
      <c r="G20" s="5"/>
      <c r="H20" s="5"/>
      <c r="I20" s="5"/>
      <c r="J20" s="5"/>
      <c r="K20" s="5"/>
      <c r="L20" s="5"/>
      <c r="M20" s="5"/>
      <c r="N20" s="5"/>
      <c r="O20" s="5"/>
      <c r="P20" s="5"/>
      <c r="Q20" s="5"/>
      <c r="R20" s="5"/>
      <c r="S20" s="5"/>
      <c r="T20" s="5"/>
      <c r="U20" s="5"/>
      <c r="V20" s="5"/>
      <c r="W20" s="5"/>
      <c r="X20" s="5"/>
    </row>
    <row r="21" spans="1:24" ht="13.5" thickBot="1">
      <c r="A21" s="15" t="s">
        <v>1</v>
      </c>
      <c r="B21" s="522" t="s">
        <v>24</v>
      </c>
      <c r="C21" s="8"/>
      <c r="D21" s="927" t="s">
        <v>78</v>
      </c>
      <c r="E21" s="928"/>
      <c r="F21" s="928"/>
      <c r="G21" s="929"/>
      <c r="H21" s="927" t="s">
        <v>77</v>
      </c>
      <c r="I21" s="928"/>
      <c r="J21" s="928"/>
      <c r="K21" s="929"/>
      <c r="L21" s="927" t="s">
        <v>81</v>
      </c>
      <c r="M21" s="928"/>
      <c r="N21" s="928"/>
      <c r="O21" s="929"/>
      <c r="P21" s="927" t="s">
        <v>254</v>
      </c>
      <c r="Q21" s="928"/>
      <c r="R21" s="928"/>
      <c r="S21" s="929"/>
      <c r="T21" s="927" t="s">
        <v>76</v>
      </c>
      <c r="U21" s="928"/>
      <c r="V21" s="928"/>
      <c r="W21" s="929"/>
      <c r="X21" s="16" t="s">
        <v>6</v>
      </c>
    </row>
    <row r="22" spans="1:24" ht="13.5" thickBot="1">
      <c r="A22" s="868" t="s">
        <v>47</v>
      </c>
      <c r="B22" s="868" t="s">
        <v>48</v>
      </c>
      <c r="C22" s="9" t="s">
        <v>235</v>
      </c>
      <c r="D22" s="1014">
        <v>2.1</v>
      </c>
      <c r="E22" s="1015"/>
      <c r="F22" s="1015"/>
      <c r="G22" s="1016"/>
      <c r="H22" s="1014">
        <v>2.1</v>
      </c>
      <c r="I22" s="1015"/>
      <c r="J22" s="1015"/>
      <c r="K22" s="1016"/>
      <c r="L22" s="1014">
        <v>2.7</v>
      </c>
      <c r="M22" s="1015"/>
      <c r="N22" s="1015"/>
      <c r="O22" s="1016"/>
      <c r="P22" s="1014">
        <v>3.1</v>
      </c>
      <c r="Q22" s="1015"/>
      <c r="R22" s="1015"/>
      <c r="S22" s="1016"/>
      <c r="T22" s="1014">
        <v>3.1</v>
      </c>
      <c r="U22" s="1015"/>
      <c r="V22" s="1015"/>
      <c r="W22" s="1016"/>
      <c r="X22" s="873" t="s">
        <v>96</v>
      </c>
    </row>
    <row r="23" spans="1:24" ht="13.5" thickBot="1">
      <c r="A23" s="885"/>
      <c r="B23" s="885"/>
      <c r="C23" s="9" t="s">
        <v>233</v>
      </c>
      <c r="D23" s="1048" t="s">
        <v>414</v>
      </c>
      <c r="E23" s="1049"/>
      <c r="F23" s="1049"/>
      <c r="G23" s="1050"/>
      <c r="H23" s="1014">
        <v>2.2999999999999998</v>
      </c>
      <c r="I23" s="1015"/>
      <c r="J23" s="1015"/>
      <c r="K23" s="1016"/>
      <c r="L23" s="1014">
        <v>2.2999999999999998</v>
      </c>
      <c r="M23" s="1015"/>
      <c r="N23" s="1015"/>
      <c r="O23" s="1016"/>
      <c r="P23" s="1014">
        <v>2.5</v>
      </c>
      <c r="Q23" s="1015"/>
      <c r="R23" s="1015"/>
      <c r="S23" s="1016"/>
      <c r="T23" s="1014">
        <v>2.7</v>
      </c>
      <c r="U23" s="1015"/>
      <c r="V23" s="1015"/>
      <c r="W23" s="1016"/>
      <c r="X23" s="874"/>
    </row>
    <row r="24" spans="1:24" ht="12.95" customHeight="1" thickBot="1">
      <c r="A24" s="885"/>
      <c r="B24" s="885"/>
      <c r="C24" s="9" t="s">
        <v>234</v>
      </c>
      <c r="D24" s="957"/>
      <c r="E24" s="958"/>
      <c r="F24" s="958"/>
      <c r="G24" s="959"/>
      <c r="H24" s="957"/>
      <c r="I24" s="958"/>
      <c r="J24" s="958"/>
      <c r="K24" s="959"/>
      <c r="L24" s="1057" t="s">
        <v>909</v>
      </c>
      <c r="M24" s="1058"/>
      <c r="N24" s="1058"/>
      <c r="O24" s="1059"/>
      <c r="P24" s="1094">
        <f>'State Agg LFx3 (2015)'!P24</f>
        <v>2.6</v>
      </c>
      <c r="Q24" s="1095"/>
      <c r="R24" s="1095"/>
      <c r="S24" s="1096"/>
      <c r="T24" s="1094">
        <f>'State Agg LFx3 (2015)'!T24</f>
        <v>2.85</v>
      </c>
      <c r="U24" s="1095"/>
      <c r="V24" s="1095"/>
      <c r="W24" s="1096"/>
      <c r="X24" s="874"/>
    </row>
    <row r="25" spans="1:24" ht="13.5" thickBot="1">
      <c r="A25" s="885"/>
      <c r="B25" s="885"/>
      <c r="C25" s="102" t="s">
        <v>236</v>
      </c>
      <c r="D25" s="1045" t="s">
        <v>415</v>
      </c>
      <c r="E25" s="1046"/>
      <c r="F25" s="1046"/>
      <c r="G25" s="1047"/>
      <c r="H25" s="1020">
        <v>2.66</v>
      </c>
      <c r="I25" s="1021"/>
      <c r="J25" s="1021"/>
      <c r="K25" s="1022"/>
      <c r="L25" s="1020">
        <v>2.8</v>
      </c>
      <c r="M25" s="1021"/>
      <c r="N25" s="1021"/>
      <c r="O25" s="1022"/>
      <c r="P25" s="1020">
        <v>3.1800000000000006</v>
      </c>
      <c r="Q25" s="1021"/>
      <c r="R25" s="1021"/>
      <c r="S25" s="1022"/>
      <c r="T25" s="1020">
        <f>'State Agg LFx3 (2015)'!T25</f>
        <v>0</v>
      </c>
      <c r="U25" s="1021"/>
      <c r="V25" s="1021"/>
      <c r="W25" s="1022"/>
      <c r="X25" s="874"/>
    </row>
    <row r="26" spans="1:24" ht="13.5" thickBot="1">
      <c r="A26" s="885"/>
      <c r="B26" s="885"/>
      <c r="C26" s="102" t="s">
        <v>283</v>
      </c>
      <c r="D26" s="1017"/>
      <c r="E26" s="1018"/>
      <c r="F26" s="1018"/>
      <c r="G26" s="1019"/>
      <c r="H26" s="1017"/>
      <c r="I26" s="1018"/>
      <c r="J26" s="1018"/>
      <c r="K26" s="1019"/>
      <c r="L26" s="1020">
        <v>2.2999999999999998</v>
      </c>
      <c r="M26" s="1021"/>
      <c r="N26" s="1021"/>
      <c r="O26" s="1022"/>
      <c r="P26" s="1020" t="s">
        <v>776</v>
      </c>
      <c r="Q26" s="1021"/>
      <c r="R26" s="1021"/>
      <c r="S26" s="1022"/>
      <c r="T26" s="1020">
        <f>'State Agg LFx3 (2015)'!T26</f>
        <v>0</v>
      </c>
      <c r="U26" s="1021"/>
      <c r="V26" s="1021"/>
      <c r="W26" s="1022"/>
      <c r="X26" s="874"/>
    </row>
    <row r="27" spans="1:24" ht="13.5" thickBot="1">
      <c r="A27" s="885"/>
      <c r="B27" s="885"/>
      <c r="C27" s="102" t="s">
        <v>284</v>
      </c>
      <c r="D27" s="1017"/>
      <c r="E27" s="1018"/>
      <c r="F27" s="1018"/>
      <c r="G27" s="1019"/>
      <c r="H27" s="1017"/>
      <c r="I27" s="1018"/>
      <c r="J27" s="1018"/>
      <c r="K27" s="1019"/>
      <c r="L27" s="1017"/>
      <c r="M27" s="1018"/>
      <c r="N27" s="1018"/>
      <c r="O27" s="1019"/>
      <c r="P27" s="1017"/>
      <c r="Q27" s="1018"/>
      <c r="R27" s="1018"/>
      <c r="S27" s="1019"/>
      <c r="T27" s="1020">
        <f>'State Agg LFx3 (2015)'!T27</f>
        <v>0</v>
      </c>
      <c r="U27" s="1021"/>
      <c r="V27" s="1021"/>
      <c r="W27" s="1022"/>
      <c r="X27" s="874"/>
    </row>
    <row r="28" spans="1:24" ht="13.5" thickBot="1">
      <c r="A28" s="885"/>
      <c r="B28" s="885"/>
      <c r="C28" s="998" t="s">
        <v>413</v>
      </c>
      <c r="D28" s="927" t="s">
        <v>4</v>
      </c>
      <c r="E28" s="928"/>
      <c r="F28" s="928"/>
      <c r="G28" s="928"/>
      <c r="H28" s="928"/>
      <c r="I28" s="928"/>
      <c r="J28" s="928"/>
      <c r="K28" s="928"/>
      <c r="L28" s="928"/>
      <c r="M28" s="928"/>
      <c r="N28" s="928"/>
      <c r="O28" s="928"/>
      <c r="P28" s="928"/>
      <c r="Q28" s="928"/>
      <c r="R28" s="928"/>
      <c r="S28" s="928"/>
      <c r="T28" s="928"/>
      <c r="U28" s="928"/>
      <c r="V28" s="928"/>
      <c r="W28" s="928"/>
      <c r="X28" s="874"/>
    </row>
    <row r="29" spans="1:24" ht="13.5" thickBot="1">
      <c r="A29" s="885"/>
      <c r="B29" s="869"/>
      <c r="C29" s="999"/>
      <c r="D29" s="930" t="s">
        <v>115</v>
      </c>
      <c r="E29" s="931"/>
      <c r="F29" s="931"/>
      <c r="G29" s="931"/>
      <c r="H29" s="931"/>
      <c r="I29" s="931"/>
      <c r="J29" s="931"/>
      <c r="K29" s="931"/>
      <c r="L29" s="931"/>
      <c r="M29" s="931"/>
      <c r="N29" s="931"/>
      <c r="O29" s="931"/>
      <c r="P29" s="931"/>
      <c r="Q29" s="931"/>
      <c r="R29" s="931"/>
      <c r="S29" s="931"/>
      <c r="T29" s="931"/>
      <c r="U29" s="931"/>
      <c r="V29" s="931"/>
      <c r="W29" s="932"/>
      <c r="X29" s="874"/>
    </row>
    <row r="30" spans="1:24" ht="13.5" thickBot="1">
      <c r="A30" s="885"/>
      <c r="B30" s="11" t="s">
        <v>25</v>
      </c>
      <c r="C30" s="12"/>
      <c r="D30" s="927" t="s">
        <v>78</v>
      </c>
      <c r="E30" s="928"/>
      <c r="F30" s="928"/>
      <c r="G30" s="929"/>
      <c r="H30" s="927" t="s">
        <v>77</v>
      </c>
      <c r="I30" s="928"/>
      <c r="J30" s="928"/>
      <c r="K30" s="929"/>
      <c r="L30" s="927" t="s">
        <v>81</v>
      </c>
      <c r="M30" s="928"/>
      <c r="N30" s="928"/>
      <c r="O30" s="929"/>
      <c r="P30" s="927" t="s">
        <v>254</v>
      </c>
      <c r="Q30" s="928"/>
      <c r="R30" s="928"/>
      <c r="S30" s="929"/>
      <c r="T30" s="927" t="s">
        <v>76</v>
      </c>
      <c r="U30" s="928"/>
      <c r="V30" s="928"/>
      <c r="W30" s="929"/>
      <c r="X30" s="874"/>
    </row>
    <row r="31" spans="1:24" ht="13.5" thickBot="1">
      <c r="A31" s="885"/>
      <c r="B31" s="868" t="s">
        <v>49</v>
      </c>
      <c r="C31" s="9" t="s">
        <v>235</v>
      </c>
      <c r="D31" s="1014">
        <v>1</v>
      </c>
      <c r="E31" s="1015"/>
      <c r="F31" s="1015"/>
      <c r="G31" s="1016"/>
      <c r="H31" s="1014">
        <v>1</v>
      </c>
      <c r="I31" s="1015"/>
      <c r="J31" s="1015"/>
      <c r="K31" s="1016"/>
      <c r="L31" s="1014">
        <v>1.45</v>
      </c>
      <c r="M31" s="1015"/>
      <c r="N31" s="1015"/>
      <c r="O31" s="1016"/>
      <c r="P31" s="1014">
        <v>1.8</v>
      </c>
      <c r="Q31" s="1015"/>
      <c r="R31" s="1015"/>
      <c r="S31" s="1016"/>
      <c r="T31" s="1014">
        <v>2.25</v>
      </c>
      <c r="U31" s="1015"/>
      <c r="V31" s="1015"/>
      <c r="W31" s="1016"/>
      <c r="X31" s="874"/>
    </row>
    <row r="32" spans="1:24" ht="13.5" thickBot="1">
      <c r="A32" s="885"/>
      <c r="B32" s="885"/>
      <c r="C32" s="9" t="s">
        <v>233</v>
      </c>
      <c r="D32" s="1048" t="s">
        <v>414</v>
      </c>
      <c r="E32" s="1049"/>
      <c r="F32" s="1049"/>
      <c r="G32" s="1050"/>
      <c r="H32" s="1014">
        <v>1</v>
      </c>
      <c r="I32" s="1015"/>
      <c r="J32" s="1015"/>
      <c r="K32" s="1016"/>
      <c r="L32" s="1014">
        <v>1</v>
      </c>
      <c r="M32" s="1015"/>
      <c r="N32" s="1015"/>
      <c r="O32" s="1016"/>
      <c r="P32" s="1014">
        <v>1.2</v>
      </c>
      <c r="Q32" s="1015"/>
      <c r="R32" s="1015"/>
      <c r="S32" s="1016"/>
      <c r="T32" s="1014">
        <v>1.4</v>
      </c>
      <c r="U32" s="1015"/>
      <c r="V32" s="1015"/>
      <c r="W32" s="1016"/>
      <c r="X32" s="874"/>
    </row>
    <row r="33" spans="1:24" ht="12.95" customHeight="1" thickBot="1">
      <c r="A33" s="885"/>
      <c r="B33" s="885"/>
      <c r="C33" s="9" t="s">
        <v>234</v>
      </c>
      <c r="D33" s="957"/>
      <c r="E33" s="958"/>
      <c r="F33" s="958"/>
      <c r="G33" s="959"/>
      <c r="H33" s="957"/>
      <c r="I33" s="958"/>
      <c r="J33" s="958"/>
      <c r="K33" s="959"/>
      <c r="L33" s="1057" t="s">
        <v>909</v>
      </c>
      <c r="M33" s="1058"/>
      <c r="N33" s="1058"/>
      <c r="O33" s="1059"/>
      <c r="P33" s="1094">
        <f>'State Agg LFx3 (2015)'!P33</f>
        <v>0.6</v>
      </c>
      <c r="Q33" s="1095"/>
      <c r="R33" s="1095"/>
      <c r="S33" s="1096"/>
      <c r="T33" s="1094">
        <f>'State Agg LFx3 (2015)'!T33</f>
        <v>1.9</v>
      </c>
      <c r="U33" s="1095"/>
      <c r="V33" s="1095"/>
      <c r="W33" s="1096"/>
      <c r="X33" s="874"/>
    </row>
    <row r="34" spans="1:24" ht="13.5" thickBot="1">
      <c r="A34" s="885"/>
      <c r="B34" s="885"/>
      <c r="C34" s="102" t="s">
        <v>236</v>
      </c>
      <c r="D34" s="1008" t="s">
        <v>416</v>
      </c>
      <c r="E34" s="1009"/>
      <c r="F34" s="1009"/>
      <c r="G34" s="1010"/>
      <c r="H34" s="1020">
        <v>1.6</v>
      </c>
      <c r="I34" s="1021"/>
      <c r="J34" s="1021"/>
      <c r="K34" s="1022"/>
      <c r="L34" s="1020">
        <v>2.2000000000000002</v>
      </c>
      <c r="M34" s="1021"/>
      <c r="N34" s="1021"/>
      <c r="O34" s="1022"/>
      <c r="P34" s="1020">
        <v>2.6</v>
      </c>
      <c r="Q34" s="1021"/>
      <c r="R34" s="1021"/>
      <c r="S34" s="1022"/>
      <c r="T34" s="1020">
        <f>'State Agg LFx3 (2015)'!T34</f>
        <v>0</v>
      </c>
      <c r="U34" s="1021"/>
      <c r="V34" s="1021"/>
      <c r="W34" s="1022"/>
      <c r="X34" s="874"/>
    </row>
    <row r="35" spans="1:24" ht="13.5" thickBot="1">
      <c r="A35" s="885"/>
      <c r="B35" s="885"/>
      <c r="C35" s="102" t="s">
        <v>283</v>
      </c>
      <c r="D35" s="1017"/>
      <c r="E35" s="1018"/>
      <c r="F35" s="1018"/>
      <c r="G35" s="1019"/>
      <c r="H35" s="1017"/>
      <c r="I35" s="1018"/>
      <c r="J35" s="1018"/>
      <c r="K35" s="1019"/>
      <c r="L35" s="1020">
        <v>1</v>
      </c>
      <c r="M35" s="1021"/>
      <c r="N35" s="1021"/>
      <c r="O35" s="1022"/>
      <c r="P35" s="1020">
        <v>1.8333333333333333</v>
      </c>
      <c r="Q35" s="1021"/>
      <c r="R35" s="1021"/>
      <c r="S35" s="1022"/>
      <c r="T35" s="1020">
        <f>'State Agg LFx3 (2015)'!T35</f>
        <v>0</v>
      </c>
      <c r="U35" s="1021"/>
      <c r="V35" s="1021"/>
      <c r="W35" s="1022"/>
      <c r="X35" s="874"/>
    </row>
    <row r="36" spans="1:24" ht="13.5" thickBot="1">
      <c r="A36" s="885"/>
      <c r="B36" s="885"/>
      <c r="C36" s="102" t="s">
        <v>284</v>
      </c>
      <c r="D36" s="1017"/>
      <c r="E36" s="1018"/>
      <c r="F36" s="1018"/>
      <c r="G36" s="1019"/>
      <c r="H36" s="1017"/>
      <c r="I36" s="1018"/>
      <c r="J36" s="1018"/>
      <c r="K36" s="1019"/>
      <c r="L36" s="1017"/>
      <c r="M36" s="1018"/>
      <c r="N36" s="1018"/>
      <c r="O36" s="1019"/>
      <c r="P36" s="1017"/>
      <c r="Q36" s="1018"/>
      <c r="R36" s="1018"/>
      <c r="S36" s="1019"/>
      <c r="T36" s="1020">
        <f>'State Agg LFx3 (2015)'!T36</f>
        <v>0</v>
      </c>
      <c r="U36" s="1021"/>
      <c r="V36" s="1021"/>
      <c r="W36" s="1022"/>
      <c r="X36" s="874"/>
    </row>
    <row r="37" spans="1:24" ht="13.5" thickBot="1">
      <c r="A37" s="885"/>
      <c r="B37" s="885"/>
      <c r="C37" s="998" t="s">
        <v>413</v>
      </c>
      <c r="D37" s="927" t="s">
        <v>4</v>
      </c>
      <c r="E37" s="928"/>
      <c r="F37" s="928"/>
      <c r="G37" s="928"/>
      <c r="H37" s="928"/>
      <c r="I37" s="928"/>
      <c r="J37" s="928"/>
      <c r="K37" s="928"/>
      <c r="L37" s="928"/>
      <c r="M37" s="928"/>
      <c r="N37" s="928"/>
      <c r="O37" s="928"/>
      <c r="P37" s="928"/>
      <c r="Q37" s="928"/>
      <c r="R37" s="928"/>
      <c r="S37" s="928"/>
      <c r="T37" s="928"/>
      <c r="U37" s="928"/>
      <c r="V37" s="928"/>
      <c r="W37" s="928"/>
      <c r="X37" s="874"/>
    </row>
    <row r="38" spans="1:24" ht="13.5" thickBot="1">
      <c r="A38" s="885"/>
      <c r="B38" s="869"/>
      <c r="C38" s="999"/>
      <c r="D38" s="930" t="s">
        <v>116</v>
      </c>
      <c r="E38" s="931"/>
      <c r="F38" s="931"/>
      <c r="G38" s="931"/>
      <c r="H38" s="931"/>
      <c r="I38" s="931"/>
      <c r="J38" s="931"/>
      <c r="K38" s="931"/>
      <c r="L38" s="931"/>
      <c r="M38" s="931"/>
      <c r="N38" s="931"/>
      <c r="O38" s="931"/>
      <c r="P38" s="931"/>
      <c r="Q38" s="931"/>
      <c r="R38" s="931"/>
      <c r="S38" s="931"/>
      <c r="T38" s="931"/>
      <c r="U38" s="931"/>
      <c r="V38" s="931"/>
      <c r="W38" s="932"/>
      <c r="X38" s="874"/>
    </row>
    <row r="39" spans="1:24" ht="13.5" thickBot="1">
      <c r="A39" s="885"/>
      <c r="B39" s="11" t="s">
        <v>37</v>
      </c>
      <c r="C39" s="12"/>
      <c r="D39" s="927" t="s">
        <v>78</v>
      </c>
      <c r="E39" s="928"/>
      <c r="F39" s="928"/>
      <c r="G39" s="929"/>
      <c r="H39" s="927" t="s">
        <v>77</v>
      </c>
      <c r="I39" s="928"/>
      <c r="J39" s="928"/>
      <c r="K39" s="929"/>
      <c r="L39" s="927" t="s">
        <v>81</v>
      </c>
      <c r="M39" s="928"/>
      <c r="N39" s="928"/>
      <c r="O39" s="929"/>
      <c r="P39" s="927" t="s">
        <v>254</v>
      </c>
      <c r="Q39" s="928"/>
      <c r="R39" s="928"/>
      <c r="S39" s="929"/>
      <c r="T39" s="927" t="s">
        <v>76</v>
      </c>
      <c r="U39" s="928"/>
      <c r="V39" s="928"/>
      <c r="W39" s="929"/>
      <c r="X39" s="874"/>
    </row>
    <row r="40" spans="1:24" ht="33" customHeight="1" thickBot="1">
      <c r="A40" s="971"/>
      <c r="B40" s="868" t="s">
        <v>148</v>
      </c>
      <c r="C40" s="91"/>
      <c r="D40" s="17" t="s">
        <v>106</v>
      </c>
      <c r="E40" s="17" t="s">
        <v>107</v>
      </c>
      <c r="F40" s="17" t="s">
        <v>108</v>
      </c>
      <c r="G40" s="17" t="s">
        <v>109</v>
      </c>
      <c r="H40" s="17" t="s">
        <v>106</v>
      </c>
      <c r="I40" s="17" t="s">
        <v>107</v>
      </c>
      <c r="J40" s="17" t="s">
        <v>108</v>
      </c>
      <c r="K40" s="17" t="s">
        <v>109</v>
      </c>
      <c r="L40" s="17" t="s">
        <v>106</v>
      </c>
      <c r="M40" s="17" t="s">
        <v>107</v>
      </c>
      <c r="N40" s="17" t="s">
        <v>108</v>
      </c>
      <c r="O40" s="17" t="s">
        <v>109</v>
      </c>
      <c r="P40" s="17" t="s">
        <v>106</v>
      </c>
      <c r="Q40" s="17" t="s">
        <v>107</v>
      </c>
      <c r="R40" s="17" t="s">
        <v>108</v>
      </c>
      <c r="S40" s="17" t="s">
        <v>109</v>
      </c>
      <c r="T40" s="17" t="s">
        <v>106</v>
      </c>
      <c r="U40" s="17" t="s">
        <v>107</v>
      </c>
      <c r="V40" s="17" t="s">
        <v>108</v>
      </c>
      <c r="W40" s="17" t="s">
        <v>109</v>
      </c>
      <c r="X40" s="874"/>
    </row>
    <row r="41" spans="1:24" ht="13.5" thickBot="1">
      <c r="A41" s="971"/>
      <c r="B41" s="885"/>
      <c r="C41" s="91" t="s">
        <v>235</v>
      </c>
      <c r="D41" s="113">
        <v>2.6</v>
      </c>
      <c r="E41" s="113">
        <v>3</v>
      </c>
      <c r="F41" s="113">
        <v>0.2</v>
      </c>
      <c r="G41" s="113">
        <v>6</v>
      </c>
      <c r="H41" s="113">
        <v>6.6</v>
      </c>
      <c r="I41" s="113">
        <v>8</v>
      </c>
      <c r="J41" s="113">
        <v>0.6</v>
      </c>
      <c r="K41" s="113">
        <v>10.199999999999999</v>
      </c>
      <c r="L41" s="113">
        <v>6</v>
      </c>
      <c r="M41" s="113">
        <v>9.1999999999999993</v>
      </c>
      <c r="N41" s="113">
        <v>2.6</v>
      </c>
      <c r="O41" s="113">
        <v>12.2</v>
      </c>
      <c r="P41" s="113">
        <v>8.1999999999999993</v>
      </c>
      <c r="Q41" s="113">
        <v>11</v>
      </c>
      <c r="R41" s="113">
        <v>3.8</v>
      </c>
      <c r="S41" s="238">
        <v>12.6</v>
      </c>
      <c r="T41" s="150">
        <v>11</v>
      </c>
      <c r="U41" s="150">
        <v>13</v>
      </c>
      <c r="V41" s="113">
        <v>7</v>
      </c>
      <c r="W41" s="113">
        <v>14.9</v>
      </c>
      <c r="X41" s="874"/>
    </row>
    <row r="42" spans="1:24" ht="13.5" thickBot="1">
      <c r="A42" s="971"/>
      <c r="B42" s="516" t="s">
        <v>145</v>
      </c>
      <c r="C42" s="91" t="s">
        <v>233</v>
      </c>
      <c r="D42" s="1051" t="s">
        <v>414</v>
      </c>
      <c r="E42" s="1052"/>
      <c r="F42" s="1052"/>
      <c r="G42" s="1053"/>
      <c r="H42" s="113">
        <v>0</v>
      </c>
      <c r="I42" s="113">
        <v>0</v>
      </c>
      <c r="J42" s="113">
        <v>0</v>
      </c>
      <c r="K42" s="113">
        <v>14</v>
      </c>
      <c r="L42" s="113">
        <v>0</v>
      </c>
      <c r="M42" s="113">
        <v>1</v>
      </c>
      <c r="N42" s="113">
        <v>0</v>
      </c>
      <c r="O42" s="113">
        <v>14</v>
      </c>
      <c r="P42" s="113">
        <v>2.2999999999999998</v>
      </c>
      <c r="Q42" s="113">
        <v>2.2999999999999998</v>
      </c>
      <c r="R42" s="113">
        <v>2</v>
      </c>
      <c r="S42" s="150">
        <v>14</v>
      </c>
      <c r="T42" s="150">
        <v>5</v>
      </c>
      <c r="U42" s="150">
        <v>5</v>
      </c>
      <c r="V42" s="113">
        <v>3.3</v>
      </c>
      <c r="W42" s="113">
        <v>14.7</v>
      </c>
      <c r="X42" s="874"/>
    </row>
    <row r="43" spans="1:24" ht="12.95" customHeight="1" thickBot="1">
      <c r="A43" s="971"/>
      <c r="B43" s="516" t="s">
        <v>147</v>
      </c>
      <c r="C43" s="91" t="s">
        <v>234</v>
      </c>
      <c r="D43" s="945"/>
      <c r="E43" s="946"/>
      <c r="F43" s="946"/>
      <c r="G43" s="947"/>
      <c r="H43" s="957"/>
      <c r="I43" s="958"/>
      <c r="J43" s="958"/>
      <c r="K43" s="959"/>
      <c r="L43" s="1057" t="s">
        <v>910</v>
      </c>
      <c r="M43" s="1058"/>
      <c r="N43" s="1058"/>
      <c r="O43" s="1059"/>
      <c r="P43" s="238">
        <f>'State Agg LFx3 (2015)'!P43</f>
        <v>13.5</v>
      </c>
      <c r="Q43" s="238">
        <f>'State Agg LFx3 (2015)'!Q43</f>
        <v>13.5</v>
      </c>
      <c r="R43" s="238">
        <f>'State Agg LFx3 (2015)'!R43</f>
        <v>12</v>
      </c>
      <c r="S43" s="238">
        <f>'State Agg LFx3 (2015)'!S43</f>
        <v>13.5</v>
      </c>
      <c r="T43" s="238">
        <f>'State Agg LFx3 (2015)'!T43</f>
        <v>13.5</v>
      </c>
      <c r="U43" s="238">
        <f>'State Agg LFx3 (2015)'!U43</f>
        <v>13.5</v>
      </c>
      <c r="V43" s="238">
        <f>'State Agg LFx3 (2015)'!V43</f>
        <v>12.5</v>
      </c>
      <c r="W43" s="238">
        <f>'State Agg LFx3 (2015)'!W43</f>
        <v>13.5</v>
      </c>
      <c r="X43" s="874"/>
    </row>
    <row r="44" spans="1:24" ht="13.5" thickBot="1">
      <c r="A44" s="971"/>
      <c r="B44" s="516" t="s">
        <v>146</v>
      </c>
      <c r="C44" s="103" t="s">
        <v>236</v>
      </c>
      <c r="D44" s="1042" t="s">
        <v>416</v>
      </c>
      <c r="E44" s="1043"/>
      <c r="F44" s="1043"/>
      <c r="G44" s="1044"/>
      <c r="H44" s="117">
        <v>8.1999999999999993</v>
      </c>
      <c r="I44" s="117">
        <v>8</v>
      </c>
      <c r="J44" s="117">
        <v>3.8</v>
      </c>
      <c r="K44" s="117">
        <v>12</v>
      </c>
      <c r="L44" s="117">
        <v>6</v>
      </c>
      <c r="M44" s="117">
        <v>9</v>
      </c>
      <c r="N44" s="117">
        <v>2</v>
      </c>
      <c r="O44" s="117">
        <v>14</v>
      </c>
      <c r="P44" s="117">
        <v>7.4</v>
      </c>
      <c r="Q44" s="117">
        <v>10.4</v>
      </c>
      <c r="R44" s="117">
        <v>2.2000000000000002</v>
      </c>
      <c r="S44" s="117">
        <v>14.4</v>
      </c>
      <c r="T44" s="188">
        <f>'State Agg LFx3 (2015)'!T44</f>
        <v>0</v>
      </c>
      <c r="U44" s="188">
        <f>'State Agg LFx3 (2015)'!U44</f>
        <v>0</v>
      </c>
      <c r="V44" s="188">
        <f>'State Agg LFx3 (2015)'!V44</f>
        <v>0</v>
      </c>
      <c r="W44" s="188">
        <f>'State Agg LFx3 (2015)'!W44</f>
        <v>0</v>
      </c>
      <c r="X44" s="874"/>
    </row>
    <row r="45" spans="1:24" ht="13.5" thickBot="1">
      <c r="A45" s="971"/>
      <c r="B45" s="516"/>
      <c r="C45" s="102" t="s">
        <v>283</v>
      </c>
      <c r="D45" s="1054"/>
      <c r="E45" s="1055"/>
      <c r="F45" s="1055"/>
      <c r="G45" s="1056"/>
      <c r="H45" s="1054"/>
      <c r="I45" s="1055"/>
      <c r="J45" s="1055"/>
      <c r="K45" s="1056"/>
      <c r="L45" s="117">
        <v>0</v>
      </c>
      <c r="M45" s="117">
        <v>1</v>
      </c>
      <c r="N45" s="117">
        <v>0</v>
      </c>
      <c r="O45" s="117">
        <v>14</v>
      </c>
      <c r="P45" s="117">
        <v>2.6666666666666665</v>
      </c>
      <c r="Q45" s="117">
        <v>2.6666666666666665</v>
      </c>
      <c r="R45" s="117">
        <v>0.66666666666666663</v>
      </c>
      <c r="S45" s="117">
        <v>14.333333333333334</v>
      </c>
      <c r="T45" s="188">
        <f>'State Agg LFx3 (2015)'!T45</f>
        <v>0</v>
      </c>
      <c r="U45" s="188">
        <f>'State Agg LFx3 (2015)'!U45</f>
        <v>0</v>
      </c>
      <c r="V45" s="188">
        <f>'State Agg LFx3 (2015)'!V45</f>
        <v>0</v>
      </c>
      <c r="W45" s="188">
        <f>'State Agg LFx3 (2015)'!W45</f>
        <v>0</v>
      </c>
      <c r="X45" s="874"/>
    </row>
    <row r="46" spans="1:24" ht="13.5" thickBot="1">
      <c r="A46" s="971"/>
      <c r="B46" s="516"/>
      <c r="C46" s="102" t="s">
        <v>284</v>
      </c>
      <c r="D46" s="1054"/>
      <c r="E46" s="1055"/>
      <c r="F46" s="1055"/>
      <c r="G46" s="1056"/>
      <c r="H46" s="1054"/>
      <c r="I46" s="1055"/>
      <c r="J46" s="1055"/>
      <c r="K46" s="1056"/>
      <c r="L46" s="1054"/>
      <c r="M46" s="1055"/>
      <c r="N46" s="1055"/>
      <c r="O46" s="1056"/>
      <c r="P46" s="1017"/>
      <c r="Q46" s="1018"/>
      <c r="R46" s="1018"/>
      <c r="S46" s="1019"/>
      <c r="T46" s="188">
        <f>'State Agg LFx3 (2015)'!T46</f>
        <v>0</v>
      </c>
      <c r="U46" s="188">
        <f>'State Agg LFx3 (2015)'!U46</f>
        <v>0</v>
      </c>
      <c r="V46" s="188">
        <f>'State Agg LFx3 (2015)'!V46</f>
        <v>0</v>
      </c>
      <c r="W46" s="188">
        <f>'State Agg LFx3 (2015)'!W46</f>
        <v>0</v>
      </c>
      <c r="X46" s="874"/>
    </row>
    <row r="47" spans="1:24" ht="13.5" thickBot="1">
      <c r="A47" s="971"/>
      <c r="B47" s="980"/>
      <c r="C47" s="998" t="s">
        <v>413</v>
      </c>
      <c r="D47" s="927" t="s">
        <v>4</v>
      </c>
      <c r="E47" s="928"/>
      <c r="F47" s="928"/>
      <c r="G47" s="928"/>
      <c r="H47" s="928"/>
      <c r="I47" s="928"/>
      <c r="J47" s="928"/>
      <c r="K47" s="928"/>
      <c r="L47" s="928"/>
      <c r="M47" s="928"/>
      <c r="N47" s="928"/>
      <c r="O47" s="928"/>
      <c r="P47" s="928"/>
      <c r="Q47" s="928"/>
      <c r="R47" s="928"/>
      <c r="S47" s="928"/>
      <c r="T47" s="928"/>
      <c r="U47" s="928"/>
      <c r="V47" s="928"/>
      <c r="W47" s="928"/>
      <c r="X47" s="874"/>
    </row>
    <row r="48" spans="1:24" ht="13.5" thickBot="1">
      <c r="A48" s="982"/>
      <c r="B48" s="981"/>
      <c r="C48" s="999"/>
      <c r="D48" s="930" t="s">
        <v>117</v>
      </c>
      <c r="E48" s="931"/>
      <c r="F48" s="931"/>
      <c r="G48" s="931"/>
      <c r="H48" s="931"/>
      <c r="I48" s="931"/>
      <c r="J48" s="931"/>
      <c r="K48" s="931"/>
      <c r="L48" s="931"/>
      <c r="M48" s="931"/>
      <c r="N48" s="931"/>
      <c r="O48" s="931"/>
      <c r="P48" s="931"/>
      <c r="Q48" s="931"/>
      <c r="R48" s="931"/>
      <c r="S48" s="931"/>
      <c r="T48" s="931"/>
      <c r="U48" s="931"/>
      <c r="V48" s="931"/>
      <c r="W48" s="932"/>
      <c r="X48" s="875"/>
    </row>
    <row r="49" spans="1:24">
      <c r="A49" s="5"/>
      <c r="B49" s="5"/>
      <c r="C49" s="14"/>
      <c r="D49" s="5"/>
      <c r="E49" s="5"/>
      <c r="F49" s="5"/>
      <c r="G49" s="5"/>
      <c r="H49" s="5"/>
      <c r="I49" s="5"/>
      <c r="J49" s="5"/>
      <c r="K49" s="5"/>
      <c r="L49" s="5"/>
      <c r="M49" s="5"/>
      <c r="N49" s="5"/>
      <c r="O49" s="5"/>
      <c r="P49" s="5"/>
      <c r="Q49" s="5"/>
      <c r="R49" s="5"/>
      <c r="S49" s="5"/>
      <c r="T49" s="5"/>
      <c r="U49" s="5"/>
      <c r="V49" s="5"/>
      <c r="W49" s="5"/>
      <c r="X49" s="5"/>
    </row>
    <row r="50" spans="1:24" ht="13.5" thickBot="1">
      <c r="A50" s="5"/>
      <c r="B50" s="5"/>
      <c r="C50" s="6"/>
      <c r="D50" s="5"/>
      <c r="E50" s="5"/>
      <c r="F50" s="5"/>
      <c r="G50" s="5"/>
      <c r="H50" s="5"/>
      <c r="I50" s="5"/>
      <c r="J50" s="5"/>
      <c r="K50" s="5"/>
      <c r="L50" s="5"/>
      <c r="M50" s="5"/>
      <c r="N50" s="5"/>
      <c r="O50" s="5"/>
      <c r="P50" s="5"/>
      <c r="Q50" s="5"/>
      <c r="R50" s="5"/>
      <c r="S50" s="5"/>
      <c r="T50" s="5"/>
      <c r="U50" s="5"/>
      <c r="V50" s="5"/>
      <c r="W50" s="5"/>
      <c r="X50" s="5"/>
    </row>
    <row r="51" spans="1:24" ht="13.5" thickBot="1">
      <c r="A51" s="521" t="s">
        <v>5</v>
      </c>
      <c r="B51" s="522" t="s">
        <v>22</v>
      </c>
      <c r="C51" s="8"/>
      <c r="D51" s="927" t="s">
        <v>78</v>
      </c>
      <c r="E51" s="928"/>
      <c r="F51" s="928"/>
      <c r="G51" s="929"/>
      <c r="H51" s="927" t="s">
        <v>77</v>
      </c>
      <c r="I51" s="928"/>
      <c r="J51" s="928"/>
      <c r="K51" s="929"/>
      <c r="L51" s="927" t="s">
        <v>81</v>
      </c>
      <c r="M51" s="928"/>
      <c r="N51" s="928"/>
      <c r="O51" s="929"/>
      <c r="P51" s="927" t="s">
        <v>254</v>
      </c>
      <c r="Q51" s="928"/>
      <c r="R51" s="928"/>
      <c r="S51" s="929"/>
      <c r="T51" s="927" t="s">
        <v>76</v>
      </c>
      <c r="U51" s="928"/>
      <c r="V51" s="928"/>
      <c r="W51" s="929"/>
      <c r="X51" s="19" t="s">
        <v>6</v>
      </c>
    </row>
    <row r="52" spans="1:24" ht="13.5" thickBot="1">
      <c r="A52" s="868" t="s">
        <v>54</v>
      </c>
      <c r="B52" s="868" t="s">
        <v>55</v>
      </c>
      <c r="C52" s="9" t="s">
        <v>235</v>
      </c>
      <c r="D52" s="1014">
        <v>2.1</v>
      </c>
      <c r="E52" s="1015"/>
      <c r="F52" s="1015"/>
      <c r="G52" s="1016"/>
      <c r="H52" s="1014">
        <v>2.2999999999999998</v>
      </c>
      <c r="I52" s="1015"/>
      <c r="J52" s="1015"/>
      <c r="K52" s="1016"/>
      <c r="L52" s="1014">
        <v>2.9</v>
      </c>
      <c r="M52" s="1015"/>
      <c r="N52" s="1015"/>
      <c r="O52" s="1016"/>
      <c r="P52" s="1014">
        <v>3.2</v>
      </c>
      <c r="Q52" s="1015"/>
      <c r="R52" s="1015"/>
      <c r="S52" s="1016"/>
      <c r="T52" s="1014">
        <v>3.6</v>
      </c>
      <c r="U52" s="1015"/>
      <c r="V52" s="1015"/>
      <c r="W52" s="1016"/>
      <c r="X52" s="879" t="s">
        <v>95</v>
      </c>
    </row>
    <row r="53" spans="1:24" ht="13.5" thickBot="1">
      <c r="A53" s="885"/>
      <c r="B53" s="885"/>
      <c r="C53" s="9" t="s">
        <v>233</v>
      </c>
      <c r="D53" s="1048" t="s">
        <v>414</v>
      </c>
      <c r="E53" s="1049"/>
      <c r="F53" s="1049"/>
      <c r="G53" s="1050"/>
      <c r="H53" s="1014">
        <v>2.2000000000000002</v>
      </c>
      <c r="I53" s="1015"/>
      <c r="J53" s="1015"/>
      <c r="K53" s="1016"/>
      <c r="L53" s="1014">
        <v>2.2000000000000002</v>
      </c>
      <c r="M53" s="1015"/>
      <c r="N53" s="1015"/>
      <c r="O53" s="1016"/>
      <c r="P53" s="1014">
        <v>2.35</v>
      </c>
      <c r="Q53" s="1015"/>
      <c r="R53" s="1015"/>
      <c r="S53" s="1016"/>
      <c r="T53" s="1014">
        <v>2.75</v>
      </c>
      <c r="U53" s="1015"/>
      <c r="V53" s="1015"/>
      <c r="W53" s="1016"/>
      <c r="X53" s="880"/>
    </row>
    <row r="54" spans="1:24" ht="12.95" customHeight="1" thickBot="1">
      <c r="A54" s="885"/>
      <c r="B54" s="885"/>
      <c r="C54" s="9" t="s">
        <v>234</v>
      </c>
      <c r="D54" s="957"/>
      <c r="E54" s="958"/>
      <c r="F54" s="958"/>
      <c r="G54" s="959"/>
      <c r="H54" s="957"/>
      <c r="I54" s="958"/>
      <c r="J54" s="958"/>
      <c r="K54" s="959"/>
      <c r="L54" s="1057" t="s">
        <v>909</v>
      </c>
      <c r="M54" s="1058"/>
      <c r="N54" s="1058"/>
      <c r="O54" s="1059"/>
      <c r="P54" s="1094">
        <f>'State Agg LFx3 (2015)'!P54</f>
        <v>2.2999999999999998</v>
      </c>
      <c r="Q54" s="1095"/>
      <c r="R54" s="1095"/>
      <c r="S54" s="1096"/>
      <c r="T54" s="1094">
        <f>'State Agg LFx3 (2015)'!T54</f>
        <v>2.65</v>
      </c>
      <c r="U54" s="1095"/>
      <c r="V54" s="1095"/>
      <c r="W54" s="1096"/>
      <c r="X54" s="880"/>
    </row>
    <row r="55" spans="1:24" ht="13.5" thickBot="1">
      <c r="A55" s="885"/>
      <c r="B55" s="885"/>
      <c r="C55" s="102" t="s">
        <v>236</v>
      </c>
      <c r="D55" s="1045" t="s">
        <v>415</v>
      </c>
      <c r="E55" s="1046"/>
      <c r="F55" s="1046"/>
      <c r="G55" s="1047"/>
      <c r="H55" s="1020">
        <v>2.64</v>
      </c>
      <c r="I55" s="1021"/>
      <c r="J55" s="1021"/>
      <c r="K55" s="1022"/>
      <c r="L55" s="1020">
        <v>2.9</v>
      </c>
      <c r="M55" s="1021"/>
      <c r="N55" s="1021"/>
      <c r="O55" s="1022"/>
      <c r="P55" s="1020">
        <v>3.3200000000000003</v>
      </c>
      <c r="Q55" s="1021"/>
      <c r="R55" s="1021"/>
      <c r="S55" s="1022"/>
      <c r="T55" s="1020">
        <f>'State Agg LFx3 (2015)'!T55</f>
        <v>0</v>
      </c>
      <c r="U55" s="1021"/>
      <c r="V55" s="1021"/>
      <c r="W55" s="1022"/>
      <c r="X55" s="880"/>
    </row>
    <row r="56" spans="1:24" ht="13.5" thickBot="1">
      <c r="A56" s="885"/>
      <c r="B56" s="885"/>
      <c r="C56" s="102" t="s">
        <v>283</v>
      </c>
      <c r="D56" s="1017"/>
      <c r="E56" s="1018"/>
      <c r="F56" s="1018"/>
      <c r="G56" s="1019"/>
      <c r="H56" s="1017"/>
      <c r="I56" s="1018"/>
      <c r="J56" s="1018"/>
      <c r="K56" s="1019"/>
      <c r="L56" s="1020">
        <v>2.2000000000000002</v>
      </c>
      <c r="M56" s="1021"/>
      <c r="N56" s="1021"/>
      <c r="O56" s="1022"/>
      <c r="P56" s="1020" t="s">
        <v>777</v>
      </c>
      <c r="Q56" s="1021"/>
      <c r="R56" s="1021"/>
      <c r="S56" s="1022"/>
      <c r="T56" s="1020">
        <f>'State Agg LFx3 (2015)'!T56</f>
        <v>0</v>
      </c>
      <c r="U56" s="1021"/>
      <c r="V56" s="1021"/>
      <c r="W56" s="1022"/>
      <c r="X56" s="880"/>
    </row>
    <row r="57" spans="1:24" ht="13.5" thickBot="1">
      <c r="A57" s="885"/>
      <c r="B57" s="885"/>
      <c r="C57" s="102" t="s">
        <v>284</v>
      </c>
      <c r="D57" s="1017"/>
      <c r="E57" s="1018"/>
      <c r="F57" s="1018"/>
      <c r="G57" s="1019"/>
      <c r="H57" s="1017"/>
      <c r="I57" s="1018"/>
      <c r="J57" s="1018"/>
      <c r="K57" s="1019"/>
      <c r="L57" s="1017"/>
      <c r="M57" s="1018"/>
      <c r="N57" s="1018"/>
      <c r="O57" s="1019"/>
      <c r="P57" s="1017"/>
      <c r="Q57" s="1018"/>
      <c r="R57" s="1018"/>
      <c r="S57" s="1019"/>
      <c r="T57" s="1020">
        <f>'State Agg LFx3 (2015)'!T57</f>
        <v>0</v>
      </c>
      <c r="U57" s="1021"/>
      <c r="V57" s="1021"/>
      <c r="W57" s="1022"/>
      <c r="X57" s="880"/>
    </row>
    <row r="58" spans="1:24" ht="13.5" thickBot="1">
      <c r="A58" s="885"/>
      <c r="B58" s="885"/>
      <c r="C58" s="998" t="s">
        <v>413</v>
      </c>
      <c r="D58" s="927" t="s">
        <v>4</v>
      </c>
      <c r="E58" s="928"/>
      <c r="F58" s="928"/>
      <c r="G58" s="928"/>
      <c r="H58" s="928"/>
      <c r="I58" s="928"/>
      <c r="J58" s="928"/>
      <c r="K58" s="928"/>
      <c r="L58" s="928"/>
      <c r="M58" s="928"/>
      <c r="N58" s="928"/>
      <c r="O58" s="928"/>
      <c r="P58" s="928"/>
      <c r="Q58" s="928"/>
      <c r="R58" s="928"/>
      <c r="S58" s="928"/>
      <c r="T58" s="928"/>
      <c r="U58" s="928"/>
      <c r="V58" s="928"/>
      <c r="W58" s="928"/>
      <c r="X58" s="880"/>
    </row>
    <row r="59" spans="1:24" ht="13.5" thickBot="1">
      <c r="A59" s="885"/>
      <c r="B59" s="869"/>
      <c r="C59" s="999"/>
      <c r="D59" s="930" t="s">
        <v>115</v>
      </c>
      <c r="E59" s="931"/>
      <c r="F59" s="931"/>
      <c r="G59" s="931"/>
      <c r="H59" s="931"/>
      <c r="I59" s="931"/>
      <c r="J59" s="931"/>
      <c r="K59" s="931"/>
      <c r="L59" s="931"/>
      <c r="M59" s="931"/>
      <c r="N59" s="931"/>
      <c r="O59" s="931"/>
      <c r="P59" s="931"/>
      <c r="Q59" s="931"/>
      <c r="R59" s="931"/>
      <c r="S59" s="931"/>
      <c r="T59" s="931"/>
      <c r="U59" s="931"/>
      <c r="V59" s="931"/>
      <c r="W59" s="932"/>
      <c r="X59" s="880"/>
    </row>
    <row r="60" spans="1:24" ht="13.5" thickBot="1">
      <c r="A60" s="885"/>
      <c r="B60" s="11" t="s">
        <v>23</v>
      </c>
      <c r="C60" s="12"/>
      <c r="D60" s="927" t="s">
        <v>78</v>
      </c>
      <c r="E60" s="928"/>
      <c r="F60" s="928"/>
      <c r="G60" s="929"/>
      <c r="H60" s="927" t="s">
        <v>77</v>
      </c>
      <c r="I60" s="928"/>
      <c r="J60" s="928"/>
      <c r="K60" s="929"/>
      <c r="L60" s="927" t="s">
        <v>81</v>
      </c>
      <c r="M60" s="928"/>
      <c r="N60" s="928"/>
      <c r="O60" s="929"/>
      <c r="P60" s="927" t="s">
        <v>254</v>
      </c>
      <c r="Q60" s="928"/>
      <c r="R60" s="928"/>
      <c r="S60" s="929"/>
      <c r="T60" s="927" t="s">
        <v>76</v>
      </c>
      <c r="U60" s="928"/>
      <c r="V60" s="928"/>
      <c r="W60" s="929"/>
      <c r="X60" s="880"/>
    </row>
    <row r="61" spans="1:24" ht="13.5" thickBot="1">
      <c r="A61" s="885"/>
      <c r="B61" s="868" t="s">
        <v>56</v>
      </c>
      <c r="C61" s="9" t="s">
        <v>235</v>
      </c>
      <c r="D61" s="1014">
        <v>2.1</v>
      </c>
      <c r="E61" s="1015"/>
      <c r="F61" s="1015"/>
      <c r="G61" s="1016"/>
      <c r="H61" s="1014">
        <v>2.6</v>
      </c>
      <c r="I61" s="1015"/>
      <c r="J61" s="1015"/>
      <c r="K61" s="1016"/>
      <c r="L61" s="1014">
        <v>2.85</v>
      </c>
      <c r="M61" s="1015"/>
      <c r="N61" s="1015"/>
      <c r="O61" s="1016"/>
      <c r="P61" s="1014">
        <v>3.1</v>
      </c>
      <c r="Q61" s="1015"/>
      <c r="R61" s="1015"/>
      <c r="S61" s="1016"/>
      <c r="T61" s="1014">
        <v>3.45</v>
      </c>
      <c r="U61" s="1015"/>
      <c r="V61" s="1015"/>
      <c r="W61" s="1016"/>
      <c r="X61" s="880"/>
    </row>
    <row r="62" spans="1:24" ht="13.5" thickBot="1">
      <c r="A62" s="885"/>
      <c r="B62" s="885"/>
      <c r="C62" s="9" t="s">
        <v>233</v>
      </c>
      <c r="D62" s="1048" t="s">
        <v>414</v>
      </c>
      <c r="E62" s="1049"/>
      <c r="F62" s="1049"/>
      <c r="G62" s="1050"/>
      <c r="H62" s="1014">
        <v>1.6</v>
      </c>
      <c r="I62" s="1015"/>
      <c r="J62" s="1015"/>
      <c r="K62" s="1016"/>
      <c r="L62" s="1014">
        <v>1.75</v>
      </c>
      <c r="M62" s="1015"/>
      <c r="N62" s="1015"/>
      <c r="O62" s="1016"/>
      <c r="P62" s="1014">
        <v>1.9</v>
      </c>
      <c r="Q62" s="1015"/>
      <c r="R62" s="1015"/>
      <c r="S62" s="1016"/>
      <c r="T62" s="1014">
        <v>2.25</v>
      </c>
      <c r="U62" s="1015"/>
      <c r="V62" s="1015"/>
      <c r="W62" s="1016"/>
      <c r="X62" s="880"/>
    </row>
    <row r="63" spans="1:24" ht="12.95" customHeight="1" thickBot="1">
      <c r="A63" s="885"/>
      <c r="B63" s="885"/>
      <c r="C63" s="9" t="s">
        <v>234</v>
      </c>
      <c r="D63" s="957"/>
      <c r="E63" s="958"/>
      <c r="F63" s="958"/>
      <c r="G63" s="959"/>
      <c r="H63" s="957"/>
      <c r="I63" s="958"/>
      <c r="J63" s="958"/>
      <c r="K63" s="959"/>
      <c r="L63" s="1057" t="s">
        <v>909</v>
      </c>
      <c r="M63" s="1058"/>
      <c r="N63" s="1058"/>
      <c r="O63" s="1059"/>
      <c r="P63" s="1094">
        <f>'State Agg LFx3 (2015)'!P63</f>
        <v>2.25</v>
      </c>
      <c r="Q63" s="1095"/>
      <c r="R63" s="1095"/>
      <c r="S63" s="1096"/>
      <c r="T63" s="1094">
        <f>'State Agg LFx3 (2015)'!T63</f>
        <v>2.7</v>
      </c>
      <c r="U63" s="1095"/>
      <c r="V63" s="1095"/>
      <c r="W63" s="1096"/>
      <c r="X63" s="880"/>
    </row>
    <row r="64" spans="1:24" ht="13.5" thickBot="1">
      <c r="A64" s="885"/>
      <c r="B64" s="885"/>
      <c r="C64" s="102" t="s">
        <v>236</v>
      </c>
      <c r="D64" s="1045" t="s">
        <v>415</v>
      </c>
      <c r="E64" s="1046"/>
      <c r="F64" s="1046"/>
      <c r="G64" s="1047"/>
      <c r="H64" s="1020">
        <v>2.84</v>
      </c>
      <c r="I64" s="1021"/>
      <c r="J64" s="1021"/>
      <c r="K64" s="1022"/>
      <c r="L64" s="1020">
        <v>3</v>
      </c>
      <c r="M64" s="1021"/>
      <c r="N64" s="1021"/>
      <c r="O64" s="1022"/>
      <c r="P64" s="1020" t="s">
        <v>778</v>
      </c>
      <c r="Q64" s="1021"/>
      <c r="R64" s="1021"/>
      <c r="S64" s="1022"/>
      <c r="T64" s="1020">
        <f>'State Agg LFx3 (2015)'!T64</f>
        <v>0</v>
      </c>
      <c r="U64" s="1021"/>
      <c r="V64" s="1021"/>
      <c r="W64" s="1022"/>
      <c r="X64" s="880"/>
    </row>
    <row r="65" spans="1:24" ht="13.5" thickBot="1">
      <c r="A65" s="885"/>
      <c r="B65" s="885"/>
      <c r="C65" s="102" t="s">
        <v>283</v>
      </c>
      <c r="D65" s="1017"/>
      <c r="E65" s="1018"/>
      <c r="F65" s="1018"/>
      <c r="G65" s="1019"/>
      <c r="H65" s="1017"/>
      <c r="I65" s="1018"/>
      <c r="J65" s="1018"/>
      <c r="K65" s="1019"/>
      <c r="L65" s="1020">
        <v>1.6</v>
      </c>
      <c r="M65" s="1021"/>
      <c r="N65" s="1021"/>
      <c r="O65" s="1022"/>
      <c r="P65" s="1020">
        <v>2.1666666666666665</v>
      </c>
      <c r="Q65" s="1021"/>
      <c r="R65" s="1021"/>
      <c r="S65" s="1022"/>
      <c r="T65" s="1020">
        <f>'State Agg LFx3 (2015)'!T65</f>
        <v>0</v>
      </c>
      <c r="U65" s="1021"/>
      <c r="V65" s="1021"/>
      <c r="W65" s="1022"/>
      <c r="X65" s="880"/>
    </row>
    <row r="66" spans="1:24" ht="13.5" thickBot="1">
      <c r="A66" s="885"/>
      <c r="B66" s="885"/>
      <c r="C66" s="102" t="s">
        <v>284</v>
      </c>
      <c r="D66" s="1017"/>
      <c r="E66" s="1018"/>
      <c r="F66" s="1018"/>
      <c r="G66" s="1019"/>
      <c r="H66" s="1017"/>
      <c r="I66" s="1018"/>
      <c r="J66" s="1018"/>
      <c r="K66" s="1019"/>
      <c r="L66" s="1017"/>
      <c r="M66" s="1018"/>
      <c r="N66" s="1018"/>
      <c r="O66" s="1019"/>
      <c r="P66" s="1017"/>
      <c r="Q66" s="1018"/>
      <c r="R66" s="1018"/>
      <c r="S66" s="1019"/>
      <c r="T66" s="1020">
        <f>'State Agg LFx3 (2015)'!T66</f>
        <v>0</v>
      </c>
      <c r="U66" s="1021"/>
      <c r="V66" s="1021"/>
      <c r="W66" s="1022"/>
      <c r="X66" s="880"/>
    </row>
    <row r="67" spans="1:24" ht="13.5" thickBot="1">
      <c r="A67" s="885"/>
      <c r="B67" s="885"/>
      <c r="C67" s="998" t="s">
        <v>413</v>
      </c>
      <c r="D67" s="927" t="s">
        <v>4</v>
      </c>
      <c r="E67" s="928"/>
      <c r="F67" s="928"/>
      <c r="G67" s="928"/>
      <c r="H67" s="928"/>
      <c r="I67" s="928"/>
      <c r="J67" s="928"/>
      <c r="K67" s="928"/>
      <c r="L67" s="928"/>
      <c r="M67" s="928"/>
      <c r="N67" s="928"/>
      <c r="O67" s="928"/>
      <c r="P67" s="928"/>
      <c r="Q67" s="928"/>
      <c r="R67" s="928"/>
      <c r="S67" s="928"/>
      <c r="T67" s="928"/>
      <c r="U67" s="928"/>
      <c r="V67" s="928"/>
      <c r="W67" s="928"/>
      <c r="X67" s="880"/>
    </row>
    <row r="68" spans="1:24" ht="13.5" thickBot="1">
      <c r="A68" s="885"/>
      <c r="B68" s="869"/>
      <c r="C68" s="999"/>
      <c r="D68" s="930" t="s">
        <v>115</v>
      </c>
      <c r="E68" s="931"/>
      <c r="F68" s="931"/>
      <c r="G68" s="931"/>
      <c r="H68" s="931"/>
      <c r="I68" s="931"/>
      <c r="J68" s="931"/>
      <c r="K68" s="931"/>
      <c r="L68" s="931"/>
      <c r="M68" s="931"/>
      <c r="N68" s="931"/>
      <c r="O68" s="931"/>
      <c r="P68" s="931"/>
      <c r="Q68" s="931"/>
      <c r="R68" s="931"/>
      <c r="S68" s="931"/>
      <c r="T68" s="931"/>
      <c r="U68" s="931"/>
      <c r="V68" s="931"/>
      <c r="W68" s="932"/>
      <c r="X68" s="880"/>
    </row>
    <row r="69" spans="1:24" ht="13.5" thickBot="1">
      <c r="A69" s="885"/>
      <c r="B69" s="11" t="s">
        <v>38</v>
      </c>
      <c r="C69" s="12"/>
      <c r="D69" s="927" t="s">
        <v>78</v>
      </c>
      <c r="E69" s="928"/>
      <c r="F69" s="928"/>
      <c r="G69" s="929"/>
      <c r="H69" s="927" t="s">
        <v>77</v>
      </c>
      <c r="I69" s="928"/>
      <c r="J69" s="928"/>
      <c r="K69" s="929"/>
      <c r="L69" s="927" t="s">
        <v>81</v>
      </c>
      <c r="M69" s="928"/>
      <c r="N69" s="928"/>
      <c r="O69" s="929"/>
      <c r="P69" s="927" t="s">
        <v>254</v>
      </c>
      <c r="Q69" s="928"/>
      <c r="R69" s="928"/>
      <c r="S69" s="929"/>
      <c r="T69" s="927" t="s">
        <v>76</v>
      </c>
      <c r="U69" s="928"/>
      <c r="V69" s="928"/>
      <c r="W69" s="929"/>
      <c r="X69" s="880"/>
    </row>
    <row r="70" spans="1:24" ht="13.5" thickBot="1">
      <c r="A70" s="885"/>
      <c r="B70" s="868" t="s">
        <v>155</v>
      </c>
      <c r="C70" s="9" t="s">
        <v>235</v>
      </c>
      <c r="D70" s="933" t="s">
        <v>171</v>
      </c>
      <c r="E70" s="934"/>
      <c r="F70" s="934"/>
      <c r="G70" s="935"/>
      <c r="H70" s="966" t="s">
        <v>572</v>
      </c>
      <c r="I70" s="967"/>
      <c r="J70" s="967"/>
      <c r="K70" s="968"/>
      <c r="L70" s="1094">
        <v>3</v>
      </c>
      <c r="M70" s="1095"/>
      <c r="N70" s="1095"/>
      <c r="O70" s="1096"/>
      <c r="P70" s="1094">
        <v>3.2</v>
      </c>
      <c r="Q70" s="1095"/>
      <c r="R70" s="1095"/>
      <c r="S70" s="1096"/>
      <c r="T70" s="1094">
        <v>3.6</v>
      </c>
      <c r="U70" s="1095"/>
      <c r="V70" s="1095"/>
      <c r="W70" s="1096"/>
      <c r="X70" s="880"/>
    </row>
    <row r="71" spans="1:24" ht="12.95" customHeight="1" thickBot="1">
      <c r="A71" s="885"/>
      <c r="B71" s="885"/>
      <c r="C71" s="9" t="s">
        <v>233</v>
      </c>
      <c r="D71" s="957"/>
      <c r="E71" s="958"/>
      <c r="F71" s="958"/>
      <c r="G71" s="959"/>
      <c r="H71" s="966" t="s">
        <v>572</v>
      </c>
      <c r="I71" s="967"/>
      <c r="J71" s="967"/>
      <c r="K71" s="968"/>
      <c r="L71" s="1094">
        <v>2.6</v>
      </c>
      <c r="M71" s="1095"/>
      <c r="N71" s="1095"/>
      <c r="O71" s="1096"/>
      <c r="P71" s="1094">
        <v>2.9</v>
      </c>
      <c r="Q71" s="1095"/>
      <c r="R71" s="1095"/>
      <c r="S71" s="1096"/>
      <c r="T71" s="1094">
        <v>3.3</v>
      </c>
      <c r="U71" s="1095"/>
      <c r="V71" s="1095"/>
      <c r="W71" s="1096"/>
      <c r="X71" s="880"/>
    </row>
    <row r="72" spans="1:24" ht="12.95" customHeight="1" thickBot="1">
      <c r="A72" s="885"/>
      <c r="B72" s="885"/>
      <c r="C72" s="9" t="s">
        <v>234</v>
      </c>
      <c r="D72" s="957"/>
      <c r="E72" s="958"/>
      <c r="F72" s="958"/>
      <c r="G72" s="959"/>
      <c r="H72" s="957"/>
      <c r="I72" s="958"/>
      <c r="J72" s="958"/>
      <c r="K72" s="959"/>
      <c r="L72" s="1057" t="s">
        <v>909</v>
      </c>
      <c r="M72" s="1058"/>
      <c r="N72" s="1058"/>
      <c r="O72" s="1059"/>
      <c r="P72" s="1094">
        <f>'State Agg LFx3 (2015)'!P72</f>
        <v>3</v>
      </c>
      <c r="Q72" s="1095"/>
      <c r="R72" s="1095"/>
      <c r="S72" s="1096"/>
      <c r="T72" s="1094">
        <f>'State Agg LFx3 (2015)'!T72</f>
        <v>3.2</v>
      </c>
      <c r="U72" s="1095"/>
      <c r="V72" s="1095"/>
      <c r="W72" s="1096"/>
      <c r="X72" s="880"/>
    </row>
    <row r="73" spans="1:24" ht="13.5" thickBot="1">
      <c r="A73" s="885"/>
      <c r="B73" s="885"/>
      <c r="C73" s="102" t="s">
        <v>236</v>
      </c>
      <c r="D73" s="1011"/>
      <c r="E73" s="1012"/>
      <c r="F73" s="1012"/>
      <c r="G73" s="1013"/>
      <c r="H73" s="1011"/>
      <c r="I73" s="1012"/>
      <c r="J73" s="1012"/>
      <c r="K73" s="1013"/>
      <c r="L73" s="1011"/>
      <c r="M73" s="1012"/>
      <c r="N73" s="1012"/>
      <c r="O73" s="1013"/>
      <c r="P73" s="1020">
        <v>3.4800000000000004</v>
      </c>
      <c r="Q73" s="1021"/>
      <c r="R73" s="1021"/>
      <c r="S73" s="1022"/>
      <c r="T73" s="1020">
        <f>'State Agg LFx3 (2015)'!T73</f>
        <v>0</v>
      </c>
      <c r="U73" s="1021"/>
      <c r="V73" s="1021"/>
      <c r="W73" s="1022"/>
      <c r="X73" s="880"/>
    </row>
    <row r="74" spans="1:24" ht="13.5" thickBot="1">
      <c r="A74" s="885"/>
      <c r="B74" s="885"/>
      <c r="C74" s="102" t="s">
        <v>283</v>
      </c>
      <c r="D74" s="1017"/>
      <c r="E74" s="1018"/>
      <c r="F74" s="1018"/>
      <c r="G74" s="1019"/>
      <c r="H74" s="1017"/>
      <c r="I74" s="1018"/>
      <c r="J74" s="1018"/>
      <c r="K74" s="1019"/>
      <c r="L74" s="1011"/>
      <c r="M74" s="1012"/>
      <c r="N74" s="1012"/>
      <c r="O74" s="1013"/>
      <c r="P74" s="1020">
        <v>2.7666666666666671</v>
      </c>
      <c r="Q74" s="1021"/>
      <c r="R74" s="1021"/>
      <c r="S74" s="1022"/>
      <c r="T74" s="1020">
        <f>'State Agg LFx3 (2015)'!T74</f>
        <v>0</v>
      </c>
      <c r="U74" s="1021"/>
      <c r="V74" s="1021"/>
      <c r="W74" s="1022"/>
      <c r="X74" s="880"/>
    </row>
    <row r="75" spans="1:24" ht="13.5" thickBot="1">
      <c r="A75" s="885"/>
      <c r="B75" s="885"/>
      <c r="C75" s="102" t="s">
        <v>284</v>
      </c>
      <c r="D75" s="1017"/>
      <c r="E75" s="1018"/>
      <c r="F75" s="1018"/>
      <c r="G75" s="1019"/>
      <c r="H75" s="1017"/>
      <c r="I75" s="1018"/>
      <c r="J75" s="1018"/>
      <c r="K75" s="1019"/>
      <c r="L75" s="1017"/>
      <c r="M75" s="1018"/>
      <c r="N75" s="1018"/>
      <c r="O75" s="1019"/>
      <c r="P75" s="1017"/>
      <c r="Q75" s="1018"/>
      <c r="R75" s="1018"/>
      <c r="S75" s="1019"/>
      <c r="T75" s="1020">
        <f>'State Agg LFx3 (2015)'!T75</f>
        <v>0</v>
      </c>
      <c r="U75" s="1021"/>
      <c r="V75" s="1021"/>
      <c r="W75" s="1022"/>
      <c r="X75" s="880"/>
    </row>
    <row r="76" spans="1:24" ht="13.5" thickBot="1">
      <c r="A76" s="885"/>
      <c r="B76" s="885"/>
      <c r="C76" s="998" t="s">
        <v>413</v>
      </c>
      <c r="D76" s="927" t="s">
        <v>4</v>
      </c>
      <c r="E76" s="928"/>
      <c r="F76" s="928"/>
      <c r="G76" s="928"/>
      <c r="H76" s="928"/>
      <c r="I76" s="928"/>
      <c r="J76" s="928"/>
      <c r="K76" s="928"/>
      <c r="L76" s="928"/>
      <c r="M76" s="928"/>
      <c r="N76" s="928"/>
      <c r="O76" s="928"/>
      <c r="P76" s="928"/>
      <c r="Q76" s="928"/>
      <c r="R76" s="928"/>
      <c r="S76" s="928"/>
      <c r="T76" s="928"/>
      <c r="U76" s="928"/>
      <c r="V76" s="928"/>
      <c r="W76" s="928"/>
      <c r="X76" s="880"/>
    </row>
    <row r="77" spans="1:24" ht="13.5" thickBot="1">
      <c r="A77" s="885"/>
      <c r="B77" s="869"/>
      <c r="C77" s="999"/>
      <c r="D77" s="930" t="s">
        <v>115</v>
      </c>
      <c r="E77" s="931"/>
      <c r="F77" s="931"/>
      <c r="G77" s="931"/>
      <c r="H77" s="931"/>
      <c r="I77" s="931"/>
      <c r="J77" s="931"/>
      <c r="K77" s="931"/>
      <c r="L77" s="931"/>
      <c r="M77" s="931"/>
      <c r="N77" s="931"/>
      <c r="O77" s="931"/>
      <c r="P77" s="931"/>
      <c r="Q77" s="931"/>
      <c r="R77" s="931"/>
      <c r="S77" s="931"/>
      <c r="T77" s="931"/>
      <c r="U77" s="931"/>
      <c r="V77" s="931"/>
      <c r="W77" s="932"/>
      <c r="X77" s="880"/>
    </row>
    <row r="78" spans="1:24" ht="13.5" thickBot="1">
      <c r="A78" s="885"/>
      <c r="B78" s="11" t="s">
        <v>39</v>
      </c>
      <c r="C78" s="12"/>
      <c r="D78" s="927" t="s">
        <v>78</v>
      </c>
      <c r="E78" s="928"/>
      <c r="F78" s="928"/>
      <c r="G78" s="929"/>
      <c r="H78" s="927" t="s">
        <v>77</v>
      </c>
      <c r="I78" s="928"/>
      <c r="J78" s="928"/>
      <c r="K78" s="929"/>
      <c r="L78" s="927" t="s">
        <v>81</v>
      </c>
      <c r="M78" s="928"/>
      <c r="N78" s="928"/>
      <c r="O78" s="929"/>
      <c r="P78" s="927" t="s">
        <v>254</v>
      </c>
      <c r="Q78" s="928"/>
      <c r="R78" s="928"/>
      <c r="S78" s="929"/>
      <c r="T78" s="927" t="s">
        <v>76</v>
      </c>
      <c r="U78" s="928"/>
      <c r="V78" s="928"/>
      <c r="W78" s="929"/>
      <c r="X78" s="880"/>
    </row>
    <row r="79" spans="1:24" ht="42.95" customHeight="1" thickBot="1">
      <c r="A79" s="885"/>
      <c r="B79" s="978" t="s">
        <v>575</v>
      </c>
      <c r="C79" s="9"/>
      <c r="D79" s="20" t="s">
        <v>105</v>
      </c>
      <c r="E79" s="20" t="s">
        <v>579</v>
      </c>
      <c r="F79" s="20" t="s">
        <v>580</v>
      </c>
      <c r="G79" s="20" t="s">
        <v>581</v>
      </c>
      <c r="H79" s="20" t="s">
        <v>105</v>
      </c>
      <c r="I79" s="20" t="s">
        <v>579</v>
      </c>
      <c r="J79" s="20" t="s">
        <v>580</v>
      </c>
      <c r="K79" s="20" t="s">
        <v>581</v>
      </c>
      <c r="L79" s="20" t="s">
        <v>105</v>
      </c>
      <c r="M79" s="20" t="s">
        <v>579</v>
      </c>
      <c r="N79" s="20" t="s">
        <v>580</v>
      </c>
      <c r="O79" s="20" t="s">
        <v>581</v>
      </c>
      <c r="P79" s="20" t="s">
        <v>105</v>
      </c>
      <c r="Q79" s="20" t="s">
        <v>579</v>
      </c>
      <c r="R79" s="20" t="s">
        <v>580</v>
      </c>
      <c r="S79" s="20" t="s">
        <v>581</v>
      </c>
      <c r="T79" s="20" t="s">
        <v>105</v>
      </c>
      <c r="U79" s="20" t="s">
        <v>579</v>
      </c>
      <c r="V79" s="20" t="s">
        <v>580</v>
      </c>
      <c r="W79" s="20" t="s">
        <v>581</v>
      </c>
      <c r="X79" s="880"/>
    </row>
    <row r="80" spans="1:24" ht="13.5" thickBot="1">
      <c r="A80" s="885"/>
      <c r="B80" s="979"/>
      <c r="C80" s="9" t="s">
        <v>247</v>
      </c>
      <c r="D80" s="2">
        <v>0</v>
      </c>
      <c r="E80" s="2">
        <v>0</v>
      </c>
      <c r="F80" s="2">
        <v>0</v>
      </c>
      <c r="G80" s="2">
        <v>0</v>
      </c>
      <c r="H80" s="2">
        <v>10</v>
      </c>
      <c r="I80" s="2">
        <v>5</v>
      </c>
      <c r="J80" s="2">
        <v>0</v>
      </c>
      <c r="K80" s="2">
        <v>0</v>
      </c>
      <c r="L80" s="2">
        <v>20</v>
      </c>
      <c r="M80" s="2">
        <v>10</v>
      </c>
      <c r="N80" s="2">
        <v>5</v>
      </c>
      <c r="O80" s="2">
        <v>2</v>
      </c>
      <c r="P80" s="2">
        <v>35</v>
      </c>
      <c r="Q80" s="2">
        <v>18</v>
      </c>
      <c r="R80" s="158">
        <v>10</v>
      </c>
      <c r="S80" s="158">
        <v>5</v>
      </c>
      <c r="T80" s="158">
        <v>50</v>
      </c>
      <c r="U80" s="158">
        <v>25</v>
      </c>
      <c r="V80" s="158">
        <v>15</v>
      </c>
      <c r="W80" s="158">
        <v>8</v>
      </c>
      <c r="X80" s="880"/>
    </row>
    <row r="81" spans="1:24" ht="24.75" thickBot="1">
      <c r="A81" s="885"/>
      <c r="B81" s="518" t="s">
        <v>159</v>
      </c>
      <c r="C81" s="102" t="s">
        <v>246</v>
      </c>
      <c r="D81" s="1042" t="s">
        <v>416</v>
      </c>
      <c r="E81" s="1043"/>
      <c r="F81" s="1043"/>
      <c r="G81" s="1044"/>
      <c r="H81" s="117">
        <v>11</v>
      </c>
      <c r="I81" s="117">
        <v>6</v>
      </c>
      <c r="J81" s="117">
        <v>0</v>
      </c>
      <c r="K81" s="117">
        <v>0</v>
      </c>
      <c r="L81" s="117">
        <f>11+20</f>
        <v>31</v>
      </c>
      <c r="M81" s="117">
        <v>16</v>
      </c>
      <c r="N81" s="117">
        <v>6</v>
      </c>
      <c r="O81" s="117">
        <v>0</v>
      </c>
      <c r="P81" s="117">
        <v>75</v>
      </c>
      <c r="Q81" s="117">
        <v>39</v>
      </c>
      <c r="R81" s="117">
        <v>22</v>
      </c>
      <c r="S81" s="117">
        <v>4</v>
      </c>
      <c r="T81" s="188">
        <f>'State Agg LFx3 (2015)'!T81</f>
        <v>0</v>
      </c>
      <c r="U81" s="188">
        <f>'State Agg LFx3 (2015)'!U81</f>
        <v>0</v>
      </c>
      <c r="V81" s="188">
        <f>'State Agg LFx3 (2015)'!V81</f>
        <v>0</v>
      </c>
      <c r="W81" s="188">
        <f>'State Agg LFx3 (2015)'!W81</f>
        <v>0</v>
      </c>
      <c r="X81" s="880"/>
    </row>
    <row r="82" spans="1:24" ht="36.75" thickBot="1">
      <c r="A82" s="885"/>
      <c r="B82" s="183" t="s">
        <v>576</v>
      </c>
      <c r="C82" s="998" t="s">
        <v>413</v>
      </c>
      <c r="D82" s="927" t="s">
        <v>4</v>
      </c>
      <c r="E82" s="928"/>
      <c r="F82" s="928"/>
      <c r="G82" s="928"/>
      <c r="H82" s="928"/>
      <c r="I82" s="928"/>
      <c r="J82" s="928"/>
      <c r="K82" s="928"/>
      <c r="L82" s="928"/>
      <c r="M82" s="928"/>
      <c r="N82" s="928"/>
      <c r="O82" s="928"/>
      <c r="P82" s="928"/>
      <c r="Q82" s="928"/>
      <c r="R82" s="928"/>
      <c r="S82" s="928"/>
      <c r="T82" s="928"/>
      <c r="U82" s="928"/>
      <c r="V82" s="928"/>
      <c r="W82" s="928"/>
      <c r="X82" s="880"/>
    </row>
    <row r="83" spans="1:24" ht="13.5" thickBot="1">
      <c r="A83" s="869"/>
      <c r="B83" s="184" t="s">
        <v>577</v>
      </c>
      <c r="C83" s="999"/>
      <c r="D83" s="930" t="s">
        <v>126</v>
      </c>
      <c r="E83" s="931"/>
      <c r="F83" s="931"/>
      <c r="G83" s="931"/>
      <c r="H83" s="931"/>
      <c r="I83" s="931"/>
      <c r="J83" s="931"/>
      <c r="K83" s="931"/>
      <c r="L83" s="931"/>
      <c r="M83" s="931"/>
      <c r="N83" s="931"/>
      <c r="O83" s="931"/>
      <c r="P83" s="931"/>
      <c r="Q83" s="931"/>
      <c r="R83" s="931"/>
      <c r="S83" s="931"/>
      <c r="T83" s="931"/>
      <c r="U83" s="931"/>
      <c r="V83" s="931"/>
      <c r="W83" s="932"/>
      <c r="X83" s="881"/>
    </row>
    <row r="84" spans="1:24" ht="13.5" thickBot="1">
      <c r="A84" s="906" t="s">
        <v>7</v>
      </c>
      <c r="B84" s="908" t="s">
        <v>173</v>
      </c>
      <c r="C84" s="918"/>
      <c r="D84" s="908" t="s">
        <v>8</v>
      </c>
      <c r="E84" s="918"/>
      <c r="F84" s="918"/>
      <c r="G84" s="909"/>
      <c r="H84" s="908" t="s">
        <v>88</v>
      </c>
      <c r="I84" s="918"/>
      <c r="J84" s="918"/>
      <c r="K84" s="909"/>
      <c r="L84" s="908" t="s">
        <v>89</v>
      </c>
      <c r="M84" s="918"/>
      <c r="N84" s="918"/>
      <c r="O84" s="909"/>
      <c r="P84" s="908" t="s">
        <v>9</v>
      </c>
      <c r="Q84" s="918"/>
      <c r="R84" s="918"/>
      <c r="S84" s="909"/>
      <c r="T84" s="908" t="s">
        <v>174</v>
      </c>
      <c r="U84" s="918"/>
      <c r="V84" s="918"/>
      <c r="W84" s="918"/>
      <c r="X84" s="909"/>
    </row>
    <row r="85" spans="1:24" ht="13.5" thickBot="1">
      <c r="A85" s="907"/>
      <c r="B85" s="975">
        <f>SUM(B114+B143+B180+B228+B252)</f>
        <v>31000000</v>
      </c>
      <c r="C85" s="977"/>
      <c r="D85" s="975">
        <f>SUM(D114+D143+D180+D228+D252)</f>
        <v>2100000</v>
      </c>
      <c r="E85" s="977"/>
      <c r="F85" s="977">
        <f>SUM(F114+F143+F180+F228+F252)</f>
        <v>0</v>
      </c>
      <c r="G85" s="976"/>
      <c r="H85" s="975">
        <f>SUM(H114+H143+H180+H228+H252)</f>
        <v>13000000</v>
      </c>
      <c r="I85" s="977"/>
      <c r="J85" s="977">
        <f>SUM(J114+J143+J180+J228+J252)</f>
        <v>0</v>
      </c>
      <c r="K85" s="976"/>
      <c r="L85" s="975">
        <f>SUM(L114+L143+L180+L228+L252)</f>
        <v>11900000</v>
      </c>
      <c r="M85" s="977"/>
      <c r="N85" s="977">
        <f>SUM(N114+N143+N180+N228+N252)</f>
        <v>0</v>
      </c>
      <c r="O85" s="976"/>
      <c r="P85" s="975">
        <f>SUM(B85:O85)</f>
        <v>58000000</v>
      </c>
      <c r="Q85" s="977"/>
      <c r="R85" s="977"/>
      <c r="S85" s="976"/>
      <c r="T85" s="942">
        <f>B85/P85%</f>
        <v>53.448275862068968</v>
      </c>
      <c r="U85" s="943"/>
      <c r="V85" s="943"/>
      <c r="W85" s="943"/>
      <c r="X85" s="944"/>
    </row>
    <row r="86" spans="1:24" ht="13.5" thickBot="1">
      <c r="A86" s="906" t="s">
        <v>10</v>
      </c>
      <c r="B86" s="908" t="s">
        <v>175</v>
      </c>
      <c r="C86" s="918"/>
      <c r="D86" s="910"/>
      <c r="E86" s="911"/>
      <c r="F86" s="911"/>
      <c r="G86" s="911"/>
      <c r="H86" s="911"/>
      <c r="I86" s="911"/>
      <c r="J86" s="911"/>
      <c r="K86" s="911"/>
      <c r="L86" s="911"/>
      <c r="M86" s="911"/>
      <c r="N86" s="911"/>
      <c r="O86" s="911"/>
      <c r="P86" s="911"/>
      <c r="Q86" s="911"/>
      <c r="R86" s="911"/>
      <c r="S86" s="911"/>
      <c r="T86" s="911"/>
      <c r="U86" s="911"/>
      <c r="V86" s="911"/>
      <c r="W86" s="911"/>
      <c r="X86" s="912"/>
    </row>
    <row r="87" spans="1:24" ht="13.5" thickBot="1">
      <c r="A87" s="907"/>
      <c r="B87" s="916">
        <f>SUM(B116+B145+B182+B230+B254)</f>
        <v>0</v>
      </c>
      <c r="C87" s="994"/>
      <c r="D87" s="913"/>
      <c r="E87" s="914"/>
      <c r="F87" s="914"/>
      <c r="G87" s="914"/>
      <c r="H87" s="914"/>
      <c r="I87" s="914"/>
      <c r="J87" s="914"/>
      <c r="K87" s="914"/>
      <c r="L87" s="914"/>
      <c r="M87" s="914"/>
      <c r="N87" s="914"/>
      <c r="O87" s="914"/>
      <c r="P87" s="914"/>
      <c r="Q87" s="914"/>
      <c r="R87" s="914"/>
      <c r="S87" s="914"/>
      <c r="T87" s="914"/>
      <c r="U87" s="914"/>
      <c r="V87" s="914"/>
      <c r="W87" s="914"/>
      <c r="X87" s="915"/>
    </row>
    <row r="88" spans="1:24">
      <c r="A88" s="5"/>
      <c r="B88" s="5"/>
      <c r="C88" s="6"/>
      <c r="D88" s="5"/>
      <c r="E88" s="5"/>
      <c r="F88" s="5"/>
      <c r="G88" s="5"/>
      <c r="H88" s="5"/>
      <c r="I88" s="5"/>
      <c r="J88" s="5"/>
      <c r="K88" s="5"/>
      <c r="L88" s="5"/>
      <c r="M88" s="5"/>
      <c r="N88" s="5"/>
      <c r="O88" s="5"/>
      <c r="P88" s="5"/>
      <c r="Q88" s="5"/>
      <c r="R88" s="5"/>
      <c r="S88" s="5"/>
      <c r="T88" s="5"/>
      <c r="U88" s="5"/>
      <c r="V88" s="5"/>
      <c r="W88" s="5"/>
      <c r="X88" s="5"/>
    </row>
    <row r="89" spans="1:24" ht="13.5" thickBot="1">
      <c r="A89" s="21"/>
      <c r="B89" s="21"/>
      <c r="C89" s="22"/>
      <c r="D89" s="21"/>
      <c r="E89" s="21"/>
      <c r="F89" s="21"/>
      <c r="G89" s="21"/>
      <c r="H89" s="21"/>
      <c r="I89" s="21"/>
      <c r="J89" s="21"/>
      <c r="K89" s="21"/>
      <c r="L89" s="115"/>
      <c r="M89" s="21"/>
      <c r="N89" s="21"/>
      <c r="O89" s="21"/>
      <c r="P89" s="21"/>
      <c r="Q89" s="21"/>
      <c r="R89" s="21"/>
      <c r="S89" s="21"/>
      <c r="T89" s="21"/>
      <c r="U89" s="21"/>
      <c r="V89" s="21"/>
      <c r="W89" s="21"/>
      <c r="X89" s="21"/>
    </row>
    <row r="90" spans="1:24" ht="13.5" thickBot="1">
      <c r="A90" s="519" t="s">
        <v>11</v>
      </c>
      <c r="B90" s="522" t="s">
        <v>16</v>
      </c>
      <c r="C90" s="8"/>
      <c r="D90" s="927" t="s">
        <v>78</v>
      </c>
      <c r="E90" s="928"/>
      <c r="F90" s="928"/>
      <c r="G90" s="929"/>
      <c r="H90" s="927" t="s">
        <v>77</v>
      </c>
      <c r="I90" s="928"/>
      <c r="J90" s="928"/>
      <c r="K90" s="929"/>
      <c r="L90" s="927" t="s">
        <v>81</v>
      </c>
      <c r="M90" s="928"/>
      <c r="N90" s="928"/>
      <c r="O90" s="929"/>
      <c r="P90" s="927" t="s">
        <v>254</v>
      </c>
      <c r="Q90" s="928"/>
      <c r="R90" s="928"/>
      <c r="S90" s="929"/>
      <c r="T90" s="927" t="s">
        <v>76</v>
      </c>
      <c r="U90" s="928"/>
      <c r="V90" s="928"/>
      <c r="W90" s="929"/>
      <c r="X90" s="16" t="s">
        <v>12</v>
      </c>
    </row>
    <row r="91" spans="1:24" ht="13.5" thickBot="1">
      <c r="A91" s="868" t="s">
        <v>57</v>
      </c>
      <c r="B91" s="868" t="s">
        <v>58</v>
      </c>
      <c r="C91" s="9" t="s">
        <v>235</v>
      </c>
      <c r="D91" s="1014">
        <v>1</v>
      </c>
      <c r="E91" s="1015"/>
      <c r="F91" s="1015"/>
      <c r="G91" s="1016"/>
      <c r="H91" s="1014">
        <v>2.1</v>
      </c>
      <c r="I91" s="1015"/>
      <c r="J91" s="1015"/>
      <c r="K91" s="1016"/>
      <c r="L91" s="1094">
        <v>2.7</v>
      </c>
      <c r="M91" s="1095"/>
      <c r="N91" s="1095"/>
      <c r="O91" s="1096"/>
      <c r="P91" s="1094">
        <v>3.2</v>
      </c>
      <c r="Q91" s="1095"/>
      <c r="R91" s="1095"/>
      <c r="S91" s="1096"/>
      <c r="T91" s="1094">
        <v>3.7</v>
      </c>
      <c r="U91" s="1095"/>
      <c r="V91" s="1095"/>
      <c r="W91" s="1096"/>
      <c r="X91" s="879" t="s">
        <v>97</v>
      </c>
    </row>
    <row r="92" spans="1:24" ht="13.5" thickBot="1">
      <c r="A92" s="885"/>
      <c r="B92" s="885"/>
      <c r="C92" s="9" t="s">
        <v>233</v>
      </c>
      <c r="D92" s="966" t="s">
        <v>255</v>
      </c>
      <c r="E92" s="967"/>
      <c r="F92" s="967"/>
      <c r="G92" s="968"/>
      <c r="H92" s="1014">
        <v>1</v>
      </c>
      <c r="I92" s="1015"/>
      <c r="J92" s="1015"/>
      <c r="K92" s="1016"/>
      <c r="L92" s="1094">
        <v>1.1666666666666667</v>
      </c>
      <c r="M92" s="1095"/>
      <c r="N92" s="1095"/>
      <c r="O92" s="1096"/>
      <c r="P92" s="1094">
        <v>1.5</v>
      </c>
      <c r="Q92" s="1095"/>
      <c r="R92" s="1095"/>
      <c r="S92" s="1096"/>
      <c r="T92" s="1094">
        <v>2.5</v>
      </c>
      <c r="U92" s="1095"/>
      <c r="V92" s="1095"/>
      <c r="W92" s="1096"/>
      <c r="X92" s="880"/>
    </row>
    <row r="93" spans="1:24" ht="12.95" customHeight="1" thickBot="1">
      <c r="A93" s="885"/>
      <c r="B93" s="885"/>
      <c r="C93" s="9" t="s">
        <v>234</v>
      </c>
      <c r="D93" s="957"/>
      <c r="E93" s="958"/>
      <c r="F93" s="958"/>
      <c r="G93" s="959"/>
      <c r="H93" s="957"/>
      <c r="I93" s="958"/>
      <c r="J93" s="958"/>
      <c r="K93" s="959"/>
      <c r="L93" s="1057" t="s">
        <v>909</v>
      </c>
      <c r="M93" s="1058"/>
      <c r="N93" s="1058"/>
      <c r="O93" s="1059"/>
      <c r="P93" s="1094">
        <f>'State Agg LFx3 (2015)'!P93</f>
        <v>1.1499999999999999</v>
      </c>
      <c r="Q93" s="1095"/>
      <c r="R93" s="1095"/>
      <c r="S93" s="1096"/>
      <c r="T93" s="1094">
        <f>'State Agg LFx3 (2015)'!T93</f>
        <v>1.55</v>
      </c>
      <c r="U93" s="1095"/>
      <c r="V93" s="1095"/>
      <c r="W93" s="1096"/>
      <c r="X93" s="880"/>
    </row>
    <row r="94" spans="1:24" ht="13.5" thickBot="1">
      <c r="A94" s="885"/>
      <c r="B94" s="885"/>
      <c r="C94" s="102" t="s">
        <v>236</v>
      </c>
      <c r="D94" s="1008" t="s">
        <v>416</v>
      </c>
      <c r="E94" s="1009"/>
      <c r="F94" s="1009"/>
      <c r="G94" s="1010"/>
      <c r="H94" s="1020">
        <v>2.7</v>
      </c>
      <c r="I94" s="1021"/>
      <c r="J94" s="1021"/>
      <c r="K94" s="1022"/>
      <c r="L94" s="1020">
        <v>2.5</v>
      </c>
      <c r="M94" s="1021"/>
      <c r="N94" s="1021"/>
      <c r="O94" s="1022"/>
      <c r="P94" s="1020" t="s">
        <v>779</v>
      </c>
      <c r="Q94" s="1021"/>
      <c r="R94" s="1021"/>
      <c r="S94" s="1022"/>
      <c r="T94" s="1020">
        <f>'State Agg LFx3 (2015)'!T94</f>
        <v>0</v>
      </c>
      <c r="U94" s="1021"/>
      <c r="V94" s="1021"/>
      <c r="W94" s="1022"/>
      <c r="X94" s="880"/>
    </row>
    <row r="95" spans="1:24" ht="13.5" thickBot="1">
      <c r="A95" s="885"/>
      <c r="B95" s="885"/>
      <c r="C95" s="102" t="s">
        <v>283</v>
      </c>
      <c r="D95" s="1017"/>
      <c r="E95" s="1018"/>
      <c r="F95" s="1018"/>
      <c r="G95" s="1019"/>
      <c r="H95" s="1017"/>
      <c r="I95" s="1018"/>
      <c r="J95" s="1018"/>
      <c r="K95" s="1019"/>
      <c r="L95" s="1020">
        <v>1.2</v>
      </c>
      <c r="M95" s="1021"/>
      <c r="N95" s="1021"/>
      <c r="O95" s="1022"/>
      <c r="P95" s="1020" t="s">
        <v>780</v>
      </c>
      <c r="Q95" s="1021"/>
      <c r="R95" s="1021"/>
      <c r="S95" s="1022"/>
      <c r="T95" s="1020">
        <f>'State Agg LFx3 (2015)'!T95</f>
        <v>0</v>
      </c>
      <c r="U95" s="1021"/>
      <c r="V95" s="1021"/>
      <c r="W95" s="1022"/>
      <c r="X95" s="880"/>
    </row>
    <row r="96" spans="1:24" ht="13.5" thickBot="1">
      <c r="A96" s="885"/>
      <c r="B96" s="885"/>
      <c r="C96" s="102" t="s">
        <v>284</v>
      </c>
      <c r="D96" s="1017"/>
      <c r="E96" s="1018"/>
      <c r="F96" s="1018"/>
      <c r="G96" s="1019"/>
      <c r="H96" s="1017"/>
      <c r="I96" s="1018"/>
      <c r="J96" s="1018"/>
      <c r="K96" s="1019"/>
      <c r="L96" s="1017"/>
      <c r="M96" s="1018"/>
      <c r="N96" s="1018"/>
      <c r="O96" s="1019"/>
      <c r="P96" s="1017"/>
      <c r="Q96" s="1018"/>
      <c r="R96" s="1018"/>
      <c r="S96" s="1019"/>
      <c r="T96" s="1020">
        <f>'State Agg LFx3 (2015)'!T96</f>
        <v>0</v>
      </c>
      <c r="U96" s="1021"/>
      <c r="V96" s="1021"/>
      <c r="W96" s="1022"/>
      <c r="X96" s="880"/>
    </row>
    <row r="97" spans="1:24" ht="13.5" thickBot="1">
      <c r="A97" s="885"/>
      <c r="B97" s="885"/>
      <c r="C97" s="998" t="s">
        <v>413</v>
      </c>
      <c r="D97" s="927" t="s">
        <v>4</v>
      </c>
      <c r="E97" s="928"/>
      <c r="F97" s="928"/>
      <c r="G97" s="928"/>
      <c r="H97" s="928"/>
      <c r="I97" s="928"/>
      <c r="J97" s="928"/>
      <c r="K97" s="928"/>
      <c r="L97" s="928"/>
      <c r="M97" s="928"/>
      <c r="N97" s="928"/>
      <c r="O97" s="928"/>
      <c r="P97" s="928"/>
      <c r="Q97" s="928"/>
      <c r="R97" s="928"/>
      <c r="S97" s="928"/>
      <c r="T97" s="928"/>
      <c r="U97" s="928"/>
      <c r="V97" s="928"/>
      <c r="W97" s="929"/>
      <c r="X97" s="880"/>
    </row>
    <row r="98" spans="1:24" ht="24" customHeight="1" thickBot="1">
      <c r="A98" s="885"/>
      <c r="B98" s="869"/>
      <c r="C98" s="999"/>
      <c r="D98" s="930" t="s">
        <v>120</v>
      </c>
      <c r="E98" s="931"/>
      <c r="F98" s="931"/>
      <c r="G98" s="931"/>
      <c r="H98" s="931"/>
      <c r="I98" s="931"/>
      <c r="J98" s="931"/>
      <c r="K98" s="931"/>
      <c r="L98" s="931"/>
      <c r="M98" s="931"/>
      <c r="N98" s="931"/>
      <c r="O98" s="931"/>
      <c r="P98" s="931"/>
      <c r="Q98" s="931"/>
      <c r="R98" s="931"/>
      <c r="S98" s="931"/>
      <c r="T98" s="931"/>
      <c r="U98" s="931"/>
      <c r="V98" s="931"/>
      <c r="W98" s="932"/>
      <c r="X98" s="880"/>
    </row>
    <row r="99" spans="1:24" ht="13.5" thickBot="1">
      <c r="A99" s="885"/>
      <c r="B99" s="11" t="s">
        <v>17</v>
      </c>
      <c r="C99" s="12"/>
      <c r="D99" s="927" t="s">
        <v>78</v>
      </c>
      <c r="E99" s="928"/>
      <c r="F99" s="928"/>
      <c r="G99" s="929"/>
      <c r="H99" s="927" t="s">
        <v>77</v>
      </c>
      <c r="I99" s="928"/>
      <c r="J99" s="928"/>
      <c r="K99" s="929"/>
      <c r="L99" s="927" t="s">
        <v>81</v>
      </c>
      <c r="M99" s="928"/>
      <c r="N99" s="928"/>
      <c r="O99" s="929"/>
      <c r="P99" s="927" t="s">
        <v>254</v>
      </c>
      <c r="Q99" s="928"/>
      <c r="R99" s="928"/>
      <c r="S99" s="929"/>
      <c r="T99" s="927" t="s">
        <v>76</v>
      </c>
      <c r="U99" s="928"/>
      <c r="V99" s="928"/>
      <c r="W99" s="929"/>
      <c r="X99" s="880"/>
    </row>
    <row r="100" spans="1:24" ht="13.5" thickBot="1">
      <c r="A100" s="885"/>
      <c r="B100" s="868" t="s">
        <v>59</v>
      </c>
      <c r="C100" s="9" t="s">
        <v>235</v>
      </c>
      <c r="D100" s="1014">
        <v>1</v>
      </c>
      <c r="E100" s="1015"/>
      <c r="F100" s="1015"/>
      <c r="G100" s="1016"/>
      <c r="H100" s="1014">
        <v>2.1</v>
      </c>
      <c r="I100" s="1015"/>
      <c r="J100" s="1015"/>
      <c r="K100" s="1016"/>
      <c r="L100" s="1094">
        <v>2.7</v>
      </c>
      <c r="M100" s="1095"/>
      <c r="N100" s="1095"/>
      <c r="O100" s="1096"/>
      <c r="P100" s="1094">
        <v>3.3</v>
      </c>
      <c r="Q100" s="1095"/>
      <c r="R100" s="1095"/>
      <c r="S100" s="1096"/>
      <c r="T100" s="1094">
        <v>3.9</v>
      </c>
      <c r="U100" s="1095"/>
      <c r="V100" s="1095"/>
      <c r="W100" s="1096"/>
      <c r="X100" s="880"/>
    </row>
    <row r="101" spans="1:24" ht="13.5" thickBot="1">
      <c r="A101" s="885"/>
      <c r="B101" s="885"/>
      <c r="C101" s="9" t="s">
        <v>233</v>
      </c>
      <c r="D101" s="966" t="s">
        <v>255</v>
      </c>
      <c r="E101" s="967"/>
      <c r="F101" s="967"/>
      <c r="G101" s="968"/>
      <c r="H101" s="1014">
        <v>1</v>
      </c>
      <c r="I101" s="1015"/>
      <c r="J101" s="1015"/>
      <c r="K101" s="1016"/>
      <c r="L101" s="1094">
        <v>1</v>
      </c>
      <c r="M101" s="1095"/>
      <c r="N101" s="1095"/>
      <c r="O101" s="1096"/>
      <c r="P101" s="1094">
        <v>1.4</v>
      </c>
      <c r="Q101" s="1095"/>
      <c r="R101" s="1095"/>
      <c r="S101" s="1096"/>
      <c r="T101" s="1094">
        <v>2.4</v>
      </c>
      <c r="U101" s="1095"/>
      <c r="V101" s="1095"/>
      <c r="W101" s="1096"/>
      <c r="X101" s="880"/>
    </row>
    <row r="102" spans="1:24" ht="12.95" customHeight="1" thickBot="1">
      <c r="A102" s="885"/>
      <c r="B102" s="885"/>
      <c r="C102" s="9" t="s">
        <v>234</v>
      </c>
      <c r="D102" s="957"/>
      <c r="E102" s="958"/>
      <c r="F102" s="958"/>
      <c r="G102" s="959"/>
      <c r="H102" s="957"/>
      <c r="I102" s="958"/>
      <c r="J102" s="958"/>
      <c r="K102" s="959"/>
      <c r="L102" s="1057" t="s">
        <v>909</v>
      </c>
      <c r="M102" s="1058"/>
      <c r="N102" s="1058"/>
      <c r="O102" s="1059"/>
      <c r="P102" s="1094">
        <f>'State Agg LFx3 (2015)'!P102</f>
        <v>1.5</v>
      </c>
      <c r="Q102" s="1095"/>
      <c r="R102" s="1095"/>
      <c r="S102" s="1096"/>
      <c r="T102" s="1094">
        <f>'State Agg LFx3 (2015)'!T102</f>
        <v>1.9</v>
      </c>
      <c r="U102" s="1095"/>
      <c r="V102" s="1095"/>
      <c r="W102" s="1096"/>
      <c r="X102" s="880"/>
    </row>
    <row r="103" spans="1:24" ht="13.5" thickBot="1">
      <c r="A103" s="885"/>
      <c r="B103" s="885"/>
      <c r="C103" s="102" t="s">
        <v>236</v>
      </c>
      <c r="D103" s="1008" t="s">
        <v>416</v>
      </c>
      <c r="E103" s="1009"/>
      <c r="F103" s="1009"/>
      <c r="G103" s="1010"/>
      <c r="H103" s="1020">
        <v>2.6</v>
      </c>
      <c r="I103" s="1021"/>
      <c r="J103" s="1021"/>
      <c r="K103" s="1022"/>
      <c r="L103" s="1020">
        <v>2.8</v>
      </c>
      <c r="M103" s="1021"/>
      <c r="N103" s="1021"/>
      <c r="O103" s="1022"/>
      <c r="P103" s="1020" t="s">
        <v>781</v>
      </c>
      <c r="Q103" s="1021"/>
      <c r="R103" s="1021"/>
      <c r="S103" s="1022"/>
      <c r="T103" s="1020">
        <f>'State Agg LFx3 (2015)'!T103</f>
        <v>0</v>
      </c>
      <c r="U103" s="1021"/>
      <c r="V103" s="1021"/>
      <c r="W103" s="1022"/>
      <c r="X103" s="880"/>
    </row>
    <row r="104" spans="1:24" ht="13.5" thickBot="1">
      <c r="A104" s="885"/>
      <c r="B104" s="885"/>
      <c r="C104" s="102" t="s">
        <v>283</v>
      </c>
      <c r="D104" s="1017"/>
      <c r="E104" s="1018"/>
      <c r="F104" s="1018"/>
      <c r="G104" s="1019"/>
      <c r="H104" s="1017"/>
      <c r="I104" s="1018"/>
      <c r="J104" s="1018"/>
      <c r="K104" s="1019"/>
      <c r="L104" s="1020">
        <v>1</v>
      </c>
      <c r="M104" s="1021"/>
      <c r="N104" s="1021"/>
      <c r="O104" s="1022"/>
      <c r="P104" s="1020" t="s">
        <v>782</v>
      </c>
      <c r="Q104" s="1021"/>
      <c r="R104" s="1021"/>
      <c r="S104" s="1022"/>
      <c r="T104" s="1020">
        <f>'State Agg LFx3 (2015)'!T104</f>
        <v>0</v>
      </c>
      <c r="U104" s="1021"/>
      <c r="V104" s="1021"/>
      <c r="W104" s="1022"/>
      <c r="X104" s="880"/>
    </row>
    <row r="105" spans="1:24" ht="13.5" thickBot="1">
      <c r="A105" s="885"/>
      <c r="B105" s="885"/>
      <c r="C105" s="102" t="s">
        <v>284</v>
      </c>
      <c r="D105" s="1017"/>
      <c r="E105" s="1018"/>
      <c r="F105" s="1018"/>
      <c r="G105" s="1019"/>
      <c r="H105" s="1017"/>
      <c r="I105" s="1018"/>
      <c r="J105" s="1018"/>
      <c r="K105" s="1019"/>
      <c r="L105" s="1017"/>
      <c r="M105" s="1018"/>
      <c r="N105" s="1018"/>
      <c r="O105" s="1019"/>
      <c r="P105" s="1017"/>
      <c r="Q105" s="1018"/>
      <c r="R105" s="1018"/>
      <c r="S105" s="1019"/>
      <c r="T105" s="1020">
        <f>'State Agg LFx3 (2015)'!T105</f>
        <v>0</v>
      </c>
      <c r="U105" s="1021"/>
      <c r="V105" s="1021"/>
      <c r="W105" s="1022"/>
      <c r="X105" s="880"/>
    </row>
    <row r="106" spans="1:24" ht="13.5" thickBot="1">
      <c r="A106" s="885"/>
      <c r="B106" s="885"/>
      <c r="C106" s="998" t="s">
        <v>413</v>
      </c>
      <c r="D106" s="927" t="s">
        <v>4</v>
      </c>
      <c r="E106" s="928"/>
      <c r="F106" s="928"/>
      <c r="G106" s="928"/>
      <c r="H106" s="928"/>
      <c r="I106" s="928"/>
      <c r="J106" s="928"/>
      <c r="K106" s="928"/>
      <c r="L106" s="928"/>
      <c r="M106" s="928"/>
      <c r="N106" s="928"/>
      <c r="O106" s="928"/>
      <c r="P106" s="928"/>
      <c r="Q106" s="928"/>
      <c r="R106" s="928"/>
      <c r="S106" s="928"/>
      <c r="T106" s="928"/>
      <c r="U106" s="928"/>
      <c r="V106" s="928"/>
      <c r="W106" s="929"/>
      <c r="X106" s="880"/>
    </row>
    <row r="107" spans="1:24" ht="13.5" thickBot="1">
      <c r="A107" s="885"/>
      <c r="B107" s="869"/>
      <c r="C107" s="999"/>
      <c r="D107" s="930" t="s">
        <v>118</v>
      </c>
      <c r="E107" s="931"/>
      <c r="F107" s="931"/>
      <c r="G107" s="931"/>
      <c r="H107" s="931"/>
      <c r="I107" s="931"/>
      <c r="J107" s="931"/>
      <c r="K107" s="931"/>
      <c r="L107" s="931"/>
      <c r="M107" s="931"/>
      <c r="N107" s="931"/>
      <c r="O107" s="931"/>
      <c r="P107" s="931"/>
      <c r="Q107" s="931"/>
      <c r="R107" s="931"/>
      <c r="S107" s="931"/>
      <c r="T107" s="931"/>
      <c r="U107" s="931"/>
      <c r="V107" s="931"/>
      <c r="W107" s="932"/>
      <c r="X107" s="880"/>
    </row>
    <row r="108" spans="1:24" ht="13.5" thickBot="1">
      <c r="A108" s="885"/>
      <c r="B108" s="11" t="s">
        <v>18</v>
      </c>
      <c r="C108" s="12"/>
      <c r="D108" s="927" t="s">
        <v>78</v>
      </c>
      <c r="E108" s="928"/>
      <c r="F108" s="928"/>
      <c r="G108" s="929"/>
      <c r="H108" s="927" t="s">
        <v>77</v>
      </c>
      <c r="I108" s="928"/>
      <c r="J108" s="928"/>
      <c r="K108" s="929"/>
      <c r="L108" s="927" t="s">
        <v>81</v>
      </c>
      <c r="M108" s="928"/>
      <c r="N108" s="928"/>
      <c r="O108" s="929"/>
      <c r="P108" s="927" t="s">
        <v>254</v>
      </c>
      <c r="Q108" s="928"/>
      <c r="R108" s="928"/>
      <c r="S108" s="929"/>
      <c r="T108" s="927" t="s">
        <v>76</v>
      </c>
      <c r="U108" s="928"/>
      <c r="V108" s="928"/>
      <c r="W108" s="929"/>
      <c r="X108" s="880"/>
    </row>
    <row r="109" spans="1:24" ht="13.5" thickBot="1">
      <c r="A109" s="885"/>
      <c r="B109" s="868" t="s">
        <v>60</v>
      </c>
      <c r="C109" s="9" t="s">
        <v>247</v>
      </c>
      <c r="D109" s="1000">
        <v>0</v>
      </c>
      <c r="E109" s="1001"/>
      <c r="F109" s="1001"/>
      <c r="G109" s="1002"/>
      <c r="H109" s="1000">
        <v>0</v>
      </c>
      <c r="I109" s="1001"/>
      <c r="J109" s="1001"/>
      <c r="K109" s="1002"/>
      <c r="L109" s="1000">
        <v>5</v>
      </c>
      <c r="M109" s="1001"/>
      <c r="N109" s="1001"/>
      <c r="O109" s="1002"/>
      <c r="P109" s="1000">
        <v>15</v>
      </c>
      <c r="Q109" s="1001"/>
      <c r="R109" s="1001"/>
      <c r="S109" s="1002"/>
      <c r="T109" s="1000">
        <v>30</v>
      </c>
      <c r="U109" s="1001"/>
      <c r="V109" s="1001"/>
      <c r="W109" s="1002"/>
      <c r="X109" s="880"/>
    </row>
    <row r="110" spans="1:24" ht="13.5" thickBot="1">
      <c r="A110" s="869"/>
      <c r="B110" s="885"/>
      <c r="C110" s="102" t="s">
        <v>246</v>
      </c>
      <c r="D110" s="1003" t="s">
        <v>172</v>
      </c>
      <c r="E110" s="1004"/>
      <c r="F110" s="1004"/>
      <c r="G110" s="1005"/>
      <c r="H110" s="1003" t="s">
        <v>417</v>
      </c>
      <c r="I110" s="1004"/>
      <c r="J110" s="1004"/>
      <c r="K110" s="1005"/>
      <c r="L110" s="995">
        <v>11</v>
      </c>
      <c r="M110" s="996"/>
      <c r="N110" s="996"/>
      <c r="O110" s="997"/>
      <c r="P110" s="995" t="s">
        <v>783</v>
      </c>
      <c r="Q110" s="996"/>
      <c r="R110" s="996"/>
      <c r="S110" s="997"/>
      <c r="T110" s="995">
        <f>'State Agg LFx3 (2015)'!T110</f>
        <v>0</v>
      </c>
      <c r="U110" s="996"/>
      <c r="V110" s="996"/>
      <c r="W110" s="997"/>
      <c r="X110" s="881"/>
    </row>
    <row r="111" spans="1:24" ht="13.5" thickBot="1">
      <c r="A111" s="520" t="s">
        <v>13</v>
      </c>
      <c r="B111" s="885"/>
      <c r="C111" s="998" t="s">
        <v>413</v>
      </c>
      <c r="D111" s="927" t="s">
        <v>4</v>
      </c>
      <c r="E111" s="928"/>
      <c r="F111" s="928"/>
      <c r="G111" s="928"/>
      <c r="H111" s="928"/>
      <c r="I111" s="928"/>
      <c r="J111" s="928"/>
      <c r="K111" s="928"/>
      <c r="L111" s="928"/>
      <c r="M111" s="928"/>
      <c r="N111" s="928"/>
      <c r="O111" s="928"/>
      <c r="P111" s="928"/>
      <c r="Q111" s="928"/>
      <c r="R111" s="928"/>
      <c r="S111" s="928"/>
      <c r="T111" s="928"/>
      <c r="U111" s="928"/>
      <c r="V111" s="928"/>
      <c r="W111" s="929"/>
      <c r="X111" s="24" t="s">
        <v>14</v>
      </c>
    </row>
    <row r="112" spans="1:24" ht="13.5" thickBot="1">
      <c r="A112" s="25" t="s">
        <v>75</v>
      </c>
      <c r="B112" s="869"/>
      <c r="C112" s="999"/>
      <c r="D112" s="930" t="s">
        <v>119</v>
      </c>
      <c r="E112" s="931"/>
      <c r="F112" s="931"/>
      <c r="G112" s="931"/>
      <c r="H112" s="931"/>
      <c r="I112" s="931"/>
      <c r="J112" s="931"/>
      <c r="K112" s="931"/>
      <c r="L112" s="931"/>
      <c r="M112" s="931"/>
      <c r="N112" s="931"/>
      <c r="O112" s="931"/>
      <c r="P112" s="931"/>
      <c r="Q112" s="931"/>
      <c r="R112" s="931"/>
      <c r="S112" s="931"/>
      <c r="T112" s="931"/>
      <c r="U112" s="931"/>
      <c r="V112" s="931"/>
      <c r="W112" s="932"/>
      <c r="X112" s="18" t="s">
        <v>92</v>
      </c>
    </row>
    <row r="113" spans="1:24" ht="13.5" thickBot="1">
      <c r="A113" s="906" t="s">
        <v>7</v>
      </c>
      <c r="B113" s="908" t="s">
        <v>173</v>
      </c>
      <c r="C113" s="918"/>
      <c r="D113" s="908" t="s">
        <v>8</v>
      </c>
      <c r="E113" s="918"/>
      <c r="F113" s="918"/>
      <c r="G113" s="909"/>
      <c r="H113" s="908" t="s">
        <v>88</v>
      </c>
      <c r="I113" s="918"/>
      <c r="J113" s="918"/>
      <c r="K113" s="909"/>
      <c r="L113" s="908" t="s">
        <v>89</v>
      </c>
      <c r="M113" s="918"/>
      <c r="N113" s="918"/>
      <c r="O113" s="909"/>
      <c r="P113" s="908" t="s">
        <v>9</v>
      </c>
      <c r="Q113" s="918"/>
      <c r="R113" s="918"/>
      <c r="S113" s="909"/>
      <c r="T113" s="908" t="s">
        <v>174</v>
      </c>
      <c r="U113" s="918"/>
      <c r="V113" s="918"/>
      <c r="W113" s="918"/>
      <c r="X113" s="909"/>
    </row>
    <row r="114" spans="1:24" ht="13.5" thickBot="1">
      <c r="A114" s="907"/>
      <c r="B114" s="919">
        <v>6200000</v>
      </c>
      <c r="C114" s="921"/>
      <c r="D114" s="919">
        <v>900000</v>
      </c>
      <c r="E114" s="921"/>
      <c r="F114" s="921"/>
      <c r="G114" s="920"/>
      <c r="H114" s="919">
        <v>1800000</v>
      </c>
      <c r="I114" s="921"/>
      <c r="J114" s="921"/>
      <c r="K114" s="920"/>
      <c r="L114" s="919">
        <v>3300000</v>
      </c>
      <c r="M114" s="921"/>
      <c r="N114" s="921"/>
      <c r="O114" s="920"/>
      <c r="P114" s="919">
        <f>SUM(B114:O114)</f>
        <v>12200000</v>
      </c>
      <c r="Q114" s="921"/>
      <c r="R114" s="921"/>
      <c r="S114" s="920"/>
      <c r="T114" s="942">
        <f>B114/P114%</f>
        <v>50.819672131147541</v>
      </c>
      <c r="U114" s="943"/>
      <c r="V114" s="943"/>
      <c r="W114" s="943"/>
      <c r="X114" s="944"/>
    </row>
    <row r="115" spans="1:24" ht="13.5" thickBot="1">
      <c r="A115" s="906" t="s">
        <v>10</v>
      </c>
      <c r="B115" s="908" t="s">
        <v>175</v>
      </c>
      <c r="C115" s="918"/>
      <c r="D115" s="910"/>
      <c r="E115" s="911"/>
      <c r="F115" s="911"/>
      <c r="G115" s="911"/>
      <c r="H115" s="911"/>
      <c r="I115" s="911"/>
      <c r="J115" s="911"/>
      <c r="K115" s="911"/>
      <c r="L115" s="911"/>
      <c r="M115" s="911"/>
      <c r="N115" s="911"/>
      <c r="O115" s="911"/>
      <c r="P115" s="911"/>
      <c r="Q115" s="911"/>
      <c r="R115" s="911"/>
      <c r="S115" s="911"/>
      <c r="T115" s="911"/>
      <c r="U115" s="911"/>
      <c r="V115" s="911"/>
      <c r="W115" s="911"/>
      <c r="X115" s="912"/>
    </row>
    <row r="116" spans="1:24" ht="13.5" thickBot="1">
      <c r="A116" s="907"/>
      <c r="B116" s="916"/>
      <c r="C116" s="994"/>
      <c r="D116" s="913"/>
      <c r="E116" s="914"/>
      <c r="F116" s="914"/>
      <c r="G116" s="914"/>
      <c r="H116" s="914"/>
      <c r="I116" s="914"/>
      <c r="J116" s="914"/>
      <c r="K116" s="914"/>
      <c r="L116" s="914"/>
      <c r="M116" s="914"/>
      <c r="N116" s="914"/>
      <c r="O116" s="914"/>
      <c r="P116" s="914"/>
      <c r="Q116" s="914"/>
      <c r="R116" s="914"/>
      <c r="S116" s="914"/>
      <c r="T116" s="914"/>
      <c r="U116" s="914"/>
      <c r="V116" s="914"/>
      <c r="W116" s="914"/>
      <c r="X116" s="915"/>
    </row>
    <row r="117" spans="1:24">
      <c r="A117" s="5"/>
      <c r="B117" s="5"/>
      <c r="C117" s="6"/>
      <c r="D117" s="5"/>
      <c r="E117" s="5"/>
      <c r="F117" s="5"/>
      <c r="G117" s="5"/>
      <c r="H117" s="5"/>
      <c r="I117" s="5"/>
      <c r="J117" s="5"/>
      <c r="K117" s="5"/>
      <c r="L117" s="5"/>
      <c r="M117" s="5"/>
      <c r="N117" s="5"/>
      <c r="O117" s="5"/>
      <c r="P117" s="5"/>
      <c r="Q117" s="5"/>
      <c r="R117" s="5"/>
      <c r="S117" s="5"/>
      <c r="T117" s="5"/>
      <c r="U117" s="5"/>
      <c r="V117" s="5"/>
      <c r="W117" s="5"/>
      <c r="X117" s="5"/>
    </row>
    <row r="118" spans="1:24" ht="13.5" thickBot="1">
      <c r="A118" s="5"/>
      <c r="B118" s="5"/>
      <c r="C118" s="6"/>
      <c r="D118" s="5"/>
      <c r="E118" s="5"/>
      <c r="F118" s="5"/>
      <c r="G118" s="5"/>
      <c r="H118" s="5"/>
      <c r="I118" s="5"/>
      <c r="J118" s="5"/>
      <c r="K118" s="5"/>
      <c r="L118" s="115"/>
      <c r="M118" s="5"/>
      <c r="N118" s="5"/>
      <c r="O118" s="5"/>
      <c r="P118" s="5"/>
      <c r="Q118" s="5"/>
      <c r="R118" s="5"/>
      <c r="S118" s="5"/>
      <c r="T118" s="5"/>
      <c r="U118" s="5"/>
      <c r="V118" s="5"/>
      <c r="W118" s="5"/>
      <c r="X118" s="5"/>
    </row>
    <row r="119" spans="1:24" ht="13.5" thickBot="1">
      <c r="A119" s="519" t="s">
        <v>15</v>
      </c>
      <c r="B119" s="522" t="s">
        <v>19</v>
      </c>
      <c r="C119" s="8"/>
      <c r="D119" s="927" t="s">
        <v>78</v>
      </c>
      <c r="E119" s="928"/>
      <c r="F119" s="928"/>
      <c r="G119" s="929"/>
      <c r="H119" s="927" t="s">
        <v>77</v>
      </c>
      <c r="I119" s="928"/>
      <c r="J119" s="928"/>
      <c r="K119" s="929"/>
      <c r="L119" s="927" t="s">
        <v>81</v>
      </c>
      <c r="M119" s="928"/>
      <c r="N119" s="928"/>
      <c r="O119" s="929"/>
      <c r="P119" s="927" t="s">
        <v>254</v>
      </c>
      <c r="Q119" s="928"/>
      <c r="R119" s="928"/>
      <c r="S119" s="929"/>
      <c r="T119" s="927" t="s">
        <v>76</v>
      </c>
      <c r="U119" s="928"/>
      <c r="V119" s="928"/>
      <c r="W119" s="929"/>
      <c r="X119" s="16" t="s">
        <v>6</v>
      </c>
    </row>
    <row r="120" spans="1:24" ht="12.95" customHeight="1" thickBot="1">
      <c r="A120" s="868" t="s">
        <v>61</v>
      </c>
      <c r="B120" s="868" t="s">
        <v>62</v>
      </c>
      <c r="C120" s="9" t="s">
        <v>235</v>
      </c>
      <c r="D120" s="1014">
        <v>1</v>
      </c>
      <c r="E120" s="1015"/>
      <c r="F120" s="1015"/>
      <c r="G120" s="1016"/>
      <c r="H120" s="1014">
        <v>1.8</v>
      </c>
      <c r="I120" s="1015"/>
      <c r="J120" s="1015"/>
      <c r="K120" s="1016"/>
      <c r="L120" s="1094">
        <v>2.4</v>
      </c>
      <c r="M120" s="1095"/>
      <c r="N120" s="1095"/>
      <c r="O120" s="1096"/>
      <c r="P120" s="1094">
        <v>3.1</v>
      </c>
      <c r="Q120" s="1095"/>
      <c r="R120" s="1095"/>
      <c r="S120" s="1096"/>
      <c r="T120" s="1094">
        <v>3.7</v>
      </c>
      <c r="U120" s="1095"/>
      <c r="V120" s="1095"/>
      <c r="W120" s="1096"/>
      <c r="X120" s="879" t="s">
        <v>94</v>
      </c>
    </row>
    <row r="121" spans="1:24" ht="12.95" customHeight="1" thickBot="1">
      <c r="A121" s="885"/>
      <c r="B121" s="885"/>
      <c r="C121" s="9" t="s">
        <v>233</v>
      </c>
      <c r="D121" s="966" t="s">
        <v>255</v>
      </c>
      <c r="E121" s="967"/>
      <c r="F121" s="967"/>
      <c r="G121" s="968"/>
      <c r="H121" s="1014">
        <v>1</v>
      </c>
      <c r="I121" s="1015"/>
      <c r="J121" s="1015"/>
      <c r="K121" s="1016"/>
      <c r="L121" s="1094">
        <v>1</v>
      </c>
      <c r="M121" s="1095"/>
      <c r="N121" s="1095"/>
      <c r="O121" s="1096"/>
      <c r="P121" s="1094">
        <v>1.4</v>
      </c>
      <c r="Q121" s="1095"/>
      <c r="R121" s="1095"/>
      <c r="S121" s="1096"/>
      <c r="T121" s="1094">
        <v>2.6</v>
      </c>
      <c r="U121" s="1095"/>
      <c r="V121" s="1095"/>
      <c r="W121" s="1096"/>
      <c r="X121" s="880"/>
    </row>
    <row r="122" spans="1:24" ht="12.95" customHeight="1" thickBot="1">
      <c r="A122" s="885"/>
      <c r="B122" s="885"/>
      <c r="C122" s="9" t="s">
        <v>234</v>
      </c>
      <c r="D122" s="957"/>
      <c r="E122" s="958"/>
      <c r="F122" s="958"/>
      <c r="G122" s="959"/>
      <c r="H122" s="957"/>
      <c r="I122" s="958"/>
      <c r="J122" s="958"/>
      <c r="K122" s="959"/>
      <c r="L122" s="1057" t="s">
        <v>909</v>
      </c>
      <c r="M122" s="1058"/>
      <c r="N122" s="1058"/>
      <c r="O122" s="1059"/>
      <c r="P122" s="1094">
        <f>'State Agg LFx3 (2015)'!P122</f>
        <v>1.05</v>
      </c>
      <c r="Q122" s="1095"/>
      <c r="R122" s="1095"/>
      <c r="S122" s="1096"/>
      <c r="T122" s="1094">
        <f>'State Agg LFx3 (2015)'!T122</f>
        <v>1.4500000000000002</v>
      </c>
      <c r="U122" s="1095"/>
      <c r="V122" s="1095"/>
      <c r="W122" s="1096"/>
      <c r="X122" s="880"/>
    </row>
    <row r="123" spans="1:24" ht="13.5" thickBot="1">
      <c r="A123" s="885"/>
      <c r="B123" s="885"/>
      <c r="C123" s="102" t="s">
        <v>236</v>
      </c>
      <c r="D123" s="1008" t="s">
        <v>416</v>
      </c>
      <c r="E123" s="1009"/>
      <c r="F123" s="1009"/>
      <c r="G123" s="1010"/>
      <c r="H123" s="1020">
        <v>2</v>
      </c>
      <c r="I123" s="1021"/>
      <c r="J123" s="1021"/>
      <c r="K123" s="1022"/>
      <c r="L123" s="1020">
        <v>2.5</v>
      </c>
      <c r="M123" s="1021"/>
      <c r="N123" s="1021"/>
      <c r="O123" s="1022"/>
      <c r="P123" s="1020" t="s">
        <v>784</v>
      </c>
      <c r="Q123" s="1021"/>
      <c r="R123" s="1021"/>
      <c r="S123" s="1022"/>
      <c r="T123" s="1020">
        <f>'State Agg LFx3 (2015)'!T123</f>
        <v>0</v>
      </c>
      <c r="U123" s="1021"/>
      <c r="V123" s="1021"/>
      <c r="W123" s="1022"/>
      <c r="X123" s="880"/>
    </row>
    <row r="124" spans="1:24" ht="13.5" thickBot="1">
      <c r="A124" s="885"/>
      <c r="B124" s="885"/>
      <c r="C124" s="102" t="s">
        <v>283</v>
      </c>
      <c r="D124" s="1017"/>
      <c r="E124" s="1018"/>
      <c r="F124" s="1018"/>
      <c r="G124" s="1019"/>
      <c r="H124" s="1017"/>
      <c r="I124" s="1018"/>
      <c r="J124" s="1018"/>
      <c r="K124" s="1019"/>
      <c r="L124" s="1020">
        <v>1</v>
      </c>
      <c r="M124" s="1021"/>
      <c r="N124" s="1021"/>
      <c r="O124" s="1022"/>
      <c r="P124" s="1020">
        <v>1.7</v>
      </c>
      <c r="Q124" s="1021"/>
      <c r="R124" s="1021"/>
      <c r="S124" s="1022"/>
      <c r="T124" s="1020">
        <f>'State Agg LFx3 (2015)'!T124</f>
        <v>0</v>
      </c>
      <c r="U124" s="1021"/>
      <c r="V124" s="1021"/>
      <c r="W124" s="1022"/>
      <c r="X124" s="880"/>
    </row>
    <row r="125" spans="1:24" ht="13.5" thickBot="1">
      <c r="A125" s="885"/>
      <c r="B125" s="885"/>
      <c r="C125" s="102" t="s">
        <v>284</v>
      </c>
      <c r="D125" s="1017"/>
      <c r="E125" s="1018"/>
      <c r="F125" s="1018"/>
      <c r="G125" s="1019"/>
      <c r="H125" s="1017"/>
      <c r="I125" s="1018"/>
      <c r="J125" s="1018"/>
      <c r="K125" s="1019"/>
      <c r="L125" s="1017"/>
      <c r="M125" s="1018"/>
      <c r="N125" s="1018"/>
      <c r="O125" s="1019"/>
      <c r="P125" s="1017"/>
      <c r="Q125" s="1018"/>
      <c r="R125" s="1018"/>
      <c r="S125" s="1019"/>
      <c r="T125" s="1020">
        <f>'State Agg LFx3 (2015)'!T125</f>
        <v>0</v>
      </c>
      <c r="U125" s="1021"/>
      <c r="V125" s="1021"/>
      <c r="W125" s="1022"/>
      <c r="X125" s="880"/>
    </row>
    <row r="126" spans="1:24" ht="13.5" thickBot="1">
      <c r="A126" s="885"/>
      <c r="B126" s="885"/>
      <c r="C126" s="998" t="s">
        <v>413</v>
      </c>
      <c r="D126" s="927" t="s">
        <v>4</v>
      </c>
      <c r="E126" s="928"/>
      <c r="F126" s="928"/>
      <c r="G126" s="928"/>
      <c r="H126" s="928"/>
      <c r="I126" s="928"/>
      <c r="J126" s="928"/>
      <c r="K126" s="928"/>
      <c r="L126" s="928"/>
      <c r="M126" s="928"/>
      <c r="N126" s="928"/>
      <c r="O126" s="928"/>
      <c r="P126" s="928"/>
      <c r="Q126" s="928"/>
      <c r="R126" s="928"/>
      <c r="S126" s="928"/>
      <c r="T126" s="928"/>
      <c r="U126" s="928"/>
      <c r="V126" s="928"/>
      <c r="W126" s="929"/>
      <c r="X126" s="880"/>
    </row>
    <row r="127" spans="1:24" ht="24" customHeight="1" thickBot="1">
      <c r="A127" s="885"/>
      <c r="B127" s="869"/>
      <c r="C127" s="999"/>
      <c r="D127" s="930" t="s">
        <v>120</v>
      </c>
      <c r="E127" s="931"/>
      <c r="F127" s="931"/>
      <c r="G127" s="931"/>
      <c r="H127" s="931"/>
      <c r="I127" s="931"/>
      <c r="J127" s="931"/>
      <c r="K127" s="931"/>
      <c r="L127" s="931"/>
      <c r="M127" s="931"/>
      <c r="N127" s="931"/>
      <c r="O127" s="931"/>
      <c r="P127" s="931"/>
      <c r="Q127" s="931"/>
      <c r="R127" s="931"/>
      <c r="S127" s="931"/>
      <c r="T127" s="931"/>
      <c r="U127" s="931"/>
      <c r="V127" s="931"/>
      <c r="W127" s="932"/>
      <c r="X127" s="880"/>
    </row>
    <row r="128" spans="1:24" ht="13.5" thickBot="1">
      <c r="A128" s="885"/>
      <c r="B128" s="11" t="s">
        <v>20</v>
      </c>
      <c r="C128" s="12"/>
      <c r="D128" s="927" t="s">
        <v>78</v>
      </c>
      <c r="E128" s="928"/>
      <c r="F128" s="928"/>
      <c r="G128" s="929"/>
      <c r="H128" s="927" t="s">
        <v>77</v>
      </c>
      <c r="I128" s="928"/>
      <c r="J128" s="928"/>
      <c r="K128" s="929"/>
      <c r="L128" s="927" t="s">
        <v>81</v>
      </c>
      <c r="M128" s="928"/>
      <c r="N128" s="928"/>
      <c r="O128" s="929"/>
      <c r="P128" s="927" t="s">
        <v>254</v>
      </c>
      <c r="Q128" s="928"/>
      <c r="R128" s="928"/>
      <c r="S128" s="929"/>
      <c r="T128" s="927" t="s">
        <v>76</v>
      </c>
      <c r="U128" s="928"/>
      <c r="V128" s="928"/>
      <c r="W128" s="929"/>
      <c r="X128" s="880"/>
    </row>
    <row r="129" spans="1:24" ht="12.95" customHeight="1" thickBot="1">
      <c r="A129" s="885"/>
      <c r="B129" s="868" t="s">
        <v>59</v>
      </c>
      <c r="C129" s="9" t="s">
        <v>235</v>
      </c>
      <c r="D129" s="1014">
        <v>1</v>
      </c>
      <c r="E129" s="1015"/>
      <c r="F129" s="1015"/>
      <c r="G129" s="1016"/>
      <c r="H129" s="1014">
        <v>1.8</v>
      </c>
      <c r="I129" s="1015"/>
      <c r="J129" s="1015"/>
      <c r="K129" s="1016"/>
      <c r="L129" s="1094">
        <v>2.5</v>
      </c>
      <c r="M129" s="1095"/>
      <c r="N129" s="1095"/>
      <c r="O129" s="1096"/>
      <c r="P129" s="1094">
        <v>3.3</v>
      </c>
      <c r="Q129" s="1095"/>
      <c r="R129" s="1095"/>
      <c r="S129" s="1096"/>
      <c r="T129" s="1094">
        <v>4</v>
      </c>
      <c r="U129" s="1095"/>
      <c r="V129" s="1095"/>
      <c r="W129" s="1096"/>
      <c r="X129" s="880"/>
    </row>
    <row r="130" spans="1:24" ht="12.95" customHeight="1" thickBot="1">
      <c r="A130" s="885"/>
      <c r="B130" s="885"/>
      <c r="C130" s="9" t="s">
        <v>233</v>
      </c>
      <c r="D130" s="966" t="s">
        <v>255</v>
      </c>
      <c r="E130" s="967"/>
      <c r="F130" s="967"/>
      <c r="G130" s="968"/>
      <c r="H130" s="1014">
        <v>1</v>
      </c>
      <c r="I130" s="1015"/>
      <c r="J130" s="1015"/>
      <c r="K130" s="1016"/>
      <c r="L130" s="1094">
        <v>1</v>
      </c>
      <c r="M130" s="1095"/>
      <c r="N130" s="1095"/>
      <c r="O130" s="1096"/>
      <c r="P130" s="1094">
        <v>1.3</v>
      </c>
      <c r="Q130" s="1095"/>
      <c r="R130" s="1095"/>
      <c r="S130" s="1096"/>
      <c r="T130" s="1094">
        <v>2.4</v>
      </c>
      <c r="U130" s="1095"/>
      <c r="V130" s="1095"/>
      <c r="W130" s="1096"/>
      <c r="X130" s="880"/>
    </row>
    <row r="131" spans="1:24" ht="12.95" customHeight="1" thickBot="1">
      <c r="A131" s="885"/>
      <c r="B131" s="885"/>
      <c r="C131" s="9" t="s">
        <v>234</v>
      </c>
      <c r="D131" s="957"/>
      <c r="E131" s="958"/>
      <c r="F131" s="958"/>
      <c r="G131" s="959"/>
      <c r="H131" s="957"/>
      <c r="I131" s="958"/>
      <c r="J131" s="958"/>
      <c r="K131" s="959"/>
      <c r="L131" s="1057" t="s">
        <v>909</v>
      </c>
      <c r="M131" s="1058"/>
      <c r="N131" s="1058"/>
      <c r="O131" s="1059"/>
      <c r="P131" s="1094">
        <f>'State Agg LFx3 (2015)'!P131</f>
        <v>1</v>
      </c>
      <c r="Q131" s="1095"/>
      <c r="R131" s="1095"/>
      <c r="S131" s="1096"/>
      <c r="T131" s="1094">
        <f>'State Agg LFx3 (2015)'!T131</f>
        <v>1.4</v>
      </c>
      <c r="U131" s="1095"/>
      <c r="V131" s="1095"/>
      <c r="W131" s="1096"/>
      <c r="X131" s="880"/>
    </row>
    <row r="132" spans="1:24" ht="13.5" thickBot="1">
      <c r="A132" s="885"/>
      <c r="B132" s="885"/>
      <c r="C132" s="102" t="s">
        <v>236</v>
      </c>
      <c r="D132" s="1008" t="s">
        <v>416</v>
      </c>
      <c r="E132" s="1009"/>
      <c r="F132" s="1009"/>
      <c r="G132" s="1010"/>
      <c r="H132" s="1020">
        <v>1.8</v>
      </c>
      <c r="I132" s="1021"/>
      <c r="J132" s="1021"/>
      <c r="K132" s="1022"/>
      <c r="L132" s="1020">
        <v>2.9</v>
      </c>
      <c r="M132" s="1021"/>
      <c r="N132" s="1021"/>
      <c r="O132" s="1022"/>
      <c r="P132" s="1020">
        <v>3.4</v>
      </c>
      <c r="Q132" s="1021"/>
      <c r="R132" s="1021"/>
      <c r="S132" s="1022"/>
      <c r="T132" s="1020">
        <f>'State Agg LFx3 (2015)'!T132</f>
        <v>0</v>
      </c>
      <c r="U132" s="1021"/>
      <c r="V132" s="1021"/>
      <c r="W132" s="1022"/>
      <c r="X132" s="880"/>
    </row>
    <row r="133" spans="1:24" ht="13.5" thickBot="1">
      <c r="A133" s="885"/>
      <c r="B133" s="885"/>
      <c r="C133" s="102" t="s">
        <v>283</v>
      </c>
      <c r="D133" s="1017"/>
      <c r="E133" s="1018"/>
      <c r="F133" s="1018"/>
      <c r="G133" s="1019"/>
      <c r="H133" s="1017"/>
      <c r="I133" s="1018"/>
      <c r="J133" s="1018"/>
      <c r="K133" s="1019"/>
      <c r="L133" s="1020">
        <v>1</v>
      </c>
      <c r="M133" s="1021"/>
      <c r="N133" s="1021"/>
      <c r="O133" s="1022"/>
      <c r="P133" s="1020" t="s">
        <v>785</v>
      </c>
      <c r="Q133" s="1021"/>
      <c r="R133" s="1021"/>
      <c r="S133" s="1022"/>
      <c r="T133" s="1020">
        <f>'State Agg LFx3 (2015)'!T133</f>
        <v>0</v>
      </c>
      <c r="U133" s="1021"/>
      <c r="V133" s="1021"/>
      <c r="W133" s="1022"/>
      <c r="X133" s="880"/>
    </row>
    <row r="134" spans="1:24" ht="13.5" thickBot="1">
      <c r="A134" s="885"/>
      <c r="B134" s="885"/>
      <c r="C134" s="102" t="s">
        <v>284</v>
      </c>
      <c r="D134" s="1017"/>
      <c r="E134" s="1018"/>
      <c r="F134" s="1018"/>
      <c r="G134" s="1019"/>
      <c r="H134" s="1017"/>
      <c r="I134" s="1018"/>
      <c r="J134" s="1018"/>
      <c r="K134" s="1019"/>
      <c r="L134" s="1017"/>
      <c r="M134" s="1018"/>
      <c r="N134" s="1018"/>
      <c r="O134" s="1019"/>
      <c r="P134" s="1017"/>
      <c r="Q134" s="1018"/>
      <c r="R134" s="1018"/>
      <c r="S134" s="1019"/>
      <c r="T134" s="1020">
        <f>'State Agg LFx3 (2015)'!T134</f>
        <v>0</v>
      </c>
      <c r="U134" s="1021"/>
      <c r="V134" s="1021"/>
      <c r="W134" s="1022"/>
      <c r="X134" s="880"/>
    </row>
    <row r="135" spans="1:24" ht="13.5" thickBot="1">
      <c r="A135" s="885"/>
      <c r="B135" s="885"/>
      <c r="C135" s="998" t="s">
        <v>413</v>
      </c>
      <c r="D135" s="927" t="s">
        <v>4</v>
      </c>
      <c r="E135" s="928"/>
      <c r="F135" s="928"/>
      <c r="G135" s="928"/>
      <c r="H135" s="928"/>
      <c r="I135" s="928"/>
      <c r="J135" s="928"/>
      <c r="K135" s="928"/>
      <c r="L135" s="928"/>
      <c r="M135" s="928"/>
      <c r="N135" s="928"/>
      <c r="O135" s="928"/>
      <c r="P135" s="928"/>
      <c r="Q135" s="928"/>
      <c r="R135" s="928"/>
      <c r="S135" s="928"/>
      <c r="T135" s="928"/>
      <c r="U135" s="928"/>
      <c r="V135" s="928"/>
      <c r="W135" s="929"/>
      <c r="X135" s="880"/>
    </row>
    <row r="136" spans="1:24" ht="13.5" thickBot="1">
      <c r="A136" s="885"/>
      <c r="B136" s="869"/>
      <c r="C136" s="999"/>
      <c r="D136" s="930" t="s">
        <v>118</v>
      </c>
      <c r="E136" s="931"/>
      <c r="F136" s="931"/>
      <c r="G136" s="931"/>
      <c r="H136" s="931"/>
      <c r="I136" s="931"/>
      <c r="J136" s="931"/>
      <c r="K136" s="931"/>
      <c r="L136" s="931"/>
      <c r="M136" s="931"/>
      <c r="N136" s="931"/>
      <c r="O136" s="931"/>
      <c r="P136" s="931"/>
      <c r="Q136" s="931"/>
      <c r="R136" s="931"/>
      <c r="S136" s="931"/>
      <c r="T136" s="931"/>
      <c r="U136" s="931"/>
      <c r="V136" s="931"/>
      <c r="W136" s="932"/>
      <c r="X136" s="880"/>
    </row>
    <row r="137" spans="1:24" ht="13.5" thickBot="1">
      <c r="A137" s="885"/>
      <c r="B137" s="11" t="s">
        <v>21</v>
      </c>
      <c r="C137" s="12"/>
      <c r="D137" s="927" t="s">
        <v>78</v>
      </c>
      <c r="E137" s="928"/>
      <c r="F137" s="928"/>
      <c r="G137" s="929"/>
      <c r="H137" s="927" t="s">
        <v>77</v>
      </c>
      <c r="I137" s="928"/>
      <c r="J137" s="928"/>
      <c r="K137" s="929"/>
      <c r="L137" s="927" t="s">
        <v>81</v>
      </c>
      <c r="M137" s="928"/>
      <c r="N137" s="928"/>
      <c r="O137" s="929"/>
      <c r="P137" s="927" t="s">
        <v>254</v>
      </c>
      <c r="Q137" s="928"/>
      <c r="R137" s="928"/>
      <c r="S137" s="929"/>
      <c r="T137" s="927" t="s">
        <v>76</v>
      </c>
      <c r="U137" s="928"/>
      <c r="V137" s="928"/>
      <c r="W137" s="929"/>
      <c r="X137" s="880"/>
    </row>
    <row r="138" spans="1:24" ht="13.5" thickBot="1">
      <c r="A138" s="885"/>
      <c r="B138" s="868" t="s">
        <v>63</v>
      </c>
      <c r="C138" s="9" t="s">
        <v>247</v>
      </c>
      <c r="D138" s="1000">
        <v>0</v>
      </c>
      <c r="E138" s="1001"/>
      <c r="F138" s="1001"/>
      <c r="G138" s="1002"/>
      <c r="H138" s="1000">
        <v>10</v>
      </c>
      <c r="I138" s="1001"/>
      <c r="J138" s="1001"/>
      <c r="K138" s="1002"/>
      <c r="L138" s="1000">
        <v>20</v>
      </c>
      <c r="M138" s="1001"/>
      <c r="N138" s="1001"/>
      <c r="O138" s="1002"/>
      <c r="P138" s="1000">
        <v>30</v>
      </c>
      <c r="Q138" s="1001"/>
      <c r="R138" s="1001"/>
      <c r="S138" s="1002"/>
      <c r="T138" s="1000">
        <v>50</v>
      </c>
      <c r="U138" s="1001"/>
      <c r="V138" s="1001"/>
      <c r="W138" s="1002"/>
      <c r="X138" s="880"/>
    </row>
    <row r="139" spans="1:24" ht="13.5" thickBot="1">
      <c r="A139" s="869"/>
      <c r="B139" s="885"/>
      <c r="C139" s="102" t="s">
        <v>246</v>
      </c>
      <c r="D139" s="1003" t="s">
        <v>172</v>
      </c>
      <c r="E139" s="1004"/>
      <c r="F139" s="1004"/>
      <c r="G139" s="1005"/>
      <c r="H139" s="1003" t="s">
        <v>417</v>
      </c>
      <c r="I139" s="1004"/>
      <c r="J139" s="1004"/>
      <c r="K139" s="1005"/>
      <c r="L139" s="995">
        <v>16</v>
      </c>
      <c r="M139" s="996"/>
      <c r="N139" s="996"/>
      <c r="O139" s="997"/>
      <c r="P139" s="995" t="s">
        <v>786</v>
      </c>
      <c r="Q139" s="996"/>
      <c r="R139" s="996"/>
      <c r="S139" s="997"/>
      <c r="T139" s="995">
        <f>'State Agg LFx3 (2015)'!T139</f>
        <v>0</v>
      </c>
      <c r="U139" s="996"/>
      <c r="V139" s="996"/>
      <c r="W139" s="997"/>
      <c r="X139" s="881"/>
    </row>
    <row r="140" spans="1:24" ht="13.5" thickBot="1">
      <c r="A140" s="520" t="s">
        <v>13</v>
      </c>
      <c r="B140" s="885"/>
      <c r="C140" s="998" t="s">
        <v>413</v>
      </c>
      <c r="D140" s="927" t="s">
        <v>4</v>
      </c>
      <c r="E140" s="928"/>
      <c r="F140" s="928"/>
      <c r="G140" s="928"/>
      <c r="H140" s="928"/>
      <c r="I140" s="928"/>
      <c r="J140" s="928"/>
      <c r="K140" s="928"/>
      <c r="L140" s="928"/>
      <c r="M140" s="928"/>
      <c r="N140" s="928"/>
      <c r="O140" s="928"/>
      <c r="P140" s="928"/>
      <c r="Q140" s="928"/>
      <c r="R140" s="928"/>
      <c r="S140" s="928"/>
      <c r="T140" s="928"/>
      <c r="U140" s="928"/>
      <c r="V140" s="928"/>
      <c r="W140" s="929"/>
      <c r="X140" s="24" t="s">
        <v>14</v>
      </c>
    </row>
    <row r="141" spans="1:24" ht="13.5" thickBot="1">
      <c r="A141" s="25" t="s">
        <v>75</v>
      </c>
      <c r="B141" s="869"/>
      <c r="C141" s="999"/>
      <c r="D141" s="930" t="s">
        <v>119</v>
      </c>
      <c r="E141" s="931"/>
      <c r="F141" s="931"/>
      <c r="G141" s="931"/>
      <c r="H141" s="931"/>
      <c r="I141" s="931"/>
      <c r="J141" s="931"/>
      <c r="K141" s="931"/>
      <c r="L141" s="931"/>
      <c r="M141" s="931"/>
      <c r="N141" s="931"/>
      <c r="O141" s="931"/>
      <c r="P141" s="931"/>
      <c r="Q141" s="931"/>
      <c r="R141" s="931"/>
      <c r="S141" s="931"/>
      <c r="T141" s="931"/>
      <c r="U141" s="931"/>
      <c r="V141" s="931"/>
      <c r="W141" s="932"/>
      <c r="X141" s="18" t="s">
        <v>93</v>
      </c>
    </row>
    <row r="142" spans="1:24" ht="13.5" thickBot="1">
      <c r="A142" s="906" t="s">
        <v>7</v>
      </c>
      <c r="B142" s="908" t="s">
        <v>173</v>
      </c>
      <c r="C142" s="918"/>
      <c r="D142" s="908" t="s">
        <v>8</v>
      </c>
      <c r="E142" s="918"/>
      <c r="F142" s="918"/>
      <c r="G142" s="909"/>
      <c r="H142" s="908" t="s">
        <v>88</v>
      </c>
      <c r="I142" s="918"/>
      <c r="J142" s="918"/>
      <c r="K142" s="909"/>
      <c r="L142" s="908" t="s">
        <v>89</v>
      </c>
      <c r="M142" s="918"/>
      <c r="N142" s="918"/>
      <c r="O142" s="909"/>
      <c r="P142" s="908" t="s">
        <v>9</v>
      </c>
      <c r="Q142" s="918"/>
      <c r="R142" s="918"/>
      <c r="S142" s="909"/>
      <c r="T142" s="908" t="s">
        <v>174</v>
      </c>
      <c r="U142" s="918"/>
      <c r="V142" s="918"/>
      <c r="W142" s="918"/>
      <c r="X142" s="909"/>
    </row>
    <row r="143" spans="1:24" ht="13.5" thickBot="1">
      <c r="A143" s="907"/>
      <c r="B143" s="919">
        <v>6200000</v>
      </c>
      <c r="C143" s="921"/>
      <c r="D143" s="919">
        <v>1200000</v>
      </c>
      <c r="E143" s="921"/>
      <c r="F143" s="921"/>
      <c r="G143" s="920"/>
      <c r="H143" s="919">
        <v>2500000</v>
      </c>
      <c r="I143" s="921"/>
      <c r="J143" s="921"/>
      <c r="K143" s="920"/>
      <c r="L143" s="919">
        <v>2800000</v>
      </c>
      <c r="M143" s="921"/>
      <c r="N143" s="921"/>
      <c r="O143" s="920"/>
      <c r="P143" s="919">
        <f>SUM(B143:O143)</f>
        <v>12700000</v>
      </c>
      <c r="Q143" s="921"/>
      <c r="R143" s="921"/>
      <c r="S143" s="920"/>
      <c r="T143" s="942">
        <f>B143/P143%</f>
        <v>48.818897637795274</v>
      </c>
      <c r="U143" s="943"/>
      <c r="V143" s="943"/>
      <c r="W143" s="943"/>
      <c r="X143" s="944"/>
    </row>
    <row r="144" spans="1:24" ht="13.5" thickBot="1">
      <c r="A144" s="906" t="s">
        <v>10</v>
      </c>
      <c r="B144" s="908" t="s">
        <v>175</v>
      </c>
      <c r="C144" s="918"/>
      <c r="D144" s="910"/>
      <c r="E144" s="911"/>
      <c r="F144" s="911"/>
      <c r="G144" s="911"/>
      <c r="H144" s="911"/>
      <c r="I144" s="911"/>
      <c r="J144" s="911"/>
      <c r="K144" s="911"/>
      <c r="L144" s="911"/>
      <c r="M144" s="911"/>
      <c r="N144" s="911"/>
      <c r="O144" s="911"/>
      <c r="P144" s="911"/>
      <c r="Q144" s="911"/>
      <c r="R144" s="911"/>
      <c r="S144" s="911"/>
      <c r="T144" s="911"/>
      <c r="U144" s="911"/>
      <c r="V144" s="911"/>
      <c r="W144" s="911"/>
      <c r="X144" s="912"/>
    </row>
    <row r="145" spans="1:24" ht="13.5" thickBot="1">
      <c r="A145" s="907"/>
      <c r="B145" s="916"/>
      <c r="C145" s="994"/>
      <c r="D145" s="913"/>
      <c r="E145" s="914"/>
      <c r="F145" s="914"/>
      <c r="G145" s="914"/>
      <c r="H145" s="914"/>
      <c r="I145" s="914"/>
      <c r="J145" s="914"/>
      <c r="K145" s="914"/>
      <c r="L145" s="914"/>
      <c r="M145" s="914"/>
      <c r="N145" s="914"/>
      <c r="O145" s="914"/>
      <c r="P145" s="914"/>
      <c r="Q145" s="914"/>
      <c r="R145" s="914"/>
      <c r="S145" s="914"/>
      <c r="T145" s="914"/>
      <c r="U145" s="914"/>
      <c r="V145" s="914"/>
      <c r="W145" s="914"/>
      <c r="X145" s="915"/>
    </row>
    <row r="147" spans="1:24" ht="13.5" thickBot="1">
      <c r="L147" s="115"/>
    </row>
    <row r="148" spans="1:24" ht="13.5" thickBot="1">
      <c r="A148" s="519" t="s">
        <v>26</v>
      </c>
      <c r="B148" s="522" t="s">
        <v>29</v>
      </c>
      <c r="C148" s="8"/>
      <c r="D148" s="927" t="s">
        <v>78</v>
      </c>
      <c r="E148" s="928"/>
      <c r="F148" s="928"/>
      <c r="G148" s="929"/>
      <c r="H148" s="927" t="s">
        <v>77</v>
      </c>
      <c r="I148" s="928"/>
      <c r="J148" s="928"/>
      <c r="K148" s="929"/>
      <c r="L148" s="927" t="s">
        <v>81</v>
      </c>
      <c r="M148" s="928"/>
      <c r="N148" s="928"/>
      <c r="O148" s="929"/>
      <c r="P148" s="927" t="s">
        <v>254</v>
      </c>
      <c r="Q148" s="928"/>
      <c r="R148" s="928"/>
      <c r="S148" s="929"/>
      <c r="T148" s="927" t="s">
        <v>76</v>
      </c>
      <c r="U148" s="928"/>
      <c r="V148" s="928"/>
      <c r="W148" s="929"/>
      <c r="X148" s="16" t="s">
        <v>12</v>
      </c>
    </row>
    <row r="149" spans="1:24" ht="54.95" customHeight="1" thickBot="1">
      <c r="A149" s="868" t="s">
        <v>64</v>
      </c>
      <c r="B149" s="868" t="s">
        <v>156</v>
      </c>
      <c r="C149" s="9"/>
      <c r="D149" s="17" t="s">
        <v>101</v>
      </c>
      <c r="E149" s="17" t="s">
        <v>104</v>
      </c>
      <c r="F149" s="17" t="s">
        <v>102</v>
      </c>
      <c r="G149" s="17" t="s">
        <v>103</v>
      </c>
      <c r="H149" s="17" t="s">
        <v>101</v>
      </c>
      <c r="I149" s="17" t="s">
        <v>104</v>
      </c>
      <c r="J149" s="17" t="s">
        <v>102</v>
      </c>
      <c r="K149" s="17" t="s">
        <v>103</v>
      </c>
      <c r="L149" s="17" t="s">
        <v>101</v>
      </c>
      <c r="M149" s="17" t="s">
        <v>104</v>
      </c>
      <c r="N149" s="17" t="s">
        <v>102</v>
      </c>
      <c r="O149" s="17" t="s">
        <v>103</v>
      </c>
      <c r="P149" s="17" t="s">
        <v>101</v>
      </c>
      <c r="Q149" s="17" t="s">
        <v>104</v>
      </c>
      <c r="R149" s="17" t="s">
        <v>102</v>
      </c>
      <c r="S149" s="17" t="s">
        <v>103</v>
      </c>
      <c r="T149" s="17" t="s">
        <v>101</v>
      </c>
      <c r="U149" s="17" t="s">
        <v>104</v>
      </c>
      <c r="V149" s="17" t="s">
        <v>102</v>
      </c>
      <c r="W149" s="17" t="s">
        <v>103</v>
      </c>
      <c r="X149" s="879" t="s">
        <v>98</v>
      </c>
    </row>
    <row r="150" spans="1:24" ht="13.5" thickBot="1">
      <c r="A150" s="885"/>
      <c r="B150" s="885"/>
      <c r="C150" s="9" t="s">
        <v>247</v>
      </c>
      <c r="D150" s="2">
        <v>2</v>
      </c>
      <c r="E150" s="2">
        <v>0</v>
      </c>
      <c r="F150" s="2">
        <v>0</v>
      </c>
      <c r="G150" s="2">
        <v>0</v>
      </c>
      <c r="H150" s="2">
        <v>15</v>
      </c>
      <c r="I150" s="2">
        <v>10</v>
      </c>
      <c r="J150" s="2">
        <v>5</v>
      </c>
      <c r="K150" s="2">
        <v>1</v>
      </c>
      <c r="L150" s="158">
        <v>30</v>
      </c>
      <c r="M150" s="158">
        <v>20</v>
      </c>
      <c r="N150" s="2">
        <v>15</v>
      </c>
      <c r="O150" s="2">
        <v>8</v>
      </c>
      <c r="P150" s="2">
        <v>50</v>
      </c>
      <c r="Q150" s="2">
        <v>35</v>
      </c>
      <c r="R150" s="2">
        <v>25</v>
      </c>
      <c r="S150" s="2">
        <v>12</v>
      </c>
      <c r="T150" s="158">
        <v>70</v>
      </c>
      <c r="U150" s="158">
        <v>50</v>
      </c>
      <c r="V150" s="158">
        <v>40</v>
      </c>
      <c r="W150" s="158">
        <v>20</v>
      </c>
      <c r="X150" s="880"/>
    </row>
    <row r="151" spans="1:24" ht="12.95" customHeight="1" thickBot="1">
      <c r="A151" s="885"/>
      <c r="B151" s="516" t="s">
        <v>151</v>
      </c>
      <c r="C151" s="102" t="s">
        <v>246</v>
      </c>
      <c r="D151" s="1008" t="s">
        <v>416</v>
      </c>
      <c r="E151" s="1009"/>
      <c r="F151" s="1009"/>
      <c r="G151" s="1010"/>
      <c r="H151" s="117">
        <v>20</v>
      </c>
      <c r="I151" s="117">
        <v>15</v>
      </c>
      <c r="J151" s="117">
        <v>10</v>
      </c>
      <c r="K151" s="117">
        <v>5</v>
      </c>
      <c r="L151" s="117">
        <v>27</v>
      </c>
      <c r="M151" s="117">
        <v>22</v>
      </c>
      <c r="N151" s="117">
        <v>16</v>
      </c>
      <c r="O151" s="117">
        <v>10</v>
      </c>
      <c r="P151" s="105">
        <f>SUM('State DisAgg LFx10 (2015)'!P354:P363)</f>
        <v>66</v>
      </c>
      <c r="Q151" s="105">
        <f>SUM('State DisAgg LFx10 (2015)'!Q354:Q363)</f>
        <v>46</v>
      </c>
      <c r="R151" s="105">
        <f>SUM('State DisAgg LFx10 (2015)'!R354:R363)</f>
        <v>30</v>
      </c>
      <c r="S151" s="105">
        <f>SUM('State DisAgg LFx10 (2015)'!S354:S363)</f>
        <v>10</v>
      </c>
      <c r="T151" s="188">
        <f>'State Agg LFx3 (2015)'!T151</f>
        <v>0</v>
      </c>
      <c r="U151" s="188">
        <f>'State Agg LFx3 (2015)'!U151</f>
        <v>0</v>
      </c>
      <c r="V151" s="188">
        <f>'State Agg LFx3 (2015)'!V151</f>
        <v>0</v>
      </c>
      <c r="W151" s="188">
        <f>'State Agg LFx3 (2015)'!W151</f>
        <v>0</v>
      </c>
      <c r="X151" s="880"/>
    </row>
    <row r="152" spans="1:24" ht="13.5" thickBot="1">
      <c r="A152" s="885"/>
      <c r="B152" s="516" t="s">
        <v>150</v>
      </c>
      <c r="C152" s="998" t="s">
        <v>413</v>
      </c>
      <c r="D152" s="927" t="s">
        <v>4</v>
      </c>
      <c r="E152" s="928"/>
      <c r="F152" s="928"/>
      <c r="G152" s="928"/>
      <c r="H152" s="928"/>
      <c r="I152" s="928"/>
      <c r="J152" s="928"/>
      <c r="K152" s="928"/>
      <c r="L152" s="928"/>
      <c r="M152" s="928"/>
      <c r="N152" s="928"/>
      <c r="O152" s="928"/>
      <c r="P152" s="928"/>
      <c r="Q152" s="928"/>
      <c r="R152" s="928"/>
      <c r="S152" s="928"/>
      <c r="T152" s="928"/>
      <c r="U152" s="928"/>
      <c r="V152" s="928"/>
      <c r="W152" s="929"/>
      <c r="X152" s="880"/>
    </row>
    <row r="153" spans="1:24" ht="24.75" thickBot="1">
      <c r="A153" s="885"/>
      <c r="B153" s="517" t="s">
        <v>149</v>
      </c>
      <c r="C153" s="999"/>
      <c r="D153" s="930" t="s">
        <v>420</v>
      </c>
      <c r="E153" s="931"/>
      <c r="F153" s="931"/>
      <c r="G153" s="931"/>
      <c r="H153" s="931"/>
      <c r="I153" s="931"/>
      <c r="J153" s="931"/>
      <c r="K153" s="931"/>
      <c r="L153" s="931"/>
      <c r="M153" s="931"/>
      <c r="N153" s="931"/>
      <c r="O153" s="931"/>
      <c r="P153" s="931"/>
      <c r="Q153" s="931"/>
      <c r="R153" s="931"/>
      <c r="S153" s="931"/>
      <c r="T153" s="931"/>
      <c r="U153" s="931"/>
      <c r="V153" s="931"/>
      <c r="W153" s="932"/>
      <c r="X153" s="880"/>
    </row>
    <row r="154" spans="1:24" ht="13.5" thickBot="1">
      <c r="A154" s="885"/>
      <c r="B154" s="11" t="s">
        <v>30</v>
      </c>
      <c r="C154" s="12"/>
      <c r="D154" s="927" t="s">
        <v>78</v>
      </c>
      <c r="E154" s="928"/>
      <c r="F154" s="928"/>
      <c r="G154" s="929"/>
      <c r="H154" s="927" t="s">
        <v>77</v>
      </c>
      <c r="I154" s="928"/>
      <c r="J154" s="928"/>
      <c r="K154" s="929"/>
      <c r="L154" s="927" t="s">
        <v>81</v>
      </c>
      <c r="M154" s="928"/>
      <c r="N154" s="928"/>
      <c r="O154" s="929"/>
      <c r="P154" s="927" t="s">
        <v>254</v>
      </c>
      <c r="Q154" s="928"/>
      <c r="R154" s="928"/>
      <c r="S154" s="929"/>
      <c r="T154" s="927" t="s">
        <v>76</v>
      </c>
      <c r="U154" s="928"/>
      <c r="V154" s="928"/>
      <c r="W154" s="929"/>
      <c r="X154" s="880"/>
    </row>
    <row r="155" spans="1:24" ht="44.1" customHeight="1" thickBot="1">
      <c r="A155" s="885"/>
      <c r="B155" s="868" t="s">
        <v>157</v>
      </c>
      <c r="C155" s="23"/>
      <c r="D155" s="17" t="s">
        <v>101</v>
      </c>
      <c r="E155" s="17" t="s">
        <v>104</v>
      </c>
      <c r="F155" s="17" t="s">
        <v>102</v>
      </c>
      <c r="G155" s="17" t="s">
        <v>103</v>
      </c>
      <c r="H155" s="17" t="s">
        <v>101</v>
      </c>
      <c r="I155" s="17" t="s">
        <v>104</v>
      </c>
      <c r="J155" s="17" t="s">
        <v>102</v>
      </c>
      <c r="K155" s="17" t="s">
        <v>103</v>
      </c>
      <c r="L155" s="17" t="s">
        <v>101</v>
      </c>
      <c r="M155" s="17" t="s">
        <v>104</v>
      </c>
      <c r="N155" s="17" t="s">
        <v>102</v>
      </c>
      <c r="O155" s="17" t="s">
        <v>103</v>
      </c>
      <c r="P155" s="17" t="s">
        <v>101</v>
      </c>
      <c r="Q155" s="17" t="s">
        <v>104</v>
      </c>
      <c r="R155" s="17" t="s">
        <v>102</v>
      </c>
      <c r="S155" s="17" t="s">
        <v>103</v>
      </c>
      <c r="T155" s="17" t="s">
        <v>101</v>
      </c>
      <c r="U155" s="17" t="s">
        <v>104</v>
      </c>
      <c r="V155" s="17" t="s">
        <v>102</v>
      </c>
      <c r="W155" s="17" t="s">
        <v>103</v>
      </c>
      <c r="X155" s="880"/>
    </row>
    <row r="156" spans="1:24" ht="13.5" thickBot="1">
      <c r="A156" s="885"/>
      <c r="B156" s="885"/>
      <c r="C156" s="9" t="s">
        <v>247</v>
      </c>
      <c r="D156" s="2">
        <v>2</v>
      </c>
      <c r="E156" s="2">
        <v>0</v>
      </c>
      <c r="F156" s="2">
        <v>0</v>
      </c>
      <c r="G156" s="2">
        <v>0</v>
      </c>
      <c r="H156" s="2">
        <v>15</v>
      </c>
      <c r="I156" s="2">
        <v>10</v>
      </c>
      <c r="J156" s="2">
        <v>5</v>
      </c>
      <c r="K156" s="2">
        <v>2</v>
      </c>
      <c r="L156" s="158">
        <v>30</v>
      </c>
      <c r="M156" s="158">
        <v>20</v>
      </c>
      <c r="N156" s="2">
        <v>15</v>
      </c>
      <c r="O156" s="2">
        <v>10</v>
      </c>
      <c r="P156" s="158">
        <v>45</v>
      </c>
      <c r="Q156" s="2">
        <v>35</v>
      </c>
      <c r="R156" s="2">
        <v>25</v>
      </c>
      <c r="S156" s="2">
        <v>15</v>
      </c>
      <c r="T156" s="158">
        <v>60</v>
      </c>
      <c r="U156" s="158">
        <v>45</v>
      </c>
      <c r="V156" s="158">
        <v>35</v>
      </c>
      <c r="W156" s="2">
        <v>25</v>
      </c>
      <c r="X156" s="880"/>
    </row>
    <row r="157" spans="1:24" ht="13.5" thickBot="1">
      <c r="A157" s="885"/>
      <c r="B157" s="516" t="s">
        <v>151</v>
      </c>
      <c r="C157" s="102" t="s">
        <v>246</v>
      </c>
      <c r="D157" s="1003" t="s">
        <v>172</v>
      </c>
      <c r="E157" s="1004"/>
      <c r="F157" s="1004"/>
      <c r="G157" s="1005"/>
      <c r="H157" s="1003" t="s">
        <v>417</v>
      </c>
      <c r="I157" s="1004"/>
      <c r="J157" s="1004"/>
      <c r="K157" s="1005"/>
      <c r="L157" s="117">
        <v>23</v>
      </c>
      <c r="M157" s="117">
        <v>21</v>
      </c>
      <c r="N157" s="117">
        <v>17</v>
      </c>
      <c r="O157" s="117">
        <v>7</v>
      </c>
      <c r="P157" s="105">
        <f>SUM('State DisAgg LFx10 (2015)'!P378:P387)</f>
        <v>44</v>
      </c>
      <c r="Q157" s="105">
        <f>SUM('State DisAgg LFx10 (2015)'!Q378:Q387)</f>
        <v>27</v>
      </c>
      <c r="R157" s="105">
        <f>SUM('State DisAgg LFx10 (2015)'!R378:R387)</f>
        <v>20</v>
      </c>
      <c r="S157" s="105">
        <f>SUM('State DisAgg LFx10 (2015)'!S378:S387)</f>
        <v>8</v>
      </c>
      <c r="T157" s="188">
        <f>'State Agg LFx3 (2015)'!T157</f>
        <v>0</v>
      </c>
      <c r="U157" s="188">
        <f>'State Agg LFx3 (2015)'!U157</f>
        <v>0</v>
      </c>
      <c r="V157" s="188">
        <f>'State Agg LFx3 (2015)'!V157</f>
        <v>0</v>
      </c>
      <c r="W157" s="188">
        <f>'State Agg LFx3 (2015)'!W157</f>
        <v>0</v>
      </c>
      <c r="X157" s="880"/>
    </row>
    <row r="158" spans="1:24" ht="13.5" thickBot="1">
      <c r="A158" s="885"/>
      <c r="B158" s="516" t="s">
        <v>150</v>
      </c>
      <c r="C158" s="998" t="s">
        <v>413</v>
      </c>
      <c r="D158" s="927" t="s">
        <v>4</v>
      </c>
      <c r="E158" s="928"/>
      <c r="F158" s="928"/>
      <c r="G158" s="928"/>
      <c r="H158" s="928"/>
      <c r="I158" s="928"/>
      <c r="J158" s="928"/>
      <c r="K158" s="928"/>
      <c r="L158" s="928"/>
      <c r="M158" s="928"/>
      <c r="N158" s="928"/>
      <c r="O158" s="928"/>
      <c r="P158" s="928"/>
      <c r="Q158" s="928"/>
      <c r="R158" s="928"/>
      <c r="S158" s="928"/>
      <c r="T158" s="928"/>
      <c r="U158" s="928"/>
      <c r="V158" s="928"/>
      <c r="W158" s="929"/>
      <c r="X158" s="880"/>
    </row>
    <row r="159" spans="1:24" ht="13.5" thickBot="1">
      <c r="A159" s="885"/>
      <c r="B159" s="517" t="s">
        <v>152</v>
      </c>
      <c r="C159" s="999"/>
      <c r="D159" s="930" t="s">
        <v>420</v>
      </c>
      <c r="E159" s="931"/>
      <c r="F159" s="931"/>
      <c r="G159" s="931"/>
      <c r="H159" s="931"/>
      <c r="I159" s="931"/>
      <c r="J159" s="931"/>
      <c r="K159" s="931"/>
      <c r="L159" s="931"/>
      <c r="M159" s="931"/>
      <c r="N159" s="931"/>
      <c r="O159" s="931"/>
      <c r="P159" s="931"/>
      <c r="Q159" s="931"/>
      <c r="R159" s="931"/>
      <c r="S159" s="931"/>
      <c r="T159" s="931"/>
      <c r="U159" s="931"/>
      <c r="V159" s="931"/>
      <c r="W159" s="932"/>
      <c r="X159" s="880"/>
    </row>
    <row r="160" spans="1:24" ht="13.5" thickBot="1">
      <c r="A160" s="885"/>
      <c r="B160" s="92" t="s">
        <v>31</v>
      </c>
      <c r="C160" s="12"/>
      <c r="D160" s="927" t="s">
        <v>78</v>
      </c>
      <c r="E160" s="928"/>
      <c r="F160" s="928"/>
      <c r="G160" s="929"/>
      <c r="H160" s="927" t="s">
        <v>77</v>
      </c>
      <c r="I160" s="928"/>
      <c r="J160" s="928"/>
      <c r="K160" s="929"/>
      <c r="L160" s="927" t="s">
        <v>81</v>
      </c>
      <c r="M160" s="928"/>
      <c r="N160" s="928"/>
      <c r="O160" s="929"/>
      <c r="P160" s="927" t="s">
        <v>254</v>
      </c>
      <c r="Q160" s="928"/>
      <c r="R160" s="928"/>
      <c r="S160" s="929"/>
      <c r="T160" s="927" t="s">
        <v>76</v>
      </c>
      <c r="U160" s="928"/>
      <c r="V160" s="928"/>
      <c r="W160" s="929"/>
      <c r="X160" s="880"/>
    </row>
    <row r="161" spans="1:24" ht="17.100000000000001" customHeight="1" thickBot="1">
      <c r="A161" s="885"/>
      <c r="B161" s="868" t="s">
        <v>421</v>
      </c>
      <c r="C161" s="23"/>
      <c r="D161" s="955" t="s">
        <v>418</v>
      </c>
      <c r="E161" s="956"/>
      <c r="F161" s="955" t="s">
        <v>419</v>
      </c>
      <c r="G161" s="956"/>
      <c r="H161" s="955" t="s">
        <v>418</v>
      </c>
      <c r="I161" s="956"/>
      <c r="J161" s="955" t="s">
        <v>419</v>
      </c>
      <c r="K161" s="956"/>
      <c r="L161" s="955" t="s">
        <v>418</v>
      </c>
      <c r="M161" s="956"/>
      <c r="N161" s="955" t="s">
        <v>419</v>
      </c>
      <c r="O161" s="956"/>
      <c r="P161" s="955" t="s">
        <v>418</v>
      </c>
      <c r="Q161" s="956"/>
      <c r="R161" s="955" t="s">
        <v>419</v>
      </c>
      <c r="S161" s="956"/>
      <c r="T161" s="955" t="s">
        <v>418</v>
      </c>
      <c r="U161" s="956"/>
      <c r="V161" s="955" t="s">
        <v>419</v>
      </c>
      <c r="W161" s="956"/>
      <c r="X161" s="880"/>
    </row>
    <row r="162" spans="1:24" ht="12.95" customHeight="1" thickBot="1">
      <c r="A162" s="885"/>
      <c r="B162" s="885"/>
      <c r="C162" s="91" t="s">
        <v>235</v>
      </c>
      <c r="D162" s="933" t="s">
        <v>172</v>
      </c>
      <c r="E162" s="934"/>
      <c r="F162" s="934"/>
      <c r="G162" s="935"/>
      <c r="H162" s="966" t="s">
        <v>572</v>
      </c>
      <c r="I162" s="967"/>
      <c r="J162" s="967"/>
      <c r="K162" s="968"/>
      <c r="L162" s="1077">
        <v>50</v>
      </c>
      <c r="M162" s="1078"/>
      <c r="N162" s="1077">
        <v>36.6</v>
      </c>
      <c r="O162" s="1078"/>
      <c r="P162" s="1077">
        <v>63</v>
      </c>
      <c r="Q162" s="1078"/>
      <c r="R162" s="1077">
        <v>39.799999999999997</v>
      </c>
      <c r="S162" s="1078"/>
      <c r="T162" s="1077">
        <v>75</v>
      </c>
      <c r="U162" s="1078"/>
      <c r="V162" s="1077">
        <v>43</v>
      </c>
      <c r="W162" s="1078"/>
      <c r="X162" s="880"/>
    </row>
    <row r="163" spans="1:24" ht="12.95" customHeight="1" thickBot="1">
      <c r="A163" s="885"/>
      <c r="B163" s="885"/>
      <c r="C163" s="91" t="s">
        <v>233</v>
      </c>
      <c r="D163" s="957"/>
      <c r="E163" s="958"/>
      <c r="F163" s="958"/>
      <c r="G163" s="959"/>
      <c r="H163" s="966" t="s">
        <v>572</v>
      </c>
      <c r="I163" s="967"/>
      <c r="J163" s="967"/>
      <c r="K163" s="968"/>
      <c r="L163" s="1077">
        <v>28.333333333333332</v>
      </c>
      <c r="M163" s="1078"/>
      <c r="N163" s="1077">
        <v>21</v>
      </c>
      <c r="O163" s="1078"/>
      <c r="P163" s="1077">
        <v>41.666666666666664</v>
      </c>
      <c r="Q163" s="1078"/>
      <c r="R163" s="1077">
        <v>28.333333333333332</v>
      </c>
      <c r="S163" s="1078"/>
      <c r="T163" s="1077">
        <v>75</v>
      </c>
      <c r="U163" s="1078"/>
      <c r="V163" s="1077">
        <v>50</v>
      </c>
      <c r="W163" s="1078"/>
      <c r="X163" s="880"/>
    </row>
    <row r="164" spans="1:24" ht="12.95" customHeight="1" thickBot="1">
      <c r="A164" s="885"/>
      <c r="B164" s="885"/>
      <c r="C164" s="91" t="s">
        <v>234</v>
      </c>
      <c r="D164" s="957"/>
      <c r="E164" s="958"/>
      <c r="F164" s="958"/>
      <c r="G164" s="959"/>
      <c r="H164" s="957"/>
      <c r="I164" s="958"/>
      <c r="J164" s="958"/>
      <c r="K164" s="959"/>
      <c r="L164" s="1057" t="s">
        <v>909</v>
      </c>
      <c r="M164" s="1058"/>
      <c r="N164" s="1058"/>
      <c r="O164" s="1059"/>
      <c r="P164" s="1077">
        <f>'State Agg LFx3 (2015)'!P164</f>
        <v>44</v>
      </c>
      <c r="Q164" s="1139"/>
      <c r="R164" s="1077">
        <f>'State Agg LFx3 (2015)'!R164</f>
        <v>71.5</v>
      </c>
      <c r="S164" s="1139"/>
      <c r="T164" s="1077">
        <f>'State Agg LFx3 (2015)'!T164</f>
        <v>59</v>
      </c>
      <c r="U164" s="1139"/>
      <c r="V164" s="1077">
        <f>'State Agg LFx3 (2015)'!V164</f>
        <v>78.5</v>
      </c>
      <c r="W164" s="1139"/>
      <c r="X164" s="880"/>
    </row>
    <row r="165" spans="1:24" ht="13.5" thickBot="1">
      <c r="A165" s="885"/>
      <c r="B165" s="516" t="s">
        <v>179</v>
      </c>
      <c r="C165" s="103" t="s">
        <v>236</v>
      </c>
      <c r="D165" s="1011"/>
      <c r="E165" s="1012"/>
      <c r="F165" s="1012"/>
      <c r="G165" s="1013"/>
      <c r="H165" s="1011"/>
      <c r="I165" s="1012"/>
      <c r="J165" s="1012"/>
      <c r="K165" s="1013"/>
      <c r="L165" s="1011"/>
      <c r="M165" s="1012"/>
      <c r="N165" s="1012"/>
      <c r="O165" s="1013"/>
      <c r="P165" s="1140">
        <f>SUM('State DisAgg LFx10 (2015)'!P402:Q406)/5</f>
        <v>76</v>
      </c>
      <c r="Q165" s="1141"/>
      <c r="R165" s="1140">
        <f>SUM('State DisAgg LFx10 (2015)'!R402:S406)/5</f>
        <v>59.8</v>
      </c>
      <c r="S165" s="1141"/>
      <c r="T165" s="995">
        <f>'State Agg LFx3 (2015)'!T165</f>
        <v>0</v>
      </c>
      <c r="U165" s="997"/>
      <c r="V165" s="995">
        <f>'State Agg LFx3 (2015)'!V165</f>
        <v>0</v>
      </c>
      <c r="W165" s="997"/>
      <c r="X165" s="880"/>
    </row>
    <row r="166" spans="1:24" ht="13.5" thickBot="1">
      <c r="A166" s="885"/>
      <c r="B166" s="516"/>
      <c r="C166" s="102" t="s">
        <v>283</v>
      </c>
      <c r="D166" s="1017"/>
      <c r="E166" s="1018"/>
      <c r="F166" s="1018"/>
      <c r="G166" s="1019"/>
      <c r="H166" s="1017"/>
      <c r="I166" s="1018"/>
      <c r="J166" s="1018"/>
      <c r="K166" s="1019"/>
      <c r="L166" s="1011"/>
      <c r="M166" s="1012"/>
      <c r="N166" s="1012"/>
      <c r="O166" s="1013"/>
      <c r="P166" s="995">
        <v>42.666666666666664</v>
      </c>
      <c r="Q166" s="997"/>
      <c r="R166" s="995">
        <v>27.333333333333332</v>
      </c>
      <c r="S166" s="997"/>
      <c r="T166" s="995">
        <f>'State Agg LFx3 (2015)'!T166</f>
        <v>0</v>
      </c>
      <c r="U166" s="997"/>
      <c r="V166" s="995">
        <f>'State Agg LFx3 (2015)'!V166</f>
        <v>0</v>
      </c>
      <c r="W166" s="997"/>
      <c r="X166" s="880"/>
    </row>
    <row r="167" spans="1:24" ht="13.5" thickBot="1">
      <c r="A167" s="885"/>
      <c r="B167" s="516"/>
      <c r="C167" s="102" t="s">
        <v>284</v>
      </c>
      <c r="D167" s="1017"/>
      <c r="E167" s="1018"/>
      <c r="F167" s="1018"/>
      <c r="G167" s="1019"/>
      <c r="H167" s="1017"/>
      <c r="I167" s="1018"/>
      <c r="J167" s="1018"/>
      <c r="K167" s="1019"/>
      <c r="L167" s="1017"/>
      <c r="M167" s="1018"/>
      <c r="N167" s="1018"/>
      <c r="O167" s="1019"/>
      <c r="P167" s="1017"/>
      <c r="Q167" s="1018"/>
      <c r="R167" s="1018"/>
      <c r="S167" s="1019"/>
      <c r="T167" s="995">
        <f>'State Agg LFx3 (2015)'!T167</f>
        <v>0</v>
      </c>
      <c r="U167" s="997"/>
      <c r="V167" s="995">
        <f>'State Agg LFx3 (2015)'!V167</f>
        <v>0</v>
      </c>
      <c r="W167" s="997"/>
      <c r="X167" s="880"/>
    </row>
    <row r="168" spans="1:24" ht="13.5" thickBot="1">
      <c r="A168" s="885"/>
      <c r="B168" s="885"/>
      <c r="C168" s="998" t="s">
        <v>413</v>
      </c>
      <c r="D168" s="927" t="s">
        <v>4</v>
      </c>
      <c r="E168" s="928"/>
      <c r="F168" s="928"/>
      <c r="G168" s="928"/>
      <c r="H168" s="928"/>
      <c r="I168" s="928"/>
      <c r="J168" s="928"/>
      <c r="K168" s="928"/>
      <c r="L168" s="928"/>
      <c r="M168" s="928"/>
      <c r="N168" s="928"/>
      <c r="O168" s="928"/>
      <c r="P168" s="928"/>
      <c r="Q168" s="928"/>
      <c r="R168" s="928"/>
      <c r="S168" s="928"/>
      <c r="T168" s="928"/>
      <c r="U168" s="928"/>
      <c r="V168" s="928"/>
      <c r="W168" s="929"/>
      <c r="X168" s="880"/>
    </row>
    <row r="169" spans="1:24" ht="24" customHeight="1" thickBot="1">
      <c r="A169" s="885"/>
      <c r="B169" s="869"/>
      <c r="C169" s="999"/>
      <c r="D169" s="930" t="s">
        <v>121</v>
      </c>
      <c r="E169" s="931"/>
      <c r="F169" s="931"/>
      <c r="G169" s="931"/>
      <c r="H169" s="931"/>
      <c r="I169" s="931"/>
      <c r="J169" s="931"/>
      <c r="K169" s="931"/>
      <c r="L169" s="931"/>
      <c r="M169" s="931"/>
      <c r="N169" s="931"/>
      <c r="O169" s="931"/>
      <c r="P169" s="931"/>
      <c r="Q169" s="931"/>
      <c r="R169" s="931"/>
      <c r="S169" s="931"/>
      <c r="T169" s="931"/>
      <c r="U169" s="931"/>
      <c r="V169" s="931"/>
      <c r="W169" s="932"/>
      <c r="X169" s="880"/>
    </row>
    <row r="170" spans="1:24" ht="13.5" thickBot="1">
      <c r="A170" s="885"/>
      <c r="B170" s="11" t="s">
        <v>40</v>
      </c>
      <c r="C170" s="12"/>
      <c r="D170" s="927" t="s">
        <v>78</v>
      </c>
      <c r="E170" s="928"/>
      <c r="F170" s="928"/>
      <c r="G170" s="929"/>
      <c r="H170" s="927" t="s">
        <v>77</v>
      </c>
      <c r="I170" s="928"/>
      <c r="J170" s="928"/>
      <c r="K170" s="929"/>
      <c r="L170" s="927" t="s">
        <v>81</v>
      </c>
      <c r="M170" s="928"/>
      <c r="N170" s="928"/>
      <c r="O170" s="929"/>
      <c r="P170" s="927" t="s">
        <v>254</v>
      </c>
      <c r="Q170" s="928"/>
      <c r="R170" s="928"/>
      <c r="S170" s="929"/>
      <c r="T170" s="927" t="s">
        <v>76</v>
      </c>
      <c r="U170" s="928"/>
      <c r="V170" s="928"/>
      <c r="W170" s="929"/>
      <c r="X170" s="880"/>
    </row>
    <row r="171" spans="1:24" ht="12.95" customHeight="1" thickBot="1">
      <c r="A171" s="885"/>
      <c r="B171" s="873" t="s">
        <v>644</v>
      </c>
      <c r="C171" s="9" t="s">
        <v>235</v>
      </c>
      <c r="D171" s="933" t="s">
        <v>171</v>
      </c>
      <c r="E171" s="934"/>
      <c r="F171" s="934"/>
      <c r="G171" s="935"/>
      <c r="H171" s="966" t="s">
        <v>572</v>
      </c>
      <c r="I171" s="967"/>
      <c r="J171" s="967"/>
      <c r="K171" s="968"/>
      <c r="L171" s="963">
        <v>3.5</v>
      </c>
      <c r="M171" s="964"/>
      <c r="N171" s="964"/>
      <c r="O171" s="965"/>
      <c r="P171" s="1094">
        <v>3.78</v>
      </c>
      <c r="Q171" s="1095"/>
      <c r="R171" s="1095"/>
      <c r="S171" s="1096"/>
      <c r="T171" s="1094">
        <v>4.1399999999999997</v>
      </c>
      <c r="U171" s="1095"/>
      <c r="V171" s="1095"/>
      <c r="W171" s="1096"/>
      <c r="X171" s="880"/>
    </row>
    <row r="172" spans="1:24" ht="12.95" customHeight="1" thickBot="1">
      <c r="A172" s="885"/>
      <c r="B172" s="874"/>
      <c r="C172" s="9" t="s">
        <v>233</v>
      </c>
      <c r="D172" s="957"/>
      <c r="E172" s="958"/>
      <c r="F172" s="958"/>
      <c r="G172" s="959"/>
      <c r="H172" s="966" t="s">
        <v>572</v>
      </c>
      <c r="I172" s="967"/>
      <c r="J172" s="967"/>
      <c r="K172" s="968"/>
      <c r="L172" s="963">
        <v>2.0333333333333332</v>
      </c>
      <c r="M172" s="964"/>
      <c r="N172" s="964"/>
      <c r="O172" s="965"/>
      <c r="P172" s="1094">
        <v>2.3333333333333335</v>
      </c>
      <c r="Q172" s="1095"/>
      <c r="R172" s="1095"/>
      <c r="S172" s="1096"/>
      <c r="T172" s="1094">
        <v>2.8333333333333335</v>
      </c>
      <c r="U172" s="1095"/>
      <c r="V172" s="1095"/>
      <c r="W172" s="1096"/>
      <c r="X172" s="880"/>
    </row>
    <row r="173" spans="1:24" ht="12.95" customHeight="1" thickBot="1">
      <c r="A173" s="885"/>
      <c r="B173" s="874"/>
      <c r="C173" s="9" t="s">
        <v>234</v>
      </c>
      <c r="D173" s="957"/>
      <c r="E173" s="958"/>
      <c r="F173" s="958"/>
      <c r="G173" s="959"/>
      <c r="H173" s="957"/>
      <c r="I173" s="958"/>
      <c r="J173" s="958"/>
      <c r="K173" s="959"/>
      <c r="L173" s="1057" t="s">
        <v>909</v>
      </c>
      <c r="M173" s="1058"/>
      <c r="N173" s="1058"/>
      <c r="O173" s="1059"/>
      <c r="P173" s="1094">
        <f>'State Agg LFx3 (2015)'!P173</f>
        <v>2.8</v>
      </c>
      <c r="Q173" s="1095"/>
      <c r="R173" s="1095"/>
      <c r="S173" s="1096"/>
      <c r="T173" s="1094">
        <f>'State Agg LFx3 (2015)'!T173</f>
        <v>3.2</v>
      </c>
      <c r="U173" s="1095"/>
      <c r="V173" s="1095"/>
      <c r="W173" s="1096"/>
      <c r="X173" s="880"/>
    </row>
    <row r="174" spans="1:24" ht="13.5" thickBot="1">
      <c r="A174" s="885"/>
      <c r="B174" s="874"/>
      <c r="C174" s="102" t="s">
        <v>236</v>
      </c>
      <c r="D174" s="1011"/>
      <c r="E174" s="1012"/>
      <c r="F174" s="1012"/>
      <c r="G174" s="1013"/>
      <c r="H174" s="1011"/>
      <c r="I174" s="1012"/>
      <c r="J174" s="1012"/>
      <c r="K174" s="1013"/>
      <c r="L174" s="1011"/>
      <c r="M174" s="1012"/>
      <c r="N174" s="1012"/>
      <c r="O174" s="1013"/>
      <c r="P174" s="1020" t="s">
        <v>787</v>
      </c>
      <c r="Q174" s="1021"/>
      <c r="R174" s="1021"/>
      <c r="S174" s="1022"/>
      <c r="T174" s="1020">
        <f>'State Agg LFx3 (2015)'!T174</f>
        <v>0</v>
      </c>
      <c r="U174" s="1021"/>
      <c r="V174" s="1021"/>
      <c r="W174" s="1022"/>
      <c r="X174" s="881"/>
    </row>
    <row r="175" spans="1:24" ht="13.5" thickBot="1">
      <c r="A175" s="885"/>
      <c r="B175" s="874"/>
      <c r="C175" s="102" t="s">
        <v>283</v>
      </c>
      <c r="D175" s="1017"/>
      <c r="E175" s="1018"/>
      <c r="F175" s="1018"/>
      <c r="G175" s="1019"/>
      <c r="H175" s="1017"/>
      <c r="I175" s="1018"/>
      <c r="J175" s="1018"/>
      <c r="K175" s="1019"/>
      <c r="L175" s="1011"/>
      <c r="M175" s="1012"/>
      <c r="N175" s="1012"/>
      <c r="O175" s="1013"/>
      <c r="P175" s="1020">
        <v>2.5333333333333332</v>
      </c>
      <c r="Q175" s="1021"/>
      <c r="R175" s="1021"/>
      <c r="S175" s="1022"/>
      <c r="T175" s="1020">
        <f>'State Agg LFx3 (2015)'!T175</f>
        <v>0</v>
      </c>
      <c r="U175" s="1021"/>
      <c r="V175" s="1021"/>
      <c r="W175" s="1022"/>
      <c r="X175" s="101"/>
    </row>
    <row r="176" spans="1:24" ht="13.5" thickBot="1">
      <c r="A176" s="869"/>
      <c r="B176" s="874"/>
      <c r="C176" s="102" t="s">
        <v>284</v>
      </c>
      <c r="D176" s="1017"/>
      <c r="E176" s="1018"/>
      <c r="F176" s="1018"/>
      <c r="G176" s="1019"/>
      <c r="H176" s="1017"/>
      <c r="I176" s="1018"/>
      <c r="J176" s="1018"/>
      <c r="K176" s="1019"/>
      <c r="L176" s="1017"/>
      <c r="M176" s="1018"/>
      <c r="N176" s="1018"/>
      <c r="O176" s="1019"/>
      <c r="P176" s="1017"/>
      <c r="Q176" s="1018"/>
      <c r="R176" s="1018"/>
      <c r="S176" s="1019"/>
      <c r="T176" s="1020">
        <f>'State Agg LFx3 (2015)'!T176</f>
        <v>0</v>
      </c>
      <c r="U176" s="1021"/>
      <c r="V176" s="1021"/>
      <c r="W176" s="1022"/>
      <c r="X176" s="101"/>
    </row>
    <row r="177" spans="1:24" ht="13.5" thickBot="1">
      <c r="A177" s="520" t="s">
        <v>13</v>
      </c>
      <c r="B177" s="874"/>
      <c r="C177" s="998" t="s">
        <v>413</v>
      </c>
      <c r="D177" s="927" t="s">
        <v>4</v>
      </c>
      <c r="E177" s="928"/>
      <c r="F177" s="928"/>
      <c r="G177" s="928"/>
      <c r="H177" s="928"/>
      <c r="I177" s="928"/>
      <c r="J177" s="928"/>
      <c r="K177" s="928"/>
      <c r="L177" s="928"/>
      <c r="M177" s="928"/>
      <c r="N177" s="928"/>
      <c r="O177" s="928"/>
      <c r="P177" s="928"/>
      <c r="Q177" s="928"/>
      <c r="R177" s="928"/>
      <c r="S177" s="928"/>
      <c r="T177" s="928"/>
      <c r="U177" s="928"/>
      <c r="V177" s="928"/>
      <c r="W177" s="929"/>
      <c r="X177" s="24" t="s">
        <v>14</v>
      </c>
    </row>
    <row r="178" spans="1:24" ht="13.5" thickBot="1">
      <c r="A178" s="25" t="s">
        <v>75</v>
      </c>
      <c r="B178" s="875"/>
      <c r="C178" s="999"/>
      <c r="D178" s="930" t="s">
        <v>122</v>
      </c>
      <c r="E178" s="931"/>
      <c r="F178" s="931"/>
      <c r="G178" s="931"/>
      <c r="H178" s="931"/>
      <c r="I178" s="931"/>
      <c r="J178" s="931"/>
      <c r="K178" s="931"/>
      <c r="L178" s="931"/>
      <c r="M178" s="931"/>
      <c r="N178" s="931"/>
      <c r="O178" s="931"/>
      <c r="P178" s="931"/>
      <c r="Q178" s="931"/>
      <c r="R178" s="931"/>
      <c r="S178" s="931"/>
      <c r="T178" s="931"/>
      <c r="U178" s="931"/>
      <c r="V178" s="931"/>
      <c r="W178" s="932"/>
      <c r="X178" s="18" t="s">
        <v>92</v>
      </c>
    </row>
    <row r="179" spans="1:24" ht="13.5" thickBot="1">
      <c r="A179" s="906" t="s">
        <v>7</v>
      </c>
      <c r="B179" s="908" t="s">
        <v>173</v>
      </c>
      <c r="C179" s="918"/>
      <c r="D179" s="908" t="s">
        <v>8</v>
      </c>
      <c r="E179" s="918"/>
      <c r="F179" s="918"/>
      <c r="G179" s="909"/>
      <c r="H179" s="908" t="s">
        <v>88</v>
      </c>
      <c r="I179" s="918"/>
      <c r="J179" s="918"/>
      <c r="K179" s="909"/>
      <c r="L179" s="908" t="s">
        <v>89</v>
      </c>
      <c r="M179" s="918"/>
      <c r="N179" s="918"/>
      <c r="O179" s="909"/>
      <c r="P179" s="908" t="s">
        <v>9</v>
      </c>
      <c r="Q179" s="918"/>
      <c r="R179" s="918"/>
      <c r="S179" s="909"/>
      <c r="T179" s="908" t="s">
        <v>174</v>
      </c>
      <c r="U179" s="918"/>
      <c r="V179" s="918"/>
      <c r="W179" s="918"/>
      <c r="X179" s="909"/>
    </row>
    <row r="180" spans="1:24" ht="13.5" thickBot="1">
      <c r="A180" s="907"/>
      <c r="B180" s="919">
        <v>4200000</v>
      </c>
      <c r="C180" s="921"/>
      <c r="D180" s="919">
        <v>0</v>
      </c>
      <c r="E180" s="921"/>
      <c r="F180" s="921"/>
      <c r="G180" s="920"/>
      <c r="H180" s="919">
        <v>3200000</v>
      </c>
      <c r="I180" s="921"/>
      <c r="J180" s="921"/>
      <c r="K180" s="920"/>
      <c r="L180" s="919">
        <v>0</v>
      </c>
      <c r="M180" s="921"/>
      <c r="N180" s="921"/>
      <c r="O180" s="920"/>
      <c r="P180" s="919">
        <f>SUM(B180:O180)</f>
        <v>7400000</v>
      </c>
      <c r="Q180" s="921"/>
      <c r="R180" s="921"/>
      <c r="S180" s="920"/>
      <c r="T180" s="942">
        <f>B180/P180%</f>
        <v>56.756756756756758</v>
      </c>
      <c r="U180" s="943"/>
      <c r="V180" s="943"/>
      <c r="W180" s="943"/>
      <c r="X180" s="944"/>
    </row>
    <row r="181" spans="1:24" ht="13.5" thickBot="1">
      <c r="A181" s="906" t="s">
        <v>10</v>
      </c>
      <c r="B181" s="908" t="s">
        <v>175</v>
      </c>
      <c r="C181" s="918"/>
      <c r="D181" s="910"/>
      <c r="E181" s="911"/>
      <c r="F181" s="911"/>
      <c r="G181" s="911"/>
      <c r="H181" s="911"/>
      <c r="I181" s="911"/>
      <c r="J181" s="911"/>
      <c r="K181" s="911"/>
      <c r="L181" s="911"/>
      <c r="M181" s="911"/>
      <c r="N181" s="911"/>
      <c r="O181" s="911"/>
      <c r="P181" s="911"/>
      <c r="Q181" s="911"/>
      <c r="R181" s="911"/>
      <c r="S181" s="911"/>
      <c r="T181" s="911"/>
      <c r="U181" s="911"/>
      <c r="V181" s="911"/>
      <c r="W181" s="911"/>
      <c r="X181" s="912"/>
    </row>
    <row r="182" spans="1:24" ht="13.5" thickBot="1">
      <c r="A182" s="907"/>
      <c r="B182" s="916"/>
      <c r="C182" s="994"/>
      <c r="D182" s="913"/>
      <c r="E182" s="914"/>
      <c r="F182" s="914"/>
      <c r="G182" s="914"/>
      <c r="H182" s="914"/>
      <c r="I182" s="914"/>
      <c r="J182" s="914"/>
      <c r="K182" s="914"/>
      <c r="L182" s="914"/>
      <c r="M182" s="914"/>
      <c r="N182" s="914"/>
      <c r="O182" s="914"/>
      <c r="P182" s="914"/>
      <c r="Q182" s="914"/>
      <c r="R182" s="914"/>
      <c r="S182" s="914"/>
      <c r="T182" s="914"/>
      <c r="U182" s="914"/>
      <c r="V182" s="914"/>
      <c r="W182" s="914"/>
      <c r="X182" s="915"/>
    </row>
    <row r="183" spans="1:24">
      <c r="A183" s="5"/>
      <c r="B183" s="5"/>
      <c r="C183" s="6"/>
      <c r="D183" s="5"/>
      <c r="E183" s="5"/>
      <c r="F183" s="5"/>
      <c r="G183" s="5"/>
      <c r="H183" s="5"/>
      <c r="I183" s="5"/>
      <c r="J183" s="5"/>
      <c r="K183" s="5"/>
      <c r="L183" s="5"/>
      <c r="M183" s="5"/>
      <c r="N183" s="5"/>
      <c r="O183" s="5"/>
      <c r="P183" s="5"/>
      <c r="Q183" s="5"/>
      <c r="R183" s="5"/>
      <c r="S183" s="5"/>
      <c r="T183" s="5"/>
      <c r="U183" s="5"/>
      <c r="V183" s="5"/>
      <c r="W183" s="5"/>
      <c r="X183" s="5"/>
    </row>
    <row r="184" spans="1:24" ht="13.5" thickBot="1">
      <c r="A184" s="5"/>
      <c r="B184" s="5"/>
      <c r="C184" s="6"/>
      <c r="D184" s="5"/>
      <c r="E184" s="5"/>
      <c r="F184" s="5"/>
      <c r="G184" s="5"/>
      <c r="H184" s="5"/>
      <c r="I184" s="5"/>
      <c r="J184" s="5"/>
      <c r="K184" s="5"/>
      <c r="L184" s="5"/>
      <c r="M184" s="5"/>
      <c r="N184" s="5"/>
      <c r="O184" s="5"/>
      <c r="P184" s="5"/>
      <c r="Q184" s="5"/>
      <c r="R184" s="5"/>
      <c r="S184" s="5"/>
      <c r="T184" s="5"/>
      <c r="U184" s="5"/>
      <c r="V184" s="5"/>
      <c r="W184" s="5"/>
      <c r="X184" s="5"/>
    </row>
    <row r="185" spans="1:24" ht="13.5" thickBot="1">
      <c r="A185" s="519" t="s">
        <v>28</v>
      </c>
      <c r="B185" s="522" t="s">
        <v>32</v>
      </c>
      <c r="C185" s="8"/>
      <c r="D185" s="927" t="s">
        <v>78</v>
      </c>
      <c r="E185" s="928"/>
      <c r="F185" s="928"/>
      <c r="G185" s="929"/>
      <c r="H185" s="927" t="s">
        <v>77</v>
      </c>
      <c r="I185" s="928"/>
      <c r="J185" s="928"/>
      <c r="K185" s="929"/>
      <c r="L185" s="927" t="s">
        <v>81</v>
      </c>
      <c r="M185" s="928"/>
      <c r="N185" s="928"/>
      <c r="O185" s="929"/>
      <c r="P185" s="927" t="s">
        <v>254</v>
      </c>
      <c r="Q185" s="928"/>
      <c r="R185" s="928"/>
      <c r="S185" s="929"/>
      <c r="T185" s="927" t="s">
        <v>76</v>
      </c>
      <c r="U185" s="928"/>
      <c r="V185" s="928"/>
      <c r="W185" s="929"/>
      <c r="X185" s="16" t="s">
        <v>6</v>
      </c>
    </row>
    <row r="186" spans="1:24" ht="13.5" thickBot="1">
      <c r="A186" s="868" t="s">
        <v>65</v>
      </c>
      <c r="B186" s="868" t="s">
        <v>66</v>
      </c>
      <c r="C186" s="9" t="s">
        <v>235</v>
      </c>
      <c r="D186" s="1014">
        <v>1.6</v>
      </c>
      <c r="E186" s="1015"/>
      <c r="F186" s="1015"/>
      <c r="G186" s="1016"/>
      <c r="H186" s="1014">
        <v>2</v>
      </c>
      <c r="I186" s="1015"/>
      <c r="J186" s="1015"/>
      <c r="K186" s="1016"/>
      <c r="L186" s="1014">
        <v>2.4</v>
      </c>
      <c r="M186" s="1015"/>
      <c r="N186" s="1015"/>
      <c r="O186" s="1016"/>
      <c r="P186" s="1014">
        <v>2.6</v>
      </c>
      <c r="Q186" s="1015"/>
      <c r="R186" s="1015"/>
      <c r="S186" s="1016"/>
      <c r="T186" s="1014">
        <v>3</v>
      </c>
      <c r="U186" s="1015"/>
      <c r="V186" s="1015"/>
      <c r="W186" s="1016"/>
      <c r="X186" s="879" t="s">
        <v>91</v>
      </c>
    </row>
    <row r="187" spans="1:24" ht="13.5" thickBot="1">
      <c r="A187" s="885"/>
      <c r="B187" s="885"/>
      <c r="C187" s="9" t="s">
        <v>233</v>
      </c>
      <c r="D187" s="966" t="s">
        <v>255</v>
      </c>
      <c r="E187" s="967"/>
      <c r="F187" s="967"/>
      <c r="G187" s="968"/>
      <c r="H187" s="1094">
        <v>1.5</v>
      </c>
      <c r="I187" s="1095"/>
      <c r="J187" s="1095"/>
      <c r="K187" s="1096"/>
      <c r="L187" s="1014">
        <v>1.5</v>
      </c>
      <c r="M187" s="1015"/>
      <c r="N187" s="1015"/>
      <c r="O187" s="1016"/>
      <c r="P187" s="1014">
        <v>1.6</v>
      </c>
      <c r="Q187" s="1015"/>
      <c r="R187" s="1015"/>
      <c r="S187" s="1016"/>
      <c r="T187" s="1014">
        <v>2.5</v>
      </c>
      <c r="U187" s="1015"/>
      <c r="V187" s="1015"/>
      <c r="W187" s="1016"/>
      <c r="X187" s="880"/>
    </row>
    <row r="188" spans="1:24" ht="12.95" customHeight="1" thickBot="1">
      <c r="A188" s="885"/>
      <c r="B188" s="885"/>
      <c r="C188" s="9" t="s">
        <v>234</v>
      </c>
      <c r="D188" s="957"/>
      <c r="E188" s="958"/>
      <c r="F188" s="958"/>
      <c r="G188" s="959"/>
      <c r="H188" s="957"/>
      <c r="I188" s="958"/>
      <c r="J188" s="958"/>
      <c r="K188" s="959"/>
      <c r="L188" s="1057" t="s">
        <v>910</v>
      </c>
      <c r="M188" s="1058"/>
      <c r="N188" s="1058"/>
      <c r="O188" s="1059"/>
      <c r="P188" s="1094">
        <f>'State Agg LFx3 (2015)'!P188</f>
        <v>1.25</v>
      </c>
      <c r="Q188" s="1095"/>
      <c r="R188" s="1095"/>
      <c r="S188" s="1096"/>
      <c r="T188" s="1094">
        <f>'State Agg LFx3 (2015)'!T188</f>
        <v>2.0499999999999998</v>
      </c>
      <c r="U188" s="1095"/>
      <c r="V188" s="1095"/>
      <c r="W188" s="1096"/>
      <c r="X188" s="880"/>
    </row>
    <row r="189" spans="1:24" ht="13.5" thickBot="1">
      <c r="A189" s="885"/>
      <c r="B189" s="885"/>
      <c r="C189" s="102" t="s">
        <v>236</v>
      </c>
      <c r="D189" s="1008" t="s">
        <v>416</v>
      </c>
      <c r="E189" s="1009"/>
      <c r="F189" s="1009"/>
      <c r="G189" s="1010"/>
      <c r="H189" s="1020">
        <v>2</v>
      </c>
      <c r="I189" s="1021"/>
      <c r="J189" s="1021"/>
      <c r="K189" s="1022"/>
      <c r="L189" s="1020">
        <v>2.7</v>
      </c>
      <c r="M189" s="1021"/>
      <c r="N189" s="1021"/>
      <c r="O189" s="1022"/>
      <c r="P189" s="1079" t="s">
        <v>788</v>
      </c>
      <c r="Q189" s="1080"/>
      <c r="R189" s="1080"/>
      <c r="S189" s="1081"/>
      <c r="T189" s="1020">
        <f>'State Agg LFx3 (2015)'!T189</f>
        <v>0</v>
      </c>
      <c r="U189" s="1021"/>
      <c r="V189" s="1021"/>
      <c r="W189" s="1022"/>
      <c r="X189" s="880"/>
    </row>
    <row r="190" spans="1:24" ht="13.5" thickBot="1">
      <c r="A190" s="885"/>
      <c r="B190" s="885"/>
      <c r="C190" s="102" t="s">
        <v>283</v>
      </c>
      <c r="D190" s="1017"/>
      <c r="E190" s="1018"/>
      <c r="F190" s="1018"/>
      <c r="G190" s="1019"/>
      <c r="H190" s="1017"/>
      <c r="I190" s="1018"/>
      <c r="J190" s="1018"/>
      <c r="K190" s="1019"/>
      <c r="L190" s="1020">
        <v>1.5</v>
      </c>
      <c r="M190" s="1021"/>
      <c r="N190" s="1021"/>
      <c r="O190" s="1022"/>
      <c r="P190" s="1020" t="s">
        <v>789</v>
      </c>
      <c r="Q190" s="1021"/>
      <c r="R190" s="1021"/>
      <c r="S190" s="1022"/>
      <c r="T190" s="1020">
        <f>'State Agg LFx3 (2015)'!T190</f>
        <v>0</v>
      </c>
      <c r="U190" s="1021"/>
      <c r="V190" s="1021"/>
      <c r="W190" s="1022"/>
      <c r="X190" s="880"/>
    </row>
    <row r="191" spans="1:24" ht="13.5" thickBot="1">
      <c r="A191" s="885"/>
      <c r="B191" s="885"/>
      <c r="C191" s="102" t="s">
        <v>284</v>
      </c>
      <c r="D191" s="1017"/>
      <c r="E191" s="1018"/>
      <c r="F191" s="1018"/>
      <c r="G191" s="1019"/>
      <c r="H191" s="1017"/>
      <c r="I191" s="1018"/>
      <c r="J191" s="1018"/>
      <c r="K191" s="1019"/>
      <c r="L191" s="1017"/>
      <c r="M191" s="1018"/>
      <c r="N191" s="1018"/>
      <c r="O191" s="1019"/>
      <c r="P191" s="1017"/>
      <c r="Q191" s="1018"/>
      <c r="R191" s="1018"/>
      <c r="S191" s="1019"/>
      <c r="T191" s="1020">
        <f>'State Agg LFx3 (2015)'!T191</f>
        <v>0</v>
      </c>
      <c r="U191" s="1021"/>
      <c r="V191" s="1021"/>
      <c r="W191" s="1022"/>
      <c r="X191" s="880"/>
    </row>
    <row r="192" spans="1:24" ht="13.5" thickBot="1">
      <c r="A192" s="885"/>
      <c r="B192" s="885"/>
      <c r="C192" s="998" t="s">
        <v>413</v>
      </c>
      <c r="D192" s="927" t="s">
        <v>4</v>
      </c>
      <c r="E192" s="928"/>
      <c r="F192" s="928"/>
      <c r="G192" s="928"/>
      <c r="H192" s="928"/>
      <c r="I192" s="928"/>
      <c r="J192" s="928"/>
      <c r="K192" s="928"/>
      <c r="L192" s="928"/>
      <c r="M192" s="928"/>
      <c r="N192" s="928"/>
      <c r="O192" s="928"/>
      <c r="P192" s="928"/>
      <c r="Q192" s="928"/>
      <c r="R192" s="928"/>
      <c r="S192" s="928"/>
      <c r="T192" s="928"/>
      <c r="U192" s="928"/>
      <c r="V192" s="928"/>
      <c r="W192" s="929"/>
      <c r="X192" s="880"/>
    </row>
    <row r="193" spans="1:24" ht="13.5" thickBot="1">
      <c r="A193" s="885"/>
      <c r="B193" s="869"/>
      <c r="C193" s="999"/>
      <c r="D193" s="930" t="s">
        <v>123</v>
      </c>
      <c r="E193" s="931"/>
      <c r="F193" s="931"/>
      <c r="G193" s="931"/>
      <c r="H193" s="931"/>
      <c r="I193" s="931"/>
      <c r="J193" s="931"/>
      <c r="K193" s="931"/>
      <c r="L193" s="931"/>
      <c r="M193" s="931"/>
      <c r="N193" s="931"/>
      <c r="O193" s="931"/>
      <c r="P193" s="931"/>
      <c r="Q193" s="931"/>
      <c r="R193" s="931"/>
      <c r="S193" s="931"/>
      <c r="T193" s="931"/>
      <c r="U193" s="931"/>
      <c r="V193" s="931"/>
      <c r="W193" s="932"/>
      <c r="X193" s="880"/>
    </row>
    <row r="194" spans="1:24" ht="13.5" thickBot="1">
      <c r="A194" s="885"/>
      <c r="B194" s="11" t="s">
        <v>33</v>
      </c>
      <c r="C194" s="12"/>
      <c r="D194" s="927" t="s">
        <v>78</v>
      </c>
      <c r="E194" s="928"/>
      <c r="F194" s="928"/>
      <c r="G194" s="929"/>
      <c r="H194" s="927" t="s">
        <v>77</v>
      </c>
      <c r="I194" s="928"/>
      <c r="J194" s="928"/>
      <c r="K194" s="929"/>
      <c r="L194" s="927" t="s">
        <v>81</v>
      </c>
      <c r="M194" s="928"/>
      <c r="N194" s="928"/>
      <c r="O194" s="929"/>
      <c r="P194" s="927" t="s">
        <v>254</v>
      </c>
      <c r="Q194" s="928"/>
      <c r="R194" s="928"/>
      <c r="S194" s="929"/>
      <c r="T194" s="927" t="s">
        <v>76</v>
      </c>
      <c r="U194" s="928"/>
      <c r="V194" s="928"/>
      <c r="W194" s="929"/>
      <c r="X194" s="880"/>
    </row>
    <row r="195" spans="1:24" ht="13.5" thickBot="1">
      <c r="A195" s="885"/>
      <c r="B195" s="868" t="s">
        <v>67</v>
      </c>
      <c r="C195" s="9" t="s">
        <v>235</v>
      </c>
      <c r="D195" s="1014">
        <v>1.2</v>
      </c>
      <c r="E195" s="1015"/>
      <c r="F195" s="1015"/>
      <c r="G195" s="1016"/>
      <c r="H195" s="1014">
        <v>1.8</v>
      </c>
      <c r="I195" s="1015"/>
      <c r="J195" s="1015"/>
      <c r="K195" s="1016"/>
      <c r="L195" s="1014">
        <v>2.4</v>
      </c>
      <c r="M195" s="1015"/>
      <c r="N195" s="1015"/>
      <c r="O195" s="1016"/>
      <c r="P195" s="1014">
        <v>2.7</v>
      </c>
      <c r="Q195" s="1015"/>
      <c r="R195" s="1015"/>
      <c r="S195" s="1016"/>
      <c r="T195" s="1014">
        <v>3</v>
      </c>
      <c r="U195" s="1015"/>
      <c r="V195" s="1015"/>
      <c r="W195" s="1016"/>
      <c r="X195" s="880"/>
    </row>
    <row r="196" spans="1:24" ht="13.5" thickBot="1">
      <c r="A196" s="885"/>
      <c r="B196" s="885"/>
      <c r="C196" s="9" t="s">
        <v>233</v>
      </c>
      <c r="D196" s="966" t="s">
        <v>255</v>
      </c>
      <c r="E196" s="967"/>
      <c r="F196" s="967"/>
      <c r="G196" s="968"/>
      <c r="H196" s="1094">
        <v>2.5</v>
      </c>
      <c r="I196" s="1095"/>
      <c r="J196" s="1095"/>
      <c r="K196" s="1096"/>
      <c r="L196" s="1014">
        <v>2.5</v>
      </c>
      <c r="M196" s="1015"/>
      <c r="N196" s="1015"/>
      <c r="O196" s="1016"/>
      <c r="P196" s="1014">
        <v>2.2999999999999998</v>
      </c>
      <c r="Q196" s="1015"/>
      <c r="R196" s="1015"/>
      <c r="S196" s="1016"/>
      <c r="T196" s="1014">
        <v>2.8</v>
      </c>
      <c r="U196" s="1015"/>
      <c r="V196" s="1015"/>
      <c r="W196" s="1016"/>
      <c r="X196" s="880"/>
    </row>
    <row r="197" spans="1:24" ht="12.95" customHeight="1" thickBot="1">
      <c r="A197" s="885"/>
      <c r="B197" s="885"/>
      <c r="C197" s="9" t="s">
        <v>234</v>
      </c>
      <c r="D197" s="957"/>
      <c r="E197" s="958"/>
      <c r="F197" s="958"/>
      <c r="G197" s="959"/>
      <c r="H197" s="957"/>
      <c r="I197" s="958"/>
      <c r="J197" s="958"/>
      <c r="K197" s="959"/>
      <c r="L197" s="1057" t="s">
        <v>910</v>
      </c>
      <c r="M197" s="1058"/>
      <c r="N197" s="1058"/>
      <c r="O197" s="1059"/>
      <c r="P197" s="1094">
        <f>'State Agg LFx3 (2015)'!P197</f>
        <v>1.8</v>
      </c>
      <c r="Q197" s="1095"/>
      <c r="R197" s="1095"/>
      <c r="S197" s="1096"/>
      <c r="T197" s="1094">
        <f>'State Agg LFx3 (2015)'!T197</f>
        <v>2.95</v>
      </c>
      <c r="U197" s="1095"/>
      <c r="V197" s="1095"/>
      <c r="W197" s="1096"/>
      <c r="X197" s="880"/>
    </row>
    <row r="198" spans="1:24" ht="13.5" thickBot="1">
      <c r="A198" s="885"/>
      <c r="B198" s="885"/>
      <c r="C198" s="102" t="s">
        <v>236</v>
      </c>
      <c r="D198" s="1008" t="s">
        <v>416</v>
      </c>
      <c r="E198" s="1009"/>
      <c r="F198" s="1009"/>
      <c r="G198" s="1010"/>
      <c r="H198" s="1020">
        <v>2.2999999999999998</v>
      </c>
      <c r="I198" s="1021"/>
      <c r="J198" s="1021"/>
      <c r="K198" s="1022"/>
      <c r="L198" s="1020">
        <v>2.7</v>
      </c>
      <c r="M198" s="1021"/>
      <c r="N198" s="1021"/>
      <c r="O198" s="1022"/>
      <c r="P198" s="1079">
        <v>4.0999999999999996</v>
      </c>
      <c r="Q198" s="1080"/>
      <c r="R198" s="1080"/>
      <c r="S198" s="1081"/>
      <c r="T198" s="1020">
        <f>'State Agg LFx3 (2015)'!T198</f>
        <v>0</v>
      </c>
      <c r="U198" s="1021"/>
      <c r="V198" s="1021"/>
      <c r="W198" s="1022"/>
      <c r="X198" s="880"/>
    </row>
    <row r="199" spans="1:24" ht="13.5" thickBot="1">
      <c r="A199" s="885"/>
      <c r="B199" s="885"/>
      <c r="C199" s="102" t="s">
        <v>283</v>
      </c>
      <c r="D199" s="1017"/>
      <c r="E199" s="1018"/>
      <c r="F199" s="1018"/>
      <c r="G199" s="1019"/>
      <c r="H199" s="1017"/>
      <c r="I199" s="1018"/>
      <c r="J199" s="1018"/>
      <c r="K199" s="1019"/>
      <c r="L199" s="1020">
        <v>2.5</v>
      </c>
      <c r="M199" s="1021"/>
      <c r="N199" s="1021"/>
      <c r="O199" s="1022"/>
      <c r="P199" s="1020" t="s">
        <v>790</v>
      </c>
      <c r="Q199" s="1021"/>
      <c r="R199" s="1021"/>
      <c r="S199" s="1022"/>
      <c r="T199" s="1020">
        <f>'State Agg LFx3 (2015)'!T199</f>
        <v>0</v>
      </c>
      <c r="U199" s="1021"/>
      <c r="V199" s="1021"/>
      <c r="W199" s="1022"/>
      <c r="X199" s="880"/>
    </row>
    <row r="200" spans="1:24" ht="13.5" thickBot="1">
      <c r="A200" s="885"/>
      <c r="B200" s="885"/>
      <c r="C200" s="102" t="s">
        <v>284</v>
      </c>
      <c r="D200" s="1017"/>
      <c r="E200" s="1018"/>
      <c r="F200" s="1018"/>
      <c r="G200" s="1019"/>
      <c r="H200" s="1017"/>
      <c r="I200" s="1018"/>
      <c r="J200" s="1018"/>
      <c r="K200" s="1019"/>
      <c r="L200" s="1017"/>
      <c r="M200" s="1018"/>
      <c r="N200" s="1018"/>
      <c r="O200" s="1019"/>
      <c r="P200" s="1017"/>
      <c r="Q200" s="1018"/>
      <c r="R200" s="1018"/>
      <c r="S200" s="1019"/>
      <c r="T200" s="1020">
        <f>'State Agg LFx3 (2015)'!T200</f>
        <v>0</v>
      </c>
      <c r="U200" s="1021"/>
      <c r="V200" s="1021"/>
      <c r="W200" s="1022"/>
      <c r="X200" s="880"/>
    </row>
    <row r="201" spans="1:24" ht="13.5" thickBot="1">
      <c r="A201" s="885"/>
      <c r="B201" s="885"/>
      <c r="C201" s="998" t="s">
        <v>413</v>
      </c>
      <c r="D201" s="927" t="s">
        <v>4</v>
      </c>
      <c r="E201" s="928"/>
      <c r="F201" s="928"/>
      <c r="G201" s="928"/>
      <c r="H201" s="928"/>
      <c r="I201" s="928"/>
      <c r="J201" s="928"/>
      <c r="K201" s="928"/>
      <c r="L201" s="928"/>
      <c r="M201" s="928"/>
      <c r="N201" s="928"/>
      <c r="O201" s="928"/>
      <c r="P201" s="928"/>
      <c r="Q201" s="928"/>
      <c r="R201" s="928"/>
      <c r="S201" s="928"/>
      <c r="T201" s="928"/>
      <c r="U201" s="928"/>
      <c r="V201" s="928"/>
      <c r="W201" s="929"/>
      <c r="X201" s="880"/>
    </row>
    <row r="202" spans="1:24" ht="13.5" thickBot="1">
      <c r="A202" s="885"/>
      <c r="B202" s="869"/>
      <c r="C202" s="999"/>
      <c r="D202" s="930" t="s">
        <v>123</v>
      </c>
      <c r="E202" s="931"/>
      <c r="F202" s="931"/>
      <c r="G202" s="931"/>
      <c r="H202" s="931"/>
      <c r="I202" s="931"/>
      <c r="J202" s="931"/>
      <c r="K202" s="931"/>
      <c r="L202" s="931"/>
      <c r="M202" s="931"/>
      <c r="N202" s="931"/>
      <c r="O202" s="931"/>
      <c r="P202" s="931"/>
      <c r="Q202" s="931"/>
      <c r="R202" s="931"/>
      <c r="S202" s="931"/>
      <c r="T202" s="931"/>
      <c r="U202" s="931"/>
      <c r="V202" s="931"/>
      <c r="W202" s="932"/>
      <c r="X202" s="880"/>
    </row>
    <row r="203" spans="1:24" ht="13.5" thickBot="1">
      <c r="A203" s="885"/>
      <c r="B203" s="11" t="s">
        <v>34</v>
      </c>
      <c r="C203" s="12"/>
      <c r="D203" s="927" t="s">
        <v>78</v>
      </c>
      <c r="E203" s="928"/>
      <c r="F203" s="928"/>
      <c r="G203" s="929"/>
      <c r="H203" s="927" t="s">
        <v>77</v>
      </c>
      <c r="I203" s="928"/>
      <c r="J203" s="928"/>
      <c r="K203" s="929"/>
      <c r="L203" s="927" t="s">
        <v>81</v>
      </c>
      <c r="M203" s="928"/>
      <c r="N203" s="928"/>
      <c r="O203" s="929"/>
      <c r="P203" s="927" t="s">
        <v>254</v>
      </c>
      <c r="Q203" s="928"/>
      <c r="R203" s="928"/>
      <c r="S203" s="929"/>
      <c r="T203" s="927" t="s">
        <v>76</v>
      </c>
      <c r="U203" s="928"/>
      <c r="V203" s="928"/>
      <c r="W203" s="929"/>
      <c r="X203" s="880"/>
    </row>
    <row r="204" spans="1:24" ht="13.5" thickBot="1">
      <c r="A204" s="885"/>
      <c r="B204" s="868" t="s">
        <v>68</v>
      </c>
      <c r="C204" s="9" t="s">
        <v>235</v>
      </c>
      <c r="D204" s="1014">
        <v>1</v>
      </c>
      <c r="E204" s="1015"/>
      <c r="F204" s="1015"/>
      <c r="G204" s="1016"/>
      <c r="H204" s="1014">
        <v>1.6</v>
      </c>
      <c r="I204" s="1015"/>
      <c r="J204" s="1015"/>
      <c r="K204" s="1016"/>
      <c r="L204" s="1014">
        <v>2.2000000000000002</v>
      </c>
      <c r="M204" s="1015"/>
      <c r="N204" s="1015"/>
      <c r="O204" s="1016"/>
      <c r="P204" s="1014">
        <v>2.6</v>
      </c>
      <c r="Q204" s="1015"/>
      <c r="R204" s="1015"/>
      <c r="S204" s="1016"/>
      <c r="T204" s="1014">
        <v>3</v>
      </c>
      <c r="U204" s="1015"/>
      <c r="V204" s="1015"/>
      <c r="W204" s="1016"/>
      <c r="X204" s="880"/>
    </row>
    <row r="205" spans="1:24" ht="13.5" thickBot="1">
      <c r="A205" s="885"/>
      <c r="B205" s="885"/>
      <c r="C205" s="9" t="s">
        <v>233</v>
      </c>
      <c r="D205" s="966" t="s">
        <v>255</v>
      </c>
      <c r="E205" s="967"/>
      <c r="F205" s="967"/>
      <c r="G205" s="968"/>
      <c r="H205" s="1094">
        <v>1.6</v>
      </c>
      <c r="I205" s="1095"/>
      <c r="J205" s="1095"/>
      <c r="K205" s="1096"/>
      <c r="L205" s="1014">
        <v>1.6</v>
      </c>
      <c r="M205" s="1015"/>
      <c r="N205" s="1015"/>
      <c r="O205" s="1016"/>
      <c r="P205" s="1014">
        <v>1.7</v>
      </c>
      <c r="Q205" s="1015"/>
      <c r="R205" s="1015"/>
      <c r="S205" s="1016"/>
      <c r="T205" s="1014">
        <v>2.5</v>
      </c>
      <c r="U205" s="1015"/>
      <c r="V205" s="1015"/>
      <c r="W205" s="1016"/>
      <c r="X205" s="880"/>
    </row>
    <row r="206" spans="1:24" ht="12.95" customHeight="1" thickBot="1">
      <c r="A206" s="885"/>
      <c r="B206" s="885"/>
      <c r="C206" s="9" t="s">
        <v>234</v>
      </c>
      <c r="D206" s="957"/>
      <c r="E206" s="958"/>
      <c r="F206" s="958"/>
      <c r="G206" s="959"/>
      <c r="H206" s="957"/>
      <c r="I206" s="958"/>
      <c r="J206" s="958"/>
      <c r="K206" s="959"/>
      <c r="L206" s="1057" t="s">
        <v>910</v>
      </c>
      <c r="M206" s="1058"/>
      <c r="N206" s="1058"/>
      <c r="O206" s="1059"/>
      <c r="P206" s="1094">
        <f>'State Agg LFx3 (2015)'!P206</f>
        <v>1.1000000000000001</v>
      </c>
      <c r="Q206" s="1095"/>
      <c r="R206" s="1095"/>
      <c r="S206" s="1096"/>
      <c r="T206" s="1094">
        <f>'State Agg LFx3 (2015)'!T206</f>
        <v>1.85</v>
      </c>
      <c r="U206" s="1095"/>
      <c r="V206" s="1095"/>
      <c r="W206" s="1096"/>
      <c r="X206" s="880"/>
    </row>
    <row r="207" spans="1:24" ht="13.5" thickBot="1">
      <c r="A207" s="885"/>
      <c r="B207" s="885"/>
      <c r="C207" s="102" t="s">
        <v>236</v>
      </c>
      <c r="D207" s="1008" t="s">
        <v>416</v>
      </c>
      <c r="E207" s="1009"/>
      <c r="F207" s="1009"/>
      <c r="G207" s="1010"/>
      <c r="H207" s="1020">
        <v>1.9</v>
      </c>
      <c r="I207" s="1021"/>
      <c r="J207" s="1021"/>
      <c r="K207" s="1022"/>
      <c r="L207" s="1020">
        <v>2.2000000000000002</v>
      </c>
      <c r="M207" s="1021"/>
      <c r="N207" s="1021"/>
      <c r="O207" s="1022"/>
      <c r="P207" s="1079">
        <v>2.8</v>
      </c>
      <c r="Q207" s="1080"/>
      <c r="R207" s="1080"/>
      <c r="S207" s="1081"/>
      <c r="T207" s="1020">
        <f>'State Agg LFx3 (2015)'!T207</f>
        <v>0</v>
      </c>
      <c r="U207" s="1021"/>
      <c r="V207" s="1021"/>
      <c r="W207" s="1022"/>
      <c r="X207" s="880"/>
    </row>
    <row r="208" spans="1:24" ht="13.5" thickBot="1">
      <c r="A208" s="885"/>
      <c r="B208" s="885"/>
      <c r="C208" s="102" t="s">
        <v>283</v>
      </c>
      <c r="D208" s="1017"/>
      <c r="E208" s="1018"/>
      <c r="F208" s="1018"/>
      <c r="G208" s="1019"/>
      <c r="H208" s="1017"/>
      <c r="I208" s="1018"/>
      <c r="J208" s="1018"/>
      <c r="K208" s="1019"/>
      <c r="L208" s="1020">
        <v>1.6</v>
      </c>
      <c r="M208" s="1021"/>
      <c r="N208" s="1021"/>
      <c r="O208" s="1022"/>
      <c r="P208" s="1020" t="s">
        <v>791</v>
      </c>
      <c r="Q208" s="1021"/>
      <c r="R208" s="1021"/>
      <c r="S208" s="1022"/>
      <c r="T208" s="1020">
        <f>'State Agg LFx3 (2015)'!T208</f>
        <v>0</v>
      </c>
      <c r="U208" s="1021"/>
      <c r="V208" s="1021"/>
      <c r="W208" s="1022"/>
      <c r="X208" s="880"/>
    </row>
    <row r="209" spans="1:24" ht="13.5" thickBot="1">
      <c r="A209" s="885"/>
      <c r="B209" s="885"/>
      <c r="C209" s="102" t="s">
        <v>284</v>
      </c>
      <c r="D209" s="1017"/>
      <c r="E209" s="1018"/>
      <c r="F209" s="1018"/>
      <c r="G209" s="1019"/>
      <c r="H209" s="1017"/>
      <c r="I209" s="1018"/>
      <c r="J209" s="1018"/>
      <c r="K209" s="1019"/>
      <c r="L209" s="1017"/>
      <c r="M209" s="1018"/>
      <c r="N209" s="1018"/>
      <c r="O209" s="1019"/>
      <c r="P209" s="1017"/>
      <c r="Q209" s="1018"/>
      <c r="R209" s="1018"/>
      <c r="S209" s="1019"/>
      <c r="T209" s="1020">
        <f>'State Agg LFx3 (2015)'!T209</f>
        <v>0</v>
      </c>
      <c r="U209" s="1021"/>
      <c r="V209" s="1021"/>
      <c r="W209" s="1022"/>
      <c r="X209" s="880"/>
    </row>
    <row r="210" spans="1:24" ht="13.5" thickBot="1">
      <c r="A210" s="885"/>
      <c r="B210" s="885"/>
      <c r="C210" s="998" t="s">
        <v>413</v>
      </c>
      <c r="D210" s="927" t="s">
        <v>4</v>
      </c>
      <c r="E210" s="928"/>
      <c r="F210" s="928"/>
      <c r="G210" s="928"/>
      <c r="H210" s="928"/>
      <c r="I210" s="928"/>
      <c r="J210" s="928"/>
      <c r="K210" s="928"/>
      <c r="L210" s="928"/>
      <c r="M210" s="928"/>
      <c r="N210" s="928"/>
      <c r="O210" s="928"/>
      <c r="P210" s="928"/>
      <c r="Q210" s="928"/>
      <c r="R210" s="928"/>
      <c r="S210" s="928"/>
      <c r="T210" s="928"/>
      <c r="U210" s="928"/>
      <c r="V210" s="928"/>
      <c r="W210" s="929"/>
      <c r="X210" s="880"/>
    </row>
    <row r="211" spans="1:24" ht="13.5" thickBot="1">
      <c r="A211" s="885"/>
      <c r="B211" s="869"/>
      <c r="C211" s="999"/>
      <c r="D211" s="930" t="s">
        <v>123</v>
      </c>
      <c r="E211" s="931"/>
      <c r="F211" s="931"/>
      <c r="G211" s="931"/>
      <c r="H211" s="931"/>
      <c r="I211" s="931"/>
      <c r="J211" s="931"/>
      <c r="K211" s="931"/>
      <c r="L211" s="931"/>
      <c r="M211" s="931"/>
      <c r="N211" s="931"/>
      <c r="O211" s="931"/>
      <c r="P211" s="931"/>
      <c r="Q211" s="931"/>
      <c r="R211" s="931"/>
      <c r="S211" s="931"/>
      <c r="T211" s="931"/>
      <c r="U211" s="931"/>
      <c r="V211" s="931"/>
      <c r="W211" s="932"/>
      <c r="X211" s="880"/>
    </row>
    <row r="212" spans="1:24" ht="13.5" thickBot="1">
      <c r="A212" s="885"/>
      <c r="B212" s="11" t="s">
        <v>41</v>
      </c>
      <c r="C212" s="12"/>
      <c r="D212" s="927" t="s">
        <v>78</v>
      </c>
      <c r="E212" s="928"/>
      <c r="F212" s="928"/>
      <c r="G212" s="929"/>
      <c r="H212" s="927" t="s">
        <v>77</v>
      </c>
      <c r="I212" s="928"/>
      <c r="J212" s="928"/>
      <c r="K212" s="929"/>
      <c r="L212" s="927" t="s">
        <v>81</v>
      </c>
      <c r="M212" s="928"/>
      <c r="N212" s="928"/>
      <c r="O212" s="929"/>
      <c r="P212" s="927" t="s">
        <v>254</v>
      </c>
      <c r="Q212" s="928"/>
      <c r="R212" s="928"/>
      <c r="S212" s="929"/>
      <c r="T212" s="927" t="s">
        <v>76</v>
      </c>
      <c r="U212" s="928"/>
      <c r="V212" s="928"/>
      <c r="W212" s="929"/>
      <c r="X212" s="880"/>
    </row>
    <row r="213" spans="1:24" ht="13.5" thickBot="1">
      <c r="A213" s="885"/>
      <c r="B213" s="868" t="s">
        <v>69</v>
      </c>
      <c r="C213" s="9" t="s">
        <v>235</v>
      </c>
      <c r="D213" s="1014">
        <v>1.2</v>
      </c>
      <c r="E213" s="1015"/>
      <c r="F213" s="1015"/>
      <c r="G213" s="1016"/>
      <c r="H213" s="1014">
        <v>1.6</v>
      </c>
      <c r="I213" s="1015"/>
      <c r="J213" s="1015"/>
      <c r="K213" s="1016"/>
      <c r="L213" s="1014">
        <v>2.2000000000000002</v>
      </c>
      <c r="M213" s="1015"/>
      <c r="N213" s="1015"/>
      <c r="O213" s="1016"/>
      <c r="P213" s="1014">
        <v>2.6</v>
      </c>
      <c r="Q213" s="1015"/>
      <c r="R213" s="1015"/>
      <c r="S213" s="1016"/>
      <c r="T213" s="1014">
        <v>3</v>
      </c>
      <c r="U213" s="1015"/>
      <c r="V213" s="1015"/>
      <c r="W213" s="1016"/>
      <c r="X213" s="880"/>
    </row>
    <row r="214" spans="1:24" ht="13.5" thickBot="1">
      <c r="A214" s="885"/>
      <c r="B214" s="885"/>
      <c r="C214" s="9" t="s">
        <v>233</v>
      </c>
      <c r="D214" s="966" t="s">
        <v>255</v>
      </c>
      <c r="E214" s="967"/>
      <c r="F214" s="967"/>
      <c r="G214" s="968"/>
      <c r="H214" s="1014">
        <v>1.7</v>
      </c>
      <c r="I214" s="1015"/>
      <c r="J214" s="1015"/>
      <c r="K214" s="1016"/>
      <c r="L214" s="1014">
        <v>1.7</v>
      </c>
      <c r="M214" s="1015"/>
      <c r="N214" s="1015"/>
      <c r="O214" s="1016"/>
      <c r="P214" s="1014">
        <v>1.8</v>
      </c>
      <c r="Q214" s="1015"/>
      <c r="R214" s="1015"/>
      <c r="S214" s="1016"/>
      <c r="T214" s="1014">
        <v>2.5</v>
      </c>
      <c r="U214" s="1015"/>
      <c r="V214" s="1015"/>
      <c r="W214" s="1016"/>
      <c r="X214" s="880"/>
    </row>
    <row r="215" spans="1:24" ht="12.95" customHeight="1" thickBot="1">
      <c r="A215" s="885"/>
      <c r="B215" s="885"/>
      <c r="C215" s="9" t="s">
        <v>234</v>
      </c>
      <c r="D215" s="957"/>
      <c r="E215" s="958"/>
      <c r="F215" s="958"/>
      <c r="G215" s="959"/>
      <c r="H215" s="957"/>
      <c r="I215" s="958"/>
      <c r="J215" s="958"/>
      <c r="K215" s="959"/>
      <c r="L215" s="1057" t="s">
        <v>910</v>
      </c>
      <c r="M215" s="1058"/>
      <c r="N215" s="1058"/>
      <c r="O215" s="1059"/>
      <c r="P215" s="1094">
        <f>'State Agg LFx3 (2015)'!P215</f>
        <v>1.25</v>
      </c>
      <c r="Q215" s="1095"/>
      <c r="R215" s="1095"/>
      <c r="S215" s="1096"/>
      <c r="T215" s="1094">
        <f>'State Agg LFx3 (2015)'!T215</f>
        <v>1.8</v>
      </c>
      <c r="U215" s="1095"/>
      <c r="V215" s="1095"/>
      <c r="W215" s="1096"/>
      <c r="X215" s="880"/>
    </row>
    <row r="216" spans="1:24" ht="13.5" thickBot="1">
      <c r="A216" s="885"/>
      <c r="B216" s="885"/>
      <c r="C216" s="102" t="s">
        <v>236</v>
      </c>
      <c r="D216" s="1008" t="s">
        <v>416</v>
      </c>
      <c r="E216" s="1009"/>
      <c r="F216" s="1009"/>
      <c r="G216" s="1010"/>
      <c r="H216" s="1020">
        <v>1.9</v>
      </c>
      <c r="I216" s="1021"/>
      <c r="J216" s="1021"/>
      <c r="K216" s="1022"/>
      <c r="L216" s="1020">
        <v>2.1</v>
      </c>
      <c r="M216" s="1021"/>
      <c r="N216" s="1021"/>
      <c r="O216" s="1022"/>
      <c r="P216" s="1079" t="s">
        <v>792</v>
      </c>
      <c r="Q216" s="1080"/>
      <c r="R216" s="1080"/>
      <c r="S216" s="1081"/>
      <c r="T216" s="1020">
        <f>'State Agg LFx3 (2015)'!T216</f>
        <v>0</v>
      </c>
      <c r="U216" s="1021"/>
      <c r="V216" s="1021"/>
      <c r="W216" s="1022"/>
      <c r="X216" s="880"/>
    </row>
    <row r="217" spans="1:24" ht="13.5" thickBot="1">
      <c r="A217" s="885"/>
      <c r="B217" s="885"/>
      <c r="C217" s="102" t="s">
        <v>283</v>
      </c>
      <c r="D217" s="1017"/>
      <c r="E217" s="1018"/>
      <c r="F217" s="1018"/>
      <c r="G217" s="1019"/>
      <c r="H217" s="1017"/>
      <c r="I217" s="1018"/>
      <c r="J217" s="1018"/>
      <c r="K217" s="1019"/>
      <c r="L217" s="1020">
        <v>1.7</v>
      </c>
      <c r="M217" s="1021"/>
      <c r="N217" s="1021"/>
      <c r="O217" s="1022"/>
      <c r="P217" s="1020" t="s">
        <v>793</v>
      </c>
      <c r="Q217" s="1021"/>
      <c r="R217" s="1021"/>
      <c r="S217" s="1022"/>
      <c r="T217" s="1020">
        <f>'State Agg LFx3 (2015)'!T217</f>
        <v>0</v>
      </c>
      <c r="U217" s="1021"/>
      <c r="V217" s="1021"/>
      <c r="W217" s="1022"/>
      <c r="X217" s="880"/>
    </row>
    <row r="218" spans="1:24" ht="13.5" thickBot="1">
      <c r="A218" s="885"/>
      <c r="B218" s="885"/>
      <c r="C218" s="102" t="s">
        <v>284</v>
      </c>
      <c r="D218" s="1017"/>
      <c r="E218" s="1018"/>
      <c r="F218" s="1018"/>
      <c r="G218" s="1019"/>
      <c r="H218" s="1017"/>
      <c r="I218" s="1018"/>
      <c r="J218" s="1018"/>
      <c r="K218" s="1019"/>
      <c r="L218" s="1017"/>
      <c r="M218" s="1018"/>
      <c r="N218" s="1018"/>
      <c r="O218" s="1019"/>
      <c r="P218" s="1017"/>
      <c r="Q218" s="1018"/>
      <c r="R218" s="1018"/>
      <c r="S218" s="1019"/>
      <c r="T218" s="1020">
        <f>'State Agg LFx3 (2015)'!T218</f>
        <v>0</v>
      </c>
      <c r="U218" s="1021"/>
      <c r="V218" s="1021"/>
      <c r="W218" s="1022"/>
      <c r="X218" s="880"/>
    </row>
    <row r="219" spans="1:24" ht="13.5" thickBot="1">
      <c r="A219" s="885"/>
      <c r="B219" s="885"/>
      <c r="C219" s="998" t="s">
        <v>413</v>
      </c>
      <c r="D219" s="927" t="s">
        <v>4</v>
      </c>
      <c r="E219" s="928"/>
      <c r="F219" s="928"/>
      <c r="G219" s="928"/>
      <c r="H219" s="928"/>
      <c r="I219" s="928"/>
      <c r="J219" s="928"/>
      <c r="K219" s="928"/>
      <c r="L219" s="928"/>
      <c r="M219" s="928"/>
      <c r="N219" s="928"/>
      <c r="O219" s="928"/>
      <c r="P219" s="928"/>
      <c r="Q219" s="928"/>
      <c r="R219" s="928"/>
      <c r="S219" s="928"/>
      <c r="T219" s="928"/>
      <c r="U219" s="928"/>
      <c r="V219" s="928"/>
      <c r="W219" s="929"/>
      <c r="X219" s="880"/>
    </row>
    <row r="220" spans="1:24" ht="13.5" thickBot="1">
      <c r="A220" s="885"/>
      <c r="B220" s="869"/>
      <c r="C220" s="999"/>
      <c r="D220" s="930" t="s">
        <v>123</v>
      </c>
      <c r="E220" s="931"/>
      <c r="F220" s="931"/>
      <c r="G220" s="931"/>
      <c r="H220" s="931"/>
      <c r="I220" s="931"/>
      <c r="J220" s="931"/>
      <c r="K220" s="931"/>
      <c r="L220" s="931"/>
      <c r="M220" s="931"/>
      <c r="N220" s="931"/>
      <c r="O220" s="931"/>
      <c r="P220" s="931"/>
      <c r="Q220" s="931"/>
      <c r="R220" s="931"/>
      <c r="S220" s="931"/>
      <c r="T220" s="931"/>
      <c r="U220" s="931"/>
      <c r="V220" s="931"/>
      <c r="W220" s="932"/>
      <c r="X220" s="880"/>
    </row>
    <row r="221" spans="1:24" ht="13.5" thickBot="1">
      <c r="A221" s="885"/>
      <c r="B221" s="11" t="s">
        <v>42</v>
      </c>
      <c r="C221" s="28"/>
      <c r="D221" s="927" t="s">
        <v>78</v>
      </c>
      <c r="E221" s="928"/>
      <c r="F221" s="928"/>
      <c r="G221" s="929"/>
      <c r="H221" s="927" t="s">
        <v>77</v>
      </c>
      <c r="I221" s="928"/>
      <c r="J221" s="928"/>
      <c r="K221" s="929"/>
      <c r="L221" s="927" t="s">
        <v>81</v>
      </c>
      <c r="M221" s="928"/>
      <c r="N221" s="928"/>
      <c r="O221" s="929"/>
      <c r="P221" s="927" t="s">
        <v>254</v>
      </c>
      <c r="Q221" s="928"/>
      <c r="R221" s="928"/>
      <c r="S221" s="929"/>
      <c r="T221" s="927" t="s">
        <v>76</v>
      </c>
      <c r="U221" s="928"/>
      <c r="V221" s="928"/>
      <c r="W221" s="929"/>
      <c r="X221" s="880"/>
    </row>
    <row r="222" spans="1:24" ht="18.95" customHeight="1" thickBot="1">
      <c r="A222" s="885"/>
      <c r="B222" s="868" t="s">
        <v>180</v>
      </c>
      <c r="C222" s="26"/>
      <c r="D222" s="955" t="s">
        <v>99</v>
      </c>
      <c r="E222" s="956"/>
      <c r="F222" s="955" t="s">
        <v>100</v>
      </c>
      <c r="G222" s="956"/>
      <c r="H222" s="955" t="s">
        <v>99</v>
      </c>
      <c r="I222" s="956"/>
      <c r="J222" s="955" t="s">
        <v>100</v>
      </c>
      <c r="K222" s="956"/>
      <c r="L222" s="955" t="s">
        <v>99</v>
      </c>
      <c r="M222" s="956"/>
      <c r="N222" s="955" t="s">
        <v>100</v>
      </c>
      <c r="O222" s="956"/>
      <c r="P222" s="955" t="s">
        <v>99</v>
      </c>
      <c r="Q222" s="956"/>
      <c r="R222" s="955" t="s">
        <v>100</v>
      </c>
      <c r="S222" s="956"/>
      <c r="T222" s="955" t="s">
        <v>99</v>
      </c>
      <c r="U222" s="956"/>
      <c r="V222" s="955" t="s">
        <v>100</v>
      </c>
      <c r="W222" s="956"/>
      <c r="X222" s="880"/>
    </row>
    <row r="223" spans="1:24" ht="13.5" thickBot="1">
      <c r="A223" s="885"/>
      <c r="B223" s="885"/>
      <c r="C223" s="9" t="s">
        <v>247</v>
      </c>
      <c r="D223" s="1006">
        <v>0</v>
      </c>
      <c r="E223" s="1007"/>
      <c r="F223" s="1006">
        <v>0</v>
      </c>
      <c r="G223" s="1007"/>
      <c r="H223" s="1006">
        <v>20</v>
      </c>
      <c r="I223" s="1007"/>
      <c r="J223" s="1006">
        <v>10</v>
      </c>
      <c r="K223" s="1007"/>
      <c r="L223" s="1138">
        <v>34</v>
      </c>
      <c r="M223" s="1139"/>
      <c r="N223" s="1138">
        <v>13</v>
      </c>
      <c r="O223" s="1139"/>
      <c r="P223" s="1138">
        <v>45</v>
      </c>
      <c r="Q223" s="1139"/>
      <c r="R223" s="1006">
        <v>20</v>
      </c>
      <c r="S223" s="1007"/>
      <c r="T223" s="1006">
        <v>60</v>
      </c>
      <c r="U223" s="1007"/>
      <c r="V223" s="1006">
        <v>25</v>
      </c>
      <c r="W223" s="1007"/>
      <c r="X223" s="880"/>
    </row>
    <row r="224" spans="1:24" ht="13.5" thickBot="1">
      <c r="A224" s="869"/>
      <c r="B224" s="885"/>
      <c r="C224" s="102" t="s">
        <v>246</v>
      </c>
      <c r="D224" s="1011" t="s">
        <v>171</v>
      </c>
      <c r="E224" s="1012"/>
      <c r="F224" s="1012"/>
      <c r="G224" s="1013"/>
      <c r="H224" s="1011" t="s">
        <v>417</v>
      </c>
      <c r="I224" s="1012"/>
      <c r="J224" s="1012"/>
      <c r="K224" s="1013"/>
      <c r="L224" s="995">
        <v>26</v>
      </c>
      <c r="M224" s="997"/>
      <c r="N224" s="995">
        <v>14</v>
      </c>
      <c r="O224" s="997"/>
      <c r="P224" s="995">
        <v>48</v>
      </c>
      <c r="Q224" s="997"/>
      <c r="R224" s="995">
        <v>24</v>
      </c>
      <c r="S224" s="997"/>
      <c r="T224" s="995">
        <f>'State Agg LFx3 (2015)'!T224</f>
        <v>0</v>
      </c>
      <c r="U224" s="997"/>
      <c r="V224" s="995">
        <f>'State Agg LFx3 (2015)'!V224</f>
        <v>0</v>
      </c>
      <c r="W224" s="997"/>
      <c r="X224" s="881"/>
    </row>
    <row r="225" spans="1:24" ht="13.5" thickBot="1">
      <c r="A225" s="520" t="s">
        <v>13</v>
      </c>
      <c r="B225" s="516" t="s">
        <v>178</v>
      </c>
      <c r="C225" s="998" t="s">
        <v>413</v>
      </c>
      <c r="D225" s="927" t="s">
        <v>4</v>
      </c>
      <c r="E225" s="928"/>
      <c r="F225" s="928"/>
      <c r="G225" s="928"/>
      <c r="H225" s="928"/>
      <c r="I225" s="928"/>
      <c r="J225" s="928"/>
      <c r="K225" s="928"/>
      <c r="L225" s="928"/>
      <c r="M225" s="928"/>
      <c r="N225" s="928"/>
      <c r="O225" s="928"/>
      <c r="P225" s="928"/>
      <c r="Q225" s="928"/>
      <c r="R225" s="928"/>
      <c r="S225" s="928"/>
      <c r="T225" s="928"/>
      <c r="U225" s="928"/>
      <c r="V225" s="928"/>
      <c r="W225" s="929"/>
      <c r="X225" s="24" t="s">
        <v>14</v>
      </c>
    </row>
    <row r="226" spans="1:24" ht="13.5" thickBot="1">
      <c r="A226" s="25" t="s">
        <v>74</v>
      </c>
      <c r="B226" s="517"/>
      <c r="C226" s="999"/>
      <c r="D226" s="930" t="s">
        <v>124</v>
      </c>
      <c r="E226" s="931"/>
      <c r="F226" s="931"/>
      <c r="G226" s="931"/>
      <c r="H226" s="931"/>
      <c r="I226" s="931"/>
      <c r="J226" s="931"/>
      <c r="K226" s="931"/>
      <c r="L226" s="931"/>
      <c r="M226" s="931"/>
      <c r="N226" s="931"/>
      <c r="O226" s="931"/>
      <c r="P226" s="931"/>
      <c r="Q226" s="931"/>
      <c r="R226" s="931"/>
      <c r="S226" s="931"/>
      <c r="T226" s="931"/>
      <c r="U226" s="931"/>
      <c r="V226" s="931"/>
      <c r="W226" s="932"/>
      <c r="X226" s="18" t="s">
        <v>93</v>
      </c>
    </row>
    <row r="227" spans="1:24" ht="13.5" thickBot="1">
      <c r="A227" s="906" t="s">
        <v>7</v>
      </c>
      <c r="B227" s="908" t="s">
        <v>173</v>
      </c>
      <c r="C227" s="918"/>
      <c r="D227" s="908" t="s">
        <v>8</v>
      </c>
      <c r="E227" s="918"/>
      <c r="F227" s="918"/>
      <c r="G227" s="909"/>
      <c r="H227" s="908" t="s">
        <v>88</v>
      </c>
      <c r="I227" s="918"/>
      <c r="J227" s="918"/>
      <c r="K227" s="909"/>
      <c r="L227" s="908" t="s">
        <v>89</v>
      </c>
      <c r="M227" s="918"/>
      <c r="N227" s="918"/>
      <c r="O227" s="909"/>
      <c r="P227" s="908" t="s">
        <v>9</v>
      </c>
      <c r="Q227" s="918"/>
      <c r="R227" s="918"/>
      <c r="S227" s="909"/>
      <c r="T227" s="908" t="s">
        <v>174</v>
      </c>
      <c r="U227" s="918"/>
      <c r="V227" s="918"/>
      <c r="W227" s="918"/>
      <c r="X227" s="909"/>
    </row>
    <row r="228" spans="1:24" ht="13.5" thickBot="1">
      <c r="A228" s="907"/>
      <c r="B228" s="919">
        <v>10300000</v>
      </c>
      <c r="C228" s="921"/>
      <c r="D228" s="919">
        <v>0</v>
      </c>
      <c r="E228" s="921"/>
      <c r="F228" s="921"/>
      <c r="G228" s="920"/>
      <c r="H228" s="919">
        <v>5500000</v>
      </c>
      <c r="I228" s="921"/>
      <c r="J228" s="921"/>
      <c r="K228" s="920"/>
      <c r="L228" s="919">
        <v>3100000</v>
      </c>
      <c r="M228" s="921"/>
      <c r="N228" s="921"/>
      <c r="O228" s="920"/>
      <c r="P228" s="919">
        <f>SUM(B228:O228)</f>
        <v>18900000</v>
      </c>
      <c r="Q228" s="921"/>
      <c r="R228" s="921"/>
      <c r="S228" s="920"/>
      <c r="T228" s="942">
        <f>B228/P228%</f>
        <v>54.4973544973545</v>
      </c>
      <c r="U228" s="943"/>
      <c r="V228" s="943"/>
      <c r="W228" s="943"/>
      <c r="X228" s="944"/>
    </row>
    <row r="229" spans="1:24" ht="13.5" thickBot="1">
      <c r="A229" s="906" t="s">
        <v>10</v>
      </c>
      <c r="B229" s="908" t="s">
        <v>175</v>
      </c>
      <c r="C229" s="918"/>
      <c r="D229" s="910"/>
      <c r="E229" s="911"/>
      <c r="F229" s="911"/>
      <c r="G229" s="911"/>
      <c r="H229" s="911"/>
      <c r="I229" s="911"/>
      <c r="J229" s="911"/>
      <c r="K229" s="911"/>
      <c r="L229" s="911"/>
      <c r="M229" s="911"/>
      <c r="N229" s="911"/>
      <c r="O229" s="911"/>
      <c r="P229" s="911"/>
      <c r="Q229" s="911"/>
      <c r="R229" s="911"/>
      <c r="S229" s="911"/>
      <c r="T229" s="911"/>
      <c r="U229" s="911"/>
      <c r="V229" s="911"/>
      <c r="W229" s="911"/>
      <c r="X229" s="912"/>
    </row>
    <row r="230" spans="1:24" ht="13.5" thickBot="1">
      <c r="A230" s="907"/>
      <c r="B230" s="916"/>
      <c r="C230" s="994"/>
      <c r="D230" s="913"/>
      <c r="E230" s="914"/>
      <c r="F230" s="914"/>
      <c r="G230" s="914"/>
      <c r="H230" s="914"/>
      <c r="I230" s="914"/>
      <c r="J230" s="914"/>
      <c r="K230" s="914"/>
      <c r="L230" s="914"/>
      <c r="M230" s="914"/>
      <c r="N230" s="914"/>
      <c r="O230" s="914"/>
      <c r="P230" s="914"/>
      <c r="Q230" s="914"/>
      <c r="R230" s="914"/>
      <c r="S230" s="914"/>
      <c r="T230" s="914"/>
      <c r="U230" s="914"/>
      <c r="V230" s="914"/>
      <c r="W230" s="914"/>
      <c r="X230" s="915"/>
    </row>
    <row r="232" spans="1:24" ht="13.5" thickBot="1"/>
    <row r="233" spans="1:24" ht="13.5" thickBot="1">
      <c r="A233" s="519" t="s">
        <v>27</v>
      </c>
      <c r="B233" s="522" t="s">
        <v>35</v>
      </c>
      <c r="C233" s="8"/>
      <c r="D233" s="927" t="s">
        <v>78</v>
      </c>
      <c r="E233" s="928"/>
      <c r="F233" s="928"/>
      <c r="G233" s="929"/>
      <c r="H233" s="927" t="s">
        <v>77</v>
      </c>
      <c r="I233" s="928"/>
      <c r="J233" s="928"/>
      <c r="K233" s="929"/>
      <c r="L233" s="927" t="s">
        <v>81</v>
      </c>
      <c r="M233" s="928"/>
      <c r="N233" s="928"/>
      <c r="O233" s="929"/>
      <c r="P233" s="927" t="s">
        <v>254</v>
      </c>
      <c r="Q233" s="928"/>
      <c r="R233" s="928"/>
      <c r="S233" s="929"/>
      <c r="T233" s="927" t="s">
        <v>76</v>
      </c>
      <c r="U233" s="928"/>
      <c r="V233" s="928"/>
      <c r="W233" s="929"/>
      <c r="X233" s="16" t="s">
        <v>12</v>
      </c>
    </row>
    <row r="234" spans="1:24" ht="12.95" customHeight="1" thickBot="1">
      <c r="A234" s="868" t="s">
        <v>70</v>
      </c>
      <c r="B234" s="873" t="s">
        <v>609</v>
      </c>
      <c r="C234" s="187"/>
      <c r="D234" s="1065" t="s">
        <v>638</v>
      </c>
      <c r="E234" s="1066"/>
      <c r="F234" s="1066"/>
      <c r="G234" s="1067"/>
      <c r="H234" s="1065" t="s">
        <v>638</v>
      </c>
      <c r="I234" s="1066"/>
      <c r="J234" s="1066"/>
      <c r="K234" s="1067"/>
      <c r="L234" s="1065" t="s">
        <v>638</v>
      </c>
      <c r="M234" s="1066"/>
      <c r="N234" s="1066"/>
      <c r="O234" s="1067"/>
      <c r="P234" s="219" t="s">
        <v>602</v>
      </c>
      <c r="Q234" s="219" t="s">
        <v>603</v>
      </c>
      <c r="R234" s="219" t="s">
        <v>608</v>
      </c>
      <c r="S234" s="219" t="s">
        <v>604</v>
      </c>
      <c r="T234" s="219" t="s">
        <v>602</v>
      </c>
      <c r="U234" s="219" t="s">
        <v>603</v>
      </c>
      <c r="V234" s="219" t="s">
        <v>608</v>
      </c>
      <c r="W234" s="219" t="s">
        <v>604</v>
      </c>
      <c r="X234" s="879" t="s">
        <v>90</v>
      </c>
    </row>
    <row r="235" spans="1:24" ht="12.95" customHeight="1" thickBot="1">
      <c r="A235" s="885"/>
      <c r="B235" s="874"/>
      <c r="C235" s="9" t="s">
        <v>247</v>
      </c>
      <c r="D235" s="1135">
        <v>5</v>
      </c>
      <c r="E235" s="1136"/>
      <c r="F235" s="1136"/>
      <c r="G235" s="1137"/>
      <c r="H235" s="1135">
        <v>25</v>
      </c>
      <c r="I235" s="1136"/>
      <c r="J235" s="1136"/>
      <c r="K235" s="1137"/>
      <c r="L235" s="1135">
        <v>50</v>
      </c>
      <c r="M235" s="1136"/>
      <c r="N235" s="1136"/>
      <c r="O235" s="1137"/>
      <c r="P235" s="1135" t="s">
        <v>845</v>
      </c>
      <c r="Q235" s="1136"/>
      <c r="R235" s="1136"/>
      <c r="S235" s="1137"/>
      <c r="T235" s="490">
        <v>150</v>
      </c>
      <c r="U235" s="220">
        <v>80</v>
      </c>
      <c r="V235" s="220">
        <v>50</v>
      </c>
      <c r="W235" s="220">
        <v>40</v>
      </c>
      <c r="X235" s="880"/>
    </row>
    <row r="236" spans="1:24" ht="12.95" customHeight="1" thickBot="1">
      <c r="A236" s="885"/>
      <c r="B236" s="874"/>
      <c r="C236" s="102" t="s">
        <v>246</v>
      </c>
      <c r="D236" s="1109" t="s">
        <v>416</v>
      </c>
      <c r="E236" s="1110"/>
      <c r="F236" s="1110"/>
      <c r="G236" s="1111"/>
      <c r="H236" s="1106">
        <v>26</v>
      </c>
      <c r="I236" s="1107"/>
      <c r="J236" s="1107"/>
      <c r="K236" s="1108"/>
      <c r="L236" s="1068">
        <v>54</v>
      </c>
      <c r="M236" s="996"/>
      <c r="N236" s="996"/>
      <c r="O236" s="997"/>
      <c r="P236" s="188">
        <v>110</v>
      </c>
      <c r="Q236" s="188">
        <v>61</v>
      </c>
      <c r="R236" s="188">
        <v>40</v>
      </c>
      <c r="S236" s="188">
        <v>36</v>
      </c>
      <c r="T236" s="188">
        <f>'State Agg LFx3 (2015)'!T236</f>
        <v>84</v>
      </c>
      <c r="U236" s="188">
        <f>'State Agg LFx3 (2015)'!U236</f>
        <v>53</v>
      </c>
      <c r="V236" s="188">
        <f>'State Agg LFx3 (2015)'!V236</f>
        <v>32</v>
      </c>
      <c r="W236" s="188">
        <f>'State Agg LFx3 (2015)'!W236</f>
        <v>21</v>
      </c>
      <c r="X236" s="880"/>
    </row>
    <row r="237" spans="1:24" ht="13.5" thickBot="1">
      <c r="A237" s="885"/>
      <c r="B237" s="874"/>
      <c r="C237" s="998" t="s">
        <v>413</v>
      </c>
      <c r="D237" s="927" t="s">
        <v>4</v>
      </c>
      <c r="E237" s="928"/>
      <c r="F237" s="928"/>
      <c r="G237" s="928"/>
      <c r="H237" s="928"/>
      <c r="I237" s="928"/>
      <c r="J237" s="928"/>
      <c r="K237" s="928"/>
      <c r="L237" s="928"/>
      <c r="M237" s="928"/>
      <c r="N237" s="928"/>
      <c r="O237" s="928"/>
      <c r="P237" s="928"/>
      <c r="Q237" s="928"/>
      <c r="R237" s="928"/>
      <c r="S237" s="928"/>
      <c r="T237" s="928"/>
      <c r="U237" s="928"/>
      <c r="V237" s="928"/>
      <c r="W237" s="929"/>
      <c r="X237" s="880"/>
    </row>
    <row r="238" spans="1:24" ht="13.5" thickBot="1">
      <c r="A238" s="885"/>
      <c r="B238" s="875"/>
      <c r="C238" s="999"/>
      <c r="D238" s="930" t="s">
        <v>125</v>
      </c>
      <c r="E238" s="931"/>
      <c r="F238" s="931"/>
      <c r="G238" s="931"/>
      <c r="H238" s="931"/>
      <c r="I238" s="931"/>
      <c r="J238" s="931"/>
      <c r="K238" s="931"/>
      <c r="L238" s="931"/>
      <c r="M238" s="931"/>
      <c r="N238" s="931"/>
      <c r="O238" s="931"/>
      <c r="P238" s="931"/>
      <c r="Q238" s="931"/>
      <c r="R238" s="931"/>
      <c r="S238" s="931"/>
      <c r="T238" s="931"/>
      <c r="U238" s="931"/>
      <c r="V238" s="931"/>
      <c r="W238" s="932"/>
      <c r="X238" s="880"/>
    </row>
    <row r="239" spans="1:24" ht="13.5" thickBot="1">
      <c r="A239" s="885"/>
      <c r="B239" s="11" t="s">
        <v>36</v>
      </c>
      <c r="C239" s="12"/>
      <c r="D239" s="927" t="s">
        <v>78</v>
      </c>
      <c r="E239" s="928"/>
      <c r="F239" s="928"/>
      <c r="G239" s="929"/>
      <c r="H239" s="927" t="s">
        <v>77</v>
      </c>
      <c r="I239" s="928"/>
      <c r="J239" s="928"/>
      <c r="K239" s="929"/>
      <c r="L239" s="927" t="s">
        <v>81</v>
      </c>
      <c r="M239" s="928"/>
      <c r="N239" s="928"/>
      <c r="O239" s="929"/>
      <c r="P239" s="927" t="s">
        <v>254</v>
      </c>
      <c r="Q239" s="928"/>
      <c r="R239" s="928"/>
      <c r="S239" s="929"/>
      <c r="T239" s="927" t="s">
        <v>76</v>
      </c>
      <c r="U239" s="928"/>
      <c r="V239" s="928"/>
      <c r="W239" s="929"/>
      <c r="X239" s="880"/>
    </row>
    <row r="240" spans="1:24" ht="12.95" customHeight="1" thickBot="1">
      <c r="A240" s="885"/>
      <c r="B240" s="873" t="s">
        <v>601</v>
      </c>
      <c r="C240" s="187"/>
      <c r="D240" s="1065" t="s">
        <v>636</v>
      </c>
      <c r="E240" s="1066"/>
      <c r="F240" s="1066"/>
      <c r="G240" s="1067"/>
      <c r="H240" s="1065" t="s">
        <v>636</v>
      </c>
      <c r="I240" s="1066"/>
      <c r="J240" s="1066"/>
      <c r="K240" s="1067"/>
      <c r="L240" s="1065" t="s">
        <v>636</v>
      </c>
      <c r="M240" s="1066"/>
      <c r="N240" s="1066"/>
      <c r="O240" s="1067"/>
      <c r="P240" s="218" t="s">
        <v>101</v>
      </c>
      <c r="Q240" s="218" t="s">
        <v>104</v>
      </c>
      <c r="R240" s="218" t="s">
        <v>102</v>
      </c>
      <c r="S240" s="218" t="s">
        <v>103</v>
      </c>
      <c r="T240" s="218" t="s">
        <v>101</v>
      </c>
      <c r="U240" s="218" t="s">
        <v>104</v>
      </c>
      <c r="V240" s="218" t="s">
        <v>102</v>
      </c>
      <c r="W240" s="218" t="s">
        <v>103</v>
      </c>
      <c r="X240" s="880"/>
    </row>
    <row r="241" spans="1:24" ht="12.95" customHeight="1" thickBot="1">
      <c r="A241" s="885"/>
      <c r="B241" s="874"/>
      <c r="C241" s="9" t="s">
        <v>247</v>
      </c>
      <c r="D241" s="1135">
        <v>2</v>
      </c>
      <c r="E241" s="1136"/>
      <c r="F241" s="1136"/>
      <c r="G241" s="1137"/>
      <c r="H241" s="1135">
        <v>10</v>
      </c>
      <c r="I241" s="1136"/>
      <c r="J241" s="1136"/>
      <c r="K241" s="1137"/>
      <c r="L241" s="1135">
        <v>30</v>
      </c>
      <c r="M241" s="1136"/>
      <c r="N241" s="1136"/>
      <c r="O241" s="1137"/>
      <c r="P241" s="1135" t="s">
        <v>846</v>
      </c>
      <c r="Q241" s="1136"/>
      <c r="R241" s="1136"/>
      <c r="S241" s="1137"/>
      <c r="T241" s="490">
        <v>75</v>
      </c>
      <c r="U241" s="220">
        <v>40</v>
      </c>
      <c r="V241" s="220">
        <v>25</v>
      </c>
      <c r="W241" s="220">
        <v>10</v>
      </c>
      <c r="X241" s="880"/>
    </row>
    <row r="242" spans="1:24" ht="12.95" customHeight="1" thickBot="1">
      <c r="A242" s="885"/>
      <c r="B242" s="874"/>
      <c r="C242" s="102" t="s">
        <v>246</v>
      </c>
      <c r="D242" s="1061" t="s">
        <v>172</v>
      </c>
      <c r="E242" s="1062"/>
      <c r="F242" s="1062"/>
      <c r="G242" s="1063"/>
      <c r="H242" s="1064" t="s">
        <v>637</v>
      </c>
      <c r="I242" s="1062"/>
      <c r="J242" s="1062"/>
      <c r="K242" s="1063"/>
      <c r="L242" s="1068">
        <v>21</v>
      </c>
      <c r="M242" s="996"/>
      <c r="N242" s="996"/>
      <c r="O242" s="997"/>
      <c r="P242" s="188">
        <v>52</v>
      </c>
      <c r="Q242" s="188">
        <v>32</v>
      </c>
      <c r="R242" s="188">
        <v>17</v>
      </c>
      <c r="S242" s="188">
        <v>8</v>
      </c>
      <c r="T242" s="188">
        <f>'State Agg LFx3 (2015)'!T242</f>
        <v>32</v>
      </c>
      <c r="U242" s="188">
        <f>'State Agg LFx3 (2015)'!U242</f>
        <v>30</v>
      </c>
      <c r="V242" s="188">
        <f>'State Agg LFx3 (2015)'!V242</f>
        <v>17</v>
      </c>
      <c r="W242" s="188">
        <f>'State Agg LFx3 (2015)'!W242</f>
        <v>5</v>
      </c>
      <c r="X242" s="880"/>
    </row>
    <row r="243" spans="1:24" ht="13.5" thickBot="1">
      <c r="A243" s="885"/>
      <c r="B243" s="874"/>
      <c r="C243" s="998" t="s">
        <v>413</v>
      </c>
      <c r="D243" s="927" t="s">
        <v>4</v>
      </c>
      <c r="E243" s="928"/>
      <c r="F243" s="928"/>
      <c r="G243" s="928"/>
      <c r="H243" s="928"/>
      <c r="I243" s="928"/>
      <c r="J243" s="928"/>
      <c r="K243" s="928"/>
      <c r="L243" s="928"/>
      <c r="M243" s="928"/>
      <c r="N243" s="928"/>
      <c r="O243" s="928"/>
      <c r="P243" s="928"/>
      <c r="Q243" s="928"/>
      <c r="R243" s="928"/>
      <c r="S243" s="928"/>
      <c r="T243" s="928"/>
      <c r="U243" s="928"/>
      <c r="V243" s="928"/>
      <c r="W243" s="929"/>
      <c r="X243" s="880"/>
    </row>
    <row r="244" spans="1:24" ht="13.5" thickBot="1">
      <c r="A244" s="885"/>
      <c r="B244" s="875"/>
      <c r="C244" s="999"/>
      <c r="D244" s="930" t="s">
        <v>125</v>
      </c>
      <c r="E244" s="931"/>
      <c r="F244" s="931"/>
      <c r="G244" s="931"/>
      <c r="H244" s="931"/>
      <c r="I244" s="931"/>
      <c r="J244" s="931"/>
      <c r="K244" s="931"/>
      <c r="L244" s="931"/>
      <c r="M244" s="931"/>
      <c r="N244" s="931"/>
      <c r="O244" s="931"/>
      <c r="P244" s="931"/>
      <c r="Q244" s="931"/>
      <c r="R244" s="931"/>
      <c r="S244" s="931"/>
      <c r="T244" s="931"/>
      <c r="U244" s="931"/>
      <c r="V244" s="931"/>
      <c r="W244" s="932"/>
      <c r="X244" s="880"/>
    </row>
    <row r="245" spans="1:24" ht="13.5" thickBot="1">
      <c r="A245" s="885"/>
      <c r="B245" s="11" t="s">
        <v>600</v>
      </c>
      <c r="C245" s="12"/>
      <c r="D245" s="927" t="s">
        <v>78</v>
      </c>
      <c r="E245" s="928"/>
      <c r="F245" s="928"/>
      <c r="G245" s="929"/>
      <c r="H245" s="927" t="s">
        <v>77</v>
      </c>
      <c r="I245" s="928"/>
      <c r="J245" s="928"/>
      <c r="K245" s="929"/>
      <c r="L245" s="927" t="s">
        <v>81</v>
      </c>
      <c r="M245" s="928"/>
      <c r="N245" s="928"/>
      <c r="O245" s="929"/>
      <c r="P245" s="927" t="s">
        <v>254</v>
      </c>
      <c r="Q245" s="928"/>
      <c r="R245" s="928"/>
      <c r="S245" s="929"/>
      <c r="T245" s="927" t="s">
        <v>76</v>
      </c>
      <c r="U245" s="928"/>
      <c r="V245" s="928"/>
      <c r="W245" s="929"/>
      <c r="X245" s="880"/>
    </row>
    <row r="246" spans="1:24" ht="12.95" customHeight="1" thickBot="1">
      <c r="A246" s="885"/>
      <c r="B246" s="1132" t="s">
        <v>648</v>
      </c>
      <c r="C246" s="187"/>
      <c r="D246" s="1065"/>
      <c r="E246" s="1066"/>
      <c r="F246" s="1066"/>
      <c r="G246" s="1067"/>
      <c r="H246" s="1065"/>
      <c r="I246" s="1066"/>
      <c r="J246" s="1066"/>
      <c r="K246" s="1067"/>
      <c r="L246" s="1065"/>
      <c r="M246" s="1066"/>
      <c r="N246" s="1066"/>
      <c r="O246" s="1067"/>
      <c r="P246" s="218" t="s">
        <v>693</v>
      </c>
      <c r="Q246" s="219" t="s">
        <v>607</v>
      </c>
      <c r="R246" s="218" t="s">
        <v>606</v>
      </c>
      <c r="S246" s="218" t="s">
        <v>694</v>
      </c>
      <c r="T246" s="218" t="s">
        <v>693</v>
      </c>
      <c r="U246" s="219" t="s">
        <v>607</v>
      </c>
      <c r="V246" s="218" t="s">
        <v>606</v>
      </c>
      <c r="W246" s="218" t="s">
        <v>694</v>
      </c>
      <c r="X246" s="880"/>
    </row>
    <row r="247" spans="1:24" ht="12.95" customHeight="1" thickBot="1">
      <c r="A247" s="885"/>
      <c r="B247" s="1133"/>
      <c r="C247" s="9" t="s">
        <v>247</v>
      </c>
      <c r="D247" s="957"/>
      <c r="E247" s="958"/>
      <c r="F247" s="958"/>
      <c r="G247" s="959"/>
      <c r="H247" s="1061" t="s">
        <v>635</v>
      </c>
      <c r="I247" s="1062"/>
      <c r="J247" s="1062"/>
      <c r="K247" s="1063"/>
      <c r="L247" s="966" t="s">
        <v>443</v>
      </c>
      <c r="M247" s="967"/>
      <c r="N247" s="967"/>
      <c r="O247" s="968"/>
      <c r="P247" s="220">
        <v>39</v>
      </c>
      <c r="Q247" s="220">
        <v>29</v>
      </c>
      <c r="R247" s="220">
        <v>10</v>
      </c>
      <c r="S247" s="220">
        <v>2</v>
      </c>
      <c r="T247" s="220">
        <v>50</v>
      </c>
      <c r="U247" s="220">
        <v>40</v>
      </c>
      <c r="V247" s="220">
        <v>15</v>
      </c>
      <c r="W247" s="220">
        <v>5</v>
      </c>
      <c r="X247" s="880"/>
    </row>
    <row r="248" spans="1:24" ht="12.95" customHeight="1" thickBot="1">
      <c r="A248" s="869"/>
      <c r="B248" s="1133"/>
      <c r="C248" s="102" t="s">
        <v>246</v>
      </c>
      <c r="D248" s="957"/>
      <c r="E248" s="958"/>
      <c r="F248" s="958"/>
      <c r="G248" s="959"/>
      <c r="H248" s="957"/>
      <c r="I248" s="958"/>
      <c r="J248" s="958"/>
      <c r="K248" s="959"/>
      <c r="L248" s="957"/>
      <c r="M248" s="958"/>
      <c r="N248" s="958"/>
      <c r="O248" s="959"/>
      <c r="P248" s="957"/>
      <c r="Q248" s="958"/>
      <c r="R248" s="958"/>
      <c r="S248" s="959"/>
      <c r="T248" s="188">
        <f>'State Agg LFx3 (2015)'!T248</f>
        <v>20</v>
      </c>
      <c r="U248" s="188">
        <f>'State Agg LFx3 (2015)'!U248</f>
        <v>18</v>
      </c>
      <c r="V248" s="188">
        <f>'State Agg LFx3 (2015)'!V248</f>
        <v>18</v>
      </c>
      <c r="W248" s="188">
        <f>'State Agg LFx3 (2015)'!W248</f>
        <v>6</v>
      </c>
      <c r="X248" s="881"/>
    </row>
    <row r="249" spans="1:24" ht="13.5" thickBot="1">
      <c r="A249" s="520" t="s">
        <v>13</v>
      </c>
      <c r="B249" s="1133"/>
      <c r="C249" s="998" t="s">
        <v>413</v>
      </c>
      <c r="D249" s="927" t="s">
        <v>4</v>
      </c>
      <c r="E249" s="928"/>
      <c r="F249" s="928"/>
      <c r="G249" s="928"/>
      <c r="H249" s="928"/>
      <c r="I249" s="928"/>
      <c r="J249" s="928"/>
      <c r="K249" s="928"/>
      <c r="L249" s="928"/>
      <c r="M249" s="928"/>
      <c r="N249" s="928"/>
      <c r="O249" s="928"/>
      <c r="P249" s="928"/>
      <c r="Q249" s="928"/>
      <c r="R249" s="928"/>
      <c r="S249" s="928"/>
      <c r="T249" s="928"/>
      <c r="U249" s="928"/>
      <c r="V249" s="928"/>
      <c r="W249" s="929"/>
      <c r="X249" s="24" t="s">
        <v>14</v>
      </c>
    </row>
    <row r="250" spans="1:24" ht="13.5" thickBot="1">
      <c r="A250" s="25" t="s">
        <v>73</v>
      </c>
      <c r="B250" s="1134"/>
      <c r="C250" s="999"/>
      <c r="D250" s="930" t="s">
        <v>125</v>
      </c>
      <c r="E250" s="931"/>
      <c r="F250" s="931"/>
      <c r="G250" s="931"/>
      <c r="H250" s="931"/>
      <c r="I250" s="931"/>
      <c r="J250" s="931"/>
      <c r="K250" s="931"/>
      <c r="L250" s="931"/>
      <c r="M250" s="931"/>
      <c r="N250" s="931"/>
      <c r="O250" s="931"/>
      <c r="P250" s="931"/>
      <c r="Q250" s="931"/>
      <c r="R250" s="931"/>
      <c r="S250" s="931"/>
      <c r="T250" s="931"/>
      <c r="U250" s="931"/>
      <c r="V250" s="931"/>
      <c r="W250" s="932"/>
      <c r="X250" s="18" t="s">
        <v>92</v>
      </c>
    </row>
    <row r="251" spans="1:24" ht="13.5" thickBot="1">
      <c r="A251" s="1060" t="s">
        <v>7</v>
      </c>
      <c r="B251" s="908" t="s">
        <v>173</v>
      </c>
      <c r="C251" s="918"/>
      <c r="D251" s="908" t="s">
        <v>8</v>
      </c>
      <c r="E251" s="918"/>
      <c r="F251" s="918"/>
      <c r="G251" s="909"/>
      <c r="H251" s="908" t="s">
        <v>88</v>
      </c>
      <c r="I251" s="918"/>
      <c r="J251" s="918"/>
      <c r="K251" s="909"/>
      <c r="L251" s="908" t="s">
        <v>89</v>
      </c>
      <c r="M251" s="918"/>
      <c r="N251" s="918"/>
      <c r="O251" s="909"/>
      <c r="P251" s="908" t="s">
        <v>9</v>
      </c>
      <c r="Q251" s="918"/>
      <c r="R251" s="918"/>
      <c r="S251" s="909"/>
      <c r="T251" s="908" t="s">
        <v>174</v>
      </c>
      <c r="U251" s="918"/>
      <c r="V251" s="918"/>
      <c r="W251" s="918"/>
      <c r="X251" s="909"/>
    </row>
    <row r="252" spans="1:24" ht="13.5" thickBot="1">
      <c r="A252" s="907"/>
      <c r="B252" s="919">
        <v>4100000</v>
      </c>
      <c r="C252" s="921"/>
      <c r="D252" s="919">
        <v>0</v>
      </c>
      <c r="E252" s="921"/>
      <c r="F252" s="921"/>
      <c r="G252" s="920"/>
      <c r="H252" s="919">
        <v>0</v>
      </c>
      <c r="I252" s="921"/>
      <c r="J252" s="921"/>
      <c r="K252" s="920"/>
      <c r="L252" s="919">
        <v>2700000</v>
      </c>
      <c r="M252" s="921"/>
      <c r="N252" s="921"/>
      <c r="O252" s="920"/>
      <c r="P252" s="919">
        <f>SUM(B252:O252)</f>
        <v>6800000</v>
      </c>
      <c r="Q252" s="921"/>
      <c r="R252" s="921"/>
      <c r="S252" s="920"/>
      <c r="T252" s="942">
        <f>B252/P252%</f>
        <v>60.294117647058826</v>
      </c>
      <c r="U252" s="943"/>
      <c r="V252" s="943"/>
      <c r="W252" s="943"/>
      <c r="X252" s="944"/>
    </row>
    <row r="253" spans="1:24" ht="13.5" thickBot="1">
      <c r="A253" s="906" t="s">
        <v>10</v>
      </c>
      <c r="B253" s="908" t="s">
        <v>175</v>
      </c>
      <c r="C253" s="918"/>
      <c r="D253" s="910"/>
      <c r="E253" s="911"/>
      <c r="F253" s="911"/>
      <c r="G253" s="911"/>
      <c r="H253" s="911"/>
      <c r="I253" s="911"/>
      <c r="J253" s="911"/>
      <c r="K253" s="911"/>
      <c r="L253" s="911"/>
      <c r="M253" s="911"/>
      <c r="N253" s="911"/>
      <c r="O253" s="911"/>
      <c r="P253" s="911"/>
      <c r="Q253" s="911"/>
      <c r="R253" s="911"/>
      <c r="S253" s="911"/>
      <c r="T253" s="911"/>
      <c r="U253" s="911"/>
      <c r="V253" s="911"/>
      <c r="W253" s="911"/>
      <c r="X253" s="912"/>
    </row>
    <row r="254" spans="1:24" ht="13.5" thickBot="1">
      <c r="A254" s="907"/>
      <c r="B254" s="916"/>
      <c r="C254" s="994"/>
      <c r="D254" s="913"/>
      <c r="E254" s="914"/>
      <c r="F254" s="914"/>
      <c r="G254" s="914"/>
      <c r="H254" s="914"/>
      <c r="I254" s="914"/>
      <c r="J254" s="914"/>
      <c r="K254" s="914"/>
      <c r="L254" s="914"/>
      <c r="M254" s="914"/>
      <c r="N254" s="914"/>
      <c r="O254" s="914"/>
      <c r="P254" s="914"/>
      <c r="Q254" s="914"/>
      <c r="R254" s="914"/>
      <c r="S254" s="914"/>
      <c r="T254" s="914"/>
      <c r="U254" s="914"/>
      <c r="V254" s="914"/>
      <c r="W254" s="914"/>
      <c r="X254" s="915"/>
    </row>
  </sheetData>
  <sheetProtection password="CF55" sheet="1" objects="1" scenarios="1" selectLockedCells="1" selectUnlockedCells="1"/>
  <mergeCells count="944">
    <mergeCell ref="A253:A254"/>
    <mergeCell ref="B253:C253"/>
    <mergeCell ref="D253:X254"/>
    <mergeCell ref="B254:C254"/>
    <mergeCell ref="T251:X251"/>
    <mergeCell ref="B252:C252"/>
    <mergeCell ref="D252:G252"/>
    <mergeCell ref="H252:K252"/>
    <mergeCell ref="L252:O252"/>
    <mergeCell ref="P252:S252"/>
    <mergeCell ref="T252:X252"/>
    <mergeCell ref="P248:S248"/>
    <mergeCell ref="C249:C250"/>
    <mergeCell ref="D249:W249"/>
    <mergeCell ref="D250:W250"/>
    <mergeCell ref="A251:A252"/>
    <mergeCell ref="B251:C251"/>
    <mergeCell ref="D251:G251"/>
    <mergeCell ref="H251:K251"/>
    <mergeCell ref="L251:O251"/>
    <mergeCell ref="P251:S251"/>
    <mergeCell ref="B246:B250"/>
    <mergeCell ref="D246:G246"/>
    <mergeCell ref="H246:K246"/>
    <mergeCell ref="L246:O246"/>
    <mergeCell ref="D247:G247"/>
    <mergeCell ref="H247:K247"/>
    <mergeCell ref="L247:O247"/>
    <mergeCell ref="D248:G248"/>
    <mergeCell ref="H248:K248"/>
    <mergeCell ref="L248:O248"/>
    <mergeCell ref="D245:G245"/>
    <mergeCell ref="H245:K245"/>
    <mergeCell ref="L245:O245"/>
    <mergeCell ref="P245:S245"/>
    <mergeCell ref="T245:W245"/>
    <mergeCell ref="H241:K241"/>
    <mergeCell ref="L241:O241"/>
    <mergeCell ref="P241:S241"/>
    <mergeCell ref="D242:G242"/>
    <mergeCell ref="H242:K242"/>
    <mergeCell ref="L242:O242"/>
    <mergeCell ref="L234:O234"/>
    <mergeCell ref="D239:G239"/>
    <mergeCell ref="H239:K239"/>
    <mergeCell ref="L239:O239"/>
    <mergeCell ref="P239:S239"/>
    <mergeCell ref="T239:W239"/>
    <mergeCell ref="B240:B244"/>
    <mergeCell ref="D240:G240"/>
    <mergeCell ref="H240:K240"/>
    <mergeCell ref="L240:O240"/>
    <mergeCell ref="D241:G241"/>
    <mergeCell ref="C243:C244"/>
    <mergeCell ref="D243:W243"/>
    <mergeCell ref="D244:W244"/>
    <mergeCell ref="X234:X248"/>
    <mergeCell ref="D235:G235"/>
    <mergeCell ref="H235:K235"/>
    <mergeCell ref="L235:O235"/>
    <mergeCell ref="P235:S235"/>
    <mergeCell ref="A229:A230"/>
    <mergeCell ref="B229:C229"/>
    <mergeCell ref="D229:X230"/>
    <mergeCell ref="B230:C230"/>
    <mergeCell ref="D233:G233"/>
    <mergeCell ref="H233:K233"/>
    <mergeCell ref="L233:O233"/>
    <mergeCell ref="P233:S233"/>
    <mergeCell ref="T233:W233"/>
    <mergeCell ref="D236:G236"/>
    <mergeCell ref="H236:K236"/>
    <mergeCell ref="L236:O236"/>
    <mergeCell ref="C237:C238"/>
    <mergeCell ref="D237:W237"/>
    <mergeCell ref="D238:W238"/>
    <mergeCell ref="A234:A248"/>
    <mergeCell ref="B234:B238"/>
    <mergeCell ref="D234:G234"/>
    <mergeCell ref="H234:K234"/>
    <mergeCell ref="P227:S227"/>
    <mergeCell ref="T227:X227"/>
    <mergeCell ref="B228:C228"/>
    <mergeCell ref="D228:G228"/>
    <mergeCell ref="H228:K228"/>
    <mergeCell ref="L228:O228"/>
    <mergeCell ref="P228:S228"/>
    <mergeCell ref="T228:X228"/>
    <mergeCell ref="T224:U224"/>
    <mergeCell ref="V224:W224"/>
    <mergeCell ref="C225:C226"/>
    <mergeCell ref="D225:W225"/>
    <mergeCell ref="D226:W226"/>
    <mergeCell ref="A227:A228"/>
    <mergeCell ref="B227:C227"/>
    <mergeCell ref="D227:G227"/>
    <mergeCell ref="H227:K227"/>
    <mergeCell ref="L227:O227"/>
    <mergeCell ref="P223:Q223"/>
    <mergeCell ref="R223:S223"/>
    <mergeCell ref="T223:U223"/>
    <mergeCell ref="V223:W223"/>
    <mergeCell ref="D224:G224"/>
    <mergeCell ref="H224:K224"/>
    <mergeCell ref="L224:M224"/>
    <mergeCell ref="N224:O224"/>
    <mergeCell ref="P224:Q224"/>
    <mergeCell ref="R224:S224"/>
    <mergeCell ref="D223:E223"/>
    <mergeCell ref="F223:G223"/>
    <mergeCell ref="H223:I223"/>
    <mergeCell ref="J223:K223"/>
    <mergeCell ref="L223:M223"/>
    <mergeCell ref="N223:O223"/>
    <mergeCell ref="B222:B224"/>
    <mergeCell ref="A186:A224"/>
    <mergeCell ref="B186:B193"/>
    <mergeCell ref="L222:M222"/>
    <mergeCell ref="N222:O222"/>
    <mergeCell ref="P222:Q222"/>
    <mergeCell ref="R222:S222"/>
    <mergeCell ref="T222:U222"/>
    <mergeCell ref="V222:W222"/>
    <mergeCell ref="D221:G221"/>
    <mergeCell ref="H221:K221"/>
    <mergeCell ref="L221:O221"/>
    <mergeCell ref="P221:S221"/>
    <mergeCell ref="T221:W221"/>
    <mergeCell ref="D222:E222"/>
    <mergeCell ref="F222:G222"/>
    <mergeCell ref="H222:I222"/>
    <mergeCell ref="J222:K222"/>
    <mergeCell ref="D216:G216"/>
    <mergeCell ref="H216:K216"/>
    <mergeCell ref="L216:O216"/>
    <mergeCell ref="P216:S216"/>
    <mergeCell ref="T216:W216"/>
    <mergeCell ref="D217:G217"/>
    <mergeCell ref="H217:K217"/>
    <mergeCell ref="L217:O217"/>
    <mergeCell ref="P217:S217"/>
    <mergeCell ref="T217:W217"/>
    <mergeCell ref="T214:W214"/>
    <mergeCell ref="D215:G215"/>
    <mergeCell ref="H215:K215"/>
    <mergeCell ref="L215:O215"/>
    <mergeCell ref="P215:S215"/>
    <mergeCell ref="T215:W215"/>
    <mergeCell ref="B213:B220"/>
    <mergeCell ref="D213:G213"/>
    <mergeCell ref="H213:K213"/>
    <mergeCell ref="L213:O213"/>
    <mergeCell ref="P213:S213"/>
    <mergeCell ref="T213:W213"/>
    <mergeCell ref="D214:G214"/>
    <mergeCell ref="H214:K214"/>
    <mergeCell ref="L214:O214"/>
    <mergeCell ref="P214:S214"/>
    <mergeCell ref="D218:G218"/>
    <mergeCell ref="H218:K218"/>
    <mergeCell ref="L218:O218"/>
    <mergeCell ref="P218:S218"/>
    <mergeCell ref="T218:W218"/>
    <mergeCell ref="C219:C220"/>
    <mergeCell ref="D219:W219"/>
    <mergeCell ref="D220:W220"/>
    <mergeCell ref="C210:C211"/>
    <mergeCell ref="D210:W210"/>
    <mergeCell ref="D211:W211"/>
    <mergeCell ref="D212:G212"/>
    <mergeCell ref="H212:K212"/>
    <mergeCell ref="L212:O212"/>
    <mergeCell ref="P212:S212"/>
    <mergeCell ref="T212:W212"/>
    <mergeCell ref="D208:G208"/>
    <mergeCell ref="H208:K208"/>
    <mergeCell ref="L208:O208"/>
    <mergeCell ref="P208:S208"/>
    <mergeCell ref="T208:W208"/>
    <mergeCell ref="D209:G209"/>
    <mergeCell ref="H209:K209"/>
    <mergeCell ref="L209:O209"/>
    <mergeCell ref="P209:S209"/>
    <mergeCell ref="T209:W209"/>
    <mergeCell ref="P203:S203"/>
    <mergeCell ref="T203:W203"/>
    <mergeCell ref="D206:G206"/>
    <mergeCell ref="H206:K206"/>
    <mergeCell ref="L206:O206"/>
    <mergeCell ref="P206:S206"/>
    <mergeCell ref="T206:W206"/>
    <mergeCell ref="D207:G207"/>
    <mergeCell ref="H207:K207"/>
    <mergeCell ref="L207:O207"/>
    <mergeCell ref="P207:S207"/>
    <mergeCell ref="T207:W207"/>
    <mergeCell ref="T198:W198"/>
    <mergeCell ref="D199:G199"/>
    <mergeCell ref="H199:K199"/>
    <mergeCell ref="L199:O199"/>
    <mergeCell ref="P199:S199"/>
    <mergeCell ref="T199:W199"/>
    <mergeCell ref="B204:B211"/>
    <mergeCell ref="D204:G204"/>
    <mergeCell ref="H204:K204"/>
    <mergeCell ref="L204:O204"/>
    <mergeCell ref="P204:S204"/>
    <mergeCell ref="D200:G200"/>
    <mergeCell ref="H200:K200"/>
    <mergeCell ref="L200:O200"/>
    <mergeCell ref="P200:S200"/>
    <mergeCell ref="T204:W204"/>
    <mergeCell ref="D205:G205"/>
    <mergeCell ref="H205:K205"/>
    <mergeCell ref="L205:O205"/>
    <mergeCell ref="P205:S205"/>
    <mergeCell ref="T205:W205"/>
    <mergeCell ref="D203:G203"/>
    <mergeCell ref="H203:K203"/>
    <mergeCell ref="L203:O203"/>
    <mergeCell ref="T196:W196"/>
    <mergeCell ref="D197:G197"/>
    <mergeCell ref="H197:K197"/>
    <mergeCell ref="L197:O197"/>
    <mergeCell ref="P197:S197"/>
    <mergeCell ref="T197:W197"/>
    <mergeCell ref="B195:B202"/>
    <mergeCell ref="D195:G195"/>
    <mergeCell ref="H195:K195"/>
    <mergeCell ref="L195:O195"/>
    <mergeCell ref="P195:S195"/>
    <mergeCell ref="T195:W195"/>
    <mergeCell ref="D196:G196"/>
    <mergeCell ref="H196:K196"/>
    <mergeCell ref="L196:O196"/>
    <mergeCell ref="P196:S196"/>
    <mergeCell ref="T200:W200"/>
    <mergeCell ref="C201:C202"/>
    <mergeCell ref="D201:W201"/>
    <mergeCell ref="D202:W202"/>
    <mergeCell ref="D198:G198"/>
    <mergeCell ref="H198:K198"/>
    <mergeCell ref="L198:O198"/>
    <mergeCell ref="P198:S198"/>
    <mergeCell ref="C192:C193"/>
    <mergeCell ref="D192:W192"/>
    <mergeCell ref="D193:W193"/>
    <mergeCell ref="D194:G194"/>
    <mergeCell ref="H194:K194"/>
    <mergeCell ref="L194:O194"/>
    <mergeCell ref="P194:S194"/>
    <mergeCell ref="T194:W194"/>
    <mergeCell ref="P190:S190"/>
    <mergeCell ref="T190:W190"/>
    <mergeCell ref="D191:G191"/>
    <mergeCell ref="H191:K191"/>
    <mergeCell ref="L191:O191"/>
    <mergeCell ref="P191:S191"/>
    <mergeCell ref="T191:W191"/>
    <mergeCell ref="T188:W188"/>
    <mergeCell ref="D189:G189"/>
    <mergeCell ref="H189:K189"/>
    <mergeCell ref="L189:O189"/>
    <mergeCell ref="P189:S189"/>
    <mergeCell ref="T189:W189"/>
    <mergeCell ref="T186:W186"/>
    <mergeCell ref="X186:X224"/>
    <mergeCell ref="D187:G187"/>
    <mergeCell ref="H187:K187"/>
    <mergeCell ref="L187:O187"/>
    <mergeCell ref="P187:S187"/>
    <mergeCell ref="T187:W187"/>
    <mergeCell ref="D188:G188"/>
    <mergeCell ref="H188:K188"/>
    <mergeCell ref="L188:O188"/>
    <mergeCell ref="D186:G186"/>
    <mergeCell ref="H186:K186"/>
    <mergeCell ref="L186:O186"/>
    <mergeCell ref="P186:S186"/>
    <mergeCell ref="P188:S188"/>
    <mergeCell ref="D190:G190"/>
    <mergeCell ref="H190:K190"/>
    <mergeCell ref="L190:O190"/>
    <mergeCell ref="A181:A182"/>
    <mergeCell ref="B181:C181"/>
    <mergeCell ref="D181:X182"/>
    <mergeCell ref="B182:C182"/>
    <mergeCell ref="D185:G185"/>
    <mergeCell ref="H185:K185"/>
    <mergeCell ref="L185:O185"/>
    <mergeCell ref="P185:S185"/>
    <mergeCell ref="T185:W185"/>
    <mergeCell ref="T179:X179"/>
    <mergeCell ref="B180:C180"/>
    <mergeCell ref="D180:G180"/>
    <mergeCell ref="H180:K180"/>
    <mergeCell ref="L180:O180"/>
    <mergeCell ref="P180:S180"/>
    <mergeCell ref="T180:X180"/>
    <mergeCell ref="A179:A180"/>
    <mergeCell ref="B179:C179"/>
    <mergeCell ref="D179:G179"/>
    <mergeCell ref="H179:K179"/>
    <mergeCell ref="L179:O179"/>
    <mergeCell ref="P179:S179"/>
    <mergeCell ref="D174:G174"/>
    <mergeCell ref="H174:K174"/>
    <mergeCell ref="L174:O174"/>
    <mergeCell ref="P174:S174"/>
    <mergeCell ref="T174:W174"/>
    <mergeCell ref="D175:G175"/>
    <mergeCell ref="H175:K175"/>
    <mergeCell ref="L175:O175"/>
    <mergeCell ref="P175:S175"/>
    <mergeCell ref="T175:W175"/>
    <mergeCell ref="T172:W172"/>
    <mergeCell ref="D173:G173"/>
    <mergeCell ref="H173:K173"/>
    <mergeCell ref="L173:O173"/>
    <mergeCell ref="P173:S173"/>
    <mergeCell ref="T173:W173"/>
    <mergeCell ref="B171:B178"/>
    <mergeCell ref="D171:G171"/>
    <mergeCell ref="H171:K171"/>
    <mergeCell ref="L171:O171"/>
    <mergeCell ref="P171:S171"/>
    <mergeCell ref="T171:W171"/>
    <mergeCell ref="D172:G172"/>
    <mergeCell ref="H172:K172"/>
    <mergeCell ref="L172:O172"/>
    <mergeCell ref="P172:S172"/>
    <mergeCell ref="D176:G176"/>
    <mergeCell ref="H176:K176"/>
    <mergeCell ref="L176:O176"/>
    <mergeCell ref="P176:S176"/>
    <mergeCell ref="T176:W176"/>
    <mergeCell ref="C177:C178"/>
    <mergeCell ref="D177:W177"/>
    <mergeCell ref="D178:W178"/>
    <mergeCell ref="B168:B169"/>
    <mergeCell ref="C168:C169"/>
    <mergeCell ref="D168:W168"/>
    <mergeCell ref="D169:W169"/>
    <mergeCell ref="D170:G170"/>
    <mergeCell ref="H170:K170"/>
    <mergeCell ref="L170:O170"/>
    <mergeCell ref="P170:S170"/>
    <mergeCell ref="T170:W170"/>
    <mergeCell ref="V166:W166"/>
    <mergeCell ref="D167:G167"/>
    <mergeCell ref="H167:K167"/>
    <mergeCell ref="L167:O167"/>
    <mergeCell ref="P167:S167"/>
    <mergeCell ref="T167:U167"/>
    <mergeCell ref="V167:W167"/>
    <mergeCell ref="D166:G166"/>
    <mergeCell ref="H166:K166"/>
    <mergeCell ref="L166:O166"/>
    <mergeCell ref="P166:Q166"/>
    <mergeCell ref="R166:S166"/>
    <mergeCell ref="T166:U166"/>
    <mergeCell ref="V164:W164"/>
    <mergeCell ref="D165:G165"/>
    <mergeCell ref="H165:K165"/>
    <mergeCell ref="L165:O165"/>
    <mergeCell ref="P165:Q165"/>
    <mergeCell ref="R165:S165"/>
    <mergeCell ref="T165:U165"/>
    <mergeCell ref="V165:W165"/>
    <mergeCell ref="D164:G164"/>
    <mergeCell ref="H164:K164"/>
    <mergeCell ref="L164:O164"/>
    <mergeCell ref="P164:Q164"/>
    <mergeCell ref="R164:S164"/>
    <mergeCell ref="T164:U164"/>
    <mergeCell ref="T162:U162"/>
    <mergeCell ref="V162:W162"/>
    <mergeCell ref="D163:G163"/>
    <mergeCell ref="H163:K163"/>
    <mergeCell ref="L163:M163"/>
    <mergeCell ref="N163:O163"/>
    <mergeCell ref="P163:Q163"/>
    <mergeCell ref="R163:S163"/>
    <mergeCell ref="T163:U163"/>
    <mergeCell ref="V163:W163"/>
    <mergeCell ref="D162:G162"/>
    <mergeCell ref="H162:K162"/>
    <mergeCell ref="L162:M162"/>
    <mergeCell ref="N162:O162"/>
    <mergeCell ref="P162:Q162"/>
    <mergeCell ref="R162:S162"/>
    <mergeCell ref="N161:O161"/>
    <mergeCell ref="P161:Q161"/>
    <mergeCell ref="R161:S161"/>
    <mergeCell ref="T161:U161"/>
    <mergeCell ref="V161:W161"/>
    <mergeCell ref="D160:G160"/>
    <mergeCell ref="H160:K160"/>
    <mergeCell ref="L160:O160"/>
    <mergeCell ref="P160:S160"/>
    <mergeCell ref="T160:W160"/>
    <mergeCell ref="A149:A176"/>
    <mergeCell ref="B149:B150"/>
    <mergeCell ref="X149:X174"/>
    <mergeCell ref="D151:G151"/>
    <mergeCell ref="C152:C153"/>
    <mergeCell ref="D152:W152"/>
    <mergeCell ref="D153:W153"/>
    <mergeCell ref="D154:G154"/>
    <mergeCell ref="H154:K154"/>
    <mergeCell ref="L154:O154"/>
    <mergeCell ref="B161:B164"/>
    <mergeCell ref="D161:E161"/>
    <mergeCell ref="F161:G161"/>
    <mergeCell ref="H161:I161"/>
    <mergeCell ref="J161:K161"/>
    <mergeCell ref="P154:S154"/>
    <mergeCell ref="T154:W154"/>
    <mergeCell ref="B155:B156"/>
    <mergeCell ref="D157:G157"/>
    <mergeCell ref="H157:K157"/>
    <mergeCell ref="C158:C159"/>
    <mergeCell ref="D158:W158"/>
    <mergeCell ref="D159:W159"/>
    <mergeCell ref="L161:M161"/>
    <mergeCell ref="A144:A145"/>
    <mergeCell ref="B144:C144"/>
    <mergeCell ref="D144:X145"/>
    <mergeCell ref="B145:C145"/>
    <mergeCell ref="D148:G148"/>
    <mergeCell ref="H148:K148"/>
    <mergeCell ref="L148:O148"/>
    <mergeCell ref="P148:S148"/>
    <mergeCell ref="T148:W148"/>
    <mergeCell ref="A142:A143"/>
    <mergeCell ref="B142:C142"/>
    <mergeCell ref="D142:G142"/>
    <mergeCell ref="H142:K142"/>
    <mergeCell ref="L142:O142"/>
    <mergeCell ref="P142:S142"/>
    <mergeCell ref="T142:X142"/>
    <mergeCell ref="T138:W138"/>
    <mergeCell ref="D139:G139"/>
    <mergeCell ref="H139:K139"/>
    <mergeCell ref="L139:O139"/>
    <mergeCell ref="P139:S139"/>
    <mergeCell ref="T139:W139"/>
    <mergeCell ref="A120:A139"/>
    <mergeCell ref="B120:B127"/>
    <mergeCell ref="B143:C143"/>
    <mergeCell ref="D143:G143"/>
    <mergeCell ref="H143:K143"/>
    <mergeCell ref="L143:O143"/>
    <mergeCell ref="P143:S143"/>
    <mergeCell ref="T143:X143"/>
    <mergeCell ref="C140:C141"/>
    <mergeCell ref="D140:W140"/>
    <mergeCell ref="D141:W141"/>
    <mergeCell ref="D137:G137"/>
    <mergeCell ref="H137:K137"/>
    <mergeCell ref="L137:O137"/>
    <mergeCell ref="P137:S137"/>
    <mergeCell ref="T137:W137"/>
    <mergeCell ref="B138:B141"/>
    <mergeCell ref="D138:G138"/>
    <mergeCell ref="H138:K138"/>
    <mergeCell ref="L138:O138"/>
    <mergeCell ref="P138:S138"/>
    <mergeCell ref="D132:G132"/>
    <mergeCell ref="H132:K132"/>
    <mergeCell ref="L132:O132"/>
    <mergeCell ref="P132:S132"/>
    <mergeCell ref="T132:W132"/>
    <mergeCell ref="D133:G133"/>
    <mergeCell ref="H133:K133"/>
    <mergeCell ref="L133:O133"/>
    <mergeCell ref="P133:S133"/>
    <mergeCell ref="T133:W133"/>
    <mergeCell ref="T130:W130"/>
    <mergeCell ref="D131:G131"/>
    <mergeCell ref="H131:K131"/>
    <mergeCell ref="L131:O131"/>
    <mergeCell ref="P131:S131"/>
    <mergeCell ref="T131:W131"/>
    <mergeCell ref="B129:B136"/>
    <mergeCell ref="D129:G129"/>
    <mergeCell ref="H129:K129"/>
    <mergeCell ref="L129:O129"/>
    <mergeCell ref="P129:S129"/>
    <mergeCell ref="T129:W129"/>
    <mergeCell ref="D130:G130"/>
    <mergeCell ref="H130:K130"/>
    <mergeCell ref="L130:O130"/>
    <mergeCell ref="P130:S130"/>
    <mergeCell ref="D134:G134"/>
    <mergeCell ref="H134:K134"/>
    <mergeCell ref="L134:O134"/>
    <mergeCell ref="P134:S134"/>
    <mergeCell ref="T134:W134"/>
    <mergeCell ref="C135:C136"/>
    <mergeCell ref="D135:W135"/>
    <mergeCell ref="D136:W136"/>
    <mergeCell ref="C126:C127"/>
    <mergeCell ref="D126:W126"/>
    <mergeCell ref="D127:W127"/>
    <mergeCell ref="D128:G128"/>
    <mergeCell ref="H128:K128"/>
    <mergeCell ref="L128:O128"/>
    <mergeCell ref="P128:S128"/>
    <mergeCell ref="T128:W128"/>
    <mergeCell ref="P124:S124"/>
    <mergeCell ref="T124:W124"/>
    <mergeCell ref="D125:G125"/>
    <mergeCell ref="H125:K125"/>
    <mergeCell ref="L125:O125"/>
    <mergeCell ref="P125:S125"/>
    <mergeCell ref="T125:W125"/>
    <mergeCell ref="T122:W122"/>
    <mergeCell ref="D123:G123"/>
    <mergeCell ref="H123:K123"/>
    <mergeCell ref="L123:O123"/>
    <mergeCell ref="P123:S123"/>
    <mergeCell ref="T123:W123"/>
    <mergeCell ref="T120:W120"/>
    <mergeCell ref="X120:X139"/>
    <mergeCell ref="D121:G121"/>
    <mergeCell ref="H121:K121"/>
    <mergeCell ref="L121:O121"/>
    <mergeCell ref="P121:S121"/>
    <mergeCell ref="T121:W121"/>
    <mergeCell ref="D122:G122"/>
    <mergeCell ref="H122:K122"/>
    <mergeCell ref="L122:O122"/>
    <mergeCell ref="D120:G120"/>
    <mergeCell ref="H120:K120"/>
    <mergeCell ref="L120:O120"/>
    <mergeCell ref="P120:S120"/>
    <mergeCell ref="P122:S122"/>
    <mergeCell ref="D124:G124"/>
    <mergeCell ref="H124:K124"/>
    <mergeCell ref="L124:O124"/>
    <mergeCell ref="A115:A116"/>
    <mergeCell ref="B115:C115"/>
    <mergeCell ref="D115:X116"/>
    <mergeCell ref="B116:C116"/>
    <mergeCell ref="D119:G119"/>
    <mergeCell ref="H119:K119"/>
    <mergeCell ref="L119:O119"/>
    <mergeCell ref="P119:S119"/>
    <mergeCell ref="T119:W119"/>
    <mergeCell ref="A113:A114"/>
    <mergeCell ref="B113:C113"/>
    <mergeCell ref="D113:G113"/>
    <mergeCell ref="H113:K113"/>
    <mergeCell ref="L113:O113"/>
    <mergeCell ref="P113:S113"/>
    <mergeCell ref="T113:X113"/>
    <mergeCell ref="T109:W109"/>
    <mergeCell ref="D110:G110"/>
    <mergeCell ref="H110:K110"/>
    <mergeCell ref="L110:O110"/>
    <mergeCell ref="P110:S110"/>
    <mergeCell ref="T110:W110"/>
    <mergeCell ref="A91:A110"/>
    <mergeCell ref="B91:B98"/>
    <mergeCell ref="B114:C114"/>
    <mergeCell ref="D114:G114"/>
    <mergeCell ref="H114:K114"/>
    <mergeCell ref="L114:O114"/>
    <mergeCell ref="P114:S114"/>
    <mergeCell ref="T114:X114"/>
    <mergeCell ref="C111:C112"/>
    <mergeCell ref="D111:W111"/>
    <mergeCell ref="D112:W112"/>
    <mergeCell ref="D108:G108"/>
    <mergeCell ref="H108:K108"/>
    <mergeCell ref="L108:O108"/>
    <mergeCell ref="P108:S108"/>
    <mergeCell ref="T108:W108"/>
    <mergeCell ref="B109:B112"/>
    <mergeCell ref="D109:G109"/>
    <mergeCell ref="H109:K109"/>
    <mergeCell ref="L109:O109"/>
    <mergeCell ref="P109:S109"/>
    <mergeCell ref="D103:G103"/>
    <mergeCell ref="H103:K103"/>
    <mergeCell ref="L103:O103"/>
    <mergeCell ref="P103:S103"/>
    <mergeCell ref="T103:W103"/>
    <mergeCell ref="D104:G104"/>
    <mergeCell ref="H104:K104"/>
    <mergeCell ref="L104:O104"/>
    <mergeCell ref="P104:S104"/>
    <mergeCell ref="T104:W104"/>
    <mergeCell ref="T101:W101"/>
    <mergeCell ref="D102:G102"/>
    <mergeCell ref="H102:K102"/>
    <mergeCell ref="L102:O102"/>
    <mergeCell ref="P102:S102"/>
    <mergeCell ref="T102:W102"/>
    <mergeCell ref="B100:B107"/>
    <mergeCell ref="D100:G100"/>
    <mergeCell ref="H100:K100"/>
    <mergeCell ref="L100:O100"/>
    <mergeCell ref="P100:S100"/>
    <mergeCell ref="T100:W100"/>
    <mergeCell ref="D101:G101"/>
    <mergeCell ref="H101:K101"/>
    <mergeCell ref="L101:O101"/>
    <mergeCell ref="P101:S101"/>
    <mergeCell ref="D105:G105"/>
    <mergeCell ref="H105:K105"/>
    <mergeCell ref="L105:O105"/>
    <mergeCell ref="P105:S105"/>
    <mergeCell ref="T105:W105"/>
    <mergeCell ref="C106:C107"/>
    <mergeCell ref="D106:W106"/>
    <mergeCell ref="D107:W107"/>
    <mergeCell ref="C97:C98"/>
    <mergeCell ref="D97:W97"/>
    <mergeCell ref="D98:W98"/>
    <mergeCell ref="D99:G99"/>
    <mergeCell ref="H99:K99"/>
    <mergeCell ref="L99:O99"/>
    <mergeCell ref="P99:S99"/>
    <mergeCell ref="T99:W99"/>
    <mergeCell ref="P95:S95"/>
    <mergeCell ref="T95:W95"/>
    <mergeCell ref="D96:G96"/>
    <mergeCell ref="H96:K96"/>
    <mergeCell ref="L96:O96"/>
    <mergeCell ref="P96:S96"/>
    <mergeCell ref="T96:W96"/>
    <mergeCell ref="T93:W93"/>
    <mergeCell ref="D94:G94"/>
    <mergeCell ref="H94:K94"/>
    <mergeCell ref="L94:O94"/>
    <mergeCell ref="P94:S94"/>
    <mergeCell ref="T94:W94"/>
    <mergeCell ref="T91:W91"/>
    <mergeCell ref="X91:X110"/>
    <mergeCell ref="D92:G92"/>
    <mergeCell ref="H92:K92"/>
    <mergeCell ref="L92:O92"/>
    <mergeCell ref="P92:S92"/>
    <mergeCell ref="T92:W92"/>
    <mergeCell ref="D93:G93"/>
    <mergeCell ref="H93:K93"/>
    <mergeCell ref="L93:O93"/>
    <mergeCell ref="D91:G91"/>
    <mergeCell ref="H91:K91"/>
    <mergeCell ref="L91:O91"/>
    <mergeCell ref="P91:S91"/>
    <mergeCell ref="P93:S93"/>
    <mergeCell ref="D95:G95"/>
    <mergeCell ref="H95:K95"/>
    <mergeCell ref="L95:O95"/>
    <mergeCell ref="C82:C83"/>
    <mergeCell ref="D82:W82"/>
    <mergeCell ref="D83:W83"/>
    <mergeCell ref="X52:X83"/>
    <mergeCell ref="A86:A87"/>
    <mergeCell ref="B86:C86"/>
    <mergeCell ref="D86:X87"/>
    <mergeCell ref="B87:C87"/>
    <mergeCell ref="D90:G90"/>
    <mergeCell ref="H90:K90"/>
    <mergeCell ref="L90:O90"/>
    <mergeCell ref="P90:S90"/>
    <mergeCell ref="T90:W90"/>
    <mergeCell ref="A84:A85"/>
    <mergeCell ref="B84:C84"/>
    <mergeCell ref="D84:G84"/>
    <mergeCell ref="H84:K84"/>
    <mergeCell ref="L84:O84"/>
    <mergeCell ref="C76:C77"/>
    <mergeCell ref="D76:W76"/>
    <mergeCell ref="D77:W77"/>
    <mergeCell ref="D78:G78"/>
    <mergeCell ref="H78:K78"/>
    <mergeCell ref="L78:O78"/>
    <mergeCell ref="P78:S78"/>
    <mergeCell ref="T78:W78"/>
    <mergeCell ref="B70:B77"/>
    <mergeCell ref="P84:S84"/>
    <mergeCell ref="T84:X84"/>
    <mergeCell ref="B85:C85"/>
    <mergeCell ref="D85:G85"/>
    <mergeCell ref="H85:K85"/>
    <mergeCell ref="L85:O85"/>
    <mergeCell ref="P85:S85"/>
    <mergeCell ref="T85:X85"/>
    <mergeCell ref="B79:B80"/>
    <mergeCell ref="D81:G81"/>
    <mergeCell ref="D74:G74"/>
    <mergeCell ref="H74:K74"/>
    <mergeCell ref="L74:O74"/>
    <mergeCell ref="P74:S74"/>
    <mergeCell ref="T74:W74"/>
    <mergeCell ref="D75:G75"/>
    <mergeCell ref="H75:K75"/>
    <mergeCell ref="L75:O75"/>
    <mergeCell ref="P75:S75"/>
    <mergeCell ref="T75:W75"/>
    <mergeCell ref="D72:G72"/>
    <mergeCell ref="H72:K72"/>
    <mergeCell ref="L72:O72"/>
    <mergeCell ref="P72:S72"/>
    <mergeCell ref="T72:W72"/>
    <mergeCell ref="D73:G73"/>
    <mergeCell ref="H73:K73"/>
    <mergeCell ref="L73:O73"/>
    <mergeCell ref="P73:S73"/>
    <mergeCell ref="T73:W73"/>
    <mergeCell ref="T70:W70"/>
    <mergeCell ref="D71:G71"/>
    <mergeCell ref="H71:K71"/>
    <mergeCell ref="L71:O71"/>
    <mergeCell ref="P71:S71"/>
    <mergeCell ref="T71:W71"/>
    <mergeCell ref="D69:G69"/>
    <mergeCell ref="H69:K69"/>
    <mergeCell ref="L69:O69"/>
    <mergeCell ref="P69:S69"/>
    <mergeCell ref="T69:W69"/>
    <mergeCell ref="D70:G70"/>
    <mergeCell ref="H70:K70"/>
    <mergeCell ref="L70:O70"/>
    <mergeCell ref="P70:S70"/>
    <mergeCell ref="D64:G64"/>
    <mergeCell ref="H64:K64"/>
    <mergeCell ref="L64:O64"/>
    <mergeCell ref="P64:S64"/>
    <mergeCell ref="T64:W64"/>
    <mergeCell ref="D65:G65"/>
    <mergeCell ref="H65:K65"/>
    <mergeCell ref="L65:O65"/>
    <mergeCell ref="P65:S65"/>
    <mergeCell ref="T65:W65"/>
    <mergeCell ref="T62:W62"/>
    <mergeCell ref="D63:G63"/>
    <mergeCell ref="H63:K63"/>
    <mergeCell ref="L63:O63"/>
    <mergeCell ref="P63:S63"/>
    <mergeCell ref="T63:W63"/>
    <mergeCell ref="B61:B68"/>
    <mergeCell ref="D61:G61"/>
    <mergeCell ref="H61:K61"/>
    <mergeCell ref="L61:O61"/>
    <mergeCell ref="P61:S61"/>
    <mergeCell ref="T61:W61"/>
    <mergeCell ref="D62:G62"/>
    <mergeCell ref="H62:K62"/>
    <mergeCell ref="L62:O62"/>
    <mergeCell ref="P62:S62"/>
    <mergeCell ref="D66:G66"/>
    <mergeCell ref="H66:K66"/>
    <mergeCell ref="L66:O66"/>
    <mergeCell ref="P66:S66"/>
    <mergeCell ref="T66:W66"/>
    <mergeCell ref="C67:C68"/>
    <mergeCell ref="D67:W67"/>
    <mergeCell ref="D68:W68"/>
    <mergeCell ref="T53:W53"/>
    <mergeCell ref="D54:G54"/>
    <mergeCell ref="H54:K54"/>
    <mergeCell ref="C58:C59"/>
    <mergeCell ref="D58:W58"/>
    <mergeCell ref="D59:W59"/>
    <mergeCell ref="D60:G60"/>
    <mergeCell ref="H60:K60"/>
    <mergeCell ref="L60:O60"/>
    <mergeCell ref="P60:S60"/>
    <mergeCell ref="T60:W60"/>
    <mergeCell ref="D56:G56"/>
    <mergeCell ref="H56:K56"/>
    <mergeCell ref="L56:O56"/>
    <mergeCell ref="P56:S56"/>
    <mergeCell ref="T56:W56"/>
    <mergeCell ref="D57:G57"/>
    <mergeCell ref="H57:K57"/>
    <mergeCell ref="L57:O57"/>
    <mergeCell ref="P57:S57"/>
    <mergeCell ref="T57:W57"/>
    <mergeCell ref="D51:G51"/>
    <mergeCell ref="H51:K51"/>
    <mergeCell ref="L51:O51"/>
    <mergeCell ref="P51:S51"/>
    <mergeCell ref="T51:W51"/>
    <mergeCell ref="A52:A83"/>
    <mergeCell ref="B52:B59"/>
    <mergeCell ref="D52:G52"/>
    <mergeCell ref="H52:K52"/>
    <mergeCell ref="L52:O52"/>
    <mergeCell ref="L54:O54"/>
    <mergeCell ref="P54:S54"/>
    <mergeCell ref="T54:W54"/>
    <mergeCell ref="D55:G55"/>
    <mergeCell ref="H55:K55"/>
    <mergeCell ref="L55:O55"/>
    <mergeCell ref="P55:S55"/>
    <mergeCell ref="T55:W55"/>
    <mergeCell ref="P52:S52"/>
    <mergeCell ref="T52:W52"/>
    <mergeCell ref="D53:G53"/>
    <mergeCell ref="H53:K53"/>
    <mergeCell ref="L53:O53"/>
    <mergeCell ref="P53:S53"/>
    <mergeCell ref="D46:G46"/>
    <mergeCell ref="H46:K46"/>
    <mergeCell ref="L46:O46"/>
    <mergeCell ref="P46:S46"/>
    <mergeCell ref="B47:B48"/>
    <mergeCell ref="C47:C48"/>
    <mergeCell ref="D47:W47"/>
    <mergeCell ref="D48:W48"/>
    <mergeCell ref="D42:G42"/>
    <mergeCell ref="D43:G43"/>
    <mergeCell ref="H43:K43"/>
    <mergeCell ref="L43:O43"/>
    <mergeCell ref="D44:G44"/>
    <mergeCell ref="D45:G45"/>
    <mergeCell ref="H45:K45"/>
    <mergeCell ref="D39:G39"/>
    <mergeCell ref="H39:K39"/>
    <mergeCell ref="L39:O39"/>
    <mergeCell ref="P39:S39"/>
    <mergeCell ref="T39:W39"/>
    <mergeCell ref="B40:B41"/>
    <mergeCell ref="D36:G36"/>
    <mergeCell ref="H36:K36"/>
    <mergeCell ref="L36:O36"/>
    <mergeCell ref="P36:S36"/>
    <mergeCell ref="T36:W36"/>
    <mergeCell ref="C37:C38"/>
    <mergeCell ref="D37:W37"/>
    <mergeCell ref="D38:W38"/>
    <mergeCell ref="B31:B38"/>
    <mergeCell ref="D31:G31"/>
    <mergeCell ref="H31:K31"/>
    <mergeCell ref="L31:O31"/>
    <mergeCell ref="P31:S31"/>
    <mergeCell ref="T31:W31"/>
    <mergeCell ref="D32:G32"/>
    <mergeCell ref="H32:K32"/>
    <mergeCell ref="L32:O32"/>
    <mergeCell ref="P32:S32"/>
    <mergeCell ref="D34:G34"/>
    <mergeCell ref="H34:K34"/>
    <mergeCell ref="L34:O34"/>
    <mergeCell ref="P34:S34"/>
    <mergeCell ref="T34:W34"/>
    <mergeCell ref="D35:G35"/>
    <mergeCell ref="H35:K35"/>
    <mergeCell ref="L35:O35"/>
    <mergeCell ref="P35:S35"/>
    <mergeCell ref="T35:W35"/>
    <mergeCell ref="P26:S26"/>
    <mergeCell ref="T26:W26"/>
    <mergeCell ref="D27:G27"/>
    <mergeCell ref="H27:K27"/>
    <mergeCell ref="L27:O27"/>
    <mergeCell ref="P27:S27"/>
    <mergeCell ref="T27:W27"/>
    <mergeCell ref="T32:W32"/>
    <mergeCell ref="D33:G33"/>
    <mergeCell ref="H33:K33"/>
    <mergeCell ref="L33:O33"/>
    <mergeCell ref="P33:S33"/>
    <mergeCell ref="T33:W33"/>
    <mergeCell ref="X22:X48"/>
    <mergeCell ref="D23:G23"/>
    <mergeCell ref="H23:K23"/>
    <mergeCell ref="L23:O23"/>
    <mergeCell ref="P23:S23"/>
    <mergeCell ref="T23:W23"/>
    <mergeCell ref="D24:G24"/>
    <mergeCell ref="H24:K24"/>
    <mergeCell ref="D21:G21"/>
    <mergeCell ref="H21:K21"/>
    <mergeCell ref="L21:O21"/>
    <mergeCell ref="P21:S21"/>
    <mergeCell ref="T21:W21"/>
    <mergeCell ref="L24:O24"/>
    <mergeCell ref="P24:S24"/>
    <mergeCell ref="T24:W24"/>
    <mergeCell ref="D25:G25"/>
    <mergeCell ref="H25:K25"/>
    <mergeCell ref="L25:O25"/>
    <mergeCell ref="P25:S25"/>
    <mergeCell ref="T25:W25"/>
    <mergeCell ref="P22:S22"/>
    <mergeCell ref="T22:W22"/>
    <mergeCell ref="D28:W28"/>
    <mergeCell ref="A22:A48"/>
    <mergeCell ref="B22:B29"/>
    <mergeCell ref="D22:G22"/>
    <mergeCell ref="H22:K22"/>
    <mergeCell ref="L22:O22"/>
    <mergeCell ref="L14:O14"/>
    <mergeCell ref="P14:S14"/>
    <mergeCell ref="T14:W14"/>
    <mergeCell ref="B15:B18"/>
    <mergeCell ref="D15:W15"/>
    <mergeCell ref="D16:W16"/>
    <mergeCell ref="C17:C18"/>
    <mergeCell ref="D17:W17"/>
    <mergeCell ref="D18:W18"/>
    <mergeCell ref="C28:C29"/>
    <mergeCell ref="D29:W29"/>
    <mergeCell ref="D30:G30"/>
    <mergeCell ref="H30:K30"/>
    <mergeCell ref="L30:O30"/>
    <mergeCell ref="P30:S30"/>
    <mergeCell ref="T30:W30"/>
    <mergeCell ref="D26:G26"/>
    <mergeCell ref="H26:K26"/>
    <mergeCell ref="L26:O26"/>
    <mergeCell ref="B10:B13"/>
    <mergeCell ref="D10:W10"/>
    <mergeCell ref="D11:W11"/>
    <mergeCell ref="C12:C13"/>
    <mergeCell ref="D12:W12"/>
    <mergeCell ref="D13:W13"/>
    <mergeCell ref="A5:A18"/>
    <mergeCell ref="B5:B8"/>
    <mergeCell ref="D5:W5"/>
    <mergeCell ref="D6:W6"/>
    <mergeCell ref="C7:C8"/>
    <mergeCell ref="D7:W7"/>
    <mergeCell ref="D8:W8"/>
    <mergeCell ref="D9:G9"/>
    <mergeCell ref="H9:K9"/>
    <mergeCell ref="L9:O9"/>
    <mergeCell ref="D4:G4"/>
    <mergeCell ref="H4:K4"/>
    <mergeCell ref="L4:O4"/>
    <mergeCell ref="P4:S4"/>
    <mergeCell ref="T4:W4"/>
    <mergeCell ref="X4:X18"/>
    <mergeCell ref="P9:S9"/>
    <mergeCell ref="T9:W9"/>
    <mergeCell ref="D14:G14"/>
    <mergeCell ref="H14:K14"/>
  </mergeCells>
  <pageMargins left="0.39000000000000007" right="0.39000000000000007" top="0.39000000000000007" bottom="0.39000000000000007" header="0" footer="0"/>
  <pageSetup paperSize="9" scale="57" fitToHeight="10" orientation="landscape"/>
  <headerFooter>
    <oddFooter>&amp;L&amp;K000000&amp;F&amp;C&amp;K000000&amp;D&amp;R&amp;K000000Page &amp;P</oddFooter>
  </headerFooter>
  <legacy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9" tint="-0.249977111117893"/>
  </sheetPr>
  <dimension ref="A1:X254"/>
  <sheetViews>
    <sheetView workbookViewId="0">
      <pane xSplit="2" ySplit="1" topLeftCell="C145" activePane="bottomRight" state="frozen"/>
      <selection activeCell="A2" sqref="A2"/>
      <selection pane="topRight" activeCell="A2" sqref="A2"/>
      <selection pane="bottomLeft" activeCell="A2" sqref="A2"/>
      <selection pane="bottomRight" activeCell="A2" sqref="A2"/>
    </sheetView>
  </sheetViews>
  <sheetFormatPr defaultColWidth="8.85546875" defaultRowHeight="12.75"/>
  <cols>
    <col min="1" max="1" width="20.85546875" style="4" customWidth="1"/>
    <col min="2" max="2" width="40.85546875" style="4" customWidth="1"/>
    <col min="3" max="3" width="15.85546875" style="27" customWidth="1"/>
    <col min="4" max="23" width="5.85546875" style="4" customWidth="1"/>
    <col min="24" max="24" width="30.85546875" style="4" customWidth="1"/>
    <col min="25" max="16384" width="8.85546875" style="4"/>
  </cols>
  <sheetData>
    <row r="1" spans="1:24" s="67" customFormat="1" ht="32.25" thickBot="1">
      <c r="A1" s="3" t="s">
        <v>0</v>
      </c>
      <c r="B1" s="64" t="s">
        <v>231</v>
      </c>
      <c r="C1" s="65" t="s">
        <v>270</v>
      </c>
      <c r="D1" s="65"/>
      <c r="E1" s="65"/>
      <c r="F1" s="65"/>
      <c r="G1" s="65"/>
      <c r="H1" s="65"/>
      <c r="I1" s="65"/>
      <c r="J1" s="65"/>
      <c r="K1" s="65"/>
      <c r="L1" s="65"/>
      <c r="M1" s="65"/>
      <c r="N1" s="65"/>
      <c r="O1" s="65"/>
      <c r="P1" s="65"/>
      <c r="Q1" s="65"/>
      <c r="R1" s="65"/>
      <c r="S1" s="65"/>
      <c r="T1" s="65"/>
      <c r="U1" s="65"/>
      <c r="V1" s="65"/>
      <c r="W1" s="65"/>
      <c r="X1" s="66"/>
    </row>
    <row r="2" spans="1:24">
      <c r="A2" s="5"/>
      <c r="B2" s="5"/>
      <c r="C2" s="6"/>
      <c r="D2" s="5"/>
      <c r="E2" s="5"/>
      <c r="F2" s="5"/>
      <c r="G2" s="5"/>
      <c r="H2" s="5"/>
      <c r="I2" s="5"/>
      <c r="J2" s="5"/>
      <c r="K2" s="5"/>
      <c r="L2" s="5"/>
      <c r="M2" s="5"/>
      <c r="N2" s="5"/>
      <c r="O2" s="5"/>
      <c r="P2" s="5"/>
      <c r="Q2" s="5"/>
      <c r="R2" s="5"/>
      <c r="S2" s="5"/>
      <c r="T2" s="5"/>
      <c r="U2" s="5"/>
      <c r="V2" s="5"/>
      <c r="W2" s="5"/>
      <c r="X2" s="5"/>
    </row>
    <row r="3" spans="1:24" ht="13.5" thickBot="1">
      <c r="A3" s="5"/>
      <c r="B3" s="5"/>
      <c r="C3" s="6"/>
      <c r="D3" s="5"/>
      <c r="E3" s="5"/>
      <c r="F3" s="5"/>
      <c r="G3" s="5"/>
      <c r="H3" s="5"/>
      <c r="I3" s="5"/>
      <c r="J3" s="5"/>
      <c r="K3" s="5"/>
      <c r="L3" s="5"/>
      <c r="M3" s="5"/>
      <c r="N3" s="5"/>
      <c r="O3" s="5"/>
      <c r="P3" s="5"/>
      <c r="Q3" s="5"/>
      <c r="R3" s="5"/>
      <c r="S3" s="5"/>
      <c r="T3" s="5"/>
      <c r="U3" s="5"/>
      <c r="V3" s="5"/>
      <c r="W3" s="5"/>
      <c r="X3" s="5"/>
    </row>
    <row r="4" spans="1:24" ht="13.5" thickBot="1">
      <c r="A4" s="513" t="s">
        <v>50</v>
      </c>
      <c r="B4" s="514" t="s">
        <v>51</v>
      </c>
      <c r="C4" s="8"/>
      <c r="D4" s="927" t="s">
        <v>79</v>
      </c>
      <c r="E4" s="928"/>
      <c r="F4" s="928"/>
      <c r="G4" s="929"/>
      <c r="H4" s="927" t="s">
        <v>80</v>
      </c>
      <c r="I4" s="928"/>
      <c r="J4" s="928"/>
      <c r="K4" s="929"/>
      <c r="L4" s="927" t="s">
        <v>81</v>
      </c>
      <c r="M4" s="928"/>
      <c r="N4" s="928"/>
      <c r="O4" s="929"/>
      <c r="P4" s="927" t="s">
        <v>254</v>
      </c>
      <c r="Q4" s="928"/>
      <c r="R4" s="928"/>
      <c r="S4" s="929"/>
      <c r="T4" s="927" t="s">
        <v>76</v>
      </c>
      <c r="U4" s="928"/>
      <c r="V4" s="928"/>
      <c r="W4" s="929"/>
      <c r="X4" s="991"/>
    </row>
    <row r="5" spans="1:24" ht="13.5" thickBot="1">
      <c r="A5" s="868" t="s">
        <v>43</v>
      </c>
      <c r="B5" s="868" t="s">
        <v>46</v>
      </c>
      <c r="C5" s="9" t="s">
        <v>2</v>
      </c>
      <c r="D5" s="983" t="s">
        <v>82</v>
      </c>
      <c r="E5" s="984"/>
      <c r="F5" s="984"/>
      <c r="G5" s="984"/>
      <c r="H5" s="984"/>
      <c r="I5" s="984"/>
      <c r="J5" s="984"/>
      <c r="K5" s="984"/>
      <c r="L5" s="984"/>
      <c r="M5" s="984"/>
      <c r="N5" s="984"/>
      <c r="O5" s="984"/>
      <c r="P5" s="984"/>
      <c r="Q5" s="984"/>
      <c r="R5" s="984"/>
      <c r="S5" s="984"/>
      <c r="T5" s="984"/>
      <c r="U5" s="984"/>
      <c r="V5" s="984"/>
      <c r="W5" s="985"/>
      <c r="X5" s="992"/>
    </row>
    <row r="6" spans="1:24" ht="13.5" thickBot="1">
      <c r="A6" s="885"/>
      <c r="B6" s="885"/>
      <c r="C6" s="10" t="s">
        <v>3</v>
      </c>
      <c r="D6" s="986"/>
      <c r="E6" s="987"/>
      <c r="F6" s="987"/>
      <c r="G6" s="987"/>
      <c r="H6" s="987"/>
      <c r="I6" s="987"/>
      <c r="J6" s="987"/>
      <c r="K6" s="987"/>
      <c r="L6" s="987"/>
      <c r="M6" s="987"/>
      <c r="N6" s="987"/>
      <c r="O6" s="987"/>
      <c r="P6" s="987"/>
      <c r="Q6" s="987"/>
      <c r="R6" s="987"/>
      <c r="S6" s="987"/>
      <c r="T6" s="987"/>
      <c r="U6" s="987"/>
      <c r="V6" s="987"/>
      <c r="W6" s="988"/>
      <c r="X6" s="992"/>
    </row>
    <row r="7" spans="1:24" ht="13.5" thickBot="1">
      <c r="A7" s="885"/>
      <c r="B7" s="885"/>
      <c r="C7" s="998" t="s">
        <v>413</v>
      </c>
      <c r="D7" s="989" t="s">
        <v>4</v>
      </c>
      <c r="E7" s="990"/>
      <c r="F7" s="990"/>
      <c r="G7" s="990"/>
      <c r="H7" s="990"/>
      <c r="I7" s="990"/>
      <c r="J7" s="990"/>
      <c r="K7" s="990"/>
      <c r="L7" s="990"/>
      <c r="M7" s="990"/>
      <c r="N7" s="990"/>
      <c r="O7" s="990"/>
      <c r="P7" s="990"/>
      <c r="Q7" s="990"/>
      <c r="R7" s="990"/>
      <c r="S7" s="990"/>
      <c r="T7" s="990"/>
      <c r="U7" s="990"/>
      <c r="V7" s="990"/>
      <c r="W7" s="990"/>
      <c r="X7" s="992"/>
    </row>
    <row r="8" spans="1:24" ht="13.5" thickBot="1">
      <c r="A8" s="885"/>
      <c r="B8" s="869"/>
      <c r="C8" s="999"/>
      <c r="D8" s="930" t="s">
        <v>85</v>
      </c>
      <c r="E8" s="931"/>
      <c r="F8" s="931"/>
      <c r="G8" s="931"/>
      <c r="H8" s="931"/>
      <c r="I8" s="931"/>
      <c r="J8" s="931"/>
      <c r="K8" s="931"/>
      <c r="L8" s="931"/>
      <c r="M8" s="931"/>
      <c r="N8" s="931"/>
      <c r="O8" s="931"/>
      <c r="P8" s="931"/>
      <c r="Q8" s="931"/>
      <c r="R8" s="931"/>
      <c r="S8" s="931"/>
      <c r="T8" s="931"/>
      <c r="U8" s="931"/>
      <c r="V8" s="931"/>
      <c r="W8" s="932"/>
      <c r="X8" s="992"/>
    </row>
    <row r="9" spans="1:24" ht="13.5" thickBot="1">
      <c r="A9" s="885"/>
      <c r="B9" s="11" t="s">
        <v>52</v>
      </c>
      <c r="C9" s="12"/>
      <c r="D9" s="927" t="s">
        <v>79</v>
      </c>
      <c r="E9" s="928"/>
      <c r="F9" s="928"/>
      <c r="G9" s="929"/>
      <c r="H9" s="927" t="s">
        <v>80</v>
      </c>
      <c r="I9" s="928"/>
      <c r="J9" s="928"/>
      <c r="K9" s="929"/>
      <c r="L9" s="927" t="s">
        <v>81</v>
      </c>
      <c r="M9" s="928"/>
      <c r="N9" s="928"/>
      <c r="O9" s="929"/>
      <c r="P9" s="927" t="s">
        <v>254</v>
      </c>
      <c r="Q9" s="928"/>
      <c r="R9" s="928"/>
      <c r="S9" s="929"/>
      <c r="T9" s="927" t="s">
        <v>76</v>
      </c>
      <c r="U9" s="928"/>
      <c r="V9" s="928"/>
      <c r="W9" s="929"/>
      <c r="X9" s="992"/>
    </row>
    <row r="10" spans="1:24" ht="35.1" customHeight="1" thickBot="1">
      <c r="A10" s="885"/>
      <c r="B10" s="868" t="s">
        <v>45</v>
      </c>
      <c r="C10" s="13" t="s">
        <v>2</v>
      </c>
      <c r="D10" s="930" t="s">
        <v>86</v>
      </c>
      <c r="E10" s="931"/>
      <c r="F10" s="931"/>
      <c r="G10" s="931"/>
      <c r="H10" s="931"/>
      <c r="I10" s="931"/>
      <c r="J10" s="931"/>
      <c r="K10" s="931"/>
      <c r="L10" s="931"/>
      <c r="M10" s="931"/>
      <c r="N10" s="931"/>
      <c r="O10" s="931"/>
      <c r="P10" s="931"/>
      <c r="Q10" s="931"/>
      <c r="R10" s="931"/>
      <c r="S10" s="931"/>
      <c r="T10" s="931"/>
      <c r="U10" s="931"/>
      <c r="V10" s="931"/>
      <c r="W10" s="932"/>
      <c r="X10" s="992"/>
    </row>
    <row r="11" spans="1:24" ht="13.5" thickBot="1">
      <c r="A11" s="885"/>
      <c r="B11" s="885"/>
      <c r="C11" s="10" t="s">
        <v>3</v>
      </c>
      <c r="D11" s="986"/>
      <c r="E11" s="987"/>
      <c r="F11" s="987"/>
      <c r="G11" s="987"/>
      <c r="H11" s="987"/>
      <c r="I11" s="987"/>
      <c r="J11" s="987"/>
      <c r="K11" s="987"/>
      <c r="L11" s="987"/>
      <c r="M11" s="987"/>
      <c r="N11" s="987"/>
      <c r="O11" s="987"/>
      <c r="P11" s="987"/>
      <c r="Q11" s="987"/>
      <c r="R11" s="987"/>
      <c r="S11" s="987"/>
      <c r="T11" s="987"/>
      <c r="U11" s="987"/>
      <c r="V11" s="987"/>
      <c r="W11" s="988"/>
      <c r="X11" s="992"/>
    </row>
    <row r="12" spans="1:24" ht="13.5" thickBot="1">
      <c r="A12" s="885"/>
      <c r="B12" s="885"/>
      <c r="C12" s="998" t="s">
        <v>413</v>
      </c>
      <c r="D12" s="927" t="s">
        <v>4</v>
      </c>
      <c r="E12" s="928"/>
      <c r="F12" s="928"/>
      <c r="G12" s="928"/>
      <c r="H12" s="928"/>
      <c r="I12" s="928"/>
      <c r="J12" s="928"/>
      <c r="K12" s="928"/>
      <c r="L12" s="928"/>
      <c r="M12" s="928"/>
      <c r="N12" s="928"/>
      <c r="O12" s="928"/>
      <c r="P12" s="928"/>
      <c r="Q12" s="928"/>
      <c r="R12" s="928"/>
      <c r="S12" s="928"/>
      <c r="T12" s="928"/>
      <c r="U12" s="928"/>
      <c r="V12" s="928"/>
      <c r="W12" s="928"/>
      <c r="X12" s="992"/>
    </row>
    <row r="13" spans="1:24" ht="24" customHeight="1" thickBot="1">
      <c r="A13" s="885"/>
      <c r="B13" s="869"/>
      <c r="C13" s="999"/>
      <c r="D13" s="930" t="s">
        <v>87</v>
      </c>
      <c r="E13" s="931"/>
      <c r="F13" s="931"/>
      <c r="G13" s="931"/>
      <c r="H13" s="931"/>
      <c r="I13" s="931"/>
      <c r="J13" s="931"/>
      <c r="K13" s="931"/>
      <c r="L13" s="931"/>
      <c r="M13" s="931"/>
      <c r="N13" s="931"/>
      <c r="O13" s="931"/>
      <c r="P13" s="931"/>
      <c r="Q13" s="931"/>
      <c r="R13" s="931"/>
      <c r="S13" s="931"/>
      <c r="T13" s="931"/>
      <c r="U13" s="931"/>
      <c r="V13" s="931"/>
      <c r="W13" s="932"/>
      <c r="X13" s="992"/>
    </row>
    <row r="14" spans="1:24" ht="13.5" thickBot="1">
      <c r="A14" s="885"/>
      <c r="B14" s="11" t="s">
        <v>53</v>
      </c>
      <c r="C14" s="12"/>
      <c r="D14" s="927" t="s">
        <v>79</v>
      </c>
      <c r="E14" s="928"/>
      <c r="F14" s="928"/>
      <c r="G14" s="929"/>
      <c r="H14" s="927" t="s">
        <v>80</v>
      </c>
      <c r="I14" s="928"/>
      <c r="J14" s="928"/>
      <c r="K14" s="929"/>
      <c r="L14" s="927" t="s">
        <v>81</v>
      </c>
      <c r="M14" s="928"/>
      <c r="N14" s="928"/>
      <c r="O14" s="929"/>
      <c r="P14" s="927" t="s">
        <v>254</v>
      </c>
      <c r="Q14" s="928"/>
      <c r="R14" s="928"/>
      <c r="S14" s="929"/>
      <c r="T14" s="927" t="s">
        <v>76</v>
      </c>
      <c r="U14" s="928"/>
      <c r="V14" s="928"/>
      <c r="W14" s="929"/>
      <c r="X14" s="992"/>
    </row>
    <row r="15" spans="1:24" ht="13.5" thickBot="1">
      <c r="A15" s="885"/>
      <c r="B15" s="868" t="s">
        <v>44</v>
      </c>
      <c r="C15" s="9" t="s">
        <v>2</v>
      </c>
      <c r="D15" s="930" t="s">
        <v>83</v>
      </c>
      <c r="E15" s="931"/>
      <c r="F15" s="931"/>
      <c r="G15" s="931"/>
      <c r="H15" s="931"/>
      <c r="I15" s="931"/>
      <c r="J15" s="931"/>
      <c r="K15" s="931"/>
      <c r="L15" s="931"/>
      <c r="M15" s="931"/>
      <c r="N15" s="931"/>
      <c r="O15" s="931"/>
      <c r="P15" s="931"/>
      <c r="Q15" s="931"/>
      <c r="R15" s="931"/>
      <c r="S15" s="931"/>
      <c r="T15" s="931"/>
      <c r="U15" s="931"/>
      <c r="V15" s="931"/>
      <c r="W15" s="932"/>
      <c r="X15" s="992"/>
    </row>
    <row r="16" spans="1:24" ht="13.5" thickBot="1">
      <c r="A16" s="885"/>
      <c r="B16" s="885"/>
      <c r="C16" s="10" t="s">
        <v>3</v>
      </c>
      <c r="D16" s="986"/>
      <c r="E16" s="987"/>
      <c r="F16" s="987"/>
      <c r="G16" s="987"/>
      <c r="H16" s="987"/>
      <c r="I16" s="987"/>
      <c r="J16" s="987"/>
      <c r="K16" s="987"/>
      <c r="L16" s="987"/>
      <c r="M16" s="987"/>
      <c r="N16" s="987"/>
      <c r="O16" s="987"/>
      <c r="P16" s="987"/>
      <c r="Q16" s="987"/>
      <c r="R16" s="987"/>
      <c r="S16" s="987"/>
      <c r="T16" s="987"/>
      <c r="U16" s="987"/>
      <c r="V16" s="987"/>
      <c r="W16" s="988"/>
      <c r="X16" s="992"/>
    </row>
    <row r="17" spans="1:24" ht="13.5" thickBot="1">
      <c r="A17" s="885"/>
      <c r="B17" s="885"/>
      <c r="C17" s="998" t="s">
        <v>413</v>
      </c>
      <c r="D17" s="989" t="s">
        <v>4</v>
      </c>
      <c r="E17" s="990"/>
      <c r="F17" s="990"/>
      <c r="G17" s="990"/>
      <c r="H17" s="990"/>
      <c r="I17" s="990"/>
      <c r="J17" s="990"/>
      <c r="K17" s="990"/>
      <c r="L17" s="990"/>
      <c r="M17" s="990"/>
      <c r="N17" s="990"/>
      <c r="O17" s="990"/>
      <c r="P17" s="990"/>
      <c r="Q17" s="990"/>
      <c r="R17" s="990"/>
      <c r="S17" s="990"/>
      <c r="T17" s="990"/>
      <c r="U17" s="990"/>
      <c r="V17" s="990"/>
      <c r="W17" s="990"/>
      <c r="X17" s="992"/>
    </row>
    <row r="18" spans="1:24" ht="13.5" thickBot="1">
      <c r="A18" s="869"/>
      <c r="B18" s="869"/>
      <c r="C18" s="999"/>
      <c r="D18" s="930" t="s">
        <v>84</v>
      </c>
      <c r="E18" s="931"/>
      <c r="F18" s="931"/>
      <c r="G18" s="931"/>
      <c r="H18" s="931"/>
      <c r="I18" s="931"/>
      <c r="J18" s="931"/>
      <c r="K18" s="931"/>
      <c r="L18" s="931"/>
      <c r="M18" s="931"/>
      <c r="N18" s="931"/>
      <c r="O18" s="931"/>
      <c r="P18" s="931"/>
      <c r="Q18" s="931"/>
      <c r="R18" s="931"/>
      <c r="S18" s="931"/>
      <c r="T18" s="931"/>
      <c r="U18" s="931"/>
      <c r="V18" s="931"/>
      <c r="W18" s="932"/>
      <c r="X18" s="993"/>
    </row>
    <row r="19" spans="1:24">
      <c r="A19" s="5"/>
      <c r="B19" s="5"/>
      <c r="C19" s="14"/>
      <c r="D19" s="5"/>
      <c r="E19" s="5"/>
      <c r="F19" s="5"/>
      <c r="G19" s="5"/>
      <c r="H19" s="5"/>
      <c r="I19" s="5"/>
      <c r="J19" s="5"/>
      <c r="K19" s="5"/>
      <c r="L19" s="5"/>
      <c r="M19" s="5"/>
      <c r="N19" s="5"/>
      <c r="O19" s="5"/>
      <c r="P19" s="5"/>
      <c r="Q19" s="5"/>
      <c r="R19" s="5"/>
      <c r="S19" s="5"/>
      <c r="T19" s="5"/>
      <c r="U19" s="5"/>
      <c r="V19" s="5"/>
      <c r="W19" s="5"/>
      <c r="X19" s="5"/>
    </row>
    <row r="20" spans="1:24" ht="13.5" thickBot="1">
      <c r="A20" s="5"/>
      <c r="B20" s="5"/>
      <c r="C20" s="6"/>
      <c r="D20" s="5"/>
      <c r="E20" s="5"/>
      <c r="F20" s="5"/>
      <c r="G20" s="5"/>
      <c r="H20" s="5"/>
      <c r="I20" s="5"/>
      <c r="J20" s="5"/>
      <c r="K20" s="5"/>
      <c r="L20" s="5"/>
      <c r="M20" s="5"/>
      <c r="N20" s="5"/>
      <c r="O20" s="5"/>
      <c r="P20" s="5"/>
      <c r="Q20" s="5"/>
      <c r="R20" s="5"/>
      <c r="S20" s="5"/>
      <c r="T20" s="5"/>
      <c r="U20" s="5"/>
      <c r="V20" s="5"/>
      <c r="W20" s="5"/>
      <c r="X20" s="5"/>
    </row>
    <row r="21" spans="1:24" ht="13.5" thickBot="1">
      <c r="A21" s="15" t="s">
        <v>1</v>
      </c>
      <c r="B21" s="514" t="s">
        <v>24</v>
      </c>
      <c r="C21" s="8"/>
      <c r="D21" s="927" t="s">
        <v>78</v>
      </c>
      <c r="E21" s="928"/>
      <c r="F21" s="928"/>
      <c r="G21" s="929"/>
      <c r="H21" s="927" t="s">
        <v>77</v>
      </c>
      <c r="I21" s="928"/>
      <c r="J21" s="928"/>
      <c r="K21" s="929"/>
      <c r="L21" s="927" t="s">
        <v>81</v>
      </c>
      <c r="M21" s="928"/>
      <c r="N21" s="928"/>
      <c r="O21" s="929"/>
      <c r="P21" s="927" t="s">
        <v>254</v>
      </c>
      <c r="Q21" s="928"/>
      <c r="R21" s="928"/>
      <c r="S21" s="929"/>
      <c r="T21" s="1144" t="s">
        <v>908</v>
      </c>
      <c r="U21" s="1145"/>
      <c r="V21" s="1145"/>
      <c r="W21" s="1146"/>
      <c r="X21" s="16" t="s">
        <v>6</v>
      </c>
    </row>
    <row r="22" spans="1:24" ht="13.5" thickBot="1">
      <c r="A22" s="868" t="s">
        <v>47</v>
      </c>
      <c r="B22" s="868" t="s">
        <v>48</v>
      </c>
      <c r="C22" s="9" t="s">
        <v>235</v>
      </c>
      <c r="D22" s="1014">
        <v>2.1</v>
      </c>
      <c r="E22" s="1015"/>
      <c r="F22" s="1015"/>
      <c r="G22" s="1016"/>
      <c r="H22" s="1014">
        <v>2.1</v>
      </c>
      <c r="I22" s="1015"/>
      <c r="J22" s="1015"/>
      <c r="K22" s="1016"/>
      <c r="L22" s="1014">
        <v>2.7</v>
      </c>
      <c r="M22" s="1015"/>
      <c r="N22" s="1015"/>
      <c r="O22" s="1016"/>
      <c r="P22" s="1014">
        <v>3.1</v>
      </c>
      <c r="Q22" s="1015"/>
      <c r="R22" s="1015"/>
      <c r="S22" s="1016"/>
      <c r="T22" s="1039">
        <f>'LF for 2014 AR (original)'!P22+(2/3*('LF for 2014 AR (original)'!T22-'LF for 2014 AR (original)'!P22))</f>
        <v>3.1</v>
      </c>
      <c r="U22" s="1040"/>
      <c r="V22" s="1040"/>
      <c r="W22" s="1041"/>
      <c r="X22" s="873" t="s">
        <v>96</v>
      </c>
    </row>
    <row r="23" spans="1:24" ht="13.5" thickBot="1">
      <c r="A23" s="885"/>
      <c r="B23" s="885"/>
      <c r="C23" s="9" t="s">
        <v>233</v>
      </c>
      <c r="D23" s="1048" t="s">
        <v>414</v>
      </c>
      <c r="E23" s="1049"/>
      <c r="F23" s="1049"/>
      <c r="G23" s="1050"/>
      <c r="H23" s="1014">
        <v>2.2999999999999998</v>
      </c>
      <c r="I23" s="1015"/>
      <c r="J23" s="1015"/>
      <c r="K23" s="1016"/>
      <c r="L23" s="1014">
        <v>2.2999999999999998</v>
      </c>
      <c r="M23" s="1015"/>
      <c r="N23" s="1015"/>
      <c r="O23" s="1016"/>
      <c r="P23" s="1014">
        <v>2.5</v>
      </c>
      <c r="Q23" s="1015"/>
      <c r="R23" s="1015"/>
      <c r="S23" s="1016"/>
      <c r="T23" s="1039">
        <f>'LF for 2014 AR (original)'!P23+(2/3*('LF for 2014 AR (original)'!T23-'LF for 2014 AR (original)'!P23))</f>
        <v>2.6333333333333333</v>
      </c>
      <c r="U23" s="1040"/>
      <c r="V23" s="1040"/>
      <c r="W23" s="1041"/>
      <c r="X23" s="874"/>
    </row>
    <row r="24" spans="1:24" ht="12.95" customHeight="1" thickBot="1">
      <c r="A24" s="885"/>
      <c r="B24" s="885"/>
      <c r="C24" s="9" t="s">
        <v>234</v>
      </c>
      <c r="D24" s="957"/>
      <c r="E24" s="958"/>
      <c r="F24" s="958"/>
      <c r="G24" s="959"/>
      <c r="H24" s="957"/>
      <c r="I24" s="958"/>
      <c r="J24" s="958"/>
      <c r="K24" s="959"/>
      <c r="L24" s="1057" t="s">
        <v>909</v>
      </c>
      <c r="M24" s="1058"/>
      <c r="N24" s="1058"/>
      <c r="O24" s="1059"/>
      <c r="P24" s="1023">
        <f>'State Agg LFx3 (2014)'!P24</f>
        <v>2.6</v>
      </c>
      <c r="Q24" s="1024"/>
      <c r="R24" s="1024"/>
      <c r="S24" s="1025"/>
      <c r="T24" s="1023">
        <f>'State Agg LFx3 (2014)'!T24</f>
        <v>2.6</v>
      </c>
      <c r="U24" s="1024"/>
      <c r="V24" s="1024"/>
      <c r="W24" s="1025"/>
      <c r="X24" s="874"/>
    </row>
    <row r="25" spans="1:24" ht="13.5" thickBot="1">
      <c r="A25" s="885"/>
      <c r="B25" s="885"/>
      <c r="C25" s="102" t="s">
        <v>236</v>
      </c>
      <c r="D25" s="1045" t="s">
        <v>415</v>
      </c>
      <c r="E25" s="1046"/>
      <c r="F25" s="1046"/>
      <c r="G25" s="1047"/>
      <c r="H25" s="1020">
        <v>2.66</v>
      </c>
      <c r="I25" s="1021"/>
      <c r="J25" s="1021"/>
      <c r="K25" s="1022"/>
      <c r="L25" s="1020">
        <v>2.8</v>
      </c>
      <c r="M25" s="1021"/>
      <c r="N25" s="1021"/>
      <c r="O25" s="1022"/>
      <c r="P25" s="1020">
        <v>3.1800000000000006</v>
      </c>
      <c r="Q25" s="1021"/>
      <c r="R25" s="1021"/>
      <c r="S25" s="1022"/>
      <c r="T25" s="1020">
        <f>'State Agg LFx3 (2014)'!T25</f>
        <v>3.3200000000000003</v>
      </c>
      <c r="U25" s="1021"/>
      <c r="V25" s="1021"/>
      <c r="W25" s="1022"/>
      <c r="X25" s="874"/>
    </row>
    <row r="26" spans="1:24" ht="13.5" thickBot="1">
      <c r="A26" s="885"/>
      <c r="B26" s="885"/>
      <c r="C26" s="102" t="s">
        <v>283</v>
      </c>
      <c r="D26" s="1017"/>
      <c r="E26" s="1018"/>
      <c r="F26" s="1018"/>
      <c r="G26" s="1019"/>
      <c r="H26" s="1017"/>
      <c r="I26" s="1018"/>
      <c r="J26" s="1018"/>
      <c r="K26" s="1019"/>
      <c r="L26" s="1020">
        <v>2.2999999999999998</v>
      </c>
      <c r="M26" s="1021"/>
      <c r="N26" s="1021"/>
      <c r="O26" s="1022"/>
      <c r="P26" s="1020" t="s">
        <v>776</v>
      </c>
      <c r="Q26" s="1021"/>
      <c r="R26" s="1021"/>
      <c r="S26" s="1022"/>
      <c r="T26" s="1020">
        <f>'State Agg LFx3 (2014)'!T26</f>
        <v>2.9666666666666668</v>
      </c>
      <c r="U26" s="1021"/>
      <c r="V26" s="1021"/>
      <c r="W26" s="1022"/>
      <c r="X26" s="874"/>
    </row>
    <row r="27" spans="1:24" ht="13.5" thickBot="1">
      <c r="A27" s="885"/>
      <c r="B27" s="885"/>
      <c r="C27" s="102" t="s">
        <v>284</v>
      </c>
      <c r="D27" s="1017"/>
      <c r="E27" s="1018"/>
      <c r="F27" s="1018"/>
      <c r="G27" s="1019"/>
      <c r="H27" s="1017"/>
      <c r="I27" s="1018"/>
      <c r="J27" s="1018"/>
      <c r="K27" s="1019"/>
      <c r="L27" s="1017"/>
      <c r="M27" s="1018"/>
      <c r="N27" s="1018"/>
      <c r="O27" s="1019"/>
      <c r="P27" s="1017"/>
      <c r="Q27" s="1018"/>
      <c r="R27" s="1018"/>
      <c r="S27" s="1019"/>
      <c r="T27" s="1017"/>
      <c r="U27" s="1018"/>
      <c r="V27" s="1018"/>
      <c r="W27" s="1019"/>
      <c r="X27" s="874"/>
    </row>
    <row r="28" spans="1:24" ht="13.5" thickBot="1">
      <c r="A28" s="885"/>
      <c r="B28" s="885"/>
      <c r="C28" s="998" t="s">
        <v>413</v>
      </c>
      <c r="D28" s="927" t="s">
        <v>4</v>
      </c>
      <c r="E28" s="928"/>
      <c r="F28" s="928"/>
      <c r="G28" s="928"/>
      <c r="H28" s="928"/>
      <c r="I28" s="928"/>
      <c r="J28" s="928"/>
      <c r="K28" s="928"/>
      <c r="L28" s="928"/>
      <c r="M28" s="928"/>
      <c r="N28" s="928"/>
      <c r="O28" s="928"/>
      <c r="P28" s="928"/>
      <c r="Q28" s="928"/>
      <c r="R28" s="928"/>
      <c r="S28" s="928"/>
      <c r="T28" s="928"/>
      <c r="U28" s="928"/>
      <c r="V28" s="928"/>
      <c r="W28" s="928"/>
      <c r="X28" s="874"/>
    </row>
    <row r="29" spans="1:24" ht="13.5" thickBot="1">
      <c r="A29" s="885"/>
      <c r="B29" s="869"/>
      <c r="C29" s="999"/>
      <c r="D29" s="930" t="s">
        <v>115</v>
      </c>
      <c r="E29" s="931"/>
      <c r="F29" s="931"/>
      <c r="G29" s="931"/>
      <c r="H29" s="931"/>
      <c r="I29" s="931"/>
      <c r="J29" s="931"/>
      <c r="K29" s="931"/>
      <c r="L29" s="931"/>
      <c r="M29" s="931"/>
      <c r="N29" s="931"/>
      <c r="O29" s="931"/>
      <c r="P29" s="931"/>
      <c r="Q29" s="931"/>
      <c r="R29" s="931"/>
      <c r="S29" s="931"/>
      <c r="T29" s="931"/>
      <c r="U29" s="931"/>
      <c r="V29" s="931"/>
      <c r="W29" s="932"/>
      <c r="X29" s="874"/>
    </row>
    <row r="30" spans="1:24" ht="12.95" customHeight="1" thickBot="1">
      <c r="A30" s="885"/>
      <c r="B30" s="11" t="s">
        <v>25</v>
      </c>
      <c r="C30" s="12"/>
      <c r="D30" s="927" t="s">
        <v>78</v>
      </c>
      <c r="E30" s="928"/>
      <c r="F30" s="928"/>
      <c r="G30" s="929"/>
      <c r="H30" s="927" t="s">
        <v>77</v>
      </c>
      <c r="I30" s="928"/>
      <c r="J30" s="928"/>
      <c r="K30" s="929"/>
      <c r="L30" s="927" t="s">
        <v>81</v>
      </c>
      <c r="M30" s="928"/>
      <c r="N30" s="928"/>
      <c r="O30" s="929"/>
      <c r="P30" s="927" t="s">
        <v>254</v>
      </c>
      <c r="Q30" s="928"/>
      <c r="R30" s="928"/>
      <c r="S30" s="929"/>
      <c r="T30" s="1144" t="s">
        <v>908</v>
      </c>
      <c r="U30" s="1145"/>
      <c r="V30" s="1145"/>
      <c r="W30" s="1146"/>
      <c r="X30" s="874"/>
    </row>
    <row r="31" spans="1:24" ht="13.5" thickBot="1">
      <c r="A31" s="885"/>
      <c r="B31" s="868" t="s">
        <v>49</v>
      </c>
      <c r="C31" s="9" t="s">
        <v>235</v>
      </c>
      <c r="D31" s="1014">
        <v>1</v>
      </c>
      <c r="E31" s="1015"/>
      <c r="F31" s="1015"/>
      <c r="G31" s="1016"/>
      <c r="H31" s="1014">
        <v>1</v>
      </c>
      <c r="I31" s="1015"/>
      <c r="J31" s="1015"/>
      <c r="K31" s="1016"/>
      <c r="L31" s="1014">
        <v>1.45</v>
      </c>
      <c r="M31" s="1015"/>
      <c r="N31" s="1015"/>
      <c r="O31" s="1016"/>
      <c r="P31" s="1014">
        <v>1.8</v>
      </c>
      <c r="Q31" s="1015"/>
      <c r="R31" s="1015"/>
      <c r="S31" s="1016"/>
      <c r="T31" s="1039">
        <f>'LF for 2014 AR (original)'!P31+(2/3*('LF for 2014 AR (original)'!T31-'LF for 2014 AR (original)'!P31))</f>
        <v>2.1</v>
      </c>
      <c r="U31" s="1040"/>
      <c r="V31" s="1040"/>
      <c r="W31" s="1041"/>
      <c r="X31" s="874"/>
    </row>
    <row r="32" spans="1:24" ht="13.5" thickBot="1">
      <c r="A32" s="885"/>
      <c r="B32" s="885"/>
      <c r="C32" s="9" t="s">
        <v>233</v>
      </c>
      <c r="D32" s="1048" t="s">
        <v>414</v>
      </c>
      <c r="E32" s="1049"/>
      <c r="F32" s="1049"/>
      <c r="G32" s="1050"/>
      <c r="H32" s="1014">
        <v>1</v>
      </c>
      <c r="I32" s="1015"/>
      <c r="J32" s="1015"/>
      <c r="K32" s="1016"/>
      <c r="L32" s="1014">
        <v>1</v>
      </c>
      <c r="M32" s="1015"/>
      <c r="N32" s="1015"/>
      <c r="O32" s="1016"/>
      <c r="P32" s="1014">
        <v>1.2</v>
      </c>
      <c r="Q32" s="1015"/>
      <c r="R32" s="1015"/>
      <c r="S32" s="1016"/>
      <c r="T32" s="1039">
        <f>'LF for 2014 AR (original)'!P32+(2/3*('LF for 2014 AR (original)'!T32-'LF for 2014 AR (original)'!P32))</f>
        <v>1.3333333333333333</v>
      </c>
      <c r="U32" s="1040"/>
      <c r="V32" s="1040"/>
      <c r="W32" s="1041"/>
      <c r="X32" s="874"/>
    </row>
    <row r="33" spans="1:24" ht="12.95" customHeight="1" thickBot="1">
      <c r="A33" s="885"/>
      <c r="B33" s="885"/>
      <c r="C33" s="9" t="s">
        <v>234</v>
      </c>
      <c r="D33" s="957"/>
      <c r="E33" s="958"/>
      <c r="F33" s="958"/>
      <c r="G33" s="959"/>
      <c r="H33" s="957"/>
      <c r="I33" s="958"/>
      <c r="J33" s="958"/>
      <c r="K33" s="959"/>
      <c r="L33" s="1057" t="s">
        <v>909</v>
      </c>
      <c r="M33" s="1058"/>
      <c r="N33" s="1058"/>
      <c r="O33" s="1059"/>
      <c r="P33" s="1023">
        <f>'State Agg LFx3 (2014)'!P33</f>
        <v>0.6</v>
      </c>
      <c r="Q33" s="1024"/>
      <c r="R33" s="1024"/>
      <c r="S33" s="1025"/>
      <c r="T33" s="1023">
        <f>'State Agg LFx3 (2014)'!T33</f>
        <v>0.6</v>
      </c>
      <c r="U33" s="1024"/>
      <c r="V33" s="1024"/>
      <c r="W33" s="1025"/>
      <c r="X33" s="874"/>
    </row>
    <row r="34" spans="1:24" ht="13.5" thickBot="1">
      <c r="A34" s="885"/>
      <c r="B34" s="885"/>
      <c r="C34" s="102" t="s">
        <v>236</v>
      </c>
      <c r="D34" s="1008" t="s">
        <v>416</v>
      </c>
      <c r="E34" s="1009"/>
      <c r="F34" s="1009"/>
      <c r="G34" s="1010"/>
      <c r="H34" s="1020">
        <v>1.6</v>
      </c>
      <c r="I34" s="1021"/>
      <c r="J34" s="1021"/>
      <c r="K34" s="1022"/>
      <c r="L34" s="1020">
        <v>2.2000000000000002</v>
      </c>
      <c r="M34" s="1021"/>
      <c r="N34" s="1021"/>
      <c r="O34" s="1022"/>
      <c r="P34" s="1020">
        <v>2.6</v>
      </c>
      <c r="Q34" s="1021"/>
      <c r="R34" s="1021"/>
      <c r="S34" s="1022"/>
      <c r="T34" s="1020">
        <f>'State Agg LFx3 (2014)'!T34</f>
        <v>2.8519999999999994</v>
      </c>
      <c r="U34" s="1021"/>
      <c r="V34" s="1021"/>
      <c r="W34" s="1022"/>
      <c r="X34" s="874"/>
    </row>
    <row r="35" spans="1:24" ht="13.5" thickBot="1">
      <c r="A35" s="885"/>
      <c r="B35" s="885"/>
      <c r="C35" s="102" t="s">
        <v>283</v>
      </c>
      <c r="D35" s="1017"/>
      <c r="E35" s="1018"/>
      <c r="F35" s="1018"/>
      <c r="G35" s="1019"/>
      <c r="H35" s="1017"/>
      <c r="I35" s="1018"/>
      <c r="J35" s="1018"/>
      <c r="K35" s="1019"/>
      <c r="L35" s="1020">
        <v>1</v>
      </c>
      <c r="M35" s="1021"/>
      <c r="N35" s="1021"/>
      <c r="O35" s="1022"/>
      <c r="P35" s="1020">
        <v>1.8333333333333333</v>
      </c>
      <c r="Q35" s="1021"/>
      <c r="R35" s="1021"/>
      <c r="S35" s="1022"/>
      <c r="T35" s="1020">
        <f>'State Agg LFx3 (2014)'!T35</f>
        <v>2.9333333333333336</v>
      </c>
      <c r="U35" s="1021"/>
      <c r="V35" s="1021"/>
      <c r="W35" s="1022"/>
      <c r="X35" s="874"/>
    </row>
    <row r="36" spans="1:24" ht="13.5" thickBot="1">
      <c r="A36" s="885"/>
      <c r="B36" s="885"/>
      <c r="C36" s="102" t="s">
        <v>284</v>
      </c>
      <c r="D36" s="1017"/>
      <c r="E36" s="1018"/>
      <c r="F36" s="1018"/>
      <c r="G36" s="1019"/>
      <c r="H36" s="1017"/>
      <c r="I36" s="1018"/>
      <c r="J36" s="1018"/>
      <c r="K36" s="1019"/>
      <c r="L36" s="1017"/>
      <c r="M36" s="1018"/>
      <c r="N36" s="1018"/>
      <c r="O36" s="1019"/>
      <c r="P36" s="1017"/>
      <c r="Q36" s="1018"/>
      <c r="R36" s="1018"/>
      <c r="S36" s="1019"/>
      <c r="T36" s="1017"/>
      <c r="U36" s="1018"/>
      <c r="V36" s="1018"/>
      <c r="W36" s="1019"/>
      <c r="X36" s="874"/>
    </row>
    <row r="37" spans="1:24" ht="13.5" thickBot="1">
      <c r="A37" s="885"/>
      <c r="B37" s="885"/>
      <c r="C37" s="998" t="s">
        <v>413</v>
      </c>
      <c r="D37" s="927" t="s">
        <v>4</v>
      </c>
      <c r="E37" s="928"/>
      <c r="F37" s="928"/>
      <c r="G37" s="928"/>
      <c r="H37" s="928"/>
      <c r="I37" s="928"/>
      <c r="J37" s="928"/>
      <c r="K37" s="928"/>
      <c r="L37" s="928"/>
      <c r="M37" s="928"/>
      <c r="N37" s="928"/>
      <c r="O37" s="928"/>
      <c r="P37" s="928"/>
      <c r="Q37" s="928"/>
      <c r="R37" s="928"/>
      <c r="S37" s="928"/>
      <c r="T37" s="928"/>
      <c r="U37" s="928"/>
      <c r="V37" s="928"/>
      <c r="W37" s="928"/>
      <c r="X37" s="874"/>
    </row>
    <row r="38" spans="1:24" ht="13.5" thickBot="1">
      <c r="A38" s="885"/>
      <c r="B38" s="869"/>
      <c r="C38" s="999"/>
      <c r="D38" s="930" t="s">
        <v>116</v>
      </c>
      <c r="E38" s="931"/>
      <c r="F38" s="931"/>
      <c r="G38" s="931"/>
      <c r="H38" s="931"/>
      <c r="I38" s="931"/>
      <c r="J38" s="931"/>
      <c r="K38" s="931"/>
      <c r="L38" s="931"/>
      <c r="M38" s="931"/>
      <c r="N38" s="931"/>
      <c r="O38" s="931"/>
      <c r="P38" s="931"/>
      <c r="Q38" s="931"/>
      <c r="R38" s="931"/>
      <c r="S38" s="931"/>
      <c r="T38" s="931"/>
      <c r="U38" s="931"/>
      <c r="V38" s="931"/>
      <c r="W38" s="932"/>
      <c r="X38" s="874"/>
    </row>
    <row r="39" spans="1:24" ht="12.95" customHeight="1" thickBot="1">
      <c r="A39" s="885"/>
      <c r="B39" s="11" t="s">
        <v>37</v>
      </c>
      <c r="C39" s="12"/>
      <c r="D39" s="927" t="s">
        <v>78</v>
      </c>
      <c r="E39" s="928"/>
      <c r="F39" s="928"/>
      <c r="G39" s="929"/>
      <c r="H39" s="927" t="s">
        <v>77</v>
      </c>
      <c r="I39" s="928"/>
      <c r="J39" s="928"/>
      <c r="K39" s="929"/>
      <c r="L39" s="927" t="s">
        <v>81</v>
      </c>
      <c r="M39" s="928"/>
      <c r="N39" s="928"/>
      <c r="O39" s="929"/>
      <c r="P39" s="927" t="s">
        <v>254</v>
      </c>
      <c r="Q39" s="928"/>
      <c r="R39" s="928"/>
      <c r="S39" s="929"/>
      <c r="T39" s="1144" t="s">
        <v>908</v>
      </c>
      <c r="U39" s="1145"/>
      <c r="V39" s="1145"/>
      <c r="W39" s="1146"/>
      <c r="X39" s="874"/>
    </row>
    <row r="40" spans="1:24" ht="33" customHeight="1" thickBot="1">
      <c r="A40" s="971"/>
      <c r="B40" s="868" t="s">
        <v>148</v>
      </c>
      <c r="C40" s="91"/>
      <c r="D40" s="17" t="s">
        <v>106</v>
      </c>
      <c r="E40" s="17" t="s">
        <v>107</v>
      </c>
      <c r="F40" s="17" t="s">
        <v>108</v>
      </c>
      <c r="G40" s="17" t="s">
        <v>109</v>
      </c>
      <c r="H40" s="17" t="s">
        <v>106</v>
      </c>
      <c r="I40" s="17" t="s">
        <v>107</v>
      </c>
      <c r="J40" s="17" t="s">
        <v>108</v>
      </c>
      <c r="K40" s="17" t="s">
        <v>109</v>
      </c>
      <c r="L40" s="17" t="s">
        <v>106</v>
      </c>
      <c r="M40" s="17" t="s">
        <v>107</v>
      </c>
      <c r="N40" s="17" t="s">
        <v>108</v>
      </c>
      <c r="O40" s="17" t="s">
        <v>109</v>
      </c>
      <c r="P40" s="17" t="s">
        <v>106</v>
      </c>
      <c r="Q40" s="17" t="s">
        <v>107</v>
      </c>
      <c r="R40" s="17" t="s">
        <v>108</v>
      </c>
      <c r="S40" s="17" t="s">
        <v>109</v>
      </c>
      <c r="T40" s="17" t="s">
        <v>106</v>
      </c>
      <c r="U40" s="17" t="s">
        <v>107</v>
      </c>
      <c r="V40" s="17" t="s">
        <v>108</v>
      </c>
      <c r="W40" s="17" t="s">
        <v>109</v>
      </c>
      <c r="X40" s="874"/>
    </row>
    <row r="41" spans="1:24" ht="13.5" thickBot="1">
      <c r="A41" s="971"/>
      <c r="B41" s="885"/>
      <c r="C41" s="91" t="s">
        <v>235</v>
      </c>
      <c r="D41" s="113">
        <v>2.6</v>
      </c>
      <c r="E41" s="113">
        <v>3</v>
      </c>
      <c r="F41" s="113">
        <v>0.2</v>
      </c>
      <c r="G41" s="113">
        <v>6</v>
      </c>
      <c r="H41" s="113">
        <v>6.6</v>
      </c>
      <c r="I41" s="113">
        <v>8</v>
      </c>
      <c r="J41" s="113">
        <v>0.6</v>
      </c>
      <c r="K41" s="113">
        <v>10.199999999999999</v>
      </c>
      <c r="L41" s="113">
        <v>6</v>
      </c>
      <c r="M41" s="113">
        <v>9.1999999999999993</v>
      </c>
      <c r="N41" s="113">
        <v>2.6</v>
      </c>
      <c r="O41" s="113">
        <v>12.2</v>
      </c>
      <c r="P41" s="113">
        <v>8.1999999999999993</v>
      </c>
      <c r="Q41" s="113">
        <v>11</v>
      </c>
      <c r="R41" s="113">
        <v>3.8</v>
      </c>
      <c r="S41" s="238">
        <v>12.6</v>
      </c>
      <c r="T41" s="515">
        <f>'LF for 2014 AR (original)'!P41+(2/3*('LF for 2014 AR (original)'!T41-'LF for 2014 AR (original)'!P41))</f>
        <v>10.066666666666666</v>
      </c>
      <c r="U41" s="515">
        <f>'LF for 2014 AR (original)'!Q41+(2/3*('LF for 2014 AR (original)'!U41-'LF for 2014 AR (original)'!Q41))</f>
        <v>12.333333333333334</v>
      </c>
      <c r="V41" s="515">
        <f>'LF for 2014 AR (original)'!R41+(2/3*('LF for 2014 AR (original)'!V41-'LF for 2014 AR (original)'!R41))</f>
        <v>5.9333333333333336</v>
      </c>
      <c r="W41" s="515">
        <f>'LF for 2014 AR (original)'!S41+(2/3*('LF for 2014 AR (original)'!W41-'LF for 2014 AR (original)'!S41))</f>
        <v>14.133333333333333</v>
      </c>
      <c r="X41" s="874"/>
    </row>
    <row r="42" spans="1:24" ht="13.5" thickBot="1">
      <c r="A42" s="971"/>
      <c r="B42" s="501" t="s">
        <v>145</v>
      </c>
      <c r="C42" s="91" t="s">
        <v>233</v>
      </c>
      <c r="D42" s="1051" t="s">
        <v>414</v>
      </c>
      <c r="E42" s="1052"/>
      <c r="F42" s="1052"/>
      <c r="G42" s="1053"/>
      <c r="H42" s="113">
        <v>0</v>
      </c>
      <c r="I42" s="113">
        <v>0</v>
      </c>
      <c r="J42" s="113">
        <v>0</v>
      </c>
      <c r="K42" s="113">
        <v>14</v>
      </c>
      <c r="L42" s="113">
        <v>0</v>
      </c>
      <c r="M42" s="113">
        <v>1</v>
      </c>
      <c r="N42" s="113">
        <v>0</v>
      </c>
      <c r="O42" s="113">
        <v>14</v>
      </c>
      <c r="P42" s="113">
        <v>2.2999999999999998</v>
      </c>
      <c r="Q42" s="113">
        <v>2.2999999999999998</v>
      </c>
      <c r="R42" s="113">
        <v>2</v>
      </c>
      <c r="S42" s="150">
        <v>14</v>
      </c>
      <c r="T42" s="515">
        <f>'LF for 2014 AR (original)'!P42+(2/3*('LF for 2014 AR (original)'!T42-'LF for 2014 AR (original)'!P42))</f>
        <v>4.0999999999999996</v>
      </c>
      <c r="U42" s="515">
        <f>'LF for 2014 AR (original)'!Q42+(2/3*('LF for 2014 AR (original)'!U42-'LF for 2014 AR (original)'!Q42))</f>
        <v>4.0999999999999996</v>
      </c>
      <c r="V42" s="515">
        <f>'LF for 2014 AR (original)'!R42+(2/3*('LF for 2014 AR (original)'!V42-'LF for 2014 AR (original)'!R42))</f>
        <v>2.8666666666666663</v>
      </c>
      <c r="W42" s="515">
        <f>'LF for 2014 AR (original)'!S42+(2/3*('LF for 2014 AR (original)'!W42-'LF for 2014 AR (original)'!S42))</f>
        <v>14.466666666666667</v>
      </c>
      <c r="X42" s="874"/>
    </row>
    <row r="43" spans="1:24" ht="12.95" customHeight="1" thickBot="1">
      <c r="A43" s="971"/>
      <c r="B43" s="501" t="s">
        <v>147</v>
      </c>
      <c r="C43" s="91" t="s">
        <v>234</v>
      </c>
      <c r="D43" s="945"/>
      <c r="E43" s="946"/>
      <c r="F43" s="946"/>
      <c r="G43" s="947"/>
      <c r="H43" s="957"/>
      <c r="I43" s="958"/>
      <c r="J43" s="958"/>
      <c r="K43" s="959"/>
      <c r="L43" s="1057" t="s">
        <v>910</v>
      </c>
      <c r="M43" s="1058"/>
      <c r="N43" s="1058"/>
      <c r="O43" s="1059"/>
      <c r="P43" s="114">
        <f>'State Agg LFx3 (2014)'!P43</f>
        <v>13.5</v>
      </c>
      <c r="Q43" s="114">
        <f>'State Agg LFx3 (2014)'!Q43</f>
        <v>13.5</v>
      </c>
      <c r="R43" s="114">
        <f>'State Agg LFx3 (2014)'!R43</f>
        <v>12</v>
      </c>
      <c r="S43" s="114">
        <f>'State Agg LFx3 (2014)'!S43</f>
        <v>13.5</v>
      </c>
      <c r="T43" s="114">
        <f>'State Agg LFx3 (2014)'!T43</f>
        <v>13.5</v>
      </c>
      <c r="U43" s="114">
        <f>'State Agg LFx3 (2014)'!U43</f>
        <v>13.5</v>
      </c>
      <c r="V43" s="114">
        <f>'State Agg LFx3 (2014)'!V43</f>
        <v>12</v>
      </c>
      <c r="W43" s="114">
        <f>'State Agg LFx3 (2014)'!W43</f>
        <v>13.5</v>
      </c>
      <c r="X43" s="874"/>
    </row>
    <row r="44" spans="1:24" ht="13.5" thickBot="1">
      <c r="A44" s="971"/>
      <c r="B44" s="501" t="s">
        <v>146</v>
      </c>
      <c r="C44" s="103" t="s">
        <v>236</v>
      </c>
      <c r="D44" s="1042" t="s">
        <v>416</v>
      </c>
      <c r="E44" s="1043"/>
      <c r="F44" s="1043"/>
      <c r="G44" s="1044"/>
      <c r="H44" s="117">
        <v>8.1999999999999993</v>
      </c>
      <c r="I44" s="117">
        <v>8</v>
      </c>
      <c r="J44" s="117">
        <v>3.8</v>
      </c>
      <c r="K44" s="117">
        <v>12</v>
      </c>
      <c r="L44" s="117">
        <v>6</v>
      </c>
      <c r="M44" s="117">
        <v>9</v>
      </c>
      <c r="N44" s="117">
        <v>2</v>
      </c>
      <c r="O44" s="117">
        <v>14</v>
      </c>
      <c r="P44" s="117">
        <v>7.4</v>
      </c>
      <c r="Q44" s="117">
        <v>10.4</v>
      </c>
      <c r="R44" s="117">
        <v>2.2000000000000002</v>
      </c>
      <c r="S44" s="117">
        <v>14.4</v>
      </c>
      <c r="T44" s="188">
        <f>'State Agg LFx3 (2014)'!T44</f>
        <v>7.4</v>
      </c>
      <c r="U44" s="188">
        <f>'State Agg LFx3 (2014)'!U44</f>
        <v>10.6</v>
      </c>
      <c r="V44" s="188">
        <f>'State Agg LFx3 (2014)'!V44</f>
        <v>12.6</v>
      </c>
      <c r="W44" s="188">
        <f>'State Agg LFx3 (2014)'!W44</f>
        <v>14.419999999999998</v>
      </c>
      <c r="X44" s="874"/>
    </row>
    <row r="45" spans="1:24" ht="13.5" thickBot="1">
      <c r="A45" s="971"/>
      <c r="B45" s="501"/>
      <c r="C45" s="102" t="s">
        <v>283</v>
      </c>
      <c r="D45" s="1054"/>
      <c r="E45" s="1055"/>
      <c r="F45" s="1055"/>
      <c r="G45" s="1056"/>
      <c r="H45" s="1054"/>
      <c r="I45" s="1055"/>
      <c r="J45" s="1055"/>
      <c r="K45" s="1056"/>
      <c r="L45" s="117">
        <v>0</v>
      </c>
      <c r="M45" s="117">
        <v>1</v>
      </c>
      <c r="N45" s="117">
        <v>0</v>
      </c>
      <c r="O45" s="117">
        <v>14</v>
      </c>
      <c r="P45" s="117">
        <v>2.6666666666666665</v>
      </c>
      <c r="Q45" s="117">
        <v>2.6666666666666665</v>
      </c>
      <c r="R45" s="117">
        <v>0.66666666666666663</v>
      </c>
      <c r="S45" s="117">
        <v>14.333333333333334</v>
      </c>
      <c r="T45" s="188">
        <f>'State Agg LFx3 (2014)'!T45</f>
        <v>5.666666666666667</v>
      </c>
      <c r="U45" s="188">
        <f>'State Agg LFx3 (2014)'!U45</f>
        <v>5.333333333333333</v>
      </c>
      <c r="V45" s="188">
        <f>'State Agg LFx3 (2014)'!V45</f>
        <v>12</v>
      </c>
      <c r="W45" s="188">
        <f>'State Agg LFx3 (2014)'!W45</f>
        <v>14.333333333333334</v>
      </c>
      <c r="X45" s="874"/>
    </row>
    <row r="46" spans="1:24" ht="13.5" thickBot="1">
      <c r="A46" s="971"/>
      <c r="B46" s="501"/>
      <c r="C46" s="102" t="s">
        <v>284</v>
      </c>
      <c r="D46" s="1054"/>
      <c r="E46" s="1055"/>
      <c r="F46" s="1055"/>
      <c r="G46" s="1056"/>
      <c r="H46" s="1054"/>
      <c r="I46" s="1055"/>
      <c r="J46" s="1055"/>
      <c r="K46" s="1056"/>
      <c r="L46" s="1054"/>
      <c r="M46" s="1055"/>
      <c r="N46" s="1055"/>
      <c r="O46" s="1056"/>
      <c r="P46" s="1017"/>
      <c r="Q46" s="1018"/>
      <c r="R46" s="1018"/>
      <c r="S46" s="1019"/>
      <c r="T46" s="1017"/>
      <c r="U46" s="1018"/>
      <c r="V46" s="1018"/>
      <c r="W46" s="1019"/>
      <c r="X46" s="874"/>
    </row>
    <row r="47" spans="1:24" ht="13.5" thickBot="1">
      <c r="A47" s="971"/>
      <c r="B47" s="980"/>
      <c r="C47" s="998" t="s">
        <v>413</v>
      </c>
      <c r="D47" s="927" t="s">
        <v>4</v>
      </c>
      <c r="E47" s="928"/>
      <c r="F47" s="928"/>
      <c r="G47" s="928"/>
      <c r="H47" s="928"/>
      <c r="I47" s="928"/>
      <c r="J47" s="928"/>
      <c r="K47" s="928"/>
      <c r="L47" s="928"/>
      <c r="M47" s="928"/>
      <c r="N47" s="928"/>
      <c r="O47" s="928"/>
      <c r="P47" s="928"/>
      <c r="Q47" s="928"/>
      <c r="R47" s="928"/>
      <c r="S47" s="928"/>
      <c r="T47" s="928"/>
      <c r="U47" s="928"/>
      <c r="V47" s="928"/>
      <c r="W47" s="928"/>
      <c r="X47" s="874"/>
    </row>
    <row r="48" spans="1:24" ht="13.5" thickBot="1">
      <c r="A48" s="982"/>
      <c r="B48" s="981"/>
      <c r="C48" s="999"/>
      <c r="D48" s="930" t="s">
        <v>117</v>
      </c>
      <c r="E48" s="931"/>
      <c r="F48" s="931"/>
      <c r="G48" s="931"/>
      <c r="H48" s="931"/>
      <c r="I48" s="931"/>
      <c r="J48" s="931"/>
      <c r="K48" s="931"/>
      <c r="L48" s="931"/>
      <c r="M48" s="931"/>
      <c r="N48" s="931"/>
      <c r="O48" s="931"/>
      <c r="P48" s="931"/>
      <c r="Q48" s="931"/>
      <c r="R48" s="931"/>
      <c r="S48" s="931"/>
      <c r="T48" s="931"/>
      <c r="U48" s="931"/>
      <c r="V48" s="931"/>
      <c r="W48" s="932"/>
      <c r="X48" s="875"/>
    </row>
    <row r="49" spans="1:24">
      <c r="A49" s="5"/>
      <c r="B49" s="5"/>
      <c r="C49" s="14"/>
      <c r="D49" s="5"/>
      <c r="E49" s="5"/>
      <c r="F49" s="5"/>
      <c r="G49" s="5"/>
      <c r="H49" s="5"/>
      <c r="I49" s="5"/>
      <c r="J49" s="5"/>
      <c r="K49" s="5"/>
      <c r="L49" s="5"/>
      <c r="M49" s="5"/>
      <c r="N49" s="5"/>
      <c r="O49" s="5"/>
      <c r="P49" s="5"/>
      <c r="Q49" s="5"/>
      <c r="R49" s="5"/>
      <c r="S49" s="5"/>
      <c r="T49" s="5"/>
      <c r="U49" s="5"/>
      <c r="V49" s="5"/>
      <c r="W49" s="5"/>
      <c r="X49" s="5"/>
    </row>
    <row r="50" spans="1:24" ht="13.5" thickBot="1">
      <c r="A50" s="5"/>
      <c r="B50" s="5"/>
      <c r="C50" s="6"/>
      <c r="D50" s="5"/>
      <c r="E50" s="5"/>
      <c r="F50" s="5"/>
      <c r="G50" s="5"/>
      <c r="H50" s="5"/>
      <c r="I50" s="5"/>
      <c r="J50" s="5"/>
      <c r="K50" s="5"/>
      <c r="L50" s="5"/>
      <c r="M50" s="5"/>
      <c r="N50" s="5"/>
      <c r="O50" s="5"/>
      <c r="P50" s="5"/>
      <c r="Q50" s="5"/>
      <c r="R50" s="5"/>
      <c r="S50" s="5"/>
      <c r="T50" s="5"/>
      <c r="U50" s="5"/>
      <c r="V50" s="5"/>
      <c r="W50" s="5"/>
      <c r="X50" s="5"/>
    </row>
    <row r="51" spans="1:24" ht="12.95" customHeight="1" thickBot="1">
      <c r="A51" s="513" t="s">
        <v>5</v>
      </c>
      <c r="B51" s="514" t="s">
        <v>22</v>
      </c>
      <c r="C51" s="8"/>
      <c r="D51" s="927" t="s">
        <v>78</v>
      </c>
      <c r="E51" s="928"/>
      <c r="F51" s="928"/>
      <c r="G51" s="929"/>
      <c r="H51" s="927" t="s">
        <v>77</v>
      </c>
      <c r="I51" s="928"/>
      <c r="J51" s="928"/>
      <c r="K51" s="929"/>
      <c r="L51" s="927" t="s">
        <v>81</v>
      </c>
      <c r="M51" s="928"/>
      <c r="N51" s="928"/>
      <c r="O51" s="929"/>
      <c r="P51" s="927" t="s">
        <v>254</v>
      </c>
      <c r="Q51" s="928"/>
      <c r="R51" s="928"/>
      <c r="S51" s="929"/>
      <c r="T51" s="1144" t="s">
        <v>908</v>
      </c>
      <c r="U51" s="1145"/>
      <c r="V51" s="1145"/>
      <c r="W51" s="1146"/>
      <c r="X51" s="19" t="s">
        <v>6</v>
      </c>
    </row>
    <row r="52" spans="1:24" ht="13.5" thickBot="1">
      <c r="A52" s="868" t="s">
        <v>54</v>
      </c>
      <c r="B52" s="868" t="s">
        <v>55</v>
      </c>
      <c r="C52" s="9" t="s">
        <v>235</v>
      </c>
      <c r="D52" s="1014">
        <v>2.1</v>
      </c>
      <c r="E52" s="1015"/>
      <c r="F52" s="1015"/>
      <c r="G52" s="1016"/>
      <c r="H52" s="1014">
        <v>2.2999999999999998</v>
      </c>
      <c r="I52" s="1015"/>
      <c r="J52" s="1015"/>
      <c r="K52" s="1016"/>
      <c r="L52" s="1014">
        <v>2.9</v>
      </c>
      <c r="M52" s="1015"/>
      <c r="N52" s="1015"/>
      <c r="O52" s="1016"/>
      <c r="P52" s="1014">
        <v>3.2</v>
      </c>
      <c r="Q52" s="1015"/>
      <c r="R52" s="1015"/>
      <c r="S52" s="1016"/>
      <c r="T52" s="1039">
        <f>'LF for 2014 AR (original)'!P52+(2/3*('LF for 2014 AR (original)'!T52-'LF for 2014 AR (original)'!P52))</f>
        <v>3.4666666666666668</v>
      </c>
      <c r="U52" s="1040"/>
      <c r="V52" s="1040"/>
      <c r="W52" s="1041"/>
      <c r="X52" s="879" t="s">
        <v>95</v>
      </c>
    </row>
    <row r="53" spans="1:24" ht="13.5" thickBot="1">
      <c r="A53" s="885"/>
      <c r="B53" s="885"/>
      <c r="C53" s="9" t="s">
        <v>233</v>
      </c>
      <c r="D53" s="1048" t="s">
        <v>414</v>
      </c>
      <c r="E53" s="1049"/>
      <c r="F53" s="1049"/>
      <c r="G53" s="1050"/>
      <c r="H53" s="1014">
        <v>2.2000000000000002</v>
      </c>
      <c r="I53" s="1015"/>
      <c r="J53" s="1015"/>
      <c r="K53" s="1016"/>
      <c r="L53" s="1014">
        <v>2.2000000000000002</v>
      </c>
      <c r="M53" s="1015"/>
      <c r="N53" s="1015"/>
      <c r="O53" s="1016"/>
      <c r="P53" s="1014">
        <v>2.35</v>
      </c>
      <c r="Q53" s="1015"/>
      <c r="R53" s="1015"/>
      <c r="S53" s="1016"/>
      <c r="T53" s="1039">
        <f>'LF for 2014 AR (original)'!P53+(2/3*('LF for 2014 AR (original)'!T53-'LF for 2014 AR (original)'!P53))</f>
        <v>2.6166666666666667</v>
      </c>
      <c r="U53" s="1040"/>
      <c r="V53" s="1040"/>
      <c r="W53" s="1041"/>
      <c r="X53" s="880"/>
    </row>
    <row r="54" spans="1:24" ht="12.95" customHeight="1" thickBot="1">
      <c r="A54" s="885"/>
      <c r="B54" s="885"/>
      <c r="C54" s="9" t="s">
        <v>234</v>
      </c>
      <c r="D54" s="957"/>
      <c r="E54" s="958"/>
      <c r="F54" s="958"/>
      <c r="G54" s="959"/>
      <c r="H54" s="957"/>
      <c r="I54" s="958"/>
      <c r="J54" s="958"/>
      <c r="K54" s="959"/>
      <c r="L54" s="1057" t="s">
        <v>909</v>
      </c>
      <c r="M54" s="1058"/>
      <c r="N54" s="1058"/>
      <c r="O54" s="1059"/>
      <c r="P54" s="1023">
        <f>'State Agg LFx3 (2014)'!P54</f>
        <v>2.2999999999999998</v>
      </c>
      <c r="Q54" s="1024"/>
      <c r="R54" s="1024"/>
      <c r="S54" s="1025"/>
      <c r="T54" s="1023">
        <f>'State Agg LFx3 (2014)'!T54</f>
        <v>2.2999999999999998</v>
      </c>
      <c r="U54" s="1024"/>
      <c r="V54" s="1024"/>
      <c r="W54" s="1025"/>
      <c r="X54" s="880"/>
    </row>
    <row r="55" spans="1:24" ht="13.5" thickBot="1">
      <c r="A55" s="885"/>
      <c r="B55" s="885"/>
      <c r="C55" s="102" t="s">
        <v>236</v>
      </c>
      <c r="D55" s="1045" t="s">
        <v>415</v>
      </c>
      <c r="E55" s="1046"/>
      <c r="F55" s="1046"/>
      <c r="G55" s="1047"/>
      <c r="H55" s="1020">
        <v>2.64</v>
      </c>
      <c r="I55" s="1021"/>
      <c r="J55" s="1021"/>
      <c r="K55" s="1022"/>
      <c r="L55" s="1020">
        <v>2.9</v>
      </c>
      <c r="M55" s="1021"/>
      <c r="N55" s="1021"/>
      <c r="O55" s="1022"/>
      <c r="P55" s="1020">
        <v>3.3200000000000003</v>
      </c>
      <c r="Q55" s="1021"/>
      <c r="R55" s="1021"/>
      <c r="S55" s="1022"/>
      <c r="T55" s="1020">
        <f>'State Agg LFx3 (2014)'!T55</f>
        <v>3.5200000000000005</v>
      </c>
      <c r="U55" s="1021"/>
      <c r="V55" s="1021"/>
      <c r="W55" s="1022"/>
      <c r="X55" s="880"/>
    </row>
    <row r="56" spans="1:24" ht="13.5" thickBot="1">
      <c r="A56" s="885"/>
      <c r="B56" s="885"/>
      <c r="C56" s="102" t="s">
        <v>283</v>
      </c>
      <c r="D56" s="1017"/>
      <c r="E56" s="1018"/>
      <c r="F56" s="1018"/>
      <c r="G56" s="1019"/>
      <c r="H56" s="1017"/>
      <c r="I56" s="1018"/>
      <c r="J56" s="1018"/>
      <c r="K56" s="1019"/>
      <c r="L56" s="1020">
        <v>2.2000000000000002</v>
      </c>
      <c r="M56" s="1021"/>
      <c r="N56" s="1021"/>
      <c r="O56" s="1022"/>
      <c r="P56" s="1020" t="s">
        <v>777</v>
      </c>
      <c r="Q56" s="1021"/>
      <c r="R56" s="1021"/>
      <c r="S56" s="1022"/>
      <c r="T56" s="1020">
        <f>'State Agg LFx3 (2014)'!T56</f>
        <v>3.5</v>
      </c>
      <c r="U56" s="1021"/>
      <c r="V56" s="1021"/>
      <c r="W56" s="1022"/>
      <c r="X56" s="880"/>
    </row>
    <row r="57" spans="1:24" ht="13.5" thickBot="1">
      <c r="A57" s="885"/>
      <c r="B57" s="885"/>
      <c r="C57" s="102" t="s">
        <v>284</v>
      </c>
      <c r="D57" s="1017"/>
      <c r="E57" s="1018"/>
      <c r="F57" s="1018"/>
      <c r="G57" s="1019"/>
      <c r="H57" s="1017"/>
      <c r="I57" s="1018"/>
      <c r="J57" s="1018"/>
      <c r="K57" s="1019"/>
      <c r="L57" s="1017"/>
      <c r="M57" s="1018"/>
      <c r="N57" s="1018"/>
      <c r="O57" s="1019"/>
      <c r="P57" s="1017"/>
      <c r="Q57" s="1018"/>
      <c r="R57" s="1018"/>
      <c r="S57" s="1019"/>
      <c r="T57" s="1017"/>
      <c r="U57" s="1018"/>
      <c r="V57" s="1018"/>
      <c r="W57" s="1019"/>
      <c r="X57" s="880"/>
    </row>
    <row r="58" spans="1:24" ht="13.5" thickBot="1">
      <c r="A58" s="885"/>
      <c r="B58" s="885"/>
      <c r="C58" s="998" t="s">
        <v>413</v>
      </c>
      <c r="D58" s="927" t="s">
        <v>4</v>
      </c>
      <c r="E58" s="928"/>
      <c r="F58" s="928"/>
      <c r="G58" s="928"/>
      <c r="H58" s="928"/>
      <c r="I58" s="928"/>
      <c r="J58" s="928"/>
      <c r="K58" s="928"/>
      <c r="L58" s="928"/>
      <c r="M58" s="928"/>
      <c r="N58" s="928"/>
      <c r="O58" s="928"/>
      <c r="P58" s="928"/>
      <c r="Q58" s="928"/>
      <c r="R58" s="928"/>
      <c r="S58" s="928"/>
      <c r="T58" s="928"/>
      <c r="U58" s="928"/>
      <c r="V58" s="928"/>
      <c r="W58" s="928"/>
      <c r="X58" s="880"/>
    </row>
    <row r="59" spans="1:24" ht="13.5" thickBot="1">
      <c r="A59" s="885"/>
      <c r="B59" s="869"/>
      <c r="C59" s="999"/>
      <c r="D59" s="930" t="s">
        <v>115</v>
      </c>
      <c r="E59" s="931"/>
      <c r="F59" s="931"/>
      <c r="G59" s="931"/>
      <c r="H59" s="931"/>
      <c r="I59" s="931"/>
      <c r="J59" s="931"/>
      <c r="K59" s="931"/>
      <c r="L59" s="931"/>
      <c r="M59" s="931"/>
      <c r="N59" s="931"/>
      <c r="O59" s="931"/>
      <c r="P59" s="931"/>
      <c r="Q59" s="931"/>
      <c r="R59" s="931"/>
      <c r="S59" s="931"/>
      <c r="T59" s="931"/>
      <c r="U59" s="931"/>
      <c r="V59" s="931"/>
      <c r="W59" s="932"/>
      <c r="X59" s="880"/>
    </row>
    <row r="60" spans="1:24" ht="12.95" customHeight="1" thickBot="1">
      <c r="A60" s="885"/>
      <c r="B60" s="11" t="s">
        <v>23</v>
      </c>
      <c r="C60" s="12"/>
      <c r="D60" s="927" t="s">
        <v>78</v>
      </c>
      <c r="E60" s="928"/>
      <c r="F60" s="928"/>
      <c r="G60" s="929"/>
      <c r="H60" s="927" t="s">
        <v>77</v>
      </c>
      <c r="I60" s="928"/>
      <c r="J60" s="928"/>
      <c r="K60" s="929"/>
      <c r="L60" s="927" t="s">
        <v>81</v>
      </c>
      <c r="M60" s="928"/>
      <c r="N60" s="928"/>
      <c r="O60" s="929"/>
      <c r="P60" s="927" t="s">
        <v>254</v>
      </c>
      <c r="Q60" s="928"/>
      <c r="R60" s="928"/>
      <c r="S60" s="929"/>
      <c r="T60" s="1144" t="s">
        <v>908</v>
      </c>
      <c r="U60" s="1145"/>
      <c r="V60" s="1145"/>
      <c r="W60" s="1146"/>
      <c r="X60" s="880"/>
    </row>
    <row r="61" spans="1:24" ht="13.5" thickBot="1">
      <c r="A61" s="885"/>
      <c r="B61" s="868" t="s">
        <v>56</v>
      </c>
      <c r="C61" s="9" t="s">
        <v>235</v>
      </c>
      <c r="D61" s="1014">
        <v>2.1</v>
      </c>
      <c r="E61" s="1015"/>
      <c r="F61" s="1015"/>
      <c r="G61" s="1016"/>
      <c r="H61" s="1014">
        <v>2.6</v>
      </c>
      <c r="I61" s="1015"/>
      <c r="J61" s="1015"/>
      <c r="K61" s="1016"/>
      <c r="L61" s="1014">
        <v>2.85</v>
      </c>
      <c r="M61" s="1015"/>
      <c r="N61" s="1015"/>
      <c r="O61" s="1016"/>
      <c r="P61" s="1014">
        <v>3.1</v>
      </c>
      <c r="Q61" s="1015"/>
      <c r="R61" s="1015"/>
      <c r="S61" s="1016"/>
      <c r="T61" s="1039">
        <f>'LF for 2014 AR (original)'!P61+(2/3*('LF for 2014 AR (original)'!T61-'LF for 2014 AR (original)'!P61))</f>
        <v>3.3333333333333335</v>
      </c>
      <c r="U61" s="1040"/>
      <c r="V61" s="1040"/>
      <c r="W61" s="1041"/>
      <c r="X61" s="880"/>
    </row>
    <row r="62" spans="1:24" ht="13.5" thickBot="1">
      <c r="A62" s="885"/>
      <c r="B62" s="885"/>
      <c r="C62" s="9" t="s">
        <v>233</v>
      </c>
      <c r="D62" s="1048" t="s">
        <v>414</v>
      </c>
      <c r="E62" s="1049"/>
      <c r="F62" s="1049"/>
      <c r="G62" s="1050"/>
      <c r="H62" s="1014">
        <v>1.6</v>
      </c>
      <c r="I62" s="1015"/>
      <c r="J62" s="1015"/>
      <c r="K62" s="1016"/>
      <c r="L62" s="1014">
        <v>1.75</v>
      </c>
      <c r="M62" s="1015"/>
      <c r="N62" s="1015"/>
      <c r="O62" s="1016"/>
      <c r="P62" s="1014">
        <v>1.9</v>
      </c>
      <c r="Q62" s="1015"/>
      <c r="R62" s="1015"/>
      <c r="S62" s="1016"/>
      <c r="T62" s="1039">
        <f>'LF for 2014 AR (original)'!P62+(2/3*('LF for 2014 AR (original)'!T62-'LF for 2014 AR (original)'!P62))</f>
        <v>2.1333333333333333</v>
      </c>
      <c r="U62" s="1040"/>
      <c r="V62" s="1040"/>
      <c r="W62" s="1041"/>
      <c r="X62" s="880"/>
    </row>
    <row r="63" spans="1:24" ht="12.95" customHeight="1" thickBot="1">
      <c r="A63" s="885"/>
      <c r="B63" s="885"/>
      <c r="C63" s="9" t="s">
        <v>234</v>
      </c>
      <c r="D63" s="957"/>
      <c r="E63" s="958"/>
      <c r="F63" s="958"/>
      <c r="G63" s="959"/>
      <c r="H63" s="957"/>
      <c r="I63" s="958"/>
      <c r="J63" s="958"/>
      <c r="K63" s="959"/>
      <c r="L63" s="1057" t="s">
        <v>909</v>
      </c>
      <c r="M63" s="1058"/>
      <c r="N63" s="1058"/>
      <c r="O63" s="1059"/>
      <c r="P63" s="1023">
        <f>'State Agg LFx3 (2014)'!P63</f>
        <v>2.25</v>
      </c>
      <c r="Q63" s="1024"/>
      <c r="R63" s="1024"/>
      <c r="S63" s="1025"/>
      <c r="T63" s="1023">
        <f>'State Agg LFx3 (2014)'!T63</f>
        <v>2.25</v>
      </c>
      <c r="U63" s="1024"/>
      <c r="V63" s="1024"/>
      <c r="W63" s="1025"/>
      <c r="X63" s="880"/>
    </row>
    <row r="64" spans="1:24" ht="13.5" thickBot="1">
      <c r="A64" s="885"/>
      <c r="B64" s="885"/>
      <c r="C64" s="102" t="s">
        <v>236</v>
      </c>
      <c r="D64" s="1045" t="s">
        <v>415</v>
      </c>
      <c r="E64" s="1046"/>
      <c r="F64" s="1046"/>
      <c r="G64" s="1047"/>
      <c r="H64" s="1020">
        <v>2.84</v>
      </c>
      <c r="I64" s="1021"/>
      <c r="J64" s="1021"/>
      <c r="K64" s="1022"/>
      <c r="L64" s="1020">
        <v>3</v>
      </c>
      <c r="M64" s="1021"/>
      <c r="N64" s="1021"/>
      <c r="O64" s="1022"/>
      <c r="P64" s="1020" t="s">
        <v>778</v>
      </c>
      <c r="Q64" s="1021"/>
      <c r="R64" s="1021"/>
      <c r="S64" s="1022"/>
      <c r="T64" s="1020">
        <f>'State Agg LFx3 (2014)'!T64</f>
        <v>4.0599999999999996</v>
      </c>
      <c r="U64" s="1021"/>
      <c r="V64" s="1021"/>
      <c r="W64" s="1022"/>
      <c r="X64" s="880"/>
    </row>
    <row r="65" spans="1:24" ht="13.5" thickBot="1">
      <c r="A65" s="885"/>
      <c r="B65" s="885"/>
      <c r="C65" s="102" t="s">
        <v>283</v>
      </c>
      <c r="D65" s="1017"/>
      <c r="E65" s="1018"/>
      <c r="F65" s="1018"/>
      <c r="G65" s="1019"/>
      <c r="H65" s="1017"/>
      <c r="I65" s="1018"/>
      <c r="J65" s="1018"/>
      <c r="K65" s="1019"/>
      <c r="L65" s="1020">
        <v>1.6</v>
      </c>
      <c r="M65" s="1021"/>
      <c r="N65" s="1021"/>
      <c r="O65" s="1022"/>
      <c r="P65" s="1020">
        <v>2.1666666666666665</v>
      </c>
      <c r="Q65" s="1021"/>
      <c r="R65" s="1021"/>
      <c r="S65" s="1022"/>
      <c r="T65" s="1020">
        <f>'State Agg LFx3 (2014)'!T65</f>
        <v>3.1666666666666665</v>
      </c>
      <c r="U65" s="1021"/>
      <c r="V65" s="1021"/>
      <c r="W65" s="1022"/>
      <c r="X65" s="880"/>
    </row>
    <row r="66" spans="1:24" ht="13.5" thickBot="1">
      <c r="A66" s="885"/>
      <c r="B66" s="885"/>
      <c r="C66" s="102" t="s">
        <v>284</v>
      </c>
      <c r="D66" s="1017"/>
      <c r="E66" s="1018"/>
      <c r="F66" s="1018"/>
      <c r="G66" s="1019"/>
      <c r="H66" s="1017"/>
      <c r="I66" s="1018"/>
      <c r="J66" s="1018"/>
      <c r="K66" s="1019"/>
      <c r="L66" s="1017"/>
      <c r="M66" s="1018"/>
      <c r="N66" s="1018"/>
      <c r="O66" s="1019"/>
      <c r="P66" s="1017"/>
      <c r="Q66" s="1018"/>
      <c r="R66" s="1018"/>
      <c r="S66" s="1019"/>
      <c r="T66" s="1017"/>
      <c r="U66" s="1018"/>
      <c r="V66" s="1018"/>
      <c r="W66" s="1019"/>
      <c r="X66" s="880"/>
    </row>
    <row r="67" spans="1:24" ht="13.5" thickBot="1">
      <c r="A67" s="885"/>
      <c r="B67" s="885"/>
      <c r="C67" s="998" t="s">
        <v>413</v>
      </c>
      <c r="D67" s="927" t="s">
        <v>4</v>
      </c>
      <c r="E67" s="928"/>
      <c r="F67" s="928"/>
      <c r="G67" s="928"/>
      <c r="H67" s="928"/>
      <c r="I67" s="928"/>
      <c r="J67" s="928"/>
      <c r="K67" s="928"/>
      <c r="L67" s="928"/>
      <c r="M67" s="928"/>
      <c r="N67" s="928"/>
      <c r="O67" s="928"/>
      <c r="P67" s="928"/>
      <c r="Q67" s="928"/>
      <c r="R67" s="928"/>
      <c r="S67" s="928"/>
      <c r="T67" s="928"/>
      <c r="U67" s="928"/>
      <c r="V67" s="928"/>
      <c r="W67" s="928"/>
      <c r="X67" s="880"/>
    </row>
    <row r="68" spans="1:24" ht="13.5" thickBot="1">
      <c r="A68" s="885"/>
      <c r="B68" s="869"/>
      <c r="C68" s="999"/>
      <c r="D68" s="930" t="s">
        <v>115</v>
      </c>
      <c r="E68" s="931"/>
      <c r="F68" s="931"/>
      <c r="G68" s="931"/>
      <c r="H68" s="931"/>
      <c r="I68" s="931"/>
      <c r="J68" s="931"/>
      <c r="K68" s="931"/>
      <c r="L68" s="931"/>
      <c r="M68" s="931"/>
      <c r="N68" s="931"/>
      <c r="O68" s="931"/>
      <c r="P68" s="931"/>
      <c r="Q68" s="931"/>
      <c r="R68" s="931"/>
      <c r="S68" s="931"/>
      <c r="T68" s="931"/>
      <c r="U68" s="931"/>
      <c r="V68" s="931"/>
      <c r="W68" s="932"/>
      <c r="X68" s="880"/>
    </row>
    <row r="69" spans="1:24" ht="12.95" customHeight="1" thickBot="1">
      <c r="A69" s="885"/>
      <c r="B69" s="11" t="s">
        <v>38</v>
      </c>
      <c r="C69" s="12"/>
      <c r="D69" s="927" t="s">
        <v>78</v>
      </c>
      <c r="E69" s="928"/>
      <c r="F69" s="928"/>
      <c r="G69" s="929"/>
      <c r="H69" s="927" t="s">
        <v>77</v>
      </c>
      <c r="I69" s="928"/>
      <c r="J69" s="928"/>
      <c r="K69" s="929"/>
      <c r="L69" s="927" t="s">
        <v>81</v>
      </c>
      <c r="M69" s="928"/>
      <c r="N69" s="928"/>
      <c r="O69" s="929"/>
      <c r="P69" s="927" t="s">
        <v>254</v>
      </c>
      <c r="Q69" s="928"/>
      <c r="R69" s="928"/>
      <c r="S69" s="929"/>
      <c r="T69" s="1144" t="s">
        <v>908</v>
      </c>
      <c r="U69" s="1145"/>
      <c r="V69" s="1145"/>
      <c r="W69" s="1146"/>
      <c r="X69" s="880"/>
    </row>
    <row r="70" spans="1:24" ht="13.5" thickBot="1">
      <c r="A70" s="885"/>
      <c r="B70" s="868" t="s">
        <v>155</v>
      </c>
      <c r="C70" s="9" t="s">
        <v>235</v>
      </c>
      <c r="D70" s="933" t="s">
        <v>171</v>
      </c>
      <c r="E70" s="934"/>
      <c r="F70" s="934"/>
      <c r="G70" s="935"/>
      <c r="H70" s="966" t="s">
        <v>572</v>
      </c>
      <c r="I70" s="967"/>
      <c r="J70" s="967"/>
      <c r="K70" s="968"/>
      <c r="L70" s="1094">
        <v>3</v>
      </c>
      <c r="M70" s="1095"/>
      <c r="N70" s="1095"/>
      <c r="O70" s="1096"/>
      <c r="P70" s="1094">
        <v>3.2</v>
      </c>
      <c r="Q70" s="1095"/>
      <c r="R70" s="1095"/>
      <c r="S70" s="1096"/>
      <c r="T70" s="1039">
        <f>'LF for 2014 AR (original)'!P70+(2/3*('LF for 2014 AR (original)'!T70-'LF for 2014 AR (original)'!P70))</f>
        <v>3.4666666666666668</v>
      </c>
      <c r="U70" s="1040"/>
      <c r="V70" s="1040"/>
      <c r="W70" s="1041"/>
      <c r="X70" s="880"/>
    </row>
    <row r="71" spans="1:24" ht="12.95" customHeight="1" thickBot="1">
      <c r="A71" s="885"/>
      <c r="B71" s="885"/>
      <c r="C71" s="9" t="s">
        <v>233</v>
      </c>
      <c r="D71" s="957"/>
      <c r="E71" s="958"/>
      <c r="F71" s="958"/>
      <c r="G71" s="959"/>
      <c r="H71" s="966" t="s">
        <v>572</v>
      </c>
      <c r="I71" s="967"/>
      <c r="J71" s="967"/>
      <c r="K71" s="968"/>
      <c r="L71" s="1094">
        <v>2.6</v>
      </c>
      <c r="M71" s="1095"/>
      <c r="N71" s="1095"/>
      <c r="O71" s="1096"/>
      <c r="P71" s="1094">
        <v>2.9</v>
      </c>
      <c r="Q71" s="1095"/>
      <c r="R71" s="1095"/>
      <c r="S71" s="1096"/>
      <c r="T71" s="1039">
        <f>'LF for 2014 AR (original)'!P71+(2/3*('LF for 2014 AR (original)'!T71-'LF for 2014 AR (original)'!P71))</f>
        <v>3.1666666666666665</v>
      </c>
      <c r="U71" s="1040"/>
      <c r="V71" s="1040"/>
      <c r="W71" s="1041"/>
      <c r="X71" s="880"/>
    </row>
    <row r="72" spans="1:24" ht="12.95" customHeight="1" thickBot="1">
      <c r="A72" s="885"/>
      <c r="B72" s="885"/>
      <c r="C72" s="9" t="s">
        <v>234</v>
      </c>
      <c r="D72" s="957"/>
      <c r="E72" s="958"/>
      <c r="F72" s="958"/>
      <c r="G72" s="959"/>
      <c r="H72" s="957"/>
      <c r="I72" s="958"/>
      <c r="J72" s="958"/>
      <c r="K72" s="959"/>
      <c r="L72" s="1057" t="s">
        <v>909</v>
      </c>
      <c r="M72" s="1058"/>
      <c r="N72" s="1058"/>
      <c r="O72" s="1059"/>
      <c r="P72" s="1023">
        <f>'State Agg LFx3 (2014)'!P72</f>
        <v>3</v>
      </c>
      <c r="Q72" s="1024"/>
      <c r="R72" s="1024"/>
      <c r="S72" s="1025"/>
      <c r="T72" s="1023">
        <f>'State Agg LFx3 (2014)'!T72</f>
        <v>3</v>
      </c>
      <c r="U72" s="1024"/>
      <c r="V72" s="1024"/>
      <c r="W72" s="1025"/>
      <c r="X72" s="880"/>
    </row>
    <row r="73" spans="1:24" ht="13.5" thickBot="1">
      <c r="A73" s="885"/>
      <c r="B73" s="885"/>
      <c r="C73" s="102" t="s">
        <v>236</v>
      </c>
      <c r="D73" s="1011"/>
      <c r="E73" s="1012"/>
      <c r="F73" s="1012"/>
      <c r="G73" s="1013"/>
      <c r="H73" s="1011"/>
      <c r="I73" s="1012"/>
      <c r="J73" s="1012"/>
      <c r="K73" s="1013"/>
      <c r="L73" s="1011"/>
      <c r="M73" s="1012"/>
      <c r="N73" s="1012"/>
      <c r="O73" s="1013"/>
      <c r="P73" s="1020">
        <v>3.4800000000000004</v>
      </c>
      <c r="Q73" s="1021"/>
      <c r="R73" s="1021"/>
      <c r="S73" s="1022"/>
      <c r="T73" s="1020">
        <f>'State Agg LFx3 (2014)'!T73</f>
        <v>3.72</v>
      </c>
      <c r="U73" s="1021"/>
      <c r="V73" s="1021"/>
      <c r="W73" s="1022"/>
      <c r="X73" s="880"/>
    </row>
    <row r="74" spans="1:24" ht="13.5" thickBot="1">
      <c r="A74" s="885"/>
      <c r="B74" s="885"/>
      <c r="C74" s="102" t="s">
        <v>283</v>
      </c>
      <c r="D74" s="1017"/>
      <c r="E74" s="1018"/>
      <c r="F74" s="1018"/>
      <c r="G74" s="1019"/>
      <c r="H74" s="1017"/>
      <c r="I74" s="1018"/>
      <c r="J74" s="1018"/>
      <c r="K74" s="1019"/>
      <c r="L74" s="1011"/>
      <c r="M74" s="1012"/>
      <c r="N74" s="1012"/>
      <c r="O74" s="1013"/>
      <c r="P74" s="1020">
        <v>2.7666666666666671</v>
      </c>
      <c r="Q74" s="1021"/>
      <c r="R74" s="1021"/>
      <c r="S74" s="1022"/>
      <c r="T74" s="1020">
        <f>'State Agg LFx3 (2014)'!T74</f>
        <v>3.3666666666666671</v>
      </c>
      <c r="U74" s="1021"/>
      <c r="V74" s="1021"/>
      <c r="W74" s="1022"/>
      <c r="X74" s="880"/>
    </row>
    <row r="75" spans="1:24" ht="13.5" thickBot="1">
      <c r="A75" s="885"/>
      <c r="B75" s="885"/>
      <c r="C75" s="102" t="s">
        <v>284</v>
      </c>
      <c r="D75" s="1017"/>
      <c r="E75" s="1018"/>
      <c r="F75" s="1018"/>
      <c r="G75" s="1019"/>
      <c r="H75" s="1017"/>
      <c r="I75" s="1018"/>
      <c r="J75" s="1018"/>
      <c r="K75" s="1019"/>
      <c r="L75" s="1017"/>
      <c r="M75" s="1018"/>
      <c r="N75" s="1018"/>
      <c r="O75" s="1019"/>
      <c r="P75" s="1017"/>
      <c r="Q75" s="1018"/>
      <c r="R75" s="1018"/>
      <c r="S75" s="1019"/>
      <c r="T75" s="1017"/>
      <c r="U75" s="1018"/>
      <c r="V75" s="1018"/>
      <c r="W75" s="1019"/>
      <c r="X75" s="880"/>
    </row>
    <row r="76" spans="1:24" ht="13.5" thickBot="1">
      <c r="A76" s="885"/>
      <c r="B76" s="885"/>
      <c r="C76" s="998" t="s">
        <v>413</v>
      </c>
      <c r="D76" s="927" t="s">
        <v>4</v>
      </c>
      <c r="E76" s="928"/>
      <c r="F76" s="928"/>
      <c r="G76" s="928"/>
      <c r="H76" s="928"/>
      <c r="I76" s="928"/>
      <c r="J76" s="928"/>
      <c r="K76" s="928"/>
      <c r="L76" s="928"/>
      <c r="M76" s="928"/>
      <c r="N76" s="928"/>
      <c r="O76" s="928"/>
      <c r="P76" s="928"/>
      <c r="Q76" s="928"/>
      <c r="R76" s="928"/>
      <c r="S76" s="928"/>
      <c r="T76" s="928"/>
      <c r="U76" s="928"/>
      <c r="V76" s="928"/>
      <c r="W76" s="928"/>
      <c r="X76" s="880"/>
    </row>
    <row r="77" spans="1:24" ht="13.5" thickBot="1">
      <c r="A77" s="885"/>
      <c r="B77" s="869"/>
      <c r="C77" s="999"/>
      <c r="D77" s="930" t="s">
        <v>115</v>
      </c>
      <c r="E77" s="931"/>
      <c r="F77" s="931"/>
      <c r="G77" s="931"/>
      <c r="H77" s="931"/>
      <c r="I77" s="931"/>
      <c r="J77" s="931"/>
      <c r="K77" s="931"/>
      <c r="L77" s="931"/>
      <c r="M77" s="931"/>
      <c r="N77" s="931"/>
      <c r="O77" s="931"/>
      <c r="P77" s="931"/>
      <c r="Q77" s="931"/>
      <c r="R77" s="931"/>
      <c r="S77" s="931"/>
      <c r="T77" s="931"/>
      <c r="U77" s="931"/>
      <c r="V77" s="931"/>
      <c r="W77" s="932"/>
      <c r="X77" s="880"/>
    </row>
    <row r="78" spans="1:24" ht="12.95" customHeight="1" thickBot="1">
      <c r="A78" s="885"/>
      <c r="B78" s="11" t="s">
        <v>39</v>
      </c>
      <c r="C78" s="12"/>
      <c r="D78" s="927" t="s">
        <v>78</v>
      </c>
      <c r="E78" s="928"/>
      <c r="F78" s="928"/>
      <c r="G78" s="929"/>
      <c r="H78" s="927" t="s">
        <v>77</v>
      </c>
      <c r="I78" s="928"/>
      <c r="J78" s="928"/>
      <c r="K78" s="929"/>
      <c r="L78" s="927" t="s">
        <v>81</v>
      </c>
      <c r="M78" s="928"/>
      <c r="N78" s="928"/>
      <c r="O78" s="929"/>
      <c r="P78" s="927" t="s">
        <v>254</v>
      </c>
      <c r="Q78" s="928"/>
      <c r="R78" s="928"/>
      <c r="S78" s="929"/>
      <c r="T78" s="1144" t="s">
        <v>908</v>
      </c>
      <c r="U78" s="1145"/>
      <c r="V78" s="1145"/>
      <c r="W78" s="1146"/>
      <c r="X78" s="880"/>
    </row>
    <row r="79" spans="1:24" ht="42.95" customHeight="1" thickBot="1">
      <c r="A79" s="885"/>
      <c r="B79" s="978" t="s">
        <v>575</v>
      </c>
      <c r="C79" s="9"/>
      <c r="D79" s="20" t="s">
        <v>105</v>
      </c>
      <c r="E79" s="20" t="s">
        <v>579</v>
      </c>
      <c r="F79" s="20" t="s">
        <v>580</v>
      </c>
      <c r="G79" s="20" t="s">
        <v>581</v>
      </c>
      <c r="H79" s="20" t="s">
        <v>105</v>
      </c>
      <c r="I79" s="20" t="s">
        <v>579</v>
      </c>
      <c r="J79" s="20" t="s">
        <v>580</v>
      </c>
      <c r="K79" s="20" t="s">
        <v>581</v>
      </c>
      <c r="L79" s="20" t="s">
        <v>105</v>
      </c>
      <c r="M79" s="20" t="s">
        <v>579</v>
      </c>
      <c r="N79" s="20" t="s">
        <v>580</v>
      </c>
      <c r="O79" s="20" t="s">
        <v>581</v>
      </c>
      <c r="P79" s="20" t="s">
        <v>105</v>
      </c>
      <c r="Q79" s="20" t="s">
        <v>579</v>
      </c>
      <c r="R79" s="20" t="s">
        <v>580</v>
      </c>
      <c r="S79" s="20" t="s">
        <v>581</v>
      </c>
      <c r="T79" s="20" t="s">
        <v>105</v>
      </c>
      <c r="U79" s="20" t="s">
        <v>579</v>
      </c>
      <c r="V79" s="20" t="s">
        <v>580</v>
      </c>
      <c r="W79" s="20" t="s">
        <v>581</v>
      </c>
      <c r="X79" s="880"/>
    </row>
    <row r="80" spans="1:24" ht="13.5" thickBot="1">
      <c r="A80" s="885"/>
      <c r="B80" s="979"/>
      <c r="C80" s="9" t="s">
        <v>247</v>
      </c>
      <c r="D80" s="2">
        <v>0</v>
      </c>
      <c r="E80" s="2">
        <v>0</v>
      </c>
      <c r="F80" s="2">
        <v>0</v>
      </c>
      <c r="G80" s="2">
        <v>0</v>
      </c>
      <c r="H80" s="2">
        <v>10</v>
      </c>
      <c r="I80" s="2">
        <v>5</v>
      </c>
      <c r="J80" s="2">
        <v>0</v>
      </c>
      <c r="K80" s="2">
        <v>0</v>
      </c>
      <c r="L80" s="2">
        <v>20</v>
      </c>
      <c r="M80" s="2">
        <v>10</v>
      </c>
      <c r="N80" s="2">
        <v>5</v>
      </c>
      <c r="O80" s="2">
        <v>2</v>
      </c>
      <c r="P80" s="2">
        <v>35</v>
      </c>
      <c r="Q80" s="2">
        <v>18</v>
      </c>
      <c r="R80" s="158">
        <v>10</v>
      </c>
      <c r="S80" s="158">
        <v>5</v>
      </c>
      <c r="T80" s="515">
        <f>'LF for 2014 AR (original)'!P80+(2/3*('LF for 2014 AR (original)'!T80-'LF for 2014 AR (original)'!P80))</f>
        <v>45</v>
      </c>
      <c r="U80" s="515">
        <f>'LF for 2014 AR (original)'!Q80+(2/3*('LF for 2014 AR (original)'!U80-'LF for 2014 AR (original)'!Q80))</f>
        <v>22.666666666666664</v>
      </c>
      <c r="V80" s="515">
        <f>'LF for 2014 AR (original)'!R80+(2/3*('LF for 2014 AR (original)'!V80-'LF for 2014 AR (original)'!R80))</f>
        <v>13.333333333333332</v>
      </c>
      <c r="W80" s="515">
        <f>'LF for 2014 AR (original)'!S80+(2/3*('LF for 2014 AR (original)'!W80-'LF for 2014 AR (original)'!S80))</f>
        <v>7</v>
      </c>
      <c r="X80" s="880"/>
    </row>
    <row r="81" spans="1:24" ht="24.75" thickBot="1">
      <c r="A81" s="885"/>
      <c r="B81" s="504" t="s">
        <v>159</v>
      </c>
      <c r="C81" s="102" t="s">
        <v>246</v>
      </c>
      <c r="D81" s="1042" t="s">
        <v>416</v>
      </c>
      <c r="E81" s="1043"/>
      <c r="F81" s="1043"/>
      <c r="G81" s="1044"/>
      <c r="H81" s="117">
        <v>11</v>
      </c>
      <c r="I81" s="117">
        <v>6</v>
      </c>
      <c r="J81" s="117">
        <v>0</v>
      </c>
      <c r="K81" s="117">
        <v>0</v>
      </c>
      <c r="L81" s="117">
        <f>11+20</f>
        <v>31</v>
      </c>
      <c r="M81" s="117">
        <v>16</v>
      </c>
      <c r="N81" s="117">
        <v>6</v>
      </c>
      <c r="O81" s="117">
        <v>0</v>
      </c>
      <c r="P81" s="117">
        <v>75</v>
      </c>
      <c r="Q81" s="117">
        <v>39</v>
      </c>
      <c r="R81" s="117">
        <v>22</v>
      </c>
      <c r="S81" s="117">
        <v>4</v>
      </c>
      <c r="T81" s="188">
        <f>'State Agg LFx3 (2014)'!T81</f>
        <v>89</v>
      </c>
      <c r="U81" s="188">
        <f>'State Agg LFx3 (2014)'!U81</f>
        <v>38</v>
      </c>
      <c r="V81" s="188">
        <f>'State Agg LFx3 (2014)'!V81</f>
        <v>27</v>
      </c>
      <c r="W81" s="188">
        <f>'State Agg LFx3 (2014)'!W81</f>
        <v>3</v>
      </c>
      <c r="X81" s="880"/>
    </row>
    <row r="82" spans="1:24" ht="36.75" thickBot="1">
      <c r="A82" s="885"/>
      <c r="B82" s="183" t="s">
        <v>576</v>
      </c>
      <c r="C82" s="998" t="s">
        <v>413</v>
      </c>
      <c r="D82" s="927" t="s">
        <v>4</v>
      </c>
      <c r="E82" s="928"/>
      <c r="F82" s="928"/>
      <c r="G82" s="928"/>
      <c r="H82" s="928"/>
      <c r="I82" s="928"/>
      <c r="J82" s="928"/>
      <c r="K82" s="928"/>
      <c r="L82" s="928"/>
      <c r="M82" s="928"/>
      <c r="N82" s="928"/>
      <c r="O82" s="928"/>
      <c r="P82" s="928"/>
      <c r="Q82" s="928"/>
      <c r="R82" s="928"/>
      <c r="S82" s="928"/>
      <c r="T82" s="928"/>
      <c r="U82" s="928"/>
      <c r="V82" s="928"/>
      <c r="W82" s="928"/>
      <c r="X82" s="880"/>
    </row>
    <row r="83" spans="1:24" ht="13.5" thickBot="1">
      <c r="A83" s="869"/>
      <c r="B83" s="184" t="s">
        <v>577</v>
      </c>
      <c r="C83" s="999"/>
      <c r="D83" s="930" t="s">
        <v>126</v>
      </c>
      <c r="E83" s="931"/>
      <c r="F83" s="931"/>
      <c r="G83" s="931"/>
      <c r="H83" s="931"/>
      <c r="I83" s="931"/>
      <c r="J83" s="931"/>
      <c r="K83" s="931"/>
      <c r="L83" s="931"/>
      <c r="M83" s="931"/>
      <c r="N83" s="931"/>
      <c r="O83" s="931"/>
      <c r="P83" s="931"/>
      <c r="Q83" s="931"/>
      <c r="R83" s="931"/>
      <c r="S83" s="931"/>
      <c r="T83" s="931"/>
      <c r="U83" s="931"/>
      <c r="V83" s="931"/>
      <c r="W83" s="932"/>
      <c r="X83" s="881"/>
    </row>
    <row r="84" spans="1:24" ht="13.5" thickBot="1">
      <c r="A84" s="906" t="s">
        <v>7</v>
      </c>
      <c r="B84" s="908" t="s">
        <v>173</v>
      </c>
      <c r="C84" s="918"/>
      <c r="D84" s="908" t="s">
        <v>8</v>
      </c>
      <c r="E84" s="918"/>
      <c r="F84" s="918"/>
      <c r="G84" s="909"/>
      <c r="H84" s="908" t="s">
        <v>88</v>
      </c>
      <c r="I84" s="918"/>
      <c r="J84" s="918"/>
      <c r="K84" s="909"/>
      <c r="L84" s="908" t="s">
        <v>89</v>
      </c>
      <c r="M84" s="918"/>
      <c r="N84" s="918"/>
      <c r="O84" s="909"/>
      <c r="P84" s="908" t="s">
        <v>9</v>
      </c>
      <c r="Q84" s="918"/>
      <c r="R84" s="918"/>
      <c r="S84" s="909"/>
      <c r="T84" s="908" t="s">
        <v>174</v>
      </c>
      <c r="U84" s="918"/>
      <c r="V84" s="918"/>
      <c r="W84" s="918"/>
      <c r="X84" s="909"/>
    </row>
    <row r="85" spans="1:24" ht="13.5" thickBot="1">
      <c r="A85" s="907"/>
      <c r="B85" s="975">
        <f>SUM(B114+B143+B180+B228+B252)</f>
        <v>31000000</v>
      </c>
      <c r="C85" s="977"/>
      <c r="D85" s="975">
        <f>SUM(D114+D143+D180+D228+D252)</f>
        <v>2100000</v>
      </c>
      <c r="E85" s="977"/>
      <c r="F85" s="977">
        <f>SUM(F114+F143+F180+F228+F252)</f>
        <v>0</v>
      </c>
      <c r="G85" s="976"/>
      <c r="H85" s="975">
        <f>SUM(H114+H143+H180+H228+H252)</f>
        <v>13000000</v>
      </c>
      <c r="I85" s="977"/>
      <c r="J85" s="977">
        <f>SUM(J114+J143+J180+J228+J252)</f>
        <v>0</v>
      </c>
      <c r="K85" s="976"/>
      <c r="L85" s="975">
        <f>SUM(L114+L143+L180+L228+L252)</f>
        <v>11900000</v>
      </c>
      <c r="M85" s="977"/>
      <c r="N85" s="977">
        <f>SUM(N114+N143+N180+N228+N252)</f>
        <v>0</v>
      </c>
      <c r="O85" s="976"/>
      <c r="P85" s="975">
        <f>SUM(B85:O85)</f>
        <v>58000000</v>
      </c>
      <c r="Q85" s="977"/>
      <c r="R85" s="977"/>
      <c r="S85" s="976"/>
      <c r="T85" s="942">
        <f>B85/P85%</f>
        <v>53.448275862068968</v>
      </c>
      <c r="U85" s="943"/>
      <c r="V85" s="943"/>
      <c r="W85" s="943"/>
      <c r="X85" s="944"/>
    </row>
    <row r="86" spans="1:24" ht="13.5" thickBot="1">
      <c r="A86" s="906" t="s">
        <v>10</v>
      </c>
      <c r="B86" s="908" t="s">
        <v>175</v>
      </c>
      <c r="C86" s="918"/>
      <c r="D86" s="910"/>
      <c r="E86" s="911"/>
      <c r="F86" s="911"/>
      <c r="G86" s="911"/>
      <c r="H86" s="911"/>
      <c r="I86" s="911"/>
      <c r="J86" s="911"/>
      <c r="K86" s="911"/>
      <c r="L86" s="911"/>
      <c r="M86" s="911"/>
      <c r="N86" s="911"/>
      <c r="O86" s="911"/>
      <c r="P86" s="911"/>
      <c r="Q86" s="911"/>
      <c r="R86" s="911"/>
      <c r="S86" s="911"/>
      <c r="T86" s="911"/>
      <c r="U86" s="911"/>
      <c r="V86" s="911"/>
      <c r="W86" s="911"/>
      <c r="X86" s="912"/>
    </row>
    <row r="87" spans="1:24" ht="13.5" thickBot="1">
      <c r="A87" s="907"/>
      <c r="B87" s="916">
        <f>SUM(B116+B145+B182+B230+B254)</f>
        <v>0</v>
      </c>
      <c r="C87" s="994"/>
      <c r="D87" s="913"/>
      <c r="E87" s="914"/>
      <c r="F87" s="914"/>
      <c r="G87" s="914"/>
      <c r="H87" s="914"/>
      <c r="I87" s="914"/>
      <c r="J87" s="914"/>
      <c r="K87" s="914"/>
      <c r="L87" s="914"/>
      <c r="M87" s="914"/>
      <c r="N87" s="914"/>
      <c r="O87" s="914"/>
      <c r="P87" s="914"/>
      <c r="Q87" s="914"/>
      <c r="R87" s="914"/>
      <c r="S87" s="914"/>
      <c r="T87" s="914"/>
      <c r="U87" s="914"/>
      <c r="V87" s="914"/>
      <c r="W87" s="914"/>
      <c r="X87" s="915"/>
    </row>
    <row r="88" spans="1:24">
      <c r="A88" s="5"/>
      <c r="B88" s="5"/>
      <c r="C88" s="6"/>
      <c r="D88" s="5"/>
      <c r="E88" s="5"/>
      <c r="F88" s="5"/>
      <c r="G88" s="5"/>
      <c r="H88" s="5"/>
      <c r="I88" s="5"/>
      <c r="J88" s="5"/>
      <c r="K88" s="5"/>
      <c r="L88" s="5"/>
      <c r="M88" s="5"/>
      <c r="N88" s="5"/>
      <c r="O88" s="5"/>
      <c r="P88" s="5"/>
      <c r="Q88" s="5"/>
      <c r="R88" s="5"/>
      <c r="S88" s="5"/>
      <c r="T88" s="5"/>
      <c r="U88" s="5"/>
      <c r="V88" s="5"/>
      <c r="W88" s="5"/>
      <c r="X88" s="5"/>
    </row>
    <row r="89" spans="1:24" ht="13.5" thickBot="1">
      <c r="A89" s="21"/>
      <c r="B89" s="21"/>
      <c r="C89" s="22"/>
      <c r="D89" s="21"/>
      <c r="E89" s="21"/>
      <c r="F89" s="21"/>
      <c r="G89" s="21"/>
      <c r="H89" s="21"/>
      <c r="I89" s="21"/>
      <c r="J89" s="21"/>
      <c r="K89" s="21"/>
      <c r="L89" s="115"/>
      <c r="M89" s="21"/>
      <c r="N89" s="21"/>
      <c r="O89" s="21"/>
      <c r="P89" s="21"/>
      <c r="Q89" s="21"/>
      <c r="R89" s="21"/>
      <c r="S89" s="21"/>
      <c r="T89" s="21"/>
      <c r="U89" s="21"/>
      <c r="V89" s="21"/>
      <c r="W89" s="21"/>
      <c r="X89" s="21"/>
    </row>
    <row r="90" spans="1:24" ht="12.95" customHeight="1" thickBot="1">
      <c r="A90" s="506" t="s">
        <v>11</v>
      </c>
      <c r="B90" s="514" t="s">
        <v>16</v>
      </c>
      <c r="C90" s="8"/>
      <c r="D90" s="927" t="s">
        <v>78</v>
      </c>
      <c r="E90" s="928"/>
      <c r="F90" s="928"/>
      <c r="G90" s="929"/>
      <c r="H90" s="927" t="s">
        <v>77</v>
      </c>
      <c r="I90" s="928"/>
      <c r="J90" s="928"/>
      <c r="K90" s="929"/>
      <c r="L90" s="927" t="s">
        <v>81</v>
      </c>
      <c r="M90" s="928"/>
      <c r="N90" s="928"/>
      <c r="O90" s="929"/>
      <c r="P90" s="927" t="s">
        <v>254</v>
      </c>
      <c r="Q90" s="928"/>
      <c r="R90" s="928"/>
      <c r="S90" s="929"/>
      <c r="T90" s="1144" t="s">
        <v>908</v>
      </c>
      <c r="U90" s="1145"/>
      <c r="V90" s="1145"/>
      <c r="W90" s="1146"/>
      <c r="X90" s="16" t="s">
        <v>12</v>
      </c>
    </row>
    <row r="91" spans="1:24" ht="13.5" thickBot="1">
      <c r="A91" s="868" t="s">
        <v>57</v>
      </c>
      <c r="B91" s="868" t="s">
        <v>58</v>
      </c>
      <c r="C91" s="9" t="s">
        <v>235</v>
      </c>
      <c r="D91" s="1014">
        <v>1</v>
      </c>
      <c r="E91" s="1015"/>
      <c r="F91" s="1015"/>
      <c r="G91" s="1016"/>
      <c r="H91" s="1014">
        <v>2.1</v>
      </c>
      <c r="I91" s="1015"/>
      <c r="J91" s="1015"/>
      <c r="K91" s="1016"/>
      <c r="L91" s="1094">
        <v>2.7</v>
      </c>
      <c r="M91" s="1095"/>
      <c r="N91" s="1095"/>
      <c r="O91" s="1096"/>
      <c r="P91" s="1094">
        <v>3.2</v>
      </c>
      <c r="Q91" s="1095"/>
      <c r="R91" s="1095"/>
      <c r="S91" s="1096"/>
      <c r="T91" s="1039">
        <f>'LF for 2014 AR (original)'!P91+(2/3*('LF for 2014 AR (original)'!T91-'LF for 2014 AR (original)'!P91))</f>
        <v>3.5333333333333337</v>
      </c>
      <c r="U91" s="1040"/>
      <c r="V91" s="1040"/>
      <c r="W91" s="1041"/>
      <c r="X91" s="879" t="s">
        <v>97</v>
      </c>
    </row>
    <row r="92" spans="1:24" ht="13.5" thickBot="1">
      <c r="A92" s="885"/>
      <c r="B92" s="885"/>
      <c r="C92" s="9" t="s">
        <v>233</v>
      </c>
      <c r="D92" s="966" t="s">
        <v>255</v>
      </c>
      <c r="E92" s="967"/>
      <c r="F92" s="967"/>
      <c r="G92" s="968"/>
      <c r="H92" s="1014">
        <v>1</v>
      </c>
      <c r="I92" s="1015"/>
      <c r="J92" s="1015"/>
      <c r="K92" s="1016"/>
      <c r="L92" s="1094">
        <v>1.1666666666666667</v>
      </c>
      <c r="M92" s="1095"/>
      <c r="N92" s="1095"/>
      <c r="O92" s="1096"/>
      <c r="P92" s="1094">
        <v>1.5</v>
      </c>
      <c r="Q92" s="1095"/>
      <c r="R92" s="1095"/>
      <c r="S92" s="1096"/>
      <c r="T92" s="1039">
        <f>'LF for 2014 AR (original)'!P92+(2/3*('LF for 2014 AR (original)'!T92-'LF for 2014 AR (original)'!P92))</f>
        <v>2.1666666666666665</v>
      </c>
      <c r="U92" s="1040"/>
      <c r="V92" s="1040"/>
      <c r="W92" s="1041"/>
      <c r="X92" s="880"/>
    </row>
    <row r="93" spans="1:24" ht="12.95" customHeight="1" thickBot="1">
      <c r="A93" s="885"/>
      <c r="B93" s="885"/>
      <c r="C93" s="9" t="s">
        <v>234</v>
      </c>
      <c r="D93" s="957"/>
      <c r="E93" s="958"/>
      <c r="F93" s="958"/>
      <c r="G93" s="959"/>
      <c r="H93" s="957"/>
      <c r="I93" s="958"/>
      <c r="J93" s="958"/>
      <c r="K93" s="959"/>
      <c r="L93" s="1057" t="s">
        <v>909</v>
      </c>
      <c r="M93" s="1058"/>
      <c r="N93" s="1058"/>
      <c r="O93" s="1059"/>
      <c r="P93" s="1023">
        <f>'State Agg LFx3 (2014)'!P93</f>
        <v>1.1499999999999999</v>
      </c>
      <c r="Q93" s="1024"/>
      <c r="R93" s="1024"/>
      <c r="S93" s="1025"/>
      <c r="T93" s="1023">
        <f>'State Agg LFx3 (2014)'!T93</f>
        <v>1.1499999999999999</v>
      </c>
      <c r="U93" s="1024"/>
      <c r="V93" s="1024"/>
      <c r="W93" s="1025"/>
      <c r="X93" s="880"/>
    </row>
    <row r="94" spans="1:24" ht="13.5" thickBot="1">
      <c r="A94" s="885"/>
      <c r="B94" s="885"/>
      <c r="C94" s="102" t="s">
        <v>236</v>
      </c>
      <c r="D94" s="1008" t="s">
        <v>416</v>
      </c>
      <c r="E94" s="1009"/>
      <c r="F94" s="1009"/>
      <c r="G94" s="1010"/>
      <c r="H94" s="1020">
        <v>2.7</v>
      </c>
      <c r="I94" s="1021"/>
      <c r="J94" s="1021"/>
      <c r="K94" s="1022"/>
      <c r="L94" s="1020">
        <v>2.5</v>
      </c>
      <c r="M94" s="1021"/>
      <c r="N94" s="1021"/>
      <c r="O94" s="1022"/>
      <c r="P94" s="1020" t="s">
        <v>779</v>
      </c>
      <c r="Q94" s="1021"/>
      <c r="R94" s="1021"/>
      <c r="S94" s="1022"/>
      <c r="T94" s="1020">
        <f>'State Agg LFx3 (2014)'!T94</f>
        <v>4.0999999999999996</v>
      </c>
      <c r="U94" s="1021"/>
      <c r="V94" s="1021"/>
      <c r="W94" s="1022"/>
      <c r="X94" s="880"/>
    </row>
    <row r="95" spans="1:24" ht="13.5" thickBot="1">
      <c r="A95" s="885"/>
      <c r="B95" s="885"/>
      <c r="C95" s="102" t="s">
        <v>283</v>
      </c>
      <c r="D95" s="1017"/>
      <c r="E95" s="1018"/>
      <c r="F95" s="1018"/>
      <c r="G95" s="1019"/>
      <c r="H95" s="1017"/>
      <c r="I95" s="1018"/>
      <c r="J95" s="1018"/>
      <c r="K95" s="1019"/>
      <c r="L95" s="1020">
        <v>1.2</v>
      </c>
      <c r="M95" s="1021"/>
      <c r="N95" s="1021"/>
      <c r="O95" s="1022"/>
      <c r="P95" s="1020" t="s">
        <v>780</v>
      </c>
      <c r="Q95" s="1021"/>
      <c r="R95" s="1021"/>
      <c r="S95" s="1022"/>
      <c r="T95" s="1020">
        <f>'State Agg LFx3 (2014)'!T95</f>
        <v>2.9</v>
      </c>
      <c r="U95" s="1021"/>
      <c r="V95" s="1021"/>
      <c r="W95" s="1022"/>
      <c r="X95" s="880"/>
    </row>
    <row r="96" spans="1:24" ht="13.5" thickBot="1">
      <c r="A96" s="885"/>
      <c r="B96" s="885"/>
      <c r="C96" s="102" t="s">
        <v>284</v>
      </c>
      <c r="D96" s="1017"/>
      <c r="E96" s="1018"/>
      <c r="F96" s="1018"/>
      <c r="G96" s="1019"/>
      <c r="H96" s="1017"/>
      <c r="I96" s="1018"/>
      <c r="J96" s="1018"/>
      <c r="K96" s="1019"/>
      <c r="L96" s="1017"/>
      <c r="M96" s="1018"/>
      <c r="N96" s="1018"/>
      <c r="O96" s="1019"/>
      <c r="P96" s="1017"/>
      <c r="Q96" s="1018"/>
      <c r="R96" s="1018"/>
      <c r="S96" s="1019"/>
      <c r="T96" s="1017"/>
      <c r="U96" s="1018"/>
      <c r="V96" s="1018"/>
      <c r="W96" s="1019"/>
      <c r="X96" s="880"/>
    </row>
    <row r="97" spans="1:24" ht="13.5" thickBot="1">
      <c r="A97" s="885"/>
      <c r="B97" s="885"/>
      <c r="C97" s="998" t="s">
        <v>413</v>
      </c>
      <c r="D97" s="927" t="s">
        <v>4</v>
      </c>
      <c r="E97" s="928"/>
      <c r="F97" s="928"/>
      <c r="G97" s="928"/>
      <c r="H97" s="928"/>
      <c r="I97" s="928"/>
      <c r="J97" s="928"/>
      <c r="K97" s="928"/>
      <c r="L97" s="928"/>
      <c r="M97" s="928"/>
      <c r="N97" s="928"/>
      <c r="O97" s="928"/>
      <c r="P97" s="928"/>
      <c r="Q97" s="928"/>
      <c r="R97" s="928"/>
      <c r="S97" s="928"/>
      <c r="T97" s="928"/>
      <c r="U97" s="928"/>
      <c r="V97" s="928"/>
      <c r="W97" s="929"/>
      <c r="X97" s="880"/>
    </row>
    <row r="98" spans="1:24" ht="24" customHeight="1" thickBot="1">
      <c r="A98" s="885"/>
      <c r="B98" s="869"/>
      <c r="C98" s="999"/>
      <c r="D98" s="930" t="s">
        <v>120</v>
      </c>
      <c r="E98" s="931"/>
      <c r="F98" s="931"/>
      <c r="G98" s="931"/>
      <c r="H98" s="931"/>
      <c r="I98" s="931"/>
      <c r="J98" s="931"/>
      <c r="K98" s="931"/>
      <c r="L98" s="931"/>
      <c r="M98" s="931"/>
      <c r="N98" s="931"/>
      <c r="O98" s="931"/>
      <c r="P98" s="931"/>
      <c r="Q98" s="931"/>
      <c r="R98" s="931"/>
      <c r="S98" s="931"/>
      <c r="T98" s="931"/>
      <c r="U98" s="931"/>
      <c r="V98" s="931"/>
      <c r="W98" s="932"/>
      <c r="X98" s="880"/>
    </row>
    <row r="99" spans="1:24" ht="12.95" customHeight="1" thickBot="1">
      <c r="A99" s="885"/>
      <c r="B99" s="11" t="s">
        <v>17</v>
      </c>
      <c r="C99" s="12"/>
      <c r="D99" s="927" t="s">
        <v>78</v>
      </c>
      <c r="E99" s="928"/>
      <c r="F99" s="928"/>
      <c r="G99" s="929"/>
      <c r="H99" s="927" t="s">
        <v>77</v>
      </c>
      <c r="I99" s="928"/>
      <c r="J99" s="928"/>
      <c r="K99" s="929"/>
      <c r="L99" s="927" t="s">
        <v>81</v>
      </c>
      <c r="M99" s="928"/>
      <c r="N99" s="928"/>
      <c r="O99" s="929"/>
      <c r="P99" s="927" t="s">
        <v>254</v>
      </c>
      <c r="Q99" s="928"/>
      <c r="R99" s="928"/>
      <c r="S99" s="929"/>
      <c r="T99" s="1144" t="s">
        <v>908</v>
      </c>
      <c r="U99" s="1145"/>
      <c r="V99" s="1145"/>
      <c r="W99" s="1146"/>
      <c r="X99" s="880"/>
    </row>
    <row r="100" spans="1:24" ht="13.5" thickBot="1">
      <c r="A100" s="885"/>
      <c r="B100" s="868" t="s">
        <v>59</v>
      </c>
      <c r="C100" s="9" t="s">
        <v>235</v>
      </c>
      <c r="D100" s="1014">
        <v>1</v>
      </c>
      <c r="E100" s="1015"/>
      <c r="F100" s="1015"/>
      <c r="G100" s="1016"/>
      <c r="H100" s="1014">
        <v>2.1</v>
      </c>
      <c r="I100" s="1015"/>
      <c r="J100" s="1015"/>
      <c r="K100" s="1016"/>
      <c r="L100" s="1094">
        <v>2.7</v>
      </c>
      <c r="M100" s="1095"/>
      <c r="N100" s="1095"/>
      <c r="O100" s="1096"/>
      <c r="P100" s="1094">
        <v>3.3</v>
      </c>
      <c r="Q100" s="1095"/>
      <c r="R100" s="1095"/>
      <c r="S100" s="1096"/>
      <c r="T100" s="1039">
        <f>'LF for 2014 AR (original)'!P100+(2/3*('LF for 2014 AR (original)'!T100-'LF for 2014 AR (original)'!P100))</f>
        <v>3.6999999999999997</v>
      </c>
      <c r="U100" s="1040"/>
      <c r="V100" s="1040"/>
      <c r="W100" s="1041"/>
      <c r="X100" s="880"/>
    </row>
    <row r="101" spans="1:24" ht="13.5" thickBot="1">
      <c r="A101" s="885"/>
      <c r="B101" s="885"/>
      <c r="C101" s="9" t="s">
        <v>233</v>
      </c>
      <c r="D101" s="966" t="s">
        <v>255</v>
      </c>
      <c r="E101" s="967"/>
      <c r="F101" s="967"/>
      <c r="G101" s="968"/>
      <c r="H101" s="1014">
        <v>1</v>
      </c>
      <c r="I101" s="1015"/>
      <c r="J101" s="1015"/>
      <c r="K101" s="1016"/>
      <c r="L101" s="1094">
        <v>1</v>
      </c>
      <c r="M101" s="1095"/>
      <c r="N101" s="1095"/>
      <c r="O101" s="1096"/>
      <c r="P101" s="1094">
        <v>1.4</v>
      </c>
      <c r="Q101" s="1095"/>
      <c r="R101" s="1095"/>
      <c r="S101" s="1096"/>
      <c r="T101" s="1039">
        <f>'LF for 2014 AR (original)'!P101+(2/3*('LF for 2014 AR (original)'!T101-'LF for 2014 AR (original)'!P101))</f>
        <v>2.0666666666666664</v>
      </c>
      <c r="U101" s="1040"/>
      <c r="V101" s="1040"/>
      <c r="W101" s="1041"/>
      <c r="X101" s="880"/>
    </row>
    <row r="102" spans="1:24" ht="12.95" customHeight="1" thickBot="1">
      <c r="A102" s="885"/>
      <c r="B102" s="885"/>
      <c r="C102" s="9" t="s">
        <v>234</v>
      </c>
      <c r="D102" s="957"/>
      <c r="E102" s="958"/>
      <c r="F102" s="958"/>
      <c r="G102" s="959"/>
      <c r="H102" s="957"/>
      <c r="I102" s="958"/>
      <c r="J102" s="958"/>
      <c r="K102" s="959"/>
      <c r="L102" s="1057" t="s">
        <v>909</v>
      </c>
      <c r="M102" s="1058"/>
      <c r="N102" s="1058"/>
      <c r="O102" s="1059"/>
      <c r="P102" s="1023">
        <f>'State Agg LFx3 (2014)'!P102</f>
        <v>1.5</v>
      </c>
      <c r="Q102" s="1024"/>
      <c r="R102" s="1024"/>
      <c r="S102" s="1025"/>
      <c r="T102" s="1023">
        <f>'State Agg LFx3 (2014)'!T102</f>
        <v>1.5</v>
      </c>
      <c r="U102" s="1024"/>
      <c r="V102" s="1024"/>
      <c r="W102" s="1025"/>
      <c r="X102" s="880"/>
    </row>
    <row r="103" spans="1:24" ht="13.5" thickBot="1">
      <c r="A103" s="885"/>
      <c r="B103" s="885"/>
      <c r="C103" s="102" t="s">
        <v>236</v>
      </c>
      <c r="D103" s="1008" t="s">
        <v>416</v>
      </c>
      <c r="E103" s="1009"/>
      <c r="F103" s="1009"/>
      <c r="G103" s="1010"/>
      <c r="H103" s="1020">
        <v>2.6</v>
      </c>
      <c r="I103" s="1021"/>
      <c r="J103" s="1021"/>
      <c r="K103" s="1022"/>
      <c r="L103" s="1020">
        <v>2.8</v>
      </c>
      <c r="M103" s="1021"/>
      <c r="N103" s="1021"/>
      <c r="O103" s="1022"/>
      <c r="P103" s="1020" t="s">
        <v>781</v>
      </c>
      <c r="Q103" s="1021"/>
      <c r="R103" s="1021"/>
      <c r="S103" s="1022"/>
      <c r="T103" s="1020">
        <f>'State Agg LFx3 (2014)'!T103</f>
        <v>4.0459999999999994</v>
      </c>
      <c r="U103" s="1021"/>
      <c r="V103" s="1021"/>
      <c r="W103" s="1022"/>
      <c r="X103" s="880"/>
    </row>
    <row r="104" spans="1:24" ht="13.5" thickBot="1">
      <c r="A104" s="885"/>
      <c r="B104" s="885"/>
      <c r="C104" s="102" t="s">
        <v>283</v>
      </c>
      <c r="D104" s="1017"/>
      <c r="E104" s="1018"/>
      <c r="F104" s="1018"/>
      <c r="G104" s="1019"/>
      <c r="H104" s="1017"/>
      <c r="I104" s="1018"/>
      <c r="J104" s="1018"/>
      <c r="K104" s="1019"/>
      <c r="L104" s="1020">
        <v>1</v>
      </c>
      <c r="M104" s="1021"/>
      <c r="N104" s="1021"/>
      <c r="O104" s="1022"/>
      <c r="P104" s="1020" t="s">
        <v>782</v>
      </c>
      <c r="Q104" s="1021"/>
      <c r="R104" s="1021"/>
      <c r="S104" s="1022"/>
      <c r="T104" s="1020">
        <f>'State Agg LFx3 (2014)'!T104</f>
        <v>2.9333333333333336</v>
      </c>
      <c r="U104" s="1021"/>
      <c r="V104" s="1021"/>
      <c r="W104" s="1022"/>
      <c r="X104" s="880"/>
    </row>
    <row r="105" spans="1:24" ht="13.5" thickBot="1">
      <c r="A105" s="885"/>
      <c r="B105" s="885"/>
      <c r="C105" s="102" t="s">
        <v>284</v>
      </c>
      <c r="D105" s="1017"/>
      <c r="E105" s="1018"/>
      <c r="F105" s="1018"/>
      <c r="G105" s="1019"/>
      <c r="H105" s="1017"/>
      <c r="I105" s="1018"/>
      <c r="J105" s="1018"/>
      <c r="K105" s="1019"/>
      <c r="L105" s="1017"/>
      <c r="M105" s="1018"/>
      <c r="N105" s="1018"/>
      <c r="O105" s="1019"/>
      <c r="P105" s="1017"/>
      <c r="Q105" s="1018"/>
      <c r="R105" s="1018"/>
      <c r="S105" s="1019"/>
      <c r="T105" s="1017"/>
      <c r="U105" s="1018"/>
      <c r="V105" s="1018"/>
      <c r="W105" s="1019"/>
      <c r="X105" s="880"/>
    </row>
    <row r="106" spans="1:24" ht="13.5" thickBot="1">
      <c r="A106" s="885"/>
      <c r="B106" s="885"/>
      <c r="C106" s="998" t="s">
        <v>413</v>
      </c>
      <c r="D106" s="927" t="s">
        <v>4</v>
      </c>
      <c r="E106" s="928"/>
      <c r="F106" s="928"/>
      <c r="G106" s="928"/>
      <c r="H106" s="928"/>
      <c r="I106" s="928"/>
      <c r="J106" s="928"/>
      <c r="K106" s="928"/>
      <c r="L106" s="928"/>
      <c r="M106" s="928"/>
      <c r="N106" s="928"/>
      <c r="O106" s="928"/>
      <c r="P106" s="928"/>
      <c r="Q106" s="928"/>
      <c r="R106" s="928"/>
      <c r="S106" s="928"/>
      <c r="T106" s="928"/>
      <c r="U106" s="928"/>
      <c r="V106" s="928"/>
      <c r="W106" s="929"/>
      <c r="X106" s="880"/>
    </row>
    <row r="107" spans="1:24" ht="13.5" thickBot="1">
      <c r="A107" s="885"/>
      <c r="B107" s="869"/>
      <c r="C107" s="999"/>
      <c r="D107" s="930" t="s">
        <v>118</v>
      </c>
      <c r="E107" s="931"/>
      <c r="F107" s="931"/>
      <c r="G107" s="931"/>
      <c r="H107" s="931"/>
      <c r="I107" s="931"/>
      <c r="J107" s="931"/>
      <c r="K107" s="931"/>
      <c r="L107" s="931"/>
      <c r="M107" s="931"/>
      <c r="N107" s="931"/>
      <c r="O107" s="931"/>
      <c r="P107" s="931"/>
      <c r="Q107" s="931"/>
      <c r="R107" s="931"/>
      <c r="S107" s="931"/>
      <c r="T107" s="931"/>
      <c r="U107" s="931"/>
      <c r="V107" s="931"/>
      <c r="W107" s="932"/>
      <c r="X107" s="880"/>
    </row>
    <row r="108" spans="1:24" ht="12.95" customHeight="1" thickBot="1">
      <c r="A108" s="885"/>
      <c r="B108" s="11" t="s">
        <v>18</v>
      </c>
      <c r="C108" s="12"/>
      <c r="D108" s="927" t="s">
        <v>78</v>
      </c>
      <c r="E108" s="928"/>
      <c r="F108" s="928"/>
      <c r="G108" s="929"/>
      <c r="H108" s="927" t="s">
        <v>77</v>
      </c>
      <c r="I108" s="928"/>
      <c r="J108" s="928"/>
      <c r="K108" s="929"/>
      <c r="L108" s="927" t="s">
        <v>81</v>
      </c>
      <c r="M108" s="928"/>
      <c r="N108" s="928"/>
      <c r="O108" s="929"/>
      <c r="P108" s="927" t="s">
        <v>254</v>
      </c>
      <c r="Q108" s="928"/>
      <c r="R108" s="928"/>
      <c r="S108" s="929"/>
      <c r="T108" s="1144" t="s">
        <v>908</v>
      </c>
      <c r="U108" s="1145"/>
      <c r="V108" s="1145"/>
      <c r="W108" s="1146"/>
      <c r="X108" s="880"/>
    </row>
    <row r="109" spans="1:24" ht="13.5" thickBot="1">
      <c r="A109" s="885"/>
      <c r="B109" s="868" t="s">
        <v>60</v>
      </c>
      <c r="C109" s="9" t="s">
        <v>247</v>
      </c>
      <c r="D109" s="1000">
        <v>0</v>
      </c>
      <c r="E109" s="1001"/>
      <c r="F109" s="1001"/>
      <c r="G109" s="1002"/>
      <c r="H109" s="1000">
        <v>0</v>
      </c>
      <c r="I109" s="1001"/>
      <c r="J109" s="1001"/>
      <c r="K109" s="1002"/>
      <c r="L109" s="1000">
        <v>5</v>
      </c>
      <c r="M109" s="1001"/>
      <c r="N109" s="1001"/>
      <c r="O109" s="1002"/>
      <c r="P109" s="1000">
        <v>15</v>
      </c>
      <c r="Q109" s="1001"/>
      <c r="R109" s="1001"/>
      <c r="S109" s="1002"/>
      <c r="T109" s="1014">
        <f>'LF for 2014 AR (original)'!P109+(2/3*('LF for 2014 AR (original)'!T109-'LF for 2014 AR (original)'!P109))</f>
        <v>25</v>
      </c>
      <c r="U109" s="1015"/>
      <c r="V109" s="1015"/>
      <c r="W109" s="1016"/>
      <c r="X109" s="880"/>
    </row>
    <row r="110" spans="1:24" ht="13.5" thickBot="1">
      <c r="A110" s="869"/>
      <c r="B110" s="885"/>
      <c r="C110" s="102" t="s">
        <v>246</v>
      </c>
      <c r="D110" s="1003" t="s">
        <v>172</v>
      </c>
      <c r="E110" s="1004"/>
      <c r="F110" s="1004"/>
      <c r="G110" s="1005"/>
      <c r="H110" s="1003" t="s">
        <v>417</v>
      </c>
      <c r="I110" s="1004"/>
      <c r="J110" s="1004"/>
      <c r="K110" s="1005"/>
      <c r="L110" s="995">
        <v>11</v>
      </c>
      <c r="M110" s="996"/>
      <c r="N110" s="996"/>
      <c r="O110" s="997"/>
      <c r="P110" s="995" t="s">
        <v>783</v>
      </c>
      <c r="Q110" s="996"/>
      <c r="R110" s="996"/>
      <c r="S110" s="997"/>
      <c r="T110" s="995">
        <f>'State Agg LFx3 (2014)'!T110</f>
        <v>61</v>
      </c>
      <c r="U110" s="996"/>
      <c r="V110" s="996"/>
      <c r="W110" s="997"/>
      <c r="X110" s="881"/>
    </row>
    <row r="111" spans="1:24" ht="13.5" thickBot="1">
      <c r="A111" s="507" t="s">
        <v>13</v>
      </c>
      <c r="B111" s="885"/>
      <c r="C111" s="998" t="s">
        <v>413</v>
      </c>
      <c r="D111" s="927" t="s">
        <v>4</v>
      </c>
      <c r="E111" s="928"/>
      <c r="F111" s="928"/>
      <c r="G111" s="928"/>
      <c r="H111" s="928"/>
      <c r="I111" s="928"/>
      <c r="J111" s="928"/>
      <c r="K111" s="928"/>
      <c r="L111" s="928"/>
      <c r="M111" s="928"/>
      <c r="N111" s="928"/>
      <c r="O111" s="928"/>
      <c r="P111" s="928"/>
      <c r="Q111" s="928"/>
      <c r="R111" s="928"/>
      <c r="S111" s="928"/>
      <c r="T111" s="928"/>
      <c r="U111" s="928"/>
      <c r="V111" s="928"/>
      <c r="W111" s="929"/>
      <c r="X111" s="24" t="s">
        <v>14</v>
      </c>
    </row>
    <row r="112" spans="1:24" ht="13.5" thickBot="1">
      <c r="A112" s="25" t="s">
        <v>75</v>
      </c>
      <c r="B112" s="869"/>
      <c r="C112" s="999"/>
      <c r="D112" s="930" t="s">
        <v>119</v>
      </c>
      <c r="E112" s="931"/>
      <c r="F112" s="931"/>
      <c r="G112" s="931"/>
      <c r="H112" s="931"/>
      <c r="I112" s="931"/>
      <c r="J112" s="931"/>
      <c r="K112" s="931"/>
      <c r="L112" s="931"/>
      <c r="M112" s="931"/>
      <c r="N112" s="931"/>
      <c r="O112" s="931"/>
      <c r="P112" s="931"/>
      <c r="Q112" s="931"/>
      <c r="R112" s="931"/>
      <c r="S112" s="931"/>
      <c r="T112" s="931"/>
      <c r="U112" s="931"/>
      <c r="V112" s="931"/>
      <c r="W112" s="932"/>
      <c r="X112" s="18" t="s">
        <v>92</v>
      </c>
    </row>
    <row r="113" spans="1:24" ht="13.5" thickBot="1">
      <c r="A113" s="906" t="s">
        <v>7</v>
      </c>
      <c r="B113" s="908" t="s">
        <v>173</v>
      </c>
      <c r="C113" s="918"/>
      <c r="D113" s="908" t="s">
        <v>8</v>
      </c>
      <c r="E113" s="918"/>
      <c r="F113" s="918"/>
      <c r="G113" s="909"/>
      <c r="H113" s="908" t="s">
        <v>88</v>
      </c>
      <c r="I113" s="918"/>
      <c r="J113" s="918"/>
      <c r="K113" s="909"/>
      <c r="L113" s="908" t="s">
        <v>89</v>
      </c>
      <c r="M113" s="918"/>
      <c r="N113" s="918"/>
      <c r="O113" s="909"/>
      <c r="P113" s="908" t="s">
        <v>9</v>
      </c>
      <c r="Q113" s="918"/>
      <c r="R113" s="918"/>
      <c r="S113" s="909"/>
      <c r="T113" s="908" t="s">
        <v>174</v>
      </c>
      <c r="U113" s="918"/>
      <c r="V113" s="918"/>
      <c r="W113" s="918"/>
      <c r="X113" s="909"/>
    </row>
    <row r="114" spans="1:24" ht="13.5" thickBot="1">
      <c r="A114" s="907"/>
      <c r="B114" s="919">
        <v>6200000</v>
      </c>
      <c r="C114" s="921"/>
      <c r="D114" s="919">
        <v>900000</v>
      </c>
      <c r="E114" s="921"/>
      <c r="F114" s="921"/>
      <c r="G114" s="920"/>
      <c r="H114" s="919">
        <v>1800000</v>
      </c>
      <c r="I114" s="921"/>
      <c r="J114" s="921"/>
      <c r="K114" s="920"/>
      <c r="L114" s="919">
        <v>3300000</v>
      </c>
      <c r="M114" s="921"/>
      <c r="N114" s="921"/>
      <c r="O114" s="920"/>
      <c r="P114" s="919">
        <f>SUM(B114:O114)</f>
        <v>12200000</v>
      </c>
      <c r="Q114" s="921"/>
      <c r="R114" s="921"/>
      <c r="S114" s="920"/>
      <c r="T114" s="942">
        <f>B114/P114%</f>
        <v>50.819672131147541</v>
      </c>
      <c r="U114" s="943"/>
      <c r="V114" s="943"/>
      <c r="W114" s="943"/>
      <c r="X114" s="944"/>
    </row>
    <row r="115" spans="1:24" ht="13.5" thickBot="1">
      <c r="A115" s="906" t="s">
        <v>10</v>
      </c>
      <c r="B115" s="908" t="s">
        <v>175</v>
      </c>
      <c r="C115" s="918"/>
      <c r="D115" s="910"/>
      <c r="E115" s="911"/>
      <c r="F115" s="911"/>
      <c r="G115" s="911"/>
      <c r="H115" s="911"/>
      <c r="I115" s="911"/>
      <c r="J115" s="911"/>
      <c r="K115" s="911"/>
      <c r="L115" s="911"/>
      <c r="M115" s="911"/>
      <c r="N115" s="911"/>
      <c r="O115" s="911"/>
      <c r="P115" s="911"/>
      <c r="Q115" s="911"/>
      <c r="R115" s="911"/>
      <c r="S115" s="911"/>
      <c r="T115" s="911"/>
      <c r="U115" s="911"/>
      <c r="V115" s="911"/>
      <c r="W115" s="911"/>
      <c r="X115" s="912"/>
    </row>
    <row r="116" spans="1:24" ht="13.5" thickBot="1">
      <c r="A116" s="907"/>
      <c r="B116" s="916"/>
      <c r="C116" s="994"/>
      <c r="D116" s="913"/>
      <c r="E116" s="914"/>
      <c r="F116" s="914"/>
      <c r="G116" s="914"/>
      <c r="H116" s="914"/>
      <c r="I116" s="914"/>
      <c r="J116" s="914"/>
      <c r="K116" s="914"/>
      <c r="L116" s="914"/>
      <c r="M116" s="914"/>
      <c r="N116" s="914"/>
      <c r="O116" s="914"/>
      <c r="P116" s="914"/>
      <c r="Q116" s="914"/>
      <c r="R116" s="914"/>
      <c r="S116" s="914"/>
      <c r="T116" s="914"/>
      <c r="U116" s="914"/>
      <c r="V116" s="914"/>
      <c r="W116" s="914"/>
      <c r="X116" s="915"/>
    </row>
    <row r="117" spans="1:24">
      <c r="A117" s="5"/>
      <c r="B117" s="5"/>
      <c r="C117" s="6"/>
      <c r="D117" s="5"/>
      <c r="E117" s="5"/>
      <c r="F117" s="5"/>
      <c r="G117" s="5"/>
      <c r="H117" s="5"/>
      <c r="I117" s="5"/>
      <c r="J117" s="5"/>
      <c r="K117" s="5"/>
      <c r="L117" s="5"/>
      <c r="M117" s="5"/>
      <c r="N117" s="5"/>
      <c r="O117" s="5"/>
      <c r="P117" s="5"/>
      <c r="Q117" s="5"/>
      <c r="R117" s="5"/>
      <c r="S117" s="5"/>
      <c r="T117" s="5"/>
      <c r="U117" s="5"/>
      <c r="V117" s="5"/>
      <c r="W117" s="5"/>
      <c r="X117" s="5"/>
    </row>
    <row r="118" spans="1:24" ht="13.5" thickBot="1">
      <c r="A118" s="5"/>
      <c r="B118" s="5"/>
      <c r="C118" s="6"/>
      <c r="D118" s="5"/>
      <c r="E118" s="5"/>
      <c r="F118" s="5"/>
      <c r="G118" s="5"/>
      <c r="H118" s="5"/>
      <c r="I118" s="5"/>
      <c r="J118" s="5"/>
      <c r="K118" s="5"/>
      <c r="L118" s="115"/>
      <c r="M118" s="5"/>
      <c r="N118" s="5"/>
      <c r="O118" s="5"/>
      <c r="P118" s="5"/>
      <c r="Q118" s="5"/>
      <c r="R118" s="5"/>
      <c r="S118" s="5"/>
      <c r="T118" s="5"/>
      <c r="U118" s="5"/>
      <c r="V118" s="5"/>
      <c r="W118" s="5"/>
      <c r="X118" s="5"/>
    </row>
    <row r="119" spans="1:24" ht="12.95" customHeight="1" thickBot="1">
      <c r="A119" s="506" t="s">
        <v>15</v>
      </c>
      <c r="B119" s="514" t="s">
        <v>19</v>
      </c>
      <c r="C119" s="8"/>
      <c r="D119" s="927" t="s">
        <v>78</v>
      </c>
      <c r="E119" s="928"/>
      <c r="F119" s="928"/>
      <c r="G119" s="929"/>
      <c r="H119" s="927" t="s">
        <v>77</v>
      </c>
      <c r="I119" s="928"/>
      <c r="J119" s="928"/>
      <c r="K119" s="929"/>
      <c r="L119" s="927" t="s">
        <v>81</v>
      </c>
      <c r="M119" s="928"/>
      <c r="N119" s="928"/>
      <c r="O119" s="929"/>
      <c r="P119" s="927" t="s">
        <v>254</v>
      </c>
      <c r="Q119" s="928"/>
      <c r="R119" s="928"/>
      <c r="S119" s="929"/>
      <c r="T119" s="1144" t="s">
        <v>908</v>
      </c>
      <c r="U119" s="1145"/>
      <c r="V119" s="1145"/>
      <c r="W119" s="1146"/>
      <c r="X119" s="16" t="s">
        <v>6</v>
      </c>
    </row>
    <row r="120" spans="1:24" ht="12.95" customHeight="1" thickBot="1">
      <c r="A120" s="868" t="s">
        <v>61</v>
      </c>
      <c r="B120" s="868" t="s">
        <v>62</v>
      </c>
      <c r="C120" s="9" t="s">
        <v>235</v>
      </c>
      <c r="D120" s="1014">
        <v>1</v>
      </c>
      <c r="E120" s="1015"/>
      <c r="F120" s="1015"/>
      <c r="G120" s="1016"/>
      <c r="H120" s="1014">
        <v>1.8</v>
      </c>
      <c r="I120" s="1015"/>
      <c r="J120" s="1015"/>
      <c r="K120" s="1016"/>
      <c r="L120" s="1094">
        <v>2.4</v>
      </c>
      <c r="M120" s="1095"/>
      <c r="N120" s="1095"/>
      <c r="O120" s="1096"/>
      <c r="P120" s="1094">
        <v>3.1</v>
      </c>
      <c r="Q120" s="1095"/>
      <c r="R120" s="1095"/>
      <c r="S120" s="1096"/>
      <c r="T120" s="1039">
        <f>'LF for 2014 AR (original)'!P120+(2/3*('LF for 2014 AR (original)'!T120-'LF for 2014 AR (original)'!P120))</f>
        <v>3.5</v>
      </c>
      <c r="U120" s="1040"/>
      <c r="V120" s="1040"/>
      <c r="W120" s="1041"/>
      <c r="X120" s="879" t="s">
        <v>94</v>
      </c>
    </row>
    <row r="121" spans="1:24" ht="12.95" customHeight="1" thickBot="1">
      <c r="A121" s="885"/>
      <c r="B121" s="885"/>
      <c r="C121" s="9" t="s">
        <v>233</v>
      </c>
      <c r="D121" s="966" t="s">
        <v>255</v>
      </c>
      <c r="E121" s="967"/>
      <c r="F121" s="967"/>
      <c r="G121" s="968"/>
      <c r="H121" s="1014">
        <v>1</v>
      </c>
      <c r="I121" s="1015"/>
      <c r="J121" s="1015"/>
      <c r="K121" s="1016"/>
      <c r="L121" s="1094">
        <v>1</v>
      </c>
      <c r="M121" s="1095"/>
      <c r="N121" s="1095"/>
      <c r="O121" s="1096"/>
      <c r="P121" s="1094">
        <v>1.4</v>
      </c>
      <c r="Q121" s="1095"/>
      <c r="R121" s="1095"/>
      <c r="S121" s="1096"/>
      <c r="T121" s="1039">
        <f>'LF for 2014 AR (original)'!P121+(2/3*('LF for 2014 AR (original)'!T121-'LF for 2014 AR (original)'!P121))</f>
        <v>2.2000000000000002</v>
      </c>
      <c r="U121" s="1040"/>
      <c r="V121" s="1040"/>
      <c r="W121" s="1041"/>
      <c r="X121" s="880"/>
    </row>
    <row r="122" spans="1:24" ht="12.95" customHeight="1" thickBot="1">
      <c r="A122" s="885"/>
      <c r="B122" s="885"/>
      <c r="C122" s="9" t="s">
        <v>234</v>
      </c>
      <c r="D122" s="957"/>
      <c r="E122" s="958"/>
      <c r="F122" s="958"/>
      <c r="G122" s="959"/>
      <c r="H122" s="957"/>
      <c r="I122" s="958"/>
      <c r="J122" s="958"/>
      <c r="K122" s="959"/>
      <c r="L122" s="1057" t="s">
        <v>909</v>
      </c>
      <c r="M122" s="1058"/>
      <c r="N122" s="1058"/>
      <c r="O122" s="1059"/>
      <c r="P122" s="1023">
        <f>'State Agg LFx3 (2014)'!P122</f>
        <v>1.05</v>
      </c>
      <c r="Q122" s="1024"/>
      <c r="R122" s="1024"/>
      <c r="S122" s="1025"/>
      <c r="T122" s="1023">
        <f>'State Agg LFx3 (2014)'!T122</f>
        <v>1.05</v>
      </c>
      <c r="U122" s="1024"/>
      <c r="V122" s="1024"/>
      <c r="W122" s="1025"/>
      <c r="X122" s="880"/>
    </row>
    <row r="123" spans="1:24" ht="13.5" thickBot="1">
      <c r="A123" s="885"/>
      <c r="B123" s="885"/>
      <c r="C123" s="102" t="s">
        <v>236</v>
      </c>
      <c r="D123" s="1008" t="s">
        <v>416</v>
      </c>
      <c r="E123" s="1009"/>
      <c r="F123" s="1009"/>
      <c r="G123" s="1010"/>
      <c r="H123" s="1020">
        <v>2</v>
      </c>
      <c r="I123" s="1021"/>
      <c r="J123" s="1021"/>
      <c r="K123" s="1022"/>
      <c r="L123" s="1020">
        <v>2.5</v>
      </c>
      <c r="M123" s="1021"/>
      <c r="N123" s="1021"/>
      <c r="O123" s="1022"/>
      <c r="P123" s="1020" t="s">
        <v>784</v>
      </c>
      <c r="Q123" s="1021"/>
      <c r="R123" s="1021"/>
      <c r="S123" s="1022"/>
      <c r="T123" s="1020">
        <f>'State Agg LFx3 (2014)'!T123</f>
        <v>3.85</v>
      </c>
      <c r="U123" s="1021"/>
      <c r="V123" s="1021"/>
      <c r="W123" s="1022"/>
      <c r="X123" s="880"/>
    </row>
    <row r="124" spans="1:24" ht="13.5" thickBot="1">
      <c r="A124" s="885"/>
      <c r="B124" s="885"/>
      <c r="C124" s="102" t="s">
        <v>283</v>
      </c>
      <c r="D124" s="1017"/>
      <c r="E124" s="1018"/>
      <c r="F124" s="1018"/>
      <c r="G124" s="1019"/>
      <c r="H124" s="1017"/>
      <c r="I124" s="1018"/>
      <c r="J124" s="1018"/>
      <c r="K124" s="1019"/>
      <c r="L124" s="1020">
        <v>1</v>
      </c>
      <c r="M124" s="1021"/>
      <c r="N124" s="1021"/>
      <c r="O124" s="1022"/>
      <c r="P124" s="1020">
        <v>1.7</v>
      </c>
      <c r="Q124" s="1021"/>
      <c r="R124" s="1021"/>
      <c r="S124" s="1022"/>
      <c r="T124" s="1020">
        <f>'State Agg LFx3 (2014)'!T124</f>
        <v>3.3333333333333335</v>
      </c>
      <c r="U124" s="1021"/>
      <c r="V124" s="1021"/>
      <c r="W124" s="1022"/>
      <c r="X124" s="880"/>
    </row>
    <row r="125" spans="1:24" ht="13.5" thickBot="1">
      <c r="A125" s="885"/>
      <c r="B125" s="885"/>
      <c r="C125" s="102" t="s">
        <v>284</v>
      </c>
      <c r="D125" s="1017"/>
      <c r="E125" s="1018"/>
      <c r="F125" s="1018"/>
      <c r="G125" s="1019"/>
      <c r="H125" s="1017"/>
      <c r="I125" s="1018"/>
      <c r="J125" s="1018"/>
      <c r="K125" s="1019"/>
      <c r="L125" s="1017"/>
      <c r="M125" s="1018"/>
      <c r="N125" s="1018"/>
      <c r="O125" s="1019"/>
      <c r="P125" s="1017"/>
      <c r="Q125" s="1018"/>
      <c r="R125" s="1018"/>
      <c r="S125" s="1019"/>
      <c r="T125" s="1017"/>
      <c r="U125" s="1018"/>
      <c r="V125" s="1018"/>
      <c r="W125" s="1019"/>
      <c r="X125" s="880"/>
    </row>
    <row r="126" spans="1:24" ht="13.5" thickBot="1">
      <c r="A126" s="885"/>
      <c r="B126" s="885"/>
      <c r="C126" s="998" t="s">
        <v>413</v>
      </c>
      <c r="D126" s="927" t="s">
        <v>4</v>
      </c>
      <c r="E126" s="928"/>
      <c r="F126" s="928"/>
      <c r="G126" s="928"/>
      <c r="H126" s="928"/>
      <c r="I126" s="928"/>
      <c r="J126" s="928"/>
      <c r="K126" s="928"/>
      <c r="L126" s="928"/>
      <c r="M126" s="928"/>
      <c r="N126" s="928"/>
      <c r="O126" s="928"/>
      <c r="P126" s="928"/>
      <c r="Q126" s="928"/>
      <c r="R126" s="928"/>
      <c r="S126" s="928"/>
      <c r="T126" s="928"/>
      <c r="U126" s="928"/>
      <c r="V126" s="928"/>
      <c r="W126" s="929"/>
      <c r="X126" s="880"/>
    </row>
    <row r="127" spans="1:24" ht="24" customHeight="1" thickBot="1">
      <c r="A127" s="885"/>
      <c r="B127" s="869"/>
      <c r="C127" s="999"/>
      <c r="D127" s="930" t="s">
        <v>120</v>
      </c>
      <c r="E127" s="931"/>
      <c r="F127" s="931"/>
      <c r="G127" s="931"/>
      <c r="H127" s="931"/>
      <c r="I127" s="931"/>
      <c r="J127" s="931"/>
      <c r="K127" s="931"/>
      <c r="L127" s="931"/>
      <c r="M127" s="931"/>
      <c r="N127" s="931"/>
      <c r="O127" s="931"/>
      <c r="P127" s="931"/>
      <c r="Q127" s="931"/>
      <c r="R127" s="931"/>
      <c r="S127" s="931"/>
      <c r="T127" s="931"/>
      <c r="U127" s="931"/>
      <c r="V127" s="931"/>
      <c r="W127" s="932"/>
      <c r="X127" s="880"/>
    </row>
    <row r="128" spans="1:24" ht="12.95" customHeight="1" thickBot="1">
      <c r="A128" s="885"/>
      <c r="B128" s="11" t="s">
        <v>20</v>
      </c>
      <c r="C128" s="12"/>
      <c r="D128" s="927" t="s">
        <v>78</v>
      </c>
      <c r="E128" s="928"/>
      <c r="F128" s="928"/>
      <c r="G128" s="929"/>
      <c r="H128" s="927" t="s">
        <v>77</v>
      </c>
      <c r="I128" s="928"/>
      <c r="J128" s="928"/>
      <c r="K128" s="929"/>
      <c r="L128" s="927" t="s">
        <v>81</v>
      </c>
      <c r="M128" s="928"/>
      <c r="N128" s="928"/>
      <c r="O128" s="929"/>
      <c r="P128" s="927" t="s">
        <v>254</v>
      </c>
      <c r="Q128" s="928"/>
      <c r="R128" s="928"/>
      <c r="S128" s="929"/>
      <c r="T128" s="1144" t="s">
        <v>908</v>
      </c>
      <c r="U128" s="1145"/>
      <c r="V128" s="1145"/>
      <c r="W128" s="1146"/>
      <c r="X128" s="880"/>
    </row>
    <row r="129" spans="1:24" ht="12.95" customHeight="1" thickBot="1">
      <c r="A129" s="885"/>
      <c r="B129" s="868" t="s">
        <v>59</v>
      </c>
      <c r="C129" s="9" t="s">
        <v>235</v>
      </c>
      <c r="D129" s="1014">
        <v>1</v>
      </c>
      <c r="E129" s="1015"/>
      <c r="F129" s="1015"/>
      <c r="G129" s="1016"/>
      <c r="H129" s="1014">
        <v>1.8</v>
      </c>
      <c r="I129" s="1015"/>
      <c r="J129" s="1015"/>
      <c r="K129" s="1016"/>
      <c r="L129" s="1094">
        <v>2.5</v>
      </c>
      <c r="M129" s="1095"/>
      <c r="N129" s="1095"/>
      <c r="O129" s="1096"/>
      <c r="P129" s="1094">
        <v>3.3</v>
      </c>
      <c r="Q129" s="1095"/>
      <c r="R129" s="1095"/>
      <c r="S129" s="1096"/>
      <c r="T129" s="1039">
        <f>'LF for 2014 AR (original)'!P129+(2/3*('LF for 2014 AR (original)'!T129-'LF for 2014 AR (original)'!P129))</f>
        <v>3.7666666666666666</v>
      </c>
      <c r="U129" s="1040"/>
      <c r="V129" s="1040"/>
      <c r="W129" s="1041"/>
      <c r="X129" s="880"/>
    </row>
    <row r="130" spans="1:24" ht="12.95" customHeight="1" thickBot="1">
      <c r="A130" s="885"/>
      <c r="B130" s="885"/>
      <c r="C130" s="9" t="s">
        <v>233</v>
      </c>
      <c r="D130" s="966" t="s">
        <v>255</v>
      </c>
      <c r="E130" s="967"/>
      <c r="F130" s="967"/>
      <c r="G130" s="968"/>
      <c r="H130" s="1014">
        <v>1</v>
      </c>
      <c r="I130" s="1015"/>
      <c r="J130" s="1015"/>
      <c r="K130" s="1016"/>
      <c r="L130" s="1094">
        <v>1</v>
      </c>
      <c r="M130" s="1095"/>
      <c r="N130" s="1095"/>
      <c r="O130" s="1096"/>
      <c r="P130" s="1094">
        <v>1.3</v>
      </c>
      <c r="Q130" s="1095"/>
      <c r="R130" s="1095"/>
      <c r="S130" s="1096"/>
      <c r="T130" s="1039">
        <f>'LF for 2014 AR (original)'!P130+(2/3*('LF for 2014 AR (original)'!T130-'LF for 2014 AR (original)'!P130))</f>
        <v>2.0333333333333332</v>
      </c>
      <c r="U130" s="1040"/>
      <c r="V130" s="1040"/>
      <c r="W130" s="1041"/>
      <c r="X130" s="880"/>
    </row>
    <row r="131" spans="1:24" ht="12.95" customHeight="1" thickBot="1">
      <c r="A131" s="885"/>
      <c r="B131" s="885"/>
      <c r="C131" s="9" t="s">
        <v>234</v>
      </c>
      <c r="D131" s="957"/>
      <c r="E131" s="958"/>
      <c r="F131" s="958"/>
      <c r="G131" s="959"/>
      <c r="H131" s="957"/>
      <c r="I131" s="958"/>
      <c r="J131" s="958"/>
      <c r="K131" s="959"/>
      <c r="L131" s="1057" t="s">
        <v>909</v>
      </c>
      <c r="M131" s="1058"/>
      <c r="N131" s="1058"/>
      <c r="O131" s="1059"/>
      <c r="P131" s="1023">
        <f>'State Agg LFx3 (2014)'!P131</f>
        <v>1</v>
      </c>
      <c r="Q131" s="1024"/>
      <c r="R131" s="1024"/>
      <c r="S131" s="1025"/>
      <c r="T131" s="1023">
        <f>'State Agg LFx3 (2014)'!T131</f>
        <v>1</v>
      </c>
      <c r="U131" s="1024"/>
      <c r="V131" s="1024"/>
      <c r="W131" s="1025"/>
      <c r="X131" s="880"/>
    </row>
    <row r="132" spans="1:24" ht="13.5" thickBot="1">
      <c r="A132" s="885"/>
      <c r="B132" s="885"/>
      <c r="C132" s="102" t="s">
        <v>236</v>
      </c>
      <c r="D132" s="1008" t="s">
        <v>416</v>
      </c>
      <c r="E132" s="1009"/>
      <c r="F132" s="1009"/>
      <c r="G132" s="1010"/>
      <c r="H132" s="1020">
        <v>1.8</v>
      </c>
      <c r="I132" s="1021"/>
      <c r="J132" s="1021"/>
      <c r="K132" s="1022"/>
      <c r="L132" s="1020">
        <v>2.9</v>
      </c>
      <c r="M132" s="1021"/>
      <c r="N132" s="1021"/>
      <c r="O132" s="1022"/>
      <c r="P132" s="1020">
        <v>3.4</v>
      </c>
      <c r="Q132" s="1021"/>
      <c r="R132" s="1021"/>
      <c r="S132" s="1022"/>
      <c r="T132" s="1020">
        <f>'State Agg LFx3 (2014)'!T132</f>
        <v>3.8</v>
      </c>
      <c r="U132" s="1021"/>
      <c r="V132" s="1021"/>
      <c r="W132" s="1022"/>
      <c r="X132" s="880"/>
    </row>
    <row r="133" spans="1:24" ht="13.5" thickBot="1">
      <c r="A133" s="885"/>
      <c r="B133" s="885"/>
      <c r="C133" s="102" t="s">
        <v>283</v>
      </c>
      <c r="D133" s="1017"/>
      <c r="E133" s="1018"/>
      <c r="F133" s="1018"/>
      <c r="G133" s="1019"/>
      <c r="H133" s="1017"/>
      <c r="I133" s="1018"/>
      <c r="J133" s="1018"/>
      <c r="K133" s="1019"/>
      <c r="L133" s="1020">
        <v>1</v>
      </c>
      <c r="M133" s="1021"/>
      <c r="N133" s="1021"/>
      <c r="O133" s="1022"/>
      <c r="P133" s="1020" t="s">
        <v>785</v>
      </c>
      <c r="Q133" s="1021"/>
      <c r="R133" s="1021"/>
      <c r="S133" s="1022"/>
      <c r="T133" s="1020">
        <f>'State Agg LFx3 (2014)'!T133</f>
        <v>3</v>
      </c>
      <c r="U133" s="1021"/>
      <c r="V133" s="1021"/>
      <c r="W133" s="1022"/>
      <c r="X133" s="880"/>
    </row>
    <row r="134" spans="1:24" ht="13.5" thickBot="1">
      <c r="A134" s="885"/>
      <c r="B134" s="885"/>
      <c r="C134" s="102" t="s">
        <v>284</v>
      </c>
      <c r="D134" s="1017"/>
      <c r="E134" s="1018"/>
      <c r="F134" s="1018"/>
      <c r="G134" s="1019"/>
      <c r="H134" s="1017"/>
      <c r="I134" s="1018"/>
      <c r="J134" s="1018"/>
      <c r="K134" s="1019"/>
      <c r="L134" s="1017"/>
      <c r="M134" s="1018"/>
      <c r="N134" s="1018"/>
      <c r="O134" s="1019"/>
      <c r="P134" s="1017"/>
      <c r="Q134" s="1018"/>
      <c r="R134" s="1018"/>
      <c r="S134" s="1019"/>
      <c r="T134" s="1017"/>
      <c r="U134" s="1018"/>
      <c r="V134" s="1018"/>
      <c r="W134" s="1019"/>
      <c r="X134" s="880"/>
    </row>
    <row r="135" spans="1:24" ht="13.5" thickBot="1">
      <c r="A135" s="885"/>
      <c r="B135" s="885"/>
      <c r="C135" s="998" t="s">
        <v>413</v>
      </c>
      <c r="D135" s="927" t="s">
        <v>4</v>
      </c>
      <c r="E135" s="928"/>
      <c r="F135" s="928"/>
      <c r="G135" s="928"/>
      <c r="H135" s="928"/>
      <c r="I135" s="928"/>
      <c r="J135" s="928"/>
      <c r="K135" s="928"/>
      <c r="L135" s="928"/>
      <c r="M135" s="928"/>
      <c r="N135" s="928"/>
      <c r="O135" s="928"/>
      <c r="P135" s="928"/>
      <c r="Q135" s="928"/>
      <c r="R135" s="928"/>
      <c r="S135" s="928"/>
      <c r="T135" s="928"/>
      <c r="U135" s="928"/>
      <c r="V135" s="928"/>
      <c r="W135" s="929"/>
      <c r="X135" s="880"/>
    </row>
    <row r="136" spans="1:24" ht="13.5" thickBot="1">
      <c r="A136" s="885"/>
      <c r="B136" s="869"/>
      <c r="C136" s="999"/>
      <c r="D136" s="930" t="s">
        <v>118</v>
      </c>
      <c r="E136" s="931"/>
      <c r="F136" s="931"/>
      <c r="G136" s="931"/>
      <c r="H136" s="931"/>
      <c r="I136" s="931"/>
      <c r="J136" s="931"/>
      <c r="K136" s="931"/>
      <c r="L136" s="931"/>
      <c r="M136" s="931"/>
      <c r="N136" s="931"/>
      <c r="O136" s="931"/>
      <c r="P136" s="931"/>
      <c r="Q136" s="931"/>
      <c r="R136" s="931"/>
      <c r="S136" s="931"/>
      <c r="T136" s="931"/>
      <c r="U136" s="931"/>
      <c r="V136" s="931"/>
      <c r="W136" s="932"/>
      <c r="X136" s="880"/>
    </row>
    <row r="137" spans="1:24" ht="12.95" customHeight="1" thickBot="1">
      <c r="A137" s="885"/>
      <c r="B137" s="11" t="s">
        <v>21</v>
      </c>
      <c r="C137" s="12"/>
      <c r="D137" s="927" t="s">
        <v>78</v>
      </c>
      <c r="E137" s="928"/>
      <c r="F137" s="928"/>
      <c r="G137" s="929"/>
      <c r="H137" s="927" t="s">
        <v>77</v>
      </c>
      <c r="I137" s="928"/>
      <c r="J137" s="928"/>
      <c r="K137" s="929"/>
      <c r="L137" s="927" t="s">
        <v>81</v>
      </c>
      <c r="M137" s="928"/>
      <c r="N137" s="928"/>
      <c r="O137" s="929"/>
      <c r="P137" s="927" t="s">
        <v>254</v>
      </c>
      <c r="Q137" s="928"/>
      <c r="R137" s="928"/>
      <c r="S137" s="929"/>
      <c r="T137" s="1144" t="s">
        <v>908</v>
      </c>
      <c r="U137" s="1145"/>
      <c r="V137" s="1145"/>
      <c r="W137" s="1146"/>
      <c r="X137" s="880"/>
    </row>
    <row r="138" spans="1:24" ht="13.5" thickBot="1">
      <c r="A138" s="885"/>
      <c r="B138" s="868" t="s">
        <v>63</v>
      </c>
      <c r="C138" s="9" t="s">
        <v>247</v>
      </c>
      <c r="D138" s="1000">
        <v>0</v>
      </c>
      <c r="E138" s="1001"/>
      <c r="F138" s="1001"/>
      <c r="G138" s="1002"/>
      <c r="H138" s="1000">
        <v>10</v>
      </c>
      <c r="I138" s="1001"/>
      <c r="J138" s="1001"/>
      <c r="K138" s="1002"/>
      <c r="L138" s="1000">
        <v>20</v>
      </c>
      <c r="M138" s="1001"/>
      <c r="N138" s="1001"/>
      <c r="O138" s="1002"/>
      <c r="P138" s="1000">
        <v>30</v>
      </c>
      <c r="Q138" s="1001"/>
      <c r="R138" s="1001"/>
      <c r="S138" s="1002"/>
      <c r="T138" s="1014">
        <f>'LF for 2014 AR (original)'!P138+(2/3*('LF for 2014 AR (original)'!T138-'LF for 2014 AR (original)'!P138))</f>
        <v>43.333333333333329</v>
      </c>
      <c r="U138" s="1015"/>
      <c r="V138" s="1015"/>
      <c r="W138" s="1016"/>
      <c r="X138" s="880"/>
    </row>
    <row r="139" spans="1:24" ht="13.5" thickBot="1">
      <c r="A139" s="869"/>
      <c r="B139" s="885"/>
      <c r="C139" s="102" t="s">
        <v>246</v>
      </c>
      <c r="D139" s="1003" t="s">
        <v>172</v>
      </c>
      <c r="E139" s="1004"/>
      <c r="F139" s="1004"/>
      <c r="G139" s="1005"/>
      <c r="H139" s="1003" t="s">
        <v>417</v>
      </c>
      <c r="I139" s="1004"/>
      <c r="J139" s="1004"/>
      <c r="K139" s="1005"/>
      <c r="L139" s="995">
        <v>16</v>
      </c>
      <c r="M139" s="996"/>
      <c r="N139" s="996"/>
      <c r="O139" s="997"/>
      <c r="P139" s="995" t="s">
        <v>786</v>
      </c>
      <c r="Q139" s="996"/>
      <c r="R139" s="996"/>
      <c r="S139" s="997"/>
      <c r="T139" s="995">
        <f>'State Agg LFx3 (2014)'!T139</f>
        <v>59</v>
      </c>
      <c r="U139" s="996"/>
      <c r="V139" s="996"/>
      <c r="W139" s="997"/>
      <c r="X139" s="881"/>
    </row>
    <row r="140" spans="1:24" ht="13.5" thickBot="1">
      <c r="A140" s="507" t="s">
        <v>13</v>
      </c>
      <c r="B140" s="885"/>
      <c r="C140" s="998" t="s">
        <v>413</v>
      </c>
      <c r="D140" s="927" t="s">
        <v>4</v>
      </c>
      <c r="E140" s="928"/>
      <c r="F140" s="928"/>
      <c r="G140" s="928"/>
      <c r="H140" s="928"/>
      <c r="I140" s="928"/>
      <c r="J140" s="928"/>
      <c r="K140" s="928"/>
      <c r="L140" s="928"/>
      <c r="M140" s="928"/>
      <c r="N140" s="928"/>
      <c r="O140" s="928"/>
      <c r="P140" s="928"/>
      <c r="Q140" s="928"/>
      <c r="R140" s="928"/>
      <c r="S140" s="928"/>
      <c r="T140" s="928"/>
      <c r="U140" s="928"/>
      <c r="V140" s="928"/>
      <c r="W140" s="929"/>
      <c r="X140" s="24" t="s">
        <v>14</v>
      </c>
    </row>
    <row r="141" spans="1:24" ht="13.5" thickBot="1">
      <c r="A141" s="25" t="s">
        <v>75</v>
      </c>
      <c r="B141" s="869"/>
      <c r="C141" s="999"/>
      <c r="D141" s="930" t="s">
        <v>119</v>
      </c>
      <c r="E141" s="931"/>
      <c r="F141" s="931"/>
      <c r="G141" s="931"/>
      <c r="H141" s="931"/>
      <c r="I141" s="931"/>
      <c r="J141" s="931"/>
      <c r="K141" s="931"/>
      <c r="L141" s="931"/>
      <c r="M141" s="931"/>
      <c r="N141" s="931"/>
      <c r="O141" s="931"/>
      <c r="P141" s="931"/>
      <c r="Q141" s="931"/>
      <c r="R141" s="931"/>
      <c r="S141" s="931"/>
      <c r="T141" s="931"/>
      <c r="U141" s="931"/>
      <c r="V141" s="931"/>
      <c r="W141" s="932"/>
      <c r="X141" s="18" t="s">
        <v>93</v>
      </c>
    </row>
    <row r="142" spans="1:24" ht="13.5" thickBot="1">
      <c r="A142" s="906" t="s">
        <v>7</v>
      </c>
      <c r="B142" s="908" t="s">
        <v>173</v>
      </c>
      <c r="C142" s="918"/>
      <c r="D142" s="908" t="s">
        <v>8</v>
      </c>
      <c r="E142" s="918"/>
      <c r="F142" s="918"/>
      <c r="G142" s="909"/>
      <c r="H142" s="908" t="s">
        <v>88</v>
      </c>
      <c r="I142" s="918"/>
      <c r="J142" s="918"/>
      <c r="K142" s="909"/>
      <c r="L142" s="908" t="s">
        <v>89</v>
      </c>
      <c r="M142" s="918"/>
      <c r="N142" s="918"/>
      <c r="O142" s="909"/>
      <c r="P142" s="908" t="s">
        <v>9</v>
      </c>
      <c r="Q142" s="918"/>
      <c r="R142" s="918"/>
      <c r="S142" s="909"/>
      <c r="T142" s="908" t="s">
        <v>174</v>
      </c>
      <c r="U142" s="918"/>
      <c r="V142" s="918"/>
      <c r="W142" s="918"/>
      <c r="X142" s="909"/>
    </row>
    <row r="143" spans="1:24" ht="13.5" thickBot="1">
      <c r="A143" s="907"/>
      <c r="B143" s="919">
        <v>6200000</v>
      </c>
      <c r="C143" s="921"/>
      <c r="D143" s="919">
        <v>1200000</v>
      </c>
      <c r="E143" s="921"/>
      <c r="F143" s="921"/>
      <c r="G143" s="920"/>
      <c r="H143" s="919">
        <v>2500000</v>
      </c>
      <c r="I143" s="921"/>
      <c r="J143" s="921"/>
      <c r="K143" s="920"/>
      <c r="L143" s="919">
        <v>2800000</v>
      </c>
      <c r="M143" s="921"/>
      <c r="N143" s="921"/>
      <c r="O143" s="920"/>
      <c r="P143" s="919">
        <f>SUM(B143:O143)</f>
        <v>12700000</v>
      </c>
      <c r="Q143" s="921"/>
      <c r="R143" s="921"/>
      <c r="S143" s="920"/>
      <c r="T143" s="942">
        <f>B143/P143%</f>
        <v>48.818897637795274</v>
      </c>
      <c r="U143" s="943"/>
      <c r="V143" s="943"/>
      <c r="W143" s="943"/>
      <c r="X143" s="944"/>
    </row>
    <row r="144" spans="1:24" ht="13.5" thickBot="1">
      <c r="A144" s="906" t="s">
        <v>10</v>
      </c>
      <c r="B144" s="908" t="s">
        <v>175</v>
      </c>
      <c r="C144" s="918"/>
      <c r="D144" s="910"/>
      <c r="E144" s="911"/>
      <c r="F144" s="911"/>
      <c r="G144" s="911"/>
      <c r="H144" s="911"/>
      <c r="I144" s="911"/>
      <c r="J144" s="911"/>
      <c r="K144" s="911"/>
      <c r="L144" s="911"/>
      <c r="M144" s="911"/>
      <c r="N144" s="911"/>
      <c r="O144" s="911"/>
      <c r="P144" s="911"/>
      <c r="Q144" s="911"/>
      <c r="R144" s="911"/>
      <c r="S144" s="911"/>
      <c r="T144" s="911"/>
      <c r="U144" s="911"/>
      <c r="V144" s="911"/>
      <c r="W144" s="911"/>
      <c r="X144" s="912"/>
    </row>
    <row r="145" spans="1:24" ht="13.5" thickBot="1">
      <c r="A145" s="907"/>
      <c r="B145" s="916"/>
      <c r="C145" s="994"/>
      <c r="D145" s="913"/>
      <c r="E145" s="914"/>
      <c r="F145" s="914"/>
      <c r="G145" s="914"/>
      <c r="H145" s="914"/>
      <c r="I145" s="914"/>
      <c r="J145" s="914"/>
      <c r="K145" s="914"/>
      <c r="L145" s="914"/>
      <c r="M145" s="914"/>
      <c r="N145" s="914"/>
      <c r="O145" s="914"/>
      <c r="P145" s="914"/>
      <c r="Q145" s="914"/>
      <c r="R145" s="914"/>
      <c r="S145" s="914"/>
      <c r="T145" s="914"/>
      <c r="U145" s="914"/>
      <c r="V145" s="914"/>
      <c r="W145" s="914"/>
      <c r="X145" s="915"/>
    </row>
    <row r="147" spans="1:24" ht="13.5" thickBot="1">
      <c r="L147" s="115"/>
    </row>
    <row r="148" spans="1:24" ht="12.95" customHeight="1" thickBot="1">
      <c r="A148" s="506" t="s">
        <v>26</v>
      </c>
      <c r="B148" s="514" t="s">
        <v>29</v>
      </c>
      <c r="C148" s="8"/>
      <c r="D148" s="927" t="s">
        <v>78</v>
      </c>
      <c r="E148" s="928"/>
      <c r="F148" s="928"/>
      <c r="G148" s="929"/>
      <c r="H148" s="927" t="s">
        <v>77</v>
      </c>
      <c r="I148" s="928"/>
      <c r="J148" s="928"/>
      <c r="K148" s="929"/>
      <c r="L148" s="927" t="s">
        <v>81</v>
      </c>
      <c r="M148" s="928"/>
      <c r="N148" s="928"/>
      <c r="O148" s="929"/>
      <c r="P148" s="927" t="s">
        <v>254</v>
      </c>
      <c r="Q148" s="928"/>
      <c r="R148" s="928"/>
      <c r="S148" s="929"/>
      <c r="T148" s="1144" t="s">
        <v>908</v>
      </c>
      <c r="U148" s="1145"/>
      <c r="V148" s="1145"/>
      <c r="W148" s="1146"/>
      <c r="X148" s="16" t="s">
        <v>12</v>
      </c>
    </row>
    <row r="149" spans="1:24" ht="54.95" customHeight="1" thickBot="1">
      <c r="A149" s="868" t="s">
        <v>64</v>
      </c>
      <c r="B149" s="868" t="s">
        <v>156</v>
      </c>
      <c r="C149" s="9"/>
      <c r="D149" s="17" t="s">
        <v>101</v>
      </c>
      <c r="E149" s="17" t="s">
        <v>104</v>
      </c>
      <c r="F149" s="17" t="s">
        <v>102</v>
      </c>
      <c r="G149" s="17" t="s">
        <v>103</v>
      </c>
      <c r="H149" s="17" t="s">
        <v>101</v>
      </c>
      <c r="I149" s="17" t="s">
        <v>104</v>
      </c>
      <c r="J149" s="17" t="s">
        <v>102</v>
      </c>
      <c r="K149" s="17" t="s">
        <v>103</v>
      </c>
      <c r="L149" s="17" t="s">
        <v>101</v>
      </c>
      <c r="M149" s="17" t="s">
        <v>104</v>
      </c>
      <c r="N149" s="17" t="s">
        <v>102</v>
      </c>
      <c r="O149" s="17" t="s">
        <v>103</v>
      </c>
      <c r="P149" s="17" t="s">
        <v>101</v>
      </c>
      <c r="Q149" s="17" t="s">
        <v>104</v>
      </c>
      <c r="R149" s="17" t="s">
        <v>102</v>
      </c>
      <c r="S149" s="17" t="s">
        <v>103</v>
      </c>
      <c r="T149" s="17" t="s">
        <v>101</v>
      </c>
      <c r="U149" s="17" t="s">
        <v>104</v>
      </c>
      <c r="V149" s="17" t="s">
        <v>102</v>
      </c>
      <c r="W149" s="17" t="s">
        <v>103</v>
      </c>
      <c r="X149" s="879" t="s">
        <v>98</v>
      </c>
    </row>
    <row r="150" spans="1:24" ht="13.5" thickBot="1">
      <c r="A150" s="885"/>
      <c r="B150" s="885"/>
      <c r="C150" s="9" t="s">
        <v>247</v>
      </c>
      <c r="D150" s="2">
        <v>2</v>
      </c>
      <c r="E150" s="2">
        <v>0</v>
      </c>
      <c r="F150" s="2">
        <v>0</v>
      </c>
      <c r="G150" s="2">
        <v>0</v>
      </c>
      <c r="H150" s="2">
        <v>15</v>
      </c>
      <c r="I150" s="2">
        <v>10</v>
      </c>
      <c r="J150" s="2">
        <v>5</v>
      </c>
      <c r="K150" s="2">
        <v>1</v>
      </c>
      <c r="L150" s="158">
        <v>30</v>
      </c>
      <c r="M150" s="158">
        <v>20</v>
      </c>
      <c r="N150" s="2">
        <v>15</v>
      </c>
      <c r="O150" s="2">
        <v>8</v>
      </c>
      <c r="P150" s="2">
        <v>50</v>
      </c>
      <c r="Q150" s="2">
        <v>35</v>
      </c>
      <c r="R150" s="2">
        <v>25</v>
      </c>
      <c r="S150" s="2">
        <v>12</v>
      </c>
      <c r="T150" s="515">
        <f>'LF for 2014 AR (original)'!P150+(2/3*('LF for 2014 AR (original)'!T150-'LF for 2014 AR (original)'!P150))</f>
        <v>63.333333333333329</v>
      </c>
      <c r="U150" s="515">
        <f>'LF for 2014 AR (original)'!Q150+(2/3*('LF for 2014 AR (original)'!U150-'LF for 2014 AR (original)'!Q150))</f>
        <v>45</v>
      </c>
      <c r="V150" s="515">
        <f>'LF for 2014 AR (original)'!R150+(2/3*('LF for 2014 AR (original)'!V150-'LF for 2014 AR (original)'!R150))</f>
        <v>35</v>
      </c>
      <c r="W150" s="515">
        <f>'LF for 2014 AR (original)'!S150+(2/3*('LF for 2014 AR (original)'!W150-'LF for 2014 AR (original)'!S150))</f>
        <v>17.333333333333332</v>
      </c>
      <c r="X150" s="880"/>
    </row>
    <row r="151" spans="1:24" ht="12.95" customHeight="1" thickBot="1">
      <c r="A151" s="885"/>
      <c r="B151" s="501" t="s">
        <v>151</v>
      </c>
      <c r="C151" s="102" t="s">
        <v>246</v>
      </c>
      <c r="D151" s="1008" t="s">
        <v>416</v>
      </c>
      <c r="E151" s="1009"/>
      <c r="F151" s="1009"/>
      <c r="G151" s="1010"/>
      <c r="H151" s="117">
        <v>20</v>
      </c>
      <c r="I151" s="117">
        <v>15</v>
      </c>
      <c r="J151" s="117">
        <v>10</v>
      </c>
      <c r="K151" s="117">
        <v>5</v>
      </c>
      <c r="L151" s="117">
        <v>27</v>
      </c>
      <c r="M151" s="117">
        <v>22</v>
      </c>
      <c r="N151" s="117">
        <v>16</v>
      </c>
      <c r="O151" s="117">
        <v>10</v>
      </c>
      <c r="P151" s="105">
        <f>SUM('State DisAgg LFx10 (2014)'!P354:P363)</f>
        <v>66</v>
      </c>
      <c r="Q151" s="105">
        <f>SUM('State DisAgg LFx10 (2014)'!Q354:Q363)</f>
        <v>46</v>
      </c>
      <c r="R151" s="105">
        <f>SUM('State DisAgg LFx10 (2014)'!R354:R363)</f>
        <v>30</v>
      </c>
      <c r="S151" s="105">
        <f>SUM('State DisAgg LFx10 (2014)'!S354:S363)</f>
        <v>10</v>
      </c>
      <c r="T151" s="188">
        <f>'State Agg LFx3 (2014)'!T151</f>
        <v>80</v>
      </c>
      <c r="U151" s="188">
        <f>'State Agg LFx3 (2014)'!U151</f>
        <v>71</v>
      </c>
      <c r="V151" s="188">
        <f>'State Agg LFx3 (2014)'!V151</f>
        <v>50</v>
      </c>
      <c r="W151" s="188">
        <f>'State Agg LFx3 (2014)'!W151</f>
        <v>11</v>
      </c>
      <c r="X151" s="880"/>
    </row>
    <row r="152" spans="1:24" ht="13.5" thickBot="1">
      <c r="A152" s="885"/>
      <c r="B152" s="501" t="s">
        <v>150</v>
      </c>
      <c r="C152" s="998" t="s">
        <v>413</v>
      </c>
      <c r="D152" s="927" t="s">
        <v>4</v>
      </c>
      <c r="E152" s="928"/>
      <c r="F152" s="928"/>
      <c r="G152" s="928"/>
      <c r="H152" s="928"/>
      <c r="I152" s="928"/>
      <c r="J152" s="928"/>
      <c r="K152" s="928"/>
      <c r="L152" s="928"/>
      <c r="M152" s="928"/>
      <c r="N152" s="928"/>
      <c r="O152" s="928"/>
      <c r="P152" s="928"/>
      <c r="Q152" s="928"/>
      <c r="R152" s="928"/>
      <c r="S152" s="928"/>
      <c r="T152" s="928"/>
      <c r="U152" s="928"/>
      <c r="V152" s="928"/>
      <c r="W152" s="929"/>
      <c r="X152" s="880"/>
    </row>
    <row r="153" spans="1:24" ht="24.75" thickBot="1">
      <c r="A153" s="885"/>
      <c r="B153" s="502" t="s">
        <v>149</v>
      </c>
      <c r="C153" s="999"/>
      <c r="D153" s="930" t="s">
        <v>420</v>
      </c>
      <c r="E153" s="931"/>
      <c r="F153" s="931"/>
      <c r="G153" s="931"/>
      <c r="H153" s="931"/>
      <c r="I153" s="931"/>
      <c r="J153" s="931"/>
      <c r="K153" s="931"/>
      <c r="L153" s="931"/>
      <c r="M153" s="931"/>
      <c r="N153" s="931"/>
      <c r="O153" s="931"/>
      <c r="P153" s="931"/>
      <c r="Q153" s="931"/>
      <c r="R153" s="931"/>
      <c r="S153" s="931"/>
      <c r="T153" s="931"/>
      <c r="U153" s="931"/>
      <c r="V153" s="931"/>
      <c r="W153" s="932"/>
      <c r="X153" s="880"/>
    </row>
    <row r="154" spans="1:24" ht="12.95" customHeight="1" thickBot="1">
      <c r="A154" s="885"/>
      <c r="B154" s="11" t="s">
        <v>30</v>
      </c>
      <c r="C154" s="12"/>
      <c r="D154" s="927" t="s">
        <v>78</v>
      </c>
      <c r="E154" s="928"/>
      <c r="F154" s="928"/>
      <c r="G154" s="929"/>
      <c r="H154" s="927" t="s">
        <v>77</v>
      </c>
      <c r="I154" s="928"/>
      <c r="J154" s="928"/>
      <c r="K154" s="929"/>
      <c r="L154" s="927" t="s">
        <v>81</v>
      </c>
      <c r="M154" s="928"/>
      <c r="N154" s="928"/>
      <c r="O154" s="929"/>
      <c r="P154" s="927" t="s">
        <v>254</v>
      </c>
      <c r="Q154" s="928"/>
      <c r="R154" s="928"/>
      <c r="S154" s="929"/>
      <c r="T154" s="1144" t="s">
        <v>908</v>
      </c>
      <c r="U154" s="1145"/>
      <c r="V154" s="1145"/>
      <c r="W154" s="1146"/>
      <c r="X154" s="880"/>
    </row>
    <row r="155" spans="1:24" ht="44.1" customHeight="1" thickBot="1">
      <c r="A155" s="885"/>
      <c r="B155" s="868" t="s">
        <v>157</v>
      </c>
      <c r="C155" s="23"/>
      <c r="D155" s="17" t="s">
        <v>101</v>
      </c>
      <c r="E155" s="17" t="s">
        <v>104</v>
      </c>
      <c r="F155" s="17" t="s">
        <v>102</v>
      </c>
      <c r="G155" s="17" t="s">
        <v>103</v>
      </c>
      <c r="H155" s="17" t="s">
        <v>101</v>
      </c>
      <c r="I155" s="17" t="s">
        <v>104</v>
      </c>
      <c r="J155" s="17" t="s">
        <v>102</v>
      </c>
      <c r="K155" s="17" t="s">
        <v>103</v>
      </c>
      <c r="L155" s="17" t="s">
        <v>101</v>
      </c>
      <c r="M155" s="17" t="s">
        <v>104</v>
      </c>
      <c r="N155" s="17" t="s">
        <v>102</v>
      </c>
      <c r="O155" s="17" t="s">
        <v>103</v>
      </c>
      <c r="P155" s="17" t="s">
        <v>101</v>
      </c>
      <c r="Q155" s="17" t="s">
        <v>104</v>
      </c>
      <c r="R155" s="17" t="s">
        <v>102</v>
      </c>
      <c r="S155" s="17" t="s">
        <v>103</v>
      </c>
      <c r="T155" s="17" t="s">
        <v>101</v>
      </c>
      <c r="U155" s="17" t="s">
        <v>104</v>
      </c>
      <c r="V155" s="17" t="s">
        <v>102</v>
      </c>
      <c r="W155" s="17" t="s">
        <v>103</v>
      </c>
      <c r="X155" s="880"/>
    </row>
    <row r="156" spans="1:24" ht="13.5" thickBot="1">
      <c r="A156" s="885"/>
      <c r="B156" s="885"/>
      <c r="C156" s="9" t="s">
        <v>247</v>
      </c>
      <c r="D156" s="2">
        <v>2</v>
      </c>
      <c r="E156" s="2">
        <v>0</v>
      </c>
      <c r="F156" s="2">
        <v>0</v>
      </c>
      <c r="G156" s="2">
        <v>0</v>
      </c>
      <c r="H156" s="2">
        <v>15</v>
      </c>
      <c r="I156" s="2">
        <v>10</v>
      </c>
      <c r="J156" s="2">
        <v>5</v>
      </c>
      <c r="K156" s="2">
        <v>2</v>
      </c>
      <c r="L156" s="158">
        <v>30</v>
      </c>
      <c r="M156" s="158">
        <v>20</v>
      </c>
      <c r="N156" s="2">
        <v>15</v>
      </c>
      <c r="O156" s="2">
        <v>10</v>
      </c>
      <c r="P156" s="158">
        <v>45</v>
      </c>
      <c r="Q156" s="2">
        <v>35</v>
      </c>
      <c r="R156" s="2">
        <v>25</v>
      </c>
      <c r="S156" s="2">
        <v>15</v>
      </c>
      <c r="T156" s="515">
        <f>'LF for 2014 AR (original)'!P156+(2/3*('LF for 2014 AR (original)'!T156-'LF for 2014 AR (original)'!P156))</f>
        <v>55</v>
      </c>
      <c r="U156" s="515">
        <f>'LF for 2014 AR (original)'!Q156+(2/3*('LF for 2014 AR (original)'!U156-'LF for 2014 AR (original)'!Q156))</f>
        <v>41.666666666666664</v>
      </c>
      <c r="V156" s="515">
        <f>'LF for 2014 AR (original)'!R156+(2/3*('LF for 2014 AR (original)'!V156-'LF for 2014 AR (original)'!R156))</f>
        <v>31.666666666666664</v>
      </c>
      <c r="W156" s="515">
        <f>'LF for 2014 AR (original)'!S156+(2/3*('LF for 2014 AR (original)'!W156-'LF for 2014 AR (original)'!S156))</f>
        <v>21.666666666666664</v>
      </c>
      <c r="X156" s="880"/>
    </row>
    <row r="157" spans="1:24" ht="13.5" thickBot="1">
      <c r="A157" s="885"/>
      <c r="B157" s="501" t="s">
        <v>151</v>
      </c>
      <c r="C157" s="102" t="s">
        <v>246</v>
      </c>
      <c r="D157" s="1003" t="s">
        <v>172</v>
      </c>
      <c r="E157" s="1004"/>
      <c r="F157" s="1004"/>
      <c r="G157" s="1005"/>
      <c r="H157" s="1003" t="s">
        <v>417</v>
      </c>
      <c r="I157" s="1004"/>
      <c r="J157" s="1004"/>
      <c r="K157" s="1005"/>
      <c r="L157" s="117">
        <v>23</v>
      </c>
      <c r="M157" s="117">
        <v>21</v>
      </c>
      <c r="N157" s="117">
        <v>17</v>
      </c>
      <c r="O157" s="117">
        <v>7</v>
      </c>
      <c r="P157" s="105">
        <f>SUM('State DisAgg LFx10 (2014)'!P378:P387)</f>
        <v>44</v>
      </c>
      <c r="Q157" s="105">
        <f>SUM('State DisAgg LFx10 (2014)'!Q378:Q387)</f>
        <v>27</v>
      </c>
      <c r="R157" s="105">
        <f>SUM('State DisAgg LFx10 (2014)'!R378:R387)</f>
        <v>20</v>
      </c>
      <c r="S157" s="105">
        <f>SUM('State DisAgg LFx10 (2014)'!S378:S387)</f>
        <v>8</v>
      </c>
      <c r="T157" s="188">
        <f>'State Agg LFx3 (2014)'!T157</f>
        <v>71</v>
      </c>
      <c r="U157" s="188">
        <f>'State Agg LFx3 (2014)'!U157</f>
        <v>64</v>
      </c>
      <c r="V157" s="188">
        <f>'State Agg LFx3 (2014)'!V157</f>
        <v>45</v>
      </c>
      <c r="W157" s="188">
        <f>'State Agg LFx3 (2014)'!W157</f>
        <v>6</v>
      </c>
      <c r="X157" s="880"/>
    </row>
    <row r="158" spans="1:24" ht="13.5" thickBot="1">
      <c r="A158" s="885"/>
      <c r="B158" s="501" t="s">
        <v>150</v>
      </c>
      <c r="C158" s="998" t="s">
        <v>413</v>
      </c>
      <c r="D158" s="927" t="s">
        <v>4</v>
      </c>
      <c r="E158" s="928"/>
      <c r="F158" s="928"/>
      <c r="G158" s="928"/>
      <c r="H158" s="928"/>
      <c r="I158" s="928"/>
      <c r="J158" s="928"/>
      <c r="K158" s="928"/>
      <c r="L158" s="928"/>
      <c r="M158" s="928"/>
      <c r="N158" s="928"/>
      <c r="O158" s="928"/>
      <c r="P158" s="928"/>
      <c r="Q158" s="928"/>
      <c r="R158" s="928"/>
      <c r="S158" s="928"/>
      <c r="T158" s="928"/>
      <c r="U158" s="928"/>
      <c r="V158" s="928"/>
      <c r="W158" s="929"/>
      <c r="X158" s="880"/>
    </row>
    <row r="159" spans="1:24" ht="13.5" thickBot="1">
      <c r="A159" s="885"/>
      <c r="B159" s="502" t="s">
        <v>152</v>
      </c>
      <c r="C159" s="999"/>
      <c r="D159" s="930" t="s">
        <v>420</v>
      </c>
      <c r="E159" s="931"/>
      <c r="F159" s="931"/>
      <c r="G159" s="931"/>
      <c r="H159" s="931"/>
      <c r="I159" s="931"/>
      <c r="J159" s="931"/>
      <c r="K159" s="931"/>
      <c r="L159" s="931"/>
      <c r="M159" s="931"/>
      <c r="N159" s="931"/>
      <c r="O159" s="931"/>
      <c r="P159" s="931"/>
      <c r="Q159" s="931"/>
      <c r="R159" s="931"/>
      <c r="S159" s="931"/>
      <c r="T159" s="931"/>
      <c r="U159" s="931"/>
      <c r="V159" s="931"/>
      <c r="W159" s="932"/>
      <c r="X159" s="880"/>
    </row>
    <row r="160" spans="1:24" ht="12.95" customHeight="1" thickBot="1">
      <c r="A160" s="885"/>
      <c r="B160" s="92" t="s">
        <v>31</v>
      </c>
      <c r="C160" s="12"/>
      <c r="D160" s="927" t="s">
        <v>78</v>
      </c>
      <c r="E160" s="928"/>
      <c r="F160" s="928"/>
      <c r="G160" s="929"/>
      <c r="H160" s="927" t="s">
        <v>77</v>
      </c>
      <c r="I160" s="928"/>
      <c r="J160" s="928"/>
      <c r="K160" s="929"/>
      <c r="L160" s="927" t="s">
        <v>81</v>
      </c>
      <c r="M160" s="928"/>
      <c r="N160" s="928"/>
      <c r="O160" s="929"/>
      <c r="P160" s="927" t="s">
        <v>254</v>
      </c>
      <c r="Q160" s="928"/>
      <c r="R160" s="928"/>
      <c r="S160" s="929"/>
      <c r="T160" s="1144" t="s">
        <v>908</v>
      </c>
      <c r="U160" s="1145"/>
      <c r="V160" s="1145"/>
      <c r="W160" s="1146"/>
      <c r="X160" s="880"/>
    </row>
    <row r="161" spans="1:24" ht="17.100000000000001" customHeight="1" thickBot="1">
      <c r="A161" s="885"/>
      <c r="B161" s="868" t="s">
        <v>421</v>
      </c>
      <c r="C161" s="23"/>
      <c r="D161" s="955" t="s">
        <v>418</v>
      </c>
      <c r="E161" s="956"/>
      <c r="F161" s="955" t="s">
        <v>419</v>
      </c>
      <c r="G161" s="956"/>
      <c r="H161" s="955" t="s">
        <v>418</v>
      </c>
      <c r="I161" s="956"/>
      <c r="J161" s="955" t="s">
        <v>419</v>
      </c>
      <c r="K161" s="956"/>
      <c r="L161" s="955" t="s">
        <v>418</v>
      </c>
      <c r="M161" s="956"/>
      <c r="N161" s="955" t="s">
        <v>419</v>
      </c>
      <c r="O161" s="956"/>
      <c r="P161" s="955" t="s">
        <v>418</v>
      </c>
      <c r="Q161" s="956"/>
      <c r="R161" s="955" t="s">
        <v>419</v>
      </c>
      <c r="S161" s="956"/>
      <c r="T161" s="955" t="s">
        <v>418</v>
      </c>
      <c r="U161" s="956"/>
      <c r="V161" s="955" t="s">
        <v>419</v>
      </c>
      <c r="W161" s="956"/>
      <c r="X161" s="880"/>
    </row>
    <row r="162" spans="1:24" ht="12.95" customHeight="1" thickBot="1">
      <c r="A162" s="885"/>
      <c r="B162" s="885"/>
      <c r="C162" s="91" t="s">
        <v>235</v>
      </c>
      <c r="D162" s="933" t="s">
        <v>172</v>
      </c>
      <c r="E162" s="934"/>
      <c r="F162" s="934"/>
      <c r="G162" s="935"/>
      <c r="H162" s="966" t="s">
        <v>572</v>
      </c>
      <c r="I162" s="967"/>
      <c r="J162" s="967"/>
      <c r="K162" s="968"/>
      <c r="L162" s="1077">
        <v>50</v>
      </c>
      <c r="M162" s="1078"/>
      <c r="N162" s="1077">
        <v>36.6</v>
      </c>
      <c r="O162" s="1078"/>
      <c r="P162" s="1077">
        <v>63</v>
      </c>
      <c r="Q162" s="1078"/>
      <c r="R162" s="1077">
        <v>39.799999999999997</v>
      </c>
      <c r="S162" s="1078"/>
      <c r="T162" s="1094">
        <f>'LF for 2014 AR (original)'!P162+(2/3*('LF for 2014 AR (original)'!T162-'LF for 2014 AR (original)'!P162))</f>
        <v>71</v>
      </c>
      <c r="U162" s="1096" t="e">
        <f>#REF!+(2/3*(#REF!-#REF!))</f>
        <v>#REF!</v>
      </c>
      <c r="V162" s="1094">
        <f>'LF for 2014 AR (original)'!R162+(2/3*('LF for 2014 AR (original)'!V162-'LF for 2014 AR (original)'!R162))</f>
        <v>41.93333333333333</v>
      </c>
      <c r="W162" s="1096" t="e">
        <f>#REF!+(2/3*(#REF!-#REF!))</f>
        <v>#REF!</v>
      </c>
      <c r="X162" s="880"/>
    </row>
    <row r="163" spans="1:24" ht="12.95" customHeight="1" thickBot="1">
      <c r="A163" s="885"/>
      <c r="B163" s="885"/>
      <c r="C163" s="91" t="s">
        <v>233</v>
      </c>
      <c r="D163" s="957"/>
      <c r="E163" s="958"/>
      <c r="F163" s="958"/>
      <c r="G163" s="959"/>
      <c r="H163" s="966" t="s">
        <v>572</v>
      </c>
      <c r="I163" s="967"/>
      <c r="J163" s="967"/>
      <c r="K163" s="968"/>
      <c r="L163" s="1077">
        <v>28.333333333333332</v>
      </c>
      <c r="M163" s="1078"/>
      <c r="N163" s="1077">
        <v>21</v>
      </c>
      <c r="O163" s="1078"/>
      <c r="P163" s="1077">
        <v>41.666666666666664</v>
      </c>
      <c r="Q163" s="1078"/>
      <c r="R163" s="1077">
        <v>28.333333333333332</v>
      </c>
      <c r="S163" s="1078"/>
      <c r="T163" s="1094">
        <f>'LF for 2014 AR (original)'!P163+(2/3*('LF for 2014 AR (original)'!T163-'LF for 2014 AR (original)'!P163))</f>
        <v>63.888888888888886</v>
      </c>
      <c r="U163" s="1096" t="e">
        <f>#REF!+(2/3*(#REF!-#REF!))</f>
        <v>#REF!</v>
      </c>
      <c r="V163" s="1094">
        <f>'LF for 2014 AR (original)'!R163+(2/3*('LF for 2014 AR (original)'!V163-'LF for 2014 AR (original)'!R163))</f>
        <v>42.777777777777779</v>
      </c>
      <c r="W163" s="1096" t="e">
        <f>#REF!+(2/3*(#REF!-#REF!))</f>
        <v>#REF!</v>
      </c>
      <c r="X163" s="880"/>
    </row>
    <row r="164" spans="1:24" ht="12.95" customHeight="1" thickBot="1">
      <c r="A164" s="885"/>
      <c r="B164" s="885"/>
      <c r="C164" s="91" t="s">
        <v>234</v>
      </c>
      <c r="D164" s="957"/>
      <c r="E164" s="958"/>
      <c r="F164" s="958"/>
      <c r="G164" s="959"/>
      <c r="H164" s="957"/>
      <c r="I164" s="958"/>
      <c r="J164" s="958"/>
      <c r="K164" s="959"/>
      <c r="L164" s="1057" t="s">
        <v>909</v>
      </c>
      <c r="M164" s="1058"/>
      <c r="N164" s="1058"/>
      <c r="O164" s="1059"/>
      <c r="P164" s="1180">
        <f>'State Agg LFx3 (2014)'!P164</f>
        <v>44</v>
      </c>
      <c r="Q164" s="1035"/>
      <c r="R164" s="1180">
        <f>'State Agg LFx3 (2014)'!R164</f>
        <v>71.5</v>
      </c>
      <c r="S164" s="1035"/>
      <c r="T164" s="1180">
        <f>'State Agg LFx3 (2014)'!T164</f>
        <v>44</v>
      </c>
      <c r="U164" s="1035"/>
      <c r="V164" s="1180">
        <f>'State Agg LFx3 (2014)'!V164</f>
        <v>71.5</v>
      </c>
      <c r="W164" s="1035"/>
      <c r="X164" s="880"/>
    </row>
    <row r="165" spans="1:24" ht="13.5" thickBot="1">
      <c r="A165" s="885"/>
      <c r="B165" s="501" t="s">
        <v>179</v>
      </c>
      <c r="C165" s="103" t="s">
        <v>236</v>
      </c>
      <c r="D165" s="1011"/>
      <c r="E165" s="1012"/>
      <c r="F165" s="1012"/>
      <c r="G165" s="1013"/>
      <c r="H165" s="1011"/>
      <c r="I165" s="1012"/>
      <c r="J165" s="1012"/>
      <c r="K165" s="1013"/>
      <c r="L165" s="1011"/>
      <c r="M165" s="1012"/>
      <c r="N165" s="1012"/>
      <c r="O165" s="1013"/>
      <c r="P165" s="1140">
        <f>SUM('State DisAgg LFx10 (2014)'!P402:Q406)/5</f>
        <v>76</v>
      </c>
      <c r="Q165" s="1141"/>
      <c r="R165" s="1140">
        <f>SUM('State DisAgg LFx10 (2014)'!R402:S406)/5</f>
        <v>59.8</v>
      </c>
      <c r="S165" s="1141"/>
      <c r="T165" s="995">
        <f>'State Agg LFx3 (2014)'!T165</f>
        <v>83.2</v>
      </c>
      <c r="U165" s="997"/>
      <c r="V165" s="995">
        <f>'State Agg LFx3 (2014)'!V165</f>
        <v>80.599999999999994</v>
      </c>
      <c r="W165" s="997"/>
      <c r="X165" s="880"/>
    </row>
    <row r="166" spans="1:24" ht="13.5" thickBot="1">
      <c r="A166" s="885"/>
      <c r="B166" s="501"/>
      <c r="C166" s="102" t="s">
        <v>283</v>
      </c>
      <c r="D166" s="1017"/>
      <c r="E166" s="1018"/>
      <c r="F166" s="1018"/>
      <c r="G166" s="1019"/>
      <c r="H166" s="1017"/>
      <c r="I166" s="1018"/>
      <c r="J166" s="1018"/>
      <c r="K166" s="1019"/>
      <c r="L166" s="1011"/>
      <c r="M166" s="1012"/>
      <c r="N166" s="1012"/>
      <c r="O166" s="1013"/>
      <c r="P166" s="995">
        <v>42.666666666666664</v>
      </c>
      <c r="Q166" s="997"/>
      <c r="R166" s="995">
        <v>27.333333333333332</v>
      </c>
      <c r="S166" s="997"/>
      <c r="T166" s="995">
        <f>'State Agg LFx3 (2014)'!T166</f>
        <v>74.333333333333329</v>
      </c>
      <c r="U166" s="997"/>
      <c r="V166" s="995">
        <f>'State Agg LFx3 (2014)'!V166</f>
        <v>71</v>
      </c>
      <c r="W166" s="997"/>
      <c r="X166" s="880"/>
    </row>
    <row r="167" spans="1:24" ht="13.5" thickBot="1">
      <c r="A167" s="885"/>
      <c r="B167" s="501"/>
      <c r="C167" s="102" t="s">
        <v>284</v>
      </c>
      <c r="D167" s="1017"/>
      <c r="E167" s="1018"/>
      <c r="F167" s="1018"/>
      <c r="G167" s="1019"/>
      <c r="H167" s="1017"/>
      <c r="I167" s="1018"/>
      <c r="J167" s="1018"/>
      <c r="K167" s="1019"/>
      <c r="L167" s="1017"/>
      <c r="M167" s="1018"/>
      <c r="N167" s="1018"/>
      <c r="O167" s="1019"/>
      <c r="P167" s="1017"/>
      <c r="Q167" s="1018"/>
      <c r="R167" s="1018"/>
      <c r="S167" s="1019"/>
      <c r="T167" s="1017"/>
      <c r="U167" s="1018"/>
      <c r="V167" s="1018"/>
      <c r="W167" s="1019"/>
      <c r="X167" s="880"/>
    </row>
    <row r="168" spans="1:24" ht="13.5" thickBot="1">
      <c r="A168" s="885"/>
      <c r="B168" s="885"/>
      <c r="C168" s="998" t="s">
        <v>413</v>
      </c>
      <c r="D168" s="927" t="s">
        <v>4</v>
      </c>
      <c r="E168" s="928"/>
      <c r="F168" s="928"/>
      <c r="G168" s="928"/>
      <c r="H168" s="928"/>
      <c r="I168" s="928"/>
      <c r="J168" s="928"/>
      <c r="K168" s="928"/>
      <c r="L168" s="928"/>
      <c r="M168" s="928"/>
      <c r="N168" s="928"/>
      <c r="O168" s="928"/>
      <c r="P168" s="928"/>
      <c r="Q168" s="928"/>
      <c r="R168" s="928"/>
      <c r="S168" s="928"/>
      <c r="T168" s="928"/>
      <c r="U168" s="928"/>
      <c r="V168" s="928"/>
      <c r="W168" s="929"/>
      <c r="X168" s="880"/>
    </row>
    <row r="169" spans="1:24" ht="24" customHeight="1" thickBot="1">
      <c r="A169" s="885"/>
      <c r="B169" s="869"/>
      <c r="C169" s="999"/>
      <c r="D169" s="930" t="s">
        <v>121</v>
      </c>
      <c r="E169" s="931"/>
      <c r="F169" s="931"/>
      <c r="G169" s="931"/>
      <c r="H169" s="931"/>
      <c r="I169" s="931"/>
      <c r="J169" s="931"/>
      <c r="K169" s="931"/>
      <c r="L169" s="931"/>
      <c r="M169" s="931"/>
      <c r="N169" s="931"/>
      <c r="O169" s="931"/>
      <c r="P169" s="931"/>
      <c r="Q169" s="931"/>
      <c r="R169" s="931"/>
      <c r="S169" s="931"/>
      <c r="T169" s="931"/>
      <c r="U169" s="931"/>
      <c r="V169" s="931"/>
      <c r="W169" s="932"/>
      <c r="X169" s="880"/>
    </row>
    <row r="170" spans="1:24" ht="12.95" customHeight="1" thickBot="1">
      <c r="A170" s="885"/>
      <c r="B170" s="11" t="s">
        <v>40</v>
      </c>
      <c r="C170" s="12"/>
      <c r="D170" s="927" t="s">
        <v>78</v>
      </c>
      <c r="E170" s="928"/>
      <c r="F170" s="928"/>
      <c r="G170" s="929"/>
      <c r="H170" s="927" t="s">
        <v>77</v>
      </c>
      <c r="I170" s="928"/>
      <c r="J170" s="928"/>
      <c r="K170" s="929"/>
      <c r="L170" s="927" t="s">
        <v>81</v>
      </c>
      <c r="M170" s="928"/>
      <c r="N170" s="928"/>
      <c r="O170" s="929"/>
      <c r="P170" s="927" t="s">
        <v>254</v>
      </c>
      <c r="Q170" s="928"/>
      <c r="R170" s="928"/>
      <c r="S170" s="929"/>
      <c r="T170" s="1144" t="s">
        <v>908</v>
      </c>
      <c r="U170" s="1145"/>
      <c r="V170" s="1145"/>
      <c r="W170" s="1146"/>
      <c r="X170" s="880"/>
    </row>
    <row r="171" spans="1:24" ht="12.95" customHeight="1" thickBot="1">
      <c r="A171" s="885"/>
      <c r="B171" s="873" t="s">
        <v>644</v>
      </c>
      <c r="C171" s="9" t="s">
        <v>235</v>
      </c>
      <c r="D171" s="933" t="s">
        <v>171</v>
      </c>
      <c r="E171" s="934"/>
      <c r="F171" s="934"/>
      <c r="G171" s="935"/>
      <c r="H171" s="966" t="s">
        <v>572</v>
      </c>
      <c r="I171" s="967"/>
      <c r="J171" s="967"/>
      <c r="K171" s="968"/>
      <c r="L171" s="963">
        <v>3.5</v>
      </c>
      <c r="M171" s="964"/>
      <c r="N171" s="964"/>
      <c r="O171" s="965"/>
      <c r="P171" s="1094">
        <v>3.78</v>
      </c>
      <c r="Q171" s="1095"/>
      <c r="R171" s="1095"/>
      <c r="S171" s="1096"/>
      <c r="T171" s="1039">
        <f>'LF for 2014 AR (original)'!P171+(2/3*('LF for 2014 AR (original)'!T171-'LF for 2014 AR (original)'!P171))</f>
        <v>4.0199999999999996</v>
      </c>
      <c r="U171" s="1040"/>
      <c r="V171" s="1040"/>
      <c r="W171" s="1041"/>
      <c r="X171" s="880"/>
    </row>
    <row r="172" spans="1:24" ht="12.95" customHeight="1" thickBot="1">
      <c r="A172" s="885"/>
      <c r="B172" s="874"/>
      <c r="C172" s="9" t="s">
        <v>233</v>
      </c>
      <c r="D172" s="957"/>
      <c r="E172" s="958"/>
      <c r="F172" s="958"/>
      <c r="G172" s="959"/>
      <c r="H172" s="966" t="s">
        <v>572</v>
      </c>
      <c r="I172" s="967"/>
      <c r="J172" s="967"/>
      <c r="K172" s="968"/>
      <c r="L172" s="963">
        <v>2.0333333333333332</v>
      </c>
      <c r="M172" s="964"/>
      <c r="N172" s="964"/>
      <c r="O172" s="965"/>
      <c r="P172" s="1094">
        <v>2.3333333333333335</v>
      </c>
      <c r="Q172" s="1095"/>
      <c r="R172" s="1095"/>
      <c r="S172" s="1096"/>
      <c r="T172" s="1039">
        <f>'LF for 2014 AR (original)'!P172+(2/3*('LF for 2014 AR (original)'!T172-'LF for 2014 AR (original)'!P172))</f>
        <v>2.666666666666667</v>
      </c>
      <c r="U172" s="1040"/>
      <c r="V172" s="1040"/>
      <c r="W172" s="1041"/>
      <c r="X172" s="880"/>
    </row>
    <row r="173" spans="1:24" ht="12.95" customHeight="1" thickBot="1">
      <c r="A173" s="885"/>
      <c r="B173" s="874"/>
      <c r="C173" s="9" t="s">
        <v>234</v>
      </c>
      <c r="D173" s="957"/>
      <c r="E173" s="958"/>
      <c r="F173" s="958"/>
      <c r="G173" s="959"/>
      <c r="H173" s="957"/>
      <c r="I173" s="958"/>
      <c r="J173" s="958"/>
      <c r="K173" s="959"/>
      <c r="L173" s="1057" t="s">
        <v>909</v>
      </c>
      <c r="M173" s="1058"/>
      <c r="N173" s="1058"/>
      <c r="O173" s="1059"/>
      <c r="P173" s="1023">
        <f>'State Agg LFx3 (2014)'!P173</f>
        <v>2.8</v>
      </c>
      <c r="Q173" s="1024"/>
      <c r="R173" s="1024"/>
      <c r="S173" s="1025"/>
      <c r="T173" s="1023">
        <f>'State Agg LFx3 (2014)'!T173</f>
        <v>2.8</v>
      </c>
      <c r="U173" s="1024"/>
      <c r="V173" s="1024"/>
      <c r="W173" s="1025"/>
      <c r="X173" s="880"/>
    </row>
    <row r="174" spans="1:24" ht="13.5" thickBot="1">
      <c r="A174" s="885"/>
      <c r="B174" s="874"/>
      <c r="C174" s="102" t="s">
        <v>236</v>
      </c>
      <c r="D174" s="1011"/>
      <c r="E174" s="1012"/>
      <c r="F174" s="1012"/>
      <c r="G174" s="1013"/>
      <c r="H174" s="1011"/>
      <c r="I174" s="1012"/>
      <c r="J174" s="1012"/>
      <c r="K174" s="1013"/>
      <c r="L174" s="1011"/>
      <c r="M174" s="1012"/>
      <c r="N174" s="1012"/>
      <c r="O174" s="1013"/>
      <c r="P174" s="1020" t="s">
        <v>787</v>
      </c>
      <c r="Q174" s="1021"/>
      <c r="R174" s="1021"/>
      <c r="S174" s="1022"/>
      <c r="T174" s="1020">
        <f>'State Agg LFx3 (2014)'!T174</f>
        <v>4.0400000000000009</v>
      </c>
      <c r="U174" s="1021"/>
      <c r="V174" s="1021"/>
      <c r="W174" s="1022"/>
      <c r="X174" s="881"/>
    </row>
    <row r="175" spans="1:24" ht="13.5" thickBot="1">
      <c r="A175" s="885"/>
      <c r="B175" s="874"/>
      <c r="C175" s="102" t="s">
        <v>283</v>
      </c>
      <c r="D175" s="1017"/>
      <c r="E175" s="1018"/>
      <c r="F175" s="1018"/>
      <c r="G175" s="1019"/>
      <c r="H175" s="1017"/>
      <c r="I175" s="1018"/>
      <c r="J175" s="1018"/>
      <c r="K175" s="1019"/>
      <c r="L175" s="1011"/>
      <c r="M175" s="1012"/>
      <c r="N175" s="1012"/>
      <c r="O175" s="1013"/>
      <c r="P175" s="1020">
        <v>2.5333333333333332</v>
      </c>
      <c r="Q175" s="1021"/>
      <c r="R175" s="1021"/>
      <c r="S175" s="1022"/>
      <c r="T175" s="1020">
        <f>'State Agg LFx3 (2014)'!T175</f>
        <v>3.5666666666666664</v>
      </c>
      <c r="U175" s="1021"/>
      <c r="V175" s="1021"/>
      <c r="W175" s="1022"/>
      <c r="X175" s="101"/>
    </row>
    <row r="176" spans="1:24" ht="13.5" thickBot="1">
      <c r="A176" s="869"/>
      <c r="B176" s="874"/>
      <c r="C176" s="102" t="s">
        <v>284</v>
      </c>
      <c r="D176" s="1017"/>
      <c r="E176" s="1018"/>
      <c r="F176" s="1018"/>
      <c r="G176" s="1019"/>
      <c r="H176" s="1017"/>
      <c r="I176" s="1018"/>
      <c r="J176" s="1018"/>
      <c r="K176" s="1019"/>
      <c r="L176" s="1017"/>
      <c r="M176" s="1018"/>
      <c r="N176" s="1018"/>
      <c r="O176" s="1019"/>
      <c r="P176" s="1017"/>
      <c r="Q176" s="1018"/>
      <c r="R176" s="1018"/>
      <c r="S176" s="1019"/>
      <c r="T176" s="1017"/>
      <c r="U176" s="1018"/>
      <c r="V176" s="1018"/>
      <c r="W176" s="1019"/>
      <c r="X176" s="101"/>
    </row>
    <row r="177" spans="1:24" ht="13.5" thickBot="1">
      <c r="A177" s="507" t="s">
        <v>13</v>
      </c>
      <c r="B177" s="874"/>
      <c r="C177" s="998" t="s">
        <v>413</v>
      </c>
      <c r="D177" s="927" t="s">
        <v>4</v>
      </c>
      <c r="E177" s="928"/>
      <c r="F177" s="928"/>
      <c r="G177" s="928"/>
      <c r="H177" s="928"/>
      <c r="I177" s="928"/>
      <c r="J177" s="928"/>
      <c r="K177" s="928"/>
      <c r="L177" s="928"/>
      <c r="M177" s="928"/>
      <c r="N177" s="928"/>
      <c r="O177" s="928"/>
      <c r="P177" s="928"/>
      <c r="Q177" s="928"/>
      <c r="R177" s="928"/>
      <c r="S177" s="928"/>
      <c r="T177" s="928"/>
      <c r="U177" s="928"/>
      <c r="V177" s="928"/>
      <c r="W177" s="929"/>
      <c r="X177" s="24" t="s">
        <v>14</v>
      </c>
    </row>
    <row r="178" spans="1:24" ht="13.5" thickBot="1">
      <c r="A178" s="25" t="s">
        <v>75</v>
      </c>
      <c r="B178" s="875"/>
      <c r="C178" s="999"/>
      <c r="D178" s="930" t="s">
        <v>122</v>
      </c>
      <c r="E178" s="931"/>
      <c r="F178" s="931"/>
      <c r="G178" s="931"/>
      <c r="H178" s="931"/>
      <c r="I178" s="931"/>
      <c r="J178" s="931"/>
      <c r="K178" s="931"/>
      <c r="L178" s="931"/>
      <c r="M178" s="931"/>
      <c r="N178" s="931"/>
      <c r="O178" s="931"/>
      <c r="P178" s="931"/>
      <c r="Q178" s="931"/>
      <c r="R178" s="931"/>
      <c r="S178" s="931"/>
      <c r="T178" s="931"/>
      <c r="U178" s="931"/>
      <c r="V178" s="931"/>
      <c r="W178" s="932"/>
      <c r="X178" s="18" t="s">
        <v>92</v>
      </c>
    </row>
    <row r="179" spans="1:24" ht="13.5" thickBot="1">
      <c r="A179" s="906" t="s">
        <v>7</v>
      </c>
      <c r="B179" s="908" t="s">
        <v>173</v>
      </c>
      <c r="C179" s="918"/>
      <c r="D179" s="908" t="s">
        <v>8</v>
      </c>
      <c r="E179" s="918"/>
      <c r="F179" s="918"/>
      <c r="G179" s="909"/>
      <c r="H179" s="908" t="s">
        <v>88</v>
      </c>
      <c r="I179" s="918"/>
      <c r="J179" s="918"/>
      <c r="K179" s="909"/>
      <c r="L179" s="908" t="s">
        <v>89</v>
      </c>
      <c r="M179" s="918"/>
      <c r="N179" s="918"/>
      <c r="O179" s="909"/>
      <c r="P179" s="908" t="s">
        <v>9</v>
      </c>
      <c r="Q179" s="918"/>
      <c r="R179" s="918"/>
      <c r="S179" s="909"/>
      <c r="T179" s="908" t="s">
        <v>174</v>
      </c>
      <c r="U179" s="918"/>
      <c r="V179" s="918"/>
      <c r="W179" s="918"/>
      <c r="X179" s="909"/>
    </row>
    <row r="180" spans="1:24" ht="13.5" thickBot="1">
      <c r="A180" s="907"/>
      <c r="B180" s="919">
        <v>4200000</v>
      </c>
      <c r="C180" s="921"/>
      <c r="D180" s="919">
        <v>0</v>
      </c>
      <c r="E180" s="921"/>
      <c r="F180" s="921"/>
      <c r="G180" s="920"/>
      <c r="H180" s="919">
        <v>3200000</v>
      </c>
      <c r="I180" s="921"/>
      <c r="J180" s="921"/>
      <c r="K180" s="920"/>
      <c r="L180" s="919">
        <v>0</v>
      </c>
      <c r="M180" s="921"/>
      <c r="N180" s="921"/>
      <c r="O180" s="920"/>
      <c r="P180" s="919">
        <f>SUM(B180:O180)</f>
        <v>7400000</v>
      </c>
      <c r="Q180" s="921"/>
      <c r="R180" s="921"/>
      <c r="S180" s="920"/>
      <c r="T180" s="942">
        <f>B180/P180%</f>
        <v>56.756756756756758</v>
      </c>
      <c r="U180" s="943"/>
      <c r="V180" s="943"/>
      <c r="W180" s="943"/>
      <c r="X180" s="944"/>
    </row>
    <row r="181" spans="1:24" ht="13.5" thickBot="1">
      <c r="A181" s="906" t="s">
        <v>10</v>
      </c>
      <c r="B181" s="908" t="s">
        <v>175</v>
      </c>
      <c r="C181" s="918"/>
      <c r="D181" s="910"/>
      <c r="E181" s="911"/>
      <c r="F181" s="911"/>
      <c r="G181" s="911"/>
      <c r="H181" s="911"/>
      <c r="I181" s="911"/>
      <c r="J181" s="911"/>
      <c r="K181" s="911"/>
      <c r="L181" s="911"/>
      <c r="M181" s="911"/>
      <c r="N181" s="911"/>
      <c r="O181" s="911"/>
      <c r="P181" s="911"/>
      <c r="Q181" s="911"/>
      <c r="R181" s="911"/>
      <c r="S181" s="911"/>
      <c r="T181" s="911"/>
      <c r="U181" s="911"/>
      <c r="V181" s="911"/>
      <c r="W181" s="911"/>
      <c r="X181" s="912"/>
    </row>
    <row r="182" spans="1:24" ht="13.5" thickBot="1">
      <c r="A182" s="907"/>
      <c r="B182" s="916"/>
      <c r="C182" s="994"/>
      <c r="D182" s="913"/>
      <c r="E182" s="914"/>
      <c r="F182" s="914"/>
      <c r="G182" s="914"/>
      <c r="H182" s="914"/>
      <c r="I182" s="914"/>
      <c r="J182" s="914"/>
      <c r="K182" s="914"/>
      <c r="L182" s="914"/>
      <c r="M182" s="914"/>
      <c r="N182" s="914"/>
      <c r="O182" s="914"/>
      <c r="P182" s="914"/>
      <c r="Q182" s="914"/>
      <c r="R182" s="914"/>
      <c r="S182" s="914"/>
      <c r="T182" s="914"/>
      <c r="U182" s="914"/>
      <c r="V182" s="914"/>
      <c r="W182" s="914"/>
      <c r="X182" s="915"/>
    </row>
    <row r="183" spans="1:24">
      <c r="A183" s="5"/>
      <c r="B183" s="5"/>
      <c r="C183" s="6"/>
      <c r="D183" s="5"/>
      <c r="E183" s="5"/>
      <c r="F183" s="5"/>
      <c r="G183" s="5"/>
      <c r="H183" s="5"/>
      <c r="I183" s="5"/>
      <c r="J183" s="5"/>
      <c r="K183" s="5"/>
      <c r="L183" s="5"/>
      <c r="M183" s="5"/>
      <c r="N183" s="5"/>
      <c r="O183" s="5"/>
      <c r="P183" s="5"/>
      <c r="Q183" s="5"/>
      <c r="R183" s="5"/>
      <c r="S183" s="5"/>
      <c r="T183" s="5"/>
      <c r="U183" s="5"/>
      <c r="V183" s="5"/>
      <c r="W183" s="5"/>
      <c r="X183" s="5"/>
    </row>
    <row r="184" spans="1:24" ht="13.5" thickBot="1">
      <c r="A184" s="5"/>
      <c r="B184" s="5"/>
      <c r="C184" s="6"/>
      <c r="D184" s="5"/>
      <c r="E184" s="5"/>
      <c r="F184" s="5"/>
      <c r="G184" s="5"/>
      <c r="H184" s="5"/>
      <c r="I184" s="5"/>
      <c r="J184" s="5"/>
      <c r="K184" s="5"/>
      <c r="L184" s="5"/>
      <c r="M184" s="5"/>
      <c r="N184" s="5"/>
      <c r="O184" s="5"/>
      <c r="P184" s="5"/>
      <c r="Q184" s="5"/>
      <c r="R184" s="5"/>
      <c r="S184" s="5"/>
      <c r="T184" s="5"/>
      <c r="U184" s="5"/>
      <c r="V184" s="5"/>
      <c r="W184" s="5"/>
      <c r="X184" s="5"/>
    </row>
    <row r="185" spans="1:24" ht="12.95" customHeight="1" thickBot="1">
      <c r="A185" s="506" t="s">
        <v>28</v>
      </c>
      <c r="B185" s="514" t="s">
        <v>32</v>
      </c>
      <c r="C185" s="8"/>
      <c r="D185" s="927" t="s">
        <v>78</v>
      </c>
      <c r="E185" s="928"/>
      <c r="F185" s="928"/>
      <c r="G185" s="929"/>
      <c r="H185" s="927" t="s">
        <v>77</v>
      </c>
      <c r="I185" s="928"/>
      <c r="J185" s="928"/>
      <c r="K185" s="929"/>
      <c r="L185" s="927" t="s">
        <v>81</v>
      </c>
      <c r="M185" s="928"/>
      <c r="N185" s="928"/>
      <c r="O185" s="929"/>
      <c r="P185" s="927" t="s">
        <v>254</v>
      </c>
      <c r="Q185" s="928"/>
      <c r="R185" s="928"/>
      <c r="S185" s="929"/>
      <c r="T185" s="1144" t="s">
        <v>908</v>
      </c>
      <c r="U185" s="1145"/>
      <c r="V185" s="1145"/>
      <c r="W185" s="1146"/>
      <c r="X185" s="16" t="s">
        <v>6</v>
      </c>
    </row>
    <row r="186" spans="1:24" ht="13.5" thickBot="1">
      <c r="A186" s="868" t="s">
        <v>65</v>
      </c>
      <c r="B186" s="868" t="s">
        <v>66</v>
      </c>
      <c r="C186" s="9" t="s">
        <v>235</v>
      </c>
      <c r="D186" s="1014">
        <v>1.6</v>
      </c>
      <c r="E186" s="1015"/>
      <c r="F186" s="1015"/>
      <c r="G186" s="1016"/>
      <c r="H186" s="1014">
        <v>2</v>
      </c>
      <c r="I186" s="1015"/>
      <c r="J186" s="1015"/>
      <c r="K186" s="1016"/>
      <c r="L186" s="1014">
        <v>2.4</v>
      </c>
      <c r="M186" s="1015"/>
      <c r="N186" s="1015"/>
      <c r="O186" s="1016"/>
      <c r="P186" s="1014">
        <v>2.6</v>
      </c>
      <c r="Q186" s="1015"/>
      <c r="R186" s="1015"/>
      <c r="S186" s="1016"/>
      <c r="T186" s="1039">
        <f>'LF for 2014 AR (original)'!P186+(2/3*('LF for 2014 AR (original)'!T186-'LF for 2014 AR (original)'!P186))</f>
        <v>2.8666666666666667</v>
      </c>
      <c r="U186" s="1040"/>
      <c r="V186" s="1040"/>
      <c r="W186" s="1041"/>
      <c r="X186" s="879" t="s">
        <v>91</v>
      </c>
    </row>
    <row r="187" spans="1:24" ht="13.5" thickBot="1">
      <c r="A187" s="885"/>
      <c r="B187" s="885"/>
      <c r="C187" s="9" t="s">
        <v>233</v>
      </c>
      <c r="D187" s="966" t="s">
        <v>255</v>
      </c>
      <c r="E187" s="967"/>
      <c r="F187" s="967"/>
      <c r="G187" s="968"/>
      <c r="H187" s="1094">
        <v>1.5</v>
      </c>
      <c r="I187" s="1095"/>
      <c r="J187" s="1095"/>
      <c r="K187" s="1096"/>
      <c r="L187" s="1014">
        <v>1.5</v>
      </c>
      <c r="M187" s="1015"/>
      <c r="N187" s="1015"/>
      <c r="O187" s="1016"/>
      <c r="P187" s="1014">
        <v>1.6</v>
      </c>
      <c r="Q187" s="1015"/>
      <c r="R187" s="1015"/>
      <c r="S187" s="1016"/>
      <c r="T187" s="1039">
        <f>'LF for 2014 AR (original)'!P187+(2/3*('LF for 2014 AR (original)'!T187-'LF for 2014 AR (original)'!P187))</f>
        <v>2.2000000000000002</v>
      </c>
      <c r="U187" s="1040"/>
      <c r="V187" s="1040"/>
      <c r="W187" s="1041"/>
      <c r="X187" s="880"/>
    </row>
    <row r="188" spans="1:24" ht="12.95" customHeight="1" thickBot="1">
      <c r="A188" s="885"/>
      <c r="B188" s="885"/>
      <c r="C188" s="9" t="s">
        <v>234</v>
      </c>
      <c r="D188" s="957"/>
      <c r="E188" s="958"/>
      <c r="F188" s="958"/>
      <c r="G188" s="959"/>
      <c r="H188" s="957"/>
      <c r="I188" s="958"/>
      <c r="J188" s="958"/>
      <c r="K188" s="959"/>
      <c r="L188" s="1057" t="s">
        <v>910</v>
      </c>
      <c r="M188" s="1058"/>
      <c r="N188" s="1058"/>
      <c r="O188" s="1059"/>
      <c r="P188" s="1023">
        <f>'State Agg LFx3 (2014)'!P188</f>
        <v>1.25</v>
      </c>
      <c r="Q188" s="1024"/>
      <c r="R188" s="1024"/>
      <c r="S188" s="1025"/>
      <c r="T188" s="1023">
        <f>'State Agg LFx3 (2014)'!T188</f>
        <v>1.25</v>
      </c>
      <c r="U188" s="1024"/>
      <c r="V188" s="1024"/>
      <c r="W188" s="1025"/>
      <c r="X188" s="880"/>
    </row>
    <row r="189" spans="1:24" ht="13.5" thickBot="1">
      <c r="A189" s="885"/>
      <c r="B189" s="885"/>
      <c r="C189" s="102" t="s">
        <v>236</v>
      </c>
      <c r="D189" s="1008" t="s">
        <v>416</v>
      </c>
      <c r="E189" s="1009"/>
      <c r="F189" s="1009"/>
      <c r="G189" s="1010"/>
      <c r="H189" s="1020">
        <v>2</v>
      </c>
      <c r="I189" s="1021"/>
      <c r="J189" s="1021"/>
      <c r="K189" s="1022"/>
      <c r="L189" s="1020">
        <v>2.7</v>
      </c>
      <c r="M189" s="1021"/>
      <c r="N189" s="1021"/>
      <c r="O189" s="1022"/>
      <c r="P189" s="1079" t="s">
        <v>788</v>
      </c>
      <c r="Q189" s="1080"/>
      <c r="R189" s="1080"/>
      <c r="S189" s="1081"/>
      <c r="T189" s="1020">
        <f>'State Agg LFx3 (2014)'!T189</f>
        <v>3.28</v>
      </c>
      <c r="U189" s="1021"/>
      <c r="V189" s="1021"/>
      <c r="W189" s="1022"/>
      <c r="X189" s="880"/>
    </row>
    <row r="190" spans="1:24" ht="13.5" thickBot="1">
      <c r="A190" s="885"/>
      <c r="B190" s="885"/>
      <c r="C190" s="102" t="s">
        <v>283</v>
      </c>
      <c r="D190" s="1017"/>
      <c r="E190" s="1018"/>
      <c r="F190" s="1018"/>
      <c r="G190" s="1019"/>
      <c r="H190" s="1017"/>
      <c r="I190" s="1018"/>
      <c r="J190" s="1018"/>
      <c r="K190" s="1019"/>
      <c r="L190" s="1020">
        <v>1.5</v>
      </c>
      <c r="M190" s="1021"/>
      <c r="N190" s="1021"/>
      <c r="O190" s="1022"/>
      <c r="P190" s="1020" t="s">
        <v>789</v>
      </c>
      <c r="Q190" s="1021"/>
      <c r="R190" s="1021"/>
      <c r="S190" s="1022"/>
      <c r="T190" s="1020">
        <f>'State Agg LFx3 (2014)'!T190</f>
        <v>3.7666666666666671</v>
      </c>
      <c r="U190" s="1021"/>
      <c r="V190" s="1021"/>
      <c r="W190" s="1022"/>
      <c r="X190" s="880"/>
    </row>
    <row r="191" spans="1:24" ht="13.5" thickBot="1">
      <c r="A191" s="885"/>
      <c r="B191" s="885"/>
      <c r="C191" s="102" t="s">
        <v>284</v>
      </c>
      <c r="D191" s="1017"/>
      <c r="E191" s="1018"/>
      <c r="F191" s="1018"/>
      <c r="G191" s="1019"/>
      <c r="H191" s="1017"/>
      <c r="I191" s="1018"/>
      <c r="J191" s="1018"/>
      <c r="K191" s="1019"/>
      <c r="L191" s="1017"/>
      <c r="M191" s="1018"/>
      <c r="N191" s="1018"/>
      <c r="O191" s="1019"/>
      <c r="P191" s="1017"/>
      <c r="Q191" s="1018"/>
      <c r="R191" s="1018"/>
      <c r="S191" s="1019"/>
      <c r="T191" s="1017"/>
      <c r="U191" s="1018"/>
      <c r="V191" s="1018"/>
      <c r="W191" s="1019"/>
      <c r="X191" s="880"/>
    </row>
    <row r="192" spans="1:24" ht="13.5" thickBot="1">
      <c r="A192" s="885"/>
      <c r="B192" s="885"/>
      <c r="C192" s="998" t="s">
        <v>413</v>
      </c>
      <c r="D192" s="927" t="s">
        <v>4</v>
      </c>
      <c r="E192" s="928"/>
      <c r="F192" s="928"/>
      <c r="G192" s="928"/>
      <c r="H192" s="928"/>
      <c r="I192" s="928"/>
      <c r="J192" s="928"/>
      <c r="K192" s="928"/>
      <c r="L192" s="928"/>
      <c r="M192" s="928"/>
      <c r="N192" s="928"/>
      <c r="O192" s="928"/>
      <c r="P192" s="928"/>
      <c r="Q192" s="928"/>
      <c r="R192" s="928"/>
      <c r="S192" s="928"/>
      <c r="T192" s="928"/>
      <c r="U192" s="928"/>
      <c r="V192" s="928"/>
      <c r="W192" s="929"/>
      <c r="X192" s="880"/>
    </row>
    <row r="193" spans="1:24" ht="13.5" thickBot="1">
      <c r="A193" s="885"/>
      <c r="B193" s="869"/>
      <c r="C193" s="999"/>
      <c r="D193" s="930" t="s">
        <v>123</v>
      </c>
      <c r="E193" s="931"/>
      <c r="F193" s="931"/>
      <c r="G193" s="931"/>
      <c r="H193" s="931"/>
      <c r="I193" s="931"/>
      <c r="J193" s="931"/>
      <c r="K193" s="931"/>
      <c r="L193" s="931"/>
      <c r="M193" s="931"/>
      <c r="N193" s="931"/>
      <c r="O193" s="931"/>
      <c r="P193" s="931"/>
      <c r="Q193" s="931"/>
      <c r="R193" s="931"/>
      <c r="S193" s="931"/>
      <c r="T193" s="931"/>
      <c r="U193" s="931"/>
      <c r="V193" s="931"/>
      <c r="W193" s="932"/>
      <c r="X193" s="880"/>
    </row>
    <row r="194" spans="1:24" ht="12.95" customHeight="1" thickBot="1">
      <c r="A194" s="885"/>
      <c r="B194" s="11" t="s">
        <v>33</v>
      </c>
      <c r="C194" s="12"/>
      <c r="D194" s="927" t="s">
        <v>78</v>
      </c>
      <c r="E194" s="928"/>
      <c r="F194" s="928"/>
      <c r="G194" s="929"/>
      <c r="H194" s="927" t="s">
        <v>77</v>
      </c>
      <c r="I194" s="928"/>
      <c r="J194" s="928"/>
      <c r="K194" s="929"/>
      <c r="L194" s="927" t="s">
        <v>81</v>
      </c>
      <c r="M194" s="928"/>
      <c r="N194" s="928"/>
      <c r="O194" s="929"/>
      <c r="P194" s="927" t="s">
        <v>254</v>
      </c>
      <c r="Q194" s="928"/>
      <c r="R194" s="928"/>
      <c r="S194" s="929"/>
      <c r="T194" s="1144" t="s">
        <v>908</v>
      </c>
      <c r="U194" s="1145"/>
      <c r="V194" s="1145"/>
      <c r="W194" s="1146"/>
      <c r="X194" s="880"/>
    </row>
    <row r="195" spans="1:24" ht="13.5" thickBot="1">
      <c r="A195" s="885"/>
      <c r="B195" s="868" t="s">
        <v>67</v>
      </c>
      <c r="C195" s="9" t="s">
        <v>235</v>
      </c>
      <c r="D195" s="1014">
        <v>1.2</v>
      </c>
      <c r="E195" s="1015"/>
      <c r="F195" s="1015"/>
      <c r="G195" s="1016"/>
      <c r="H195" s="1014">
        <v>1.8</v>
      </c>
      <c r="I195" s="1015"/>
      <c r="J195" s="1015"/>
      <c r="K195" s="1016"/>
      <c r="L195" s="1014">
        <v>2.4</v>
      </c>
      <c r="M195" s="1015"/>
      <c r="N195" s="1015"/>
      <c r="O195" s="1016"/>
      <c r="P195" s="1014">
        <v>2.7</v>
      </c>
      <c r="Q195" s="1015"/>
      <c r="R195" s="1015"/>
      <c r="S195" s="1016"/>
      <c r="T195" s="1039">
        <f>'LF for 2014 AR (original)'!P195+(2/3*('LF for 2014 AR (original)'!T195-'LF for 2014 AR (original)'!P195))</f>
        <v>2.9</v>
      </c>
      <c r="U195" s="1040"/>
      <c r="V195" s="1040"/>
      <c r="W195" s="1041"/>
      <c r="X195" s="880"/>
    </row>
    <row r="196" spans="1:24" ht="13.5" thickBot="1">
      <c r="A196" s="885"/>
      <c r="B196" s="885"/>
      <c r="C196" s="9" t="s">
        <v>233</v>
      </c>
      <c r="D196" s="966" t="s">
        <v>255</v>
      </c>
      <c r="E196" s="967"/>
      <c r="F196" s="967"/>
      <c r="G196" s="968"/>
      <c r="H196" s="1094">
        <v>2.5</v>
      </c>
      <c r="I196" s="1095"/>
      <c r="J196" s="1095"/>
      <c r="K196" s="1096"/>
      <c r="L196" s="1014">
        <v>2.5</v>
      </c>
      <c r="M196" s="1015"/>
      <c r="N196" s="1015"/>
      <c r="O196" s="1016"/>
      <c r="P196" s="1014">
        <v>2.2999999999999998</v>
      </c>
      <c r="Q196" s="1015"/>
      <c r="R196" s="1015"/>
      <c r="S196" s="1016"/>
      <c r="T196" s="1039">
        <f>'LF for 2014 AR (original)'!P196+(2/3*('LF for 2014 AR (original)'!T196-'LF for 2014 AR (original)'!P196))</f>
        <v>2.6333333333333333</v>
      </c>
      <c r="U196" s="1040"/>
      <c r="V196" s="1040"/>
      <c r="W196" s="1041"/>
      <c r="X196" s="880"/>
    </row>
    <row r="197" spans="1:24" ht="12.95" customHeight="1" thickBot="1">
      <c r="A197" s="885"/>
      <c r="B197" s="885"/>
      <c r="C197" s="9" t="s">
        <v>234</v>
      </c>
      <c r="D197" s="957"/>
      <c r="E197" s="958"/>
      <c r="F197" s="958"/>
      <c r="G197" s="959"/>
      <c r="H197" s="957"/>
      <c r="I197" s="958"/>
      <c r="J197" s="958"/>
      <c r="K197" s="959"/>
      <c r="L197" s="1057" t="s">
        <v>910</v>
      </c>
      <c r="M197" s="1058"/>
      <c r="N197" s="1058"/>
      <c r="O197" s="1059"/>
      <c r="P197" s="1023">
        <f>'State Agg LFx3 (2014)'!P197</f>
        <v>1.8</v>
      </c>
      <c r="Q197" s="1024"/>
      <c r="R197" s="1024"/>
      <c r="S197" s="1025"/>
      <c r="T197" s="1023">
        <f>'State Agg LFx3 (2014)'!T197</f>
        <v>1.8</v>
      </c>
      <c r="U197" s="1024"/>
      <c r="V197" s="1024"/>
      <c r="W197" s="1025"/>
      <c r="X197" s="880"/>
    </row>
    <row r="198" spans="1:24" ht="13.5" thickBot="1">
      <c r="A198" s="885"/>
      <c r="B198" s="885"/>
      <c r="C198" s="102" t="s">
        <v>236</v>
      </c>
      <c r="D198" s="1008" t="s">
        <v>416</v>
      </c>
      <c r="E198" s="1009"/>
      <c r="F198" s="1009"/>
      <c r="G198" s="1010"/>
      <c r="H198" s="1020">
        <v>2.2999999999999998</v>
      </c>
      <c r="I198" s="1021"/>
      <c r="J198" s="1021"/>
      <c r="K198" s="1022"/>
      <c r="L198" s="1020">
        <v>2.7</v>
      </c>
      <c r="M198" s="1021"/>
      <c r="N198" s="1021"/>
      <c r="O198" s="1022"/>
      <c r="P198" s="1079">
        <v>4.0999999999999996</v>
      </c>
      <c r="Q198" s="1080"/>
      <c r="R198" s="1080"/>
      <c r="S198" s="1081"/>
      <c r="T198" s="1020">
        <f>'State Agg LFx3 (2014)'!T198</f>
        <v>4.2799999999999994</v>
      </c>
      <c r="U198" s="1021"/>
      <c r="V198" s="1021"/>
      <c r="W198" s="1022"/>
      <c r="X198" s="880"/>
    </row>
    <row r="199" spans="1:24" ht="13.5" thickBot="1">
      <c r="A199" s="885"/>
      <c r="B199" s="885"/>
      <c r="C199" s="102" t="s">
        <v>283</v>
      </c>
      <c r="D199" s="1017"/>
      <c r="E199" s="1018"/>
      <c r="F199" s="1018"/>
      <c r="G199" s="1019"/>
      <c r="H199" s="1017"/>
      <c r="I199" s="1018"/>
      <c r="J199" s="1018"/>
      <c r="K199" s="1019"/>
      <c r="L199" s="1020">
        <v>2.5</v>
      </c>
      <c r="M199" s="1021"/>
      <c r="N199" s="1021"/>
      <c r="O199" s="1022"/>
      <c r="P199" s="1020" t="s">
        <v>790</v>
      </c>
      <c r="Q199" s="1021"/>
      <c r="R199" s="1021"/>
      <c r="S199" s="1022"/>
      <c r="T199" s="1020">
        <f>'State Agg LFx3 (2014)'!T199</f>
        <v>4.3</v>
      </c>
      <c r="U199" s="1021"/>
      <c r="V199" s="1021"/>
      <c r="W199" s="1022"/>
      <c r="X199" s="880"/>
    </row>
    <row r="200" spans="1:24" ht="13.5" thickBot="1">
      <c r="A200" s="885"/>
      <c r="B200" s="885"/>
      <c r="C200" s="102" t="s">
        <v>284</v>
      </c>
      <c r="D200" s="1017"/>
      <c r="E200" s="1018"/>
      <c r="F200" s="1018"/>
      <c r="G200" s="1019"/>
      <c r="H200" s="1017"/>
      <c r="I200" s="1018"/>
      <c r="J200" s="1018"/>
      <c r="K200" s="1019"/>
      <c r="L200" s="1017"/>
      <c r="M200" s="1018"/>
      <c r="N200" s="1018"/>
      <c r="O200" s="1019"/>
      <c r="P200" s="1017"/>
      <c r="Q200" s="1018"/>
      <c r="R200" s="1018"/>
      <c r="S200" s="1019"/>
      <c r="T200" s="1017"/>
      <c r="U200" s="1018"/>
      <c r="V200" s="1018"/>
      <c r="W200" s="1019"/>
      <c r="X200" s="880"/>
    </row>
    <row r="201" spans="1:24" ht="13.5" thickBot="1">
      <c r="A201" s="885"/>
      <c r="B201" s="885"/>
      <c r="C201" s="998" t="s">
        <v>413</v>
      </c>
      <c r="D201" s="927" t="s">
        <v>4</v>
      </c>
      <c r="E201" s="928"/>
      <c r="F201" s="928"/>
      <c r="G201" s="928"/>
      <c r="H201" s="928"/>
      <c r="I201" s="928"/>
      <c r="J201" s="928"/>
      <c r="K201" s="928"/>
      <c r="L201" s="928"/>
      <c r="M201" s="928"/>
      <c r="N201" s="928"/>
      <c r="O201" s="928"/>
      <c r="P201" s="928"/>
      <c r="Q201" s="928"/>
      <c r="R201" s="928"/>
      <c r="S201" s="928"/>
      <c r="T201" s="928"/>
      <c r="U201" s="928"/>
      <c r="V201" s="928"/>
      <c r="W201" s="929"/>
      <c r="X201" s="880"/>
    </row>
    <row r="202" spans="1:24" ht="13.5" thickBot="1">
      <c r="A202" s="885"/>
      <c r="B202" s="869"/>
      <c r="C202" s="999"/>
      <c r="D202" s="930" t="s">
        <v>123</v>
      </c>
      <c r="E202" s="931"/>
      <c r="F202" s="931"/>
      <c r="G202" s="931"/>
      <c r="H202" s="931"/>
      <c r="I202" s="931"/>
      <c r="J202" s="931"/>
      <c r="K202" s="931"/>
      <c r="L202" s="931"/>
      <c r="M202" s="931"/>
      <c r="N202" s="931"/>
      <c r="O202" s="931"/>
      <c r="P202" s="931"/>
      <c r="Q202" s="931"/>
      <c r="R202" s="931"/>
      <c r="S202" s="931"/>
      <c r="T202" s="931"/>
      <c r="U202" s="931"/>
      <c r="V202" s="931"/>
      <c r="W202" s="932"/>
      <c r="X202" s="880"/>
    </row>
    <row r="203" spans="1:24" ht="12.95" customHeight="1" thickBot="1">
      <c r="A203" s="885"/>
      <c r="B203" s="11" t="s">
        <v>34</v>
      </c>
      <c r="C203" s="12"/>
      <c r="D203" s="927" t="s">
        <v>78</v>
      </c>
      <c r="E203" s="928"/>
      <c r="F203" s="928"/>
      <c r="G203" s="929"/>
      <c r="H203" s="927" t="s">
        <v>77</v>
      </c>
      <c r="I203" s="928"/>
      <c r="J203" s="928"/>
      <c r="K203" s="929"/>
      <c r="L203" s="927" t="s">
        <v>81</v>
      </c>
      <c r="M203" s="928"/>
      <c r="N203" s="928"/>
      <c r="O203" s="929"/>
      <c r="P203" s="927" t="s">
        <v>254</v>
      </c>
      <c r="Q203" s="928"/>
      <c r="R203" s="928"/>
      <c r="S203" s="929"/>
      <c r="T203" s="1144" t="s">
        <v>908</v>
      </c>
      <c r="U203" s="1145"/>
      <c r="V203" s="1145"/>
      <c r="W203" s="1146"/>
      <c r="X203" s="880"/>
    </row>
    <row r="204" spans="1:24" ht="13.5" thickBot="1">
      <c r="A204" s="885"/>
      <c r="B204" s="868" t="s">
        <v>68</v>
      </c>
      <c r="C204" s="9" t="s">
        <v>235</v>
      </c>
      <c r="D204" s="1014">
        <v>1</v>
      </c>
      <c r="E204" s="1015"/>
      <c r="F204" s="1015"/>
      <c r="G204" s="1016"/>
      <c r="H204" s="1014">
        <v>1.6</v>
      </c>
      <c r="I204" s="1015"/>
      <c r="J204" s="1015"/>
      <c r="K204" s="1016"/>
      <c r="L204" s="1014">
        <v>2.2000000000000002</v>
      </c>
      <c r="M204" s="1015"/>
      <c r="N204" s="1015"/>
      <c r="O204" s="1016"/>
      <c r="P204" s="1014">
        <v>2.6</v>
      </c>
      <c r="Q204" s="1015"/>
      <c r="R204" s="1015"/>
      <c r="S204" s="1016"/>
      <c r="T204" s="1039">
        <f>'LF for 2014 AR (original)'!P204+(2/3*('LF for 2014 AR (original)'!T204-'LF for 2014 AR (original)'!P204))</f>
        <v>2.8666666666666667</v>
      </c>
      <c r="U204" s="1040"/>
      <c r="V204" s="1040"/>
      <c r="W204" s="1041"/>
      <c r="X204" s="880"/>
    </row>
    <row r="205" spans="1:24" ht="13.5" thickBot="1">
      <c r="A205" s="885"/>
      <c r="B205" s="885"/>
      <c r="C205" s="9" t="s">
        <v>233</v>
      </c>
      <c r="D205" s="966" t="s">
        <v>255</v>
      </c>
      <c r="E205" s="967"/>
      <c r="F205" s="967"/>
      <c r="G205" s="968"/>
      <c r="H205" s="1094">
        <v>1.6</v>
      </c>
      <c r="I205" s="1095"/>
      <c r="J205" s="1095"/>
      <c r="K205" s="1096"/>
      <c r="L205" s="1014">
        <v>1.6</v>
      </c>
      <c r="M205" s="1015"/>
      <c r="N205" s="1015"/>
      <c r="O205" s="1016"/>
      <c r="P205" s="1014">
        <v>1.7</v>
      </c>
      <c r="Q205" s="1015"/>
      <c r="R205" s="1015"/>
      <c r="S205" s="1016"/>
      <c r="T205" s="1039">
        <f>'LF for 2014 AR (original)'!P205+(2/3*('LF for 2014 AR (original)'!T205-'LF for 2014 AR (original)'!P205))</f>
        <v>2.2333333333333334</v>
      </c>
      <c r="U205" s="1040"/>
      <c r="V205" s="1040"/>
      <c r="W205" s="1041"/>
      <c r="X205" s="880"/>
    </row>
    <row r="206" spans="1:24" ht="12.95" customHeight="1" thickBot="1">
      <c r="A206" s="885"/>
      <c r="B206" s="885"/>
      <c r="C206" s="9" t="s">
        <v>234</v>
      </c>
      <c r="D206" s="957"/>
      <c r="E206" s="958"/>
      <c r="F206" s="958"/>
      <c r="G206" s="959"/>
      <c r="H206" s="957"/>
      <c r="I206" s="958"/>
      <c r="J206" s="958"/>
      <c r="K206" s="959"/>
      <c r="L206" s="1057" t="s">
        <v>910</v>
      </c>
      <c r="M206" s="1058"/>
      <c r="N206" s="1058"/>
      <c r="O206" s="1059"/>
      <c r="P206" s="1023">
        <f>'State Agg LFx3 (2014)'!P206</f>
        <v>1.1000000000000001</v>
      </c>
      <c r="Q206" s="1024"/>
      <c r="R206" s="1024"/>
      <c r="S206" s="1025"/>
      <c r="T206" s="1023">
        <f>'State Agg LFx3 (2014)'!T206</f>
        <v>1.1000000000000001</v>
      </c>
      <c r="U206" s="1024"/>
      <c r="V206" s="1024"/>
      <c r="W206" s="1025"/>
      <c r="X206" s="880"/>
    </row>
    <row r="207" spans="1:24" ht="13.5" thickBot="1">
      <c r="A207" s="885"/>
      <c r="B207" s="885"/>
      <c r="C207" s="102" t="s">
        <v>236</v>
      </c>
      <c r="D207" s="1008" t="s">
        <v>416</v>
      </c>
      <c r="E207" s="1009"/>
      <c r="F207" s="1009"/>
      <c r="G207" s="1010"/>
      <c r="H207" s="1020">
        <v>1.9</v>
      </c>
      <c r="I207" s="1021"/>
      <c r="J207" s="1021"/>
      <c r="K207" s="1022"/>
      <c r="L207" s="1020">
        <v>2.2000000000000002</v>
      </c>
      <c r="M207" s="1021"/>
      <c r="N207" s="1021"/>
      <c r="O207" s="1022"/>
      <c r="P207" s="1079">
        <v>2.8</v>
      </c>
      <c r="Q207" s="1080"/>
      <c r="R207" s="1080"/>
      <c r="S207" s="1081"/>
      <c r="T207" s="1020">
        <f>'State Agg LFx3 (2014)'!T207</f>
        <v>3.4800000000000004</v>
      </c>
      <c r="U207" s="1021"/>
      <c r="V207" s="1021"/>
      <c r="W207" s="1022"/>
      <c r="X207" s="880"/>
    </row>
    <row r="208" spans="1:24" ht="13.5" thickBot="1">
      <c r="A208" s="885"/>
      <c r="B208" s="885"/>
      <c r="C208" s="102" t="s">
        <v>283</v>
      </c>
      <c r="D208" s="1017"/>
      <c r="E208" s="1018"/>
      <c r="F208" s="1018"/>
      <c r="G208" s="1019"/>
      <c r="H208" s="1017"/>
      <c r="I208" s="1018"/>
      <c r="J208" s="1018"/>
      <c r="K208" s="1019"/>
      <c r="L208" s="1020">
        <v>1.6</v>
      </c>
      <c r="M208" s="1021"/>
      <c r="N208" s="1021"/>
      <c r="O208" s="1022"/>
      <c r="P208" s="1020" t="s">
        <v>791</v>
      </c>
      <c r="Q208" s="1021"/>
      <c r="R208" s="1021"/>
      <c r="S208" s="1022"/>
      <c r="T208" s="1020">
        <f>'State Agg LFx3 (2014)'!T208</f>
        <v>3.6666666666666665</v>
      </c>
      <c r="U208" s="1021"/>
      <c r="V208" s="1021"/>
      <c r="W208" s="1022"/>
      <c r="X208" s="880"/>
    </row>
    <row r="209" spans="1:24" ht="13.5" thickBot="1">
      <c r="A209" s="885"/>
      <c r="B209" s="885"/>
      <c r="C209" s="102" t="s">
        <v>284</v>
      </c>
      <c r="D209" s="1017"/>
      <c r="E209" s="1018"/>
      <c r="F209" s="1018"/>
      <c r="G209" s="1019"/>
      <c r="H209" s="1017"/>
      <c r="I209" s="1018"/>
      <c r="J209" s="1018"/>
      <c r="K209" s="1019"/>
      <c r="L209" s="1017"/>
      <c r="M209" s="1018"/>
      <c r="N209" s="1018"/>
      <c r="O209" s="1019"/>
      <c r="P209" s="1017"/>
      <c r="Q209" s="1018"/>
      <c r="R209" s="1018"/>
      <c r="S209" s="1019"/>
      <c r="T209" s="1017"/>
      <c r="U209" s="1018"/>
      <c r="V209" s="1018"/>
      <c r="W209" s="1019"/>
      <c r="X209" s="880"/>
    </row>
    <row r="210" spans="1:24" ht="13.5" thickBot="1">
      <c r="A210" s="885"/>
      <c r="B210" s="885"/>
      <c r="C210" s="998" t="s">
        <v>413</v>
      </c>
      <c r="D210" s="927" t="s">
        <v>4</v>
      </c>
      <c r="E210" s="928"/>
      <c r="F210" s="928"/>
      <c r="G210" s="928"/>
      <c r="H210" s="928"/>
      <c r="I210" s="928"/>
      <c r="J210" s="928"/>
      <c r="K210" s="928"/>
      <c r="L210" s="928"/>
      <c r="M210" s="928"/>
      <c r="N210" s="928"/>
      <c r="O210" s="928"/>
      <c r="P210" s="928"/>
      <c r="Q210" s="928"/>
      <c r="R210" s="928"/>
      <c r="S210" s="928"/>
      <c r="T210" s="928"/>
      <c r="U210" s="928"/>
      <c r="V210" s="928"/>
      <c r="W210" s="929"/>
      <c r="X210" s="880"/>
    </row>
    <row r="211" spans="1:24" ht="13.5" thickBot="1">
      <c r="A211" s="885"/>
      <c r="B211" s="869"/>
      <c r="C211" s="999"/>
      <c r="D211" s="930" t="s">
        <v>123</v>
      </c>
      <c r="E211" s="931"/>
      <c r="F211" s="931"/>
      <c r="G211" s="931"/>
      <c r="H211" s="931"/>
      <c r="I211" s="931"/>
      <c r="J211" s="931"/>
      <c r="K211" s="931"/>
      <c r="L211" s="931"/>
      <c r="M211" s="931"/>
      <c r="N211" s="931"/>
      <c r="O211" s="931"/>
      <c r="P211" s="931"/>
      <c r="Q211" s="931"/>
      <c r="R211" s="931"/>
      <c r="S211" s="931"/>
      <c r="T211" s="931"/>
      <c r="U211" s="931"/>
      <c r="V211" s="931"/>
      <c r="W211" s="932"/>
      <c r="X211" s="880"/>
    </row>
    <row r="212" spans="1:24" ht="12.95" customHeight="1" thickBot="1">
      <c r="A212" s="885"/>
      <c r="B212" s="11" t="s">
        <v>41</v>
      </c>
      <c r="C212" s="12"/>
      <c r="D212" s="927" t="s">
        <v>78</v>
      </c>
      <c r="E212" s="928"/>
      <c r="F212" s="928"/>
      <c r="G212" s="929"/>
      <c r="H212" s="927" t="s">
        <v>77</v>
      </c>
      <c r="I212" s="928"/>
      <c r="J212" s="928"/>
      <c r="K212" s="929"/>
      <c r="L212" s="927" t="s">
        <v>81</v>
      </c>
      <c r="M212" s="928"/>
      <c r="N212" s="928"/>
      <c r="O212" s="929"/>
      <c r="P212" s="927" t="s">
        <v>254</v>
      </c>
      <c r="Q212" s="928"/>
      <c r="R212" s="928"/>
      <c r="S212" s="929"/>
      <c r="T212" s="1144" t="s">
        <v>908</v>
      </c>
      <c r="U212" s="1145"/>
      <c r="V212" s="1145"/>
      <c r="W212" s="1146"/>
      <c r="X212" s="880"/>
    </row>
    <row r="213" spans="1:24" ht="13.5" thickBot="1">
      <c r="A213" s="885"/>
      <c r="B213" s="868" t="s">
        <v>69</v>
      </c>
      <c r="C213" s="9" t="s">
        <v>235</v>
      </c>
      <c r="D213" s="1014">
        <v>1.2</v>
      </c>
      <c r="E213" s="1015"/>
      <c r="F213" s="1015"/>
      <c r="G213" s="1016"/>
      <c r="H213" s="1014">
        <v>1.6</v>
      </c>
      <c r="I213" s="1015"/>
      <c r="J213" s="1015"/>
      <c r="K213" s="1016"/>
      <c r="L213" s="1014">
        <v>2.2000000000000002</v>
      </c>
      <c r="M213" s="1015"/>
      <c r="N213" s="1015"/>
      <c r="O213" s="1016"/>
      <c r="P213" s="1014">
        <v>2.6</v>
      </c>
      <c r="Q213" s="1015"/>
      <c r="R213" s="1015"/>
      <c r="S213" s="1016"/>
      <c r="T213" s="1039">
        <f>'LF for 2014 AR (original)'!P213+(2/3*('LF for 2014 AR (original)'!T213-'LF for 2014 AR (original)'!P213))</f>
        <v>2.8666666666666667</v>
      </c>
      <c r="U213" s="1040"/>
      <c r="V213" s="1040"/>
      <c r="W213" s="1041"/>
      <c r="X213" s="880"/>
    </row>
    <row r="214" spans="1:24" ht="13.5" thickBot="1">
      <c r="A214" s="885"/>
      <c r="B214" s="885"/>
      <c r="C214" s="9" t="s">
        <v>233</v>
      </c>
      <c r="D214" s="966" t="s">
        <v>255</v>
      </c>
      <c r="E214" s="967"/>
      <c r="F214" s="967"/>
      <c r="G214" s="968"/>
      <c r="H214" s="1014">
        <v>1.7</v>
      </c>
      <c r="I214" s="1015"/>
      <c r="J214" s="1015"/>
      <c r="K214" s="1016"/>
      <c r="L214" s="1014">
        <v>1.7</v>
      </c>
      <c r="M214" s="1015"/>
      <c r="N214" s="1015"/>
      <c r="O214" s="1016"/>
      <c r="P214" s="1014">
        <v>1.8</v>
      </c>
      <c r="Q214" s="1015"/>
      <c r="R214" s="1015"/>
      <c r="S214" s="1016"/>
      <c r="T214" s="1039">
        <f>'LF for 2014 AR (original)'!P214+(2/3*('LF for 2014 AR (original)'!T214-'LF for 2014 AR (original)'!P214))</f>
        <v>2.2666666666666666</v>
      </c>
      <c r="U214" s="1040"/>
      <c r="V214" s="1040"/>
      <c r="W214" s="1041"/>
      <c r="X214" s="880"/>
    </row>
    <row r="215" spans="1:24" ht="12.95" customHeight="1" thickBot="1">
      <c r="A215" s="885"/>
      <c r="B215" s="885"/>
      <c r="C215" s="9" t="s">
        <v>234</v>
      </c>
      <c r="D215" s="957"/>
      <c r="E215" s="958"/>
      <c r="F215" s="958"/>
      <c r="G215" s="959"/>
      <c r="H215" s="957"/>
      <c r="I215" s="958"/>
      <c r="J215" s="958"/>
      <c r="K215" s="959"/>
      <c r="L215" s="1057" t="s">
        <v>910</v>
      </c>
      <c r="M215" s="1058"/>
      <c r="N215" s="1058"/>
      <c r="O215" s="1059"/>
      <c r="P215" s="1023">
        <f>'State Agg LFx3 (2014)'!P215</f>
        <v>1.25</v>
      </c>
      <c r="Q215" s="1024"/>
      <c r="R215" s="1024"/>
      <c r="S215" s="1025"/>
      <c r="T215" s="1023">
        <f>'State Agg LFx3 (2014)'!T215</f>
        <v>1.25</v>
      </c>
      <c r="U215" s="1024"/>
      <c r="V215" s="1024"/>
      <c r="W215" s="1025"/>
      <c r="X215" s="880"/>
    </row>
    <row r="216" spans="1:24" ht="13.5" thickBot="1">
      <c r="A216" s="885"/>
      <c r="B216" s="885"/>
      <c r="C216" s="102" t="s">
        <v>236</v>
      </c>
      <c r="D216" s="1008" t="s">
        <v>416</v>
      </c>
      <c r="E216" s="1009"/>
      <c r="F216" s="1009"/>
      <c r="G216" s="1010"/>
      <c r="H216" s="1020">
        <v>1.9</v>
      </c>
      <c r="I216" s="1021"/>
      <c r="J216" s="1021"/>
      <c r="K216" s="1022"/>
      <c r="L216" s="1020">
        <v>2.1</v>
      </c>
      <c r="M216" s="1021"/>
      <c r="N216" s="1021"/>
      <c r="O216" s="1022"/>
      <c r="P216" s="1079" t="s">
        <v>792</v>
      </c>
      <c r="Q216" s="1080"/>
      <c r="R216" s="1080"/>
      <c r="S216" s="1081"/>
      <c r="T216" s="1020">
        <f>'State Agg LFx3 (2014)'!T216</f>
        <v>3.46</v>
      </c>
      <c r="U216" s="1021"/>
      <c r="V216" s="1021"/>
      <c r="W216" s="1022"/>
      <c r="X216" s="880"/>
    </row>
    <row r="217" spans="1:24" ht="13.5" thickBot="1">
      <c r="A217" s="885"/>
      <c r="B217" s="885"/>
      <c r="C217" s="102" t="s">
        <v>283</v>
      </c>
      <c r="D217" s="1017"/>
      <c r="E217" s="1018"/>
      <c r="F217" s="1018"/>
      <c r="G217" s="1019"/>
      <c r="H217" s="1017"/>
      <c r="I217" s="1018"/>
      <c r="J217" s="1018"/>
      <c r="K217" s="1019"/>
      <c r="L217" s="1020">
        <v>1.7</v>
      </c>
      <c r="M217" s="1021"/>
      <c r="N217" s="1021"/>
      <c r="O217" s="1022"/>
      <c r="P217" s="1020" t="s">
        <v>793</v>
      </c>
      <c r="Q217" s="1021"/>
      <c r="R217" s="1021"/>
      <c r="S217" s="1022"/>
      <c r="T217" s="1020">
        <f>'State Agg LFx3 (2014)'!T217</f>
        <v>3.5333333333333337</v>
      </c>
      <c r="U217" s="1021"/>
      <c r="V217" s="1021"/>
      <c r="W217" s="1022"/>
      <c r="X217" s="880"/>
    </row>
    <row r="218" spans="1:24" ht="13.5" thickBot="1">
      <c r="A218" s="885"/>
      <c r="B218" s="885"/>
      <c r="C218" s="102" t="s">
        <v>284</v>
      </c>
      <c r="D218" s="1017"/>
      <c r="E218" s="1018"/>
      <c r="F218" s="1018"/>
      <c r="G218" s="1019"/>
      <c r="H218" s="1017"/>
      <c r="I218" s="1018"/>
      <c r="J218" s="1018"/>
      <c r="K218" s="1019"/>
      <c r="L218" s="1017"/>
      <c r="M218" s="1018"/>
      <c r="N218" s="1018"/>
      <c r="O218" s="1019"/>
      <c r="P218" s="1017"/>
      <c r="Q218" s="1018"/>
      <c r="R218" s="1018"/>
      <c r="S218" s="1019"/>
      <c r="T218" s="1017"/>
      <c r="U218" s="1018"/>
      <c r="V218" s="1018"/>
      <c r="W218" s="1019"/>
      <c r="X218" s="880"/>
    </row>
    <row r="219" spans="1:24" ht="13.5" thickBot="1">
      <c r="A219" s="885"/>
      <c r="B219" s="885"/>
      <c r="C219" s="998" t="s">
        <v>413</v>
      </c>
      <c r="D219" s="927" t="s">
        <v>4</v>
      </c>
      <c r="E219" s="928"/>
      <c r="F219" s="928"/>
      <c r="G219" s="928"/>
      <c r="H219" s="928"/>
      <c r="I219" s="928"/>
      <c r="J219" s="928"/>
      <c r="K219" s="928"/>
      <c r="L219" s="928"/>
      <c r="M219" s="928"/>
      <c r="N219" s="928"/>
      <c r="O219" s="928"/>
      <c r="P219" s="928"/>
      <c r="Q219" s="928"/>
      <c r="R219" s="928"/>
      <c r="S219" s="928"/>
      <c r="T219" s="928"/>
      <c r="U219" s="928"/>
      <c r="V219" s="928"/>
      <c r="W219" s="929"/>
      <c r="X219" s="880"/>
    </row>
    <row r="220" spans="1:24" ht="13.5" thickBot="1">
      <c r="A220" s="885"/>
      <c r="B220" s="869"/>
      <c r="C220" s="999"/>
      <c r="D220" s="930" t="s">
        <v>123</v>
      </c>
      <c r="E220" s="931"/>
      <c r="F220" s="931"/>
      <c r="G220" s="931"/>
      <c r="H220" s="931"/>
      <c r="I220" s="931"/>
      <c r="J220" s="931"/>
      <c r="K220" s="931"/>
      <c r="L220" s="931"/>
      <c r="M220" s="931"/>
      <c r="N220" s="931"/>
      <c r="O220" s="931"/>
      <c r="P220" s="931"/>
      <c r="Q220" s="931"/>
      <c r="R220" s="931"/>
      <c r="S220" s="931"/>
      <c r="T220" s="931"/>
      <c r="U220" s="931"/>
      <c r="V220" s="931"/>
      <c r="W220" s="932"/>
      <c r="X220" s="880"/>
    </row>
    <row r="221" spans="1:24" ht="12.95" customHeight="1" thickBot="1">
      <c r="A221" s="885"/>
      <c r="B221" s="11" t="s">
        <v>42</v>
      </c>
      <c r="C221" s="28"/>
      <c r="D221" s="927" t="s">
        <v>78</v>
      </c>
      <c r="E221" s="928"/>
      <c r="F221" s="928"/>
      <c r="G221" s="929"/>
      <c r="H221" s="927" t="s">
        <v>77</v>
      </c>
      <c r="I221" s="928"/>
      <c r="J221" s="928"/>
      <c r="K221" s="929"/>
      <c r="L221" s="927" t="s">
        <v>81</v>
      </c>
      <c r="M221" s="928"/>
      <c r="N221" s="928"/>
      <c r="O221" s="929"/>
      <c r="P221" s="927" t="s">
        <v>254</v>
      </c>
      <c r="Q221" s="928"/>
      <c r="R221" s="928"/>
      <c r="S221" s="929"/>
      <c r="T221" s="1144" t="s">
        <v>908</v>
      </c>
      <c r="U221" s="1145"/>
      <c r="V221" s="1145"/>
      <c r="W221" s="1146"/>
      <c r="X221" s="880"/>
    </row>
    <row r="222" spans="1:24" ht="18.95" customHeight="1" thickBot="1">
      <c r="A222" s="885"/>
      <c r="B222" s="868" t="s">
        <v>180</v>
      </c>
      <c r="C222" s="26"/>
      <c r="D222" s="955" t="s">
        <v>99</v>
      </c>
      <c r="E222" s="956"/>
      <c r="F222" s="955" t="s">
        <v>100</v>
      </c>
      <c r="G222" s="956"/>
      <c r="H222" s="955" t="s">
        <v>99</v>
      </c>
      <c r="I222" s="956"/>
      <c r="J222" s="955" t="s">
        <v>100</v>
      </c>
      <c r="K222" s="956"/>
      <c r="L222" s="955" t="s">
        <v>99</v>
      </c>
      <c r="M222" s="956"/>
      <c r="N222" s="955" t="s">
        <v>100</v>
      </c>
      <c r="O222" s="956"/>
      <c r="P222" s="955" t="s">
        <v>99</v>
      </c>
      <c r="Q222" s="956"/>
      <c r="R222" s="955" t="s">
        <v>100</v>
      </c>
      <c r="S222" s="956"/>
      <c r="T222" s="955" t="s">
        <v>99</v>
      </c>
      <c r="U222" s="956"/>
      <c r="V222" s="955" t="s">
        <v>100</v>
      </c>
      <c r="W222" s="956"/>
      <c r="X222" s="880"/>
    </row>
    <row r="223" spans="1:24" ht="13.5" thickBot="1">
      <c r="A223" s="885"/>
      <c r="B223" s="885"/>
      <c r="C223" s="9" t="s">
        <v>247</v>
      </c>
      <c r="D223" s="1006">
        <v>0</v>
      </c>
      <c r="E223" s="1007"/>
      <c r="F223" s="1006">
        <v>0</v>
      </c>
      <c r="G223" s="1007"/>
      <c r="H223" s="1006">
        <v>20</v>
      </c>
      <c r="I223" s="1007"/>
      <c r="J223" s="1006">
        <v>10</v>
      </c>
      <c r="K223" s="1007"/>
      <c r="L223" s="1138">
        <v>34</v>
      </c>
      <c r="M223" s="1139"/>
      <c r="N223" s="1138">
        <v>13</v>
      </c>
      <c r="O223" s="1139"/>
      <c r="P223" s="1138">
        <v>45</v>
      </c>
      <c r="Q223" s="1139"/>
      <c r="R223" s="1006">
        <v>20</v>
      </c>
      <c r="S223" s="1007"/>
      <c r="T223" s="1094">
        <f>'LF for 2014 AR (original)'!P223+(2/3*('LF for 2014 AR (original)'!T223-'LF for 2014 AR (original)'!P223))</f>
        <v>55</v>
      </c>
      <c r="U223" s="1096" t="e">
        <f>#REF!+(2/3*(#REF!-#REF!))</f>
        <v>#REF!</v>
      </c>
      <c r="V223" s="1094">
        <f>'LF for 2014 AR (original)'!R223+(2/3*('LF for 2014 AR (original)'!V223-'LF for 2014 AR (original)'!R223))</f>
        <v>23.333333333333332</v>
      </c>
      <c r="W223" s="1096" t="e">
        <f>#REF!+(2/3*(#REF!-#REF!))</f>
        <v>#REF!</v>
      </c>
      <c r="X223" s="880"/>
    </row>
    <row r="224" spans="1:24" ht="13.5" thickBot="1">
      <c r="A224" s="869"/>
      <c r="B224" s="885"/>
      <c r="C224" s="102" t="s">
        <v>246</v>
      </c>
      <c r="D224" s="1011" t="s">
        <v>171</v>
      </c>
      <c r="E224" s="1012"/>
      <c r="F224" s="1012"/>
      <c r="G224" s="1013"/>
      <c r="H224" s="1011" t="s">
        <v>417</v>
      </c>
      <c r="I224" s="1012"/>
      <c r="J224" s="1012"/>
      <c r="K224" s="1013"/>
      <c r="L224" s="995">
        <v>26</v>
      </c>
      <c r="M224" s="997"/>
      <c r="N224" s="995">
        <v>14</v>
      </c>
      <c r="O224" s="997"/>
      <c r="P224" s="995">
        <v>48</v>
      </c>
      <c r="Q224" s="997"/>
      <c r="R224" s="995">
        <v>24</v>
      </c>
      <c r="S224" s="997"/>
      <c r="T224" s="995">
        <f>'State Agg LFx3 (2014)'!T224</f>
        <v>67</v>
      </c>
      <c r="U224" s="997"/>
      <c r="V224" s="995">
        <f>'State Agg LFx3 (2014)'!V224</f>
        <v>38</v>
      </c>
      <c r="W224" s="997"/>
      <c r="X224" s="881"/>
    </row>
    <row r="225" spans="1:24" ht="13.5" thickBot="1">
      <c r="A225" s="507" t="s">
        <v>13</v>
      </c>
      <c r="B225" s="501" t="s">
        <v>178</v>
      </c>
      <c r="C225" s="998" t="s">
        <v>413</v>
      </c>
      <c r="D225" s="927" t="s">
        <v>4</v>
      </c>
      <c r="E225" s="928"/>
      <c r="F225" s="928"/>
      <c r="G225" s="928"/>
      <c r="H225" s="928"/>
      <c r="I225" s="928"/>
      <c r="J225" s="928"/>
      <c r="K225" s="928"/>
      <c r="L225" s="928"/>
      <c r="M225" s="928"/>
      <c r="N225" s="928"/>
      <c r="O225" s="928"/>
      <c r="P225" s="928"/>
      <c r="Q225" s="928"/>
      <c r="R225" s="928"/>
      <c r="S225" s="928"/>
      <c r="T225" s="928"/>
      <c r="U225" s="928"/>
      <c r="V225" s="928"/>
      <c r="W225" s="929"/>
      <c r="X225" s="24" t="s">
        <v>14</v>
      </c>
    </row>
    <row r="226" spans="1:24" ht="13.5" thickBot="1">
      <c r="A226" s="25" t="s">
        <v>74</v>
      </c>
      <c r="B226" s="502"/>
      <c r="C226" s="999"/>
      <c r="D226" s="930" t="s">
        <v>124</v>
      </c>
      <c r="E226" s="931"/>
      <c r="F226" s="931"/>
      <c r="G226" s="931"/>
      <c r="H226" s="931"/>
      <c r="I226" s="931"/>
      <c r="J226" s="931"/>
      <c r="K226" s="931"/>
      <c r="L226" s="931"/>
      <c r="M226" s="931"/>
      <c r="N226" s="931"/>
      <c r="O226" s="931"/>
      <c r="P226" s="931"/>
      <c r="Q226" s="931"/>
      <c r="R226" s="931"/>
      <c r="S226" s="931"/>
      <c r="T226" s="931"/>
      <c r="U226" s="931"/>
      <c r="V226" s="931"/>
      <c r="W226" s="932"/>
      <c r="X226" s="18" t="s">
        <v>93</v>
      </c>
    </row>
    <row r="227" spans="1:24" ht="13.5" thickBot="1">
      <c r="A227" s="906" t="s">
        <v>7</v>
      </c>
      <c r="B227" s="908" t="s">
        <v>173</v>
      </c>
      <c r="C227" s="918"/>
      <c r="D227" s="908" t="s">
        <v>8</v>
      </c>
      <c r="E227" s="918"/>
      <c r="F227" s="918"/>
      <c r="G227" s="909"/>
      <c r="H227" s="908" t="s">
        <v>88</v>
      </c>
      <c r="I227" s="918"/>
      <c r="J227" s="918"/>
      <c r="K227" s="909"/>
      <c r="L227" s="908" t="s">
        <v>89</v>
      </c>
      <c r="M227" s="918"/>
      <c r="N227" s="918"/>
      <c r="O227" s="909"/>
      <c r="P227" s="908" t="s">
        <v>9</v>
      </c>
      <c r="Q227" s="918"/>
      <c r="R227" s="918"/>
      <c r="S227" s="909"/>
      <c r="T227" s="908" t="s">
        <v>174</v>
      </c>
      <c r="U227" s="918"/>
      <c r="V227" s="918"/>
      <c r="W227" s="918"/>
      <c r="X227" s="909"/>
    </row>
    <row r="228" spans="1:24" ht="13.5" thickBot="1">
      <c r="A228" s="907"/>
      <c r="B228" s="919">
        <v>10300000</v>
      </c>
      <c r="C228" s="921"/>
      <c r="D228" s="919">
        <v>0</v>
      </c>
      <c r="E228" s="921"/>
      <c r="F228" s="921"/>
      <c r="G228" s="920"/>
      <c r="H228" s="919">
        <v>5500000</v>
      </c>
      <c r="I228" s="921"/>
      <c r="J228" s="921"/>
      <c r="K228" s="920"/>
      <c r="L228" s="919">
        <v>3100000</v>
      </c>
      <c r="M228" s="921"/>
      <c r="N228" s="921"/>
      <c r="O228" s="920"/>
      <c r="P228" s="919">
        <f>SUM(B228:O228)</f>
        <v>18900000</v>
      </c>
      <c r="Q228" s="921"/>
      <c r="R228" s="921"/>
      <c r="S228" s="920"/>
      <c r="T228" s="942">
        <f>B228/P228%</f>
        <v>54.4973544973545</v>
      </c>
      <c r="U228" s="943"/>
      <c r="V228" s="943"/>
      <c r="W228" s="943"/>
      <c r="X228" s="944"/>
    </row>
    <row r="229" spans="1:24" ht="13.5" thickBot="1">
      <c r="A229" s="906" t="s">
        <v>10</v>
      </c>
      <c r="B229" s="908" t="s">
        <v>175</v>
      </c>
      <c r="C229" s="918"/>
      <c r="D229" s="910"/>
      <c r="E229" s="911"/>
      <c r="F229" s="911"/>
      <c r="G229" s="911"/>
      <c r="H229" s="911"/>
      <c r="I229" s="911"/>
      <c r="J229" s="911"/>
      <c r="K229" s="911"/>
      <c r="L229" s="911"/>
      <c r="M229" s="911"/>
      <c r="N229" s="911"/>
      <c r="O229" s="911"/>
      <c r="P229" s="911"/>
      <c r="Q229" s="911"/>
      <c r="R229" s="911"/>
      <c r="S229" s="911"/>
      <c r="T229" s="911"/>
      <c r="U229" s="911"/>
      <c r="V229" s="911"/>
      <c r="W229" s="911"/>
      <c r="X229" s="912"/>
    </row>
    <row r="230" spans="1:24" ht="13.5" thickBot="1">
      <c r="A230" s="907"/>
      <c r="B230" s="916"/>
      <c r="C230" s="994"/>
      <c r="D230" s="913"/>
      <c r="E230" s="914"/>
      <c r="F230" s="914"/>
      <c r="G230" s="914"/>
      <c r="H230" s="914"/>
      <c r="I230" s="914"/>
      <c r="J230" s="914"/>
      <c r="K230" s="914"/>
      <c r="L230" s="914"/>
      <c r="M230" s="914"/>
      <c r="N230" s="914"/>
      <c r="O230" s="914"/>
      <c r="P230" s="914"/>
      <c r="Q230" s="914"/>
      <c r="R230" s="914"/>
      <c r="S230" s="914"/>
      <c r="T230" s="914"/>
      <c r="U230" s="914"/>
      <c r="V230" s="914"/>
      <c r="W230" s="914"/>
      <c r="X230" s="915"/>
    </row>
    <row r="232" spans="1:24" ht="13.5" thickBot="1"/>
    <row r="233" spans="1:24" ht="12.95" customHeight="1" thickBot="1">
      <c r="A233" s="506" t="s">
        <v>27</v>
      </c>
      <c r="B233" s="514" t="s">
        <v>35</v>
      </c>
      <c r="C233" s="8"/>
      <c r="D233" s="927" t="s">
        <v>78</v>
      </c>
      <c r="E233" s="928"/>
      <c r="F233" s="928"/>
      <c r="G233" s="929"/>
      <c r="H233" s="927" t="s">
        <v>77</v>
      </c>
      <c r="I233" s="928"/>
      <c r="J233" s="928"/>
      <c r="K233" s="929"/>
      <c r="L233" s="927" t="s">
        <v>81</v>
      </c>
      <c r="M233" s="928"/>
      <c r="N233" s="928"/>
      <c r="O233" s="929"/>
      <c r="P233" s="927" t="s">
        <v>254</v>
      </c>
      <c r="Q233" s="928"/>
      <c r="R233" s="928"/>
      <c r="S233" s="929"/>
      <c r="T233" s="1144" t="s">
        <v>908</v>
      </c>
      <c r="U233" s="1145"/>
      <c r="V233" s="1145"/>
      <c r="W233" s="1146"/>
      <c r="X233" s="16" t="s">
        <v>12</v>
      </c>
    </row>
    <row r="234" spans="1:24" ht="12.95" customHeight="1" thickBot="1">
      <c r="A234" s="868" t="s">
        <v>70</v>
      </c>
      <c r="B234" s="873" t="s">
        <v>609</v>
      </c>
      <c r="C234" s="187"/>
      <c r="D234" s="1065" t="s">
        <v>638</v>
      </c>
      <c r="E234" s="1066"/>
      <c r="F234" s="1066"/>
      <c r="G234" s="1067"/>
      <c r="H234" s="1065" t="s">
        <v>638</v>
      </c>
      <c r="I234" s="1066"/>
      <c r="J234" s="1066"/>
      <c r="K234" s="1067"/>
      <c r="L234" s="1065" t="s">
        <v>638</v>
      </c>
      <c r="M234" s="1066"/>
      <c r="N234" s="1066"/>
      <c r="O234" s="1067"/>
      <c r="P234" s="219" t="s">
        <v>602</v>
      </c>
      <c r="Q234" s="219" t="s">
        <v>603</v>
      </c>
      <c r="R234" s="219" t="s">
        <v>608</v>
      </c>
      <c r="S234" s="219" t="s">
        <v>604</v>
      </c>
      <c r="T234" s="219" t="s">
        <v>602</v>
      </c>
      <c r="U234" s="219" t="s">
        <v>603</v>
      </c>
      <c r="V234" s="219" t="s">
        <v>608</v>
      </c>
      <c r="W234" s="219" t="s">
        <v>604</v>
      </c>
      <c r="X234" s="879" t="s">
        <v>90</v>
      </c>
    </row>
    <row r="235" spans="1:24" ht="12.95" customHeight="1" thickBot="1">
      <c r="A235" s="885"/>
      <c r="B235" s="874"/>
      <c r="C235" s="9" t="s">
        <v>247</v>
      </c>
      <c r="D235" s="1135">
        <v>5</v>
      </c>
      <c r="E235" s="1136"/>
      <c r="F235" s="1136"/>
      <c r="G235" s="1137"/>
      <c r="H235" s="1135">
        <v>25</v>
      </c>
      <c r="I235" s="1136"/>
      <c r="J235" s="1136"/>
      <c r="K235" s="1137"/>
      <c r="L235" s="1135">
        <v>50</v>
      </c>
      <c r="M235" s="1136"/>
      <c r="N235" s="1136"/>
      <c r="O235" s="1137"/>
      <c r="P235" s="1135" t="s">
        <v>845</v>
      </c>
      <c r="Q235" s="1136"/>
      <c r="R235" s="1136"/>
      <c r="S235" s="1137"/>
      <c r="T235" s="515">
        <f>'LF for 2014 AR (original)'!P236+(2/3*('LF for 2014 AR (original)'!T235-'LF for 2014 AR (original)'!P236))</f>
        <v>136.66666666666666</v>
      </c>
      <c r="U235" s="515">
        <f>'LF for 2014 AR (original)'!Q236+(2/3*('LF for 2014 AR (original)'!U235-'LF for 2014 AR (original)'!Q236))</f>
        <v>73.666666666666671</v>
      </c>
      <c r="V235" s="515">
        <f>'LF for 2014 AR (original)'!R236+(2/3*('LF for 2014 AR (original)'!V235-'LF for 2014 AR (original)'!R236))</f>
        <v>46.666666666666664</v>
      </c>
      <c r="W235" s="515">
        <f>'LF for 2014 AR (original)'!S236+(2/3*('LF for 2014 AR (original)'!W235-'LF for 2014 AR (original)'!S236))</f>
        <v>38.666666666666664</v>
      </c>
      <c r="X235" s="880"/>
    </row>
    <row r="236" spans="1:24" ht="12.95" customHeight="1" thickBot="1">
      <c r="A236" s="885"/>
      <c r="B236" s="874"/>
      <c r="C236" s="102" t="s">
        <v>246</v>
      </c>
      <c r="D236" s="1109" t="s">
        <v>416</v>
      </c>
      <c r="E236" s="1110"/>
      <c r="F236" s="1110"/>
      <c r="G236" s="1111"/>
      <c r="H236" s="1106">
        <v>26</v>
      </c>
      <c r="I236" s="1107"/>
      <c r="J236" s="1107"/>
      <c r="K236" s="1108"/>
      <c r="L236" s="1068">
        <v>54</v>
      </c>
      <c r="M236" s="996"/>
      <c r="N236" s="996"/>
      <c r="O236" s="997"/>
      <c r="P236" s="188">
        <v>110</v>
      </c>
      <c r="Q236" s="188">
        <v>61</v>
      </c>
      <c r="R236" s="188">
        <v>40</v>
      </c>
      <c r="S236" s="188">
        <v>36</v>
      </c>
      <c r="T236" s="188">
        <f>'State Agg LFx3 (2014)'!T236</f>
        <v>188</v>
      </c>
      <c r="U236" s="188">
        <f>'State Agg LFx3 (2014)'!U236</f>
        <v>114</v>
      </c>
      <c r="V236" s="188">
        <f>'State Agg LFx3 (2014)'!V236</f>
        <v>79</v>
      </c>
      <c r="W236" s="188">
        <f>'State Agg LFx3 (2014)'!W236</f>
        <v>61</v>
      </c>
      <c r="X236" s="880"/>
    </row>
    <row r="237" spans="1:24" ht="13.5" thickBot="1">
      <c r="A237" s="885"/>
      <c r="B237" s="874"/>
      <c r="C237" s="998" t="s">
        <v>413</v>
      </c>
      <c r="D237" s="927" t="s">
        <v>4</v>
      </c>
      <c r="E237" s="928"/>
      <c r="F237" s="928"/>
      <c r="G237" s="928"/>
      <c r="H237" s="928"/>
      <c r="I237" s="928"/>
      <c r="J237" s="928"/>
      <c r="K237" s="928"/>
      <c r="L237" s="928"/>
      <c r="M237" s="928"/>
      <c r="N237" s="928"/>
      <c r="O237" s="928"/>
      <c r="P237" s="928"/>
      <c r="Q237" s="928"/>
      <c r="R237" s="928"/>
      <c r="S237" s="928"/>
      <c r="T237" s="928"/>
      <c r="U237" s="928"/>
      <c r="V237" s="928"/>
      <c r="W237" s="929"/>
      <c r="X237" s="880"/>
    </row>
    <row r="238" spans="1:24" ht="13.5" thickBot="1">
      <c r="A238" s="885"/>
      <c r="B238" s="875"/>
      <c r="C238" s="999"/>
      <c r="D238" s="930" t="s">
        <v>125</v>
      </c>
      <c r="E238" s="931"/>
      <c r="F238" s="931"/>
      <c r="G238" s="931"/>
      <c r="H238" s="931"/>
      <c r="I238" s="931"/>
      <c r="J238" s="931"/>
      <c r="K238" s="931"/>
      <c r="L238" s="931"/>
      <c r="M238" s="931"/>
      <c r="N238" s="931"/>
      <c r="O238" s="931"/>
      <c r="P238" s="931"/>
      <c r="Q238" s="931"/>
      <c r="R238" s="931"/>
      <c r="S238" s="931"/>
      <c r="T238" s="931"/>
      <c r="U238" s="931"/>
      <c r="V238" s="931"/>
      <c r="W238" s="932"/>
      <c r="X238" s="880"/>
    </row>
    <row r="239" spans="1:24" ht="12.95" customHeight="1" thickBot="1">
      <c r="A239" s="885"/>
      <c r="B239" s="11" t="s">
        <v>36</v>
      </c>
      <c r="C239" s="12"/>
      <c r="D239" s="927" t="s">
        <v>78</v>
      </c>
      <c r="E239" s="928"/>
      <c r="F239" s="928"/>
      <c r="G239" s="929"/>
      <c r="H239" s="927" t="s">
        <v>77</v>
      </c>
      <c r="I239" s="928"/>
      <c r="J239" s="928"/>
      <c r="K239" s="929"/>
      <c r="L239" s="927" t="s">
        <v>81</v>
      </c>
      <c r="M239" s="928"/>
      <c r="N239" s="928"/>
      <c r="O239" s="929"/>
      <c r="P239" s="927" t="s">
        <v>254</v>
      </c>
      <c r="Q239" s="928"/>
      <c r="R239" s="928"/>
      <c r="S239" s="929"/>
      <c r="T239" s="1144" t="s">
        <v>908</v>
      </c>
      <c r="U239" s="1145"/>
      <c r="V239" s="1145"/>
      <c r="W239" s="1146"/>
      <c r="X239" s="880"/>
    </row>
    <row r="240" spans="1:24" ht="12.95" customHeight="1" thickBot="1">
      <c r="A240" s="885"/>
      <c r="B240" s="873" t="s">
        <v>601</v>
      </c>
      <c r="C240" s="187"/>
      <c r="D240" s="1065" t="s">
        <v>636</v>
      </c>
      <c r="E240" s="1066"/>
      <c r="F240" s="1066"/>
      <c r="G240" s="1067"/>
      <c r="H240" s="1065" t="s">
        <v>636</v>
      </c>
      <c r="I240" s="1066"/>
      <c r="J240" s="1066"/>
      <c r="K240" s="1067"/>
      <c r="L240" s="1065" t="s">
        <v>636</v>
      </c>
      <c r="M240" s="1066"/>
      <c r="N240" s="1066"/>
      <c r="O240" s="1067"/>
      <c r="P240" s="218" t="s">
        <v>101</v>
      </c>
      <c r="Q240" s="218" t="s">
        <v>104</v>
      </c>
      <c r="R240" s="218" t="s">
        <v>102</v>
      </c>
      <c r="S240" s="218" t="s">
        <v>103</v>
      </c>
      <c r="T240" s="218" t="s">
        <v>101</v>
      </c>
      <c r="U240" s="218" t="s">
        <v>104</v>
      </c>
      <c r="V240" s="218" t="s">
        <v>102</v>
      </c>
      <c r="W240" s="218" t="s">
        <v>103</v>
      </c>
      <c r="X240" s="880"/>
    </row>
    <row r="241" spans="1:24" ht="12.95" customHeight="1" thickBot="1">
      <c r="A241" s="885"/>
      <c r="B241" s="874"/>
      <c r="C241" s="9" t="s">
        <v>247</v>
      </c>
      <c r="D241" s="1135">
        <v>2</v>
      </c>
      <c r="E241" s="1136"/>
      <c r="F241" s="1136"/>
      <c r="G241" s="1137"/>
      <c r="H241" s="1135">
        <v>10</v>
      </c>
      <c r="I241" s="1136"/>
      <c r="J241" s="1136"/>
      <c r="K241" s="1137"/>
      <c r="L241" s="1135">
        <v>30</v>
      </c>
      <c r="M241" s="1136"/>
      <c r="N241" s="1136"/>
      <c r="O241" s="1137"/>
      <c r="P241" s="1135" t="s">
        <v>846</v>
      </c>
      <c r="Q241" s="1136"/>
      <c r="R241" s="1136"/>
      <c r="S241" s="1137"/>
      <c r="T241" s="515">
        <f>'LF for 2014 AR (original)'!P242+(2/3*('LF for 2014 AR (original)'!T241-'LF for 2014 AR (original)'!P242))</f>
        <v>67.333333333333329</v>
      </c>
      <c r="U241" s="515">
        <f>'LF for 2014 AR (original)'!Q242+(2/3*('LF for 2014 AR (original)'!U241-'LF for 2014 AR (original)'!Q242))</f>
        <v>37.333333333333336</v>
      </c>
      <c r="V241" s="515">
        <f>'LF for 2014 AR (original)'!R242+(2/3*('LF for 2014 AR (original)'!V241-'LF for 2014 AR (original)'!R242))</f>
        <v>22.333333333333332</v>
      </c>
      <c r="W241" s="515">
        <f>'LF for 2014 AR (original)'!S242+(2/3*('LF for 2014 AR (original)'!W241-'LF for 2014 AR (original)'!S242))</f>
        <v>9.3333333333333339</v>
      </c>
      <c r="X241" s="880"/>
    </row>
    <row r="242" spans="1:24" ht="12.95" customHeight="1" thickBot="1">
      <c r="A242" s="885"/>
      <c r="B242" s="874"/>
      <c r="C242" s="102" t="s">
        <v>246</v>
      </c>
      <c r="D242" s="1061" t="s">
        <v>172</v>
      </c>
      <c r="E242" s="1062"/>
      <c r="F242" s="1062"/>
      <c r="G242" s="1063"/>
      <c r="H242" s="1064" t="s">
        <v>637</v>
      </c>
      <c r="I242" s="1062"/>
      <c r="J242" s="1062"/>
      <c r="K242" s="1063"/>
      <c r="L242" s="1068">
        <v>21</v>
      </c>
      <c r="M242" s="996"/>
      <c r="N242" s="996"/>
      <c r="O242" s="997"/>
      <c r="P242" s="188">
        <v>52</v>
      </c>
      <c r="Q242" s="188">
        <v>32</v>
      </c>
      <c r="R242" s="188">
        <v>17</v>
      </c>
      <c r="S242" s="188">
        <v>8</v>
      </c>
      <c r="T242" s="188">
        <f>'State Agg LFx3 (2014)'!T242</f>
        <v>90</v>
      </c>
      <c r="U242" s="188">
        <f>'State Agg LFx3 (2014)'!U242</f>
        <v>69</v>
      </c>
      <c r="V242" s="188">
        <f>'State Agg LFx3 (2014)'!V242</f>
        <v>39</v>
      </c>
      <c r="W242" s="188">
        <f>'State Agg LFx3 (2014)'!W242</f>
        <v>15</v>
      </c>
      <c r="X242" s="880"/>
    </row>
    <row r="243" spans="1:24" ht="13.5" thickBot="1">
      <c r="A243" s="885"/>
      <c r="B243" s="874"/>
      <c r="C243" s="998" t="s">
        <v>413</v>
      </c>
      <c r="D243" s="927" t="s">
        <v>4</v>
      </c>
      <c r="E243" s="928"/>
      <c r="F243" s="928"/>
      <c r="G243" s="928"/>
      <c r="H243" s="928"/>
      <c r="I243" s="928"/>
      <c r="J243" s="928"/>
      <c r="K243" s="928"/>
      <c r="L243" s="928"/>
      <c r="M243" s="928"/>
      <c r="N243" s="928"/>
      <c r="O243" s="928"/>
      <c r="P243" s="928"/>
      <c r="Q243" s="928"/>
      <c r="R243" s="928"/>
      <c r="S243" s="928"/>
      <c r="T243" s="928"/>
      <c r="U243" s="928"/>
      <c r="V243" s="928"/>
      <c r="W243" s="929"/>
      <c r="X243" s="880"/>
    </row>
    <row r="244" spans="1:24" ht="13.5" thickBot="1">
      <c r="A244" s="885"/>
      <c r="B244" s="875"/>
      <c r="C244" s="999"/>
      <c r="D244" s="930" t="s">
        <v>125</v>
      </c>
      <c r="E244" s="931"/>
      <c r="F244" s="931"/>
      <c r="G244" s="931"/>
      <c r="H244" s="931"/>
      <c r="I244" s="931"/>
      <c r="J244" s="931"/>
      <c r="K244" s="931"/>
      <c r="L244" s="931"/>
      <c r="M244" s="931"/>
      <c r="N244" s="931"/>
      <c r="O244" s="931"/>
      <c r="P244" s="931"/>
      <c r="Q244" s="931"/>
      <c r="R244" s="931"/>
      <c r="S244" s="931"/>
      <c r="T244" s="931"/>
      <c r="U244" s="931"/>
      <c r="V244" s="931"/>
      <c r="W244" s="932"/>
      <c r="X244" s="880"/>
    </row>
    <row r="245" spans="1:24" ht="12.95" customHeight="1" thickBot="1">
      <c r="A245" s="885"/>
      <c r="B245" s="11" t="s">
        <v>600</v>
      </c>
      <c r="C245" s="12"/>
      <c r="D245" s="927" t="s">
        <v>78</v>
      </c>
      <c r="E245" s="928"/>
      <c r="F245" s="928"/>
      <c r="G245" s="929"/>
      <c r="H245" s="927" t="s">
        <v>77</v>
      </c>
      <c r="I245" s="928"/>
      <c r="J245" s="928"/>
      <c r="K245" s="929"/>
      <c r="L245" s="927" t="s">
        <v>81</v>
      </c>
      <c r="M245" s="928"/>
      <c r="N245" s="928"/>
      <c r="O245" s="929"/>
      <c r="P245" s="927" t="s">
        <v>254</v>
      </c>
      <c r="Q245" s="928"/>
      <c r="R245" s="928"/>
      <c r="S245" s="929"/>
      <c r="T245" s="1144" t="s">
        <v>908</v>
      </c>
      <c r="U245" s="1145"/>
      <c r="V245" s="1145"/>
      <c r="W245" s="1146"/>
      <c r="X245" s="880"/>
    </row>
    <row r="246" spans="1:24" ht="12.95" customHeight="1" thickBot="1">
      <c r="A246" s="885"/>
      <c r="B246" s="1132" t="s">
        <v>648</v>
      </c>
      <c r="C246" s="187"/>
      <c r="D246" s="1065"/>
      <c r="E246" s="1066"/>
      <c r="F246" s="1066"/>
      <c r="G246" s="1067"/>
      <c r="H246" s="1065"/>
      <c r="I246" s="1066"/>
      <c r="J246" s="1066"/>
      <c r="K246" s="1067"/>
      <c r="L246" s="1065"/>
      <c r="M246" s="1066"/>
      <c r="N246" s="1066"/>
      <c r="O246" s="1067"/>
      <c r="P246" s="218" t="s">
        <v>693</v>
      </c>
      <c r="Q246" s="219" t="s">
        <v>607</v>
      </c>
      <c r="R246" s="218" t="s">
        <v>606</v>
      </c>
      <c r="S246" s="218" t="s">
        <v>694</v>
      </c>
      <c r="T246" s="218" t="s">
        <v>693</v>
      </c>
      <c r="U246" s="219" t="s">
        <v>607</v>
      </c>
      <c r="V246" s="218" t="s">
        <v>606</v>
      </c>
      <c r="W246" s="218" t="s">
        <v>694</v>
      </c>
      <c r="X246" s="880"/>
    </row>
    <row r="247" spans="1:24" ht="12.95" customHeight="1" thickBot="1">
      <c r="A247" s="885"/>
      <c r="B247" s="1133"/>
      <c r="C247" s="9" t="s">
        <v>247</v>
      </c>
      <c r="D247" s="957"/>
      <c r="E247" s="958"/>
      <c r="F247" s="958"/>
      <c r="G247" s="959"/>
      <c r="H247" s="1061" t="s">
        <v>635</v>
      </c>
      <c r="I247" s="1062"/>
      <c r="J247" s="1062"/>
      <c r="K247" s="1063"/>
      <c r="L247" s="966" t="s">
        <v>443</v>
      </c>
      <c r="M247" s="967"/>
      <c r="N247" s="967"/>
      <c r="O247" s="968"/>
      <c r="P247" s="220">
        <v>39</v>
      </c>
      <c r="Q247" s="220">
        <v>29</v>
      </c>
      <c r="R247" s="220">
        <v>10</v>
      </c>
      <c r="S247" s="220">
        <v>2</v>
      </c>
      <c r="T247" s="515">
        <f>'LF for 2014 AR (original)'!P247+(2/3*('LF for 2014 AR (original)'!T247-'LF for 2014 AR (original)'!P247))</f>
        <v>46.333333333333336</v>
      </c>
      <c r="U247" s="515">
        <f>'LF for 2014 AR (original)'!Q247+(2/3*('LF for 2014 AR (original)'!U247-'LF for 2014 AR (original)'!Q247))</f>
        <v>36.333333333333336</v>
      </c>
      <c r="V247" s="515">
        <f>'LF for 2014 AR (original)'!R247+(2/3*('LF for 2014 AR (original)'!V247-'LF for 2014 AR (original)'!R247))</f>
        <v>13.333333333333332</v>
      </c>
      <c r="W247" s="515">
        <f>'LF for 2014 AR (original)'!S247+(2/3*('LF for 2014 AR (original)'!W247-'LF for 2014 AR (original)'!S247))</f>
        <v>4</v>
      </c>
      <c r="X247" s="880"/>
    </row>
    <row r="248" spans="1:24" ht="12.95" customHeight="1" thickBot="1">
      <c r="A248" s="869"/>
      <c r="B248" s="1133"/>
      <c r="C248" s="102" t="s">
        <v>246</v>
      </c>
      <c r="D248" s="957"/>
      <c r="E248" s="958"/>
      <c r="F248" s="958"/>
      <c r="G248" s="959"/>
      <c r="H248" s="957"/>
      <c r="I248" s="958"/>
      <c r="J248" s="958"/>
      <c r="K248" s="959"/>
      <c r="L248" s="957"/>
      <c r="M248" s="958"/>
      <c r="N248" s="958"/>
      <c r="O248" s="959"/>
      <c r="P248" s="957"/>
      <c r="Q248" s="958"/>
      <c r="R248" s="958"/>
      <c r="S248" s="959"/>
      <c r="T248" s="188">
        <f>'State Agg LFx3 (2014)'!T248</f>
        <v>57</v>
      </c>
      <c r="U248" s="188">
        <f>'State Agg LFx3 (2014)'!U248</f>
        <v>45</v>
      </c>
      <c r="V248" s="188">
        <f>'State Agg LFx3 (2014)'!V248</f>
        <v>28</v>
      </c>
      <c r="W248" s="188">
        <f>'State Agg LFx3 (2014)'!W248</f>
        <v>9</v>
      </c>
      <c r="X248" s="881"/>
    </row>
    <row r="249" spans="1:24" ht="13.5" thickBot="1">
      <c r="A249" s="507" t="s">
        <v>13</v>
      </c>
      <c r="B249" s="1133"/>
      <c r="C249" s="998" t="s">
        <v>413</v>
      </c>
      <c r="D249" s="927" t="s">
        <v>4</v>
      </c>
      <c r="E249" s="928"/>
      <c r="F249" s="928"/>
      <c r="G249" s="928"/>
      <c r="H249" s="928"/>
      <c r="I249" s="928"/>
      <c r="J249" s="928"/>
      <c r="K249" s="928"/>
      <c r="L249" s="928"/>
      <c r="M249" s="928"/>
      <c r="N249" s="928"/>
      <c r="O249" s="928"/>
      <c r="P249" s="928"/>
      <c r="Q249" s="928"/>
      <c r="R249" s="928"/>
      <c r="S249" s="928"/>
      <c r="T249" s="928"/>
      <c r="U249" s="928"/>
      <c r="V249" s="928"/>
      <c r="W249" s="929"/>
      <c r="X249" s="24" t="s">
        <v>14</v>
      </c>
    </row>
    <row r="250" spans="1:24" ht="13.5" thickBot="1">
      <c r="A250" s="25" t="s">
        <v>73</v>
      </c>
      <c r="B250" s="1134"/>
      <c r="C250" s="999"/>
      <c r="D250" s="930" t="s">
        <v>125</v>
      </c>
      <c r="E250" s="931"/>
      <c r="F250" s="931"/>
      <c r="G250" s="931"/>
      <c r="H250" s="931"/>
      <c r="I250" s="931"/>
      <c r="J250" s="931"/>
      <c r="K250" s="931"/>
      <c r="L250" s="931"/>
      <c r="M250" s="931"/>
      <c r="N250" s="931"/>
      <c r="O250" s="931"/>
      <c r="P250" s="931"/>
      <c r="Q250" s="931"/>
      <c r="R250" s="931"/>
      <c r="S250" s="931"/>
      <c r="T250" s="931"/>
      <c r="U250" s="931"/>
      <c r="V250" s="931"/>
      <c r="W250" s="932"/>
      <c r="X250" s="18" t="s">
        <v>92</v>
      </c>
    </row>
    <row r="251" spans="1:24" ht="13.5" thickBot="1">
      <c r="A251" s="1060" t="s">
        <v>7</v>
      </c>
      <c r="B251" s="908" t="s">
        <v>173</v>
      </c>
      <c r="C251" s="918"/>
      <c r="D251" s="908" t="s">
        <v>8</v>
      </c>
      <c r="E251" s="918"/>
      <c r="F251" s="918"/>
      <c r="G251" s="909"/>
      <c r="H251" s="908" t="s">
        <v>88</v>
      </c>
      <c r="I251" s="918"/>
      <c r="J251" s="918"/>
      <c r="K251" s="909"/>
      <c r="L251" s="908" t="s">
        <v>89</v>
      </c>
      <c r="M251" s="918"/>
      <c r="N251" s="918"/>
      <c r="O251" s="909"/>
      <c r="P251" s="908" t="s">
        <v>9</v>
      </c>
      <c r="Q251" s="918"/>
      <c r="R251" s="918"/>
      <c r="S251" s="909"/>
      <c r="T251" s="908" t="s">
        <v>174</v>
      </c>
      <c r="U251" s="918"/>
      <c r="V251" s="918"/>
      <c r="W251" s="918"/>
      <c r="X251" s="909"/>
    </row>
    <row r="252" spans="1:24" ht="13.5" thickBot="1">
      <c r="A252" s="907"/>
      <c r="B252" s="919">
        <v>4100000</v>
      </c>
      <c r="C252" s="921"/>
      <c r="D252" s="919">
        <v>0</v>
      </c>
      <c r="E252" s="921"/>
      <c r="F252" s="921"/>
      <c r="G252" s="920"/>
      <c r="H252" s="919">
        <v>0</v>
      </c>
      <c r="I252" s="921"/>
      <c r="J252" s="921"/>
      <c r="K252" s="920"/>
      <c r="L252" s="919">
        <v>2700000</v>
      </c>
      <c r="M252" s="921"/>
      <c r="N252" s="921"/>
      <c r="O252" s="920"/>
      <c r="P252" s="919">
        <f>SUM(B252:O252)</f>
        <v>6800000</v>
      </c>
      <c r="Q252" s="921"/>
      <c r="R252" s="921"/>
      <c r="S252" s="920"/>
      <c r="T252" s="942">
        <f>B252/P252%</f>
        <v>60.294117647058826</v>
      </c>
      <c r="U252" s="943"/>
      <c r="V252" s="943"/>
      <c r="W252" s="943"/>
      <c r="X252" s="944"/>
    </row>
    <row r="253" spans="1:24" ht="13.5" thickBot="1">
      <c r="A253" s="906" t="s">
        <v>10</v>
      </c>
      <c r="B253" s="908" t="s">
        <v>175</v>
      </c>
      <c r="C253" s="918"/>
      <c r="D253" s="910"/>
      <c r="E253" s="911"/>
      <c r="F253" s="911"/>
      <c r="G253" s="911"/>
      <c r="H253" s="911"/>
      <c r="I253" s="911"/>
      <c r="J253" s="911"/>
      <c r="K253" s="911"/>
      <c r="L253" s="911"/>
      <c r="M253" s="911"/>
      <c r="N253" s="911"/>
      <c r="O253" s="911"/>
      <c r="P253" s="911"/>
      <c r="Q253" s="911"/>
      <c r="R253" s="911"/>
      <c r="S253" s="911"/>
      <c r="T253" s="911"/>
      <c r="U253" s="911"/>
      <c r="V253" s="911"/>
      <c r="W253" s="911"/>
      <c r="X253" s="912"/>
    </row>
    <row r="254" spans="1:24" ht="13.5" thickBot="1">
      <c r="A254" s="907"/>
      <c r="B254" s="916"/>
      <c r="C254" s="994"/>
      <c r="D254" s="913"/>
      <c r="E254" s="914"/>
      <c r="F254" s="914"/>
      <c r="G254" s="914"/>
      <c r="H254" s="914"/>
      <c r="I254" s="914"/>
      <c r="J254" s="914"/>
      <c r="K254" s="914"/>
      <c r="L254" s="914"/>
      <c r="M254" s="914"/>
      <c r="N254" s="914"/>
      <c r="O254" s="914"/>
      <c r="P254" s="914"/>
      <c r="Q254" s="914"/>
      <c r="R254" s="914"/>
      <c r="S254" s="914"/>
      <c r="T254" s="914"/>
      <c r="U254" s="914"/>
      <c r="V254" s="914"/>
      <c r="W254" s="914"/>
      <c r="X254" s="915"/>
    </row>
  </sheetData>
  <sheetProtection password="CF55" sheet="1" objects="1" scenarios="1" selectLockedCells="1" selectUnlockedCells="1"/>
  <mergeCells count="944">
    <mergeCell ref="A253:A254"/>
    <mergeCell ref="B253:C253"/>
    <mergeCell ref="D253:X254"/>
    <mergeCell ref="B254:C254"/>
    <mergeCell ref="T167:W167"/>
    <mergeCell ref="T46:W46"/>
    <mergeCell ref="T251:X251"/>
    <mergeCell ref="B252:C252"/>
    <mergeCell ref="D252:G252"/>
    <mergeCell ref="H252:K252"/>
    <mergeCell ref="L252:O252"/>
    <mergeCell ref="P252:S252"/>
    <mergeCell ref="T252:X252"/>
    <mergeCell ref="P248:S248"/>
    <mergeCell ref="C249:C250"/>
    <mergeCell ref="D249:W249"/>
    <mergeCell ref="D250:W250"/>
    <mergeCell ref="A251:A252"/>
    <mergeCell ref="B251:C251"/>
    <mergeCell ref="D251:G251"/>
    <mergeCell ref="H251:K251"/>
    <mergeCell ref="L251:O251"/>
    <mergeCell ref="P164:Q164"/>
    <mergeCell ref="P251:S251"/>
    <mergeCell ref="B246:B250"/>
    <mergeCell ref="D246:G246"/>
    <mergeCell ref="H246:K246"/>
    <mergeCell ref="L246:O246"/>
    <mergeCell ref="D247:G247"/>
    <mergeCell ref="H247:K247"/>
    <mergeCell ref="L247:O247"/>
    <mergeCell ref="D248:G248"/>
    <mergeCell ref="H248:K248"/>
    <mergeCell ref="L248:O248"/>
    <mergeCell ref="D245:G245"/>
    <mergeCell ref="H245:K245"/>
    <mergeCell ref="L245:O245"/>
    <mergeCell ref="P245:S245"/>
    <mergeCell ref="T245:W245"/>
    <mergeCell ref="H241:K241"/>
    <mergeCell ref="L241:O241"/>
    <mergeCell ref="P241:S241"/>
    <mergeCell ref="D242:G242"/>
    <mergeCell ref="H242:K242"/>
    <mergeCell ref="L242:O242"/>
    <mergeCell ref="L234:O234"/>
    <mergeCell ref="D239:G239"/>
    <mergeCell ref="H239:K239"/>
    <mergeCell ref="L239:O239"/>
    <mergeCell ref="P239:S239"/>
    <mergeCell ref="T239:W239"/>
    <mergeCell ref="B240:B244"/>
    <mergeCell ref="D240:G240"/>
    <mergeCell ref="H240:K240"/>
    <mergeCell ref="L240:O240"/>
    <mergeCell ref="D241:G241"/>
    <mergeCell ref="C243:C244"/>
    <mergeCell ref="D243:W243"/>
    <mergeCell ref="D244:W244"/>
    <mergeCell ref="X234:X248"/>
    <mergeCell ref="D235:G235"/>
    <mergeCell ref="H235:K235"/>
    <mergeCell ref="L235:O235"/>
    <mergeCell ref="P235:S235"/>
    <mergeCell ref="A229:A230"/>
    <mergeCell ref="B229:C229"/>
    <mergeCell ref="D229:X230"/>
    <mergeCell ref="B230:C230"/>
    <mergeCell ref="D233:G233"/>
    <mergeCell ref="H233:K233"/>
    <mergeCell ref="L233:O233"/>
    <mergeCell ref="P233:S233"/>
    <mergeCell ref="T233:W233"/>
    <mergeCell ref="D236:G236"/>
    <mergeCell ref="H236:K236"/>
    <mergeCell ref="L236:O236"/>
    <mergeCell ref="C237:C238"/>
    <mergeCell ref="D237:W237"/>
    <mergeCell ref="D238:W238"/>
    <mergeCell ref="A234:A248"/>
    <mergeCell ref="B234:B238"/>
    <mergeCell ref="D234:G234"/>
    <mergeCell ref="H234:K234"/>
    <mergeCell ref="P227:S227"/>
    <mergeCell ref="T227:X227"/>
    <mergeCell ref="B228:C228"/>
    <mergeCell ref="D228:G228"/>
    <mergeCell ref="H228:K228"/>
    <mergeCell ref="L228:O228"/>
    <mergeCell ref="P228:S228"/>
    <mergeCell ref="T228:X228"/>
    <mergeCell ref="T224:U224"/>
    <mergeCell ref="V224:W224"/>
    <mergeCell ref="C225:C226"/>
    <mergeCell ref="D225:W225"/>
    <mergeCell ref="D226:W226"/>
    <mergeCell ref="A227:A228"/>
    <mergeCell ref="B227:C227"/>
    <mergeCell ref="D227:G227"/>
    <mergeCell ref="H227:K227"/>
    <mergeCell ref="L227:O227"/>
    <mergeCell ref="P223:Q223"/>
    <mergeCell ref="R223:S223"/>
    <mergeCell ref="T223:U223"/>
    <mergeCell ref="V223:W223"/>
    <mergeCell ref="D224:G224"/>
    <mergeCell ref="H224:K224"/>
    <mergeCell ref="L224:M224"/>
    <mergeCell ref="N224:O224"/>
    <mergeCell ref="P224:Q224"/>
    <mergeCell ref="R224:S224"/>
    <mergeCell ref="D223:E223"/>
    <mergeCell ref="F223:G223"/>
    <mergeCell ref="H223:I223"/>
    <mergeCell ref="J223:K223"/>
    <mergeCell ref="L223:M223"/>
    <mergeCell ref="N223:O223"/>
    <mergeCell ref="B222:B224"/>
    <mergeCell ref="A186:A224"/>
    <mergeCell ref="B186:B193"/>
    <mergeCell ref="L222:M222"/>
    <mergeCell ref="N222:O222"/>
    <mergeCell ref="P222:Q222"/>
    <mergeCell ref="R222:S222"/>
    <mergeCell ref="T222:U222"/>
    <mergeCell ref="V222:W222"/>
    <mergeCell ref="D221:G221"/>
    <mergeCell ref="H221:K221"/>
    <mergeCell ref="L221:O221"/>
    <mergeCell ref="P221:S221"/>
    <mergeCell ref="T221:W221"/>
    <mergeCell ref="D222:E222"/>
    <mergeCell ref="F222:G222"/>
    <mergeCell ref="H222:I222"/>
    <mergeCell ref="J222:K222"/>
    <mergeCell ref="D216:G216"/>
    <mergeCell ref="H216:K216"/>
    <mergeCell ref="L216:O216"/>
    <mergeCell ref="P216:S216"/>
    <mergeCell ref="T216:W216"/>
    <mergeCell ref="D217:G217"/>
    <mergeCell ref="H217:K217"/>
    <mergeCell ref="L217:O217"/>
    <mergeCell ref="P217:S217"/>
    <mergeCell ref="T217:W217"/>
    <mergeCell ref="T214:W214"/>
    <mergeCell ref="D215:G215"/>
    <mergeCell ref="H215:K215"/>
    <mergeCell ref="L215:O215"/>
    <mergeCell ref="P215:S215"/>
    <mergeCell ref="T215:W215"/>
    <mergeCell ref="B213:B220"/>
    <mergeCell ref="D213:G213"/>
    <mergeCell ref="H213:K213"/>
    <mergeCell ref="L213:O213"/>
    <mergeCell ref="P213:S213"/>
    <mergeCell ref="T213:W213"/>
    <mergeCell ref="D214:G214"/>
    <mergeCell ref="H214:K214"/>
    <mergeCell ref="L214:O214"/>
    <mergeCell ref="P214:S214"/>
    <mergeCell ref="D218:G218"/>
    <mergeCell ref="H218:K218"/>
    <mergeCell ref="L218:O218"/>
    <mergeCell ref="P218:S218"/>
    <mergeCell ref="T218:W218"/>
    <mergeCell ref="C219:C220"/>
    <mergeCell ref="D219:W219"/>
    <mergeCell ref="D220:W220"/>
    <mergeCell ref="C210:C211"/>
    <mergeCell ref="D210:W210"/>
    <mergeCell ref="D211:W211"/>
    <mergeCell ref="D212:G212"/>
    <mergeCell ref="H212:K212"/>
    <mergeCell ref="L212:O212"/>
    <mergeCell ref="P212:S212"/>
    <mergeCell ref="T212:W212"/>
    <mergeCell ref="D208:G208"/>
    <mergeCell ref="H208:K208"/>
    <mergeCell ref="L208:O208"/>
    <mergeCell ref="P208:S208"/>
    <mergeCell ref="T208:W208"/>
    <mergeCell ref="D209:G209"/>
    <mergeCell ref="H209:K209"/>
    <mergeCell ref="L209:O209"/>
    <mergeCell ref="P209:S209"/>
    <mergeCell ref="T209:W209"/>
    <mergeCell ref="P203:S203"/>
    <mergeCell ref="T203:W203"/>
    <mergeCell ref="D206:G206"/>
    <mergeCell ref="H206:K206"/>
    <mergeCell ref="L206:O206"/>
    <mergeCell ref="P206:S206"/>
    <mergeCell ref="T206:W206"/>
    <mergeCell ref="D207:G207"/>
    <mergeCell ref="H207:K207"/>
    <mergeCell ref="L207:O207"/>
    <mergeCell ref="P207:S207"/>
    <mergeCell ref="T207:W207"/>
    <mergeCell ref="T198:W198"/>
    <mergeCell ref="D199:G199"/>
    <mergeCell ref="H199:K199"/>
    <mergeCell ref="L199:O199"/>
    <mergeCell ref="P199:S199"/>
    <mergeCell ref="T199:W199"/>
    <mergeCell ref="B204:B211"/>
    <mergeCell ref="D204:G204"/>
    <mergeCell ref="H204:K204"/>
    <mergeCell ref="L204:O204"/>
    <mergeCell ref="P204:S204"/>
    <mergeCell ref="D200:G200"/>
    <mergeCell ref="H200:K200"/>
    <mergeCell ref="L200:O200"/>
    <mergeCell ref="P200:S200"/>
    <mergeCell ref="T204:W204"/>
    <mergeCell ref="D205:G205"/>
    <mergeCell ref="H205:K205"/>
    <mergeCell ref="L205:O205"/>
    <mergeCell ref="P205:S205"/>
    <mergeCell ref="T205:W205"/>
    <mergeCell ref="D203:G203"/>
    <mergeCell ref="H203:K203"/>
    <mergeCell ref="L203:O203"/>
    <mergeCell ref="T196:W196"/>
    <mergeCell ref="D197:G197"/>
    <mergeCell ref="H197:K197"/>
    <mergeCell ref="L197:O197"/>
    <mergeCell ref="P197:S197"/>
    <mergeCell ref="T197:W197"/>
    <mergeCell ref="B195:B202"/>
    <mergeCell ref="D195:G195"/>
    <mergeCell ref="H195:K195"/>
    <mergeCell ref="L195:O195"/>
    <mergeCell ref="P195:S195"/>
    <mergeCell ref="T195:W195"/>
    <mergeCell ref="D196:G196"/>
    <mergeCell ref="H196:K196"/>
    <mergeCell ref="L196:O196"/>
    <mergeCell ref="P196:S196"/>
    <mergeCell ref="T200:W200"/>
    <mergeCell ref="C201:C202"/>
    <mergeCell ref="D201:W201"/>
    <mergeCell ref="D202:W202"/>
    <mergeCell ref="D198:G198"/>
    <mergeCell ref="H198:K198"/>
    <mergeCell ref="L198:O198"/>
    <mergeCell ref="P198:S198"/>
    <mergeCell ref="C192:C193"/>
    <mergeCell ref="D192:W192"/>
    <mergeCell ref="D193:W193"/>
    <mergeCell ref="D194:G194"/>
    <mergeCell ref="H194:K194"/>
    <mergeCell ref="L194:O194"/>
    <mergeCell ref="P194:S194"/>
    <mergeCell ref="T194:W194"/>
    <mergeCell ref="P190:S190"/>
    <mergeCell ref="T190:W190"/>
    <mergeCell ref="D191:G191"/>
    <mergeCell ref="H191:K191"/>
    <mergeCell ref="L191:O191"/>
    <mergeCell ref="P191:S191"/>
    <mergeCell ref="T191:W191"/>
    <mergeCell ref="T188:W188"/>
    <mergeCell ref="D189:G189"/>
    <mergeCell ref="H189:K189"/>
    <mergeCell ref="L189:O189"/>
    <mergeCell ref="P189:S189"/>
    <mergeCell ref="T189:W189"/>
    <mergeCell ref="T186:W186"/>
    <mergeCell ref="X186:X224"/>
    <mergeCell ref="D187:G187"/>
    <mergeCell ref="H187:K187"/>
    <mergeCell ref="L187:O187"/>
    <mergeCell ref="P187:S187"/>
    <mergeCell ref="T187:W187"/>
    <mergeCell ref="D188:G188"/>
    <mergeCell ref="H188:K188"/>
    <mergeCell ref="L188:O188"/>
    <mergeCell ref="D186:G186"/>
    <mergeCell ref="H186:K186"/>
    <mergeCell ref="L186:O186"/>
    <mergeCell ref="P186:S186"/>
    <mergeCell ref="P188:S188"/>
    <mergeCell ref="D190:G190"/>
    <mergeCell ref="H190:K190"/>
    <mergeCell ref="L190:O190"/>
    <mergeCell ref="A181:A182"/>
    <mergeCell ref="B181:C181"/>
    <mergeCell ref="D181:X182"/>
    <mergeCell ref="B182:C182"/>
    <mergeCell ref="D185:G185"/>
    <mergeCell ref="H185:K185"/>
    <mergeCell ref="L185:O185"/>
    <mergeCell ref="P185:S185"/>
    <mergeCell ref="T185:W185"/>
    <mergeCell ref="T179:X179"/>
    <mergeCell ref="B180:C180"/>
    <mergeCell ref="D180:G180"/>
    <mergeCell ref="H180:K180"/>
    <mergeCell ref="L180:O180"/>
    <mergeCell ref="P180:S180"/>
    <mergeCell ref="T180:X180"/>
    <mergeCell ref="A179:A180"/>
    <mergeCell ref="B179:C179"/>
    <mergeCell ref="D179:G179"/>
    <mergeCell ref="H179:K179"/>
    <mergeCell ref="L179:O179"/>
    <mergeCell ref="P179:S179"/>
    <mergeCell ref="D174:G174"/>
    <mergeCell ref="H174:K174"/>
    <mergeCell ref="L174:O174"/>
    <mergeCell ref="P174:S174"/>
    <mergeCell ref="T174:W174"/>
    <mergeCell ref="D175:G175"/>
    <mergeCell ref="H175:K175"/>
    <mergeCell ref="L175:O175"/>
    <mergeCell ref="P175:S175"/>
    <mergeCell ref="T175:W175"/>
    <mergeCell ref="T172:W172"/>
    <mergeCell ref="D173:G173"/>
    <mergeCell ref="H173:K173"/>
    <mergeCell ref="L173:O173"/>
    <mergeCell ref="P173:S173"/>
    <mergeCell ref="T173:W173"/>
    <mergeCell ref="B171:B178"/>
    <mergeCell ref="D171:G171"/>
    <mergeCell ref="H171:K171"/>
    <mergeCell ref="L171:O171"/>
    <mergeCell ref="P171:S171"/>
    <mergeCell ref="T171:W171"/>
    <mergeCell ref="D172:G172"/>
    <mergeCell ref="H172:K172"/>
    <mergeCell ref="L172:O172"/>
    <mergeCell ref="P172:S172"/>
    <mergeCell ref="D176:G176"/>
    <mergeCell ref="H176:K176"/>
    <mergeCell ref="L176:O176"/>
    <mergeCell ref="P176:S176"/>
    <mergeCell ref="T176:W176"/>
    <mergeCell ref="C177:C178"/>
    <mergeCell ref="D177:W177"/>
    <mergeCell ref="D178:W178"/>
    <mergeCell ref="B168:B169"/>
    <mergeCell ref="C168:C169"/>
    <mergeCell ref="D168:W168"/>
    <mergeCell ref="D169:W169"/>
    <mergeCell ref="D170:G170"/>
    <mergeCell ref="H170:K170"/>
    <mergeCell ref="L170:O170"/>
    <mergeCell ref="P170:S170"/>
    <mergeCell ref="T170:W170"/>
    <mergeCell ref="V166:W166"/>
    <mergeCell ref="D167:G167"/>
    <mergeCell ref="H167:K167"/>
    <mergeCell ref="L167:O167"/>
    <mergeCell ref="P167:S167"/>
    <mergeCell ref="D166:G166"/>
    <mergeCell ref="H166:K166"/>
    <mergeCell ref="L166:O166"/>
    <mergeCell ref="P166:Q166"/>
    <mergeCell ref="R166:S166"/>
    <mergeCell ref="T166:U166"/>
    <mergeCell ref="V164:W164"/>
    <mergeCell ref="D165:G165"/>
    <mergeCell ref="H165:K165"/>
    <mergeCell ref="L165:O165"/>
    <mergeCell ref="P165:Q165"/>
    <mergeCell ref="R165:S165"/>
    <mergeCell ref="T165:U165"/>
    <mergeCell ref="V165:W165"/>
    <mergeCell ref="D164:G164"/>
    <mergeCell ref="H164:K164"/>
    <mergeCell ref="L164:O164"/>
    <mergeCell ref="T164:U164"/>
    <mergeCell ref="R164:S164"/>
    <mergeCell ref="T162:U162"/>
    <mergeCell ref="V162:W162"/>
    <mergeCell ref="D163:G163"/>
    <mergeCell ref="H163:K163"/>
    <mergeCell ref="L163:M163"/>
    <mergeCell ref="N163:O163"/>
    <mergeCell ref="P163:Q163"/>
    <mergeCell ref="R163:S163"/>
    <mergeCell ref="T163:U163"/>
    <mergeCell ref="V163:W163"/>
    <mergeCell ref="D162:G162"/>
    <mergeCell ref="H162:K162"/>
    <mergeCell ref="L162:M162"/>
    <mergeCell ref="N162:O162"/>
    <mergeCell ref="P162:Q162"/>
    <mergeCell ref="R162:S162"/>
    <mergeCell ref="N161:O161"/>
    <mergeCell ref="P161:Q161"/>
    <mergeCell ref="R161:S161"/>
    <mergeCell ref="T161:U161"/>
    <mergeCell ref="V161:W161"/>
    <mergeCell ref="D160:G160"/>
    <mergeCell ref="H160:K160"/>
    <mergeCell ref="L160:O160"/>
    <mergeCell ref="P160:S160"/>
    <mergeCell ref="T160:W160"/>
    <mergeCell ref="A149:A176"/>
    <mergeCell ref="B149:B150"/>
    <mergeCell ref="X149:X174"/>
    <mergeCell ref="D151:G151"/>
    <mergeCell ref="C152:C153"/>
    <mergeCell ref="D152:W152"/>
    <mergeCell ref="D153:W153"/>
    <mergeCell ref="D154:G154"/>
    <mergeCell ref="H154:K154"/>
    <mergeCell ref="L154:O154"/>
    <mergeCell ref="B161:B164"/>
    <mergeCell ref="D161:E161"/>
    <mergeCell ref="F161:G161"/>
    <mergeCell ref="H161:I161"/>
    <mergeCell ref="J161:K161"/>
    <mergeCell ref="P154:S154"/>
    <mergeCell ref="T154:W154"/>
    <mergeCell ref="B155:B156"/>
    <mergeCell ref="D157:G157"/>
    <mergeCell ref="H157:K157"/>
    <mergeCell ref="C158:C159"/>
    <mergeCell ref="D158:W158"/>
    <mergeCell ref="D159:W159"/>
    <mergeCell ref="L161:M161"/>
    <mergeCell ref="A144:A145"/>
    <mergeCell ref="B144:C144"/>
    <mergeCell ref="D144:X145"/>
    <mergeCell ref="B145:C145"/>
    <mergeCell ref="D148:G148"/>
    <mergeCell ref="H148:K148"/>
    <mergeCell ref="L148:O148"/>
    <mergeCell ref="P148:S148"/>
    <mergeCell ref="T148:W148"/>
    <mergeCell ref="A142:A143"/>
    <mergeCell ref="B142:C142"/>
    <mergeCell ref="D142:G142"/>
    <mergeCell ref="H142:K142"/>
    <mergeCell ref="L142:O142"/>
    <mergeCell ref="P142:S142"/>
    <mergeCell ref="T142:X142"/>
    <mergeCell ref="T138:W138"/>
    <mergeCell ref="D139:G139"/>
    <mergeCell ref="H139:K139"/>
    <mergeCell ref="L139:O139"/>
    <mergeCell ref="P139:S139"/>
    <mergeCell ref="T139:W139"/>
    <mergeCell ref="A120:A139"/>
    <mergeCell ref="B120:B127"/>
    <mergeCell ref="B143:C143"/>
    <mergeCell ref="D143:G143"/>
    <mergeCell ref="H143:K143"/>
    <mergeCell ref="L143:O143"/>
    <mergeCell ref="P143:S143"/>
    <mergeCell ref="T143:X143"/>
    <mergeCell ref="C140:C141"/>
    <mergeCell ref="D140:W140"/>
    <mergeCell ref="D141:W141"/>
    <mergeCell ref="D137:G137"/>
    <mergeCell ref="H137:K137"/>
    <mergeCell ref="L137:O137"/>
    <mergeCell ref="P137:S137"/>
    <mergeCell ref="T137:W137"/>
    <mergeCell ref="B138:B141"/>
    <mergeCell ref="D138:G138"/>
    <mergeCell ref="H138:K138"/>
    <mergeCell ref="L138:O138"/>
    <mergeCell ref="P138:S138"/>
    <mergeCell ref="D132:G132"/>
    <mergeCell ref="H132:K132"/>
    <mergeCell ref="L132:O132"/>
    <mergeCell ref="P132:S132"/>
    <mergeCell ref="T132:W132"/>
    <mergeCell ref="D133:G133"/>
    <mergeCell ref="H133:K133"/>
    <mergeCell ref="L133:O133"/>
    <mergeCell ref="P133:S133"/>
    <mergeCell ref="T133:W133"/>
    <mergeCell ref="T130:W130"/>
    <mergeCell ref="D131:G131"/>
    <mergeCell ref="H131:K131"/>
    <mergeCell ref="L131:O131"/>
    <mergeCell ref="P131:S131"/>
    <mergeCell ref="T131:W131"/>
    <mergeCell ref="B129:B136"/>
    <mergeCell ref="D129:G129"/>
    <mergeCell ref="H129:K129"/>
    <mergeCell ref="L129:O129"/>
    <mergeCell ref="P129:S129"/>
    <mergeCell ref="T129:W129"/>
    <mergeCell ref="D130:G130"/>
    <mergeCell ref="H130:K130"/>
    <mergeCell ref="L130:O130"/>
    <mergeCell ref="P130:S130"/>
    <mergeCell ref="D134:G134"/>
    <mergeCell ref="H134:K134"/>
    <mergeCell ref="L134:O134"/>
    <mergeCell ref="P134:S134"/>
    <mergeCell ref="T134:W134"/>
    <mergeCell ref="C135:C136"/>
    <mergeCell ref="D135:W135"/>
    <mergeCell ref="D136:W136"/>
    <mergeCell ref="C126:C127"/>
    <mergeCell ref="D126:W126"/>
    <mergeCell ref="D127:W127"/>
    <mergeCell ref="D128:G128"/>
    <mergeCell ref="H128:K128"/>
    <mergeCell ref="L128:O128"/>
    <mergeCell ref="P128:S128"/>
    <mergeCell ref="T128:W128"/>
    <mergeCell ref="P124:S124"/>
    <mergeCell ref="T124:W124"/>
    <mergeCell ref="D125:G125"/>
    <mergeCell ref="H125:K125"/>
    <mergeCell ref="L125:O125"/>
    <mergeCell ref="P125:S125"/>
    <mergeCell ref="T125:W125"/>
    <mergeCell ref="T122:W122"/>
    <mergeCell ref="D123:G123"/>
    <mergeCell ref="H123:K123"/>
    <mergeCell ref="L123:O123"/>
    <mergeCell ref="P123:S123"/>
    <mergeCell ref="T123:W123"/>
    <mergeCell ref="T120:W120"/>
    <mergeCell ref="X120:X139"/>
    <mergeCell ref="D121:G121"/>
    <mergeCell ref="H121:K121"/>
    <mergeCell ref="L121:O121"/>
    <mergeCell ref="P121:S121"/>
    <mergeCell ref="T121:W121"/>
    <mergeCell ref="D122:G122"/>
    <mergeCell ref="H122:K122"/>
    <mergeCell ref="L122:O122"/>
    <mergeCell ref="D120:G120"/>
    <mergeCell ref="H120:K120"/>
    <mergeCell ref="L120:O120"/>
    <mergeCell ref="P120:S120"/>
    <mergeCell ref="P122:S122"/>
    <mergeCell ref="D124:G124"/>
    <mergeCell ref="H124:K124"/>
    <mergeCell ref="L124:O124"/>
    <mergeCell ref="A115:A116"/>
    <mergeCell ref="B115:C115"/>
    <mergeCell ref="D115:X116"/>
    <mergeCell ref="B116:C116"/>
    <mergeCell ref="D119:G119"/>
    <mergeCell ref="H119:K119"/>
    <mergeCell ref="L119:O119"/>
    <mergeCell ref="P119:S119"/>
    <mergeCell ref="T119:W119"/>
    <mergeCell ref="A113:A114"/>
    <mergeCell ref="B113:C113"/>
    <mergeCell ref="D113:G113"/>
    <mergeCell ref="H113:K113"/>
    <mergeCell ref="L113:O113"/>
    <mergeCell ref="P113:S113"/>
    <mergeCell ref="T113:X113"/>
    <mergeCell ref="T109:W109"/>
    <mergeCell ref="D110:G110"/>
    <mergeCell ref="H110:K110"/>
    <mergeCell ref="L110:O110"/>
    <mergeCell ref="P110:S110"/>
    <mergeCell ref="T110:W110"/>
    <mergeCell ref="A91:A110"/>
    <mergeCell ref="B91:B98"/>
    <mergeCell ref="B114:C114"/>
    <mergeCell ref="D114:G114"/>
    <mergeCell ref="H114:K114"/>
    <mergeCell ref="L114:O114"/>
    <mergeCell ref="P114:S114"/>
    <mergeCell ref="T114:X114"/>
    <mergeCell ref="C111:C112"/>
    <mergeCell ref="D111:W111"/>
    <mergeCell ref="D112:W112"/>
    <mergeCell ref="D108:G108"/>
    <mergeCell ref="H108:K108"/>
    <mergeCell ref="L108:O108"/>
    <mergeCell ref="P108:S108"/>
    <mergeCell ref="T108:W108"/>
    <mergeCell ref="B109:B112"/>
    <mergeCell ref="D109:G109"/>
    <mergeCell ref="H109:K109"/>
    <mergeCell ref="L109:O109"/>
    <mergeCell ref="P109:S109"/>
    <mergeCell ref="D103:G103"/>
    <mergeCell ref="H103:K103"/>
    <mergeCell ref="L103:O103"/>
    <mergeCell ref="P103:S103"/>
    <mergeCell ref="T103:W103"/>
    <mergeCell ref="D104:G104"/>
    <mergeCell ref="H104:K104"/>
    <mergeCell ref="L104:O104"/>
    <mergeCell ref="P104:S104"/>
    <mergeCell ref="T104:W104"/>
    <mergeCell ref="T101:W101"/>
    <mergeCell ref="D102:G102"/>
    <mergeCell ref="H102:K102"/>
    <mergeCell ref="L102:O102"/>
    <mergeCell ref="P102:S102"/>
    <mergeCell ref="T102:W102"/>
    <mergeCell ref="B100:B107"/>
    <mergeCell ref="D100:G100"/>
    <mergeCell ref="H100:K100"/>
    <mergeCell ref="L100:O100"/>
    <mergeCell ref="P100:S100"/>
    <mergeCell ref="T100:W100"/>
    <mergeCell ref="D101:G101"/>
    <mergeCell ref="H101:K101"/>
    <mergeCell ref="L101:O101"/>
    <mergeCell ref="P101:S101"/>
    <mergeCell ref="D105:G105"/>
    <mergeCell ref="H105:K105"/>
    <mergeCell ref="L105:O105"/>
    <mergeCell ref="P105:S105"/>
    <mergeCell ref="T105:W105"/>
    <mergeCell ref="C106:C107"/>
    <mergeCell ref="D106:W106"/>
    <mergeCell ref="D107:W107"/>
    <mergeCell ref="C97:C98"/>
    <mergeCell ref="D97:W97"/>
    <mergeCell ref="D98:W98"/>
    <mergeCell ref="D99:G99"/>
    <mergeCell ref="H99:K99"/>
    <mergeCell ref="L99:O99"/>
    <mergeCell ref="P99:S99"/>
    <mergeCell ref="T99:W99"/>
    <mergeCell ref="P95:S95"/>
    <mergeCell ref="T95:W95"/>
    <mergeCell ref="D96:G96"/>
    <mergeCell ref="H96:K96"/>
    <mergeCell ref="L96:O96"/>
    <mergeCell ref="P96:S96"/>
    <mergeCell ref="T96:W96"/>
    <mergeCell ref="T93:W93"/>
    <mergeCell ref="D94:G94"/>
    <mergeCell ref="H94:K94"/>
    <mergeCell ref="L94:O94"/>
    <mergeCell ref="P94:S94"/>
    <mergeCell ref="T94:W94"/>
    <mergeCell ref="T91:W91"/>
    <mergeCell ref="X91:X110"/>
    <mergeCell ref="D92:G92"/>
    <mergeCell ref="H92:K92"/>
    <mergeCell ref="L92:O92"/>
    <mergeCell ref="P92:S92"/>
    <mergeCell ref="T92:W92"/>
    <mergeCell ref="D93:G93"/>
    <mergeCell ref="H93:K93"/>
    <mergeCell ref="L93:O93"/>
    <mergeCell ref="D91:G91"/>
    <mergeCell ref="H91:K91"/>
    <mergeCell ref="L91:O91"/>
    <mergeCell ref="P91:S91"/>
    <mergeCell ref="P93:S93"/>
    <mergeCell ref="D95:G95"/>
    <mergeCell ref="H95:K95"/>
    <mergeCell ref="L95:O95"/>
    <mergeCell ref="C82:C83"/>
    <mergeCell ref="D82:W82"/>
    <mergeCell ref="D83:W83"/>
    <mergeCell ref="X52:X83"/>
    <mergeCell ref="A86:A87"/>
    <mergeCell ref="B86:C86"/>
    <mergeCell ref="D86:X87"/>
    <mergeCell ref="B87:C87"/>
    <mergeCell ref="D90:G90"/>
    <mergeCell ref="H90:K90"/>
    <mergeCell ref="L90:O90"/>
    <mergeCell ref="P90:S90"/>
    <mergeCell ref="T90:W90"/>
    <mergeCell ref="A84:A85"/>
    <mergeCell ref="B84:C84"/>
    <mergeCell ref="D84:G84"/>
    <mergeCell ref="H84:K84"/>
    <mergeCell ref="L84:O84"/>
    <mergeCell ref="C76:C77"/>
    <mergeCell ref="D76:W76"/>
    <mergeCell ref="D77:W77"/>
    <mergeCell ref="D78:G78"/>
    <mergeCell ref="H78:K78"/>
    <mergeCell ref="L78:O78"/>
    <mergeCell ref="P78:S78"/>
    <mergeCell ref="T78:W78"/>
    <mergeCell ref="B70:B77"/>
    <mergeCell ref="P84:S84"/>
    <mergeCell ref="T84:X84"/>
    <mergeCell ref="B85:C85"/>
    <mergeCell ref="D85:G85"/>
    <mergeCell ref="H85:K85"/>
    <mergeCell ref="L85:O85"/>
    <mergeCell ref="P85:S85"/>
    <mergeCell ref="T85:X85"/>
    <mergeCell ref="B79:B80"/>
    <mergeCell ref="D81:G81"/>
    <mergeCell ref="D74:G74"/>
    <mergeCell ref="H74:K74"/>
    <mergeCell ref="L74:O74"/>
    <mergeCell ref="P74:S74"/>
    <mergeCell ref="T74:W74"/>
    <mergeCell ref="D75:G75"/>
    <mergeCell ref="H75:K75"/>
    <mergeCell ref="L75:O75"/>
    <mergeCell ref="P75:S75"/>
    <mergeCell ref="T75:W75"/>
    <mergeCell ref="D72:G72"/>
    <mergeCell ref="H72:K72"/>
    <mergeCell ref="L72:O72"/>
    <mergeCell ref="P72:S72"/>
    <mergeCell ref="T72:W72"/>
    <mergeCell ref="D73:G73"/>
    <mergeCell ref="H73:K73"/>
    <mergeCell ref="L73:O73"/>
    <mergeCell ref="P73:S73"/>
    <mergeCell ref="T73:W73"/>
    <mergeCell ref="T70:W70"/>
    <mergeCell ref="D71:G71"/>
    <mergeCell ref="H71:K71"/>
    <mergeCell ref="L71:O71"/>
    <mergeCell ref="P71:S71"/>
    <mergeCell ref="T71:W71"/>
    <mergeCell ref="D69:G69"/>
    <mergeCell ref="H69:K69"/>
    <mergeCell ref="L69:O69"/>
    <mergeCell ref="P69:S69"/>
    <mergeCell ref="T69:W69"/>
    <mergeCell ref="D70:G70"/>
    <mergeCell ref="H70:K70"/>
    <mergeCell ref="L70:O70"/>
    <mergeCell ref="P70:S70"/>
    <mergeCell ref="D64:G64"/>
    <mergeCell ref="H64:K64"/>
    <mergeCell ref="L64:O64"/>
    <mergeCell ref="P64:S64"/>
    <mergeCell ref="T64:W64"/>
    <mergeCell ref="D65:G65"/>
    <mergeCell ref="H65:K65"/>
    <mergeCell ref="L65:O65"/>
    <mergeCell ref="P65:S65"/>
    <mergeCell ref="T65:W65"/>
    <mergeCell ref="T62:W62"/>
    <mergeCell ref="D63:G63"/>
    <mergeCell ref="H63:K63"/>
    <mergeCell ref="L63:O63"/>
    <mergeCell ref="P63:S63"/>
    <mergeCell ref="T63:W63"/>
    <mergeCell ref="B61:B68"/>
    <mergeCell ref="D61:G61"/>
    <mergeCell ref="H61:K61"/>
    <mergeCell ref="L61:O61"/>
    <mergeCell ref="P61:S61"/>
    <mergeCell ref="T61:W61"/>
    <mergeCell ref="D62:G62"/>
    <mergeCell ref="H62:K62"/>
    <mergeCell ref="L62:O62"/>
    <mergeCell ref="P62:S62"/>
    <mergeCell ref="D66:G66"/>
    <mergeCell ref="H66:K66"/>
    <mergeCell ref="L66:O66"/>
    <mergeCell ref="P66:S66"/>
    <mergeCell ref="T66:W66"/>
    <mergeCell ref="C67:C68"/>
    <mergeCell ref="D67:W67"/>
    <mergeCell ref="D68:W68"/>
    <mergeCell ref="T53:W53"/>
    <mergeCell ref="D54:G54"/>
    <mergeCell ref="H54:K54"/>
    <mergeCell ref="C58:C59"/>
    <mergeCell ref="D58:W58"/>
    <mergeCell ref="D59:W59"/>
    <mergeCell ref="D60:G60"/>
    <mergeCell ref="H60:K60"/>
    <mergeCell ref="L60:O60"/>
    <mergeCell ref="P60:S60"/>
    <mergeCell ref="T60:W60"/>
    <mergeCell ref="D56:G56"/>
    <mergeCell ref="H56:K56"/>
    <mergeCell ref="L56:O56"/>
    <mergeCell ref="P56:S56"/>
    <mergeCell ref="T56:W56"/>
    <mergeCell ref="D57:G57"/>
    <mergeCell ref="H57:K57"/>
    <mergeCell ref="L57:O57"/>
    <mergeCell ref="P57:S57"/>
    <mergeCell ref="T57:W57"/>
    <mergeCell ref="D51:G51"/>
    <mergeCell ref="H51:K51"/>
    <mergeCell ref="L51:O51"/>
    <mergeCell ref="P51:S51"/>
    <mergeCell ref="T51:W51"/>
    <mergeCell ref="A52:A83"/>
    <mergeCell ref="B52:B59"/>
    <mergeCell ref="D52:G52"/>
    <mergeCell ref="H52:K52"/>
    <mergeCell ref="L52:O52"/>
    <mergeCell ref="L54:O54"/>
    <mergeCell ref="P54:S54"/>
    <mergeCell ref="T54:W54"/>
    <mergeCell ref="D55:G55"/>
    <mergeCell ref="H55:K55"/>
    <mergeCell ref="L55:O55"/>
    <mergeCell ref="P55:S55"/>
    <mergeCell ref="T55:W55"/>
    <mergeCell ref="P52:S52"/>
    <mergeCell ref="T52:W52"/>
    <mergeCell ref="D53:G53"/>
    <mergeCell ref="H53:K53"/>
    <mergeCell ref="L53:O53"/>
    <mergeCell ref="P53:S53"/>
    <mergeCell ref="D46:G46"/>
    <mergeCell ref="H46:K46"/>
    <mergeCell ref="L46:O46"/>
    <mergeCell ref="P46:S46"/>
    <mergeCell ref="B47:B48"/>
    <mergeCell ref="C47:C48"/>
    <mergeCell ref="D47:W47"/>
    <mergeCell ref="D48:W48"/>
    <mergeCell ref="D42:G42"/>
    <mergeCell ref="D43:G43"/>
    <mergeCell ref="H43:K43"/>
    <mergeCell ref="L43:O43"/>
    <mergeCell ref="D44:G44"/>
    <mergeCell ref="D45:G45"/>
    <mergeCell ref="H45:K45"/>
    <mergeCell ref="D39:G39"/>
    <mergeCell ref="H39:K39"/>
    <mergeCell ref="L39:O39"/>
    <mergeCell ref="P39:S39"/>
    <mergeCell ref="T39:W39"/>
    <mergeCell ref="B40:B41"/>
    <mergeCell ref="D36:G36"/>
    <mergeCell ref="H36:K36"/>
    <mergeCell ref="L36:O36"/>
    <mergeCell ref="P36:S36"/>
    <mergeCell ref="T36:W36"/>
    <mergeCell ref="C37:C38"/>
    <mergeCell ref="D37:W37"/>
    <mergeCell ref="D38:W38"/>
    <mergeCell ref="B31:B38"/>
    <mergeCell ref="D31:G31"/>
    <mergeCell ref="H31:K31"/>
    <mergeCell ref="L31:O31"/>
    <mergeCell ref="P31:S31"/>
    <mergeCell ref="T31:W31"/>
    <mergeCell ref="D32:G32"/>
    <mergeCell ref="H32:K32"/>
    <mergeCell ref="L32:O32"/>
    <mergeCell ref="P32:S32"/>
    <mergeCell ref="D34:G34"/>
    <mergeCell ref="H34:K34"/>
    <mergeCell ref="L34:O34"/>
    <mergeCell ref="P34:S34"/>
    <mergeCell ref="T34:W34"/>
    <mergeCell ref="D35:G35"/>
    <mergeCell ref="H35:K35"/>
    <mergeCell ref="L35:O35"/>
    <mergeCell ref="P35:S35"/>
    <mergeCell ref="T35:W35"/>
    <mergeCell ref="P26:S26"/>
    <mergeCell ref="T26:W26"/>
    <mergeCell ref="D27:G27"/>
    <mergeCell ref="H27:K27"/>
    <mergeCell ref="L27:O27"/>
    <mergeCell ref="P27:S27"/>
    <mergeCell ref="T27:W27"/>
    <mergeCell ref="T32:W32"/>
    <mergeCell ref="D33:G33"/>
    <mergeCell ref="H33:K33"/>
    <mergeCell ref="L33:O33"/>
    <mergeCell ref="P33:S33"/>
    <mergeCell ref="T33:W33"/>
    <mergeCell ref="X22:X48"/>
    <mergeCell ref="D23:G23"/>
    <mergeCell ref="H23:K23"/>
    <mergeCell ref="L23:O23"/>
    <mergeCell ref="P23:S23"/>
    <mergeCell ref="T23:W23"/>
    <mergeCell ref="D24:G24"/>
    <mergeCell ref="H24:K24"/>
    <mergeCell ref="D21:G21"/>
    <mergeCell ref="H21:K21"/>
    <mergeCell ref="L21:O21"/>
    <mergeCell ref="P21:S21"/>
    <mergeCell ref="T21:W21"/>
    <mergeCell ref="P24:S24"/>
    <mergeCell ref="T24:W24"/>
    <mergeCell ref="D25:G25"/>
    <mergeCell ref="H25:K25"/>
    <mergeCell ref="L25:O25"/>
    <mergeCell ref="P25:S25"/>
    <mergeCell ref="T25:W25"/>
    <mergeCell ref="P22:S22"/>
    <mergeCell ref="T22:W22"/>
    <mergeCell ref="D28:W28"/>
    <mergeCell ref="L24:O24"/>
    <mergeCell ref="A22:A48"/>
    <mergeCell ref="B22:B29"/>
    <mergeCell ref="D22:G22"/>
    <mergeCell ref="H22:K22"/>
    <mergeCell ref="L22:O22"/>
    <mergeCell ref="L14:O14"/>
    <mergeCell ref="P14:S14"/>
    <mergeCell ref="T14:W14"/>
    <mergeCell ref="B15:B18"/>
    <mergeCell ref="D15:W15"/>
    <mergeCell ref="D16:W16"/>
    <mergeCell ref="C17:C18"/>
    <mergeCell ref="D17:W17"/>
    <mergeCell ref="D18:W18"/>
    <mergeCell ref="C28:C29"/>
    <mergeCell ref="D29:W29"/>
    <mergeCell ref="D30:G30"/>
    <mergeCell ref="H30:K30"/>
    <mergeCell ref="L30:O30"/>
    <mergeCell ref="P30:S30"/>
    <mergeCell ref="T30:W30"/>
    <mergeCell ref="D26:G26"/>
    <mergeCell ref="H26:K26"/>
    <mergeCell ref="L26:O26"/>
    <mergeCell ref="B10:B13"/>
    <mergeCell ref="D10:W10"/>
    <mergeCell ref="D11:W11"/>
    <mergeCell ref="C12:C13"/>
    <mergeCell ref="D12:W12"/>
    <mergeCell ref="D13:W13"/>
    <mergeCell ref="A5:A18"/>
    <mergeCell ref="B5:B8"/>
    <mergeCell ref="D5:W5"/>
    <mergeCell ref="D6:W6"/>
    <mergeCell ref="C7:C8"/>
    <mergeCell ref="D7:W7"/>
    <mergeCell ref="D8:W8"/>
    <mergeCell ref="D9:G9"/>
    <mergeCell ref="H9:K9"/>
    <mergeCell ref="L9:O9"/>
    <mergeCell ref="D4:G4"/>
    <mergeCell ref="H4:K4"/>
    <mergeCell ref="L4:O4"/>
    <mergeCell ref="P4:S4"/>
    <mergeCell ref="T4:W4"/>
    <mergeCell ref="X4:X18"/>
    <mergeCell ref="P9:S9"/>
    <mergeCell ref="T9:W9"/>
    <mergeCell ref="D14:G14"/>
    <mergeCell ref="H14:K14"/>
  </mergeCells>
  <pageMargins left="0.39000000000000007" right="0.39000000000000007" top="0.39000000000000007" bottom="0.39000000000000007" header="0" footer="0"/>
  <pageSetup paperSize="9" scale="57" fitToHeight="10" orientation="landscape"/>
  <headerFooter>
    <oddFooter>&amp;L&amp;K000000&amp;F&amp;C&amp;K000000&amp;D&amp;R&amp;K000000Page &amp;P</oddFooter>
  </headerFooter>
  <legacy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FFFF00"/>
    <pageSetUpPr fitToPage="1"/>
  </sheetPr>
  <dimension ref="A1:X254"/>
  <sheetViews>
    <sheetView tabSelected="1" workbookViewId="0">
      <pane xSplit="2" ySplit="1" topLeftCell="C2" activePane="bottomRight" state="frozen"/>
      <selection activeCell="V136" sqref="V136"/>
      <selection pane="topRight" activeCell="V136" sqref="V136"/>
      <selection pane="bottomLeft" activeCell="V136" sqref="V136"/>
      <selection pane="bottomRight" activeCell="P247" sqref="P247"/>
    </sheetView>
  </sheetViews>
  <sheetFormatPr defaultColWidth="8.85546875" defaultRowHeight="12.75"/>
  <cols>
    <col min="1" max="1" width="20.85546875" style="4" customWidth="1"/>
    <col min="2" max="2" width="40.85546875" style="4" customWidth="1"/>
    <col min="3" max="3" width="15.85546875" style="27" customWidth="1"/>
    <col min="4" max="23" width="5.85546875" style="4" customWidth="1"/>
    <col min="24" max="24" width="30.85546875" style="4" customWidth="1"/>
    <col min="25" max="16384" width="8.85546875" style="4"/>
  </cols>
  <sheetData>
    <row r="1" spans="1:24" s="67" customFormat="1" ht="32.25" thickBot="1">
      <c r="A1" s="3" t="s">
        <v>0</v>
      </c>
      <c r="B1" s="64" t="s">
        <v>231</v>
      </c>
      <c r="C1" s="65" t="s">
        <v>270</v>
      </c>
      <c r="D1" s="65"/>
      <c r="E1" s="65"/>
      <c r="F1" s="65"/>
      <c r="G1" s="65"/>
      <c r="H1" s="65"/>
      <c r="I1" s="65"/>
      <c r="J1" s="65"/>
      <c r="K1" s="65"/>
      <c r="L1" s="65"/>
      <c r="M1" s="65"/>
      <c r="N1" s="65"/>
      <c r="O1" s="65"/>
      <c r="P1" s="65"/>
      <c r="Q1" s="65"/>
      <c r="R1" s="65"/>
      <c r="S1" s="65"/>
      <c r="T1" s="65"/>
      <c r="U1" s="65"/>
      <c r="V1" s="65"/>
      <c r="W1" s="65"/>
      <c r="X1" s="66"/>
    </row>
    <row r="2" spans="1:24">
      <c r="A2" s="5"/>
      <c r="B2" s="5"/>
      <c r="C2" s="6"/>
      <c r="D2" s="5"/>
      <c r="E2" s="5"/>
      <c r="F2" s="5"/>
      <c r="G2" s="5"/>
      <c r="H2" s="5"/>
      <c r="I2" s="5"/>
      <c r="J2" s="5"/>
      <c r="K2" s="5"/>
      <c r="L2" s="5"/>
      <c r="M2" s="5"/>
      <c r="N2" s="5"/>
      <c r="O2" s="5"/>
      <c r="P2" s="5"/>
      <c r="Q2" s="5"/>
      <c r="R2" s="5"/>
      <c r="S2" s="5"/>
      <c r="T2" s="5"/>
      <c r="U2" s="5"/>
      <c r="V2" s="5"/>
      <c r="W2" s="5"/>
      <c r="X2" s="5"/>
    </row>
    <row r="3" spans="1:24" ht="13.5" thickBot="1">
      <c r="A3" s="5"/>
      <c r="B3" s="5"/>
      <c r="C3" s="6"/>
      <c r="D3" s="5"/>
      <c r="E3" s="5"/>
      <c r="F3" s="5"/>
      <c r="G3" s="5"/>
      <c r="H3" s="5"/>
      <c r="I3" s="5"/>
      <c r="J3" s="5"/>
      <c r="K3" s="5"/>
      <c r="L3" s="5"/>
      <c r="M3" s="5"/>
      <c r="N3" s="5"/>
      <c r="O3" s="5"/>
      <c r="P3" s="5"/>
      <c r="Q3" s="5"/>
      <c r="R3" s="5"/>
      <c r="S3" s="5"/>
      <c r="T3" s="5"/>
      <c r="U3" s="5"/>
      <c r="V3" s="5"/>
      <c r="W3" s="5"/>
      <c r="X3" s="5"/>
    </row>
    <row r="4" spans="1:24" ht="13.5" thickBot="1">
      <c r="A4" s="772" t="s">
        <v>50</v>
      </c>
      <c r="B4" s="773" t="s">
        <v>51</v>
      </c>
      <c r="C4" s="8"/>
      <c r="D4" s="927" t="s">
        <v>79</v>
      </c>
      <c r="E4" s="928"/>
      <c r="F4" s="928"/>
      <c r="G4" s="929"/>
      <c r="H4" s="927" t="s">
        <v>80</v>
      </c>
      <c r="I4" s="928"/>
      <c r="J4" s="928"/>
      <c r="K4" s="929"/>
      <c r="L4" s="927" t="s">
        <v>81</v>
      </c>
      <c r="M4" s="928"/>
      <c r="N4" s="928"/>
      <c r="O4" s="929"/>
      <c r="P4" s="927" t="s">
        <v>254</v>
      </c>
      <c r="Q4" s="928"/>
      <c r="R4" s="928"/>
      <c r="S4" s="929"/>
      <c r="T4" s="927" t="s">
        <v>76</v>
      </c>
      <c r="U4" s="928"/>
      <c r="V4" s="928"/>
      <c r="W4" s="929"/>
      <c r="X4" s="991"/>
    </row>
    <row r="5" spans="1:24" ht="13.5" thickBot="1">
      <c r="A5" s="868" t="s">
        <v>43</v>
      </c>
      <c r="B5" s="868" t="s">
        <v>46</v>
      </c>
      <c r="C5" s="9" t="s">
        <v>2</v>
      </c>
      <c r="D5" s="983" t="s">
        <v>82</v>
      </c>
      <c r="E5" s="984"/>
      <c r="F5" s="984"/>
      <c r="G5" s="984"/>
      <c r="H5" s="984"/>
      <c r="I5" s="984"/>
      <c r="J5" s="984"/>
      <c r="K5" s="984"/>
      <c r="L5" s="984"/>
      <c r="M5" s="984"/>
      <c r="N5" s="984"/>
      <c r="O5" s="984"/>
      <c r="P5" s="984"/>
      <c r="Q5" s="984"/>
      <c r="R5" s="984"/>
      <c r="S5" s="984"/>
      <c r="T5" s="984"/>
      <c r="U5" s="984"/>
      <c r="V5" s="984"/>
      <c r="W5" s="985"/>
      <c r="X5" s="992"/>
    </row>
    <row r="6" spans="1:24" ht="13.5" thickBot="1">
      <c r="A6" s="885"/>
      <c r="B6" s="885"/>
      <c r="C6" s="10" t="s">
        <v>3</v>
      </c>
      <c r="D6" s="986"/>
      <c r="E6" s="987"/>
      <c r="F6" s="987"/>
      <c r="G6" s="987"/>
      <c r="H6" s="987"/>
      <c r="I6" s="987"/>
      <c r="J6" s="987"/>
      <c r="K6" s="987"/>
      <c r="L6" s="987"/>
      <c r="M6" s="987"/>
      <c r="N6" s="987"/>
      <c r="O6" s="987"/>
      <c r="P6" s="987"/>
      <c r="Q6" s="987"/>
      <c r="R6" s="987"/>
      <c r="S6" s="987"/>
      <c r="T6" s="987"/>
      <c r="U6" s="987"/>
      <c r="V6" s="987"/>
      <c r="W6" s="988"/>
      <c r="X6" s="992"/>
    </row>
    <row r="7" spans="1:24" ht="13.5" thickBot="1">
      <c r="A7" s="885"/>
      <c r="B7" s="885"/>
      <c r="C7" s="1142" t="s">
        <v>413</v>
      </c>
      <c r="D7" s="989" t="s">
        <v>4</v>
      </c>
      <c r="E7" s="990"/>
      <c r="F7" s="990"/>
      <c r="G7" s="990"/>
      <c r="H7" s="990"/>
      <c r="I7" s="990"/>
      <c r="J7" s="990"/>
      <c r="K7" s="990"/>
      <c r="L7" s="990"/>
      <c r="M7" s="990"/>
      <c r="N7" s="990"/>
      <c r="O7" s="990"/>
      <c r="P7" s="990"/>
      <c r="Q7" s="990"/>
      <c r="R7" s="990"/>
      <c r="S7" s="990"/>
      <c r="T7" s="990"/>
      <c r="U7" s="990"/>
      <c r="V7" s="990"/>
      <c r="W7" s="990"/>
      <c r="X7" s="992"/>
    </row>
    <row r="8" spans="1:24" ht="13.5" thickBot="1">
      <c r="A8" s="885"/>
      <c r="B8" s="869"/>
      <c r="C8" s="1143"/>
      <c r="D8" s="930" t="s">
        <v>85</v>
      </c>
      <c r="E8" s="931"/>
      <c r="F8" s="931"/>
      <c r="G8" s="931"/>
      <c r="H8" s="931"/>
      <c r="I8" s="931"/>
      <c r="J8" s="931"/>
      <c r="K8" s="931"/>
      <c r="L8" s="931"/>
      <c r="M8" s="931"/>
      <c r="N8" s="931"/>
      <c r="O8" s="931"/>
      <c r="P8" s="931"/>
      <c r="Q8" s="931"/>
      <c r="R8" s="931"/>
      <c r="S8" s="931"/>
      <c r="T8" s="931"/>
      <c r="U8" s="931"/>
      <c r="V8" s="931"/>
      <c r="W8" s="932"/>
      <c r="X8" s="992"/>
    </row>
    <row r="9" spans="1:24" ht="13.5" thickBot="1">
      <c r="A9" s="885"/>
      <c r="B9" s="11" t="s">
        <v>52</v>
      </c>
      <c r="C9" s="12"/>
      <c r="D9" s="927" t="s">
        <v>79</v>
      </c>
      <c r="E9" s="928"/>
      <c r="F9" s="928"/>
      <c r="G9" s="929"/>
      <c r="H9" s="927" t="s">
        <v>80</v>
      </c>
      <c r="I9" s="928"/>
      <c r="J9" s="928"/>
      <c r="K9" s="929"/>
      <c r="L9" s="927" t="s">
        <v>81</v>
      </c>
      <c r="M9" s="928"/>
      <c r="N9" s="928"/>
      <c r="O9" s="929"/>
      <c r="P9" s="927" t="s">
        <v>254</v>
      </c>
      <c r="Q9" s="928"/>
      <c r="R9" s="928"/>
      <c r="S9" s="929"/>
      <c r="T9" s="927" t="s">
        <v>76</v>
      </c>
      <c r="U9" s="928"/>
      <c r="V9" s="928"/>
      <c r="W9" s="929"/>
      <c r="X9" s="992"/>
    </row>
    <row r="10" spans="1:24" ht="35.1" customHeight="1" thickBot="1">
      <c r="A10" s="885"/>
      <c r="B10" s="868" t="s">
        <v>45</v>
      </c>
      <c r="C10" s="13" t="s">
        <v>2</v>
      </c>
      <c r="D10" s="930" t="s">
        <v>86</v>
      </c>
      <c r="E10" s="931"/>
      <c r="F10" s="931"/>
      <c r="G10" s="931"/>
      <c r="H10" s="931"/>
      <c r="I10" s="931"/>
      <c r="J10" s="931"/>
      <c r="K10" s="931"/>
      <c r="L10" s="931"/>
      <c r="M10" s="931"/>
      <c r="N10" s="931"/>
      <c r="O10" s="931"/>
      <c r="P10" s="931"/>
      <c r="Q10" s="931"/>
      <c r="R10" s="931"/>
      <c r="S10" s="931"/>
      <c r="T10" s="931"/>
      <c r="U10" s="931"/>
      <c r="V10" s="931"/>
      <c r="W10" s="932"/>
      <c r="X10" s="992"/>
    </row>
    <row r="11" spans="1:24" ht="13.5" thickBot="1">
      <c r="A11" s="885"/>
      <c r="B11" s="885"/>
      <c r="C11" s="10" t="s">
        <v>3</v>
      </c>
      <c r="D11" s="986"/>
      <c r="E11" s="987"/>
      <c r="F11" s="987"/>
      <c r="G11" s="987"/>
      <c r="H11" s="987"/>
      <c r="I11" s="987"/>
      <c r="J11" s="987"/>
      <c r="K11" s="987"/>
      <c r="L11" s="987"/>
      <c r="M11" s="987"/>
      <c r="N11" s="987"/>
      <c r="O11" s="987"/>
      <c r="P11" s="987"/>
      <c r="Q11" s="987"/>
      <c r="R11" s="987"/>
      <c r="S11" s="987"/>
      <c r="T11" s="987"/>
      <c r="U11" s="987"/>
      <c r="V11" s="987"/>
      <c r="W11" s="988"/>
      <c r="X11" s="992"/>
    </row>
    <row r="12" spans="1:24" ht="13.5" thickBot="1">
      <c r="A12" s="885"/>
      <c r="B12" s="885"/>
      <c r="C12" s="1142" t="s">
        <v>413</v>
      </c>
      <c r="D12" s="927" t="s">
        <v>4</v>
      </c>
      <c r="E12" s="928"/>
      <c r="F12" s="928"/>
      <c r="G12" s="928"/>
      <c r="H12" s="928"/>
      <c r="I12" s="928"/>
      <c r="J12" s="928"/>
      <c r="K12" s="928"/>
      <c r="L12" s="928"/>
      <c r="M12" s="928"/>
      <c r="N12" s="928"/>
      <c r="O12" s="928"/>
      <c r="P12" s="928"/>
      <c r="Q12" s="928"/>
      <c r="R12" s="928"/>
      <c r="S12" s="928"/>
      <c r="T12" s="928"/>
      <c r="U12" s="928"/>
      <c r="V12" s="928"/>
      <c r="W12" s="928"/>
      <c r="X12" s="992"/>
    </row>
    <row r="13" spans="1:24" ht="24" customHeight="1" thickBot="1">
      <c r="A13" s="885"/>
      <c r="B13" s="869"/>
      <c r="C13" s="1143"/>
      <c r="D13" s="930" t="s">
        <v>87</v>
      </c>
      <c r="E13" s="931"/>
      <c r="F13" s="931"/>
      <c r="G13" s="931"/>
      <c r="H13" s="931"/>
      <c r="I13" s="931"/>
      <c r="J13" s="931"/>
      <c r="K13" s="931"/>
      <c r="L13" s="931"/>
      <c r="M13" s="931"/>
      <c r="N13" s="931"/>
      <c r="O13" s="931"/>
      <c r="P13" s="931"/>
      <c r="Q13" s="931"/>
      <c r="R13" s="931"/>
      <c r="S13" s="931"/>
      <c r="T13" s="931"/>
      <c r="U13" s="931"/>
      <c r="V13" s="931"/>
      <c r="W13" s="932"/>
      <c r="X13" s="992"/>
    </row>
    <row r="14" spans="1:24" ht="13.5" thickBot="1">
      <c r="A14" s="885"/>
      <c r="B14" s="11" t="s">
        <v>53</v>
      </c>
      <c r="C14" s="12"/>
      <c r="D14" s="927" t="s">
        <v>79</v>
      </c>
      <c r="E14" s="928"/>
      <c r="F14" s="928"/>
      <c r="G14" s="929"/>
      <c r="H14" s="927" t="s">
        <v>80</v>
      </c>
      <c r="I14" s="928"/>
      <c r="J14" s="928"/>
      <c r="K14" s="929"/>
      <c r="L14" s="927" t="s">
        <v>81</v>
      </c>
      <c r="M14" s="928"/>
      <c r="N14" s="928"/>
      <c r="O14" s="929"/>
      <c r="P14" s="927" t="s">
        <v>254</v>
      </c>
      <c r="Q14" s="928"/>
      <c r="R14" s="928"/>
      <c r="S14" s="929"/>
      <c r="T14" s="927" t="s">
        <v>76</v>
      </c>
      <c r="U14" s="928"/>
      <c r="V14" s="928"/>
      <c r="W14" s="929"/>
      <c r="X14" s="992"/>
    </row>
    <row r="15" spans="1:24" ht="13.5" thickBot="1">
      <c r="A15" s="885"/>
      <c r="B15" s="868" t="s">
        <v>44</v>
      </c>
      <c r="C15" s="9" t="s">
        <v>2</v>
      </c>
      <c r="D15" s="930" t="s">
        <v>83</v>
      </c>
      <c r="E15" s="931"/>
      <c r="F15" s="931"/>
      <c r="G15" s="931"/>
      <c r="H15" s="931"/>
      <c r="I15" s="931"/>
      <c r="J15" s="931"/>
      <c r="K15" s="931"/>
      <c r="L15" s="931"/>
      <c r="M15" s="931"/>
      <c r="N15" s="931"/>
      <c r="O15" s="931"/>
      <c r="P15" s="931"/>
      <c r="Q15" s="931"/>
      <c r="R15" s="931"/>
      <c r="S15" s="931"/>
      <c r="T15" s="931"/>
      <c r="U15" s="931"/>
      <c r="V15" s="931"/>
      <c r="W15" s="932"/>
      <c r="X15" s="992"/>
    </row>
    <row r="16" spans="1:24" ht="13.5" thickBot="1">
      <c r="A16" s="885"/>
      <c r="B16" s="885"/>
      <c r="C16" s="10" t="s">
        <v>3</v>
      </c>
      <c r="D16" s="986"/>
      <c r="E16" s="987"/>
      <c r="F16" s="987"/>
      <c r="G16" s="987"/>
      <c r="H16" s="987"/>
      <c r="I16" s="987"/>
      <c r="J16" s="987"/>
      <c r="K16" s="987"/>
      <c r="L16" s="987"/>
      <c r="M16" s="987"/>
      <c r="N16" s="987"/>
      <c r="O16" s="987"/>
      <c r="P16" s="987"/>
      <c r="Q16" s="987"/>
      <c r="R16" s="987"/>
      <c r="S16" s="987"/>
      <c r="T16" s="987"/>
      <c r="U16" s="987"/>
      <c r="V16" s="987"/>
      <c r="W16" s="988"/>
      <c r="X16" s="992"/>
    </row>
    <row r="17" spans="1:24" ht="13.5" thickBot="1">
      <c r="A17" s="885"/>
      <c r="B17" s="885"/>
      <c r="C17" s="1142" t="s">
        <v>413</v>
      </c>
      <c r="D17" s="989" t="s">
        <v>4</v>
      </c>
      <c r="E17" s="990"/>
      <c r="F17" s="990"/>
      <c r="G17" s="990"/>
      <c r="H17" s="990"/>
      <c r="I17" s="990"/>
      <c r="J17" s="990"/>
      <c r="K17" s="990"/>
      <c r="L17" s="990"/>
      <c r="M17" s="990"/>
      <c r="N17" s="990"/>
      <c r="O17" s="990"/>
      <c r="P17" s="990"/>
      <c r="Q17" s="990"/>
      <c r="R17" s="990"/>
      <c r="S17" s="990"/>
      <c r="T17" s="990"/>
      <c r="U17" s="990"/>
      <c r="V17" s="990"/>
      <c r="W17" s="990"/>
      <c r="X17" s="992"/>
    </row>
    <row r="18" spans="1:24" ht="13.5" thickBot="1">
      <c r="A18" s="869"/>
      <c r="B18" s="869"/>
      <c r="C18" s="1143"/>
      <c r="D18" s="930" t="s">
        <v>84</v>
      </c>
      <c r="E18" s="931"/>
      <c r="F18" s="931"/>
      <c r="G18" s="931"/>
      <c r="H18" s="931"/>
      <c r="I18" s="931"/>
      <c r="J18" s="931"/>
      <c r="K18" s="931"/>
      <c r="L18" s="931"/>
      <c r="M18" s="931"/>
      <c r="N18" s="931"/>
      <c r="O18" s="931"/>
      <c r="P18" s="931"/>
      <c r="Q18" s="931"/>
      <c r="R18" s="931"/>
      <c r="S18" s="931"/>
      <c r="T18" s="931"/>
      <c r="U18" s="931"/>
      <c r="V18" s="931"/>
      <c r="W18" s="932"/>
      <c r="X18" s="993"/>
    </row>
    <row r="19" spans="1:24">
      <c r="A19" s="5"/>
      <c r="B19" s="5"/>
      <c r="C19" s="14"/>
      <c r="D19" s="5"/>
      <c r="E19" s="5"/>
      <c r="F19" s="5"/>
      <c r="G19" s="5"/>
      <c r="H19" s="5"/>
      <c r="I19" s="5"/>
      <c r="J19" s="5"/>
      <c r="K19" s="5"/>
      <c r="L19" s="5"/>
      <c r="M19" s="5"/>
      <c r="N19" s="5"/>
      <c r="O19" s="5"/>
      <c r="P19" s="5"/>
      <c r="Q19" s="5"/>
      <c r="R19" s="5"/>
      <c r="S19" s="5"/>
      <c r="T19" s="5"/>
      <c r="U19" s="5"/>
      <c r="V19" s="5"/>
      <c r="W19" s="5"/>
      <c r="X19" s="5"/>
    </row>
    <row r="20" spans="1:24" ht="13.5" thickBot="1">
      <c r="A20" s="5"/>
      <c r="B20" s="5"/>
      <c r="C20" s="6"/>
      <c r="D20" s="5"/>
      <c r="E20" s="5"/>
      <c r="F20" s="5"/>
      <c r="G20" s="5"/>
      <c r="H20" s="5"/>
      <c r="I20" s="5"/>
      <c r="J20" s="5"/>
      <c r="K20" s="5"/>
      <c r="L20" s="5"/>
      <c r="M20" s="5"/>
      <c r="N20" s="5"/>
      <c r="O20" s="5"/>
      <c r="P20" s="5"/>
      <c r="Q20" s="5"/>
      <c r="R20" s="5"/>
      <c r="S20" s="5"/>
      <c r="T20" s="5"/>
      <c r="U20" s="5"/>
      <c r="V20" s="5"/>
      <c r="W20" s="5"/>
      <c r="X20" s="5"/>
    </row>
    <row r="21" spans="1:24" ht="13.5" thickBot="1">
      <c r="A21" s="15" t="s">
        <v>1</v>
      </c>
      <c r="B21" s="773" t="s">
        <v>24</v>
      </c>
      <c r="C21" s="8"/>
      <c r="D21" s="927" t="s">
        <v>78</v>
      </c>
      <c r="E21" s="928"/>
      <c r="F21" s="928"/>
      <c r="G21" s="929"/>
      <c r="H21" s="927" t="s">
        <v>77</v>
      </c>
      <c r="I21" s="928"/>
      <c r="J21" s="928"/>
      <c r="K21" s="929"/>
      <c r="L21" s="927" t="s">
        <v>81</v>
      </c>
      <c r="M21" s="928"/>
      <c r="N21" s="928"/>
      <c r="O21" s="929"/>
      <c r="P21" s="927" t="s">
        <v>254</v>
      </c>
      <c r="Q21" s="928"/>
      <c r="R21" s="928"/>
      <c r="S21" s="929"/>
      <c r="T21" s="927" t="s">
        <v>76</v>
      </c>
      <c r="U21" s="928"/>
      <c r="V21" s="928"/>
      <c r="W21" s="929"/>
      <c r="X21" s="16" t="s">
        <v>6</v>
      </c>
    </row>
    <row r="22" spans="1:24" ht="13.5" thickBot="1">
      <c r="A22" s="868" t="s">
        <v>47</v>
      </c>
      <c r="B22" s="868" t="s">
        <v>48</v>
      </c>
      <c r="C22" s="9" t="s">
        <v>235</v>
      </c>
      <c r="D22" s="942">
        <f>SUM('State DisAgg LFx10 (2015)'!D22:G26)/5</f>
        <v>2.1</v>
      </c>
      <c r="E22" s="943"/>
      <c r="F22" s="943"/>
      <c r="G22" s="944"/>
      <c r="H22" s="942">
        <f>SUM('State DisAgg LFx10 (2015)'!H22:K26)/5</f>
        <v>2.1</v>
      </c>
      <c r="I22" s="943"/>
      <c r="J22" s="943"/>
      <c r="K22" s="944"/>
      <c r="L22" s="942">
        <f>SUM('State DisAgg LFx10 (2015)'!L22:O26)/5</f>
        <v>2.9</v>
      </c>
      <c r="M22" s="943"/>
      <c r="N22" s="943"/>
      <c r="O22" s="944"/>
      <c r="P22" s="942">
        <f>SUM('State DisAgg LFx10 (2015)'!P22:S26)/5</f>
        <v>3.06</v>
      </c>
      <c r="Q22" s="943"/>
      <c r="R22" s="943"/>
      <c r="S22" s="944"/>
      <c r="T22" s="1188" t="s">
        <v>1293</v>
      </c>
      <c r="U22" s="1189"/>
      <c r="V22" s="1189"/>
      <c r="W22" s="1190"/>
      <c r="X22" s="873" t="s">
        <v>96</v>
      </c>
    </row>
    <row r="23" spans="1:24" ht="13.5" thickBot="1">
      <c r="A23" s="885"/>
      <c r="B23" s="885"/>
      <c r="C23" s="9" t="s">
        <v>233</v>
      </c>
      <c r="D23" s="1048" t="s">
        <v>414</v>
      </c>
      <c r="E23" s="1049"/>
      <c r="F23" s="1049"/>
      <c r="G23" s="1050"/>
      <c r="H23" s="942">
        <f>SUM('State DisAgg LFx10 (2015)'!H27:K29)/3</f>
        <v>2.3333333333333335</v>
      </c>
      <c r="I23" s="943"/>
      <c r="J23" s="943"/>
      <c r="K23" s="944"/>
      <c r="L23" s="942">
        <f>SUM('State DisAgg LFx10 (2015)'!L27:O29)/3</f>
        <v>2.3333333333333335</v>
      </c>
      <c r="M23" s="943"/>
      <c r="N23" s="943"/>
      <c r="O23" s="944"/>
      <c r="P23" s="942">
        <f>SUM('State DisAgg LFx10 (2015)'!P27:S29)/3</f>
        <v>2.5</v>
      </c>
      <c r="Q23" s="943"/>
      <c r="R23" s="943"/>
      <c r="S23" s="944"/>
      <c r="T23" s="1209" t="s">
        <v>1304</v>
      </c>
      <c r="U23" s="1210"/>
      <c r="V23" s="1210"/>
      <c r="W23" s="1211"/>
      <c r="X23" s="874"/>
    </row>
    <row r="24" spans="1:24" ht="12.95" customHeight="1" thickBot="1">
      <c r="A24" s="885"/>
      <c r="B24" s="885"/>
      <c r="C24" s="9" t="s">
        <v>234</v>
      </c>
      <c r="D24" s="957"/>
      <c r="E24" s="958"/>
      <c r="F24" s="958"/>
      <c r="G24" s="959"/>
      <c r="H24" s="1048"/>
      <c r="I24" s="1049"/>
      <c r="J24" s="1049"/>
      <c r="K24" s="1050"/>
      <c r="L24" s="1057" t="s">
        <v>909</v>
      </c>
      <c r="M24" s="1058"/>
      <c r="N24" s="1058"/>
      <c r="O24" s="1059"/>
      <c r="P24" s="963">
        <f>SUM('State DisAgg LFx10 (2015)'!P30:S31)/2</f>
        <v>2.6</v>
      </c>
      <c r="Q24" s="964"/>
      <c r="R24" s="964"/>
      <c r="S24" s="965"/>
      <c r="T24" s="963" t="s">
        <v>1294</v>
      </c>
      <c r="U24" s="964"/>
      <c r="V24" s="964"/>
      <c r="W24" s="965"/>
      <c r="X24" s="874"/>
    </row>
    <row r="25" spans="1:24" ht="13.5" thickBot="1">
      <c r="A25" s="885"/>
      <c r="B25" s="885"/>
      <c r="C25" s="102" t="s">
        <v>236</v>
      </c>
      <c r="D25" s="1045" t="s">
        <v>582</v>
      </c>
      <c r="E25" s="1046"/>
      <c r="F25" s="1046"/>
      <c r="G25" s="1047"/>
      <c r="H25" s="1147">
        <f>SUM('State DisAgg LFx10 (2015)'!H32:K36)/5</f>
        <v>2.5</v>
      </c>
      <c r="I25" s="1148"/>
      <c r="J25" s="1148"/>
      <c r="K25" s="1149"/>
      <c r="L25" s="1147">
        <f>SUM('State DisAgg LFx10 (2015)'!L32:O36)/5</f>
        <v>2.84</v>
      </c>
      <c r="M25" s="1148"/>
      <c r="N25" s="1148"/>
      <c r="O25" s="1149"/>
      <c r="P25" s="1185">
        <f>SUM('State DisAgg LFx10 (2015)'!P32:S36)/5</f>
        <v>3.1800000000000006</v>
      </c>
      <c r="Q25" s="1186"/>
      <c r="R25" s="1186"/>
      <c r="S25" s="1187"/>
      <c r="T25" s="1185" t="s">
        <v>1296</v>
      </c>
      <c r="U25" s="1186"/>
      <c r="V25" s="1186"/>
      <c r="W25" s="1187"/>
      <c r="X25" s="874"/>
    </row>
    <row r="26" spans="1:24" ht="13.5" thickBot="1">
      <c r="A26" s="885"/>
      <c r="B26" s="885"/>
      <c r="C26" s="102" t="s">
        <v>283</v>
      </c>
      <c r="D26" s="1017"/>
      <c r="E26" s="1018"/>
      <c r="F26" s="1018"/>
      <c r="G26" s="1019"/>
      <c r="H26" s="1017"/>
      <c r="I26" s="1018"/>
      <c r="J26" s="1018"/>
      <c r="K26" s="1019"/>
      <c r="L26" s="1147">
        <f>SUM('State DisAgg LFx10 (2015)'!L37:O39)/3</f>
        <v>2.3333333333333335</v>
      </c>
      <c r="M26" s="1148"/>
      <c r="N26" s="1148"/>
      <c r="O26" s="1149"/>
      <c r="P26" s="1147">
        <f>SUM('State DisAgg LFx10 (2015)'!P37:S39)/3</f>
        <v>2.4333333333333336</v>
      </c>
      <c r="Q26" s="1148"/>
      <c r="R26" s="1148"/>
      <c r="S26" s="1149"/>
      <c r="T26" s="1185" t="s">
        <v>1297</v>
      </c>
      <c r="U26" s="1186"/>
      <c r="V26" s="1186"/>
      <c r="W26" s="1187"/>
      <c r="X26" s="874"/>
    </row>
    <row r="27" spans="1:24" ht="13.5" thickBot="1">
      <c r="A27" s="885"/>
      <c r="B27" s="885"/>
      <c r="C27" s="102" t="s">
        <v>284</v>
      </c>
      <c r="D27" s="1017"/>
      <c r="E27" s="1018"/>
      <c r="F27" s="1018"/>
      <c r="G27" s="1019"/>
      <c r="H27" s="1017"/>
      <c r="I27" s="1018"/>
      <c r="J27" s="1018"/>
      <c r="K27" s="1019"/>
      <c r="L27" s="1017"/>
      <c r="M27" s="1018"/>
      <c r="N27" s="1018"/>
      <c r="O27" s="1019"/>
      <c r="P27" s="1017"/>
      <c r="Q27" s="1018"/>
      <c r="R27" s="1018"/>
      <c r="S27" s="1019"/>
      <c r="T27" s="1147" t="s">
        <v>1298</v>
      </c>
      <c r="U27" s="1148"/>
      <c r="V27" s="1148"/>
      <c r="W27" s="1149"/>
      <c r="X27" s="874"/>
    </row>
    <row r="28" spans="1:24" ht="13.5" thickBot="1">
      <c r="A28" s="885"/>
      <c r="B28" s="885"/>
      <c r="C28" s="1142" t="s">
        <v>413</v>
      </c>
      <c r="D28" s="927" t="s">
        <v>4</v>
      </c>
      <c r="E28" s="928"/>
      <c r="F28" s="928"/>
      <c r="G28" s="928"/>
      <c r="H28" s="928"/>
      <c r="I28" s="928"/>
      <c r="J28" s="928"/>
      <c r="K28" s="928"/>
      <c r="L28" s="928"/>
      <c r="M28" s="928"/>
      <c r="N28" s="928"/>
      <c r="O28" s="928"/>
      <c r="P28" s="928"/>
      <c r="Q28" s="928"/>
      <c r="R28" s="928"/>
      <c r="S28" s="928"/>
      <c r="T28" s="928"/>
      <c r="U28" s="928"/>
      <c r="V28" s="928"/>
      <c r="W28" s="928"/>
      <c r="X28" s="874"/>
    </row>
    <row r="29" spans="1:24" ht="13.5" thickBot="1">
      <c r="A29" s="885"/>
      <c r="B29" s="869"/>
      <c r="C29" s="1143"/>
      <c r="D29" s="930" t="s">
        <v>115</v>
      </c>
      <c r="E29" s="931"/>
      <c r="F29" s="931"/>
      <c r="G29" s="931"/>
      <c r="H29" s="931"/>
      <c r="I29" s="931"/>
      <c r="J29" s="931"/>
      <c r="K29" s="931"/>
      <c r="L29" s="931"/>
      <c r="M29" s="931"/>
      <c r="N29" s="931"/>
      <c r="O29" s="931"/>
      <c r="P29" s="931"/>
      <c r="Q29" s="931"/>
      <c r="R29" s="931"/>
      <c r="S29" s="931"/>
      <c r="T29" s="931"/>
      <c r="U29" s="931"/>
      <c r="V29" s="931"/>
      <c r="W29" s="932"/>
      <c r="X29" s="874"/>
    </row>
    <row r="30" spans="1:24" ht="13.5" thickBot="1">
      <c r="A30" s="885"/>
      <c r="B30" s="11" t="s">
        <v>25</v>
      </c>
      <c r="C30" s="12"/>
      <c r="D30" s="927" t="s">
        <v>78</v>
      </c>
      <c r="E30" s="928"/>
      <c r="F30" s="928"/>
      <c r="G30" s="929"/>
      <c r="H30" s="927" t="s">
        <v>77</v>
      </c>
      <c r="I30" s="928"/>
      <c r="J30" s="928"/>
      <c r="K30" s="929"/>
      <c r="L30" s="927" t="s">
        <v>81</v>
      </c>
      <c r="M30" s="928"/>
      <c r="N30" s="928"/>
      <c r="O30" s="929"/>
      <c r="P30" s="927" t="s">
        <v>254</v>
      </c>
      <c r="Q30" s="928"/>
      <c r="R30" s="928"/>
      <c r="S30" s="929"/>
      <c r="T30" s="927" t="s">
        <v>76</v>
      </c>
      <c r="U30" s="928"/>
      <c r="V30" s="928"/>
      <c r="W30" s="929"/>
      <c r="X30" s="874"/>
    </row>
    <row r="31" spans="1:24" ht="13.5" thickBot="1">
      <c r="A31" s="885"/>
      <c r="B31" s="868" t="s">
        <v>49</v>
      </c>
      <c r="C31" s="9" t="s">
        <v>235</v>
      </c>
      <c r="D31" s="942">
        <f>SUM('State DisAgg LFx10 (2015)'!D45:G49)/5</f>
        <v>1</v>
      </c>
      <c r="E31" s="943"/>
      <c r="F31" s="943"/>
      <c r="G31" s="944"/>
      <c r="H31" s="942">
        <f>SUM('State DisAgg LFx10 (2015)'!H45:K49)/5</f>
        <v>1</v>
      </c>
      <c r="I31" s="943"/>
      <c r="J31" s="943"/>
      <c r="K31" s="944"/>
      <c r="L31" s="942">
        <f>SUM('State DisAgg LFx10 (2015)'!L45:O49)/5</f>
        <v>1.5</v>
      </c>
      <c r="M31" s="943"/>
      <c r="N31" s="943"/>
      <c r="O31" s="944"/>
      <c r="P31" s="963">
        <f>SUM('State DisAgg LFx10 (2015)'!P45:S49)/5</f>
        <v>2.0100000000000002</v>
      </c>
      <c r="Q31" s="964"/>
      <c r="R31" s="964"/>
      <c r="S31" s="965"/>
      <c r="T31" s="1188" t="s">
        <v>1299</v>
      </c>
      <c r="U31" s="1189"/>
      <c r="V31" s="1189"/>
      <c r="W31" s="1190"/>
      <c r="X31" s="874"/>
    </row>
    <row r="32" spans="1:24" ht="13.5" thickBot="1">
      <c r="A32" s="885"/>
      <c r="B32" s="885"/>
      <c r="C32" s="9" t="s">
        <v>233</v>
      </c>
      <c r="D32" s="1048" t="s">
        <v>414</v>
      </c>
      <c r="E32" s="1049"/>
      <c r="F32" s="1049"/>
      <c r="G32" s="1050"/>
      <c r="H32" s="942">
        <f>SUM('State DisAgg LFx10 (2015)'!H50:K52)/3</f>
        <v>1</v>
      </c>
      <c r="I32" s="943"/>
      <c r="J32" s="943"/>
      <c r="K32" s="944"/>
      <c r="L32" s="942">
        <f>SUM('State DisAgg LFx10 (2015)'!L50:O52)/3</f>
        <v>1</v>
      </c>
      <c r="M32" s="943"/>
      <c r="N32" s="943"/>
      <c r="O32" s="944"/>
      <c r="P32" s="942">
        <f>SUM('State DisAgg LFx10 (2015)'!P50:S52)/3</f>
        <v>1.2</v>
      </c>
      <c r="Q32" s="943"/>
      <c r="R32" s="943"/>
      <c r="S32" s="944"/>
      <c r="T32" s="1188" t="s">
        <v>1300</v>
      </c>
      <c r="U32" s="1189"/>
      <c r="V32" s="1189"/>
      <c r="W32" s="1190"/>
      <c r="X32" s="874"/>
    </row>
    <row r="33" spans="1:24" ht="12.95" customHeight="1" thickBot="1">
      <c r="A33" s="885"/>
      <c r="B33" s="885"/>
      <c r="C33" s="9" t="s">
        <v>234</v>
      </c>
      <c r="D33" s="957"/>
      <c r="E33" s="958"/>
      <c r="F33" s="958"/>
      <c r="G33" s="959"/>
      <c r="H33" s="1048"/>
      <c r="I33" s="1049"/>
      <c r="J33" s="1049"/>
      <c r="K33" s="1050"/>
      <c r="L33" s="1057" t="s">
        <v>909</v>
      </c>
      <c r="M33" s="1058"/>
      <c r="N33" s="1058"/>
      <c r="O33" s="1059"/>
      <c r="P33" s="963">
        <f>SUM('State DisAgg LFx10 (2015)'!P53:S54)/2</f>
        <v>0.6</v>
      </c>
      <c r="Q33" s="964"/>
      <c r="R33" s="964"/>
      <c r="S33" s="965"/>
      <c r="T33" s="963" t="s">
        <v>1301</v>
      </c>
      <c r="U33" s="964"/>
      <c r="V33" s="964"/>
      <c r="W33" s="965"/>
      <c r="X33" s="874"/>
    </row>
    <row r="34" spans="1:24" ht="13.5" thickBot="1">
      <c r="A34" s="885"/>
      <c r="B34" s="885"/>
      <c r="C34" s="102" t="s">
        <v>236</v>
      </c>
      <c r="D34" s="1008" t="s">
        <v>595</v>
      </c>
      <c r="E34" s="1009"/>
      <c r="F34" s="1009"/>
      <c r="G34" s="1010"/>
      <c r="H34" s="1147">
        <f>SUM('State DisAgg LFx10 (2015)'!H55:K59)/5</f>
        <v>1.6</v>
      </c>
      <c r="I34" s="1148"/>
      <c r="J34" s="1148"/>
      <c r="K34" s="1149"/>
      <c r="L34" s="1147">
        <f>SUM('State DisAgg LFx10 (2015)'!L55:O59)/5</f>
        <v>2.2000000000000002</v>
      </c>
      <c r="M34" s="1148"/>
      <c r="N34" s="1148"/>
      <c r="O34" s="1149"/>
      <c r="P34" s="1185">
        <f>SUM('State DisAgg LFx10 (2015)'!P55:S59)/5</f>
        <v>2.6</v>
      </c>
      <c r="Q34" s="1186"/>
      <c r="R34" s="1186"/>
      <c r="S34" s="1187"/>
      <c r="T34" s="1185" t="s">
        <v>1302</v>
      </c>
      <c r="U34" s="1186"/>
      <c r="V34" s="1186"/>
      <c r="W34" s="1187"/>
      <c r="X34" s="874"/>
    </row>
    <row r="35" spans="1:24" ht="13.5" thickBot="1">
      <c r="A35" s="885"/>
      <c r="B35" s="885"/>
      <c r="C35" s="102" t="s">
        <v>283</v>
      </c>
      <c r="D35" s="1017"/>
      <c r="E35" s="1018"/>
      <c r="F35" s="1018"/>
      <c r="G35" s="1019"/>
      <c r="H35" s="1017"/>
      <c r="I35" s="1018"/>
      <c r="J35" s="1018"/>
      <c r="K35" s="1019"/>
      <c r="L35" s="1147">
        <f>SUM('State DisAgg LFx10 (2015)'!L60:O62)/3</f>
        <v>1</v>
      </c>
      <c r="M35" s="1148"/>
      <c r="N35" s="1148"/>
      <c r="O35" s="1149"/>
      <c r="P35" s="1185">
        <f>SUM('State DisAgg LFx10 (2015)'!P60:S62)/3</f>
        <v>1.8333333333333333</v>
      </c>
      <c r="Q35" s="1186"/>
      <c r="R35" s="1186"/>
      <c r="S35" s="1187"/>
      <c r="T35" s="1185" t="s">
        <v>1302</v>
      </c>
      <c r="U35" s="1186"/>
      <c r="V35" s="1186"/>
      <c r="W35" s="1187"/>
      <c r="X35" s="874"/>
    </row>
    <row r="36" spans="1:24" ht="13.5" thickBot="1">
      <c r="A36" s="885"/>
      <c r="B36" s="885"/>
      <c r="C36" s="102" t="s">
        <v>284</v>
      </c>
      <c r="D36" s="1017"/>
      <c r="E36" s="1018"/>
      <c r="F36" s="1018"/>
      <c r="G36" s="1019"/>
      <c r="H36" s="1017"/>
      <c r="I36" s="1018"/>
      <c r="J36" s="1018"/>
      <c r="K36" s="1019"/>
      <c r="L36" s="1017"/>
      <c r="M36" s="1018"/>
      <c r="N36" s="1018"/>
      <c r="O36" s="1019"/>
      <c r="P36" s="1017"/>
      <c r="Q36" s="1018"/>
      <c r="R36" s="1018"/>
      <c r="S36" s="1019"/>
      <c r="T36" s="1147" t="s">
        <v>1298</v>
      </c>
      <c r="U36" s="1148"/>
      <c r="V36" s="1148"/>
      <c r="W36" s="1149"/>
      <c r="X36" s="874"/>
    </row>
    <row r="37" spans="1:24" ht="13.5" thickBot="1">
      <c r="A37" s="885"/>
      <c r="B37" s="885"/>
      <c r="C37" s="1142" t="s">
        <v>413</v>
      </c>
      <c r="D37" s="927" t="s">
        <v>4</v>
      </c>
      <c r="E37" s="928"/>
      <c r="F37" s="928"/>
      <c r="G37" s="928"/>
      <c r="H37" s="928"/>
      <c r="I37" s="928"/>
      <c r="J37" s="928"/>
      <c r="K37" s="928"/>
      <c r="L37" s="928"/>
      <c r="M37" s="928"/>
      <c r="N37" s="928"/>
      <c r="O37" s="928"/>
      <c r="P37" s="928"/>
      <c r="Q37" s="928"/>
      <c r="R37" s="928"/>
      <c r="S37" s="928"/>
      <c r="T37" s="928"/>
      <c r="U37" s="928"/>
      <c r="V37" s="928"/>
      <c r="W37" s="928"/>
      <c r="X37" s="874"/>
    </row>
    <row r="38" spans="1:24" ht="13.5" thickBot="1">
      <c r="A38" s="885"/>
      <c r="B38" s="869"/>
      <c r="C38" s="1143"/>
      <c r="D38" s="930" t="s">
        <v>116</v>
      </c>
      <c r="E38" s="931"/>
      <c r="F38" s="931"/>
      <c r="G38" s="931"/>
      <c r="H38" s="931"/>
      <c r="I38" s="931"/>
      <c r="J38" s="931"/>
      <c r="K38" s="931"/>
      <c r="L38" s="931"/>
      <c r="M38" s="931"/>
      <c r="N38" s="931"/>
      <c r="O38" s="931"/>
      <c r="P38" s="931"/>
      <c r="Q38" s="931"/>
      <c r="R38" s="931"/>
      <c r="S38" s="931"/>
      <c r="T38" s="931"/>
      <c r="U38" s="931"/>
      <c r="V38" s="931"/>
      <c r="W38" s="932"/>
      <c r="X38" s="874"/>
    </row>
    <row r="39" spans="1:24" ht="13.5" thickBot="1">
      <c r="A39" s="885"/>
      <c r="B39" s="11" t="s">
        <v>37</v>
      </c>
      <c r="C39" s="12"/>
      <c r="D39" s="927" t="s">
        <v>78</v>
      </c>
      <c r="E39" s="928"/>
      <c r="F39" s="928"/>
      <c r="G39" s="929"/>
      <c r="H39" s="927" t="s">
        <v>77</v>
      </c>
      <c r="I39" s="928"/>
      <c r="J39" s="928"/>
      <c r="K39" s="929"/>
      <c r="L39" s="927" t="s">
        <v>81</v>
      </c>
      <c r="M39" s="928"/>
      <c r="N39" s="928"/>
      <c r="O39" s="929"/>
      <c r="P39" s="927" t="s">
        <v>254</v>
      </c>
      <c r="Q39" s="928"/>
      <c r="R39" s="928"/>
      <c r="S39" s="929"/>
      <c r="T39" s="927" t="s">
        <v>76</v>
      </c>
      <c r="U39" s="928"/>
      <c r="V39" s="928"/>
      <c r="W39" s="929"/>
      <c r="X39" s="874"/>
    </row>
    <row r="40" spans="1:24" ht="33" customHeight="1" thickBot="1">
      <c r="A40" s="971"/>
      <c r="B40" s="868" t="s">
        <v>148</v>
      </c>
      <c r="C40" s="91"/>
      <c r="D40" s="17" t="s">
        <v>106</v>
      </c>
      <c r="E40" s="17" t="s">
        <v>107</v>
      </c>
      <c r="F40" s="17" t="s">
        <v>108</v>
      </c>
      <c r="G40" s="17" t="s">
        <v>109</v>
      </c>
      <c r="H40" s="17" t="s">
        <v>106</v>
      </c>
      <c r="I40" s="17" t="s">
        <v>107</v>
      </c>
      <c r="J40" s="17" t="s">
        <v>108</v>
      </c>
      <c r="K40" s="17" t="s">
        <v>109</v>
      </c>
      <c r="L40" s="17" t="s">
        <v>106</v>
      </c>
      <c r="M40" s="17" t="s">
        <v>107</v>
      </c>
      <c r="N40" s="17" t="s">
        <v>108</v>
      </c>
      <c r="O40" s="17" t="s">
        <v>109</v>
      </c>
      <c r="P40" s="17" t="s">
        <v>106</v>
      </c>
      <c r="Q40" s="17" t="s">
        <v>107</v>
      </c>
      <c r="R40" s="17" t="s">
        <v>108</v>
      </c>
      <c r="S40" s="17" t="s">
        <v>109</v>
      </c>
      <c r="T40" s="17" t="s">
        <v>106</v>
      </c>
      <c r="U40" s="17" t="s">
        <v>107</v>
      </c>
      <c r="V40" s="17" t="s">
        <v>108</v>
      </c>
      <c r="W40" s="17" t="s">
        <v>109</v>
      </c>
      <c r="X40" s="874"/>
    </row>
    <row r="41" spans="1:24" ht="36.75" thickBot="1">
      <c r="A41" s="971"/>
      <c r="B41" s="885"/>
      <c r="C41" s="91" t="s">
        <v>235</v>
      </c>
      <c r="D41" s="104">
        <f>SUM('State DisAgg LFx10 (2015)'!D69:D73)/5</f>
        <v>3.2</v>
      </c>
      <c r="E41" s="104">
        <f>SUM('State DisAgg LFx10 (2015)'!E69:E73)/5</f>
        <v>3.8</v>
      </c>
      <c r="F41" s="104">
        <f>SUM('State DisAgg LFx10 (2015)'!F69:F73)/5</f>
        <v>0.2</v>
      </c>
      <c r="G41" s="104">
        <f>SUM('State DisAgg LFx10 (2015)'!G69:G73)/5</f>
        <v>7.8</v>
      </c>
      <c r="H41" s="104">
        <f>SUM('State DisAgg LFx10 (2015)'!H69:H73)/5</f>
        <v>5.2</v>
      </c>
      <c r="I41" s="104">
        <f>SUM('State DisAgg LFx10 (2015)'!I69:I73)/5</f>
        <v>7.2</v>
      </c>
      <c r="J41" s="104">
        <f>SUM('State DisAgg LFx10 (2015)'!J69:J73)/5</f>
        <v>0.8</v>
      </c>
      <c r="K41" s="104">
        <f>SUM('State DisAgg LFx10 (2015)'!K69:K73)/5</f>
        <v>9.6</v>
      </c>
      <c r="L41" s="150">
        <f>SUM('State DisAgg LFx10 (2015)'!L69:L73)/5</f>
        <v>6</v>
      </c>
      <c r="M41" s="150">
        <f>SUM('State DisAgg LFx10 (2015)'!M69:M73)/5</f>
        <v>9.1999999999999993</v>
      </c>
      <c r="N41" s="150">
        <f>SUM('State DisAgg LFx10 (2015)'!N69:N73)/5</f>
        <v>2.6</v>
      </c>
      <c r="O41" s="150">
        <f>SUM('State DisAgg LFx10 (2015)'!O69:O73)/5</f>
        <v>14</v>
      </c>
      <c r="P41" s="150">
        <f>SUM('State DisAgg LFx10 (2015)'!P69:P73)/5</f>
        <v>9</v>
      </c>
      <c r="Q41" s="150">
        <f>SUM('State DisAgg LFx10 (2015)'!Q69:Q73)/5</f>
        <v>11.6</v>
      </c>
      <c r="R41" s="150">
        <f>SUM('State DisAgg LFx10 (2015)'!R69:R73)/5</f>
        <v>3.4</v>
      </c>
      <c r="S41" s="150">
        <f>SUM('State DisAgg LFx10 (2015)'!S69:S73)/5</f>
        <v>14</v>
      </c>
      <c r="T41" s="825" t="s">
        <v>1501</v>
      </c>
      <c r="U41" s="825" t="s">
        <v>1346</v>
      </c>
      <c r="V41" s="785" t="s">
        <v>1341</v>
      </c>
      <c r="W41" s="795" t="s">
        <v>1342</v>
      </c>
      <c r="X41" s="874"/>
    </row>
    <row r="42" spans="1:24" ht="36.75" thickBot="1">
      <c r="A42" s="971"/>
      <c r="B42" s="764" t="s">
        <v>145</v>
      </c>
      <c r="C42" s="91" t="s">
        <v>233</v>
      </c>
      <c r="D42" s="1051" t="s">
        <v>414</v>
      </c>
      <c r="E42" s="1052"/>
      <c r="F42" s="1052"/>
      <c r="G42" s="1053"/>
      <c r="H42" s="104">
        <f>SUM('State DisAgg LFx10 (2015)'!H74:H76)/3</f>
        <v>0.33333333333333331</v>
      </c>
      <c r="I42" s="104">
        <f>SUM('State DisAgg LFx10 (2015)'!I74:I76)/3</f>
        <v>0.33333333333333331</v>
      </c>
      <c r="J42" s="104">
        <f>SUM('State DisAgg LFx10 (2015)'!J74:J76)/3</f>
        <v>0</v>
      </c>
      <c r="K42" s="104">
        <f>SUM('State DisAgg LFx10 (2015)'!K74:K76)/3</f>
        <v>12.333333333333334</v>
      </c>
      <c r="L42" s="150">
        <f>SUM('State DisAgg LFx10 (2015)'!L74:L76)/3</f>
        <v>1</v>
      </c>
      <c r="M42" s="150">
        <f>SUM('State DisAgg LFx10 (2015)'!M74:M76)/3</f>
        <v>1</v>
      </c>
      <c r="N42" s="150">
        <f>SUM('State DisAgg LFx10 (2015)'!N74:N76)/3</f>
        <v>0.66666666666666663</v>
      </c>
      <c r="O42" s="150">
        <f>SUM('State DisAgg LFx10 (2015)'!O74:O76)/3</f>
        <v>12.333333333333334</v>
      </c>
      <c r="P42" s="150">
        <f>SUM('State DisAgg LFx10 (2015)'!P74:P76)/3</f>
        <v>2.6666666666666665</v>
      </c>
      <c r="Q42" s="150">
        <f>SUM('State DisAgg LFx10 (2015)'!Q74:Q76)/3</f>
        <v>2.6666666666666665</v>
      </c>
      <c r="R42" s="150">
        <f>SUM('State DisAgg LFx10 (2015)'!R74:R76)/3</f>
        <v>1.6666666666666667</v>
      </c>
      <c r="S42" s="150">
        <f>SUM('State DisAgg LFx10 (2015)'!S74:S76)/3</f>
        <v>13.666666666666666</v>
      </c>
      <c r="T42" s="785" t="s">
        <v>1343</v>
      </c>
      <c r="U42" s="796" t="s">
        <v>1343</v>
      </c>
      <c r="V42" s="785" t="s">
        <v>1344</v>
      </c>
      <c r="W42" s="795" t="s">
        <v>1342</v>
      </c>
      <c r="X42" s="874"/>
    </row>
    <row r="43" spans="1:24" ht="36.75" thickBot="1">
      <c r="A43" s="971"/>
      <c r="B43" s="764" t="s">
        <v>147</v>
      </c>
      <c r="C43" s="91" t="s">
        <v>234</v>
      </c>
      <c r="D43" s="945"/>
      <c r="E43" s="946"/>
      <c r="F43" s="946"/>
      <c r="G43" s="947"/>
      <c r="H43" s="1048"/>
      <c r="I43" s="1049"/>
      <c r="J43" s="1049"/>
      <c r="K43" s="1050"/>
      <c r="L43" s="1057" t="s">
        <v>910</v>
      </c>
      <c r="M43" s="1058"/>
      <c r="N43" s="1058"/>
      <c r="O43" s="1059"/>
      <c r="P43" s="150">
        <f>SUM('State DisAgg LFx10 (2015)'!P77:P78)/2</f>
        <v>13.5</v>
      </c>
      <c r="Q43" s="150">
        <f>SUM('State DisAgg LFx10 (2015)'!Q77:Q78)/2</f>
        <v>13.5</v>
      </c>
      <c r="R43" s="150">
        <f>SUM('State DisAgg LFx10 (2015)'!R77:R78)/2</f>
        <v>12</v>
      </c>
      <c r="S43" s="150">
        <f>SUM('State DisAgg LFx10 (2015)'!S77:S78)/2</f>
        <v>13.5</v>
      </c>
      <c r="T43" s="104" t="s">
        <v>1345</v>
      </c>
      <c r="U43" s="104" t="s">
        <v>1345</v>
      </c>
      <c r="V43" s="104" t="s">
        <v>1346</v>
      </c>
      <c r="W43" s="104" t="s">
        <v>1345</v>
      </c>
      <c r="X43" s="874"/>
    </row>
    <row r="44" spans="1:24" ht="24.75" thickBot="1">
      <c r="A44" s="971"/>
      <c r="B44" s="764" t="s">
        <v>146</v>
      </c>
      <c r="C44" s="103" t="s">
        <v>236</v>
      </c>
      <c r="D44" s="1042" t="s">
        <v>594</v>
      </c>
      <c r="E44" s="1043"/>
      <c r="F44" s="1043"/>
      <c r="G44" s="1044"/>
      <c r="H44" s="105">
        <f>SUM('State DisAgg LFx10 (2015)'!H79:H83)/5</f>
        <v>5.5</v>
      </c>
      <c r="I44" s="105">
        <f>SUM('State DisAgg LFx10 (2015)'!I79:I83)/5</f>
        <v>5.8</v>
      </c>
      <c r="J44" s="105">
        <f>SUM('State DisAgg LFx10 (2015)'!J79:J83)/5</f>
        <v>2.6</v>
      </c>
      <c r="K44" s="105">
        <f>SUM('State DisAgg LFx10 (2015)'!K79:K83)/5</f>
        <v>8.9</v>
      </c>
      <c r="L44" s="105">
        <f>SUM('State DisAgg LFx10 (2015)'!L79:L83)/5</f>
        <v>5.8</v>
      </c>
      <c r="M44" s="105">
        <f>SUM('State DisAgg LFx10 (2015)'!M79:M83)/5</f>
        <v>8.6</v>
      </c>
      <c r="N44" s="105">
        <f>SUM('State DisAgg LFx10 (2015)'!N79:N83)/5</f>
        <v>2.2000000000000002</v>
      </c>
      <c r="O44" s="105">
        <f>SUM('State DisAgg LFx10 (2015)'!O79:O83)/5</f>
        <v>13.8</v>
      </c>
      <c r="P44" s="105">
        <f>SUM('State DisAgg LFx10 (2015)'!P79:P83)/5</f>
        <v>7.4</v>
      </c>
      <c r="Q44" s="105">
        <f>SUM('State DisAgg LFx10 (2015)'!Q79:Q83)/5</f>
        <v>10.4</v>
      </c>
      <c r="R44" s="105">
        <f>SUM('State DisAgg LFx10 (2015)'!R79:R83)/5</f>
        <v>2.2000000000000002</v>
      </c>
      <c r="S44" s="105">
        <f>SUM('State DisAgg LFx10 (2015)'!S79:S83)/5</f>
        <v>14.4</v>
      </c>
      <c r="T44" s="105" t="s">
        <v>1355</v>
      </c>
      <c r="U44" s="105" t="s">
        <v>1356</v>
      </c>
      <c r="V44" s="819" t="s">
        <v>1357</v>
      </c>
      <c r="W44" s="105" t="s">
        <v>1358</v>
      </c>
      <c r="X44" s="874"/>
    </row>
    <row r="45" spans="1:24" ht="24.75" thickBot="1">
      <c r="A45" s="971"/>
      <c r="B45" s="764"/>
      <c r="C45" s="102" t="s">
        <v>283</v>
      </c>
      <c r="D45" s="1054"/>
      <c r="E45" s="1055"/>
      <c r="F45" s="1055"/>
      <c r="G45" s="1056"/>
      <c r="H45" s="1054"/>
      <c r="I45" s="1055"/>
      <c r="J45" s="1055"/>
      <c r="K45" s="1056"/>
      <c r="L45" s="105">
        <f>SUM('State DisAgg LFx10 (2015)'!L84:L86)/3</f>
        <v>1</v>
      </c>
      <c r="M45" s="105">
        <f>SUM('State DisAgg LFx10 (2015)'!M84:M86)/3</f>
        <v>1</v>
      </c>
      <c r="N45" s="105">
        <f>SUM('State DisAgg LFx10 (2015)'!N84:N86)/3</f>
        <v>0.66666666666666663</v>
      </c>
      <c r="O45" s="105">
        <f>SUM('State DisAgg LFx10 (2015)'!O84:O86)/3</f>
        <v>12.333333333333334</v>
      </c>
      <c r="P45" s="105">
        <f>SUM('State DisAgg LFx10 (2015)'!P84:P86)/3</f>
        <v>2.6666666666666665</v>
      </c>
      <c r="Q45" s="105">
        <f>SUM('State DisAgg LFx10 (2015)'!Q84:Q86)/3</f>
        <v>2.6666666666666665</v>
      </c>
      <c r="R45" s="105">
        <f>SUM('State DisAgg LFx10 (2015)'!R84:R86)/3</f>
        <v>0.66666666666666663</v>
      </c>
      <c r="S45" s="105">
        <f>SUM('State DisAgg LFx10 (2015)'!S84:S86)/3</f>
        <v>14.333333333333334</v>
      </c>
      <c r="T45" s="819" t="s">
        <v>1359</v>
      </c>
      <c r="U45" s="819" t="s">
        <v>1360</v>
      </c>
      <c r="V45" s="819" t="s">
        <v>1361</v>
      </c>
      <c r="W45" s="105" t="s">
        <v>1358</v>
      </c>
      <c r="X45" s="874"/>
    </row>
    <row r="46" spans="1:24" ht="24.75" thickBot="1">
      <c r="A46" s="971"/>
      <c r="B46" s="764"/>
      <c r="C46" s="102" t="s">
        <v>284</v>
      </c>
      <c r="D46" s="1054"/>
      <c r="E46" s="1055"/>
      <c r="F46" s="1055"/>
      <c r="G46" s="1056"/>
      <c r="H46" s="1054"/>
      <c r="I46" s="1055"/>
      <c r="J46" s="1055"/>
      <c r="K46" s="1056"/>
      <c r="L46" s="1054"/>
      <c r="M46" s="1055"/>
      <c r="N46" s="1055"/>
      <c r="O46" s="1056"/>
      <c r="P46" s="1017"/>
      <c r="Q46" s="1018"/>
      <c r="R46" s="1018"/>
      <c r="S46" s="1019"/>
      <c r="T46" s="105" t="s">
        <v>1295</v>
      </c>
      <c r="U46" s="105" t="s">
        <v>1295</v>
      </c>
      <c r="V46" s="105" t="s">
        <v>1295</v>
      </c>
      <c r="W46" s="105" t="s">
        <v>1295</v>
      </c>
      <c r="X46" s="874"/>
    </row>
    <row r="47" spans="1:24" ht="13.5" thickBot="1">
      <c r="A47" s="971"/>
      <c r="B47" s="980"/>
      <c r="C47" s="1142" t="s">
        <v>413</v>
      </c>
      <c r="D47" s="927" t="s">
        <v>4</v>
      </c>
      <c r="E47" s="928"/>
      <c r="F47" s="928"/>
      <c r="G47" s="928"/>
      <c r="H47" s="928"/>
      <c r="I47" s="928"/>
      <c r="J47" s="928"/>
      <c r="K47" s="928"/>
      <c r="L47" s="928"/>
      <c r="M47" s="928"/>
      <c r="N47" s="928"/>
      <c r="O47" s="928"/>
      <c r="P47" s="928"/>
      <c r="Q47" s="928"/>
      <c r="R47" s="928"/>
      <c r="S47" s="928"/>
      <c r="T47" s="928"/>
      <c r="U47" s="928"/>
      <c r="V47" s="928"/>
      <c r="W47" s="928"/>
      <c r="X47" s="874"/>
    </row>
    <row r="48" spans="1:24" ht="13.5" thickBot="1">
      <c r="A48" s="982"/>
      <c r="B48" s="981"/>
      <c r="C48" s="1143"/>
      <c r="D48" s="930" t="s">
        <v>117</v>
      </c>
      <c r="E48" s="931"/>
      <c r="F48" s="931"/>
      <c r="G48" s="931"/>
      <c r="H48" s="931"/>
      <c r="I48" s="931"/>
      <c r="J48" s="931"/>
      <c r="K48" s="931"/>
      <c r="L48" s="931"/>
      <c r="M48" s="931"/>
      <c r="N48" s="931"/>
      <c r="O48" s="931"/>
      <c r="P48" s="931"/>
      <c r="Q48" s="931"/>
      <c r="R48" s="931"/>
      <c r="S48" s="931"/>
      <c r="T48" s="931"/>
      <c r="U48" s="931"/>
      <c r="V48" s="931"/>
      <c r="W48" s="932"/>
      <c r="X48" s="875"/>
    </row>
    <row r="49" spans="1:24">
      <c r="A49" s="5"/>
      <c r="B49" s="5"/>
      <c r="C49" s="14"/>
      <c r="D49" s="5"/>
      <c r="E49" s="5"/>
      <c r="F49" s="5"/>
      <c r="G49" s="5"/>
      <c r="H49" s="5"/>
      <c r="I49" s="5"/>
      <c r="J49" s="5"/>
      <c r="K49" s="5"/>
      <c r="L49" s="5"/>
      <c r="M49" s="5"/>
      <c r="N49" s="5"/>
      <c r="O49" s="5"/>
      <c r="P49" s="5"/>
      <c r="Q49" s="5"/>
      <c r="R49" s="5"/>
      <c r="S49" s="5"/>
      <c r="T49" s="5"/>
      <c r="U49" s="5"/>
      <c r="V49" s="5"/>
      <c r="W49" s="5"/>
      <c r="X49" s="5"/>
    </row>
    <row r="50" spans="1:24" ht="13.5" thickBot="1">
      <c r="A50" s="5"/>
      <c r="B50" s="5"/>
      <c r="C50" s="6"/>
      <c r="D50" s="5"/>
      <c r="E50" s="5"/>
      <c r="F50" s="5"/>
      <c r="G50" s="5"/>
      <c r="H50" s="5"/>
      <c r="I50" s="5"/>
      <c r="J50" s="5"/>
      <c r="K50" s="5"/>
      <c r="L50" s="5"/>
      <c r="M50" s="5"/>
      <c r="N50" s="5"/>
      <c r="O50" s="5"/>
      <c r="P50" s="5"/>
      <c r="Q50" s="5"/>
      <c r="R50" s="5"/>
      <c r="S50" s="5"/>
      <c r="T50" s="5"/>
      <c r="U50" s="5"/>
      <c r="V50" s="5"/>
      <c r="W50" s="5"/>
      <c r="X50" s="5"/>
    </row>
    <row r="51" spans="1:24" ht="13.5" thickBot="1">
      <c r="A51" s="772" t="s">
        <v>5</v>
      </c>
      <c r="B51" s="773" t="s">
        <v>22</v>
      </c>
      <c r="C51" s="8"/>
      <c r="D51" s="927" t="s">
        <v>78</v>
      </c>
      <c r="E51" s="928"/>
      <c r="F51" s="928"/>
      <c r="G51" s="929"/>
      <c r="H51" s="927" t="s">
        <v>77</v>
      </c>
      <c r="I51" s="928"/>
      <c r="J51" s="928"/>
      <c r="K51" s="929"/>
      <c r="L51" s="927" t="s">
        <v>81</v>
      </c>
      <c r="M51" s="928"/>
      <c r="N51" s="928"/>
      <c r="O51" s="929"/>
      <c r="P51" s="927" t="s">
        <v>254</v>
      </c>
      <c r="Q51" s="928"/>
      <c r="R51" s="928"/>
      <c r="S51" s="929"/>
      <c r="T51" s="927" t="s">
        <v>76</v>
      </c>
      <c r="U51" s="928"/>
      <c r="V51" s="928"/>
      <c r="W51" s="929"/>
      <c r="X51" s="19" t="s">
        <v>6</v>
      </c>
    </row>
    <row r="52" spans="1:24" ht="13.5" thickBot="1">
      <c r="A52" s="868" t="s">
        <v>54</v>
      </c>
      <c r="B52" s="868" t="s">
        <v>55</v>
      </c>
      <c r="C52" s="9" t="s">
        <v>235</v>
      </c>
      <c r="D52" s="942">
        <f>SUM('State DisAgg LFx10 (2015)'!D94:G98)/5</f>
        <v>2.16</v>
      </c>
      <c r="E52" s="943"/>
      <c r="F52" s="943"/>
      <c r="G52" s="944"/>
      <c r="H52" s="942">
        <f>SUM('State DisAgg LFx10 (2015)'!H94:K98)/5</f>
        <v>2.2600000000000002</v>
      </c>
      <c r="I52" s="943"/>
      <c r="J52" s="943"/>
      <c r="K52" s="944"/>
      <c r="L52" s="942">
        <f>SUM('State DisAgg LFx10 (2015)'!L94:O98)/5</f>
        <v>2.88</v>
      </c>
      <c r="M52" s="943"/>
      <c r="N52" s="943"/>
      <c r="O52" s="944"/>
      <c r="P52" s="942">
        <f>SUM('State DisAgg LFx10 (2015)'!P94:S98)/5</f>
        <v>3.16</v>
      </c>
      <c r="Q52" s="943"/>
      <c r="R52" s="943"/>
      <c r="S52" s="944"/>
      <c r="T52" s="1212" t="s">
        <v>1303</v>
      </c>
      <c r="U52" s="1213"/>
      <c r="V52" s="1213"/>
      <c r="W52" s="1214"/>
      <c r="X52" s="879" t="s">
        <v>95</v>
      </c>
    </row>
    <row r="53" spans="1:24" ht="13.5" thickBot="1">
      <c r="A53" s="885"/>
      <c r="B53" s="885"/>
      <c r="C53" s="9" t="s">
        <v>233</v>
      </c>
      <c r="D53" s="1048" t="s">
        <v>414</v>
      </c>
      <c r="E53" s="1049"/>
      <c r="F53" s="1049"/>
      <c r="G53" s="1050"/>
      <c r="H53" s="942">
        <f>SUM('State DisAgg LFx10 (2015)'!H99:K101)/3</f>
        <v>2.1666666666666665</v>
      </c>
      <c r="I53" s="943"/>
      <c r="J53" s="943"/>
      <c r="K53" s="944"/>
      <c r="L53" s="942">
        <f>SUM('State DisAgg LFx10 (2015)'!L99:O101)/3</f>
        <v>2.1666666666666665</v>
      </c>
      <c r="M53" s="943"/>
      <c r="N53" s="943"/>
      <c r="O53" s="944"/>
      <c r="P53" s="942">
        <f>SUM('State DisAgg LFx10 (2015)'!P99:S101)/3</f>
        <v>2.3666666666666667</v>
      </c>
      <c r="Q53" s="943"/>
      <c r="R53" s="943"/>
      <c r="S53" s="944"/>
      <c r="T53" s="1188" t="s">
        <v>1502</v>
      </c>
      <c r="U53" s="1189"/>
      <c r="V53" s="1189"/>
      <c r="W53" s="1190"/>
      <c r="X53" s="880"/>
    </row>
    <row r="54" spans="1:24" ht="12.95" customHeight="1" thickBot="1">
      <c r="A54" s="885"/>
      <c r="B54" s="885"/>
      <c r="C54" s="9" t="s">
        <v>234</v>
      </c>
      <c r="D54" s="957"/>
      <c r="E54" s="958"/>
      <c r="F54" s="958"/>
      <c r="G54" s="959"/>
      <c r="H54" s="1048"/>
      <c r="I54" s="1049"/>
      <c r="J54" s="1049"/>
      <c r="K54" s="1050"/>
      <c r="L54" s="1057" t="s">
        <v>909</v>
      </c>
      <c r="M54" s="1058"/>
      <c r="N54" s="1058"/>
      <c r="O54" s="1059"/>
      <c r="P54" s="963">
        <f>SUM('State DisAgg LFx10 (2015)'!P102:S103)/2</f>
        <v>2.2999999999999998</v>
      </c>
      <c r="Q54" s="964"/>
      <c r="R54" s="964"/>
      <c r="S54" s="965"/>
      <c r="T54" s="963" t="s">
        <v>1304</v>
      </c>
      <c r="U54" s="964"/>
      <c r="V54" s="964"/>
      <c r="W54" s="965"/>
      <c r="X54" s="880"/>
    </row>
    <row r="55" spans="1:24" ht="12.95" customHeight="1" thickBot="1">
      <c r="A55" s="885"/>
      <c r="B55" s="885"/>
      <c r="C55" s="102" t="s">
        <v>236</v>
      </c>
      <c r="D55" s="1045" t="s">
        <v>583</v>
      </c>
      <c r="E55" s="1046"/>
      <c r="F55" s="1046"/>
      <c r="G55" s="1047"/>
      <c r="H55" s="1147">
        <f>SUM('State DisAgg LFx10 (2015)'!H104:K108)/5</f>
        <v>2.42</v>
      </c>
      <c r="I55" s="1148"/>
      <c r="J55" s="1148"/>
      <c r="K55" s="1149"/>
      <c r="L55" s="1147">
        <f>SUM('State DisAgg LFx10 (2015)'!L104:O108)/5</f>
        <v>2.88</v>
      </c>
      <c r="M55" s="1148"/>
      <c r="N55" s="1148"/>
      <c r="O55" s="1149"/>
      <c r="P55" s="1147">
        <f>SUM('State DisAgg LFx10 (2015)'!P104:S108)/5</f>
        <v>3.3200000000000003</v>
      </c>
      <c r="Q55" s="1148"/>
      <c r="R55" s="1148"/>
      <c r="S55" s="1149"/>
      <c r="T55" s="1147" t="s">
        <v>1305</v>
      </c>
      <c r="U55" s="1148"/>
      <c r="V55" s="1148"/>
      <c r="W55" s="1149"/>
      <c r="X55" s="880"/>
    </row>
    <row r="56" spans="1:24" ht="12.95" customHeight="1" thickBot="1">
      <c r="A56" s="885"/>
      <c r="B56" s="885"/>
      <c r="C56" s="102" t="s">
        <v>283</v>
      </c>
      <c r="D56" s="1017"/>
      <c r="E56" s="1018"/>
      <c r="F56" s="1018"/>
      <c r="G56" s="1019"/>
      <c r="H56" s="1017"/>
      <c r="I56" s="1018"/>
      <c r="J56" s="1018"/>
      <c r="K56" s="1019"/>
      <c r="L56" s="1147">
        <f>SUM('State DisAgg LFx10 (2015)'!L109:O111)/3</f>
        <v>2.1666666666666665</v>
      </c>
      <c r="M56" s="1148"/>
      <c r="N56" s="1148"/>
      <c r="O56" s="1149"/>
      <c r="P56" s="1147">
        <f>SUM('State DisAgg LFx10 (2015)'!P109:S111)/3</f>
        <v>2.3000000000000003</v>
      </c>
      <c r="Q56" s="1148"/>
      <c r="R56" s="1148"/>
      <c r="S56" s="1149"/>
      <c r="T56" s="1185" t="s">
        <v>1305</v>
      </c>
      <c r="U56" s="1186"/>
      <c r="V56" s="1186"/>
      <c r="W56" s="1187"/>
      <c r="X56" s="880"/>
    </row>
    <row r="57" spans="1:24" ht="12.95" customHeight="1" thickBot="1">
      <c r="A57" s="885"/>
      <c r="B57" s="885"/>
      <c r="C57" s="102" t="s">
        <v>284</v>
      </c>
      <c r="D57" s="1017"/>
      <c r="E57" s="1018"/>
      <c r="F57" s="1018"/>
      <c r="G57" s="1019"/>
      <c r="H57" s="1017"/>
      <c r="I57" s="1018"/>
      <c r="J57" s="1018"/>
      <c r="K57" s="1019"/>
      <c r="L57" s="1017"/>
      <c r="M57" s="1018"/>
      <c r="N57" s="1018"/>
      <c r="O57" s="1019"/>
      <c r="P57" s="1017"/>
      <c r="Q57" s="1018"/>
      <c r="R57" s="1018"/>
      <c r="S57" s="1019"/>
      <c r="T57" s="1147" t="s">
        <v>1298</v>
      </c>
      <c r="U57" s="1148"/>
      <c r="V57" s="1148"/>
      <c r="W57" s="1149"/>
      <c r="X57" s="880"/>
    </row>
    <row r="58" spans="1:24" ht="13.5" thickBot="1">
      <c r="A58" s="885"/>
      <c r="B58" s="885"/>
      <c r="C58" s="1142" t="s">
        <v>413</v>
      </c>
      <c r="D58" s="927" t="s">
        <v>4</v>
      </c>
      <c r="E58" s="928"/>
      <c r="F58" s="928"/>
      <c r="G58" s="928"/>
      <c r="H58" s="928"/>
      <c r="I58" s="928"/>
      <c r="J58" s="928"/>
      <c r="K58" s="928"/>
      <c r="L58" s="928"/>
      <c r="M58" s="928"/>
      <c r="N58" s="928"/>
      <c r="O58" s="928"/>
      <c r="P58" s="928"/>
      <c r="Q58" s="928"/>
      <c r="R58" s="928"/>
      <c r="S58" s="928"/>
      <c r="T58" s="928"/>
      <c r="U58" s="928"/>
      <c r="V58" s="928"/>
      <c r="W58" s="928"/>
      <c r="X58" s="880"/>
    </row>
    <row r="59" spans="1:24" ht="13.5" thickBot="1">
      <c r="A59" s="885"/>
      <c r="B59" s="869"/>
      <c r="C59" s="1143"/>
      <c r="D59" s="930" t="s">
        <v>115</v>
      </c>
      <c r="E59" s="931"/>
      <c r="F59" s="931"/>
      <c r="G59" s="931"/>
      <c r="H59" s="931"/>
      <c r="I59" s="931"/>
      <c r="J59" s="931"/>
      <c r="K59" s="931"/>
      <c r="L59" s="931"/>
      <c r="M59" s="931"/>
      <c r="N59" s="931"/>
      <c r="O59" s="931"/>
      <c r="P59" s="931"/>
      <c r="Q59" s="931"/>
      <c r="R59" s="931"/>
      <c r="S59" s="931"/>
      <c r="T59" s="931"/>
      <c r="U59" s="931"/>
      <c r="V59" s="931"/>
      <c r="W59" s="932"/>
      <c r="X59" s="880"/>
    </row>
    <row r="60" spans="1:24" ht="13.5" thickBot="1">
      <c r="A60" s="885"/>
      <c r="B60" s="11" t="s">
        <v>23</v>
      </c>
      <c r="C60" s="12"/>
      <c r="D60" s="927" t="s">
        <v>78</v>
      </c>
      <c r="E60" s="928"/>
      <c r="F60" s="928"/>
      <c r="G60" s="929"/>
      <c r="H60" s="927" t="s">
        <v>77</v>
      </c>
      <c r="I60" s="928"/>
      <c r="J60" s="928"/>
      <c r="K60" s="929"/>
      <c r="L60" s="927" t="s">
        <v>81</v>
      </c>
      <c r="M60" s="928"/>
      <c r="N60" s="928"/>
      <c r="O60" s="929"/>
      <c r="P60" s="927" t="s">
        <v>254</v>
      </c>
      <c r="Q60" s="928"/>
      <c r="R60" s="928"/>
      <c r="S60" s="929"/>
      <c r="T60" s="927" t="s">
        <v>76</v>
      </c>
      <c r="U60" s="928"/>
      <c r="V60" s="928"/>
      <c r="W60" s="929"/>
      <c r="X60" s="880"/>
    </row>
    <row r="61" spans="1:24" ht="13.5" thickBot="1">
      <c r="A61" s="885"/>
      <c r="B61" s="868" t="s">
        <v>56</v>
      </c>
      <c r="C61" s="9" t="s">
        <v>235</v>
      </c>
      <c r="D61" s="942">
        <f>SUM('State DisAgg LFx10 (2015)'!D117:G121)/5</f>
        <v>1.9799999999999998</v>
      </c>
      <c r="E61" s="943"/>
      <c r="F61" s="943"/>
      <c r="G61" s="944"/>
      <c r="H61" s="942">
        <f>SUM('State DisAgg LFx10 (2015)'!H117:K121)/5</f>
        <v>2.2399999999999998</v>
      </c>
      <c r="I61" s="943"/>
      <c r="J61" s="943"/>
      <c r="K61" s="944"/>
      <c r="L61" s="942">
        <f>SUM('State DisAgg LFx10 (2015)'!L117:O121)/5</f>
        <v>2.83</v>
      </c>
      <c r="M61" s="943"/>
      <c r="N61" s="943"/>
      <c r="O61" s="944"/>
      <c r="P61" s="963">
        <f>SUM('State DisAgg LFx10 (2015)'!P117:S121)/5</f>
        <v>3.35</v>
      </c>
      <c r="Q61" s="964"/>
      <c r="R61" s="964"/>
      <c r="S61" s="965"/>
      <c r="T61" s="1188" t="s">
        <v>1306</v>
      </c>
      <c r="U61" s="1189"/>
      <c r="V61" s="1189"/>
      <c r="W61" s="1190"/>
      <c r="X61" s="880"/>
    </row>
    <row r="62" spans="1:24" ht="13.5" thickBot="1">
      <c r="A62" s="885"/>
      <c r="B62" s="885"/>
      <c r="C62" s="9" t="s">
        <v>233</v>
      </c>
      <c r="D62" s="1048" t="s">
        <v>414</v>
      </c>
      <c r="E62" s="1049"/>
      <c r="F62" s="1049"/>
      <c r="G62" s="1050"/>
      <c r="H62" s="942">
        <f>SUM('State DisAgg LFx10 (2015)'!H122:K124)/3</f>
        <v>1.5999999999999999</v>
      </c>
      <c r="I62" s="943"/>
      <c r="J62" s="943"/>
      <c r="K62" s="944"/>
      <c r="L62" s="942">
        <f>SUM('State DisAgg LFx10 (2015)'!L122:O124)/3</f>
        <v>1.5999999999999999</v>
      </c>
      <c r="M62" s="943"/>
      <c r="N62" s="943"/>
      <c r="O62" s="944"/>
      <c r="P62" s="963">
        <f>SUM('State DisAgg LFx10 (2015)'!P122:S124)/3</f>
        <v>1.9000000000000001</v>
      </c>
      <c r="Q62" s="964"/>
      <c r="R62" s="964"/>
      <c r="S62" s="965"/>
      <c r="T62" s="1188" t="s">
        <v>1307</v>
      </c>
      <c r="U62" s="1189"/>
      <c r="V62" s="1189"/>
      <c r="W62" s="1190"/>
      <c r="X62" s="880"/>
    </row>
    <row r="63" spans="1:24" ht="12.95" customHeight="1" thickBot="1">
      <c r="A63" s="885"/>
      <c r="B63" s="885"/>
      <c r="C63" s="9" t="s">
        <v>234</v>
      </c>
      <c r="D63" s="957"/>
      <c r="E63" s="958"/>
      <c r="F63" s="958"/>
      <c r="G63" s="959"/>
      <c r="H63" s="1048"/>
      <c r="I63" s="1049"/>
      <c r="J63" s="1049"/>
      <c r="K63" s="1050"/>
      <c r="L63" s="1057" t="s">
        <v>909</v>
      </c>
      <c r="M63" s="1058"/>
      <c r="N63" s="1058"/>
      <c r="O63" s="1059"/>
      <c r="P63" s="963">
        <f>SUM('State DisAgg LFx10 (2015)'!P125:S126)/2</f>
        <v>2.25</v>
      </c>
      <c r="Q63" s="964"/>
      <c r="R63" s="964"/>
      <c r="S63" s="965"/>
      <c r="T63" s="963" t="s">
        <v>1304</v>
      </c>
      <c r="U63" s="964"/>
      <c r="V63" s="964"/>
      <c r="W63" s="965"/>
      <c r="X63" s="880"/>
    </row>
    <row r="64" spans="1:24" ht="12.95" customHeight="1" thickBot="1">
      <c r="A64" s="885"/>
      <c r="B64" s="885"/>
      <c r="C64" s="102" t="s">
        <v>236</v>
      </c>
      <c r="D64" s="1045" t="s">
        <v>584</v>
      </c>
      <c r="E64" s="1046"/>
      <c r="F64" s="1046"/>
      <c r="G64" s="1047"/>
      <c r="H64" s="1147">
        <f>SUM('State DisAgg LFx10 (2015)'!H127:K131)/5</f>
        <v>2.7600000000000002</v>
      </c>
      <c r="I64" s="1148"/>
      <c r="J64" s="1148"/>
      <c r="K64" s="1149"/>
      <c r="L64" s="1147">
        <f>SUM('State DisAgg LFx10 (2015)'!L127:O131)/5</f>
        <v>2.96</v>
      </c>
      <c r="M64" s="1148"/>
      <c r="N64" s="1148"/>
      <c r="O64" s="1149"/>
      <c r="P64" s="1185">
        <f>SUM('State DisAgg LFx10 (2015)'!P127:S131)/5</f>
        <v>3.46</v>
      </c>
      <c r="Q64" s="1186"/>
      <c r="R64" s="1186"/>
      <c r="S64" s="1187"/>
      <c r="T64" s="1185" t="s">
        <v>1308</v>
      </c>
      <c r="U64" s="1186"/>
      <c r="V64" s="1186"/>
      <c r="W64" s="1187"/>
      <c r="X64" s="880"/>
    </row>
    <row r="65" spans="1:24" ht="12.95" customHeight="1" thickBot="1">
      <c r="A65" s="885"/>
      <c r="B65" s="885"/>
      <c r="C65" s="102" t="s">
        <v>283</v>
      </c>
      <c r="D65" s="1017"/>
      <c r="E65" s="1018"/>
      <c r="F65" s="1018"/>
      <c r="G65" s="1019"/>
      <c r="H65" s="1017"/>
      <c r="I65" s="1018"/>
      <c r="J65" s="1018"/>
      <c r="K65" s="1019"/>
      <c r="L65" s="1147">
        <f>SUM('State DisAgg LFx10 (2015)'!L132:O134)/3</f>
        <v>1.5999999999999999</v>
      </c>
      <c r="M65" s="1148"/>
      <c r="N65" s="1148"/>
      <c r="O65" s="1149"/>
      <c r="P65" s="1147">
        <f>SUM('State DisAgg LFx10 (2015)'!P132:S134)/3</f>
        <v>2.2000000000000002</v>
      </c>
      <c r="Q65" s="1148"/>
      <c r="R65" s="1148"/>
      <c r="S65" s="1149"/>
      <c r="T65" s="1185" t="s">
        <v>1309</v>
      </c>
      <c r="U65" s="1186"/>
      <c r="V65" s="1186"/>
      <c r="W65" s="1187"/>
      <c r="X65" s="880"/>
    </row>
    <row r="66" spans="1:24" ht="12.95" customHeight="1" thickBot="1">
      <c r="A66" s="885"/>
      <c r="B66" s="885"/>
      <c r="C66" s="102" t="s">
        <v>284</v>
      </c>
      <c r="D66" s="1017"/>
      <c r="E66" s="1018"/>
      <c r="F66" s="1018"/>
      <c r="G66" s="1019"/>
      <c r="H66" s="1017"/>
      <c r="I66" s="1018"/>
      <c r="J66" s="1018"/>
      <c r="K66" s="1019"/>
      <c r="L66" s="1017"/>
      <c r="M66" s="1018"/>
      <c r="N66" s="1018"/>
      <c r="O66" s="1019"/>
      <c r="P66" s="1017"/>
      <c r="Q66" s="1018"/>
      <c r="R66" s="1018"/>
      <c r="S66" s="1019"/>
      <c r="T66" s="1147" t="s">
        <v>1298</v>
      </c>
      <c r="U66" s="1148"/>
      <c r="V66" s="1148"/>
      <c r="W66" s="1149"/>
      <c r="X66" s="880"/>
    </row>
    <row r="67" spans="1:24" ht="13.5" thickBot="1">
      <c r="A67" s="885"/>
      <c r="B67" s="885"/>
      <c r="C67" s="1142" t="s">
        <v>413</v>
      </c>
      <c r="D67" s="927" t="s">
        <v>4</v>
      </c>
      <c r="E67" s="928"/>
      <c r="F67" s="928"/>
      <c r="G67" s="928"/>
      <c r="H67" s="928"/>
      <c r="I67" s="928"/>
      <c r="J67" s="928"/>
      <c r="K67" s="928"/>
      <c r="L67" s="928"/>
      <c r="M67" s="928"/>
      <c r="N67" s="928"/>
      <c r="O67" s="928"/>
      <c r="P67" s="928"/>
      <c r="Q67" s="928"/>
      <c r="R67" s="928"/>
      <c r="S67" s="928"/>
      <c r="T67" s="928"/>
      <c r="U67" s="928"/>
      <c r="V67" s="928"/>
      <c r="W67" s="928"/>
      <c r="X67" s="880"/>
    </row>
    <row r="68" spans="1:24" ht="13.5" thickBot="1">
      <c r="A68" s="885"/>
      <c r="B68" s="869"/>
      <c r="C68" s="1143"/>
      <c r="D68" s="930" t="s">
        <v>115</v>
      </c>
      <c r="E68" s="931"/>
      <c r="F68" s="931"/>
      <c r="G68" s="931"/>
      <c r="H68" s="931"/>
      <c r="I68" s="931"/>
      <c r="J68" s="931"/>
      <c r="K68" s="931"/>
      <c r="L68" s="931"/>
      <c r="M68" s="931"/>
      <c r="N68" s="931"/>
      <c r="O68" s="931"/>
      <c r="P68" s="931"/>
      <c r="Q68" s="931"/>
      <c r="R68" s="931"/>
      <c r="S68" s="931"/>
      <c r="T68" s="931"/>
      <c r="U68" s="931"/>
      <c r="V68" s="931"/>
      <c r="W68" s="932"/>
      <c r="X68" s="880"/>
    </row>
    <row r="69" spans="1:24" ht="13.5" thickBot="1">
      <c r="A69" s="885"/>
      <c r="B69" s="11" t="s">
        <v>38</v>
      </c>
      <c r="C69" s="12"/>
      <c r="D69" s="927" t="s">
        <v>78</v>
      </c>
      <c r="E69" s="928"/>
      <c r="F69" s="928"/>
      <c r="G69" s="929"/>
      <c r="H69" s="927" t="s">
        <v>77</v>
      </c>
      <c r="I69" s="928"/>
      <c r="J69" s="928"/>
      <c r="K69" s="929"/>
      <c r="L69" s="927" t="s">
        <v>81</v>
      </c>
      <c r="M69" s="928"/>
      <c r="N69" s="928"/>
      <c r="O69" s="929"/>
      <c r="P69" s="927" t="s">
        <v>254</v>
      </c>
      <c r="Q69" s="928"/>
      <c r="R69" s="928"/>
      <c r="S69" s="929"/>
      <c r="T69" s="927" t="s">
        <v>76</v>
      </c>
      <c r="U69" s="928"/>
      <c r="V69" s="928"/>
      <c r="W69" s="929"/>
      <c r="X69" s="880"/>
    </row>
    <row r="70" spans="1:24" ht="12.95" customHeight="1" thickBot="1">
      <c r="A70" s="885"/>
      <c r="B70" s="868" t="s">
        <v>155</v>
      </c>
      <c r="C70" s="9" t="s">
        <v>235</v>
      </c>
      <c r="D70" s="933" t="s">
        <v>171</v>
      </c>
      <c r="E70" s="934"/>
      <c r="F70" s="934"/>
      <c r="G70" s="935"/>
      <c r="H70" s="966" t="s">
        <v>572</v>
      </c>
      <c r="I70" s="967"/>
      <c r="J70" s="967"/>
      <c r="K70" s="968"/>
      <c r="L70" s="963">
        <f>SUM('State DisAgg LFx10 (2015)'!L140:O144)/5</f>
        <v>2.9799999999999995</v>
      </c>
      <c r="M70" s="964"/>
      <c r="N70" s="964"/>
      <c r="O70" s="965"/>
      <c r="P70" s="963">
        <f>SUM('State DisAgg LFx10 (2015)'!P140:S144)/5</f>
        <v>3.21</v>
      </c>
      <c r="Q70" s="964"/>
      <c r="R70" s="964"/>
      <c r="S70" s="965"/>
      <c r="T70" s="1194" t="s">
        <v>1310</v>
      </c>
      <c r="U70" s="1195"/>
      <c r="V70" s="1195"/>
      <c r="W70" s="1196"/>
      <c r="X70" s="880"/>
    </row>
    <row r="71" spans="1:24" ht="12.95" customHeight="1" thickBot="1">
      <c r="A71" s="885"/>
      <c r="B71" s="885"/>
      <c r="C71" s="9" t="s">
        <v>233</v>
      </c>
      <c r="D71" s="957"/>
      <c r="E71" s="958"/>
      <c r="F71" s="958"/>
      <c r="G71" s="959"/>
      <c r="H71" s="966" t="s">
        <v>572</v>
      </c>
      <c r="I71" s="967"/>
      <c r="J71" s="967"/>
      <c r="K71" s="968"/>
      <c r="L71" s="963">
        <f>SUM('State DisAgg LFx10 (2015)'!L145:O147)/3</f>
        <v>2.6</v>
      </c>
      <c r="M71" s="964"/>
      <c r="N71" s="964"/>
      <c r="O71" s="965"/>
      <c r="P71" s="963">
        <f>SUM('State DisAgg LFx10 (2015)'!P145:S147)/3</f>
        <v>2.9</v>
      </c>
      <c r="Q71" s="964"/>
      <c r="R71" s="964"/>
      <c r="S71" s="965"/>
      <c r="T71" s="1194" t="s">
        <v>1312</v>
      </c>
      <c r="U71" s="1195"/>
      <c r="V71" s="1195"/>
      <c r="W71" s="1196"/>
      <c r="X71" s="880"/>
    </row>
    <row r="72" spans="1:24" ht="12.95" customHeight="1" thickBot="1">
      <c r="A72" s="885"/>
      <c r="B72" s="885"/>
      <c r="C72" s="9" t="s">
        <v>234</v>
      </c>
      <c r="D72" s="957"/>
      <c r="E72" s="958"/>
      <c r="F72" s="958"/>
      <c r="G72" s="959"/>
      <c r="H72" s="1048"/>
      <c r="I72" s="1049"/>
      <c r="J72" s="1049"/>
      <c r="K72" s="1050"/>
      <c r="L72" s="1057" t="s">
        <v>909</v>
      </c>
      <c r="M72" s="1058"/>
      <c r="N72" s="1058"/>
      <c r="O72" s="1059"/>
      <c r="P72" s="963">
        <f>SUM('State DisAgg LFx10 (2015)'!P148:S149)/2</f>
        <v>3</v>
      </c>
      <c r="Q72" s="964"/>
      <c r="R72" s="964"/>
      <c r="S72" s="965"/>
      <c r="T72" s="963" t="s">
        <v>1311</v>
      </c>
      <c r="U72" s="964"/>
      <c r="V72" s="964"/>
      <c r="W72" s="965"/>
      <c r="X72" s="880"/>
    </row>
    <row r="73" spans="1:24" ht="12.95" customHeight="1" thickBot="1">
      <c r="A73" s="885"/>
      <c r="B73" s="885"/>
      <c r="C73" s="102" t="s">
        <v>236</v>
      </c>
      <c r="D73" s="1011"/>
      <c r="E73" s="1012"/>
      <c r="F73" s="1012"/>
      <c r="G73" s="1013"/>
      <c r="H73" s="1011"/>
      <c r="I73" s="1012"/>
      <c r="J73" s="1012"/>
      <c r="K73" s="1013"/>
      <c r="L73" s="1011"/>
      <c r="M73" s="1012"/>
      <c r="N73" s="1012"/>
      <c r="O73" s="1013"/>
      <c r="P73" s="1147">
        <f>SUM('State DisAgg LFx10 (2015)'!P150:S154)/5</f>
        <v>3.46</v>
      </c>
      <c r="Q73" s="1148"/>
      <c r="R73" s="1148"/>
      <c r="S73" s="1149"/>
      <c r="T73" s="1185" t="s">
        <v>1313</v>
      </c>
      <c r="U73" s="1186"/>
      <c r="V73" s="1186"/>
      <c r="W73" s="1187"/>
      <c r="X73" s="880"/>
    </row>
    <row r="74" spans="1:24" ht="12.95" customHeight="1" thickBot="1">
      <c r="A74" s="885"/>
      <c r="B74" s="885"/>
      <c r="C74" s="102" t="s">
        <v>283</v>
      </c>
      <c r="D74" s="1017"/>
      <c r="E74" s="1018"/>
      <c r="F74" s="1018"/>
      <c r="G74" s="1019"/>
      <c r="H74" s="1017"/>
      <c r="I74" s="1018"/>
      <c r="J74" s="1018"/>
      <c r="K74" s="1019"/>
      <c r="L74" s="1011"/>
      <c r="M74" s="1012"/>
      <c r="N74" s="1012"/>
      <c r="O74" s="1013"/>
      <c r="P74" s="1147">
        <f>SUM('State DisAgg LFx10 (2015)'!P155:S157)/3</f>
        <v>2.7666666666666671</v>
      </c>
      <c r="Q74" s="1148"/>
      <c r="R74" s="1148"/>
      <c r="S74" s="1149"/>
      <c r="T74" s="1185" t="s">
        <v>1314</v>
      </c>
      <c r="U74" s="1186"/>
      <c r="V74" s="1186"/>
      <c r="W74" s="1187"/>
      <c r="X74" s="880"/>
    </row>
    <row r="75" spans="1:24" ht="12.95" customHeight="1" thickBot="1">
      <c r="A75" s="885"/>
      <c r="B75" s="885"/>
      <c r="C75" s="102" t="s">
        <v>284</v>
      </c>
      <c r="D75" s="1017"/>
      <c r="E75" s="1018"/>
      <c r="F75" s="1018"/>
      <c r="G75" s="1019"/>
      <c r="H75" s="1017"/>
      <c r="I75" s="1018"/>
      <c r="J75" s="1018"/>
      <c r="K75" s="1019"/>
      <c r="L75" s="1017"/>
      <c r="M75" s="1018"/>
      <c r="N75" s="1018"/>
      <c r="O75" s="1019"/>
      <c r="P75" s="1017"/>
      <c r="Q75" s="1018"/>
      <c r="R75" s="1018"/>
      <c r="S75" s="1019"/>
      <c r="T75" s="1147" t="s">
        <v>1298</v>
      </c>
      <c r="U75" s="1148"/>
      <c r="V75" s="1148"/>
      <c r="W75" s="1149"/>
      <c r="X75" s="880"/>
    </row>
    <row r="76" spans="1:24" ht="13.5" thickBot="1">
      <c r="A76" s="885"/>
      <c r="B76" s="885"/>
      <c r="C76" s="1142" t="s">
        <v>413</v>
      </c>
      <c r="D76" s="927" t="s">
        <v>4</v>
      </c>
      <c r="E76" s="928"/>
      <c r="F76" s="928"/>
      <c r="G76" s="928"/>
      <c r="H76" s="928"/>
      <c r="I76" s="928"/>
      <c r="J76" s="928"/>
      <c r="K76" s="928"/>
      <c r="L76" s="928"/>
      <c r="M76" s="928"/>
      <c r="N76" s="928"/>
      <c r="O76" s="928"/>
      <c r="P76" s="928"/>
      <c r="Q76" s="928"/>
      <c r="R76" s="928"/>
      <c r="S76" s="928"/>
      <c r="T76" s="928"/>
      <c r="U76" s="928"/>
      <c r="V76" s="928"/>
      <c r="W76" s="928"/>
      <c r="X76" s="880"/>
    </row>
    <row r="77" spans="1:24" ht="13.5" thickBot="1">
      <c r="A77" s="885"/>
      <c r="B77" s="869"/>
      <c r="C77" s="1143"/>
      <c r="D77" s="930" t="s">
        <v>115</v>
      </c>
      <c r="E77" s="931"/>
      <c r="F77" s="931"/>
      <c r="G77" s="931"/>
      <c r="H77" s="931"/>
      <c r="I77" s="931"/>
      <c r="J77" s="931"/>
      <c r="K77" s="931"/>
      <c r="L77" s="931"/>
      <c r="M77" s="931"/>
      <c r="N77" s="931"/>
      <c r="O77" s="931"/>
      <c r="P77" s="931"/>
      <c r="Q77" s="931"/>
      <c r="R77" s="931"/>
      <c r="S77" s="931"/>
      <c r="T77" s="931"/>
      <c r="U77" s="931"/>
      <c r="V77" s="931"/>
      <c r="W77" s="932"/>
      <c r="X77" s="880"/>
    </row>
    <row r="78" spans="1:24" ht="13.5" thickBot="1">
      <c r="A78" s="885"/>
      <c r="B78" s="11" t="s">
        <v>39</v>
      </c>
      <c r="C78" s="12"/>
      <c r="D78" s="927" t="s">
        <v>78</v>
      </c>
      <c r="E78" s="928"/>
      <c r="F78" s="928"/>
      <c r="G78" s="929"/>
      <c r="H78" s="927" t="s">
        <v>77</v>
      </c>
      <c r="I78" s="928"/>
      <c r="J78" s="928"/>
      <c r="K78" s="929"/>
      <c r="L78" s="927" t="s">
        <v>81</v>
      </c>
      <c r="M78" s="928"/>
      <c r="N78" s="928"/>
      <c r="O78" s="929"/>
      <c r="P78" s="927" t="s">
        <v>254</v>
      </c>
      <c r="Q78" s="928"/>
      <c r="R78" s="928"/>
      <c r="S78" s="929"/>
      <c r="T78" s="927" t="s">
        <v>76</v>
      </c>
      <c r="U78" s="928"/>
      <c r="V78" s="928"/>
      <c r="W78" s="929"/>
      <c r="X78" s="880"/>
    </row>
    <row r="79" spans="1:24" ht="42.95" customHeight="1" thickBot="1">
      <c r="A79" s="885"/>
      <c r="B79" s="978" t="s">
        <v>575</v>
      </c>
      <c r="C79" s="9"/>
      <c r="D79" s="20" t="s">
        <v>105</v>
      </c>
      <c r="E79" s="20" t="s">
        <v>579</v>
      </c>
      <c r="F79" s="20" t="s">
        <v>580</v>
      </c>
      <c r="G79" s="20" t="s">
        <v>581</v>
      </c>
      <c r="H79" s="20" t="s">
        <v>105</v>
      </c>
      <c r="I79" s="20" t="s">
        <v>579</v>
      </c>
      <c r="J79" s="20" t="s">
        <v>580</v>
      </c>
      <c r="K79" s="20" t="s">
        <v>581</v>
      </c>
      <c r="L79" s="20" t="s">
        <v>105</v>
      </c>
      <c r="M79" s="20" t="s">
        <v>579</v>
      </c>
      <c r="N79" s="20" t="s">
        <v>580</v>
      </c>
      <c r="O79" s="20" t="s">
        <v>581</v>
      </c>
      <c r="P79" s="20" t="s">
        <v>105</v>
      </c>
      <c r="Q79" s="20" t="s">
        <v>579</v>
      </c>
      <c r="R79" s="20" t="s">
        <v>580</v>
      </c>
      <c r="S79" s="20" t="s">
        <v>581</v>
      </c>
      <c r="T79" s="20" t="s">
        <v>105</v>
      </c>
      <c r="U79" s="20" t="s">
        <v>579</v>
      </c>
      <c r="V79" s="20" t="s">
        <v>580</v>
      </c>
      <c r="W79" s="20" t="s">
        <v>581</v>
      </c>
      <c r="X79" s="880"/>
    </row>
    <row r="80" spans="1:24" ht="24.75" thickBot="1">
      <c r="A80" s="885"/>
      <c r="B80" s="979"/>
      <c r="C80" s="9" t="s">
        <v>247</v>
      </c>
      <c r="D80" s="104">
        <f>SUM('State DisAgg LFx10 (2015)'!D164:D168)</f>
        <v>0</v>
      </c>
      <c r="E80" s="104">
        <f>SUM('State DisAgg LFx10 (2015)'!E164:E168)</f>
        <v>0</v>
      </c>
      <c r="F80" s="104">
        <f>SUM('State DisAgg LFx10 (2015)'!F164:F168)</f>
        <v>0</v>
      </c>
      <c r="G80" s="104">
        <f>SUM('State DisAgg LFx10 (2015)'!G164:G168)</f>
        <v>0</v>
      </c>
      <c r="H80" s="104">
        <f>SUM('State DisAgg LFx10 (2015)'!H164:H171)</f>
        <v>11</v>
      </c>
      <c r="I80" s="104">
        <f>SUM('State DisAgg LFx10 (2015)'!I164:I171)</f>
        <v>4</v>
      </c>
      <c r="J80" s="104">
        <f>SUM('State DisAgg LFx10 (2015)'!J164:J171)</f>
        <v>1</v>
      </c>
      <c r="K80" s="104">
        <f>SUM('State DisAgg LFx10 (2015)'!K164:K171)</f>
        <v>0</v>
      </c>
      <c r="L80" s="104">
        <f>SUM('State DisAgg LFx10 (2015)'!L164:L173)</f>
        <v>22</v>
      </c>
      <c r="M80" s="104">
        <f>SUM('State DisAgg LFx10 (2015)'!M164:M173)</f>
        <v>11</v>
      </c>
      <c r="N80" s="104">
        <f>SUM('State DisAgg LFx10 (2015)'!N164:N173)</f>
        <v>6</v>
      </c>
      <c r="O80" s="104">
        <f>SUM('State DisAgg LFx10 (2015)'!O164:O173)</f>
        <v>1</v>
      </c>
      <c r="P80" s="150">
        <f>SUM('State DisAgg LFx10 (2015)'!P164:P173)</f>
        <v>43</v>
      </c>
      <c r="Q80" s="150">
        <f>SUM('State DisAgg LFx10 (2015)'!Q164:Q173)</f>
        <v>22</v>
      </c>
      <c r="R80" s="150">
        <f>SUM('State DisAgg LFx10 (2015)'!R164:R173)</f>
        <v>13</v>
      </c>
      <c r="S80" s="150">
        <f>SUM('State DisAgg LFx10 (2015)'!S164:S173)</f>
        <v>4</v>
      </c>
      <c r="T80" s="796" t="s">
        <v>1347</v>
      </c>
      <c r="U80" s="796" t="s">
        <v>1348</v>
      </c>
      <c r="V80" s="796" t="s">
        <v>1349</v>
      </c>
      <c r="W80" s="795" t="s">
        <v>1350</v>
      </c>
      <c r="X80" s="880"/>
    </row>
    <row r="81" spans="1:24" ht="24.75" thickBot="1">
      <c r="A81" s="885"/>
      <c r="B81" s="771" t="s">
        <v>159</v>
      </c>
      <c r="C81" s="102" t="s">
        <v>246</v>
      </c>
      <c r="D81" s="1042" t="s">
        <v>593</v>
      </c>
      <c r="E81" s="1043"/>
      <c r="F81" s="1043"/>
      <c r="G81" s="1044"/>
      <c r="H81" s="105">
        <f>SUM('State DisAgg LFx10 (2015)'!H174:H178)</f>
        <v>10</v>
      </c>
      <c r="I81" s="105">
        <f>SUM('State DisAgg LFx10 (2015)'!I174:I178)</f>
        <v>2</v>
      </c>
      <c r="J81" s="105">
        <f>SUM('State DisAgg LFx10 (2015)'!J174:J178)</f>
        <v>0</v>
      </c>
      <c r="K81" s="105">
        <f>SUM('State DisAgg LFx10 (2015)'!K174:K178)</f>
        <v>0</v>
      </c>
      <c r="L81" s="105">
        <f>SUM('State DisAgg LFx10 (2015)'!L174:L181)</f>
        <v>29</v>
      </c>
      <c r="M81" s="105">
        <f>SUM('State DisAgg LFx10 (2015)'!M174:M181)</f>
        <v>16</v>
      </c>
      <c r="N81" s="105">
        <f>SUM('State DisAgg LFx10 (2015)'!N174:N181)</f>
        <v>6</v>
      </c>
      <c r="O81" s="105">
        <f>SUM('State DisAgg LFx10 (2015)'!O174:O181)</f>
        <v>0</v>
      </c>
      <c r="P81" s="819">
        <f>SUM('State DisAgg LFx10 (2015)'!P174:P183)</f>
        <v>75</v>
      </c>
      <c r="Q81" s="819">
        <f>SUM('State DisAgg LFx10 (2015)'!Q174:Q183)</f>
        <v>39</v>
      </c>
      <c r="R81" s="819">
        <f>SUM('State DisAgg LFx10 (2015)'!R174:R183)</f>
        <v>22</v>
      </c>
      <c r="S81" s="105">
        <f>SUM('State DisAgg LFx10 (2015)'!S174:S183)</f>
        <v>4</v>
      </c>
      <c r="T81" s="819" t="s">
        <v>1362</v>
      </c>
      <c r="U81" s="819" t="s">
        <v>1363</v>
      </c>
      <c r="V81" s="819" t="s">
        <v>1364</v>
      </c>
      <c r="W81" s="105" t="s">
        <v>1365</v>
      </c>
      <c r="X81" s="880"/>
    </row>
    <row r="82" spans="1:24" ht="36.75" thickBot="1">
      <c r="A82" s="885"/>
      <c r="B82" s="239" t="s">
        <v>576</v>
      </c>
      <c r="C82" s="1142" t="s">
        <v>413</v>
      </c>
      <c r="D82" s="927" t="s">
        <v>4</v>
      </c>
      <c r="E82" s="928"/>
      <c r="F82" s="928"/>
      <c r="G82" s="928"/>
      <c r="H82" s="928"/>
      <c r="I82" s="928"/>
      <c r="J82" s="928"/>
      <c r="K82" s="928"/>
      <c r="L82" s="928"/>
      <c r="M82" s="928"/>
      <c r="N82" s="928"/>
      <c r="O82" s="928"/>
      <c r="P82" s="928"/>
      <c r="Q82" s="928"/>
      <c r="R82" s="928"/>
      <c r="S82" s="928"/>
      <c r="T82" s="928"/>
      <c r="U82" s="928"/>
      <c r="V82" s="928"/>
      <c r="W82" s="928"/>
      <c r="X82" s="880"/>
    </row>
    <row r="83" spans="1:24" ht="13.5" thickBot="1">
      <c r="A83" s="869"/>
      <c r="B83" s="240" t="s">
        <v>577</v>
      </c>
      <c r="C83" s="1143"/>
      <c r="D83" s="930" t="s">
        <v>126</v>
      </c>
      <c r="E83" s="931"/>
      <c r="F83" s="931"/>
      <c r="G83" s="931"/>
      <c r="H83" s="931"/>
      <c r="I83" s="931"/>
      <c r="J83" s="931"/>
      <c r="K83" s="931"/>
      <c r="L83" s="931"/>
      <c r="M83" s="931"/>
      <c r="N83" s="931"/>
      <c r="O83" s="931"/>
      <c r="P83" s="931"/>
      <c r="Q83" s="931"/>
      <c r="R83" s="931"/>
      <c r="S83" s="931"/>
      <c r="T83" s="931"/>
      <c r="U83" s="931"/>
      <c r="V83" s="931"/>
      <c r="W83" s="932"/>
      <c r="X83" s="881"/>
    </row>
    <row r="84" spans="1:24" ht="13.5" thickBot="1">
      <c r="A84" s="906" t="s">
        <v>7</v>
      </c>
      <c r="B84" s="908" t="s">
        <v>173</v>
      </c>
      <c r="C84" s="918"/>
      <c r="D84" s="908" t="s">
        <v>8</v>
      </c>
      <c r="E84" s="918"/>
      <c r="F84" s="918"/>
      <c r="G84" s="909"/>
      <c r="H84" s="908" t="s">
        <v>88</v>
      </c>
      <c r="I84" s="918"/>
      <c r="J84" s="918"/>
      <c r="K84" s="909"/>
      <c r="L84" s="908" t="s">
        <v>89</v>
      </c>
      <c r="M84" s="918"/>
      <c r="N84" s="918"/>
      <c r="O84" s="909"/>
      <c r="P84" s="908" t="s">
        <v>9</v>
      </c>
      <c r="Q84" s="918"/>
      <c r="R84" s="918"/>
      <c r="S84" s="909"/>
      <c r="T84" s="908" t="s">
        <v>174</v>
      </c>
      <c r="U84" s="918"/>
      <c r="V84" s="918"/>
      <c r="W84" s="918"/>
      <c r="X84" s="909"/>
    </row>
    <row r="85" spans="1:24" ht="13.5" thickBot="1">
      <c r="A85" s="907"/>
      <c r="B85" s="975" t="e">
        <f>SUM(B114+B143+B180+B228+B246)</f>
        <v>#VALUE!</v>
      </c>
      <c r="C85" s="977"/>
      <c r="D85" s="975">
        <f>SUM(D114+D143+D180+D228+D246)</f>
        <v>2100000</v>
      </c>
      <c r="E85" s="977"/>
      <c r="F85" s="977">
        <f>SUM(F114+F143+F180+F228+F246)</f>
        <v>0</v>
      </c>
      <c r="G85" s="976"/>
      <c r="H85" s="975">
        <f>SUM(H114+H143+H180+H228+H246)</f>
        <v>13000000</v>
      </c>
      <c r="I85" s="977"/>
      <c r="J85" s="977">
        <f>SUM(J114+J143+J180+J228+J246)</f>
        <v>0</v>
      </c>
      <c r="K85" s="976"/>
      <c r="L85" s="975">
        <f>SUM(L114+L143+L180+L228+L246)</f>
        <v>9200000</v>
      </c>
      <c r="M85" s="977"/>
      <c r="N85" s="977">
        <f>SUM(N114+N143+N180+N228+N246)</f>
        <v>0</v>
      </c>
      <c r="O85" s="976"/>
      <c r="P85" s="975" t="e">
        <f>SUM(B85:O85)</f>
        <v>#VALUE!</v>
      </c>
      <c r="Q85" s="977"/>
      <c r="R85" s="977"/>
      <c r="S85" s="976"/>
      <c r="T85" s="942" t="e">
        <f>B85/P85%</f>
        <v>#VALUE!</v>
      </c>
      <c r="U85" s="943"/>
      <c r="V85" s="943"/>
      <c r="W85" s="943"/>
      <c r="X85" s="944"/>
    </row>
    <row r="86" spans="1:24" ht="13.5" thickBot="1">
      <c r="A86" s="906" t="s">
        <v>10</v>
      </c>
      <c r="B86" s="908" t="s">
        <v>175</v>
      </c>
      <c r="C86" s="918"/>
      <c r="D86" s="910"/>
      <c r="E86" s="911"/>
      <c r="F86" s="911"/>
      <c r="G86" s="911"/>
      <c r="H86" s="911"/>
      <c r="I86" s="911"/>
      <c r="J86" s="911"/>
      <c r="K86" s="911"/>
      <c r="L86" s="911"/>
      <c r="M86" s="911"/>
      <c r="N86" s="911"/>
      <c r="O86" s="911"/>
      <c r="P86" s="911"/>
      <c r="Q86" s="911"/>
      <c r="R86" s="911"/>
      <c r="S86" s="911"/>
      <c r="T86" s="911"/>
      <c r="U86" s="911"/>
      <c r="V86" s="911"/>
      <c r="W86" s="911"/>
      <c r="X86" s="912"/>
    </row>
    <row r="87" spans="1:24" ht="13.5" thickBot="1">
      <c r="A87" s="907"/>
      <c r="B87" s="916">
        <f>SUM(B116+B145+B182+B230+B248)</f>
        <v>0</v>
      </c>
      <c r="C87" s="994"/>
      <c r="D87" s="913"/>
      <c r="E87" s="914"/>
      <c r="F87" s="914"/>
      <c r="G87" s="914"/>
      <c r="H87" s="914"/>
      <c r="I87" s="914"/>
      <c r="J87" s="914"/>
      <c r="K87" s="914"/>
      <c r="L87" s="914"/>
      <c r="M87" s="914"/>
      <c r="N87" s="914"/>
      <c r="O87" s="914"/>
      <c r="P87" s="914"/>
      <c r="Q87" s="914"/>
      <c r="R87" s="914"/>
      <c r="S87" s="914"/>
      <c r="T87" s="914"/>
      <c r="U87" s="914"/>
      <c r="V87" s="914"/>
      <c r="W87" s="914"/>
      <c r="X87" s="915"/>
    </row>
    <row r="88" spans="1:24">
      <c r="A88" s="5"/>
      <c r="B88" s="5"/>
      <c r="C88" s="6"/>
      <c r="D88" s="5"/>
      <c r="E88" s="5"/>
      <c r="F88" s="5"/>
      <c r="G88" s="5"/>
      <c r="H88" s="5"/>
      <c r="I88" s="5"/>
      <c r="J88" s="5"/>
      <c r="K88" s="5"/>
      <c r="L88" s="5"/>
      <c r="M88" s="5"/>
      <c r="N88" s="5"/>
      <c r="O88" s="5"/>
      <c r="P88" s="5"/>
      <c r="Q88" s="5"/>
      <c r="R88" s="5"/>
      <c r="S88" s="5"/>
      <c r="T88" s="5"/>
      <c r="U88" s="5"/>
      <c r="V88" s="5"/>
      <c r="W88" s="5"/>
      <c r="X88" s="5"/>
    </row>
    <row r="89" spans="1:24" ht="13.5" thickBot="1">
      <c r="A89" s="21"/>
      <c r="B89" s="21"/>
      <c r="C89" s="22"/>
      <c r="D89" s="21"/>
      <c r="E89" s="21"/>
      <c r="F89" s="21"/>
      <c r="G89" s="21"/>
      <c r="H89" s="21"/>
      <c r="I89" s="21"/>
      <c r="J89" s="21"/>
      <c r="K89" s="21"/>
      <c r="L89" s="21"/>
      <c r="M89" s="21"/>
      <c r="N89" s="21"/>
      <c r="O89" s="21"/>
      <c r="P89" s="21"/>
      <c r="Q89" s="21"/>
      <c r="R89" s="21"/>
      <c r="S89" s="21"/>
      <c r="T89" s="21"/>
      <c r="U89" s="21"/>
      <c r="V89" s="21"/>
      <c r="W89" s="21"/>
      <c r="X89" s="21"/>
    </row>
    <row r="90" spans="1:24" ht="13.5" thickBot="1">
      <c r="A90" s="765" t="s">
        <v>11</v>
      </c>
      <c r="B90" s="773" t="s">
        <v>16</v>
      </c>
      <c r="C90" s="8"/>
      <c r="D90" s="927" t="s">
        <v>78</v>
      </c>
      <c r="E90" s="928"/>
      <c r="F90" s="928"/>
      <c r="G90" s="929"/>
      <c r="H90" s="927" t="s">
        <v>77</v>
      </c>
      <c r="I90" s="928"/>
      <c r="J90" s="928"/>
      <c r="K90" s="929"/>
      <c r="L90" s="927" t="s">
        <v>81</v>
      </c>
      <c r="M90" s="928"/>
      <c r="N90" s="928"/>
      <c r="O90" s="929"/>
      <c r="P90" s="927" t="s">
        <v>254</v>
      </c>
      <c r="Q90" s="928"/>
      <c r="R90" s="928"/>
      <c r="S90" s="929"/>
      <c r="T90" s="927" t="s">
        <v>76</v>
      </c>
      <c r="U90" s="928"/>
      <c r="V90" s="928"/>
      <c r="W90" s="929"/>
      <c r="X90" s="16" t="s">
        <v>12</v>
      </c>
    </row>
    <row r="91" spans="1:24" ht="13.5" thickBot="1">
      <c r="A91" s="868" t="s">
        <v>57</v>
      </c>
      <c r="B91" s="868" t="s">
        <v>58</v>
      </c>
      <c r="C91" s="9" t="s">
        <v>235</v>
      </c>
      <c r="D91" s="942">
        <f>SUM('State DisAgg LFx10 (2015)'!D193:G197)/5</f>
        <v>1</v>
      </c>
      <c r="E91" s="943"/>
      <c r="F91" s="943"/>
      <c r="G91" s="944"/>
      <c r="H91" s="942">
        <f>SUM('State DisAgg LFx10 (2015)'!H193:K197)/5</f>
        <v>2</v>
      </c>
      <c r="I91" s="943"/>
      <c r="J91" s="943"/>
      <c r="K91" s="944"/>
      <c r="L91" s="942">
        <f>SUM('State DisAgg LFx10 (2015)'!L193:O197)/5</f>
        <v>2.7</v>
      </c>
      <c r="M91" s="943"/>
      <c r="N91" s="943"/>
      <c r="O91" s="944"/>
      <c r="P91" s="963">
        <f>SUM('State DisAgg LFx10 (2015)'!P193:S197)/5</f>
        <v>3.22</v>
      </c>
      <c r="Q91" s="964"/>
      <c r="R91" s="964"/>
      <c r="S91" s="965"/>
      <c r="T91" s="1188" t="s">
        <v>1315</v>
      </c>
      <c r="U91" s="1189"/>
      <c r="V91" s="1189"/>
      <c r="W91" s="1190"/>
      <c r="X91" s="879" t="s">
        <v>97</v>
      </c>
    </row>
    <row r="92" spans="1:24" ht="13.5" thickBot="1">
      <c r="A92" s="885"/>
      <c r="B92" s="885"/>
      <c r="C92" s="9" t="s">
        <v>233</v>
      </c>
      <c r="D92" s="966" t="s">
        <v>255</v>
      </c>
      <c r="E92" s="967"/>
      <c r="F92" s="967"/>
      <c r="G92" s="968"/>
      <c r="H92" s="942">
        <f>SUM('State DisAgg LFx10 (2015)'!H198:K200)/3</f>
        <v>1</v>
      </c>
      <c r="I92" s="943"/>
      <c r="J92" s="943"/>
      <c r="K92" s="944"/>
      <c r="L92" s="942">
        <f>SUM('State DisAgg LFx10 (2015)'!L198:O200)/3</f>
        <v>1.1666666666666667</v>
      </c>
      <c r="M92" s="943"/>
      <c r="N92" s="943"/>
      <c r="O92" s="944"/>
      <c r="P92" s="963">
        <f>SUM('State DisAgg LFx10 (2015)'!P198:S200)/3</f>
        <v>1.5</v>
      </c>
      <c r="Q92" s="964"/>
      <c r="R92" s="964"/>
      <c r="S92" s="965"/>
      <c r="T92" s="1188" t="s">
        <v>1316</v>
      </c>
      <c r="U92" s="1189"/>
      <c r="V92" s="1189"/>
      <c r="W92" s="1190"/>
      <c r="X92" s="880"/>
    </row>
    <row r="93" spans="1:24" ht="12.95" customHeight="1" thickBot="1">
      <c r="A93" s="885"/>
      <c r="B93" s="885"/>
      <c r="C93" s="9" t="s">
        <v>234</v>
      </c>
      <c r="D93" s="957"/>
      <c r="E93" s="958"/>
      <c r="F93" s="958"/>
      <c r="G93" s="959"/>
      <c r="H93" s="1048"/>
      <c r="I93" s="1049"/>
      <c r="J93" s="1049"/>
      <c r="K93" s="1050"/>
      <c r="L93" s="1057" t="s">
        <v>909</v>
      </c>
      <c r="M93" s="1058"/>
      <c r="N93" s="1058"/>
      <c r="O93" s="1059"/>
      <c r="P93" s="1209">
        <f>SUM('State DisAgg LFx10 (2015)'!P201:S202)/2</f>
        <v>1.1499999999999999</v>
      </c>
      <c r="Q93" s="1210"/>
      <c r="R93" s="1210"/>
      <c r="S93" s="1211"/>
      <c r="T93" s="1209" t="s">
        <v>1509</v>
      </c>
      <c r="U93" s="1210"/>
      <c r="V93" s="1210"/>
      <c r="W93" s="1211"/>
      <c r="X93" s="880"/>
    </row>
    <row r="94" spans="1:24" ht="13.5" thickBot="1">
      <c r="A94" s="885"/>
      <c r="B94" s="885"/>
      <c r="C94" s="102" t="s">
        <v>236</v>
      </c>
      <c r="D94" s="1008" t="s">
        <v>585</v>
      </c>
      <c r="E94" s="1009"/>
      <c r="F94" s="1009"/>
      <c r="G94" s="1010"/>
      <c r="H94" s="1147">
        <f>SUM('State DisAgg LFx10 (2015)'!H203:K207)/5</f>
        <v>2.08</v>
      </c>
      <c r="I94" s="1148"/>
      <c r="J94" s="1148"/>
      <c r="K94" s="1149"/>
      <c r="L94" s="1147">
        <f>SUM('State DisAgg LFx10 (2015)'!L203:O207)/5</f>
        <v>2.52</v>
      </c>
      <c r="M94" s="1148"/>
      <c r="N94" s="1148"/>
      <c r="O94" s="1149"/>
      <c r="P94" s="1147">
        <f>SUM('State DisAgg LFx10 (2015)'!P203:S207)/5</f>
        <v>3.2600000000000002</v>
      </c>
      <c r="Q94" s="1148"/>
      <c r="R94" s="1148"/>
      <c r="S94" s="1149"/>
      <c r="T94" s="1185" t="s">
        <v>1308</v>
      </c>
      <c r="U94" s="1186"/>
      <c r="V94" s="1186"/>
      <c r="W94" s="1187"/>
      <c r="X94" s="880"/>
    </row>
    <row r="95" spans="1:24" ht="13.5" thickBot="1">
      <c r="A95" s="885"/>
      <c r="B95" s="885"/>
      <c r="C95" s="102" t="s">
        <v>283</v>
      </c>
      <c r="D95" s="1017"/>
      <c r="E95" s="1018"/>
      <c r="F95" s="1018"/>
      <c r="G95" s="1019"/>
      <c r="H95" s="1017"/>
      <c r="I95" s="1018"/>
      <c r="J95" s="1018"/>
      <c r="K95" s="1019"/>
      <c r="L95" s="1147">
        <f>SUM('State DisAgg LFx10 (2015)'!L208:O210)/3</f>
        <v>1.1666666666666667</v>
      </c>
      <c r="M95" s="1148"/>
      <c r="N95" s="1148"/>
      <c r="O95" s="1149"/>
      <c r="P95" s="1147">
        <f>SUM('State DisAgg LFx10 (2015)'!P208:S210)/3</f>
        <v>1.4666666666666668</v>
      </c>
      <c r="Q95" s="1148"/>
      <c r="R95" s="1148"/>
      <c r="S95" s="1149"/>
      <c r="T95" s="1185" t="s">
        <v>1302</v>
      </c>
      <c r="U95" s="1186"/>
      <c r="V95" s="1186"/>
      <c r="W95" s="1187"/>
      <c r="X95" s="880"/>
    </row>
    <row r="96" spans="1:24" ht="13.5" thickBot="1">
      <c r="A96" s="885"/>
      <c r="B96" s="885"/>
      <c r="C96" s="102" t="s">
        <v>284</v>
      </c>
      <c r="D96" s="1017"/>
      <c r="E96" s="1018"/>
      <c r="F96" s="1018"/>
      <c r="G96" s="1019"/>
      <c r="H96" s="1017"/>
      <c r="I96" s="1018"/>
      <c r="J96" s="1018"/>
      <c r="K96" s="1019"/>
      <c r="L96" s="1017"/>
      <c r="M96" s="1018"/>
      <c r="N96" s="1018"/>
      <c r="O96" s="1019"/>
      <c r="P96" s="1017"/>
      <c r="Q96" s="1018"/>
      <c r="R96" s="1018"/>
      <c r="S96" s="1019"/>
      <c r="T96" s="1147" t="s">
        <v>1298</v>
      </c>
      <c r="U96" s="1148"/>
      <c r="V96" s="1148"/>
      <c r="W96" s="1149"/>
      <c r="X96" s="880"/>
    </row>
    <row r="97" spans="1:24" ht="13.5" thickBot="1">
      <c r="A97" s="885"/>
      <c r="B97" s="885"/>
      <c r="C97" s="1142" t="s">
        <v>413</v>
      </c>
      <c r="D97" s="927" t="s">
        <v>4</v>
      </c>
      <c r="E97" s="928"/>
      <c r="F97" s="928"/>
      <c r="G97" s="928"/>
      <c r="H97" s="928"/>
      <c r="I97" s="928"/>
      <c r="J97" s="928"/>
      <c r="K97" s="928"/>
      <c r="L97" s="928"/>
      <c r="M97" s="928"/>
      <c r="N97" s="928"/>
      <c r="O97" s="928"/>
      <c r="P97" s="928"/>
      <c r="Q97" s="928"/>
      <c r="R97" s="928"/>
      <c r="S97" s="928"/>
      <c r="T97" s="928"/>
      <c r="U97" s="928"/>
      <c r="V97" s="928"/>
      <c r="W97" s="929"/>
      <c r="X97" s="880"/>
    </row>
    <row r="98" spans="1:24" ht="24" customHeight="1" thickBot="1">
      <c r="A98" s="885"/>
      <c r="B98" s="869"/>
      <c r="C98" s="1143"/>
      <c r="D98" s="930" t="s">
        <v>120</v>
      </c>
      <c r="E98" s="931"/>
      <c r="F98" s="931"/>
      <c r="G98" s="931"/>
      <c r="H98" s="931"/>
      <c r="I98" s="931"/>
      <c r="J98" s="931"/>
      <c r="K98" s="931"/>
      <c r="L98" s="931"/>
      <c r="M98" s="931"/>
      <c r="N98" s="931"/>
      <c r="O98" s="931"/>
      <c r="P98" s="931"/>
      <c r="Q98" s="931"/>
      <c r="R98" s="931"/>
      <c r="S98" s="931"/>
      <c r="T98" s="931"/>
      <c r="U98" s="931"/>
      <c r="V98" s="931"/>
      <c r="W98" s="932"/>
      <c r="X98" s="880"/>
    </row>
    <row r="99" spans="1:24" ht="13.5" thickBot="1">
      <c r="A99" s="885"/>
      <c r="B99" s="11" t="s">
        <v>17</v>
      </c>
      <c r="C99" s="12"/>
      <c r="D99" s="927" t="s">
        <v>78</v>
      </c>
      <c r="E99" s="928"/>
      <c r="F99" s="928"/>
      <c r="G99" s="929"/>
      <c r="H99" s="927" t="s">
        <v>77</v>
      </c>
      <c r="I99" s="928"/>
      <c r="J99" s="928"/>
      <c r="K99" s="929"/>
      <c r="L99" s="927" t="s">
        <v>81</v>
      </c>
      <c r="M99" s="928"/>
      <c r="N99" s="928"/>
      <c r="O99" s="929"/>
      <c r="P99" s="927" t="s">
        <v>254</v>
      </c>
      <c r="Q99" s="928"/>
      <c r="R99" s="928"/>
      <c r="S99" s="929"/>
      <c r="T99" s="927" t="s">
        <v>76</v>
      </c>
      <c r="U99" s="928"/>
      <c r="V99" s="928"/>
      <c r="W99" s="929"/>
      <c r="X99" s="880"/>
    </row>
    <row r="100" spans="1:24" ht="13.5" thickBot="1">
      <c r="A100" s="885"/>
      <c r="B100" s="868" t="s">
        <v>59</v>
      </c>
      <c r="C100" s="9" t="s">
        <v>235</v>
      </c>
      <c r="D100" s="942">
        <f>SUM('State DisAgg LFx10 (2015)'!D216:G220)/5</f>
        <v>1.1000000000000001</v>
      </c>
      <c r="E100" s="943"/>
      <c r="F100" s="943"/>
      <c r="G100" s="944"/>
      <c r="H100" s="942">
        <f>SUM('State DisAgg LFx10 (2015)'!H216:K220)/5</f>
        <v>1.6</v>
      </c>
      <c r="I100" s="943"/>
      <c r="J100" s="943"/>
      <c r="K100" s="944"/>
      <c r="L100" s="942">
        <f>SUM('State DisAgg LFx10 (2015)'!L216:O220)/5</f>
        <v>2.7</v>
      </c>
      <c r="M100" s="943"/>
      <c r="N100" s="943"/>
      <c r="O100" s="944"/>
      <c r="P100" s="963">
        <f>SUM('State DisAgg LFx10 (2015)'!P216:S220)/5</f>
        <v>3.3</v>
      </c>
      <c r="Q100" s="964"/>
      <c r="R100" s="964"/>
      <c r="S100" s="965"/>
      <c r="T100" s="1194" t="s">
        <v>1317</v>
      </c>
      <c r="U100" s="1195"/>
      <c r="V100" s="1195"/>
      <c r="W100" s="1196"/>
      <c r="X100" s="880"/>
    </row>
    <row r="101" spans="1:24" ht="13.5" thickBot="1">
      <c r="A101" s="885"/>
      <c r="B101" s="885"/>
      <c r="C101" s="9" t="s">
        <v>233</v>
      </c>
      <c r="D101" s="966" t="s">
        <v>255</v>
      </c>
      <c r="E101" s="967"/>
      <c r="F101" s="967"/>
      <c r="G101" s="968"/>
      <c r="H101" s="942">
        <f>SUM('State DisAgg LFx10 (2015)'!H221:K223)/3</f>
        <v>1</v>
      </c>
      <c r="I101" s="943"/>
      <c r="J101" s="943"/>
      <c r="K101" s="944"/>
      <c r="L101" s="942">
        <f>SUM('State DisAgg LFx10 (2015)'!L221:O223)/3</f>
        <v>1</v>
      </c>
      <c r="M101" s="943"/>
      <c r="N101" s="943"/>
      <c r="O101" s="944"/>
      <c r="P101" s="963">
        <f>SUM('State DisAgg LFx10 (2015)'!P221:S223)/3</f>
        <v>1.3999999999999997</v>
      </c>
      <c r="Q101" s="964"/>
      <c r="R101" s="964"/>
      <c r="S101" s="965"/>
      <c r="T101" s="1188" t="s">
        <v>1318</v>
      </c>
      <c r="U101" s="1189"/>
      <c r="V101" s="1189"/>
      <c r="W101" s="1190"/>
      <c r="X101" s="880"/>
    </row>
    <row r="102" spans="1:24" ht="12.95" customHeight="1" thickBot="1">
      <c r="A102" s="885"/>
      <c r="B102" s="885"/>
      <c r="C102" s="9" t="s">
        <v>234</v>
      </c>
      <c r="D102" s="957"/>
      <c r="E102" s="958"/>
      <c r="F102" s="958"/>
      <c r="G102" s="959"/>
      <c r="H102" s="1048"/>
      <c r="I102" s="1049"/>
      <c r="J102" s="1049"/>
      <c r="K102" s="1050"/>
      <c r="L102" s="1057" t="s">
        <v>909</v>
      </c>
      <c r="M102" s="1058"/>
      <c r="N102" s="1058"/>
      <c r="O102" s="1059"/>
      <c r="P102" s="1209">
        <f>SUM('State DisAgg LFx10 (2015)'!P224:S225)/2</f>
        <v>1.5</v>
      </c>
      <c r="Q102" s="1210"/>
      <c r="R102" s="1210"/>
      <c r="S102" s="1211"/>
      <c r="T102" s="1209" t="s">
        <v>1510</v>
      </c>
      <c r="U102" s="1210"/>
      <c r="V102" s="1210"/>
      <c r="W102" s="1211"/>
      <c r="X102" s="880"/>
    </row>
    <row r="103" spans="1:24" ht="13.5" thickBot="1">
      <c r="A103" s="885"/>
      <c r="B103" s="885"/>
      <c r="C103" s="102" t="s">
        <v>236</v>
      </c>
      <c r="D103" s="1008" t="s">
        <v>586</v>
      </c>
      <c r="E103" s="1009"/>
      <c r="F103" s="1009"/>
      <c r="G103" s="1010"/>
      <c r="H103" s="1147">
        <f>SUM('State DisAgg LFx10 (2015)'!H226:K230)/5</f>
        <v>1.48</v>
      </c>
      <c r="I103" s="1148"/>
      <c r="J103" s="1148"/>
      <c r="K103" s="1149"/>
      <c r="L103" s="1147">
        <f>SUM('State DisAgg LFx10 (2015)'!L226:O230)/5</f>
        <v>2.8400000000000003</v>
      </c>
      <c r="M103" s="1148"/>
      <c r="N103" s="1148"/>
      <c r="O103" s="1149"/>
      <c r="P103" s="1147">
        <f>SUM('State DisAgg LFx10 (2015)'!P226:S230)/5</f>
        <v>3.3600000000000003</v>
      </c>
      <c r="Q103" s="1148"/>
      <c r="R103" s="1148"/>
      <c r="S103" s="1149"/>
      <c r="T103" s="1185" t="s">
        <v>1319</v>
      </c>
      <c r="U103" s="1186"/>
      <c r="V103" s="1186"/>
      <c r="W103" s="1187"/>
      <c r="X103" s="880"/>
    </row>
    <row r="104" spans="1:24" ht="13.5" thickBot="1">
      <c r="A104" s="885"/>
      <c r="B104" s="885"/>
      <c r="C104" s="102" t="s">
        <v>283</v>
      </c>
      <c r="D104" s="1017"/>
      <c r="E104" s="1018"/>
      <c r="F104" s="1018"/>
      <c r="G104" s="1019"/>
      <c r="H104" s="1017"/>
      <c r="I104" s="1018"/>
      <c r="J104" s="1018"/>
      <c r="K104" s="1019"/>
      <c r="L104" s="1147">
        <f>SUM('State DisAgg LFx10 (2015)'!L231:O233)/3</f>
        <v>1</v>
      </c>
      <c r="M104" s="1148"/>
      <c r="N104" s="1148"/>
      <c r="O104" s="1149"/>
      <c r="P104" s="1147">
        <f>SUM('State DisAgg LFx10 (2015)'!P231:S233)/3</f>
        <v>1.2666666666666668</v>
      </c>
      <c r="Q104" s="1148"/>
      <c r="R104" s="1148"/>
      <c r="S104" s="1149"/>
      <c r="T104" s="1185" t="s">
        <v>1302</v>
      </c>
      <c r="U104" s="1186"/>
      <c r="V104" s="1186"/>
      <c r="W104" s="1187"/>
      <c r="X104" s="880"/>
    </row>
    <row r="105" spans="1:24" ht="13.5" thickBot="1">
      <c r="A105" s="885"/>
      <c r="B105" s="885"/>
      <c r="C105" s="102" t="s">
        <v>284</v>
      </c>
      <c r="D105" s="1017"/>
      <c r="E105" s="1018"/>
      <c r="F105" s="1018"/>
      <c r="G105" s="1019"/>
      <c r="H105" s="1017"/>
      <c r="I105" s="1018"/>
      <c r="J105" s="1018"/>
      <c r="K105" s="1019"/>
      <c r="L105" s="1017"/>
      <c r="M105" s="1018"/>
      <c r="N105" s="1018"/>
      <c r="O105" s="1019"/>
      <c r="P105" s="1017"/>
      <c r="Q105" s="1018"/>
      <c r="R105" s="1018"/>
      <c r="S105" s="1019"/>
      <c r="T105" s="1147" t="s">
        <v>1298</v>
      </c>
      <c r="U105" s="1148"/>
      <c r="V105" s="1148"/>
      <c r="W105" s="1149"/>
      <c r="X105" s="880"/>
    </row>
    <row r="106" spans="1:24" ht="13.5" thickBot="1">
      <c r="A106" s="885"/>
      <c r="B106" s="885"/>
      <c r="C106" s="1142" t="s">
        <v>413</v>
      </c>
      <c r="D106" s="927" t="s">
        <v>4</v>
      </c>
      <c r="E106" s="928"/>
      <c r="F106" s="928"/>
      <c r="G106" s="928"/>
      <c r="H106" s="928"/>
      <c r="I106" s="928"/>
      <c r="J106" s="928"/>
      <c r="K106" s="928"/>
      <c r="L106" s="928"/>
      <c r="M106" s="928"/>
      <c r="N106" s="928"/>
      <c r="O106" s="928"/>
      <c r="P106" s="928"/>
      <c r="Q106" s="928"/>
      <c r="R106" s="928"/>
      <c r="S106" s="928"/>
      <c r="T106" s="928"/>
      <c r="U106" s="928"/>
      <c r="V106" s="928"/>
      <c r="W106" s="929"/>
      <c r="X106" s="880"/>
    </row>
    <row r="107" spans="1:24" ht="13.5" thickBot="1">
      <c r="A107" s="885"/>
      <c r="B107" s="869"/>
      <c r="C107" s="1143"/>
      <c r="D107" s="930" t="s">
        <v>118</v>
      </c>
      <c r="E107" s="931"/>
      <c r="F107" s="931"/>
      <c r="G107" s="931"/>
      <c r="H107" s="931"/>
      <c r="I107" s="931"/>
      <c r="J107" s="931"/>
      <c r="K107" s="931"/>
      <c r="L107" s="931"/>
      <c r="M107" s="931"/>
      <c r="N107" s="931"/>
      <c r="O107" s="931"/>
      <c r="P107" s="931"/>
      <c r="Q107" s="931"/>
      <c r="R107" s="931"/>
      <c r="S107" s="931"/>
      <c r="T107" s="931"/>
      <c r="U107" s="931"/>
      <c r="V107" s="931"/>
      <c r="W107" s="932"/>
      <c r="X107" s="880"/>
    </row>
    <row r="108" spans="1:24" ht="13.5" thickBot="1">
      <c r="A108" s="885"/>
      <c r="B108" s="11" t="s">
        <v>18</v>
      </c>
      <c r="C108" s="12"/>
      <c r="D108" s="927" t="s">
        <v>78</v>
      </c>
      <c r="E108" s="928"/>
      <c r="F108" s="928"/>
      <c r="G108" s="929"/>
      <c r="H108" s="927" t="s">
        <v>77</v>
      </c>
      <c r="I108" s="928"/>
      <c r="J108" s="928"/>
      <c r="K108" s="929"/>
      <c r="L108" s="927" t="s">
        <v>81</v>
      </c>
      <c r="M108" s="928"/>
      <c r="N108" s="928"/>
      <c r="O108" s="929"/>
      <c r="P108" s="927" t="s">
        <v>254</v>
      </c>
      <c r="Q108" s="928"/>
      <c r="R108" s="928"/>
      <c r="S108" s="929"/>
      <c r="T108" s="927" t="s">
        <v>76</v>
      </c>
      <c r="U108" s="928"/>
      <c r="V108" s="928"/>
      <c r="W108" s="929"/>
      <c r="X108" s="880"/>
    </row>
    <row r="109" spans="1:24" ht="13.5" thickBot="1">
      <c r="A109" s="885"/>
      <c r="B109" s="868" t="s">
        <v>60</v>
      </c>
      <c r="C109" s="9" t="s">
        <v>247</v>
      </c>
      <c r="D109" s="924">
        <f>SUM('State DisAgg LFx10 (2015)'!D239:G243)</f>
        <v>1</v>
      </c>
      <c r="E109" s="925"/>
      <c r="F109" s="925"/>
      <c r="G109" s="926"/>
      <c r="H109" s="924">
        <f>SUM('State DisAgg LFx10 (2015)'!H239:K246)</f>
        <v>8</v>
      </c>
      <c r="I109" s="925"/>
      <c r="J109" s="925"/>
      <c r="K109" s="926"/>
      <c r="L109" s="924">
        <f>SUM('State DisAgg LFx10 (2015)'!L239:O248)</f>
        <v>17</v>
      </c>
      <c r="M109" s="925"/>
      <c r="N109" s="925"/>
      <c r="O109" s="926"/>
      <c r="P109" s="939">
        <f>SUM('State DisAgg LFx10 (2015)'!P239:S248)</f>
        <v>19</v>
      </c>
      <c r="Q109" s="940"/>
      <c r="R109" s="940"/>
      <c r="S109" s="941"/>
      <c r="T109" s="1188" t="s">
        <v>1351</v>
      </c>
      <c r="U109" s="1189"/>
      <c r="V109" s="1189"/>
      <c r="W109" s="1190"/>
      <c r="X109" s="880"/>
    </row>
    <row r="110" spans="1:24" ht="13.5" thickBot="1">
      <c r="A110" s="869"/>
      <c r="B110" s="885"/>
      <c r="C110" s="102" t="s">
        <v>246</v>
      </c>
      <c r="D110" s="1003" t="s">
        <v>172</v>
      </c>
      <c r="E110" s="1004"/>
      <c r="F110" s="1004"/>
      <c r="G110" s="1005"/>
      <c r="H110" s="1003" t="s">
        <v>417</v>
      </c>
      <c r="I110" s="1004"/>
      <c r="J110" s="1004"/>
      <c r="K110" s="1005"/>
      <c r="L110" s="1140">
        <f>SUM('State DisAgg LFx10 (2015)'!L249:O256)</f>
        <v>11</v>
      </c>
      <c r="M110" s="1156"/>
      <c r="N110" s="1156"/>
      <c r="O110" s="1141"/>
      <c r="P110" s="1181">
        <f>SUM('State DisAgg LFx10 (2015)'!P249:S258)</f>
        <v>38</v>
      </c>
      <c r="Q110" s="1208"/>
      <c r="R110" s="1208"/>
      <c r="S110" s="1182"/>
      <c r="T110" s="1185" t="s">
        <v>1353</v>
      </c>
      <c r="U110" s="1186"/>
      <c r="V110" s="1186"/>
      <c r="W110" s="1187"/>
      <c r="X110" s="881"/>
    </row>
    <row r="111" spans="1:24" ht="13.5" thickBot="1">
      <c r="A111" s="766" t="s">
        <v>13</v>
      </c>
      <c r="B111" s="885"/>
      <c r="C111" s="1142" t="s">
        <v>413</v>
      </c>
      <c r="D111" s="927" t="s">
        <v>4</v>
      </c>
      <c r="E111" s="928"/>
      <c r="F111" s="928"/>
      <c r="G111" s="928"/>
      <c r="H111" s="928"/>
      <c r="I111" s="928"/>
      <c r="J111" s="928"/>
      <c r="K111" s="928"/>
      <c r="L111" s="928"/>
      <c r="M111" s="928"/>
      <c r="N111" s="928"/>
      <c r="O111" s="928"/>
      <c r="P111" s="928"/>
      <c r="Q111" s="928"/>
      <c r="R111" s="928"/>
      <c r="S111" s="928"/>
      <c r="T111" s="928"/>
      <c r="U111" s="928"/>
      <c r="V111" s="928"/>
      <c r="W111" s="929"/>
      <c r="X111" s="24" t="s">
        <v>14</v>
      </c>
    </row>
    <row r="112" spans="1:24" ht="13.5" thickBot="1">
      <c r="A112" s="25" t="s">
        <v>75</v>
      </c>
      <c r="B112" s="869"/>
      <c r="C112" s="1143"/>
      <c r="D112" s="930" t="s">
        <v>119</v>
      </c>
      <c r="E112" s="931"/>
      <c r="F112" s="931"/>
      <c r="G112" s="931"/>
      <c r="H112" s="931"/>
      <c r="I112" s="931"/>
      <c r="J112" s="931"/>
      <c r="K112" s="931"/>
      <c r="L112" s="931"/>
      <c r="M112" s="931"/>
      <c r="N112" s="931"/>
      <c r="O112" s="931"/>
      <c r="P112" s="931"/>
      <c r="Q112" s="931"/>
      <c r="R112" s="931"/>
      <c r="S112" s="931"/>
      <c r="T112" s="931"/>
      <c r="U112" s="931"/>
      <c r="V112" s="931"/>
      <c r="W112" s="932"/>
      <c r="X112" s="18" t="s">
        <v>92</v>
      </c>
    </row>
    <row r="113" spans="1:24" ht="13.5" thickBot="1">
      <c r="A113" s="906" t="s">
        <v>7</v>
      </c>
      <c r="B113" s="908" t="s">
        <v>173</v>
      </c>
      <c r="C113" s="918"/>
      <c r="D113" s="908" t="s">
        <v>8</v>
      </c>
      <c r="E113" s="918"/>
      <c r="F113" s="918"/>
      <c r="G113" s="909"/>
      <c r="H113" s="908" t="s">
        <v>88</v>
      </c>
      <c r="I113" s="918"/>
      <c r="J113" s="918"/>
      <c r="K113" s="909"/>
      <c r="L113" s="908" t="s">
        <v>89</v>
      </c>
      <c r="M113" s="918"/>
      <c r="N113" s="918"/>
      <c r="O113" s="909"/>
      <c r="P113" s="908" t="s">
        <v>9</v>
      </c>
      <c r="Q113" s="918"/>
      <c r="R113" s="918"/>
      <c r="S113" s="909"/>
      <c r="T113" s="908" t="s">
        <v>174</v>
      </c>
      <c r="U113" s="918"/>
      <c r="V113" s="918"/>
      <c r="W113" s="918"/>
      <c r="X113" s="909"/>
    </row>
    <row r="114" spans="1:24" ht="13.5" thickBot="1">
      <c r="A114" s="907"/>
      <c r="B114" s="919">
        <v>6200000</v>
      </c>
      <c r="C114" s="921"/>
      <c r="D114" s="919">
        <v>900000</v>
      </c>
      <c r="E114" s="921"/>
      <c r="F114" s="921"/>
      <c r="G114" s="920"/>
      <c r="H114" s="919">
        <v>1800000</v>
      </c>
      <c r="I114" s="921"/>
      <c r="J114" s="921"/>
      <c r="K114" s="920"/>
      <c r="L114" s="919">
        <v>3300000</v>
      </c>
      <c r="M114" s="921"/>
      <c r="N114" s="921"/>
      <c r="O114" s="920"/>
      <c r="P114" s="919">
        <f>SUM(B114:O114)</f>
        <v>12200000</v>
      </c>
      <c r="Q114" s="921"/>
      <c r="R114" s="921"/>
      <c r="S114" s="920"/>
      <c r="T114" s="942">
        <f>B114/P114%</f>
        <v>50.819672131147541</v>
      </c>
      <c r="U114" s="943"/>
      <c r="V114" s="943"/>
      <c r="W114" s="943"/>
      <c r="X114" s="944"/>
    </row>
    <row r="115" spans="1:24" ht="13.5" thickBot="1">
      <c r="A115" s="906" t="s">
        <v>10</v>
      </c>
      <c r="B115" s="908" t="s">
        <v>175</v>
      </c>
      <c r="C115" s="918"/>
      <c r="D115" s="910"/>
      <c r="E115" s="911"/>
      <c r="F115" s="911"/>
      <c r="G115" s="911"/>
      <c r="H115" s="911"/>
      <c r="I115" s="911"/>
      <c r="J115" s="911"/>
      <c r="K115" s="911"/>
      <c r="L115" s="911"/>
      <c r="M115" s="911"/>
      <c r="N115" s="911"/>
      <c r="O115" s="911"/>
      <c r="P115" s="911"/>
      <c r="Q115" s="911"/>
      <c r="R115" s="911"/>
      <c r="S115" s="911"/>
      <c r="T115" s="911"/>
      <c r="U115" s="911"/>
      <c r="V115" s="911"/>
      <c r="W115" s="911"/>
      <c r="X115" s="912"/>
    </row>
    <row r="116" spans="1:24" ht="13.5" thickBot="1">
      <c r="A116" s="907"/>
      <c r="B116" s="916"/>
      <c r="C116" s="994"/>
      <c r="D116" s="913"/>
      <c r="E116" s="914"/>
      <c r="F116" s="914"/>
      <c r="G116" s="914"/>
      <c r="H116" s="914"/>
      <c r="I116" s="914"/>
      <c r="J116" s="914"/>
      <c r="K116" s="914"/>
      <c r="L116" s="914"/>
      <c r="M116" s="914"/>
      <c r="N116" s="914"/>
      <c r="O116" s="914"/>
      <c r="P116" s="914"/>
      <c r="Q116" s="914"/>
      <c r="R116" s="914"/>
      <c r="S116" s="914"/>
      <c r="T116" s="914"/>
      <c r="U116" s="914"/>
      <c r="V116" s="914"/>
      <c r="W116" s="914"/>
      <c r="X116" s="915"/>
    </row>
    <row r="117" spans="1:24">
      <c r="A117" s="5"/>
      <c r="B117" s="5"/>
      <c r="C117" s="6"/>
      <c r="D117" s="5"/>
      <c r="E117" s="5"/>
      <c r="F117" s="5"/>
      <c r="G117" s="5"/>
      <c r="H117" s="5"/>
      <c r="I117" s="5"/>
      <c r="J117" s="5"/>
      <c r="K117" s="5"/>
      <c r="L117" s="5"/>
      <c r="M117" s="5"/>
      <c r="N117" s="5"/>
      <c r="O117" s="5"/>
      <c r="P117" s="5"/>
      <c r="Q117" s="5"/>
      <c r="R117" s="5"/>
      <c r="S117" s="5"/>
      <c r="T117" s="5"/>
      <c r="U117" s="5"/>
      <c r="V117" s="5"/>
      <c r="W117" s="5"/>
      <c r="X117" s="5"/>
    </row>
    <row r="118" spans="1:24" ht="13.5" thickBot="1">
      <c r="A118" s="5"/>
      <c r="B118" s="5"/>
      <c r="C118" s="6"/>
      <c r="D118" s="5"/>
      <c r="E118" s="5"/>
      <c r="F118" s="5"/>
      <c r="G118" s="5"/>
      <c r="H118" s="5"/>
      <c r="I118" s="5"/>
      <c r="J118" s="5"/>
      <c r="K118" s="5"/>
      <c r="L118" s="5"/>
      <c r="M118" s="5"/>
      <c r="N118" s="5"/>
      <c r="O118" s="5"/>
      <c r="P118" s="5"/>
      <c r="Q118" s="5"/>
      <c r="R118" s="5"/>
      <c r="S118" s="5"/>
      <c r="T118" s="5"/>
      <c r="U118" s="5"/>
      <c r="V118" s="5"/>
      <c r="W118" s="5"/>
      <c r="X118" s="5"/>
    </row>
    <row r="119" spans="1:24" ht="13.5" thickBot="1">
      <c r="A119" s="765" t="s">
        <v>15</v>
      </c>
      <c r="B119" s="773" t="s">
        <v>19</v>
      </c>
      <c r="C119" s="8"/>
      <c r="D119" s="927" t="s">
        <v>78</v>
      </c>
      <c r="E119" s="928"/>
      <c r="F119" s="928"/>
      <c r="G119" s="929"/>
      <c r="H119" s="927" t="s">
        <v>77</v>
      </c>
      <c r="I119" s="928"/>
      <c r="J119" s="928"/>
      <c r="K119" s="929"/>
      <c r="L119" s="927" t="s">
        <v>81</v>
      </c>
      <c r="M119" s="928"/>
      <c r="N119" s="928"/>
      <c r="O119" s="929"/>
      <c r="P119" s="927" t="s">
        <v>254</v>
      </c>
      <c r="Q119" s="928"/>
      <c r="R119" s="928"/>
      <c r="S119" s="929"/>
      <c r="T119" s="927" t="s">
        <v>76</v>
      </c>
      <c r="U119" s="928"/>
      <c r="V119" s="928"/>
      <c r="W119" s="929"/>
      <c r="X119" s="16" t="s">
        <v>6</v>
      </c>
    </row>
    <row r="120" spans="1:24" ht="13.5" thickBot="1">
      <c r="A120" s="868" t="s">
        <v>61</v>
      </c>
      <c r="B120" s="868" t="s">
        <v>62</v>
      </c>
      <c r="C120" s="9" t="s">
        <v>235</v>
      </c>
      <c r="D120" s="942">
        <f>SUM('State DisAgg LFx10 (2015)'!D268:G272)/5</f>
        <v>1</v>
      </c>
      <c r="E120" s="943"/>
      <c r="F120" s="943"/>
      <c r="G120" s="944"/>
      <c r="H120" s="942">
        <f>SUM('State DisAgg LFx10 (2015)'!H268:K272)/5</f>
        <v>1.7</v>
      </c>
      <c r="I120" s="943"/>
      <c r="J120" s="943"/>
      <c r="K120" s="944"/>
      <c r="L120" s="942">
        <f>SUM('State DisAgg LFx10 (2015)'!L268:O272)/5</f>
        <v>2.4</v>
      </c>
      <c r="M120" s="943"/>
      <c r="N120" s="943"/>
      <c r="O120" s="944"/>
      <c r="P120" s="963">
        <f>SUM('State DisAgg LFx10 (2015)'!P268:S272)/5</f>
        <v>3.1399999999999997</v>
      </c>
      <c r="Q120" s="964"/>
      <c r="R120" s="964"/>
      <c r="S120" s="965"/>
      <c r="T120" s="963" t="s">
        <v>1320</v>
      </c>
      <c r="U120" s="964"/>
      <c r="V120" s="964"/>
      <c r="W120" s="965"/>
      <c r="X120" s="879" t="s">
        <v>94</v>
      </c>
    </row>
    <row r="121" spans="1:24" ht="13.5" thickBot="1">
      <c r="A121" s="885"/>
      <c r="B121" s="885"/>
      <c r="C121" s="9" t="s">
        <v>233</v>
      </c>
      <c r="D121" s="966" t="s">
        <v>255</v>
      </c>
      <c r="E121" s="967"/>
      <c r="F121" s="967"/>
      <c r="G121" s="968"/>
      <c r="H121" s="942">
        <f>SUM('State DisAgg LFx10 (2015)'!H273:K275)/3</f>
        <v>1</v>
      </c>
      <c r="I121" s="943"/>
      <c r="J121" s="943"/>
      <c r="K121" s="944"/>
      <c r="L121" s="942">
        <f>SUM('State DisAgg LFx10 (2015)'!L273:O275)/3</f>
        <v>1</v>
      </c>
      <c r="M121" s="943"/>
      <c r="N121" s="943"/>
      <c r="O121" s="944"/>
      <c r="P121" s="963">
        <f>SUM('State DisAgg LFx10 (2015)'!P273:S275)/3</f>
        <v>1.4333333333333333</v>
      </c>
      <c r="Q121" s="964"/>
      <c r="R121" s="964"/>
      <c r="S121" s="965"/>
      <c r="T121" s="1188" t="s">
        <v>1322</v>
      </c>
      <c r="U121" s="1189"/>
      <c r="V121" s="1189"/>
      <c r="W121" s="1190"/>
      <c r="X121" s="880"/>
    </row>
    <row r="122" spans="1:24" ht="12.95" customHeight="1" thickBot="1">
      <c r="A122" s="885"/>
      <c r="B122" s="885"/>
      <c r="C122" s="9" t="s">
        <v>234</v>
      </c>
      <c r="D122" s="957"/>
      <c r="E122" s="958"/>
      <c r="F122" s="958"/>
      <c r="G122" s="959"/>
      <c r="H122" s="1048"/>
      <c r="I122" s="1049"/>
      <c r="J122" s="1049"/>
      <c r="K122" s="1050"/>
      <c r="L122" s="1057" t="s">
        <v>909</v>
      </c>
      <c r="M122" s="1058"/>
      <c r="N122" s="1058"/>
      <c r="O122" s="1059"/>
      <c r="P122" s="963">
        <f>SUM('State DisAgg LFx10 (2015)'!P276:S277)/2</f>
        <v>1.05</v>
      </c>
      <c r="Q122" s="964"/>
      <c r="R122" s="964"/>
      <c r="S122" s="965"/>
      <c r="T122" s="1191" t="s">
        <v>1321</v>
      </c>
      <c r="U122" s="1192"/>
      <c r="V122" s="1192"/>
      <c r="W122" s="1193"/>
      <c r="X122" s="880"/>
    </row>
    <row r="123" spans="1:24" ht="13.5" thickBot="1">
      <c r="A123" s="885"/>
      <c r="B123" s="885"/>
      <c r="C123" s="102" t="s">
        <v>236</v>
      </c>
      <c r="D123" s="1008" t="s">
        <v>587</v>
      </c>
      <c r="E123" s="1009"/>
      <c r="F123" s="1009"/>
      <c r="G123" s="1010"/>
      <c r="H123" s="1147">
        <f>SUM('State DisAgg LFx10 (2015)'!H278:K282)/5</f>
        <v>1.2</v>
      </c>
      <c r="I123" s="1148"/>
      <c r="J123" s="1148"/>
      <c r="K123" s="1149"/>
      <c r="L123" s="1147">
        <f>SUM('State DisAgg LFx10 (2015)'!L278:O282)/5</f>
        <v>2.5</v>
      </c>
      <c r="M123" s="1148"/>
      <c r="N123" s="1148"/>
      <c r="O123" s="1149"/>
      <c r="P123" s="1147">
        <f>SUM('State DisAgg LFx10 (2015)'!P278:S282)/5</f>
        <v>3.2400000000000007</v>
      </c>
      <c r="Q123" s="1148"/>
      <c r="R123" s="1148"/>
      <c r="S123" s="1149"/>
      <c r="T123" s="1185" t="s">
        <v>1323</v>
      </c>
      <c r="U123" s="1186"/>
      <c r="V123" s="1186"/>
      <c r="W123" s="1187"/>
      <c r="X123" s="880"/>
    </row>
    <row r="124" spans="1:24" ht="13.5" thickBot="1">
      <c r="A124" s="885"/>
      <c r="B124" s="885"/>
      <c r="C124" s="102" t="s">
        <v>283</v>
      </c>
      <c r="D124" s="1017"/>
      <c r="E124" s="1018"/>
      <c r="F124" s="1018"/>
      <c r="G124" s="1019"/>
      <c r="H124" s="1017"/>
      <c r="I124" s="1018"/>
      <c r="J124" s="1018"/>
      <c r="K124" s="1019"/>
      <c r="L124" s="1147">
        <f>SUM('State DisAgg LFx10 (2015)'!L283:O285)/3</f>
        <v>1</v>
      </c>
      <c r="M124" s="1148"/>
      <c r="N124" s="1148"/>
      <c r="O124" s="1149"/>
      <c r="P124" s="1147">
        <f>SUM('State DisAgg LFx10 (2015)'!P283:S285)/3</f>
        <v>1.6666666666666667</v>
      </c>
      <c r="Q124" s="1148"/>
      <c r="R124" s="1148"/>
      <c r="S124" s="1149"/>
      <c r="T124" s="1185" t="s">
        <v>1296</v>
      </c>
      <c r="U124" s="1186"/>
      <c r="V124" s="1186"/>
      <c r="W124" s="1187"/>
      <c r="X124" s="880"/>
    </row>
    <row r="125" spans="1:24" ht="13.5" thickBot="1">
      <c r="A125" s="885"/>
      <c r="B125" s="885"/>
      <c r="C125" s="102" t="s">
        <v>284</v>
      </c>
      <c r="D125" s="1017"/>
      <c r="E125" s="1018"/>
      <c r="F125" s="1018"/>
      <c r="G125" s="1019"/>
      <c r="H125" s="1017"/>
      <c r="I125" s="1018"/>
      <c r="J125" s="1018"/>
      <c r="K125" s="1019"/>
      <c r="L125" s="1017"/>
      <c r="M125" s="1018"/>
      <c r="N125" s="1018"/>
      <c r="O125" s="1019"/>
      <c r="P125" s="1017"/>
      <c r="Q125" s="1018"/>
      <c r="R125" s="1018"/>
      <c r="S125" s="1019"/>
      <c r="T125" s="1147" t="s">
        <v>1298</v>
      </c>
      <c r="U125" s="1148"/>
      <c r="V125" s="1148"/>
      <c r="W125" s="1149"/>
      <c r="X125" s="880"/>
    </row>
    <row r="126" spans="1:24" ht="13.5" thickBot="1">
      <c r="A126" s="885"/>
      <c r="B126" s="885"/>
      <c r="C126" s="1142" t="s">
        <v>413</v>
      </c>
      <c r="D126" s="927" t="s">
        <v>4</v>
      </c>
      <c r="E126" s="928"/>
      <c r="F126" s="928"/>
      <c r="G126" s="928"/>
      <c r="H126" s="928"/>
      <c r="I126" s="928"/>
      <c r="J126" s="928"/>
      <c r="K126" s="928"/>
      <c r="L126" s="928"/>
      <c r="M126" s="928"/>
      <c r="N126" s="928"/>
      <c r="O126" s="928"/>
      <c r="P126" s="928"/>
      <c r="Q126" s="928"/>
      <c r="R126" s="928"/>
      <c r="S126" s="928"/>
      <c r="T126" s="928"/>
      <c r="U126" s="928"/>
      <c r="V126" s="928"/>
      <c r="W126" s="929"/>
      <c r="X126" s="880"/>
    </row>
    <row r="127" spans="1:24" ht="24" customHeight="1" thickBot="1">
      <c r="A127" s="885"/>
      <c r="B127" s="869"/>
      <c r="C127" s="1143"/>
      <c r="D127" s="930" t="s">
        <v>120</v>
      </c>
      <c r="E127" s="931"/>
      <c r="F127" s="931"/>
      <c r="G127" s="931"/>
      <c r="H127" s="931"/>
      <c r="I127" s="931"/>
      <c r="J127" s="931"/>
      <c r="K127" s="931"/>
      <c r="L127" s="931"/>
      <c r="M127" s="931"/>
      <c r="N127" s="931"/>
      <c r="O127" s="931"/>
      <c r="P127" s="931"/>
      <c r="Q127" s="931"/>
      <c r="R127" s="931"/>
      <c r="S127" s="931"/>
      <c r="T127" s="931"/>
      <c r="U127" s="931"/>
      <c r="V127" s="931"/>
      <c r="W127" s="932"/>
      <c r="X127" s="880"/>
    </row>
    <row r="128" spans="1:24" ht="13.5" thickBot="1">
      <c r="A128" s="885"/>
      <c r="B128" s="11" t="s">
        <v>20</v>
      </c>
      <c r="C128" s="12"/>
      <c r="D128" s="927" t="s">
        <v>78</v>
      </c>
      <c r="E128" s="928"/>
      <c r="F128" s="928"/>
      <c r="G128" s="929"/>
      <c r="H128" s="927" t="s">
        <v>77</v>
      </c>
      <c r="I128" s="928"/>
      <c r="J128" s="928"/>
      <c r="K128" s="929"/>
      <c r="L128" s="927" t="s">
        <v>81</v>
      </c>
      <c r="M128" s="928"/>
      <c r="N128" s="928"/>
      <c r="O128" s="929"/>
      <c r="P128" s="927" t="s">
        <v>254</v>
      </c>
      <c r="Q128" s="928"/>
      <c r="R128" s="928"/>
      <c r="S128" s="929"/>
      <c r="T128" s="927" t="s">
        <v>76</v>
      </c>
      <c r="U128" s="928"/>
      <c r="V128" s="928"/>
      <c r="W128" s="929"/>
      <c r="X128" s="880"/>
    </row>
    <row r="129" spans="1:24" ht="13.5" thickBot="1">
      <c r="A129" s="885"/>
      <c r="B129" s="868" t="s">
        <v>59</v>
      </c>
      <c r="C129" s="9" t="s">
        <v>235</v>
      </c>
      <c r="D129" s="942">
        <f>SUM('State DisAgg LFx10 (2015)'!D291:G295)/5</f>
        <v>1</v>
      </c>
      <c r="E129" s="943"/>
      <c r="F129" s="943"/>
      <c r="G129" s="944"/>
      <c r="H129" s="942">
        <f>SUM('State DisAgg LFx10 (2015)'!H291:K295)/5</f>
        <v>1.64</v>
      </c>
      <c r="I129" s="943"/>
      <c r="J129" s="943"/>
      <c r="K129" s="944"/>
      <c r="L129" s="942">
        <f>SUM('State DisAgg LFx10 (2015)'!L291:O295)/5</f>
        <v>2.5</v>
      </c>
      <c r="M129" s="943"/>
      <c r="N129" s="943"/>
      <c r="O129" s="944"/>
      <c r="P129" s="963">
        <f>SUM('State DisAgg LFx10 (2015)'!P291:S295)/5</f>
        <v>3.3</v>
      </c>
      <c r="Q129" s="964"/>
      <c r="R129" s="964"/>
      <c r="S129" s="965"/>
      <c r="T129" s="1205" t="s">
        <v>1503</v>
      </c>
      <c r="U129" s="1206"/>
      <c r="V129" s="1206"/>
      <c r="W129" s="1207"/>
      <c r="X129" s="880"/>
    </row>
    <row r="130" spans="1:24" ht="13.5" thickBot="1">
      <c r="A130" s="885"/>
      <c r="B130" s="885"/>
      <c r="C130" s="9" t="s">
        <v>233</v>
      </c>
      <c r="D130" s="966" t="s">
        <v>255</v>
      </c>
      <c r="E130" s="967"/>
      <c r="F130" s="967"/>
      <c r="G130" s="968"/>
      <c r="H130" s="942">
        <f>SUM('State DisAgg LFx10 (2015)'!H296:K298)/3</f>
        <v>1</v>
      </c>
      <c r="I130" s="943"/>
      <c r="J130" s="943"/>
      <c r="K130" s="944"/>
      <c r="L130" s="942">
        <f>SUM('State DisAgg LFx10 (2015)'!L296:O298)/3</f>
        <v>1</v>
      </c>
      <c r="M130" s="943"/>
      <c r="N130" s="943"/>
      <c r="O130" s="944"/>
      <c r="P130" s="963">
        <f>SUM('State DisAgg LFx10 (2015)'!P296:S298)/3</f>
        <v>1.3</v>
      </c>
      <c r="Q130" s="964"/>
      <c r="R130" s="964"/>
      <c r="S130" s="965"/>
      <c r="T130" s="1194" t="s">
        <v>1324</v>
      </c>
      <c r="U130" s="1195"/>
      <c r="V130" s="1195"/>
      <c r="W130" s="1196"/>
      <c r="X130" s="880"/>
    </row>
    <row r="131" spans="1:24" ht="12.95" customHeight="1" thickBot="1">
      <c r="A131" s="885"/>
      <c r="B131" s="885"/>
      <c r="C131" s="9" t="s">
        <v>234</v>
      </c>
      <c r="D131" s="957"/>
      <c r="E131" s="958"/>
      <c r="F131" s="958"/>
      <c r="G131" s="959"/>
      <c r="H131" s="1048"/>
      <c r="I131" s="1049"/>
      <c r="J131" s="1049"/>
      <c r="K131" s="1050"/>
      <c r="L131" s="1057" t="s">
        <v>909</v>
      </c>
      <c r="M131" s="1058"/>
      <c r="N131" s="1058"/>
      <c r="O131" s="1059"/>
      <c r="P131" s="963">
        <f>SUM('State DisAgg LFx10 (2015)'!P299:S300)/2</f>
        <v>1</v>
      </c>
      <c r="Q131" s="964"/>
      <c r="R131" s="964"/>
      <c r="S131" s="965"/>
      <c r="T131" s="1191" t="s">
        <v>1325</v>
      </c>
      <c r="U131" s="1192"/>
      <c r="V131" s="1192"/>
      <c r="W131" s="1193"/>
      <c r="X131" s="880"/>
    </row>
    <row r="132" spans="1:24" ht="13.5" thickBot="1">
      <c r="A132" s="885"/>
      <c r="B132" s="885"/>
      <c r="C132" s="102" t="s">
        <v>236</v>
      </c>
      <c r="D132" s="1008" t="s">
        <v>588</v>
      </c>
      <c r="E132" s="1009"/>
      <c r="F132" s="1009"/>
      <c r="G132" s="1010"/>
      <c r="H132" s="1147">
        <f>SUM('State DisAgg LFx10 (2015)'!H301:K305)/5</f>
        <v>0.9</v>
      </c>
      <c r="I132" s="1148"/>
      <c r="J132" s="1148"/>
      <c r="K132" s="1149"/>
      <c r="L132" s="1147">
        <f>SUM('State DisAgg LFx10 (2015)'!L301:O305)/5</f>
        <v>2.9</v>
      </c>
      <c r="M132" s="1148"/>
      <c r="N132" s="1148"/>
      <c r="O132" s="1149"/>
      <c r="P132" s="1147">
        <f>SUM('State DisAgg LFx10 (2015)'!P301:S305)/5</f>
        <v>3.3599999999999994</v>
      </c>
      <c r="Q132" s="1148"/>
      <c r="R132" s="1148"/>
      <c r="S132" s="1149"/>
      <c r="T132" s="1147" t="s">
        <v>1326</v>
      </c>
      <c r="U132" s="1148"/>
      <c r="V132" s="1148"/>
      <c r="W132" s="1149"/>
      <c r="X132" s="880"/>
    </row>
    <row r="133" spans="1:24" ht="13.5" thickBot="1">
      <c r="A133" s="885"/>
      <c r="B133" s="885"/>
      <c r="C133" s="102" t="s">
        <v>283</v>
      </c>
      <c r="D133" s="1017"/>
      <c r="E133" s="1018"/>
      <c r="F133" s="1018"/>
      <c r="G133" s="1019"/>
      <c r="H133" s="1017"/>
      <c r="I133" s="1018"/>
      <c r="J133" s="1018"/>
      <c r="K133" s="1019"/>
      <c r="L133" s="1147">
        <f>SUM('State DisAgg LFx10 (2015)'!L306:O308)/3</f>
        <v>1</v>
      </c>
      <c r="M133" s="1148"/>
      <c r="N133" s="1148"/>
      <c r="O133" s="1149"/>
      <c r="P133" s="1185">
        <f>SUM('State DisAgg LFx10 (2015)'!P306:S308)/3</f>
        <v>2.6666666666666665</v>
      </c>
      <c r="Q133" s="1186"/>
      <c r="R133" s="1186"/>
      <c r="S133" s="1187"/>
      <c r="T133" s="1185" t="s">
        <v>1297</v>
      </c>
      <c r="U133" s="1186"/>
      <c r="V133" s="1186"/>
      <c r="W133" s="1187"/>
      <c r="X133" s="880"/>
    </row>
    <row r="134" spans="1:24" ht="13.5" thickBot="1">
      <c r="A134" s="885"/>
      <c r="B134" s="885"/>
      <c r="C134" s="102" t="s">
        <v>284</v>
      </c>
      <c r="D134" s="1017"/>
      <c r="E134" s="1018"/>
      <c r="F134" s="1018"/>
      <c r="G134" s="1019"/>
      <c r="H134" s="1017"/>
      <c r="I134" s="1018"/>
      <c r="J134" s="1018"/>
      <c r="K134" s="1019"/>
      <c r="L134" s="1017"/>
      <c r="M134" s="1018"/>
      <c r="N134" s="1018"/>
      <c r="O134" s="1019"/>
      <c r="P134" s="1017"/>
      <c r="Q134" s="1018"/>
      <c r="R134" s="1018"/>
      <c r="S134" s="1019"/>
      <c r="T134" s="1147" t="s">
        <v>1298</v>
      </c>
      <c r="U134" s="1148"/>
      <c r="V134" s="1148"/>
      <c r="W134" s="1149"/>
      <c r="X134" s="880"/>
    </row>
    <row r="135" spans="1:24" ht="13.5" thickBot="1">
      <c r="A135" s="885"/>
      <c r="B135" s="885"/>
      <c r="C135" s="1142" t="s">
        <v>413</v>
      </c>
      <c r="D135" s="927" t="s">
        <v>4</v>
      </c>
      <c r="E135" s="928"/>
      <c r="F135" s="928"/>
      <c r="G135" s="928"/>
      <c r="H135" s="928"/>
      <c r="I135" s="928"/>
      <c r="J135" s="928"/>
      <c r="K135" s="928"/>
      <c r="L135" s="928"/>
      <c r="M135" s="928"/>
      <c r="N135" s="928"/>
      <c r="O135" s="928"/>
      <c r="P135" s="928"/>
      <c r="Q135" s="928"/>
      <c r="R135" s="928"/>
      <c r="S135" s="928"/>
      <c r="T135" s="928"/>
      <c r="U135" s="928"/>
      <c r="V135" s="928"/>
      <c r="W135" s="929"/>
      <c r="X135" s="880"/>
    </row>
    <row r="136" spans="1:24" ht="13.5" thickBot="1">
      <c r="A136" s="885"/>
      <c r="B136" s="869"/>
      <c r="C136" s="1143"/>
      <c r="D136" s="930" t="s">
        <v>118</v>
      </c>
      <c r="E136" s="931"/>
      <c r="F136" s="931"/>
      <c r="G136" s="931"/>
      <c r="H136" s="931"/>
      <c r="I136" s="931"/>
      <c r="J136" s="931"/>
      <c r="K136" s="931"/>
      <c r="L136" s="931"/>
      <c r="M136" s="931"/>
      <c r="N136" s="931"/>
      <c r="O136" s="931"/>
      <c r="P136" s="931"/>
      <c r="Q136" s="931"/>
      <c r="R136" s="931"/>
      <c r="S136" s="931"/>
      <c r="T136" s="931"/>
      <c r="U136" s="931"/>
      <c r="V136" s="931"/>
      <c r="W136" s="932"/>
      <c r="X136" s="880"/>
    </row>
    <row r="137" spans="1:24" ht="13.5" thickBot="1">
      <c r="A137" s="885"/>
      <c r="B137" s="11" t="s">
        <v>21</v>
      </c>
      <c r="C137" s="12"/>
      <c r="D137" s="927" t="s">
        <v>78</v>
      </c>
      <c r="E137" s="928"/>
      <c r="F137" s="928"/>
      <c r="G137" s="929"/>
      <c r="H137" s="927" t="s">
        <v>77</v>
      </c>
      <c r="I137" s="928"/>
      <c r="J137" s="928"/>
      <c r="K137" s="929"/>
      <c r="L137" s="927" t="s">
        <v>81</v>
      </c>
      <c r="M137" s="928"/>
      <c r="N137" s="928"/>
      <c r="O137" s="929"/>
      <c r="P137" s="927" t="s">
        <v>254</v>
      </c>
      <c r="Q137" s="928"/>
      <c r="R137" s="928"/>
      <c r="S137" s="929"/>
      <c r="T137" s="927" t="s">
        <v>76</v>
      </c>
      <c r="U137" s="928"/>
      <c r="V137" s="928"/>
      <c r="W137" s="929"/>
      <c r="X137" s="880"/>
    </row>
    <row r="138" spans="1:24" ht="13.5" thickBot="1">
      <c r="A138" s="885"/>
      <c r="B138" s="868" t="s">
        <v>63</v>
      </c>
      <c r="C138" s="9" t="s">
        <v>247</v>
      </c>
      <c r="D138" s="924">
        <f>SUM('State DisAgg LFx10 (2015)'!D314:G318)</f>
        <v>0</v>
      </c>
      <c r="E138" s="925"/>
      <c r="F138" s="925"/>
      <c r="G138" s="926"/>
      <c r="H138" s="924">
        <f>SUM('State DisAgg LFx10 (2015)'!H314:K321)</f>
        <v>7</v>
      </c>
      <c r="I138" s="925"/>
      <c r="J138" s="925"/>
      <c r="K138" s="926"/>
      <c r="L138" s="924">
        <f>SUM('State DisAgg LFx10 (2015)'!L314:O323)</f>
        <v>14</v>
      </c>
      <c r="M138" s="925"/>
      <c r="N138" s="925"/>
      <c r="O138" s="926"/>
      <c r="P138" s="939">
        <f>SUM('State DisAgg LFx10 (2015)'!P314:S323)</f>
        <v>25</v>
      </c>
      <c r="Q138" s="940"/>
      <c r="R138" s="940"/>
      <c r="S138" s="941"/>
      <c r="T138" s="1188" t="s">
        <v>1352</v>
      </c>
      <c r="U138" s="1189"/>
      <c r="V138" s="1189"/>
      <c r="W138" s="1190"/>
      <c r="X138" s="880"/>
    </row>
    <row r="139" spans="1:24" ht="13.5" thickBot="1">
      <c r="A139" s="869"/>
      <c r="B139" s="885"/>
      <c r="C139" s="102" t="s">
        <v>246</v>
      </c>
      <c r="D139" s="1003" t="s">
        <v>172</v>
      </c>
      <c r="E139" s="1004"/>
      <c r="F139" s="1004"/>
      <c r="G139" s="1005"/>
      <c r="H139" s="1003" t="s">
        <v>417</v>
      </c>
      <c r="I139" s="1004"/>
      <c r="J139" s="1004"/>
      <c r="K139" s="1005"/>
      <c r="L139" s="1140">
        <f>SUM('State DisAgg LFx10 (2015)'!L324:O331)</f>
        <v>16</v>
      </c>
      <c r="M139" s="1156"/>
      <c r="N139" s="1156"/>
      <c r="O139" s="1141"/>
      <c r="P139" s="1140">
        <f>SUM('State DisAgg LFx10 (2015)'!P324:S333)</f>
        <v>39</v>
      </c>
      <c r="Q139" s="1156"/>
      <c r="R139" s="1156"/>
      <c r="S139" s="1141"/>
      <c r="T139" s="1185" t="s">
        <v>1354</v>
      </c>
      <c r="U139" s="1186"/>
      <c r="V139" s="1186"/>
      <c r="W139" s="1187"/>
      <c r="X139" s="881"/>
    </row>
    <row r="140" spans="1:24" ht="13.5" thickBot="1">
      <c r="A140" s="766" t="s">
        <v>13</v>
      </c>
      <c r="B140" s="885"/>
      <c r="C140" s="1142" t="s">
        <v>413</v>
      </c>
      <c r="D140" s="927" t="s">
        <v>4</v>
      </c>
      <c r="E140" s="928"/>
      <c r="F140" s="928"/>
      <c r="G140" s="928"/>
      <c r="H140" s="928"/>
      <c r="I140" s="928"/>
      <c r="J140" s="928"/>
      <c r="K140" s="928"/>
      <c r="L140" s="928"/>
      <c r="M140" s="928"/>
      <c r="N140" s="928"/>
      <c r="O140" s="928"/>
      <c r="P140" s="928"/>
      <c r="Q140" s="928"/>
      <c r="R140" s="928"/>
      <c r="S140" s="928"/>
      <c r="T140" s="928"/>
      <c r="U140" s="928"/>
      <c r="V140" s="928"/>
      <c r="W140" s="929"/>
      <c r="X140" s="24" t="s">
        <v>14</v>
      </c>
    </row>
    <row r="141" spans="1:24" ht="13.5" thickBot="1">
      <c r="A141" s="25" t="s">
        <v>75</v>
      </c>
      <c r="B141" s="869"/>
      <c r="C141" s="1143"/>
      <c r="D141" s="930" t="s">
        <v>119</v>
      </c>
      <c r="E141" s="931"/>
      <c r="F141" s="931"/>
      <c r="G141" s="931"/>
      <c r="H141" s="931"/>
      <c r="I141" s="931"/>
      <c r="J141" s="931"/>
      <c r="K141" s="931"/>
      <c r="L141" s="931"/>
      <c r="M141" s="931"/>
      <c r="N141" s="931"/>
      <c r="O141" s="931"/>
      <c r="P141" s="931"/>
      <c r="Q141" s="931"/>
      <c r="R141" s="931"/>
      <c r="S141" s="931"/>
      <c r="T141" s="931"/>
      <c r="U141" s="931"/>
      <c r="V141" s="931"/>
      <c r="W141" s="932"/>
      <c r="X141" s="18" t="s">
        <v>93</v>
      </c>
    </row>
    <row r="142" spans="1:24" ht="13.5" thickBot="1">
      <c r="A142" s="906" t="s">
        <v>7</v>
      </c>
      <c r="B142" s="908" t="s">
        <v>173</v>
      </c>
      <c r="C142" s="918"/>
      <c r="D142" s="908" t="s">
        <v>8</v>
      </c>
      <c r="E142" s="918"/>
      <c r="F142" s="918"/>
      <c r="G142" s="909"/>
      <c r="H142" s="908" t="s">
        <v>88</v>
      </c>
      <c r="I142" s="918"/>
      <c r="J142" s="918"/>
      <c r="K142" s="909"/>
      <c r="L142" s="908" t="s">
        <v>89</v>
      </c>
      <c r="M142" s="918"/>
      <c r="N142" s="918"/>
      <c r="O142" s="909"/>
      <c r="P142" s="908" t="s">
        <v>9</v>
      </c>
      <c r="Q142" s="918"/>
      <c r="R142" s="918"/>
      <c r="S142" s="909"/>
      <c r="T142" s="908" t="s">
        <v>174</v>
      </c>
      <c r="U142" s="918"/>
      <c r="V142" s="918"/>
      <c r="W142" s="918"/>
      <c r="X142" s="909"/>
    </row>
    <row r="143" spans="1:24" ht="13.5" thickBot="1">
      <c r="A143" s="907"/>
      <c r="B143" s="919">
        <v>6200000</v>
      </c>
      <c r="C143" s="921"/>
      <c r="D143" s="919">
        <v>1200000</v>
      </c>
      <c r="E143" s="921"/>
      <c r="F143" s="921"/>
      <c r="G143" s="920"/>
      <c r="H143" s="919">
        <v>2500000</v>
      </c>
      <c r="I143" s="921"/>
      <c r="J143" s="921"/>
      <c r="K143" s="920"/>
      <c r="L143" s="919">
        <v>2800000</v>
      </c>
      <c r="M143" s="921"/>
      <c r="N143" s="921"/>
      <c r="O143" s="920"/>
      <c r="P143" s="919">
        <f>SUM(B143:O143)</f>
        <v>12700000</v>
      </c>
      <c r="Q143" s="921"/>
      <c r="R143" s="921"/>
      <c r="S143" s="920"/>
      <c r="T143" s="942">
        <f>B143/P143%</f>
        <v>48.818897637795274</v>
      </c>
      <c r="U143" s="943"/>
      <c r="V143" s="943"/>
      <c r="W143" s="943"/>
      <c r="X143" s="944"/>
    </row>
    <row r="144" spans="1:24" ht="13.5" thickBot="1">
      <c r="A144" s="906" t="s">
        <v>10</v>
      </c>
      <c r="B144" s="908" t="s">
        <v>175</v>
      </c>
      <c r="C144" s="918"/>
      <c r="D144" s="910"/>
      <c r="E144" s="911"/>
      <c r="F144" s="911"/>
      <c r="G144" s="911"/>
      <c r="H144" s="911"/>
      <c r="I144" s="911"/>
      <c r="J144" s="911"/>
      <c r="K144" s="911"/>
      <c r="L144" s="911"/>
      <c r="M144" s="911"/>
      <c r="N144" s="911"/>
      <c r="O144" s="911"/>
      <c r="P144" s="911"/>
      <c r="Q144" s="911"/>
      <c r="R144" s="911"/>
      <c r="S144" s="911"/>
      <c r="T144" s="911"/>
      <c r="U144" s="911"/>
      <c r="V144" s="911"/>
      <c r="W144" s="911"/>
      <c r="X144" s="912"/>
    </row>
    <row r="145" spans="1:24" ht="13.5" thickBot="1">
      <c r="A145" s="907"/>
      <c r="B145" s="916"/>
      <c r="C145" s="994"/>
      <c r="D145" s="913"/>
      <c r="E145" s="914"/>
      <c r="F145" s="914"/>
      <c r="G145" s="914"/>
      <c r="H145" s="914"/>
      <c r="I145" s="914"/>
      <c r="J145" s="914"/>
      <c r="K145" s="914"/>
      <c r="L145" s="914"/>
      <c r="M145" s="914"/>
      <c r="N145" s="914"/>
      <c r="O145" s="914"/>
      <c r="P145" s="914"/>
      <c r="Q145" s="914"/>
      <c r="R145" s="914"/>
      <c r="S145" s="914"/>
      <c r="T145" s="914"/>
      <c r="U145" s="914"/>
      <c r="V145" s="914"/>
      <c r="W145" s="914"/>
      <c r="X145" s="915"/>
    </row>
    <row r="147" spans="1:24" ht="13.5" thickBot="1"/>
    <row r="148" spans="1:24" ht="13.5" thickBot="1">
      <c r="A148" s="765" t="s">
        <v>26</v>
      </c>
      <c r="B148" s="773" t="s">
        <v>29</v>
      </c>
      <c r="C148" s="8"/>
      <c r="D148" s="927" t="s">
        <v>78</v>
      </c>
      <c r="E148" s="928"/>
      <c r="F148" s="928"/>
      <c r="G148" s="929"/>
      <c r="H148" s="927" t="s">
        <v>77</v>
      </c>
      <c r="I148" s="928"/>
      <c r="J148" s="928"/>
      <c r="K148" s="929"/>
      <c r="L148" s="927" t="s">
        <v>81</v>
      </c>
      <c r="M148" s="928"/>
      <c r="N148" s="928"/>
      <c r="O148" s="929"/>
      <c r="P148" s="927" t="s">
        <v>254</v>
      </c>
      <c r="Q148" s="928"/>
      <c r="R148" s="928"/>
      <c r="S148" s="929"/>
      <c r="T148" s="927" t="s">
        <v>76</v>
      </c>
      <c r="U148" s="928"/>
      <c r="V148" s="928"/>
      <c r="W148" s="929"/>
      <c r="X148" s="16" t="s">
        <v>12</v>
      </c>
    </row>
    <row r="149" spans="1:24" ht="54.95" customHeight="1" thickBot="1">
      <c r="A149" s="868" t="s">
        <v>64</v>
      </c>
      <c r="B149" s="868" t="s">
        <v>156</v>
      </c>
      <c r="C149" s="9"/>
      <c r="D149" s="17" t="s">
        <v>101</v>
      </c>
      <c r="E149" s="17" t="s">
        <v>104</v>
      </c>
      <c r="F149" s="17" t="s">
        <v>102</v>
      </c>
      <c r="G149" s="17" t="s">
        <v>103</v>
      </c>
      <c r="H149" s="17" t="s">
        <v>101</v>
      </c>
      <c r="I149" s="17" t="s">
        <v>104</v>
      </c>
      <c r="J149" s="17" t="s">
        <v>102</v>
      </c>
      <c r="K149" s="17" t="s">
        <v>103</v>
      </c>
      <c r="L149" s="17" t="s">
        <v>101</v>
      </c>
      <c r="M149" s="17" t="s">
        <v>104</v>
      </c>
      <c r="N149" s="17" t="s">
        <v>102</v>
      </c>
      <c r="O149" s="17" t="s">
        <v>103</v>
      </c>
      <c r="P149" s="17" t="s">
        <v>101</v>
      </c>
      <c r="Q149" s="17" t="s">
        <v>104</v>
      </c>
      <c r="R149" s="17" t="s">
        <v>102</v>
      </c>
      <c r="S149" s="17" t="s">
        <v>103</v>
      </c>
      <c r="T149" s="17" t="s">
        <v>101</v>
      </c>
      <c r="U149" s="17" t="s">
        <v>104</v>
      </c>
      <c r="V149" s="17" t="s">
        <v>102</v>
      </c>
      <c r="W149" s="17" t="s">
        <v>103</v>
      </c>
      <c r="X149" s="879" t="s">
        <v>98</v>
      </c>
    </row>
    <row r="150" spans="1:24" ht="36.75" thickBot="1">
      <c r="A150" s="885"/>
      <c r="B150" s="885"/>
      <c r="C150" s="9" t="s">
        <v>247</v>
      </c>
      <c r="D150" s="104">
        <f>SUM('State DisAgg LFx10 (2015)'!D344:D348)</f>
        <v>2</v>
      </c>
      <c r="E150" s="104">
        <f>SUM('State DisAgg LFx10 (2015)'!E344:E348)</f>
        <v>0</v>
      </c>
      <c r="F150" s="104">
        <f>SUM('State DisAgg LFx10 (2015)'!F344:F348)</f>
        <v>0</v>
      </c>
      <c r="G150" s="104">
        <f>SUM('State DisAgg LFx10 (2015)'!G344:G348)</f>
        <v>0</v>
      </c>
      <c r="H150" s="104">
        <f>SUM('State DisAgg LFx10 (2015)'!H344:H351)</f>
        <v>30</v>
      </c>
      <c r="I150" s="104">
        <f>SUM('State DisAgg LFx10 (2015)'!I344:I351)</f>
        <v>13</v>
      </c>
      <c r="J150" s="104">
        <f>SUM('State DisAgg LFx10 (2015)'!J344:J351)</f>
        <v>7</v>
      </c>
      <c r="K150" s="104">
        <f>SUM('State DisAgg LFx10 (2015)'!K344:K351)</f>
        <v>3</v>
      </c>
      <c r="L150" s="104">
        <f>SUM('State DisAgg LFx10 (2015)'!L344:L353)</f>
        <v>48</v>
      </c>
      <c r="M150" s="104">
        <f>SUM('State DisAgg LFx10 (2015)'!M344:M353)</f>
        <v>25</v>
      </c>
      <c r="N150" s="104">
        <f>SUM('State DisAgg LFx10 (2015)'!N344:N353)</f>
        <v>17</v>
      </c>
      <c r="O150" s="104">
        <f>SUM('State DisAgg LFx10 (2015)'!O344:O353)</f>
        <v>8</v>
      </c>
      <c r="P150" s="104">
        <f>SUM('State DisAgg LFx10 (2015)'!P344:P353)</f>
        <v>55</v>
      </c>
      <c r="Q150" s="104">
        <f>SUM('State DisAgg LFx10 (2015)'!Q344:Q353)</f>
        <v>34</v>
      </c>
      <c r="R150" s="104">
        <f>SUM('State DisAgg LFx10 (2015)'!R344:R353)</f>
        <v>26</v>
      </c>
      <c r="S150" s="104">
        <f>SUM('State DisAgg LFx10 (2015)'!S344:S353)</f>
        <v>15</v>
      </c>
      <c r="T150" s="796" t="s">
        <v>1487</v>
      </c>
      <c r="U150" s="785" t="s">
        <v>1371</v>
      </c>
      <c r="V150" s="785" t="s">
        <v>1372</v>
      </c>
      <c r="W150" s="825" t="s">
        <v>1504</v>
      </c>
      <c r="X150" s="880"/>
    </row>
    <row r="151" spans="1:24" ht="24.75" thickBot="1">
      <c r="A151" s="885"/>
      <c r="B151" s="764" t="s">
        <v>151</v>
      </c>
      <c r="C151" s="102" t="s">
        <v>246</v>
      </c>
      <c r="D151" s="1042" t="s">
        <v>592</v>
      </c>
      <c r="E151" s="1043"/>
      <c r="F151" s="1043"/>
      <c r="G151" s="1044"/>
      <c r="H151" s="105">
        <f>SUM('State DisAgg LFx10 (2015)'!H354:H358)</f>
        <v>11</v>
      </c>
      <c r="I151" s="105">
        <f>SUM('State DisAgg LFx10 (2015)'!I354:I358)</f>
        <v>7</v>
      </c>
      <c r="J151" s="105">
        <f>SUM('State DisAgg LFx10 (2015)'!J354:J358)</f>
        <v>6</v>
      </c>
      <c r="K151" s="105">
        <f>SUM('State DisAgg LFx10 (2015)'!K354:K358)</f>
        <v>4</v>
      </c>
      <c r="L151" s="105">
        <f>SUM('State DisAgg LFx10 (2015)'!L354:L361)</f>
        <v>29</v>
      </c>
      <c r="M151" s="105">
        <f>SUM('State DisAgg LFx10 (2015)'!M354:M361)</f>
        <v>22</v>
      </c>
      <c r="N151" s="105">
        <f>SUM('State DisAgg LFx10 (2015)'!N354:N361)</f>
        <v>16</v>
      </c>
      <c r="O151" s="105">
        <f>SUM('State DisAgg LFx10 (2015)'!O354:O361)</f>
        <v>10</v>
      </c>
      <c r="P151" s="105">
        <f>SUM('State DisAgg LFx10 (2015)'!P354:P363)</f>
        <v>66</v>
      </c>
      <c r="Q151" s="105">
        <f>SUM('State DisAgg LFx10 (2015)'!Q354:Q363)</f>
        <v>46</v>
      </c>
      <c r="R151" s="105">
        <f>SUM('State DisAgg LFx10 (2015)'!R354:R363)</f>
        <v>30</v>
      </c>
      <c r="S151" s="105">
        <f>SUM('State DisAgg LFx10 (2015)'!S354:S363)</f>
        <v>10</v>
      </c>
      <c r="T151" s="819" t="s">
        <v>1366</v>
      </c>
      <c r="U151" s="819" t="s">
        <v>1367</v>
      </c>
      <c r="V151" s="819" t="s">
        <v>1368</v>
      </c>
      <c r="W151" s="105" t="s">
        <v>1356</v>
      </c>
      <c r="X151" s="880"/>
    </row>
    <row r="152" spans="1:24" ht="13.5" thickBot="1">
      <c r="A152" s="885"/>
      <c r="B152" s="764" t="s">
        <v>150</v>
      </c>
      <c r="C152" s="1142" t="s">
        <v>413</v>
      </c>
      <c r="D152" s="927" t="s">
        <v>4</v>
      </c>
      <c r="E152" s="928"/>
      <c r="F152" s="928"/>
      <c r="G152" s="928"/>
      <c r="H152" s="928"/>
      <c r="I152" s="928"/>
      <c r="J152" s="928"/>
      <c r="K152" s="928"/>
      <c r="L152" s="928"/>
      <c r="M152" s="928"/>
      <c r="N152" s="928"/>
      <c r="O152" s="928"/>
      <c r="P152" s="928"/>
      <c r="Q152" s="928"/>
      <c r="R152" s="928"/>
      <c r="S152" s="928"/>
      <c r="T152" s="928"/>
      <c r="U152" s="928"/>
      <c r="V152" s="928"/>
      <c r="W152" s="929"/>
      <c r="X152" s="880"/>
    </row>
    <row r="153" spans="1:24" ht="24.75" thickBot="1">
      <c r="A153" s="885"/>
      <c r="B153" s="763" t="s">
        <v>149</v>
      </c>
      <c r="C153" s="1143"/>
      <c r="D153" s="930" t="s">
        <v>420</v>
      </c>
      <c r="E153" s="931"/>
      <c r="F153" s="931"/>
      <c r="G153" s="931"/>
      <c r="H153" s="931"/>
      <c r="I153" s="931"/>
      <c r="J153" s="931"/>
      <c r="K153" s="931"/>
      <c r="L153" s="931"/>
      <c r="M153" s="931"/>
      <c r="N153" s="931"/>
      <c r="O153" s="931"/>
      <c r="P153" s="931"/>
      <c r="Q153" s="931"/>
      <c r="R153" s="931"/>
      <c r="S153" s="931"/>
      <c r="T153" s="931"/>
      <c r="U153" s="931"/>
      <c r="V153" s="931"/>
      <c r="W153" s="932"/>
      <c r="X153" s="880"/>
    </row>
    <row r="154" spans="1:24" ht="13.5" thickBot="1">
      <c r="A154" s="885"/>
      <c r="B154" s="11" t="s">
        <v>30</v>
      </c>
      <c r="C154" s="12"/>
      <c r="D154" s="927" t="s">
        <v>78</v>
      </c>
      <c r="E154" s="928"/>
      <c r="F154" s="928"/>
      <c r="G154" s="929"/>
      <c r="H154" s="927" t="s">
        <v>77</v>
      </c>
      <c r="I154" s="928"/>
      <c r="J154" s="928"/>
      <c r="K154" s="929"/>
      <c r="L154" s="927" t="s">
        <v>81</v>
      </c>
      <c r="M154" s="928"/>
      <c r="N154" s="928"/>
      <c r="O154" s="929"/>
      <c r="P154" s="927" t="s">
        <v>254</v>
      </c>
      <c r="Q154" s="928"/>
      <c r="R154" s="928"/>
      <c r="S154" s="929"/>
      <c r="T154" s="927" t="s">
        <v>76</v>
      </c>
      <c r="U154" s="928"/>
      <c r="V154" s="928"/>
      <c r="W154" s="929"/>
      <c r="X154" s="880"/>
    </row>
    <row r="155" spans="1:24" ht="44.1" customHeight="1" thickBot="1">
      <c r="A155" s="885"/>
      <c r="B155" s="868" t="s">
        <v>157</v>
      </c>
      <c r="C155" s="23"/>
      <c r="D155" s="17" t="s">
        <v>101</v>
      </c>
      <c r="E155" s="17" t="s">
        <v>104</v>
      </c>
      <c r="F155" s="17" t="s">
        <v>102</v>
      </c>
      <c r="G155" s="17" t="s">
        <v>103</v>
      </c>
      <c r="H155" s="17" t="s">
        <v>101</v>
      </c>
      <c r="I155" s="17" t="s">
        <v>104</v>
      </c>
      <c r="J155" s="17" t="s">
        <v>102</v>
      </c>
      <c r="K155" s="17" t="s">
        <v>103</v>
      </c>
      <c r="L155" s="17" t="s">
        <v>101</v>
      </c>
      <c r="M155" s="17" t="s">
        <v>104</v>
      </c>
      <c r="N155" s="17" t="s">
        <v>102</v>
      </c>
      <c r="O155" s="17" t="s">
        <v>103</v>
      </c>
      <c r="P155" s="17" t="s">
        <v>101</v>
      </c>
      <c r="Q155" s="17" t="s">
        <v>104</v>
      </c>
      <c r="R155" s="17" t="s">
        <v>102</v>
      </c>
      <c r="S155" s="17" t="s">
        <v>103</v>
      </c>
      <c r="T155" s="17" t="s">
        <v>101</v>
      </c>
      <c r="U155" s="17" t="s">
        <v>104</v>
      </c>
      <c r="V155" s="17" t="s">
        <v>102</v>
      </c>
      <c r="W155" s="17" t="s">
        <v>103</v>
      </c>
      <c r="X155" s="880"/>
    </row>
    <row r="156" spans="1:24" ht="36.75" thickBot="1">
      <c r="A156" s="885"/>
      <c r="B156" s="885"/>
      <c r="C156" s="9" t="s">
        <v>247</v>
      </c>
      <c r="D156" s="104">
        <f>SUM('State DisAgg LFx10 (2015)'!D368:D372)</f>
        <v>2</v>
      </c>
      <c r="E156" s="104">
        <f>SUM('State DisAgg LFx10 (2015)'!E368:E372)</f>
        <v>0</v>
      </c>
      <c r="F156" s="104">
        <f>SUM('State DisAgg LFx10 (2015)'!F368:F372)</f>
        <v>0</v>
      </c>
      <c r="G156" s="104">
        <f>SUM('State DisAgg LFx10 (2015)'!G368:G372)</f>
        <v>0</v>
      </c>
      <c r="H156" s="104">
        <f>SUM('State DisAgg LFx10 (2015)'!H368:H375)</f>
        <v>15</v>
      </c>
      <c r="I156" s="104">
        <f>SUM('State DisAgg LFx10 (2015)'!I368:I375)</f>
        <v>10</v>
      </c>
      <c r="J156" s="104">
        <f>SUM('State DisAgg LFx10 (2015)'!J368:J375)</f>
        <v>7</v>
      </c>
      <c r="K156" s="104">
        <f>SUM('State DisAgg LFx10 (2015)'!K368:K375)</f>
        <v>2</v>
      </c>
      <c r="L156" s="104">
        <f>SUM('State DisAgg LFx10 (2015)'!L368:L377)</f>
        <v>29</v>
      </c>
      <c r="M156" s="104">
        <f>SUM('State DisAgg LFx10 (2015)'!M368:M377)</f>
        <v>23</v>
      </c>
      <c r="N156" s="104">
        <f>SUM('State DisAgg LFx10 (2015)'!N368:N377)</f>
        <v>15</v>
      </c>
      <c r="O156" s="104">
        <f>SUM('State DisAgg LFx10 (2015)'!O368:O377)</f>
        <v>8</v>
      </c>
      <c r="P156" s="150">
        <f>SUM('State DisAgg LFx10 (2015)'!P368:P377)</f>
        <v>51</v>
      </c>
      <c r="Q156" s="150">
        <f>SUM('State DisAgg LFx10 (2015)'!Q368:Q377)</f>
        <v>38</v>
      </c>
      <c r="R156" s="150">
        <f>SUM('State DisAgg LFx10 (2015)'!R368:R377)</f>
        <v>27</v>
      </c>
      <c r="S156" s="150">
        <f>SUM('State DisAgg LFx10 (2015)'!S368:S377)</f>
        <v>15</v>
      </c>
      <c r="T156" s="796" t="s">
        <v>1373</v>
      </c>
      <c r="U156" s="785" t="s">
        <v>1488</v>
      </c>
      <c r="V156" s="785" t="s">
        <v>1374</v>
      </c>
      <c r="W156" s="825" t="s">
        <v>1505</v>
      </c>
      <c r="X156" s="880"/>
    </row>
    <row r="157" spans="1:24" ht="24.75" thickBot="1">
      <c r="A157" s="885"/>
      <c r="B157" s="764" t="s">
        <v>151</v>
      </c>
      <c r="C157" s="102" t="s">
        <v>246</v>
      </c>
      <c r="D157" s="1003" t="s">
        <v>172</v>
      </c>
      <c r="E157" s="1004"/>
      <c r="F157" s="1004"/>
      <c r="G157" s="1005"/>
      <c r="H157" s="1003" t="s">
        <v>417</v>
      </c>
      <c r="I157" s="1004"/>
      <c r="J157" s="1004"/>
      <c r="K157" s="1005"/>
      <c r="L157" s="105">
        <f>SUM('State DisAgg LFx10 (2015)'!L378:L385)</f>
        <v>24</v>
      </c>
      <c r="M157" s="105">
        <f>SUM('State DisAgg LFx10 (2015)'!M378:M385)</f>
        <v>21</v>
      </c>
      <c r="N157" s="105">
        <f>SUM('State DisAgg LFx10 (2015)'!N378:N385)</f>
        <v>17</v>
      </c>
      <c r="O157" s="105">
        <f>SUM('State DisAgg LFx10 (2015)'!O378:O385)</f>
        <v>7</v>
      </c>
      <c r="P157" s="105">
        <f>SUM('State DisAgg LFx10 (2015)'!P378:P387)</f>
        <v>44</v>
      </c>
      <c r="Q157" s="105">
        <f>SUM('State DisAgg LFx10 (2015)'!Q378:Q387)</f>
        <v>27</v>
      </c>
      <c r="R157" s="105">
        <f>SUM('State DisAgg LFx10 (2015)'!R378:R387)</f>
        <v>20</v>
      </c>
      <c r="S157" s="105">
        <f>SUM('State DisAgg LFx10 (2015)'!S378:S387)</f>
        <v>8</v>
      </c>
      <c r="T157" s="819" t="s">
        <v>1367</v>
      </c>
      <c r="U157" s="819" t="s">
        <v>1369</v>
      </c>
      <c r="V157" s="819" t="s">
        <v>1370</v>
      </c>
      <c r="W157" s="105" t="s">
        <v>1359</v>
      </c>
      <c r="X157" s="880"/>
    </row>
    <row r="158" spans="1:24" ht="13.5" thickBot="1">
      <c r="A158" s="885"/>
      <c r="B158" s="764" t="s">
        <v>150</v>
      </c>
      <c r="C158" s="1142" t="s">
        <v>413</v>
      </c>
      <c r="D158" s="927" t="s">
        <v>4</v>
      </c>
      <c r="E158" s="928"/>
      <c r="F158" s="928"/>
      <c r="G158" s="928"/>
      <c r="H158" s="928"/>
      <c r="I158" s="928"/>
      <c r="J158" s="928"/>
      <c r="K158" s="928"/>
      <c r="L158" s="928"/>
      <c r="M158" s="928"/>
      <c r="N158" s="928"/>
      <c r="O158" s="928"/>
      <c r="P158" s="928"/>
      <c r="Q158" s="928"/>
      <c r="R158" s="928"/>
      <c r="S158" s="928"/>
      <c r="T158" s="928"/>
      <c r="U158" s="928"/>
      <c r="V158" s="928"/>
      <c r="W158" s="929"/>
      <c r="X158" s="880"/>
    </row>
    <row r="159" spans="1:24" ht="13.5" thickBot="1">
      <c r="A159" s="885"/>
      <c r="B159" s="763" t="s">
        <v>152</v>
      </c>
      <c r="C159" s="1143"/>
      <c r="D159" s="930" t="s">
        <v>420</v>
      </c>
      <c r="E159" s="931"/>
      <c r="F159" s="931"/>
      <c r="G159" s="931"/>
      <c r="H159" s="931"/>
      <c r="I159" s="931"/>
      <c r="J159" s="931"/>
      <c r="K159" s="931"/>
      <c r="L159" s="931"/>
      <c r="M159" s="931"/>
      <c r="N159" s="931"/>
      <c r="O159" s="931"/>
      <c r="P159" s="931"/>
      <c r="Q159" s="931"/>
      <c r="R159" s="931"/>
      <c r="S159" s="931"/>
      <c r="T159" s="931"/>
      <c r="U159" s="931"/>
      <c r="V159" s="931"/>
      <c r="W159" s="932"/>
      <c r="X159" s="880"/>
    </row>
    <row r="160" spans="1:24" ht="13.5" thickBot="1">
      <c r="A160" s="885"/>
      <c r="B160" s="92" t="s">
        <v>31</v>
      </c>
      <c r="C160" s="12"/>
      <c r="D160" s="927" t="s">
        <v>78</v>
      </c>
      <c r="E160" s="928"/>
      <c r="F160" s="928"/>
      <c r="G160" s="929"/>
      <c r="H160" s="927" t="s">
        <v>77</v>
      </c>
      <c r="I160" s="928"/>
      <c r="J160" s="928"/>
      <c r="K160" s="929"/>
      <c r="L160" s="927" t="s">
        <v>81</v>
      </c>
      <c r="M160" s="928"/>
      <c r="N160" s="928"/>
      <c r="O160" s="929"/>
      <c r="P160" s="927" t="s">
        <v>254</v>
      </c>
      <c r="Q160" s="928"/>
      <c r="R160" s="928"/>
      <c r="S160" s="929"/>
      <c r="T160" s="927" t="s">
        <v>76</v>
      </c>
      <c r="U160" s="928"/>
      <c r="V160" s="928"/>
      <c r="W160" s="929"/>
      <c r="X160" s="880"/>
    </row>
    <row r="161" spans="1:24" ht="17.100000000000001" customHeight="1" thickBot="1">
      <c r="A161" s="885"/>
      <c r="B161" s="868" t="s">
        <v>421</v>
      </c>
      <c r="C161" s="23"/>
      <c r="D161" s="955" t="s">
        <v>418</v>
      </c>
      <c r="E161" s="956"/>
      <c r="F161" s="955" t="s">
        <v>419</v>
      </c>
      <c r="G161" s="956"/>
      <c r="H161" s="955" t="s">
        <v>418</v>
      </c>
      <c r="I161" s="956"/>
      <c r="J161" s="955" t="s">
        <v>419</v>
      </c>
      <c r="K161" s="956"/>
      <c r="L161" s="955" t="s">
        <v>418</v>
      </c>
      <c r="M161" s="956"/>
      <c r="N161" s="955" t="s">
        <v>419</v>
      </c>
      <c r="O161" s="956"/>
      <c r="P161" s="955" t="s">
        <v>418</v>
      </c>
      <c r="Q161" s="956"/>
      <c r="R161" s="955" t="s">
        <v>419</v>
      </c>
      <c r="S161" s="956"/>
      <c r="T161" s="955" t="s">
        <v>418</v>
      </c>
      <c r="U161" s="956"/>
      <c r="V161" s="955" t="s">
        <v>419</v>
      </c>
      <c r="W161" s="956"/>
      <c r="X161" s="880"/>
    </row>
    <row r="162" spans="1:24" ht="12.95" customHeight="1" thickBot="1">
      <c r="A162" s="885"/>
      <c r="B162" s="885"/>
      <c r="C162" s="91" t="s">
        <v>235</v>
      </c>
      <c r="D162" s="933" t="s">
        <v>172</v>
      </c>
      <c r="E162" s="934"/>
      <c r="F162" s="934"/>
      <c r="G162" s="935"/>
      <c r="H162" s="966" t="s">
        <v>572</v>
      </c>
      <c r="I162" s="967"/>
      <c r="J162" s="967"/>
      <c r="K162" s="968"/>
      <c r="L162" s="939">
        <f>SUM('State DisAgg LFx10 (2015)'!L392:M396)/5</f>
        <v>49.8</v>
      </c>
      <c r="M162" s="941"/>
      <c r="N162" s="939">
        <f>SUM('State DisAgg LFx10 (2015)'!N392:O396)/5</f>
        <v>36.6</v>
      </c>
      <c r="O162" s="941"/>
      <c r="P162" s="939">
        <f>SUM('State DisAgg LFx10 (2015)'!P392:Q396)/5</f>
        <v>63</v>
      </c>
      <c r="Q162" s="941"/>
      <c r="R162" s="939">
        <f>SUM('State DisAgg LFx10 (2015)'!R392:S396)/5</f>
        <v>39.799999999999997</v>
      </c>
      <c r="S162" s="941"/>
      <c r="T162" s="1201" t="s">
        <v>1381</v>
      </c>
      <c r="U162" s="1202"/>
      <c r="V162" s="1201" t="s">
        <v>1385</v>
      </c>
      <c r="W162" s="1202"/>
      <c r="X162" s="880"/>
    </row>
    <row r="163" spans="1:24" ht="12.95" customHeight="1" thickBot="1">
      <c r="A163" s="885"/>
      <c r="B163" s="885"/>
      <c r="C163" s="91" t="s">
        <v>233</v>
      </c>
      <c r="D163" s="957"/>
      <c r="E163" s="958"/>
      <c r="F163" s="958"/>
      <c r="G163" s="959"/>
      <c r="H163" s="966" t="s">
        <v>572</v>
      </c>
      <c r="I163" s="967"/>
      <c r="J163" s="967"/>
      <c r="K163" s="968"/>
      <c r="L163" s="939">
        <f>SUM('State DisAgg LFx10 (2015)'!L397:M399)/3</f>
        <v>28.333333333333332</v>
      </c>
      <c r="M163" s="941"/>
      <c r="N163" s="939">
        <f>SUM('State DisAgg LFx10 (2015)'!N397:O399)/3</f>
        <v>20.666666666666668</v>
      </c>
      <c r="O163" s="941"/>
      <c r="P163" s="939">
        <f>SUM('State DisAgg LFx10 (2015)'!P397:Q399)/3</f>
        <v>41.666666666666664</v>
      </c>
      <c r="Q163" s="941"/>
      <c r="R163" s="939">
        <f>SUM('State DisAgg LFx10 (2015)'!R397:S399)/3</f>
        <v>28.333333333333332</v>
      </c>
      <c r="S163" s="941"/>
      <c r="T163" s="1203" t="s">
        <v>1382</v>
      </c>
      <c r="U163" s="1204"/>
      <c r="V163" s="939" t="s">
        <v>1384</v>
      </c>
      <c r="W163" s="941"/>
      <c r="X163" s="880"/>
    </row>
    <row r="164" spans="1:24" ht="12.95" customHeight="1" thickBot="1">
      <c r="A164" s="885"/>
      <c r="B164" s="885"/>
      <c r="C164" s="91" t="s">
        <v>234</v>
      </c>
      <c r="D164" s="957"/>
      <c r="E164" s="958"/>
      <c r="F164" s="958"/>
      <c r="G164" s="959"/>
      <c r="H164" s="1048"/>
      <c r="I164" s="1049"/>
      <c r="J164" s="1049"/>
      <c r="K164" s="1050"/>
      <c r="L164" s="1057" t="s">
        <v>909</v>
      </c>
      <c r="M164" s="1058"/>
      <c r="N164" s="1058"/>
      <c r="O164" s="1059"/>
      <c r="P164" s="939">
        <f>SUM('State DisAgg LFx10 (2015)'!P400:Q401)/2</f>
        <v>44</v>
      </c>
      <c r="Q164" s="953"/>
      <c r="R164" s="948">
        <f>SUM('State DisAgg LFx10 (2015)'!R400:S401)/2</f>
        <v>71.5</v>
      </c>
      <c r="S164" s="1200"/>
      <c r="T164" s="939" t="s">
        <v>1383</v>
      </c>
      <c r="U164" s="941"/>
      <c r="V164" s="948" t="s">
        <v>1511</v>
      </c>
      <c r="W164" s="950"/>
      <c r="X164" s="880"/>
    </row>
    <row r="165" spans="1:24" ht="13.5" thickBot="1">
      <c r="A165" s="885"/>
      <c r="B165" s="764" t="s">
        <v>179</v>
      </c>
      <c r="C165" s="103" t="s">
        <v>236</v>
      </c>
      <c r="D165" s="1011"/>
      <c r="E165" s="1012"/>
      <c r="F165" s="1012"/>
      <c r="G165" s="1013"/>
      <c r="H165" s="1011"/>
      <c r="I165" s="1012"/>
      <c r="J165" s="1012"/>
      <c r="K165" s="1013"/>
      <c r="L165" s="1011"/>
      <c r="M165" s="1012"/>
      <c r="N165" s="1012"/>
      <c r="O165" s="1013"/>
      <c r="P165" s="1181">
        <f>SUM('State DisAgg LFx10 (2015)'!P402:Q406)/5</f>
        <v>76</v>
      </c>
      <c r="Q165" s="1182"/>
      <c r="R165" s="1181">
        <f>SUM('State DisAgg LFx10 (2015)'!R402:S406)/5</f>
        <v>59.8</v>
      </c>
      <c r="S165" s="1182"/>
      <c r="T165" s="1181" t="s">
        <v>1376</v>
      </c>
      <c r="U165" s="1182"/>
      <c r="V165" s="1181" t="s">
        <v>1379</v>
      </c>
      <c r="W165" s="1182"/>
      <c r="X165" s="880"/>
    </row>
    <row r="166" spans="1:24" ht="12.95" customHeight="1" thickBot="1">
      <c r="A166" s="885"/>
      <c r="B166" s="764"/>
      <c r="C166" s="102" t="s">
        <v>283</v>
      </c>
      <c r="D166" s="1017"/>
      <c r="E166" s="1018"/>
      <c r="F166" s="1018"/>
      <c r="G166" s="1019"/>
      <c r="H166" s="1017"/>
      <c r="I166" s="1018"/>
      <c r="J166" s="1018"/>
      <c r="K166" s="1019"/>
      <c r="L166" s="1011"/>
      <c r="M166" s="1012"/>
      <c r="N166" s="1012"/>
      <c r="O166" s="1013"/>
      <c r="P166" s="1140">
        <f>SUM('State DisAgg LFx10 (2015)'!P407:Q409)/3</f>
        <v>42.666666666666664</v>
      </c>
      <c r="Q166" s="1141"/>
      <c r="R166" s="1140">
        <f>SUM('State DisAgg LFx10 (2015)'!R407:S409)/3</f>
        <v>27.333333333333332</v>
      </c>
      <c r="S166" s="1141"/>
      <c r="T166" s="1140" t="s">
        <v>1377</v>
      </c>
      <c r="U166" s="1141"/>
      <c r="V166" s="1181" t="s">
        <v>1380</v>
      </c>
      <c r="W166" s="1182"/>
      <c r="X166" s="880"/>
    </row>
    <row r="167" spans="1:24" ht="13.5" thickBot="1">
      <c r="A167" s="885"/>
      <c r="B167" s="764"/>
      <c r="C167" s="102" t="s">
        <v>284</v>
      </c>
      <c r="D167" s="1017"/>
      <c r="E167" s="1018"/>
      <c r="F167" s="1018"/>
      <c r="G167" s="1019"/>
      <c r="H167" s="1017"/>
      <c r="I167" s="1018"/>
      <c r="J167" s="1018"/>
      <c r="K167" s="1019"/>
      <c r="L167" s="1017"/>
      <c r="M167" s="1018"/>
      <c r="N167" s="1018"/>
      <c r="O167" s="1019"/>
      <c r="P167" s="1017"/>
      <c r="Q167" s="1018"/>
      <c r="R167" s="1018"/>
      <c r="S167" s="1019"/>
      <c r="T167" s="1140" t="s">
        <v>1378</v>
      </c>
      <c r="U167" s="1141"/>
      <c r="V167" s="1140" t="s">
        <v>1378</v>
      </c>
      <c r="W167" s="1141"/>
      <c r="X167" s="880"/>
    </row>
    <row r="168" spans="1:24" ht="13.5" thickBot="1">
      <c r="A168" s="885"/>
      <c r="B168" s="885"/>
      <c r="C168" s="1142" t="s">
        <v>413</v>
      </c>
      <c r="D168" s="927" t="s">
        <v>4</v>
      </c>
      <c r="E168" s="928"/>
      <c r="F168" s="928"/>
      <c r="G168" s="928"/>
      <c r="H168" s="928"/>
      <c r="I168" s="928"/>
      <c r="J168" s="928"/>
      <c r="K168" s="928"/>
      <c r="L168" s="928"/>
      <c r="M168" s="928"/>
      <c r="N168" s="928"/>
      <c r="O168" s="928"/>
      <c r="P168" s="928"/>
      <c r="Q168" s="928"/>
      <c r="R168" s="928"/>
      <c r="S168" s="928"/>
      <c r="T168" s="928"/>
      <c r="U168" s="928"/>
      <c r="V168" s="928"/>
      <c r="W168" s="929"/>
      <c r="X168" s="880"/>
    </row>
    <row r="169" spans="1:24" ht="24" customHeight="1" thickBot="1">
      <c r="A169" s="885"/>
      <c r="B169" s="869"/>
      <c r="C169" s="1143"/>
      <c r="D169" s="930" t="s">
        <v>121</v>
      </c>
      <c r="E169" s="931"/>
      <c r="F169" s="931"/>
      <c r="G169" s="931"/>
      <c r="H169" s="931"/>
      <c r="I169" s="931"/>
      <c r="J169" s="931"/>
      <c r="K169" s="931"/>
      <c r="L169" s="931"/>
      <c r="M169" s="931"/>
      <c r="N169" s="931"/>
      <c r="O169" s="931"/>
      <c r="P169" s="931"/>
      <c r="Q169" s="931"/>
      <c r="R169" s="931"/>
      <c r="S169" s="931"/>
      <c r="T169" s="931"/>
      <c r="U169" s="931"/>
      <c r="V169" s="931"/>
      <c r="W169" s="932"/>
      <c r="X169" s="880"/>
    </row>
    <row r="170" spans="1:24" ht="13.5" thickBot="1">
      <c r="A170" s="885"/>
      <c r="B170" s="11" t="s">
        <v>40</v>
      </c>
      <c r="C170" s="12"/>
      <c r="D170" s="927" t="s">
        <v>78</v>
      </c>
      <c r="E170" s="928"/>
      <c r="F170" s="928"/>
      <c r="G170" s="929"/>
      <c r="H170" s="927" t="s">
        <v>77</v>
      </c>
      <c r="I170" s="928"/>
      <c r="J170" s="928"/>
      <c r="K170" s="929"/>
      <c r="L170" s="927" t="s">
        <v>81</v>
      </c>
      <c r="M170" s="928"/>
      <c r="N170" s="928"/>
      <c r="O170" s="929"/>
      <c r="P170" s="927" t="s">
        <v>254</v>
      </c>
      <c r="Q170" s="928"/>
      <c r="R170" s="928"/>
      <c r="S170" s="929"/>
      <c r="T170" s="927" t="s">
        <v>76</v>
      </c>
      <c r="U170" s="928"/>
      <c r="V170" s="928"/>
      <c r="W170" s="929"/>
      <c r="X170" s="880"/>
    </row>
    <row r="171" spans="1:24" ht="12.95" customHeight="1" thickBot="1">
      <c r="A171" s="885"/>
      <c r="B171" s="868" t="s">
        <v>644</v>
      </c>
      <c r="C171" s="9" t="s">
        <v>235</v>
      </c>
      <c r="D171" s="933" t="s">
        <v>171</v>
      </c>
      <c r="E171" s="934"/>
      <c r="F171" s="934"/>
      <c r="G171" s="935"/>
      <c r="H171" s="966" t="s">
        <v>572</v>
      </c>
      <c r="I171" s="967"/>
      <c r="J171" s="967"/>
      <c r="K171" s="968"/>
      <c r="L171" s="963">
        <f>SUM('State DisAgg LFx10 (2015)'!L415:O419)/5</f>
        <v>3.4799999999999995</v>
      </c>
      <c r="M171" s="964"/>
      <c r="N171" s="964"/>
      <c r="O171" s="965"/>
      <c r="P171" s="963">
        <f>SUM('State DisAgg LFx10 (2015)'!P415:S419)/5</f>
        <v>3.78</v>
      </c>
      <c r="Q171" s="964"/>
      <c r="R171" s="964"/>
      <c r="S171" s="965"/>
      <c r="T171" s="1197" t="s">
        <v>1329</v>
      </c>
      <c r="U171" s="1198"/>
      <c r="V171" s="1198"/>
      <c r="W171" s="1199"/>
      <c r="X171" s="880"/>
    </row>
    <row r="172" spans="1:24" ht="12.95" customHeight="1" thickBot="1">
      <c r="A172" s="885"/>
      <c r="B172" s="885"/>
      <c r="C172" s="9" t="s">
        <v>233</v>
      </c>
      <c r="D172" s="957"/>
      <c r="E172" s="958"/>
      <c r="F172" s="958"/>
      <c r="G172" s="959"/>
      <c r="H172" s="966" t="s">
        <v>572</v>
      </c>
      <c r="I172" s="967"/>
      <c r="J172" s="967"/>
      <c r="K172" s="968"/>
      <c r="L172" s="963">
        <f>SUM('State DisAgg LFx10 (2015)'!L420:O422)/3</f>
        <v>2.0333333333333332</v>
      </c>
      <c r="M172" s="964"/>
      <c r="N172" s="964"/>
      <c r="O172" s="965"/>
      <c r="P172" s="963">
        <f>SUM('State DisAgg LFx10 (2015)'!P420:S422)/3</f>
        <v>2.3333333333333335</v>
      </c>
      <c r="Q172" s="964"/>
      <c r="R172" s="964"/>
      <c r="S172" s="965"/>
      <c r="T172" s="1188" t="s">
        <v>1328</v>
      </c>
      <c r="U172" s="1189"/>
      <c r="V172" s="1189"/>
      <c r="W172" s="1190"/>
      <c r="X172" s="880"/>
    </row>
    <row r="173" spans="1:24" ht="12.95" customHeight="1" thickBot="1">
      <c r="A173" s="885"/>
      <c r="B173" s="885"/>
      <c r="C173" s="9" t="s">
        <v>234</v>
      </c>
      <c r="D173" s="957"/>
      <c r="E173" s="958"/>
      <c r="F173" s="958"/>
      <c r="G173" s="959"/>
      <c r="H173" s="1048"/>
      <c r="I173" s="1049"/>
      <c r="J173" s="1049"/>
      <c r="K173" s="1050"/>
      <c r="L173" s="1057" t="s">
        <v>909</v>
      </c>
      <c r="M173" s="1058"/>
      <c r="N173" s="1058"/>
      <c r="O173" s="1059"/>
      <c r="P173" s="963">
        <f>SUM('State DisAgg LFx10 (2015)'!P423:S424)/2</f>
        <v>2.8</v>
      </c>
      <c r="Q173" s="964"/>
      <c r="R173" s="964"/>
      <c r="S173" s="965"/>
      <c r="T173" s="1191" t="s">
        <v>1311</v>
      </c>
      <c r="U173" s="1192"/>
      <c r="V173" s="1192"/>
      <c r="W173" s="1193"/>
      <c r="X173" s="880"/>
    </row>
    <row r="174" spans="1:24" ht="13.5" thickBot="1">
      <c r="A174" s="885"/>
      <c r="B174" s="885"/>
      <c r="C174" s="102" t="s">
        <v>236</v>
      </c>
      <c r="D174" s="1011"/>
      <c r="E174" s="1012"/>
      <c r="F174" s="1012"/>
      <c r="G174" s="1013"/>
      <c r="H174" s="1011"/>
      <c r="I174" s="1012"/>
      <c r="J174" s="1012"/>
      <c r="K174" s="1013"/>
      <c r="L174" s="1011"/>
      <c r="M174" s="1012"/>
      <c r="N174" s="1012"/>
      <c r="O174" s="1013"/>
      <c r="P174" s="1147">
        <f>SUM('State DisAgg LFx10 (2015)'!P425:S429)/5</f>
        <v>3.7199999999999998</v>
      </c>
      <c r="Q174" s="1148"/>
      <c r="R174" s="1148"/>
      <c r="S174" s="1149"/>
      <c r="T174" s="1147" t="s">
        <v>1319</v>
      </c>
      <c r="U174" s="1148"/>
      <c r="V174" s="1148"/>
      <c r="W174" s="1149"/>
      <c r="X174" s="881"/>
    </row>
    <row r="175" spans="1:24" ht="13.5" thickBot="1">
      <c r="A175" s="885"/>
      <c r="B175" s="885"/>
      <c r="C175" s="102" t="s">
        <v>283</v>
      </c>
      <c r="D175" s="1017"/>
      <c r="E175" s="1018"/>
      <c r="F175" s="1018"/>
      <c r="G175" s="1019"/>
      <c r="H175" s="1017"/>
      <c r="I175" s="1018"/>
      <c r="J175" s="1018"/>
      <c r="K175" s="1019"/>
      <c r="L175" s="1011"/>
      <c r="M175" s="1012"/>
      <c r="N175" s="1012"/>
      <c r="O175" s="1013"/>
      <c r="P175" s="1147">
        <f>SUM('State DisAgg LFx10 (2015)'!P430:S432)/3</f>
        <v>2.5</v>
      </c>
      <c r="Q175" s="1148"/>
      <c r="R175" s="1148"/>
      <c r="S175" s="1149"/>
      <c r="T175" s="1185" t="s">
        <v>1327</v>
      </c>
      <c r="U175" s="1186"/>
      <c r="V175" s="1186"/>
      <c r="W175" s="1187"/>
      <c r="X175" s="101"/>
    </row>
    <row r="176" spans="1:24" ht="13.5" thickBot="1">
      <c r="A176" s="869"/>
      <c r="B176" s="885"/>
      <c r="C176" s="102" t="s">
        <v>284</v>
      </c>
      <c r="D176" s="1017"/>
      <c r="E176" s="1018"/>
      <c r="F176" s="1018"/>
      <c r="G176" s="1019"/>
      <c r="H176" s="1017"/>
      <c r="I176" s="1018"/>
      <c r="J176" s="1018"/>
      <c r="K176" s="1019"/>
      <c r="L176" s="1017"/>
      <c r="M176" s="1018"/>
      <c r="N176" s="1018"/>
      <c r="O176" s="1019"/>
      <c r="P176" s="1017"/>
      <c r="Q176" s="1018"/>
      <c r="R176" s="1018"/>
      <c r="S176" s="1019"/>
      <c r="T176" s="1147" t="s">
        <v>1298</v>
      </c>
      <c r="U176" s="1148"/>
      <c r="V176" s="1148"/>
      <c r="W176" s="1149"/>
      <c r="X176" s="101"/>
    </row>
    <row r="177" spans="1:24" ht="13.5" thickBot="1">
      <c r="A177" s="766" t="s">
        <v>13</v>
      </c>
      <c r="B177" s="885"/>
      <c r="C177" s="1142" t="s">
        <v>413</v>
      </c>
      <c r="D177" s="927" t="s">
        <v>4</v>
      </c>
      <c r="E177" s="928"/>
      <c r="F177" s="928"/>
      <c r="G177" s="928"/>
      <c r="H177" s="928"/>
      <c r="I177" s="928"/>
      <c r="J177" s="928"/>
      <c r="K177" s="928"/>
      <c r="L177" s="928"/>
      <c r="M177" s="928"/>
      <c r="N177" s="928"/>
      <c r="O177" s="928"/>
      <c r="P177" s="928"/>
      <c r="Q177" s="928"/>
      <c r="R177" s="928"/>
      <c r="S177" s="928"/>
      <c r="T177" s="928"/>
      <c r="U177" s="928"/>
      <c r="V177" s="928"/>
      <c r="W177" s="929"/>
      <c r="X177" s="24" t="s">
        <v>14</v>
      </c>
    </row>
    <row r="178" spans="1:24" ht="13.5" thickBot="1">
      <c r="A178" s="25" t="s">
        <v>75</v>
      </c>
      <c r="B178" s="869"/>
      <c r="C178" s="1143"/>
      <c r="D178" s="930" t="s">
        <v>122</v>
      </c>
      <c r="E178" s="931"/>
      <c r="F178" s="931"/>
      <c r="G178" s="931"/>
      <c r="H178" s="931"/>
      <c r="I178" s="931"/>
      <c r="J178" s="931"/>
      <c r="K178" s="931"/>
      <c r="L178" s="931"/>
      <c r="M178" s="931"/>
      <c r="N178" s="931"/>
      <c r="O178" s="931"/>
      <c r="P178" s="931"/>
      <c r="Q178" s="931"/>
      <c r="R178" s="931"/>
      <c r="S178" s="931"/>
      <c r="T178" s="931"/>
      <c r="U178" s="931"/>
      <c r="V178" s="931"/>
      <c r="W178" s="932"/>
      <c r="X178" s="18" t="s">
        <v>92</v>
      </c>
    </row>
    <row r="179" spans="1:24" ht="13.5" thickBot="1">
      <c r="A179" s="906" t="s">
        <v>7</v>
      </c>
      <c r="B179" s="908" t="s">
        <v>173</v>
      </c>
      <c r="C179" s="918"/>
      <c r="D179" s="908" t="s">
        <v>8</v>
      </c>
      <c r="E179" s="918"/>
      <c r="F179" s="918"/>
      <c r="G179" s="909"/>
      <c r="H179" s="908" t="s">
        <v>88</v>
      </c>
      <c r="I179" s="918"/>
      <c r="J179" s="918"/>
      <c r="K179" s="909"/>
      <c r="L179" s="908" t="s">
        <v>89</v>
      </c>
      <c r="M179" s="918"/>
      <c r="N179" s="918"/>
      <c r="O179" s="909"/>
      <c r="P179" s="908" t="s">
        <v>9</v>
      </c>
      <c r="Q179" s="918"/>
      <c r="R179" s="918"/>
      <c r="S179" s="909"/>
      <c r="T179" s="908" t="s">
        <v>174</v>
      </c>
      <c r="U179" s="918"/>
      <c r="V179" s="918"/>
      <c r="W179" s="918"/>
      <c r="X179" s="909"/>
    </row>
    <row r="180" spans="1:24" ht="13.5" thickBot="1">
      <c r="A180" s="907"/>
      <c r="B180" s="919">
        <v>4200000</v>
      </c>
      <c r="C180" s="921"/>
      <c r="D180" s="919">
        <v>0</v>
      </c>
      <c r="E180" s="921"/>
      <c r="F180" s="921"/>
      <c r="G180" s="920"/>
      <c r="H180" s="919">
        <v>3200000</v>
      </c>
      <c r="I180" s="921"/>
      <c r="J180" s="921"/>
      <c r="K180" s="920"/>
      <c r="L180" s="919">
        <v>0</v>
      </c>
      <c r="M180" s="921"/>
      <c r="N180" s="921"/>
      <c r="O180" s="920"/>
      <c r="P180" s="919">
        <f>SUM(B180:O180)</f>
        <v>7400000</v>
      </c>
      <c r="Q180" s="921"/>
      <c r="R180" s="921"/>
      <c r="S180" s="920"/>
      <c r="T180" s="942">
        <f>B180/P180%</f>
        <v>56.756756756756758</v>
      </c>
      <c r="U180" s="943"/>
      <c r="V180" s="943"/>
      <c r="W180" s="943"/>
      <c r="X180" s="944"/>
    </row>
    <row r="181" spans="1:24" ht="13.5" thickBot="1">
      <c r="A181" s="906" t="s">
        <v>10</v>
      </c>
      <c r="B181" s="908" t="s">
        <v>175</v>
      </c>
      <c r="C181" s="918"/>
      <c r="D181" s="910"/>
      <c r="E181" s="911"/>
      <c r="F181" s="911"/>
      <c r="G181" s="911"/>
      <c r="H181" s="911"/>
      <c r="I181" s="911"/>
      <c r="J181" s="911"/>
      <c r="K181" s="911"/>
      <c r="L181" s="911"/>
      <c r="M181" s="911"/>
      <c r="N181" s="911"/>
      <c r="O181" s="911"/>
      <c r="P181" s="911"/>
      <c r="Q181" s="911"/>
      <c r="R181" s="911"/>
      <c r="S181" s="911"/>
      <c r="T181" s="911"/>
      <c r="U181" s="911"/>
      <c r="V181" s="911"/>
      <c r="W181" s="911"/>
      <c r="X181" s="912"/>
    </row>
    <row r="182" spans="1:24" ht="13.5" thickBot="1">
      <c r="A182" s="907"/>
      <c r="B182" s="916"/>
      <c r="C182" s="994"/>
      <c r="D182" s="913"/>
      <c r="E182" s="914"/>
      <c r="F182" s="914"/>
      <c r="G182" s="914"/>
      <c r="H182" s="914"/>
      <c r="I182" s="914"/>
      <c r="J182" s="914"/>
      <c r="K182" s="914"/>
      <c r="L182" s="914"/>
      <c r="M182" s="914"/>
      <c r="N182" s="914"/>
      <c r="O182" s="914"/>
      <c r="P182" s="914"/>
      <c r="Q182" s="914"/>
      <c r="R182" s="914"/>
      <c r="S182" s="914"/>
      <c r="T182" s="914"/>
      <c r="U182" s="914"/>
      <c r="V182" s="914"/>
      <c r="W182" s="914"/>
      <c r="X182" s="915"/>
    </row>
    <row r="183" spans="1:24">
      <c r="A183" s="5"/>
      <c r="B183" s="5"/>
      <c r="C183" s="6"/>
      <c r="D183" s="5"/>
      <c r="E183" s="5"/>
      <c r="F183" s="5"/>
      <c r="G183" s="5"/>
      <c r="H183" s="5"/>
      <c r="I183" s="5"/>
      <c r="J183" s="5"/>
      <c r="K183" s="5"/>
      <c r="L183" s="5"/>
      <c r="M183" s="5"/>
      <c r="N183" s="5"/>
      <c r="O183" s="5"/>
      <c r="P183" s="5"/>
      <c r="Q183" s="5"/>
      <c r="R183" s="5"/>
      <c r="S183" s="5"/>
      <c r="T183" s="5"/>
      <c r="U183" s="5"/>
      <c r="V183" s="5"/>
      <c r="W183" s="5"/>
      <c r="X183" s="5"/>
    </row>
    <row r="184" spans="1:24" ht="13.5" thickBot="1">
      <c r="A184" s="5"/>
      <c r="B184" s="5"/>
      <c r="C184" s="6"/>
      <c r="D184" s="5"/>
      <c r="E184" s="5"/>
      <c r="F184" s="5"/>
      <c r="G184" s="5"/>
      <c r="H184" s="5"/>
      <c r="I184" s="5"/>
      <c r="J184" s="5"/>
      <c r="K184" s="5"/>
      <c r="L184" s="5"/>
      <c r="M184" s="5"/>
      <c r="N184" s="5"/>
      <c r="O184" s="5"/>
      <c r="P184" s="5"/>
      <c r="Q184" s="5"/>
      <c r="R184" s="5"/>
      <c r="S184" s="5"/>
      <c r="T184" s="5"/>
      <c r="U184" s="5"/>
      <c r="V184" s="5"/>
      <c r="W184" s="5"/>
      <c r="X184" s="5"/>
    </row>
    <row r="185" spans="1:24" ht="13.5" thickBot="1">
      <c r="A185" s="765" t="s">
        <v>28</v>
      </c>
      <c r="B185" s="773" t="s">
        <v>32</v>
      </c>
      <c r="C185" s="8"/>
      <c r="D185" s="927" t="s">
        <v>78</v>
      </c>
      <c r="E185" s="928"/>
      <c r="F185" s="928"/>
      <c r="G185" s="929"/>
      <c r="H185" s="927" t="s">
        <v>77</v>
      </c>
      <c r="I185" s="928"/>
      <c r="J185" s="928"/>
      <c r="K185" s="929"/>
      <c r="L185" s="927" t="s">
        <v>81</v>
      </c>
      <c r="M185" s="928"/>
      <c r="N185" s="928"/>
      <c r="O185" s="929"/>
      <c r="P185" s="927" t="s">
        <v>254</v>
      </c>
      <c r="Q185" s="928"/>
      <c r="R185" s="928"/>
      <c r="S185" s="929"/>
      <c r="T185" s="927" t="s">
        <v>76</v>
      </c>
      <c r="U185" s="928"/>
      <c r="V185" s="928"/>
      <c r="W185" s="929"/>
      <c r="X185" s="16" t="s">
        <v>6</v>
      </c>
    </row>
    <row r="186" spans="1:24" ht="13.5" thickBot="1">
      <c r="A186" s="868" t="s">
        <v>65</v>
      </c>
      <c r="B186" s="868" t="s">
        <v>66</v>
      </c>
      <c r="C186" s="9" t="s">
        <v>235</v>
      </c>
      <c r="D186" s="942">
        <f>SUM('State DisAgg LFx10 (2015)'!D444:G448)/5</f>
        <v>1.2</v>
      </c>
      <c r="E186" s="943"/>
      <c r="F186" s="943"/>
      <c r="G186" s="944"/>
      <c r="H186" s="942">
        <f>SUM('State DisAgg LFx10 (2015)'!H444:K448)/5</f>
        <v>1.9</v>
      </c>
      <c r="I186" s="943"/>
      <c r="J186" s="943"/>
      <c r="K186" s="944"/>
      <c r="L186" s="963">
        <f>SUM('State DisAgg LFx10 (2015)'!L444:O448)/5</f>
        <v>2.5</v>
      </c>
      <c r="M186" s="964"/>
      <c r="N186" s="964"/>
      <c r="O186" s="965"/>
      <c r="P186" s="963">
        <f>SUM('State DisAgg LFx10 (2015)'!P444:S448)/5</f>
        <v>2.7800000000000002</v>
      </c>
      <c r="Q186" s="964"/>
      <c r="R186" s="964"/>
      <c r="S186" s="965"/>
      <c r="T186" s="1194" t="s">
        <v>1331</v>
      </c>
      <c r="U186" s="1195"/>
      <c r="V186" s="1195"/>
      <c r="W186" s="1196"/>
      <c r="X186" s="879" t="s">
        <v>91</v>
      </c>
    </row>
    <row r="187" spans="1:24" ht="13.5" thickBot="1">
      <c r="A187" s="885"/>
      <c r="B187" s="885"/>
      <c r="C187" s="9" t="s">
        <v>233</v>
      </c>
      <c r="D187" s="966" t="s">
        <v>255</v>
      </c>
      <c r="E187" s="967"/>
      <c r="F187" s="967"/>
      <c r="G187" s="968"/>
      <c r="H187" s="942">
        <f>SUM('State DisAgg LFx10 (2015)'!H449:K451)/3</f>
        <v>1.5</v>
      </c>
      <c r="I187" s="943"/>
      <c r="J187" s="943"/>
      <c r="K187" s="944"/>
      <c r="L187" s="963">
        <f>SUM('State DisAgg LFx10 (2015)'!L449:O451)/3</f>
        <v>1.5</v>
      </c>
      <c r="M187" s="964"/>
      <c r="N187" s="964"/>
      <c r="O187" s="965"/>
      <c r="P187" s="963">
        <f>SUM('State DisAgg LFx10 (2015)'!P449:S451)/3</f>
        <v>1.8333333333333333</v>
      </c>
      <c r="Q187" s="964"/>
      <c r="R187" s="964"/>
      <c r="S187" s="965"/>
      <c r="T187" s="1188" t="s">
        <v>1332</v>
      </c>
      <c r="U187" s="1189"/>
      <c r="V187" s="1189"/>
      <c r="W187" s="1190"/>
      <c r="X187" s="880"/>
    </row>
    <row r="188" spans="1:24" ht="12.95" customHeight="1" thickBot="1">
      <c r="A188" s="885"/>
      <c r="B188" s="885"/>
      <c r="C188" s="9" t="s">
        <v>234</v>
      </c>
      <c r="D188" s="957"/>
      <c r="E188" s="958"/>
      <c r="F188" s="958"/>
      <c r="G188" s="959"/>
      <c r="H188" s="1048"/>
      <c r="I188" s="1049"/>
      <c r="J188" s="1049"/>
      <c r="K188" s="1050"/>
      <c r="L188" s="1057" t="s">
        <v>910</v>
      </c>
      <c r="M188" s="1058"/>
      <c r="N188" s="1058"/>
      <c r="O188" s="1059"/>
      <c r="P188" s="963">
        <f>SUM('State DisAgg LFx10 (2015)'!P452:S453)/2</f>
        <v>1.25</v>
      </c>
      <c r="Q188" s="964"/>
      <c r="R188" s="964"/>
      <c r="S188" s="965"/>
      <c r="T188" s="1191" t="s">
        <v>1333</v>
      </c>
      <c r="U188" s="1192"/>
      <c r="V188" s="1192"/>
      <c r="W188" s="1193"/>
      <c r="X188" s="880"/>
    </row>
    <row r="189" spans="1:24" ht="13.5" thickBot="1">
      <c r="A189" s="885"/>
      <c r="B189" s="885"/>
      <c r="C189" s="102" t="s">
        <v>236</v>
      </c>
      <c r="D189" s="1008" t="s">
        <v>587</v>
      </c>
      <c r="E189" s="1009"/>
      <c r="F189" s="1009"/>
      <c r="G189" s="1010"/>
      <c r="H189" s="1147">
        <f>SUM('State DisAgg LFx10 (2015)'!H454:K458)/5</f>
        <v>1.92</v>
      </c>
      <c r="I189" s="1148"/>
      <c r="J189" s="1148"/>
      <c r="K189" s="1149"/>
      <c r="L189" s="1147">
        <f>SUM('State DisAgg LFx10 (2015)'!L454:O458)/5</f>
        <v>2.66</v>
      </c>
      <c r="M189" s="1148"/>
      <c r="N189" s="1148"/>
      <c r="O189" s="1149"/>
      <c r="P189" s="1185">
        <f>SUM('State DisAgg LFx10 (2015)'!P454:S458)/5</f>
        <v>3.04</v>
      </c>
      <c r="Q189" s="1186"/>
      <c r="R189" s="1186"/>
      <c r="S189" s="1187"/>
      <c r="T189" s="1185" t="s">
        <v>1296</v>
      </c>
      <c r="U189" s="1186"/>
      <c r="V189" s="1186"/>
      <c r="W189" s="1187"/>
      <c r="X189" s="880"/>
    </row>
    <row r="190" spans="1:24" ht="13.5" thickBot="1">
      <c r="A190" s="885"/>
      <c r="B190" s="885"/>
      <c r="C190" s="102" t="s">
        <v>283</v>
      </c>
      <c r="D190" s="1017"/>
      <c r="E190" s="1018"/>
      <c r="F190" s="1018"/>
      <c r="G190" s="1019"/>
      <c r="H190" s="1017"/>
      <c r="I190" s="1018"/>
      <c r="J190" s="1018"/>
      <c r="K190" s="1019"/>
      <c r="L190" s="1147">
        <f>SUM('State DisAgg LFx10 (2015)'!L459:O461)/3</f>
        <v>1.5</v>
      </c>
      <c r="M190" s="1148"/>
      <c r="N190" s="1148"/>
      <c r="O190" s="1149"/>
      <c r="P190" s="1185">
        <f>SUM('State DisAgg LFx10 (2015)'!P459:S461)/3</f>
        <v>2.6999999999999997</v>
      </c>
      <c r="Q190" s="1186"/>
      <c r="R190" s="1186"/>
      <c r="S190" s="1187"/>
      <c r="T190" s="1185" t="s">
        <v>1326</v>
      </c>
      <c r="U190" s="1186"/>
      <c r="V190" s="1186"/>
      <c r="W190" s="1187"/>
      <c r="X190" s="880"/>
    </row>
    <row r="191" spans="1:24" ht="13.5" thickBot="1">
      <c r="A191" s="885"/>
      <c r="B191" s="885"/>
      <c r="C191" s="102" t="s">
        <v>284</v>
      </c>
      <c r="D191" s="1017"/>
      <c r="E191" s="1018"/>
      <c r="F191" s="1018"/>
      <c r="G191" s="1019"/>
      <c r="H191" s="1017"/>
      <c r="I191" s="1018"/>
      <c r="J191" s="1018"/>
      <c r="K191" s="1019"/>
      <c r="L191" s="1017"/>
      <c r="M191" s="1018"/>
      <c r="N191" s="1018"/>
      <c r="O191" s="1019"/>
      <c r="P191" s="1017"/>
      <c r="Q191" s="1018"/>
      <c r="R191" s="1018"/>
      <c r="S191" s="1019"/>
      <c r="T191" s="1147" t="s">
        <v>1298</v>
      </c>
      <c r="U191" s="1148"/>
      <c r="V191" s="1148"/>
      <c r="W191" s="1149"/>
      <c r="X191" s="880"/>
    </row>
    <row r="192" spans="1:24" ht="13.5" thickBot="1">
      <c r="A192" s="885"/>
      <c r="B192" s="885"/>
      <c r="C192" s="1142" t="s">
        <v>413</v>
      </c>
      <c r="D192" s="927" t="s">
        <v>4</v>
      </c>
      <c r="E192" s="928"/>
      <c r="F192" s="928"/>
      <c r="G192" s="928"/>
      <c r="H192" s="928"/>
      <c r="I192" s="928"/>
      <c r="J192" s="928"/>
      <c r="K192" s="928"/>
      <c r="L192" s="928"/>
      <c r="M192" s="928"/>
      <c r="N192" s="928"/>
      <c r="O192" s="928"/>
      <c r="P192" s="928"/>
      <c r="Q192" s="928"/>
      <c r="R192" s="928"/>
      <c r="S192" s="928"/>
      <c r="T192" s="928"/>
      <c r="U192" s="928"/>
      <c r="V192" s="928"/>
      <c r="W192" s="929"/>
      <c r="X192" s="880"/>
    </row>
    <row r="193" spans="1:24" ht="13.5" thickBot="1">
      <c r="A193" s="885"/>
      <c r="B193" s="869"/>
      <c r="C193" s="1143"/>
      <c r="D193" s="930" t="s">
        <v>123</v>
      </c>
      <c r="E193" s="931"/>
      <c r="F193" s="931"/>
      <c r="G193" s="931"/>
      <c r="H193" s="931"/>
      <c r="I193" s="931"/>
      <c r="J193" s="931"/>
      <c r="K193" s="931"/>
      <c r="L193" s="931"/>
      <c r="M193" s="931"/>
      <c r="N193" s="931"/>
      <c r="O193" s="931"/>
      <c r="P193" s="931"/>
      <c r="Q193" s="931"/>
      <c r="R193" s="931"/>
      <c r="S193" s="931"/>
      <c r="T193" s="931"/>
      <c r="U193" s="931"/>
      <c r="V193" s="931"/>
      <c r="W193" s="932"/>
      <c r="X193" s="880"/>
    </row>
    <row r="194" spans="1:24" ht="13.5" thickBot="1">
      <c r="A194" s="885"/>
      <c r="B194" s="11" t="s">
        <v>33</v>
      </c>
      <c r="C194" s="12"/>
      <c r="D194" s="927" t="s">
        <v>78</v>
      </c>
      <c r="E194" s="928"/>
      <c r="F194" s="928"/>
      <c r="G194" s="929"/>
      <c r="H194" s="927" t="s">
        <v>77</v>
      </c>
      <c r="I194" s="928"/>
      <c r="J194" s="928"/>
      <c r="K194" s="929"/>
      <c r="L194" s="927" t="s">
        <v>81</v>
      </c>
      <c r="M194" s="928"/>
      <c r="N194" s="928"/>
      <c r="O194" s="929"/>
      <c r="P194" s="927" t="s">
        <v>254</v>
      </c>
      <c r="Q194" s="928"/>
      <c r="R194" s="928"/>
      <c r="S194" s="929"/>
      <c r="T194" s="927" t="s">
        <v>76</v>
      </c>
      <c r="U194" s="928"/>
      <c r="V194" s="928"/>
      <c r="W194" s="929"/>
      <c r="X194" s="880"/>
    </row>
    <row r="195" spans="1:24" ht="13.5" thickBot="1">
      <c r="A195" s="885"/>
      <c r="B195" s="868" t="s">
        <v>67</v>
      </c>
      <c r="C195" s="9" t="s">
        <v>235</v>
      </c>
      <c r="D195" s="942">
        <f>SUM('State DisAgg LFx10 (2015)'!D467:G471)/5</f>
        <v>1.2</v>
      </c>
      <c r="E195" s="943"/>
      <c r="F195" s="943"/>
      <c r="G195" s="944"/>
      <c r="H195" s="942">
        <f>SUM('State DisAgg LFx10 (2015)'!H467:K471)/5</f>
        <v>1.8</v>
      </c>
      <c r="I195" s="943"/>
      <c r="J195" s="943"/>
      <c r="K195" s="944"/>
      <c r="L195" s="963">
        <f>SUM('State DisAgg LFx10 (2015)'!L467:O471)/5</f>
        <v>2.7</v>
      </c>
      <c r="M195" s="964"/>
      <c r="N195" s="964"/>
      <c r="O195" s="965"/>
      <c r="P195" s="963">
        <f>SUM('State DisAgg LFx10 (2015)'!P467:S471)/5</f>
        <v>3.12</v>
      </c>
      <c r="Q195" s="964"/>
      <c r="R195" s="964"/>
      <c r="S195" s="965"/>
      <c r="T195" s="1188" t="s">
        <v>1334</v>
      </c>
      <c r="U195" s="1189"/>
      <c r="V195" s="1189"/>
      <c r="W195" s="1190"/>
      <c r="X195" s="880"/>
    </row>
    <row r="196" spans="1:24" ht="13.5" thickBot="1">
      <c r="A196" s="885"/>
      <c r="B196" s="885"/>
      <c r="C196" s="9" t="s">
        <v>233</v>
      </c>
      <c r="D196" s="966" t="s">
        <v>255</v>
      </c>
      <c r="E196" s="967"/>
      <c r="F196" s="967"/>
      <c r="G196" s="968"/>
      <c r="H196" s="942">
        <f>SUM('State DisAgg LFx10 (2015)'!H472:K474)/3</f>
        <v>2.4666666666666668</v>
      </c>
      <c r="I196" s="943"/>
      <c r="J196" s="943"/>
      <c r="K196" s="944"/>
      <c r="L196" s="963">
        <f>SUM('State DisAgg LFx10 (2015)'!L472:O474)/3</f>
        <v>2.4666666666666668</v>
      </c>
      <c r="M196" s="964"/>
      <c r="N196" s="964"/>
      <c r="O196" s="965"/>
      <c r="P196" s="963">
        <f>SUM('State DisAgg LFx10 (2015)'!P472:S474)/3</f>
        <v>2.8000000000000003</v>
      </c>
      <c r="Q196" s="964"/>
      <c r="R196" s="964"/>
      <c r="S196" s="965"/>
      <c r="T196" s="1188" t="s">
        <v>1335</v>
      </c>
      <c r="U196" s="1189"/>
      <c r="V196" s="1189"/>
      <c r="W196" s="1190"/>
      <c r="X196" s="880"/>
    </row>
    <row r="197" spans="1:24" ht="12.95" customHeight="1" thickBot="1">
      <c r="A197" s="885"/>
      <c r="B197" s="885"/>
      <c r="C197" s="9" t="s">
        <v>234</v>
      </c>
      <c r="D197" s="957"/>
      <c r="E197" s="958"/>
      <c r="F197" s="958"/>
      <c r="G197" s="959"/>
      <c r="H197" s="1048"/>
      <c r="I197" s="1049"/>
      <c r="J197" s="1049"/>
      <c r="K197" s="1050"/>
      <c r="L197" s="1057" t="s">
        <v>910</v>
      </c>
      <c r="M197" s="1058"/>
      <c r="N197" s="1058"/>
      <c r="O197" s="1059"/>
      <c r="P197" s="963">
        <f>SUM('State DisAgg LFx10 (2015)'!P475:S476)/2</f>
        <v>1.8</v>
      </c>
      <c r="Q197" s="964"/>
      <c r="R197" s="964"/>
      <c r="S197" s="965"/>
      <c r="T197" s="1191" t="s">
        <v>1336</v>
      </c>
      <c r="U197" s="1192"/>
      <c r="V197" s="1192"/>
      <c r="W197" s="1193"/>
      <c r="X197" s="880"/>
    </row>
    <row r="198" spans="1:24" ht="13.5" thickBot="1">
      <c r="A198" s="885"/>
      <c r="B198" s="885"/>
      <c r="C198" s="102" t="s">
        <v>236</v>
      </c>
      <c r="D198" s="1008" t="s">
        <v>589</v>
      </c>
      <c r="E198" s="1009"/>
      <c r="F198" s="1009"/>
      <c r="G198" s="1010"/>
      <c r="H198" s="1147">
        <f>SUM('State DisAgg LFx10 (2015)'!H477:K481)/5</f>
        <v>1.86</v>
      </c>
      <c r="I198" s="1148"/>
      <c r="J198" s="1148"/>
      <c r="K198" s="1149"/>
      <c r="L198" s="1147">
        <f>SUM('State DisAgg LFx10 (2015)'!L477:O481)/5</f>
        <v>2.66</v>
      </c>
      <c r="M198" s="1148"/>
      <c r="N198" s="1148"/>
      <c r="O198" s="1149"/>
      <c r="P198" s="1185">
        <f>SUM('State DisAgg LFx10 (2015)'!P477:S481)/5</f>
        <v>4.1400000000000006</v>
      </c>
      <c r="Q198" s="1186"/>
      <c r="R198" s="1186"/>
      <c r="S198" s="1187"/>
      <c r="T198" s="1185" t="s">
        <v>1330</v>
      </c>
      <c r="U198" s="1186"/>
      <c r="V198" s="1186"/>
      <c r="W198" s="1187"/>
      <c r="X198" s="880"/>
    </row>
    <row r="199" spans="1:24" ht="13.5" thickBot="1">
      <c r="A199" s="885"/>
      <c r="B199" s="885"/>
      <c r="C199" s="102" t="s">
        <v>283</v>
      </c>
      <c r="D199" s="1017"/>
      <c r="E199" s="1018"/>
      <c r="F199" s="1018"/>
      <c r="G199" s="1019"/>
      <c r="H199" s="1017"/>
      <c r="I199" s="1018"/>
      <c r="J199" s="1018"/>
      <c r="K199" s="1019"/>
      <c r="L199" s="1147">
        <f>SUM('State DisAgg LFx10 (2015)'!L482:O484)/3</f>
        <v>2.4666666666666668</v>
      </c>
      <c r="M199" s="1148"/>
      <c r="N199" s="1148"/>
      <c r="O199" s="1149"/>
      <c r="P199" s="1185">
        <f>SUM('State DisAgg LFx10 (2015)'!P482:S484)/3</f>
        <v>3.0333333333333332</v>
      </c>
      <c r="Q199" s="1186"/>
      <c r="R199" s="1186"/>
      <c r="S199" s="1187"/>
      <c r="T199" s="1185" t="s">
        <v>1330</v>
      </c>
      <c r="U199" s="1186"/>
      <c r="V199" s="1186"/>
      <c r="W199" s="1187"/>
      <c r="X199" s="880"/>
    </row>
    <row r="200" spans="1:24" ht="13.5" thickBot="1">
      <c r="A200" s="885"/>
      <c r="B200" s="885"/>
      <c r="C200" s="102" t="s">
        <v>284</v>
      </c>
      <c r="D200" s="1017"/>
      <c r="E200" s="1018"/>
      <c r="F200" s="1018"/>
      <c r="G200" s="1019"/>
      <c r="H200" s="1017"/>
      <c r="I200" s="1018"/>
      <c r="J200" s="1018"/>
      <c r="K200" s="1019"/>
      <c r="L200" s="1017"/>
      <c r="M200" s="1018"/>
      <c r="N200" s="1018"/>
      <c r="O200" s="1019"/>
      <c r="P200" s="1017"/>
      <c r="Q200" s="1018"/>
      <c r="R200" s="1018"/>
      <c r="S200" s="1019"/>
      <c r="T200" s="1147" t="s">
        <v>1298</v>
      </c>
      <c r="U200" s="1148"/>
      <c r="V200" s="1148"/>
      <c r="W200" s="1149"/>
      <c r="X200" s="880"/>
    </row>
    <row r="201" spans="1:24" ht="13.5" thickBot="1">
      <c r="A201" s="885"/>
      <c r="B201" s="885"/>
      <c r="C201" s="1142" t="s">
        <v>413</v>
      </c>
      <c r="D201" s="927" t="s">
        <v>4</v>
      </c>
      <c r="E201" s="928"/>
      <c r="F201" s="928"/>
      <c r="G201" s="928"/>
      <c r="H201" s="928"/>
      <c r="I201" s="928"/>
      <c r="J201" s="928"/>
      <c r="K201" s="928"/>
      <c r="L201" s="928"/>
      <c r="M201" s="928"/>
      <c r="N201" s="928"/>
      <c r="O201" s="928"/>
      <c r="P201" s="928"/>
      <c r="Q201" s="928"/>
      <c r="R201" s="928"/>
      <c r="S201" s="928"/>
      <c r="T201" s="928"/>
      <c r="U201" s="928"/>
      <c r="V201" s="928"/>
      <c r="W201" s="929"/>
      <c r="X201" s="880"/>
    </row>
    <row r="202" spans="1:24" ht="13.5" thickBot="1">
      <c r="A202" s="885"/>
      <c r="B202" s="869"/>
      <c r="C202" s="1143"/>
      <c r="D202" s="930" t="s">
        <v>123</v>
      </c>
      <c r="E202" s="931"/>
      <c r="F202" s="931"/>
      <c r="G202" s="931"/>
      <c r="H202" s="931"/>
      <c r="I202" s="931"/>
      <c r="J202" s="931"/>
      <c r="K202" s="931"/>
      <c r="L202" s="931"/>
      <c r="M202" s="931"/>
      <c r="N202" s="931"/>
      <c r="O202" s="931"/>
      <c r="P202" s="931"/>
      <c r="Q202" s="931"/>
      <c r="R202" s="931"/>
      <c r="S202" s="931"/>
      <c r="T202" s="931"/>
      <c r="U202" s="931"/>
      <c r="V202" s="931"/>
      <c r="W202" s="932"/>
      <c r="X202" s="880"/>
    </row>
    <row r="203" spans="1:24" ht="13.5" thickBot="1">
      <c r="A203" s="885"/>
      <c r="B203" s="11" t="s">
        <v>34</v>
      </c>
      <c r="C203" s="12"/>
      <c r="D203" s="927" t="s">
        <v>78</v>
      </c>
      <c r="E203" s="928"/>
      <c r="F203" s="928"/>
      <c r="G203" s="929"/>
      <c r="H203" s="927" t="s">
        <v>77</v>
      </c>
      <c r="I203" s="928"/>
      <c r="J203" s="928"/>
      <c r="K203" s="929"/>
      <c r="L203" s="927" t="s">
        <v>81</v>
      </c>
      <c r="M203" s="928"/>
      <c r="N203" s="928"/>
      <c r="O203" s="929"/>
      <c r="P203" s="927" t="s">
        <v>254</v>
      </c>
      <c r="Q203" s="928"/>
      <c r="R203" s="928"/>
      <c r="S203" s="929"/>
      <c r="T203" s="927" t="s">
        <v>76</v>
      </c>
      <c r="U203" s="928"/>
      <c r="V203" s="928"/>
      <c r="W203" s="929"/>
      <c r="X203" s="880"/>
    </row>
    <row r="204" spans="1:24" ht="13.5" thickBot="1">
      <c r="A204" s="885"/>
      <c r="B204" s="868" t="s">
        <v>68</v>
      </c>
      <c r="C204" s="9" t="s">
        <v>235</v>
      </c>
      <c r="D204" s="942">
        <f>SUM('State DisAgg LFx10 (2015)'!D490:G494)/5</f>
        <v>1.2</v>
      </c>
      <c r="E204" s="943"/>
      <c r="F204" s="943"/>
      <c r="G204" s="944"/>
      <c r="H204" s="942">
        <f>SUM('State DisAgg LFx10 (2015)'!H490:K494)/5</f>
        <v>1.4</v>
      </c>
      <c r="I204" s="943"/>
      <c r="J204" s="943"/>
      <c r="K204" s="944"/>
      <c r="L204" s="963">
        <f>SUM('State DisAgg LFx10 (2015)'!L490:O494)/5</f>
        <v>2.4</v>
      </c>
      <c r="M204" s="964"/>
      <c r="N204" s="964"/>
      <c r="O204" s="965"/>
      <c r="P204" s="963">
        <f>SUM('State DisAgg LFx10 (2015)'!P490:S494)/5</f>
        <v>2.7399999999999998</v>
      </c>
      <c r="Q204" s="964"/>
      <c r="R204" s="964"/>
      <c r="S204" s="965"/>
      <c r="T204" s="1188" t="s">
        <v>1337</v>
      </c>
      <c r="U204" s="1189"/>
      <c r="V204" s="1189"/>
      <c r="W204" s="1190"/>
      <c r="X204" s="880"/>
    </row>
    <row r="205" spans="1:24" ht="13.5" thickBot="1">
      <c r="A205" s="885"/>
      <c r="B205" s="885"/>
      <c r="C205" s="9" t="s">
        <v>233</v>
      </c>
      <c r="D205" s="966" t="s">
        <v>255</v>
      </c>
      <c r="E205" s="967"/>
      <c r="F205" s="967"/>
      <c r="G205" s="968"/>
      <c r="H205" s="942">
        <f>SUM('State DisAgg LFx10 (2015)'!H495:K497)/3</f>
        <v>1.5999999999999999</v>
      </c>
      <c r="I205" s="943"/>
      <c r="J205" s="943"/>
      <c r="K205" s="944"/>
      <c r="L205" s="963">
        <f>SUM('State DisAgg LFx10 (2015)'!L495:O497)/3</f>
        <v>1.5999999999999999</v>
      </c>
      <c r="M205" s="964"/>
      <c r="N205" s="964"/>
      <c r="O205" s="965"/>
      <c r="P205" s="963">
        <f>SUM('State DisAgg LFx10 (2015)'!P495:S497)/3</f>
        <v>1.9666666666666668</v>
      </c>
      <c r="Q205" s="964"/>
      <c r="R205" s="964"/>
      <c r="S205" s="965"/>
      <c r="T205" s="1188" t="s">
        <v>1338</v>
      </c>
      <c r="U205" s="1189"/>
      <c r="V205" s="1189"/>
      <c r="W205" s="1190"/>
      <c r="X205" s="880"/>
    </row>
    <row r="206" spans="1:24" ht="12.95" customHeight="1" thickBot="1">
      <c r="A206" s="885"/>
      <c r="B206" s="885"/>
      <c r="C206" s="9" t="s">
        <v>234</v>
      </c>
      <c r="D206" s="957"/>
      <c r="E206" s="958"/>
      <c r="F206" s="958"/>
      <c r="G206" s="959"/>
      <c r="H206" s="1048"/>
      <c r="I206" s="1049"/>
      <c r="J206" s="1049"/>
      <c r="K206" s="1050"/>
      <c r="L206" s="1057" t="s">
        <v>910</v>
      </c>
      <c r="M206" s="1058"/>
      <c r="N206" s="1058"/>
      <c r="O206" s="1059"/>
      <c r="P206" s="963">
        <f>SUM('State DisAgg LFx10 (2015)'!P498:S499)/2</f>
        <v>1.1000000000000001</v>
      </c>
      <c r="Q206" s="964"/>
      <c r="R206" s="964"/>
      <c r="S206" s="965"/>
      <c r="T206" s="1191" t="s">
        <v>1301</v>
      </c>
      <c r="U206" s="1192"/>
      <c r="V206" s="1192"/>
      <c r="W206" s="1193"/>
      <c r="X206" s="880"/>
    </row>
    <row r="207" spans="1:24" ht="13.5" thickBot="1">
      <c r="A207" s="885"/>
      <c r="B207" s="885"/>
      <c r="C207" s="102" t="s">
        <v>236</v>
      </c>
      <c r="D207" s="1008" t="s">
        <v>590</v>
      </c>
      <c r="E207" s="1009"/>
      <c r="F207" s="1009"/>
      <c r="G207" s="1010"/>
      <c r="H207" s="1147">
        <f>SUM('State DisAgg LFx10 (2015)'!H500:K504)/5</f>
        <v>2.1</v>
      </c>
      <c r="I207" s="1148"/>
      <c r="J207" s="1148"/>
      <c r="K207" s="1149"/>
      <c r="L207" s="1147">
        <f>SUM('State DisAgg LFx10 (2015)'!L500:O504)/5</f>
        <v>2.2200000000000002</v>
      </c>
      <c r="M207" s="1148"/>
      <c r="N207" s="1148"/>
      <c r="O207" s="1149"/>
      <c r="P207" s="1147">
        <f>SUM('State DisAgg LFx10 (2015)'!P500:S504)/5</f>
        <v>2.84</v>
      </c>
      <c r="Q207" s="1148"/>
      <c r="R207" s="1148"/>
      <c r="S207" s="1149"/>
      <c r="T207" s="1185" t="s">
        <v>1305</v>
      </c>
      <c r="U207" s="1186"/>
      <c r="V207" s="1186"/>
      <c r="W207" s="1187"/>
      <c r="X207" s="880"/>
    </row>
    <row r="208" spans="1:24" ht="13.5" thickBot="1">
      <c r="A208" s="885"/>
      <c r="B208" s="885"/>
      <c r="C208" s="102" t="s">
        <v>283</v>
      </c>
      <c r="D208" s="1017"/>
      <c r="E208" s="1018"/>
      <c r="F208" s="1018"/>
      <c r="G208" s="1019"/>
      <c r="H208" s="1017"/>
      <c r="I208" s="1018"/>
      <c r="J208" s="1018"/>
      <c r="K208" s="1019"/>
      <c r="L208" s="1147">
        <f>SUM('State DisAgg LFx10 (2015)'!L505:O507)/3</f>
        <v>1.5999999999999999</v>
      </c>
      <c r="M208" s="1148"/>
      <c r="N208" s="1148"/>
      <c r="O208" s="1149"/>
      <c r="P208" s="1147">
        <f>SUM('State DisAgg LFx10 (2015)'!P505:S507)/3</f>
        <v>2.3333333333333335</v>
      </c>
      <c r="Q208" s="1148"/>
      <c r="R208" s="1148"/>
      <c r="S208" s="1149"/>
      <c r="T208" s="1185" t="s">
        <v>1313</v>
      </c>
      <c r="U208" s="1186"/>
      <c r="V208" s="1186"/>
      <c r="W208" s="1187"/>
      <c r="X208" s="880"/>
    </row>
    <row r="209" spans="1:24" ht="13.5" thickBot="1">
      <c r="A209" s="885"/>
      <c r="B209" s="885"/>
      <c r="C209" s="102" t="s">
        <v>284</v>
      </c>
      <c r="D209" s="1017"/>
      <c r="E209" s="1018"/>
      <c r="F209" s="1018"/>
      <c r="G209" s="1019"/>
      <c r="H209" s="1017"/>
      <c r="I209" s="1018"/>
      <c r="J209" s="1018"/>
      <c r="K209" s="1019"/>
      <c r="L209" s="1017"/>
      <c r="M209" s="1018"/>
      <c r="N209" s="1018"/>
      <c r="O209" s="1019"/>
      <c r="P209" s="1017"/>
      <c r="Q209" s="1018"/>
      <c r="R209" s="1018"/>
      <c r="S209" s="1019"/>
      <c r="T209" s="1147" t="s">
        <v>1298</v>
      </c>
      <c r="U209" s="1148"/>
      <c r="V209" s="1148"/>
      <c r="W209" s="1149"/>
      <c r="X209" s="880"/>
    </row>
    <row r="210" spans="1:24" ht="13.5" thickBot="1">
      <c r="A210" s="885"/>
      <c r="B210" s="885"/>
      <c r="C210" s="1142" t="s">
        <v>413</v>
      </c>
      <c r="D210" s="927" t="s">
        <v>4</v>
      </c>
      <c r="E210" s="928"/>
      <c r="F210" s="928"/>
      <c r="G210" s="928"/>
      <c r="H210" s="928"/>
      <c r="I210" s="928"/>
      <c r="J210" s="928"/>
      <c r="K210" s="928"/>
      <c r="L210" s="928"/>
      <c r="M210" s="928"/>
      <c r="N210" s="928"/>
      <c r="O210" s="928"/>
      <c r="P210" s="928"/>
      <c r="Q210" s="928"/>
      <c r="R210" s="928"/>
      <c r="S210" s="928"/>
      <c r="T210" s="928"/>
      <c r="U210" s="928"/>
      <c r="V210" s="928"/>
      <c r="W210" s="929"/>
      <c r="X210" s="880"/>
    </row>
    <row r="211" spans="1:24" ht="13.5" thickBot="1">
      <c r="A211" s="885"/>
      <c r="B211" s="869"/>
      <c r="C211" s="1143"/>
      <c r="D211" s="930" t="s">
        <v>123</v>
      </c>
      <c r="E211" s="931"/>
      <c r="F211" s="931"/>
      <c r="G211" s="931"/>
      <c r="H211" s="931"/>
      <c r="I211" s="931"/>
      <c r="J211" s="931"/>
      <c r="K211" s="931"/>
      <c r="L211" s="931"/>
      <c r="M211" s="931"/>
      <c r="N211" s="931"/>
      <c r="O211" s="931"/>
      <c r="P211" s="931"/>
      <c r="Q211" s="931"/>
      <c r="R211" s="931"/>
      <c r="S211" s="931"/>
      <c r="T211" s="931"/>
      <c r="U211" s="931"/>
      <c r="V211" s="931"/>
      <c r="W211" s="932"/>
      <c r="X211" s="880"/>
    </row>
    <row r="212" spans="1:24" ht="13.5" thickBot="1">
      <c r="A212" s="885"/>
      <c r="B212" s="11" t="s">
        <v>41</v>
      </c>
      <c r="C212" s="12"/>
      <c r="D212" s="927" t="s">
        <v>78</v>
      </c>
      <c r="E212" s="928"/>
      <c r="F212" s="928"/>
      <c r="G212" s="929"/>
      <c r="H212" s="927" t="s">
        <v>77</v>
      </c>
      <c r="I212" s="928"/>
      <c r="J212" s="928"/>
      <c r="K212" s="929"/>
      <c r="L212" s="927" t="s">
        <v>81</v>
      </c>
      <c r="M212" s="928"/>
      <c r="N212" s="928"/>
      <c r="O212" s="929"/>
      <c r="P212" s="927" t="s">
        <v>254</v>
      </c>
      <c r="Q212" s="928"/>
      <c r="R212" s="928"/>
      <c r="S212" s="929"/>
      <c r="T212" s="927" t="s">
        <v>76</v>
      </c>
      <c r="U212" s="928"/>
      <c r="V212" s="928"/>
      <c r="W212" s="929"/>
      <c r="X212" s="880"/>
    </row>
    <row r="213" spans="1:24" ht="13.5" thickBot="1">
      <c r="A213" s="885"/>
      <c r="B213" s="868" t="s">
        <v>69</v>
      </c>
      <c r="C213" s="9" t="s">
        <v>235</v>
      </c>
      <c r="D213" s="942">
        <f>SUM('State DisAgg LFx10 (2015)'!D513:G517)/5</f>
        <v>1.2</v>
      </c>
      <c r="E213" s="943"/>
      <c r="F213" s="943"/>
      <c r="G213" s="944"/>
      <c r="H213" s="942">
        <f>SUM('State DisAgg LFx10 (2015)'!H513:K517)/5</f>
        <v>1.6</v>
      </c>
      <c r="I213" s="943"/>
      <c r="J213" s="943"/>
      <c r="K213" s="944"/>
      <c r="L213" s="963">
        <f>SUM('State DisAgg LFx10 (2015)'!L513:O517)/5</f>
        <v>2.6</v>
      </c>
      <c r="M213" s="964"/>
      <c r="N213" s="964"/>
      <c r="O213" s="965"/>
      <c r="P213" s="963">
        <f>SUM('State DisAgg LFx10 (2015)'!P513:S517)/5</f>
        <v>2.7600000000000002</v>
      </c>
      <c r="Q213" s="964"/>
      <c r="R213" s="964"/>
      <c r="S213" s="965"/>
      <c r="T213" s="1188" t="s">
        <v>1339</v>
      </c>
      <c r="U213" s="1189"/>
      <c r="V213" s="1189"/>
      <c r="W213" s="1190"/>
      <c r="X213" s="880"/>
    </row>
    <row r="214" spans="1:24" ht="13.5" thickBot="1">
      <c r="A214" s="885"/>
      <c r="B214" s="885"/>
      <c r="C214" s="9" t="s">
        <v>233</v>
      </c>
      <c r="D214" s="966" t="s">
        <v>255</v>
      </c>
      <c r="E214" s="967"/>
      <c r="F214" s="967"/>
      <c r="G214" s="968"/>
      <c r="H214" s="942">
        <f>SUM('State DisAgg LFx10 (2015)'!H518:K520)/3</f>
        <v>1.7333333333333332</v>
      </c>
      <c r="I214" s="943"/>
      <c r="J214" s="943"/>
      <c r="K214" s="944"/>
      <c r="L214" s="942">
        <f>SUM('State DisAgg LFx10 (2015)'!L518:O520)/3</f>
        <v>1.7333333333333332</v>
      </c>
      <c r="M214" s="943"/>
      <c r="N214" s="943"/>
      <c r="O214" s="944"/>
      <c r="P214" s="963">
        <f>SUM('State DisAgg LFx10 (2015)'!P518:S520)/3</f>
        <v>1.9666666666666668</v>
      </c>
      <c r="Q214" s="964"/>
      <c r="R214" s="964"/>
      <c r="S214" s="965"/>
      <c r="T214" s="1188" t="s">
        <v>1338</v>
      </c>
      <c r="U214" s="1189"/>
      <c r="V214" s="1189"/>
      <c r="W214" s="1190"/>
      <c r="X214" s="880"/>
    </row>
    <row r="215" spans="1:24" ht="12.95" customHeight="1" thickBot="1">
      <c r="A215" s="885"/>
      <c r="B215" s="885"/>
      <c r="C215" s="9" t="s">
        <v>234</v>
      </c>
      <c r="D215" s="957"/>
      <c r="E215" s="958"/>
      <c r="F215" s="958"/>
      <c r="G215" s="959"/>
      <c r="H215" s="1048"/>
      <c r="I215" s="1049"/>
      <c r="J215" s="1049"/>
      <c r="K215" s="1050"/>
      <c r="L215" s="1057" t="s">
        <v>910</v>
      </c>
      <c r="M215" s="1058"/>
      <c r="N215" s="1058"/>
      <c r="O215" s="1059"/>
      <c r="P215" s="963">
        <f>SUM('State DisAgg LFx10 (2015)'!P521:S522)/2</f>
        <v>1.25</v>
      </c>
      <c r="Q215" s="964"/>
      <c r="R215" s="964"/>
      <c r="S215" s="965"/>
      <c r="T215" s="1191" t="s">
        <v>1340</v>
      </c>
      <c r="U215" s="1192"/>
      <c r="V215" s="1192"/>
      <c r="W215" s="1193"/>
      <c r="X215" s="880"/>
    </row>
    <row r="216" spans="1:24" ht="13.5" thickBot="1">
      <c r="A216" s="885"/>
      <c r="B216" s="885"/>
      <c r="C216" s="102" t="s">
        <v>236</v>
      </c>
      <c r="D216" s="1008" t="s">
        <v>591</v>
      </c>
      <c r="E216" s="1009"/>
      <c r="F216" s="1009"/>
      <c r="G216" s="1010"/>
      <c r="H216" s="1147">
        <f>SUM('State DisAgg LFx10 (2015)'!H523:K527)/5</f>
        <v>1.7399999999999998</v>
      </c>
      <c r="I216" s="1148"/>
      <c r="J216" s="1148"/>
      <c r="K216" s="1149"/>
      <c r="L216" s="1147">
        <f>SUM('State DisAgg LFx10 (2015)'!L523:O527)/5</f>
        <v>2.12</v>
      </c>
      <c r="M216" s="1148"/>
      <c r="N216" s="1148"/>
      <c r="O216" s="1149"/>
      <c r="P216" s="1185">
        <f>SUM('State DisAgg LFx10 (2015)'!P523:S527)/5</f>
        <v>3.06</v>
      </c>
      <c r="Q216" s="1186"/>
      <c r="R216" s="1186"/>
      <c r="S216" s="1187"/>
      <c r="T216" s="1185" t="s">
        <v>1305</v>
      </c>
      <c r="U216" s="1186"/>
      <c r="V216" s="1186"/>
      <c r="W216" s="1187"/>
      <c r="X216" s="880"/>
    </row>
    <row r="217" spans="1:24" ht="13.5" thickBot="1">
      <c r="A217" s="885"/>
      <c r="B217" s="885"/>
      <c r="C217" s="102" t="s">
        <v>283</v>
      </c>
      <c r="D217" s="1017"/>
      <c r="E217" s="1018"/>
      <c r="F217" s="1018"/>
      <c r="G217" s="1019"/>
      <c r="H217" s="1017"/>
      <c r="I217" s="1018"/>
      <c r="J217" s="1018"/>
      <c r="K217" s="1019"/>
      <c r="L217" s="1147">
        <f>SUM('State DisAgg LFx10 (2015)'!L528:O530)/3</f>
        <v>1.7333333333333332</v>
      </c>
      <c r="M217" s="1148"/>
      <c r="N217" s="1148"/>
      <c r="O217" s="1149"/>
      <c r="P217" s="1147">
        <f>SUM('State DisAgg LFx10 (2015)'!P528:S530)/3</f>
        <v>2.2333333333333329</v>
      </c>
      <c r="Q217" s="1148"/>
      <c r="R217" s="1148"/>
      <c r="S217" s="1149"/>
      <c r="T217" s="1185" t="s">
        <v>1305</v>
      </c>
      <c r="U217" s="1186"/>
      <c r="V217" s="1186"/>
      <c r="W217" s="1187"/>
      <c r="X217" s="880"/>
    </row>
    <row r="218" spans="1:24" ht="13.5" thickBot="1">
      <c r="A218" s="885"/>
      <c r="B218" s="885"/>
      <c r="C218" s="102" t="s">
        <v>284</v>
      </c>
      <c r="D218" s="1017"/>
      <c r="E218" s="1018"/>
      <c r="F218" s="1018"/>
      <c r="G218" s="1019"/>
      <c r="H218" s="1017"/>
      <c r="I218" s="1018"/>
      <c r="J218" s="1018"/>
      <c r="K218" s="1019"/>
      <c r="L218" s="1017"/>
      <c r="M218" s="1018"/>
      <c r="N218" s="1018"/>
      <c r="O218" s="1019"/>
      <c r="P218" s="1017"/>
      <c r="Q218" s="1018"/>
      <c r="R218" s="1018"/>
      <c r="S218" s="1019"/>
      <c r="T218" s="1147" t="s">
        <v>1298</v>
      </c>
      <c r="U218" s="1148"/>
      <c r="V218" s="1148"/>
      <c r="W218" s="1149"/>
      <c r="X218" s="880"/>
    </row>
    <row r="219" spans="1:24" ht="13.5" thickBot="1">
      <c r="A219" s="885"/>
      <c r="B219" s="885"/>
      <c r="C219" s="1142" t="s">
        <v>413</v>
      </c>
      <c r="D219" s="927" t="s">
        <v>4</v>
      </c>
      <c r="E219" s="928"/>
      <c r="F219" s="928"/>
      <c r="G219" s="928"/>
      <c r="H219" s="928"/>
      <c r="I219" s="928"/>
      <c r="J219" s="928"/>
      <c r="K219" s="928"/>
      <c r="L219" s="928"/>
      <c r="M219" s="928"/>
      <c r="N219" s="928"/>
      <c r="O219" s="928"/>
      <c r="P219" s="928"/>
      <c r="Q219" s="928"/>
      <c r="R219" s="928"/>
      <c r="S219" s="928"/>
      <c r="T219" s="928"/>
      <c r="U219" s="928"/>
      <c r="V219" s="928"/>
      <c r="W219" s="929"/>
      <c r="X219" s="880"/>
    </row>
    <row r="220" spans="1:24" ht="13.5" thickBot="1">
      <c r="A220" s="885"/>
      <c r="B220" s="869"/>
      <c r="C220" s="1143"/>
      <c r="D220" s="930" t="s">
        <v>123</v>
      </c>
      <c r="E220" s="931"/>
      <c r="F220" s="931"/>
      <c r="G220" s="931"/>
      <c r="H220" s="931"/>
      <c r="I220" s="931"/>
      <c r="J220" s="931"/>
      <c r="K220" s="931"/>
      <c r="L220" s="931"/>
      <c r="M220" s="931"/>
      <c r="N220" s="931"/>
      <c r="O220" s="931"/>
      <c r="P220" s="931"/>
      <c r="Q220" s="931"/>
      <c r="R220" s="931"/>
      <c r="S220" s="931"/>
      <c r="T220" s="931"/>
      <c r="U220" s="931"/>
      <c r="V220" s="931"/>
      <c r="W220" s="932"/>
      <c r="X220" s="880"/>
    </row>
    <row r="221" spans="1:24" ht="13.5" thickBot="1">
      <c r="A221" s="885"/>
      <c r="B221" s="11" t="s">
        <v>42</v>
      </c>
      <c r="C221" s="28"/>
      <c r="D221" s="927" t="s">
        <v>78</v>
      </c>
      <c r="E221" s="928"/>
      <c r="F221" s="928"/>
      <c r="G221" s="929"/>
      <c r="H221" s="927" t="s">
        <v>77</v>
      </c>
      <c r="I221" s="928"/>
      <c r="J221" s="928"/>
      <c r="K221" s="929"/>
      <c r="L221" s="927" t="s">
        <v>81</v>
      </c>
      <c r="M221" s="928"/>
      <c r="N221" s="928"/>
      <c r="O221" s="929"/>
      <c r="P221" s="927" t="s">
        <v>254</v>
      </c>
      <c r="Q221" s="928"/>
      <c r="R221" s="928"/>
      <c r="S221" s="929"/>
      <c r="T221" s="927" t="s">
        <v>76</v>
      </c>
      <c r="U221" s="928"/>
      <c r="V221" s="928"/>
      <c r="W221" s="929"/>
      <c r="X221" s="880"/>
    </row>
    <row r="222" spans="1:24" ht="18.95" customHeight="1" thickBot="1">
      <c r="A222" s="885"/>
      <c r="B222" s="868" t="s">
        <v>180</v>
      </c>
      <c r="C222" s="26"/>
      <c r="D222" s="955" t="s">
        <v>99</v>
      </c>
      <c r="E222" s="956"/>
      <c r="F222" s="955" t="s">
        <v>100</v>
      </c>
      <c r="G222" s="956"/>
      <c r="H222" s="955" t="s">
        <v>99</v>
      </c>
      <c r="I222" s="956"/>
      <c r="J222" s="955" t="s">
        <v>100</v>
      </c>
      <c r="K222" s="956"/>
      <c r="L222" s="955" t="s">
        <v>99</v>
      </c>
      <c r="M222" s="956"/>
      <c r="N222" s="955" t="s">
        <v>100</v>
      </c>
      <c r="O222" s="956"/>
      <c r="P222" s="955" t="s">
        <v>99</v>
      </c>
      <c r="Q222" s="956"/>
      <c r="R222" s="955" t="s">
        <v>100</v>
      </c>
      <c r="S222" s="956"/>
      <c r="T222" s="955" t="s">
        <v>99</v>
      </c>
      <c r="U222" s="956"/>
      <c r="V222" s="955" t="s">
        <v>100</v>
      </c>
      <c r="W222" s="956"/>
      <c r="X222" s="880"/>
    </row>
    <row r="223" spans="1:24" ht="13.5" thickBot="1">
      <c r="A223" s="885"/>
      <c r="B223" s="885"/>
      <c r="C223" s="9" t="s">
        <v>247</v>
      </c>
      <c r="D223" s="951">
        <f>SUM('State DisAgg LFx10 (2015)'!D537:E541)</f>
        <v>0</v>
      </c>
      <c r="E223" s="952"/>
      <c r="F223" s="951">
        <f>SUM('State DisAgg LFx10 (2015)'!F537:G541)</f>
        <v>0</v>
      </c>
      <c r="G223" s="952"/>
      <c r="H223" s="951">
        <f>SUM('State DisAgg LFx10 (2015)'!H537:I544)</f>
        <v>14</v>
      </c>
      <c r="I223" s="952"/>
      <c r="J223" s="951">
        <f>SUM('State DisAgg LFx10 (2015)'!J537:K544)</f>
        <v>7</v>
      </c>
      <c r="K223" s="952"/>
      <c r="L223" s="951">
        <f>SUM('State DisAgg LFx10 (2015)'!L537:M546)</f>
        <v>29</v>
      </c>
      <c r="M223" s="952"/>
      <c r="N223" s="954">
        <f>SUM('State DisAgg LFx10 (2015)'!N537:O546)</f>
        <v>11</v>
      </c>
      <c r="O223" s="953"/>
      <c r="P223" s="954">
        <f>SUM('State DisAgg LFx10 (2015)'!P537:Q546)</f>
        <v>46</v>
      </c>
      <c r="Q223" s="953"/>
      <c r="R223" s="954">
        <f>SUM('State DisAgg LFx10 (2015)'!R537:S546)</f>
        <v>19</v>
      </c>
      <c r="S223" s="953"/>
      <c r="T223" s="1183" t="s">
        <v>1388</v>
      </c>
      <c r="U223" s="1184"/>
      <c r="V223" s="1183" t="s">
        <v>1389</v>
      </c>
      <c r="W223" s="1184"/>
      <c r="X223" s="880"/>
    </row>
    <row r="224" spans="1:24" ht="13.5" thickBot="1">
      <c r="A224" s="869"/>
      <c r="B224" s="885"/>
      <c r="C224" s="102" t="s">
        <v>246</v>
      </c>
      <c r="D224" s="1011" t="s">
        <v>171</v>
      </c>
      <c r="E224" s="1012"/>
      <c r="F224" s="1012"/>
      <c r="G224" s="1013"/>
      <c r="H224" s="1011" t="s">
        <v>417</v>
      </c>
      <c r="I224" s="1012"/>
      <c r="J224" s="1012"/>
      <c r="K224" s="1013"/>
      <c r="L224" s="1140">
        <f>SUM('State DisAgg LFx10 (2015)'!L547:M554)</f>
        <v>28</v>
      </c>
      <c r="M224" s="1141"/>
      <c r="N224" s="1140">
        <f>SUM('State DisAgg LFx10 (2015)'!N547:O554)</f>
        <v>15</v>
      </c>
      <c r="O224" s="1141"/>
      <c r="P224" s="1140">
        <f>SUM('State DisAgg LFx10 (2015)'!P547:Q556)</f>
        <v>48</v>
      </c>
      <c r="Q224" s="1141"/>
      <c r="R224" s="1181">
        <f>SUM('State DisAgg LFx10 (2015)'!R547:S556)</f>
        <v>28</v>
      </c>
      <c r="S224" s="1182"/>
      <c r="T224" s="1181" t="s">
        <v>1386</v>
      </c>
      <c r="U224" s="1182"/>
      <c r="V224" s="1181" t="s">
        <v>1387</v>
      </c>
      <c r="W224" s="1182"/>
      <c r="X224" s="881"/>
    </row>
    <row r="225" spans="1:24" ht="13.5" thickBot="1">
      <c r="A225" s="766" t="s">
        <v>13</v>
      </c>
      <c r="B225" s="764" t="s">
        <v>178</v>
      </c>
      <c r="C225" s="1142" t="s">
        <v>413</v>
      </c>
      <c r="D225" s="927" t="s">
        <v>4</v>
      </c>
      <c r="E225" s="928"/>
      <c r="F225" s="928"/>
      <c r="G225" s="928"/>
      <c r="H225" s="928"/>
      <c r="I225" s="928"/>
      <c r="J225" s="928"/>
      <c r="K225" s="928"/>
      <c r="L225" s="928"/>
      <c r="M225" s="928"/>
      <c r="N225" s="928"/>
      <c r="O225" s="928"/>
      <c r="P225" s="928"/>
      <c r="Q225" s="928"/>
      <c r="R225" s="928"/>
      <c r="S225" s="928"/>
      <c r="T225" s="928"/>
      <c r="U225" s="928"/>
      <c r="V225" s="928"/>
      <c r="W225" s="929"/>
      <c r="X225" s="24" t="s">
        <v>14</v>
      </c>
    </row>
    <row r="226" spans="1:24" ht="13.5" thickBot="1">
      <c r="A226" s="25" t="s">
        <v>74</v>
      </c>
      <c r="B226" s="763"/>
      <c r="C226" s="1143"/>
      <c r="D226" s="930" t="s">
        <v>124</v>
      </c>
      <c r="E226" s="931"/>
      <c r="F226" s="931"/>
      <c r="G226" s="931"/>
      <c r="H226" s="931"/>
      <c r="I226" s="931"/>
      <c r="J226" s="931"/>
      <c r="K226" s="931"/>
      <c r="L226" s="931"/>
      <c r="M226" s="931"/>
      <c r="N226" s="931"/>
      <c r="O226" s="931"/>
      <c r="P226" s="931"/>
      <c r="Q226" s="931"/>
      <c r="R226" s="931"/>
      <c r="S226" s="931"/>
      <c r="T226" s="931"/>
      <c r="U226" s="931"/>
      <c r="V226" s="931"/>
      <c r="W226" s="932"/>
      <c r="X226" s="18" t="s">
        <v>93</v>
      </c>
    </row>
    <row r="227" spans="1:24" ht="13.5" thickBot="1">
      <c r="A227" s="906" t="s">
        <v>7</v>
      </c>
      <c r="B227" s="908" t="s">
        <v>173</v>
      </c>
      <c r="C227" s="918"/>
      <c r="D227" s="908" t="s">
        <v>8</v>
      </c>
      <c r="E227" s="918"/>
      <c r="F227" s="918"/>
      <c r="G227" s="909"/>
      <c r="H227" s="908" t="s">
        <v>88</v>
      </c>
      <c r="I227" s="918"/>
      <c r="J227" s="918"/>
      <c r="K227" s="909"/>
      <c r="L227" s="908" t="s">
        <v>89</v>
      </c>
      <c r="M227" s="918"/>
      <c r="N227" s="918"/>
      <c r="O227" s="909"/>
      <c r="P227" s="908" t="s">
        <v>9</v>
      </c>
      <c r="Q227" s="918"/>
      <c r="R227" s="918"/>
      <c r="S227" s="909"/>
      <c r="T227" s="908" t="s">
        <v>174</v>
      </c>
      <c r="U227" s="918"/>
      <c r="V227" s="918"/>
      <c r="W227" s="918"/>
      <c r="X227" s="909"/>
    </row>
    <row r="228" spans="1:24" ht="13.5" thickBot="1">
      <c r="A228" s="907"/>
      <c r="B228" s="919">
        <v>10300000</v>
      </c>
      <c r="C228" s="921"/>
      <c r="D228" s="919">
        <v>0</v>
      </c>
      <c r="E228" s="921"/>
      <c r="F228" s="921"/>
      <c r="G228" s="920"/>
      <c r="H228" s="919">
        <v>5500000</v>
      </c>
      <c r="I228" s="921"/>
      <c r="J228" s="921"/>
      <c r="K228" s="920"/>
      <c r="L228" s="919">
        <v>3100000</v>
      </c>
      <c r="M228" s="921"/>
      <c r="N228" s="921"/>
      <c r="O228" s="920"/>
      <c r="P228" s="919">
        <f>SUM(B228:O228)</f>
        <v>18900000</v>
      </c>
      <c r="Q228" s="921"/>
      <c r="R228" s="921"/>
      <c r="S228" s="920"/>
      <c r="T228" s="942">
        <f>B228/P228%</f>
        <v>54.4973544973545</v>
      </c>
      <c r="U228" s="943"/>
      <c r="V228" s="943"/>
      <c r="W228" s="943"/>
      <c r="X228" s="944"/>
    </row>
    <row r="229" spans="1:24" ht="13.5" thickBot="1">
      <c r="A229" s="906" t="s">
        <v>10</v>
      </c>
      <c r="B229" s="908" t="s">
        <v>175</v>
      </c>
      <c r="C229" s="918"/>
      <c r="D229" s="910"/>
      <c r="E229" s="911"/>
      <c r="F229" s="911"/>
      <c r="G229" s="911"/>
      <c r="H229" s="911"/>
      <c r="I229" s="911"/>
      <c r="J229" s="911"/>
      <c r="K229" s="911"/>
      <c r="L229" s="911"/>
      <c r="M229" s="911"/>
      <c r="N229" s="911"/>
      <c r="O229" s="911"/>
      <c r="P229" s="911"/>
      <c r="Q229" s="911"/>
      <c r="R229" s="911"/>
      <c r="S229" s="911"/>
      <c r="T229" s="911"/>
      <c r="U229" s="911"/>
      <c r="V229" s="911"/>
      <c r="W229" s="911"/>
      <c r="X229" s="912"/>
    </row>
    <row r="230" spans="1:24" ht="13.5" thickBot="1">
      <c r="A230" s="907"/>
      <c r="B230" s="916"/>
      <c r="C230" s="994"/>
      <c r="D230" s="913"/>
      <c r="E230" s="914"/>
      <c r="F230" s="914"/>
      <c r="G230" s="914"/>
      <c r="H230" s="914"/>
      <c r="I230" s="914"/>
      <c r="J230" s="914"/>
      <c r="K230" s="914"/>
      <c r="L230" s="914"/>
      <c r="M230" s="914"/>
      <c r="N230" s="914"/>
      <c r="O230" s="914"/>
      <c r="P230" s="914"/>
      <c r="Q230" s="914"/>
      <c r="R230" s="914"/>
      <c r="S230" s="914"/>
      <c r="T230" s="914"/>
      <c r="U230" s="914"/>
      <c r="V230" s="914"/>
      <c r="W230" s="914"/>
      <c r="X230" s="915"/>
    </row>
    <row r="232" spans="1:24" ht="13.5" thickBot="1"/>
    <row r="233" spans="1:24" ht="13.5" thickBot="1">
      <c r="A233" s="765" t="s">
        <v>27</v>
      </c>
      <c r="B233" s="773" t="s">
        <v>35</v>
      </c>
      <c r="C233" s="8"/>
      <c r="D233" s="927" t="s">
        <v>78</v>
      </c>
      <c r="E233" s="928"/>
      <c r="F233" s="928"/>
      <c r="G233" s="929"/>
      <c r="H233" s="927" t="s">
        <v>77</v>
      </c>
      <c r="I233" s="928"/>
      <c r="J233" s="928"/>
      <c r="K233" s="929"/>
      <c r="L233" s="927" t="s">
        <v>81</v>
      </c>
      <c r="M233" s="928"/>
      <c r="N233" s="928"/>
      <c r="O233" s="929"/>
      <c r="P233" s="927" t="s">
        <v>254</v>
      </c>
      <c r="Q233" s="928"/>
      <c r="R233" s="928"/>
      <c r="S233" s="929"/>
      <c r="T233" s="927" t="s">
        <v>76</v>
      </c>
      <c r="U233" s="928"/>
      <c r="V233" s="928"/>
      <c r="W233" s="929"/>
      <c r="X233" s="16" t="s">
        <v>12</v>
      </c>
    </row>
    <row r="234" spans="1:24" ht="27.75" thickBot="1">
      <c r="A234" s="868" t="s">
        <v>70</v>
      </c>
      <c r="B234" s="873" t="s">
        <v>609</v>
      </c>
      <c r="C234" s="187"/>
      <c r="D234" s="1065" t="s">
        <v>636</v>
      </c>
      <c r="E234" s="1066"/>
      <c r="F234" s="1066"/>
      <c r="G234" s="1157"/>
      <c r="H234" s="1158" t="s">
        <v>636</v>
      </c>
      <c r="I234" s="1066"/>
      <c r="J234" s="1066"/>
      <c r="K234" s="1157"/>
      <c r="L234" s="1158" t="s">
        <v>636</v>
      </c>
      <c r="M234" s="1066"/>
      <c r="N234" s="1066"/>
      <c r="O234" s="1157"/>
      <c r="P234" s="219" t="s">
        <v>602</v>
      </c>
      <c r="Q234" s="219" t="s">
        <v>603</v>
      </c>
      <c r="R234" s="219" t="s">
        <v>608</v>
      </c>
      <c r="S234" s="219" t="s">
        <v>604</v>
      </c>
      <c r="T234" s="219" t="s">
        <v>602</v>
      </c>
      <c r="U234" s="219" t="s">
        <v>603</v>
      </c>
      <c r="V234" s="219" t="s">
        <v>608</v>
      </c>
      <c r="W234" s="219" t="s">
        <v>604</v>
      </c>
      <c r="X234" s="879" t="s">
        <v>90</v>
      </c>
    </row>
    <row r="235" spans="1:24" ht="24.75" thickBot="1">
      <c r="A235" s="885"/>
      <c r="B235" s="874"/>
      <c r="C235" s="9" t="s">
        <v>247</v>
      </c>
      <c r="D235" s="924">
        <f>SUM('State DisAgg LFx10 (2015)'!D566:G577)</f>
        <v>5</v>
      </c>
      <c r="E235" s="925"/>
      <c r="F235" s="925"/>
      <c r="G235" s="926"/>
      <c r="H235" s="924">
        <f>SUM('State DisAgg LFx10 (2015)'!H566:K577)</f>
        <v>30</v>
      </c>
      <c r="I235" s="925"/>
      <c r="J235" s="925"/>
      <c r="K235" s="926"/>
      <c r="L235" s="924">
        <f>SUM('State DisAgg LFx10 (2015)'!L566:O577)</f>
        <v>52</v>
      </c>
      <c r="M235" s="925"/>
      <c r="N235" s="925"/>
      <c r="O235" s="926"/>
      <c r="P235" s="924">
        <f>SUM('State DisAgg LFx10 (2015)'!P566:S577)</f>
        <v>84</v>
      </c>
      <c r="Q235" s="925"/>
      <c r="R235" s="925"/>
      <c r="S235" s="926"/>
      <c r="T235" s="797" t="s">
        <v>1390</v>
      </c>
      <c r="U235" s="797" t="s">
        <v>1391</v>
      </c>
      <c r="V235" s="797" t="s">
        <v>1392</v>
      </c>
      <c r="W235" s="797" t="s">
        <v>1393</v>
      </c>
      <c r="X235" s="880"/>
    </row>
    <row r="236" spans="1:24" ht="24.75" thickBot="1">
      <c r="A236" s="885"/>
      <c r="B236" s="874"/>
      <c r="C236" s="102" t="s">
        <v>246</v>
      </c>
      <c r="D236" s="1008" t="s">
        <v>596</v>
      </c>
      <c r="E236" s="1009"/>
      <c r="F236" s="1009"/>
      <c r="G236" s="1010"/>
      <c r="H236" s="1140">
        <f>SUM('State DisAgg LFx10 (2015)'!H578:K589)</f>
        <v>26</v>
      </c>
      <c r="I236" s="1156"/>
      <c r="J236" s="1156"/>
      <c r="K236" s="1141"/>
      <c r="L236" s="1140">
        <f>SUM('State DisAgg LFx10 (2015)'!L578:O589)</f>
        <v>54</v>
      </c>
      <c r="M236" s="1156"/>
      <c r="N236" s="1156"/>
      <c r="O236" s="1141"/>
      <c r="P236" s="186">
        <f>SUM('State DisAgg LFx10 (2015)'!P578:P589)</f>
        <v>110</v>
      </c>
      <c r="Q236" s="186">
        <f>SUM('State DisAgg LFx10 (2015)'!Q578:Q589)</f>
        <v>62</v>
      </c>
      <c r="R236" s="186">
        <f>SUM('State DisAgg LFx10 (2015)'!R578:R589)</f>
        <v>41</v>
      </c>
      <c r="S236" s="186">
        <f>SUM('State DisAgg LFx10 (2015)'!S578:S589)</f>
        <v>36</v>
      </c>
      <c r="T236" s="819" t="s">
        <v>1399</v>
      </c>
      <c r="U236" s="819" t="s">
        <v>1400</v>
      </c>
      <c r="V236" s="819" t="s">
        <v>1375</v>
      </c>
      <c r="W236" s="819" t="s">
        <v>1401</v>
      </c>
      <c r="X236" s="880"/>
    </row>
    <row r="237" spans="1:24" ht="13.5" thickBot="1">
      <c r="A237" s="885"/>
      <c r="B237" s="874"/>
      <c r="C237" s="1142" t="s">
        <v>413</v>
      </c>
      <c r="D237" s="927" t="s">
        <v>4</v>
      </c>
      <c r="E237" s="928"/>
      <c r="F237" s="928"/>
      <c r="G237" s="928"/>
      <c r="H237" s="928"/>
      <c r="I237" s="928"/>
      <c r="J237" s="928"/>
      <c r="K237" s="928"/>
      <c r="L237" s="928"/>
      <c r="M237" s="928"/>
      <c r="N237" s="928"/>
      <c r="O237" s="928"/>
      <c r="P237" s="928"/>
      <c r="Q237" s="928"/>
      <c r="R237" s="928"/>
      <c r="S237" s="928"/>
      <c r="T237" s="928"/>
      <c r="U237" s="928"/>
      <c r="V237" s="928"/>
      <c r="W237" s="929"/>
      <c r="X237" s="880"/>
    </row>
    <row r="238" spans="1:24" ht="13.5" thickBot="1">
      <c r="A238" s="885"/>
      <c r="B238" s="875"/>
      <c r="C238" s="1143"/>
      <c r="D238" s="930" t="s">
        <v>125</v>
      </c>
      <c r="E238" s="931"/>
      <c r="F238" s="931"/>
      <c r="G238" s="931"/>
      <c r="H238" s="931"/>
      <c r="I238" s="931"/>
      <c r="J238" s="931"/>
      <c r="K238" s="931"/>
      <c r="L238" s="931"/>
      <c r="M238" s="931"/>
      <c r="N238" s="931"/>
      <c r="O238" s="931"/>
      <c r="P238" s="931"/>
      <c r="Q238" s="931"/>
      <c r="R238" s="931"/>
      <c r="S238" s="931"/>
      <c r="T238" s="931"/>
      <c r="U238" s="931"/>
      <c r="V238" s="931"/>
      <c r="W238" s="932"/>
      <c r="X238" s="880"/>
    </row>
    <row r="239" spans="1:24" ht="13.5" thickBot="1">
      <c r="A239" s="885"/>
      <c r="B239" s="11" t="s">
        <v>36</v>
      </c>
      <c r="C239" s="12"/>
      <c r="D239" s="927" t="s">
        <v>78</v>
      </c>
      <c r="E239" s="928"/>
      <c r="F239" s="928"/>
      <c r="G239" s="929"/>
      <c r="H239" s="927" t="s">
        <v>77</v>
      </c>
      <c r="I239" s="928"/>
      <c r="J239" s="928"/>
      <c r="K239" s="929"/>
      <c r="L239" s="927" t="s">
        <v>81</v>
      </c>
      <c r="M239" s="928"/>
      <c r="N239" s="928"/>
      <c r="O239" s="929"/>
      <c r="P239" s="927" t="s">
        <v>254</v>
      </c>
      <c r="Q239" s="928"/>
      <c r="R239" s="928"/>
      <c r="S239" s="929"/>
      <c r="T239" s="927" t="s">
        <v>76</v>
      </c>
      <c r="U239" s="928"/>
      <c r="V239" s="928"/>
      <c r="W239" s="929"/>
      <c r="X239" s="880"/>
    </row>
    <row r="240" spans="1:24" ht="24.75" thickBot="1">
      <c r="A240" s="885"/>
      <c r="B240" s="873" t="s">
        <v>601</v>
      </c>
      <c r="C240" s="187"/>
      <c r="D240" s="1065" t="s">
        <v>636</v>
      </c>
      <c r="E240" s="1066"/>
      <c r="F240" s="1066"/>
      <c r="G240" s="1067"/>
      <c r="H240" s="1065" t="s">
        <v>636</v>
      </c>
      <c r="I240" s="1066"/>
      <c r="J240" s="1066"/>
      <c r="K240" s="1067"/>
      <c r="L240" s="1065" t="s">
        <v>636</v>
      </c>
      <c r="M240" s="1066"/>
      <c r="N240" s="1066"/>
      <c r="O240" s="1067"/>
      <c r="P240" s="218" t="s">
        <v>101</v>
      </c>
      <c r="Q240" s="218" t="s">
        <v>104</v>
      </c>
      <c r="R240" s="218" t="s">
        <v>102</v>
      </c>
      <c r="S240" s="218" t="s">
        <v>103</v>
      </c>
      <c r="T240" s="218" t="s">
        <v>101</v>
      </c>
      <c r="U240" s="218" t="s">
        <v>104</v>
      </c>
      <c r="V240" s="218" t="s">
        <v>102</v>
      </c>
      <c r="W240" s="218" t="s">
        <v>103</v>
      </c>
      <c r="X240" s="880"/>
    </row>
    <row r="241" spans="1:24" ht="24.75" thickBot="1">
      <c r="A241" s="885"/>
      <c r="B241" s="874"/>
      <c r="C241" s="9" t="s">
        <v>247</v>
      </c>
      <c r="D241" s="924">
        <f>SUM('State DisAgg LFx10 (2015)'!D593:G604)</f>
        <v>2</v>
      </c>
      <c r="E241" s="925"/>
      <c r="F241" s="925"/>
      <c r="G241" s="926"/>
      <c r="H241" s="924">
        <f>SUM('State DisAgg LFx10 (2015)'!H593:K604)</f>
        <v>14</v>
      </c>
      <c r="I241" s="925"/>
      <c r="J241" s="925"/>
      <c r="K241" s="926"/>
      <c r="L241" s="924">
        <f>SUM('State DisAgg LFx10 (2015)'!L593:O604)</f>
        <v>34</v>
      </c>
      <c r="M241" s="925"/>
      <c r="N241" s="925"/>
      <c r="O241" s="926"/>
      <c r="P241" s="924">
        <f>SUM('State DisAgg LFx10 (2015)'!P593:S604)</f>
        <v>38</v>
      </c>
      <c r="Q241" s="925"/>
      <c r="R241" s="925"/>
      <c r="S241" s="926"/>
      <c r="T241" s="798" t="s">
        <v>1489</v>
      </c>
      <c r="U241" s="797" t="s">
        <v>1490</v>
      </c>
      <c r="V241" s="797" t="s">
        <v>1394</v>
      </c>
      <c r="W241" s="798" t="s">
        <v>1491</v>
      </c>
      <c r="X241" s="880"/>
    </row>
    <row r="242" spans="1:24" ht="24.75" thickBot="1">
      <c r="A242" s="885"/>
      <c r="B242" s="874"/>
      <c r="C242" s="102" t="s">
        <v>246</v>
      </c>
      <c r="D242" s="1003" t="s">
        <v>172</v>
      </c>
      <c r="E242" s="1004"/>
      <c r="F242" s="1004"/>
      <c r="G242" s="1005"/>
      <c r="H242" s="1003" t="s">
        <v>417</v>
      </c>
      <c r="I242" s="1004"/>
      <c r="J242" s="1004"/>
      <c r="K242" s="1005"/>
      <c r="L242" s="1140">
        <f>SUM('State DisAgg LFx10 (2015)'!L605:O616)</f>
        <v>21</v>
      </c>
      <c r="M242" s="1156"/>
      <c r="N242" s="1156"/>
      <c r="O242" s="1141"/>
      <c r="P242" s="186">
        <f>SUM('State DisAgg LFx10 (2015)'!P605:P616)</f>
        <v>52</v>
      </c>
      <c r="Q242" s="186">
        <f>SUM('State DisAgg LFx10 (2015)'!Q605:Q616)</f>
        <v>34</v>
      </c>
      <c r="R242" s="186">
        <f>SUM('State DisAgg LFx10 (2015)'!R605:R616)</f>
        <v>17</v>
      </c>
      <c r="S242" s="186">
        <f>SUM('State DisAgg LFx10 (2015)'!S605:S616)</f>
        <v>8</v>
      </c>
      <c r="T242" s="819" t="s">
        <v>1362</v>
      </c>
      <c r="U242" s="819" t="s">
        <v>1402</v>
      </c>
      <c r="V242" s="819" t="s">
        <v>1403</v>
      </c>
      <c r="W242" s="819" t="s">
        <v>1358</v>
      </c>
      <c r="X242" s="881"/>
    </row>
    <row r="243" spans="1:24" ht="13.5" thickBot="1">
      <c r="A243" s="885"/>
      <c r="B243" s="874"/>
      <c r="C243" s="1142" t="s">
        <v>413</v>
      </c>
      <c r="D243" s="927" t="s">
        <v>4</v>
      </c>
      <c r="E243" s="928"/>
      <c r="F243" s="928"/>
      <c r="G243" s="928"/>
      <c r="H243" s="928"/>
      <c r="I243" s="928"/>
      <c r="J243" s="928"/>
      <c r="K243" s="928"/>
      <c r="L243" s="928"/>
      <c r="M243" s="928"/>
      <c r="N243" s="928"/>
      <c r="O243" s="928"/>
      <c r="P243" s="928"/>
      <c r="Q243" s="928"/>
      <c r="R243" s="928"/>
      <c r="S243" s="928"/>
      <c r="T243" s="928"/>
      <c r="U243" s="928"/>
      <c r="V243" s="928"/>
      <c r="W243" s="929"/>
      <c r="X243" s="24" t="s">
        <v>14</v>
      </c>
    </row>
    <row r="244" spans="1:24" ht="13.5" thickBot="1">
      <c r="A244" s="885"/>
      <c r="B244" s="875"/>
      <c r="C244" s="1143"/>
      <c r="D244" s="930" t="s">
        <v>125</v>
      </c>
      <c r="E244" s="931"/>
      <c r="F244" s="931"/>
      <c r="G244" s="931"/>
      <c r="H244" s="931"/>
      <c r="I244" s="931"/>
      <c r="J244" s="931"/>
      <c r="K244" s="931"/>
      <c r="L244" s="931"/>
      <c r="M244" s="931"/>
      <c r="N244" s="931"/>
      <c r="O244" s="931"/>
      <c r="P244" s="931"/>
      <c r="Q244" s="931"/>
      <c r="R244" s="931"/>
      <c r="S244" s="931"/>
      <c r="T244" s="931"/>
      <c r="U244" s="931"/>
      <c r="V244" s="931"/>
      <c r="W244" s="932"/>
      <c r="X244" s="18" t="s">
        <v>92</v>
      </c>
    </row>
    <row r="245" spans="1:24" ht="13.5" thickBot="1">
      <c r="A245" s="885"/>
      <c r="B245" s="11" t="s">
        <v>600</v>
      </c>
      <c r="C245" s="12"/>
      <c r="D245" s="927" t="s">
        <v>78</v>
      </c>
      <c r="E245" s="928"/>
      <c r="F245" s="928"/>
      <c r="G245" s="929"/>
      <c r="H245" s="927" t="s">
        <v>77</v>
      </c>
      <c r="I245" s="928"/>
      <c r="J245" s="928"/>
      <c r="K245" s="929"/>
      <c r="L245" s="927" t="s">
        <v>81</v>
      </c>
      <c r="M245" s="928"/>
      <c r="N245" s="928"/>
      <c r="O245" s="929"/>
      <c r="P245" s="927" t="s">
        <v>254</v>
      </c>
      <c r="Q245" s="928"/>
      <c r="R245" s="928"/>
      <c r="S245" s="929"/>
      <c r="T245" s="927" t="s">
        <v>76</v>
      </c>
      <c r="U245" s="928"/>
      <c r="V245" s="928"/>
      <c r="W245" s="929"/>
      <c r="X245" s="767"/>
    </row>
    <row r="246" spans="1:24" ht="14.25" thickBot="1">
      <c r="A246" s="885"/>
      <c r="B246" s="1132" t="s">
        <v>648</v>
      </c>
      <c r="C246" s="187"/>
      <c r="D246" s="1065"/>
      <c r="E246" s="1066"/>
      <c r="F246" s="1066"/>
      <c r="G246" s="1067"/>
      <c r="H246" s="1065"/>
      <c r="I246" s="1066"/>
      <c r="J246" s="1066"/>
      <c r="K246" s="1067"/>
      <c r="L246" s="1065"/>
      <c r="M246" s="1066"/>
      <c r="N246" s="1066"/>
      <c r="O246" s="1067"/>
      <c r="P246" s="218" t="s">
        <v>693</v>
      </c>
      <c r="Q246" s="219" t="s">
        <v>607</v>
      </c>
      <c r="R246" s="218" t="s">
        <v>606</v>
      </c>
      <c r="S246" s="218" t="s">
        <v>694</v>
      </c>
      <c r="T246" s="218" t="s">
        <v>693</v>
      </c>
      <c r="U246" s="219" t="s">
        <v>607</v>
      </c>
      <c r="V246" s="218" t="s">
        <v>606</v>
      </c>
      <c r="W246" s="218" t="s">
        <v>694</v>
      </c>
      <c r="X246" s="770"/>
    </row>
    <row r="247" spans="1:24" ht="24.75" thickBot="1">
      <c r="A247" s="885"/>
      <c r="B247" s="1133"/>
      <c r="C247" s="9" t="s">
        <v>247</v>
      </c>
      <c r="D247" s="957"/>
      <c r="E247" s="958"/>
      <c r="F247" s="958"/>
      <c r="G247" s="959"/>
      <c r="H247" s="1061" t="s">
        <v>635</v>
      </c>
      <c r="I247" s="1062"/>
      <c r="J247" s="1062"/>
      <c r="K247" s="1063"/>
      <c r="L247" s="966" t="s">
        <v>443</v>
      </c>
      <c r="M247" s="967"/>
      <c r="N247" s="967"/>
      <c r="O247" s="968"/>
      <c r="P247" s="238">
        <f>SUM('State DisAgg LFx10 (2015)'!P620:P631)</f>
        <v>39</v>
      </c>
      <c r="Q247" s="238">
        <f>SUM('State DisAgg LFx10 (2015)'!Q620:Q631)</f>
        <v>29</v>
      </c>
      <c r="R247" s="238">
        <f>SUM('State DisAgg LFx10 (2015)'!R620:R631)</f>
        <v>10</v>
      </c>
      <c r="S247" s="238">
        <f>SUM('State DisAgg LFx10 (2015)'!S620:S631)</f>
        <v>2</v>
      </c>
      <c r="T247" s="799" t="s">
        <v>1395</v>
      </c>
      <c r="U247" s="799" t="s">
        <v>1396</v>
      </c>
      <c r="V247" s="780" t="s">
        <v>1397</v>
      </c>
      <c r="W247" s="799" t="s">
        <v>1398</v>
      </c>
      <c r="X247" s="768"/>
    </row>
    <row r="248" spans="1:24" ht="24.75" thickBot="1">
      <c r="A248" s="869"/>
      <c r="B248" s="1133"/>
      <c r="C248" s="102" t="s">
        <v>246</v>
      </c>
      <c r="D248" s="957"/>
      <c r="E248" s="958"/>
      <c r="F248" s="958"/>
      <c r="G248" s="959"/>
      <c r="H248" s="957"/>
      <c r="I248" s="958"/>
      <c r="J248" s="958"/>
      <c r="K248" s="959"/>
      <c r="L248" s="957"/>
      <c r="M248" s="958"/>
      <c r="N248" s="958"/>
      <c r="O248" s="959"/>
      <c r="P248" s="957"/>
      <c r="Q248" s="958"/>
      <c r="R248" s="958"/>
      <c r="S248" s="959"/>
      <c r="T248" s="819" t="s">
        <v>1404</v>
      </c>
      <c r="U248" s="819" t="s">
        <v>1405</v>
      </c>
      <c r="V248" s="819" t="s">
        <v>1406</v>
      </c>
      <c r="W248" s="819" t="s">
        <v>1355</v>
      </c>
      <c r="X248" s="769"/>
    </row>
    <row r="249" spans="1:24" ht="13.5" thickBot="1">
      <c r="A249" s="766" t="s">
        <v>13</v>
      </c>
      <c r="B249" s="1133"/>
      <c r="C249" s="998" t="s">
        <v>413</v>
      </c>
      <c r="D249" s="927" t="s">
        <v>4</v>
      </c>
      <c r="E249" s="928"/>
      <c r="F249" s="928"/>
      <c r="G249" s="928"/>
      <c r="H249" s="928"/>
      <c r="I249" s="928"/>
      <c r="J249" s="928"/>
      <c r="K249" s="928"/>
      <c r="L249" s="928"/>
      <c r="M249" s="928"/>
      <c r="N249" s="928"/>
      <c r="O249" s="928"/>
      <c r="P249" s="928"/>
      <c r="Q249" s="928"/>
      <c r="R249" s="928"/>
      <c r="S249" s="928"/>
      <c r="T249" s="928"/>
      <c r="U249" s="928"/>
      <c r="V249" s="928"/>
      <c r="W249" s="929"/>
      <c r="X249" s="24" t="s">
        <v>14</v>
      </c>
    </row>
    <row r="250" spans="1:24" ht="13.5" thickBot="1">
      <c r="A250" s="25" t="s">
        <v>73</v>
      </c>
      <c r="B250" s="1134"/>
      <c r="C250" s="999"/>
      <c r="D250" s="930" t="s">
        <v>125</v>
      </c>
      <c r="E250" s="931"/>
      <c r="F250" s="931"/>
      <c r="G250" s="931"/>
      <c r="H250" s="931"/>
      <c r="I250" s="931"/>
      <c r="J250" s="931"/>
      <c r="K250" s="931"/>
      <c r="L250" s="931"/>
      <c r="M250" s="931"/>
      <c r="N250" s="931"/>
      <c r="O250" s="931"/>
      <c r="P250" s="931"/>
      <c r="Q250" s="931"/>
      <c r="R250" s="931"/>
      <c r="S250" s="931"/>
      <c r="T250" s="931"/>
      <c r="U250" s="931"/>
      <c r="V250" s="931"/>
      <c r="W250" s="932"/>
      <c r="X250" s="18" t="s">
        <v>92</v>
      </c>
    </row>
    <row r="251" spans="1:24" ht="13.5" thickBot="1">
      <c r="A251" s="1060" t="s">
        <v>7</v>
      </c>
      <c r="B251" s="908" t="s">
        <v>173</v>
      </c>
      <c r="C251" s="918"/>
      <c r="D251" s="908" t="s">
        <v>8</v>
      </c>
      <c r="E251" s="918"/>
      <c r="F251" s="918"/>
      <c r="G251" s="909"/>
      <c r="H251" s="908" t="s">
        <v>88</v>
      </c>
      <c r="I251" s="918"/>
      <c r="J251" s="918"/>
      <c r="K251" s="909"/>
      <c r="L251" s="908" t="s">
        <v>89</v>
      </c>
      <c r="M251" s="918"/>
      <c r="N251" s="918"/>
      <c r="O251" s="909"/>
      <c r="P251" s="908" t="s">
        <v>9</v>
      </c>
      <c r="Q251" s="918"/>
      <c r="R251" s="918"/>
      <c r="S251" s="909"/>
      <c r="T251" s="908" t="s">
        <v>174</v>
      </c>
      <c r="U251" s="918"/>
      <c r="V251" s="918"/>
      <c r="W251" s="918"/>
      <c r="X251" s="909"/>
    </row>
    <row r="252" spans="1:24" ht="13.5" thickBot="1">
      <c r="A252" s="907"/>
      <c r="B252" s="919">
        <v>4100000</v>
      </c>
      <c r="C252" s="921"/>
      <c r="D252" s="919">
        <v>0</v>
      </c>
      <c r="E252" s="921"/>
      <c r="F252" s="921"/>
      <c r="G252" s="920"/>
      <c r="H252" s="919">
        <v>0</v>
      </c>
      <c r="I252" s="921"/>
      <c r="J252" s="921"/>
      <c r="K252" s="920"/>
      <c r="L252" s="919">
        <v>2700000</v>
      </c>
      <c r="M252" s="921"/>
      <c r="N252" s="921"/>
      <c r="O252" s="920"/>
      <c r="P252" s="919">
        <f>SUM(B252:O252)</f>
        <v>6800000</v>
      </c>
      <c r="Q252" s="921"/>
      <c r="R252" s="921"/>
      <c r="S252" s="920"/>
      <c r="T252" s="942">
        <f>B252/P252%</f>
        <v>60.294117647058826</v>
      </c>
      <c r="U252" s="943"/>
      <c r="V252" s="943"/>
      <c r="W252" s="943"/>
      <c r="X252" s="944"/>
    </row>
    <row r="253" spans="1:24" ht="13.5" thickBot="1">
      <c r="A253" s="906" t="s">
        <v>10</v>
      </c>
      <c r="B253" s="908" t="s">
        <v>175</v>
      </c>
      <c r="C253" s="918"/>
      <c r="D253" s="910"/>
      <c r="E253" s="911"/>
      <c r="F253" s="911"/>
      <c r="G253" s="911"/>
      <c r="H253" s="911"/>
      <c r="I253" s="911"/>
      <c r="J253" s="911"/>
      <c r="K253" s="911"/>
      <c r="L253" s="911"/>
      <c r="M253" s="911"/>
      <c r="N253" s="911"/>
      <c r="O253" s="911"/>
      <c r="P253" s="911"/>
      <c r="Q253" s="911"/>
      <c r="R253" s="911"/>
      <c r="S253" s="911"/>
      <c r="T253" s="911"/>
      <c r="U253" s="911"/>
      <c r="V253" s="911"/>
      <c r="W253" s="911"/>
      <c r="X253" s="912"/>
    </row>
    <row r="254" spans="1:24" ht="13.5" thickBot="1">
      <c r="A254" s="907"/>
      <c r="B254" s="916"/>
      <c r="C254" s="994"/>
      <c r="D254" s="913"/>
      <c r="E254" s="914"/>
      <c r="F254" s="914"/>
      <c r="G254" s="914"/>
      <c r="H254" s="914"/>
      <c r="I254" s="914"/>
      <c r="J254" s="914"/>
      <c r="K254" s="914"/>
      <c r="L254" s="914"/>
      <c r="M254" s="914"/>
      <c r="N254" s="914"/>
      <c r="O254" s="914"/>
      <c r="P254" s="914"/>
      <c r="Q254" s="914"/>
      <c r="R254" s="914"/>
      <c r="S254" s="914"/>
      <c r="T254" s="914"/>
      <c r="U254" s="914"/>
      <c r="V254" s="914"/>
      <c r="W254" s="914"/>
      <c r="X254" s="915"/>
    </row>
  </sheetData>
  <sheetProtection password="CF55" sheet="1" objects="1" scenarios="1" selectLockedCells="1"/>
  <mergeCells count="944">
    <mergeCell ref="D4:G4"/>
    <mergeCell ref="H4:K4"/>
    <mergeCell ref="L4:O4"/>
    <mergeCell ref="P4:S4"/>
    <mergeCell ref="T4:W4"/>
    <mergeCell ref="X4:X18"/>
    <mergeCell ref="P9:S9"/>
    <mergeCell ref="T9:W9"/>
    <mergeCell ref="D14:G14"/>
    <mergeCell ref="H14:K14"/>
    <mergeCell ref="B10:B13"/>
    <mergeCell ref="D10:W10"/>
    <mergeCell ref="D11:W11"/>
    <mergeCell ref="C12:C13"/>
    <mergeCell ref="D12:W12"/>
    <mergeCell ref="D13:W13"/>
    <mergeCell ref="A5:A18"/>
    <mergeCell ref="B5:B8"/>
    <mergeCell ref="D5:W5"/>
    <mergeCell ref="D6:W6"/>
    <mergeCell ref="C7:C8"/>
    <mergeCell ref="D7:W7"/>
    <mergeCell ref="D8:W8"/>
    <mergeCell ref="D9:G9"/>
    <mergeCell ref="H9:K9"/>
    <mergeCell ref="L9:O9"/>
    <mergeCell ref="A22:A48"/>
    <mergeCell ref="B22:B29"/>
    <mergeCell ref="D22:G22"/>
    <mergeCell ref="H22:K22"/>
    <mergeCell ref="L22:O22"/>
    <mergeCell ref="L14:O14"/>
    <mergeCell ref="P14:S14"/>
    <mergeCell ref="T14:W14"/>
    <mergeCell ref="B15:B18"/>
    <mergeCell ref="D15:W15"/>
    <mergeCell ref="D16:W16"/>
    <mergeCell ref="C17:C18"/>
    <mergeCell ref="D17:W17"/>
    <mergeCell ref="D18:W18"/>
    <mergeCell ref="C28:C29"/>
    <mergeCell ref="D29:W29"/>
    <mergeCell ref="D30:G30"/>
    <mergeCell ref="H30:K30"/>
    <mergeCell ref="L30:O30"/>
    <mergeCell ref="P30:S30"/>
    <mergeCell ref="T30:W30"/>
    <mergeCell ref="D26:G26"/>
    <mergeCell ref="H26:K26"/>
    <mergeCell ref="L26:O26"/>
    <mergeCell ref="X22:X48"/>
    <mergeCell ref="D23:G23"/>
    <mergeCell ref="H23:K23"/>
    <mergeCell ref="L23:O23"/>
    <mergeCell ref="P23:S23"/>
    <mergeCell ref="T23:W23"/>
    <mergeCell ref="D24:G24"/>
    <mergeCell ref="H24:K24"/>
    <mergeCell ref="D21:G21"/>
    <mergeCell ref="H21:K21"/>
    <mergeCell ref="L21:O21"/>
    <mergeCell ref="P21:S21"/>
    <mergeCell ref="T21:W21"/>
    <mergeCell ref="L24:O24"/>
    <mergeCell ref="P24:S24"/>
    <mergeCell ref="T24:W24"/>
    <mergeCell ref="D25:G25"/>
    <mergeCell ref="H25:K25"/>
    <mergeCell ref="L25:O25"/>
    <mergeCell ref="P25:S25"/>
    <mergeCell ref="T25:W25"/>
    <mergeCell ref="P22:S22"/>
    <mergeCell ref="T22:W22"/>
    <mergeCell ref="D28:W28"/>
    <mergeCell ref="P26:S26"/>
    <mergeCell ref="T26:W26"/>
    <mergeCell ref="D27:G27"/>
    <mergeCell ref="H27:K27"/>
    <mergeCell ref="L27:O27"/>
    <mergeCell ref="P27:S27"/>
    <mergeCell ref="T27:W27"/>
    <mergeCell ref="T32:W32"/>
    <mergeCell ref="D33:G33"/>
    <mergeCell ref="H33:K33"/>
    <mergeCell ref="L33:O33"/>
    <mergeCell ref="P33:S33"/>
    <mergeCell ref="T33:W33"/>
    <mergeCell ref="D34:G34"/>
    <mergeCell ref="H34:K34"/>
    <mergeCell ref="L34:O34"/>
    <mergeCell ref="P34:S34"/>
    <mergeCell ref="T34:W34"/>
    <mergeCell ref="D35:G35"/>
    <mergeCell ref="H35:K35"/>
    <mergeCell ref="L35:O35"/>
    <mergeCell ref="P35:S35"/>
    <mergeCell ref="T35:W35"/>
    <mergeCell ref="D39:G39"/>
    <mergeCell ref="H39:K39"/>
    <mergeCell ref="L39:O39"/>
    <mergeCell ref="P39:S39"/>
    <mergeCell ref="T39:W39"/>
    <mergeCell ref="B40:B41"/>
    <mergeCell ref="D36:G36"/>
    <mergeCell ref="H36:K36"/>
    <mergeCell ref="L36:O36"/>
    <mergeCell ref="P36:S36"/>
    <mergeCell ref="T36:W36"/>
    <mergeCell ref="C37:C38"/>
    <mergeCell ref="D37:W37"/>
    <mergeCell ref="D38:W38"/>
    <mergeCell ref="B31:B38"/>
    <mergeCell ref="D31:G31"/>
    <mergeCell ref="H31:K31"/>
    <mergeCell ref="L31:O31"/>
    <mergeCell ref="P31:S31"/>
    <mergeCell ref="T31:W31"/>
    <mergeCell ref="D32:G32"/>
    <mergeCell ref="H32:K32"/>
    <mergeCell ref="L32:O32"/>
    <mergeCell ref="P32:S32"/>
    <mergeCell ref="D46:G46"/>
    <mergeCell ref="H46:K46"/>
    <mergeCell ref="L46:O46"/>
    <mergeCell ref="B47:B48"/>
    <mergeCell ref="C47:C48"/>
    <mergeCell ref="D47:W47"/>
    <mergeCell ref="D48:W48"/>
    <mergeCell ref="D42:G42"/>
    <mergeCell ref="D43:G43"/>
    <mergeCell ref="H43:K43"/>
    <mergeCell ref="L43:O43"/>
    <mergeCell ref="D44:G44"/>
    <mergeCell ref="D45:G45"/>
    <mergeCell ref="H45:K45"/>
    <mergeCell ref="D51:G51"/>
    <mergeCell ref="H51:K51"/>
    <mergeCell ref="L51:O51"/>
    <mergeCell ref="P51:S51"/>
    <mergeCell ref="T51:W51"/>
    <mergeCell ref="A52:A83"/>
    <mergeCell ref="B52:B59"/>
    <mergeCell ref="D52:G52"/>
    <mergeCell ref="H52:K52"/>
    <mergeCell ref="L52:O52"/>
    <mergeCell ref="L54:O54"/>
    <mergeCell ref="P54:S54"/>
    <mergeCell ref="T54:W54"/>
    <mergeCell ref="D55:G55"/>
    <mergeCell ref="H55:K55"/>
    <mergeCell ref="L55:O55"/>
    <mergeCell ref="P55:S55"/>
    <mergeCell ref="T55:W55"/>
    <mergeCell ref="P52:S52"/>
    <mergeCell ref="T52:W52"/>
    <mergeCell ref="D53:G53"/>
    <mergeCell ref="H53:K53"/>
    <mergeCell ref="L53:O53"/>
    <mergeCell ref="P53:S53"/>
    <mergeCell ref="T53:W53"/>
    <mergeCell ref="D54:G54"/>
    <mergeCell ref="H54:K54"/>
    <mergeCell ref="C58:C59"/>
    <mergeCell ref="D58:W58"/>
    <mergeCell ref="D59:W59"/>
    <mergeCell ref="D60:G60"/>
    <mergeCell ref="H60:K60"/>
    <mergeCell ref="L60:O60"/>
    <mergeCell ref="P60:S60"/>
    <mergeCell ref="T60:W60"/>
    <mergeCell ref="D56:G56"/>
    <mergeCell ref="H56:K56"/>
    <mergeCell ref="L56:O56"/>
    <mergeCell ref="P56:S56"/>
    <mergeCell ref="T56:W56"/>
    <mergeCell ref="D57:G57"/>
    <mergeCell ref="H57:K57"/>
    <mergeCell ref="L57:O57"/>
    <mergeCell ref="P57:S57"/>
    <mergeCell ref="T57:W57"/>
    <mergeCell ref="T62:W62"/>
    <mergeCell ref="D63:G63"/>
    <mergeCell ref="H63:K63"/>
    <mergeCell ref="L63:O63"/>
    <mergeCell ref="P63:S63"/>
    <mergeCell ref="T63:W63"/>
    <mergeCell ref="B61:B68"/>
    <mergeCell ref="D61:G61"/>
    <mergeCell ref="H61:K61"/>
    <mergeCell ref="L61:O61"/>
    <mergeCell ref="P61:S61"/>
    <mergeCell ref="T61:W61"/>
    <mergeCell ref="D62:G62"/>
    <mergeCell ref="H62:K62"/>
    <mergeCell ref="L62:O62"/>
    <mergeCell ref="P62:S62"/>
    <mergeCell ref="D66:G66"/>
    <mergeCell ref="H66:K66"/>
    <mergeCell ref="L66:O66"/>
    <mergeCell ref="P66:S66"/>
    <mergeCell ref="T66:W66"/>
    <mergeCell ref="C67:C68"/>
    <mergeCell ref="D67:W67"/>
    <mergeCell ref="D68:W68"/>
    <mergeCell ref="D64:G64"/>
    <mergeCell ref="H64:K64"/>
    <mergeCell ref="L64:O64"/>
    <mergeCell ref="P64:S64"/>
    <mergeCell ref="T64:W64"/>
    <mergeCell ref="D65:G65"/>
    <mergeCell ref="H65:K65"/>
    <mergeCell ref="L65:O65"/>
    <mergeCell ref="P65:S65"/>
    <mergeCell ref="T65:W65"/>
    <mergeCell ref="T70:W70"/>
    <mergeCell ref="D71:G71"/>
    <mergeCell ref="H71:K71"/>
    <mergeCell ref="L71:O71"/>
    <mergeCell ref="P71:S71"/>
    <mergeCell ref="T71:W71"/>
    <mergeCell ref="D69:G69"/>
    <mergeCell ref="H69:K69"/>
    <mergeCell ref="L69:O69"/>
    <mergeCell ref="P69:S69"/>
    <mergeCell ref="T69:W69"/>
    <mergeCell ref="D70:G70"/>
    <mergeCell ref="H70:K70"/>
    <mergeCell ref="L70:O70"/>
    <mergeCell ref="P70:S70"/>
    <mergeCell ref="H72:K72"/>
    <mergeCell ref="L72:O72"/>
    <mergeCell ref="P72:S72"/>
    <mergeCell ref="T72:W72"/>
    <mergeCell ref="D73:G73"/>
    <mergeCell ref="H73:K73"/>
    <mergeCell ref="L73:O73"/>
    <mergeCell ref="P73:S73"/>
    <mergeCell ref="T73:W73"/>
    <mergeCell ref="P78:S78"/>
    <mergeCell ref="T78:W78"/>
    <mergeCell ref="B70:B77"/>
    <mergeCell ref="P84:S84"/>
    <mergeCell ref="T84:X84"/>
    <mergeCell ref="B85:C85"/>
    <mergeCell ref="D85:G85"/>
    <mergeCell ref="H85:K85"/>
    <mergeCell ref="L85:O85"/>
    <mergeCell ref="P85:S85"/>
    <mergeCell ref="T85:X85"/>
    <mergeCell ref="B79:B80"/>
    <mergeCell ref="D81:G81"/>
    <mergeCell ref="D74:G74"/>
    <mergeCell ref="H74:K74"/>
    <mergeCell ref="L74:O74"/>
    <mergeCell ref="P74:S74"/>
    <mergeCell ref="T74:W74"/>
    <mergeCell ref="D75:G75"/>
    <mergeCell ref="H75:K75"/>
    <mergeCell ref="L75:O75"/>
    <mergeCell ref="P75:S75"/>
    <mergeCell ref="T75:W75"/>
    <mergeCell ref="D72:G72"/>
    <mergeCell ref="C82:C83"/>
    <mergeCell ref="D82:W82"/>
    <mergeCell ref="D83:W83"/>
    <mergeCell ref="X52:X83"/>
    <mergeCell ref="A86:A87"/>
    <mergeCell ref="B86:C86"/>
    <mergeCell ref="D86:X87"/>
    <mergeCell ref="B87:C87"/>
    <mergeCell ref="D90:G90"/>
    <mergeCell ref="H90:K90"/>
    <mergeCell ref="L90:O90"/>
    <mergeCell ref="P90:S90"/>
    <mergeCell ref="T90:W90"/>
    <mergeCell ref="A84:A85"/>
    <mergeCell ref="B84:C84"/>
    <mergeCell ref="D84:G84"/>
    <mergeCell ref="H84:K84"/>
    <mergeCell ref="L84:O84"/>
    <mergeCell ref="C76:C77"/>
    <mergeCell ref="D76:W76"/>
    <mergeCell ref="D77:W77"/>
    <mergeCell ref="D78:G78"/>
    <mergeCell ref="H78:K78"/>
    <mergeCell ref="L78:O78"/>
    <mergeCell ref="T93:W93"/>
    <mergeCell ref="D94:G94"/>
    <mergeCell ref="H94:K94"/>
    <mergeCell ref="L94:O94"/>
    <mergeCell ref="P94:S94"/>
    <mergeCell ref="T94:W94"/>
    <mergeCell ref="T91:W91"/>
    <mergeCell ref="X91:X110"/>
    <mergeCell ref="D92:G92"/>
    <mergeCell ref="H92:K92"/>
    <mergeCell ref="L92:O92"/>
    <mergeCell ref="P92:S92"/>
    <mergeCell ref="T92:W92"/>
    <mergeCell ref="D93:G93"/>
    <mergeCell ref="H93:K93"/>
    <mergeCell ref="L93:O93"/>
    <mergeCell ref="D91:G91"/>
    <mergeCell ref="H91:K91"/>
    <mergeCell ref="L91:O91"/>
    <mergeCell ref="P91:S91"/>
    <mergeCell ref="P93:S93"/>
    <mergeCell ref="D95:G95"/>
    <mergeCell ref="H95:K95"/>
    <mergeCell ref="L95:O95"/>
    <mergeCell ref="C97:C98"/>
    <mergeCell ref="D97:W97"/>
    <mergeCell ref="D98:W98"/>
    <mergeCell ref="D99:G99"/>
    <mergeCell ref="H99:K99"/>
    <mergeCell ref="L99:O99"/>
    <mergeCell ref="P99:S99"/>
    <mergeCell ref="T99:W99"/>
    <mergeCell ref="P95:S95"/>
    <mergeCell ref="T95:W95"/>
    <mergeCell ref="D96:G96"/>
    <mergeCell ref="H96:K96"/>
    <mergeCell ref="L96:O96"/>
    <mergeCell ref="P96:S96"/>
    <mergeCell ref="T96:W96"/>
    <mergeCell ref="T101:W101"/>
    <mergeCell ref="D102:G102"/>
    <mergeCell ref="H102:K102"/>
    <mergeCell ref="L102:O102"/>
    <mergeCell ref="P102:S102"/>
    <mergeCell ref="T102:W102"/>
    <mergeCell ref="B100:B107"/>
    <mergeCell ref="D100:G100"/>
    <mergeCell ref="H100:K100"/>
    <mergeCell ref="L100:O100"/>
    <mergeCell ref="P100:S100"/>
    <mergeCell ref="T100:W100"/>
    <mergeCell ref="D101:G101"/>
    <mergeCell ref="H101:K101"/>
    <mergeCell ref="L101:O101"/>
    <mergeCell ref="P101:S101"/>
    <mergeCell ref="D105:G105"/>
    <mergeCell ref="H105:K105"/>
    <mergeCell ref="L105:O105"/>
    <mergeCell ref="P105:S105"/>
    <mergeCell ref="T105:W105"/>
    <mergeCell ref="C106:C107"/>
    <mergeCell ref="D106:W106"/>
    <mergeCell ref="D107:W107"/>
    <mergeCell ref="D103:G103"/>
    <mergeCell ref="H103:K103"/>
    <mergeCell ref="L103:O103"/>
    <mergeCell ref="P103:S103"/>
    <mergeCell ref="T103:W103"/>
    <mergeCell ref="D104:G104"/>
    <mergeCell ref="H104:K104"/>
    <mergeCell ref="L104:O104"/>
    <mergeCell ref="P104:S104"/>
    <mergeCell ref="T104:W104"/>
    <mergeCell ref="D108:G108"/>
    <mergeCell ref="H108:K108"/>
    <mergeCell ref="L108:O108"/>
    <mergeCell ref="P108:S108"/>
    <mergeCell ref="T108:W108"/>
    <mergeCell ref="B109:B112"/>
    <mergeCell ref="D109:G109"/>
    <mergeCell ref="H109:K109"/>
    <mergeCell ref="L109:O109"/>
    <mergeCell ref="P109:S109"/>
    <mergeCell ref="A113:A114"/>
    <mergeCell ref="B113:C113"/>
    <mergeCell ref="D113:G113"/>
    <mergeCell ref="H113:K113"/>
    <mergeCell ref="L113:O113"/>
    <mergeCell ref="P113:S113"/>
    <mergeCell ref="T113:X113"/>
    <mergeCell ref="T109:W109"/>
    <mergeCell ref="D110:G110"/>
    <mergeCell ref="H110:K110"/>
    <mergeCell ref="L110:O110"/>
    <mergeCell ref="P110:S110"/>
    <mergeCell ref="T110:W110"/>
    <mergeCell ref="A91:A110"/>
    <mergeCell ref="B91:B98"/>
    <mergeCell ref="B114:C114"/>
    <mergeCell ref="D114:G114"/>
    <mergeCell ref="H114:K114"/>
    <mergeCell ref="L114:O114"/>
    <mergeCell ref="P114:S114"/>
    <mergeCell ref="T114:X114"/>
    <mergeCell ref="C111:C112"/>
    <mergeCell ref="D111:W111"/>
    <mergeCell ref="D112:W112"/>
    <mergeCell ref="A115:A116"/>
    <mergeCell ref="B115:C115"/>
    <mergeCell ref="D115:X116"/>
    <mergeCell ref="B116:C116"/>
    <mergeCell ref="D119:G119"/>
    <mergeCell ref="H119:K119"/>
    <mergeCell ref="L119:O119"/>
    <mergeCell ref="P119:S119"/>
    <mergeCell ref="T119:W119"/>
    <mergeCell ref="T122:W122"/>
    <mergeCell ref="D123:G123"/>
    <mergeCell ref="H123:K123"/>
    <mergeCell ref="L123:O123"/>
    <mergeCell ref="P123:S123"/>
    <mergeCell ref="T123:W123"/>
    <mergeCell ref="T120:W120"/>
    <mergeCell ref="X120:X139"/>
    <mergeCell ref="D121:G121"/>
    <mergeCell ref="H121:K121"/>
    <mergeCell ref="L121:O121"/>
    <mergeCell ref="P121:S121"/>
    <mergeCell ref="T121:W121"/>
    <mergeCell ref="D122:G122"/>
    <mergeCell ref="H122:K122"/>
    <mergeCell ref="L122:O122"/>
    <mergeCell ref="D120:G120"/>
    <mergeCell ref="H120:K120"/>
    <mergeCell ref="L120:O120"/>
    <mergeCell ref="P120:S120"/>
    <mergeCell ref="P122:S122"/>
    <mergeCell ref="D124:G124"/>
    <mergeCell ref="H124:K124"/>
    <mergeCell ref="L124:O124"/>
    <mergeCell ref="C126:C127"/>
    <mergeCell ref="D126:W126"/>
    <mergeCell ref="D127:W127"/>
    <mergeCell ref="D128:G128"/>
    <mergeCell ref="H128:K128"/>
    <mergeCell ref="L128:O128"/>
    <mergeCell ref="P128:S128"/>
    <mergeCell ref="T128:W128"/>
    <mergeCell ref="P124:S124"/>
    <mergeCell ref="T124:W124"/>
    <mergeCell ref="D125:G125"/>
    <mergeCell ref="H125:K125"/>
    <mergeCell ref="L125:O125"/>
    <mergeCell ref="P125:S125"/>
    <mergeCell ref="T125:W125"/>
    <mergeCell ref="T130:W130"/>
    <mergeCell ref="D131:G131"/>
    <mergeCell ref="H131:K131"/>
    <mergeCell ref="L131:O131"/>
    <mergeCell ref="P131:S131"/>
    <mergeCell ref="T131:W131"/>
    <mergeCell ref="B129:B136"/>
    <mergeCell ref="D129:G129"/>
    <mergeCell ref="H129:K129"/>
    <mergeCell ref="L129:O129"/>
    <mergeCell ref="P129:S129"/>
    <mergeCell ref="T129:W129"/>
    <mergeCell ref="D130:G130"/>
    <mergeCell ref="H130:K130"/>
    <mergeCell ref="L130:O130"/>
    <mergeCell ref="P130:S130"/>
    <mergeCell ref="D134:G134"/>
    <mergeCell ref="H134:K134"/>
    <mergeCell ref="L134:O134"/>
    <mergeCell ref="P134:S134"/>
    <mergeCell ref="T134:W134"/>
    <mergeCell ref="C135:C136"/>
    <mergeCell ref="D135:W135"/>
    <mergeCell ref="D136:W136"/>
    <mergeCell ref="D132:G132"/>
    <mergeCell ref="H132:K132"/>
    <mergeCell ref="L132:O132"/>
    <mergeCell ref="P132:S132"/>
    <mergeCell ref="T132:W132"/>
    <mergeCell ref="D133:G133"/>
    <mergeCell ref="H133:K133"/>
    <mergeCell ref="L133:O133"/>
    <mergeCell ref="P133:S133"/>
    <mergeCell ref="T133:W133"/>
    <mergeCell ref="D137:G137"/>
    <mergeCell ref="H137:K137"/>
    <mergeCell ref="L137:O137"/>
    <mergeCell ref="P137:S137"/>
    <mergeCell ref="T137:W137"/>
    <mergeCell ref="B138:B141"/>
    <mergeCell ref="D138:G138"/>
    <mergeCell ref="H138:K138"/>
    <mergeCell ref="L138:O138"/>
    <mergeCell ref="P138:S138"/>
    <mergeCell ref="A142:A143"/>
    <mergeCell ref="B142:C142"/>
    <mergeCell ref="D142:G142"/>
    <mergeCell ref="H142:K142"/>
    <mergeCell ref="L142:O142"/>
    <mergeCell ref="P142:S142"/>
    <mergeCell ref="T142:X142"/>
    <mergeCell ref="T138:W138"/>
    <mergeCell ref="D139:G139"/>
    <mergeCell ref="H139:K139"/>
    <mergeCell ref="L139:O139"/>
    <mergeCell ref="P139:S139"/>
    <mergeCell ref="T139:W139"/>
    <mergeCell ref="A120:A139"/>
    <mergeCell ref="B120:B127"/>
    <mergeCell ref="B143:C143"/>
    <mergeCell ref="D143:G143"/>
    <mergeCell ref="H143:K143"/>
    <mergeCell ref="L143:O143"/>
    <mergeCell ref="P143:S143"/>
    <mergeCell ref="T143:X143"/>
    <mergeCell ref="C140:C141"/>
    <mergeCell ref="D140:W140"/>
    <mergeCell ref="D141:W141"/>
    <mergeCell ref="A144:A145"/>
    <mergeCell ref="B144:C144"/>
    <mergeCell ref="D144:X145"/>
    <mergeCell ref="B145:C145"/>
    <mergeCell ref="D148:G148"/>
    <mergeCell ref="H148:K148"/>
    <mergeCell ref="L148:O148"/>
    <mergeCell ref="P148:S148"/>
    <mergeCell ref="T148:W148"/>
    <mergeCell ref="A149:A176"/>
    <mergeCell ref="B149:B150"/>
    <mergeCell ref="X149:X174"/>
    <mergeCell ref="D151:G151"/>
    <mergeCell ref="C152:C153"/>
    <mergeCell ref="D152:W152"/>
    <mergeCell ref="D153:W153"/>
    <mergeCell ref="D154:G154"/>
    <mergeCell ref="H154:K154"/>
    <mergeCell ref="L154:O154"/>
    <mergeCell ref="B161:B164"/>
    <mergeCell ref="D161:E161"/>
    <mergeCell ref="F161:G161"/>
    <mergeCell ref="H161:I161"/>
    <mergeCell ref="J161:K161"/>
    <mergeCell ref="P154:S154"/>
    <mergeCell ref="T154:W154"/>
    <mergeCell ref="B155:B156"/>
    <mergeCell ref="D157:G157"/>
    <mergeCell ref="H157:K157"/>
    <mergeCell ref="C158:C159"/>
    <mergeCell ref="D158:W158"/>
    <mergeCell ref="D159:W159"/>
    <mergeCell ref="L161:M161"/>
    <mergeCell ref="N161:O161"/>
    <mergeCell ref="P161:Q161"/>
    <mergeCell ref="R161:S161"/>
    <mergeCell ref="T161:U161"/>
    <mergeCell ref="V161:W161"/>
    <mergeCell ref="D160:G160"/>
    <mergeCell ref="H160:K160"/>
    <mergeCell ref="L160:O160"/>
    <mergeCell ref="P160:S160"/>
    <mergeCell ref="T160:W160"/>
    <mergeCell ref="T162:U162"/>
    <mergeCell ref="V162:W162"/>
    <mergeCell ref="D163:G163"/>
    <mergeCell ref="H163:K163"/>
    <mergeCell ref="L163:M163"/>
    <mergeCell ref="N163:O163"/>
    <mergeCell ref="P163:Q163"/>
    <mergeCell ref="R163:S163"/>
    <mergeCell ref="T163:U163"/>
    <mergeCell ref="V163:W163"/>
    <mergeCell ref="D162:G162"/>
    <mergeCell ref="H162:K162"/>
    <mergeCell ref="L162:M162"/>
    <mergeCell ref="N162:O162"/>
    <mergeCell ref="P162:Q162"/>
    <mergeCell ref="R162:S162"/>
    <mergeCell ref="V164:W164"/>
    <mergeCell ref="D165:G165"/>
    <mergeCell ref="H165:K165"/>
    <mergeCell ref="L165:O165"/>
    <mergeCell ref="P165:Q165"/>
    <mergeCell ref="R165:S165"/>
    <mergeCell ref="T165:U165"/>
    <mergeCell ref="V165:W165"/>
    <mergeCell ref="D164:G164"/>
    <mergeCell ref="H164:K164"/>
    <mergeCell ref="L164:O164"/>
    <mergeCell ref="P164:Q164"/>
    <mergeCell ref="R164:S164"/>
    <mergeCell ref="T164:U164"/>
    <mergeCell ref="V166:W166"/>
    <mergeCell ref="D167:G167"/>
    <mergeCell ref="H167:K167"/>
    <mergeCell ref="L167:O167"/>
    <mergeCell ref="T167:U167"/>
    <mergeCell ref="V167:W167"/>
    <mergeCell ref="D166:G166"/>
    <mergeCell ref="H166:K166"/>
    <mergeCell ref="L166:O166"/>
    <mergeCell ref="P166:Q166"/>
    <mergeCell ref="R166:S166"/>
    <mergeCell ref="T166:U166"/>
    <mergeCell ref="B168:B169"/>
    <mergeCell ref="C168:C169"/>
    <mergeCell ref="D168:W168"/>
    <mergeCell ref="D169:W169"/>
    <mergeCell ref="D170:G170"/>
    <mergeCell ref="H170:K170"/>
    <mergeCell ref="L170:O170"/>
    <mergeCell ref="P170:S170"/>
    <mergeCell ref="T170:W170"/>
    <mergeCell ref="T172:W172"/>
    <mergeCell ref="D173:G173"/>
    <mergeCell ref="H173:K173"/>
    <mergeCell ref="L173:O173"/>
    <mergeCell ref="P173:S173"/>
    <mergeCell ref="T173:W173"/>
    <mergeCell ref="B171:B178"/>
    <mergeCell ref="D171:G171"/>
    <mergeCell ref="H171:K171"/>
    <mergeCell ref="L171:O171"/>
    <mergeCell ref="P171:S171"/>
    <mergeCell ref="T171:W171"/>
    <mergeCell ref="D172:G172"/>
    <mergeCell ref="H172:K172"/>
    <mergeCell ref="L172:O172"/>
    <mergeCell ref="P172:S172"/>
    <mergeCell ref="D176:G176"/>
    <mergeCell ref="H176:K176"/>
    <mergeCell ref="L176:O176"/>
    <mergeCell ref="P176:S176"/>
    <mergeCell ref="T176:W176"/>
    <mergeCell ref="C177:C178"/>
    <mergeCell ref="D177:W177"/>
    <mergeCell ref="D178:W178"/>
    <mergeCell ref="D174:G174"/>
    <mergeCell ref="H174:K174"/>
    <mergeCell ref="L174:O174"/>
    <mergeCell ref="P174:S174"/>
    <mergeCell ref="T174:W174"/>
    <mergeCell ref="D175:G175"/>
    <mergeCell ref="H175:K175"/>
    <mergeCell ref="L175:O175"/>
    <mergeCell ref="P175:S175"/>
    <mergeCell ref="T175:W175"/>
    <mergeCell ref="T179:X179"/>
    <mergeCell ref="B180:C180"/>
    <mergeCell ref="D180:G180"/>
    <mergeCell ref="H180:K180"/>
    <mergeCell ref="L180:O180"/>
    <mergeCell ref="P180:S180"/>
    <mergeCell ref="T180:X180"/>
    <mergeCell ref="A179:A180"/>
    <mergeCell ref="B179:C179"/>
    <mergeCell ref="D179:G179"/>
    <mergeCell ref="H179:K179"/>
    <mergeCell ref="L179:O179"/>
    <mergeCell ref="P179:S179"/>
    <mergeCell ref="A181:A182"/>
    <mergeCell ref="B181:C181"/>
    <mergeCell ref="D181:X182"/>
    <mergeCell ref="B182:C182"/>
    <mergeCell ref="D185:G185"/>
    <mergeCell ref="H185:K185"/>
    <mergeCell ref="L185:O185"/>
    <mergeCell ref="P185:S185"/>
    <mergeCell ref="T185:W185"/>
    <mergeCell ref="T188:W188"/>
    <mergeCell ref="D189:G189"/>
    <mergeCell ref="H189:K189"/>
    <mergeCell ref="L189:O189"/>
    <mergeCell ref="P189:S189"/>
    <mergeCell ref="T189:W189"/>
    <mergeCell ref="T186:W186"/>
    <mergeCell ref="X186:X224"/>
    <mergeCell ref="D187:G187"/>
    <mergeCell ref="H187:K187"/>
    <mergeCell ref="L187:O187"/>
    <mergeCell ref="P187:S187"/>
    <mergeCell ref="T187:W187"/>
    <mergeCell ref="D188:G188"/>
    <mergeCell ref="H188:K188"/>
    <mergeCell ref="L188:O188"/>
    <mergeCell ref="D186:G186"/>
    <mergeCell ref="H186:K186"/>
    <mergeCell ref="L186:O186"/>
    <mergeCell ref="P186:S186"/>
    <mergeCell ref="P188:S188"/>
    <mergeCell ref="D190:G190"/>
    <mergeCell ref="H190:K190"/>
    <mergeCell ref="L190:O190"/>
    <mergeCell ref="C192:C193"/>
    <mergeCell ref="D192:W192"/>
    <mergeCell ref="D193:W193"/>
    <mergeCell ref="D194:G194"/>
    <mergeCell ref="H194:K194"/>
    <mergeCell ref="L194:O194"/>
    <mergeCell ref="P194:S194"/>
    <mergeCell ref="T194:W194"/>
    <mergeCell ref="P190:S190"/>
    <mergeCell ref="T190:W190"/>
    <mergeCell ref="D191:G191"/>
    <mergeCell ref="H191:K191"/>
    <mergeCell ref="L191:O191"/>
    <mergeCell ref="P191:S191"/>
    <mergeCell ref="T191:W191"/>
    <mergeCell ref="T196:W196"/>
    <mergeCell ref="D197:G197"/>
    <mergeCell ref="H197:K197"/>
    <mergeCell ref="L197:O197"/>
    <mergeCell ref="P197:S197"/>
    <mergeCell ref="T197:W197"/>
    <mergeCell ref="B195:B202"/>
    <mergeCell ref="D195:G195"/>
    <mergeCell ref="H195:K195"/>
    <mergeCell ref="L195:O195"/>
    <mergeCell ref="P195:S195"/>
    <mergeCell ref="T195:W195"/>
    <mergeCell ref="D196:G196"/>
    <mergeCell ref="H196:K196"/>
    <mergeCell ref="L196:O196"/>
    <mergeCell ref="P196:S196"/>
    <mergeCell ref="T200:W200"/>
    <mergeCell ref="C201:C202"/>
    <mergeCell ref="D201:W201"/>
    <mergeCell ref="D202:W202"/>
    <mergeCell ref="D198:G198"/>
    <mergeCell ref="H198:K198"/>
    <mergeCell ref="L198:O198"/>
    <mergeCell ref="P198:S198"/>
    <mergeCell ref="T198:W198"/>
    <mergeCell ref="D199:G199"/>
    <mergeCell ref="H199:K199"/>
    <mergeCell ref="L199:O199"/>
    <mergeCell ref="P199:S199"/>
    <mergeCell ref="T199:W199"/>
    <mergeCell ref="B204:B211"/>
    <mergeCell ref="D204:G204"/>
    <mergeCell ref="H204:K204"/>
    <mergeCell ref="L204:O204"/>
    <mergeCell ref="P204:S204"/>
    <mergeCell ref="D200:G200"/>
    <mergeCell ref="H200:K200"/>
    <mergeCell ref="L200:O200"/>
    <mergeCell ref="P200:S200"/>
    <mergeCell ref="T204:W204"/>
    <mergeCell ref="D205:G205"/>
    <mergeCell ref="H205:K205"/>
    <mergeCell ref="L205:O205"/>
    <mergeCell ref="P205:S205"/>
    <mergeCell ref="T205:W205"/>
    <mergeCell ref="D203:G203"/>
    <mergeCell ref="H203:K203"/>
    <mergeCell ref="L203:O203"/>
    <mergeCell ref="P203:S203"/>
    <mergeCell ref="T203:W203"/>
    <mergeCell ref="D206:G206"/>
    <mergeCell ref="H206:K206"/>
    <mergeCell ref="L206:O206"/>
    <mergeCell ref="P206:S206"/>
    <mergeCell ref="T206:W206"/>
    <mergeCell ref="D207:G207"/>
    <mergeCell ref="H207:K207"/>
    <mergeCell ref="L207:O207"/>
    <mergeCell ref="P207:S207"/>
    <mergeCell ref="T207:W207"/>
    <mergeCell ref="C210:C211"/>
    <mergeCell ref="D210:W210"/>
    <mergeCell ref="D211:W211"/>
    <mergeCell ref="D212:G212"/>
    <mergeCell ref="H212:K212"/>
    <mergeCell ref="L212:O212"/>
    <mergeCell ref="P212:S212"/>
    <mergeCell ref="T212:W212"/>
    <mergeCell ref="D208:G208"/>
    <mergeCell ref="H208:K208"/>
    <mergeCell ref="L208:O208"/>
    <mergeCell ref="P208:S208"/>
    <mergeCell ref="T208:W208"/>
    <mergeCell ref="D209:G209"/>
    <mergeCell ref="H209:K209"/>
    <mergeCell ref="L209:O209"/>
    <mergeCell ref="P209:S209"/>
    <mergeCell ref="T209:W209"/>
    <mergeCell ref="T214:W214"/>
    <mergeCell ref="D215:G215"/>
    <mergeCell ref="H215:K215"/>
    <mergeCell ref="L215:O215"/>
    <mergeCell ref="P215:S215"/>
    <mergeCell ref="T215:W215"/>
    <mergeCell ref="B213:B220"/>
    <mergeCell ref="D213:G213"/>
    <mergeCell ref="H213:K213"/>
    <mergeCell ref="L213:O213"/>
    <mergeCell ref="P213:S213"/>
    <mergeCell ref="T213:W213"/>
    <mergeCell ref="D214:G214"/>
    <mergeCell ref="H214:K214"/>
    <mergeCell ref="L214:O214"/>
    <mergeCell ref="P214:S214"/>
    <mergeCell ref="D218:G218"/>
    <mergeCell ref="H218:K218"/>
    <mergeCell ref="L218:O218"/>
    <mergeCell ref="P218:S218"/>
    <mergeCell ref="T218:W218"/>
    <mergeCell ref="C219:C220"/>
    <mergeCell ref="D219:W219"/>
    <mergeCell ref="D220:W220"/>
    <mergeCell ref="D216:G216"/>
    <mergeCell ref="H216:K216"/>
    <mergeCell ref="L216:O216"/>
    <mergeCell ref="P216:S216"/>
    <mergeCell ref="T216:W216"/>
    <mergeCell ref="D217:G217"/>
    <mergeCell ref="H217:K217"/>
    <mergeCell ref="L217:O217"/>
    <mergeCell ref="P217:S217"/>
    <mergeCell ref="T217:W217"/>
    <mergeCell ref="L222:M222"/>
    <mergeCell ref="N222:O222"/>
    <mergeCell ref="P222:Q222"/>
    <mergeCell ref="R222:S222"/>
    <mergeCell ref="T222:U222"/>
    <mergeCell ref="V222:W222"/>
    <mergeCell ref="D221:G221"/>
    <mergeCell ref="H221:K221"/>
    <mergeCell ref="L221:O221"/>
    <mergeCell ref="P221:S221"/>
    <mergeCell ref="T221:W221"/>
    <mergeCell ref="D222:E222"/>
    <mergeCell ref="F222:G222"/>
    <mergeCell ref="H222:I222"/>
    <mergeCell ref="J222:K222"/>
    <mergeCell ref="A227:A228"/>
    <mergeCell ref="B227:C227"/>
    <mergeCell ref="D227:G227"/>
    <mergeCell ref="H227:K227"/>
    <mergeCell ref="L227:O227"/>
    <mergeCell ref="P223:Q223"/>
    <mergeCell ref="R223:S223"/>
    <mergeCell ref="T223:U223"/>
    <mergeCell ref="V223:W223"/>
    <mergeCell ref="D224:G224"/>
    <mergeCell ref="H224:K224"/>
    <mergeCell ref="L224:M224"/>
    <mergeCell ref="N224:O224"/>
    <mergeCell ref="P224:Q224"/>
    <mergeCell ref="R224:S224"/>
    <mergeCell ref="D223:E223"/>
    <mergeCell ref="F223:G223"/>
    <mergeCell ref="H223:I223"/>
    <mergeCell ref="J223:K223"/>
    <mergeCell ref="L223:M223"/>
    <mergeCell ref="N223:O223"/>
    <mergeCell ref="B222:B224"/>
    <mergeCell ref="A186:A224"/>
    <mergeCell ref="B186:B193"/>
    <mergeCell ref="P227:S227"/>
    <mergeCell ref="T227:X227"/>
    <mergeCell ref="B228:C228"/>
    <mergeCell ref="D228:G228"/>
    <mergeCell ref="H228:K228"/>
    <mergeCell ref="L228:O228"/>
    <mergeCell ref="P228:S228"/>
    <mergeCell ref="T228:X228"/>
    <mergeCell ref="T224:U224"/>
    <mergeCell ref="V224:W224"/>
    <mergeCell ref="C225:C226"/>
    <mergeCell ref="D225:W225"/>
    <mergeCell ref="D226:W226"/>
    <mergeCell ref="X234:X242"/>
    <mergeCell ref="D235:G235"/>
    <mergeCell ref="H235:K235"/>
    <mergeCell ref="L235:O235"/>
    <mergeCell ref="P235:S235"/>
    <mergeCell ref="A229:A230"/>
    <mergeCell ref="B229:C229"/>
    <mergeCell ref="D229:X230"/>
    <mergeCell ref="B230:C230"/>
    <mergeCell ref="D233:G233"/>
    <mergeCell ref="H233:K233"/>
    <mergeCell ref="L233:O233"/>
    <mergeCell ref="P233:S233"/>
    <mergeCell ref="T233:W233"/>
    <mergeCell ref="D236:G236"/>
    <mergeCell ref="H236:K236"/>
    <mergeCell ref="L236:O236"/>
    <mergeCell ref="C237:C238"/>
    <mergeCell ref="D237:W237"/>
    <mergeCell ref="D238:W238"/>
    <mergeCell ref="A234:A248"/>
    <mergeCell ref="B234:B238"/>
    <mergeCell ref="D234:G234"/>
    <mergeCell ref="H234:K234"/>
    <mergeCell ref="L234:O234"/>
    <mergeCell ref="D239:G239"/>
    <mergeCell ref="H239:K239"/>
    <mergeCell ref="L239:O239"/>
    <mergeCell ref="P239:S239"/>
    <mergeCell ref="T239:W239"/>
    <mergeCell ref="B240:B244"/>
    <mergeCell ref="D240:G240"/>
    <mergeCell ref="H240:K240"/>
    <mergeCell ref="L240:O240"/>
    <mergeCell ref="D241:G241"/>
    <mergeCell ref="C243:C244"/>
    <mergeCell ref="D243:W243"/>
    <mergeCell ref="D244:W244"/>
    <mergeCell ref="D245:G245"/>
    <mergeCell ref="H245:K245"/>
    <mergeCell ref="L245:O245"/>
    <mergeCell ref="P245:S245"/>
    <mergeCell ref="T245:W245"/>
    <mergeCell ref="H241:K241"/>
    <mergeCell ref="L241:O241"/>
    <mergeCell ref="P241:S241"/>
    <mergeCell ref="D242:G242"/>
    <mergeCell ref="H242:K242"/>
    <mergeCell ref="L242:O242"/>
    <mergeCell ref="D246:G246"/>
    <mergeCell ref="H246:K246"/>
    <mergeCell ref="L246:O246"/>
    <mergeCell ref="D247:G247"/>
    <mergeCell ref="H247:K247"/>
    <mergeCell ref="L247:O247"/>
    <mergeCell ref="D248:G248"/>
    <mergeCell ref="H248:K248"/>
    <mergeCell ref="L248:O248"/>
    <mergeCell ref="A253:A254"/>
    <mergeCell ref="B253:C253"/>
    <mergeCell ref="D253:X254"/>
    <mergeCell ref="B254:C254"/>
    <mergeCell ref="P46:S46"/>
    <mergeCell ref="P167:S167"/>
    <mergeCell ref="T251:X251"/>
    <mergeCell ref="B252:C252"/>
    <mergeCell ref="D252:G252"/>
    <mergeCell ref="H252:K252"/>
    <mergeCell ref="L252:O252"/>
    <mergeCell ref="P252:S252"/>
    <mergeCell ref="T252:X252"/>
    <mergeCell ref="P248:S248"/>
    <mergeCell ref="C249:C250"/>
    <mergeCell ref="D249:W249"/>
    <mergeCell ref="D250:W250"/>
    <mergeCell ref="A251:A252"/>
    <mergeCell ref="B251:C251"/>
    <mergeCell ref="D251:G251"/>
    <mergeCell ref="H251:K251"/>
    <mergeCell ref="L251:O251"/>
    <mergeCell ref="P251:S251"/>
    <mergeCell ref="B246:B250"/>
  </mergeCells>
  <hyperlinks>
    <hyperlink ref="C12" location="Reference!C9" display="★ click here for more guidance"/>
    <hyperlink ref="C13" location="Reference!C9" display="Reference!C9"/>
    <hyperlink ref="C7" location="Reference!C7" display="★ click here for more guidance"/>
    <hyperlink ref="C17" location="Reference!C11" display="★ click here for more guidance"/>
    <hyperlink ref="C18" location="Reference!C11" display="Reference!C11"/>
    <hyperlink ref="C28" location="Reference!C13" display="★ click here for more guidance"/>
    <hyperlink ref="C29" location="Reference!C13" display="Reference!C13"/>
    <hyperlink ref="C37" location="Reference!C15" display="★ click here for more guidance"/>
    <hyperlink ref="C38" location="Reference!C15" display="Reference!C15"/>
    <hyperlink ref="C47" location="Reference!C17" display="★ click here for more guidance"/>
    <hyperlink ref="C48" location="Reference!C17" display="Reference!C17"/>
    <hyperlink ref="C58" location="Reference!C22" display="★ click here for more guidance"/>
    <hyperlink ref="C59" location="Reference!C22" display="Reference!C22"/>
    <hyperlink ref="C67" location="Reference!C24" display="★ click here for more guidance"/>
    <hyperlink ref="C68" location="Reference!C24" display="Reference!C24"/>
    <hyperlink ref="C76" location="Reference!C26" display="★ click here for more guidance"/>
    <hyperlink ref="C77" location="Reference!C26" display="Reference!C26"/>
    <hyperlink ref="C82" location="Reference!C28" display="★ click here for more guidance"/>
    <hyperlink ref="C83" location="Reference!C28" display="Reference!C28"/>
    <hyperlink ref="C97" location="Reference!C33" display="★ click here for more guidance"/>
    <hyperlink ref="C98" location="Reference!C33" display="Reference!C33"/>
    <hyperlink ref="C106" location="Reference!C35" display="★ click here for more guidance"/>
    <hyperlink ref="C107" location="Reference!C35" display="Reference!C35"/>
    <hyperlink ref="C111" location="Reference!C37" display="★ click here for more guidance"/>
    <hyperlink ref="C112" location="Reference!C37" display="Reference!C37"/>
    <hyperlink ref="C126" location="Reference!C39" display="★ click here for more guidance"/>
    <hyperlink ref="C127" location="Reference!C39" display="Reference!C39"/>
    <hyperlink ref="C135" location="Reference!C41" display="★ click here for more guidance"/>
    <hyperlink ref="C136" location="Reference!C41" display="Reference!C41"/>
    <hyperlink ref="C140" location="Reference!C43" display="★ click here for more guidance"/>
    <hyperlink ref="C141" location="Reference!C43" display="Reference!C43"/>
    <hyperlink ref="C152" location="Reference!C45" display="★ click here for more guidance"/>
    <hyperlink ref="C153" location="Reference!C45" display="Reference!C45"/>
    <hyperlink ref="C158" location="Reference!C50" display="★ click here for more guidance"/>
    <hyperlink ref="C159" location="Reference!C50" display="Reference!C50"/>
    <hyperlink ref="C168" location="Reference!C55" display="★ click here for more guidance"/>
    <hyperlink ref="C169" location="Reference!C55" display="Reference!C55"/>
    <hyperlink ref="C177" location="Reference!C58" display="★ click here for more guidance"/>
    <hyperlink ref="C178" location="Reference!C58" display="Reference!C58"/>
    <hyperlink ref="C192" location="Reference!C60" display="★ click here for more guidance"/>
    <hyperlink ref="C193" location="Reference!C60" display="Reference!C60"/>
    <hyperlink ref="C201" location="Reference!C62" display="★ click here for more guidance"/>
    <hyperlink ref="C202" location="Reference!C62" display="Reference!C62"/>
    <hyperlink ref="C210" location="Reference!C64" display="★ click here for more guidance"/>
    <hyperlink ref="C211" location="Reference!C64" display="Reference!C64"/>
    <hyperlink ref="C219" location="Reference!C66" display="★ click here for more guidance"/>
    <hyperlink ref="C220" location="Reference!C66" display="Reference!C66"/>
    <hyperlink ref="C225" location="Reference!C68" display="★ click here for more guidance"/>
    <hyperlink ref="C226" location="Reference!C68" display="Reference!C68"/>
    <hyperlink ref="C237" location="Reference!C71" display="★ click here for more guidance"/>
    <hyperlink ref="C238" location="Reference!C71" display="Reference!C71"/>
    <hyperlink ref="C243" location="Reference!C73" display="★ click here for more guidance"/>
    <hyperlink ref="C244" location="Reference!C73" display="Reference!C73"/>
    <hyperlink ref="C8" location="Reference!C7" display="Reference!C7"/>
  </hyperlinks>
  <pageMargins left="0.79000000000000015" right="0.79000000000000015" top="0.79000000000000015" bottom="0.79000000000000015" header="0.39000000000000007" footer="0.39000000000000007"/>
  <pageSetup paperSize="9" scale="55" fitToHeight="3" orientation="landscape"/>
  <headerFooter>
    <oddFooter>&amp;L&amp;K000000&amp;F&amp;C&amp;K000000&amp;D&amp;R&amp;K000000Page &amp;P</oddFooter>
  </headerFooter>
  <legacy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FF0000"/>
    <pageSetUpPr fitToPage="1"/>
  </sheetPr>
  <dimension ref="A1:X254"/>
  <sheetViews>
    <sheetView workbookViewId="0">
      <pane xSplit="2" ySplit="1" topLeftCell="C155" activePane="bottomRight" state="frozen"/>
      <selection activeCell="D136" sqref="D136:W136"/>
      <selection pane="topRight" activeCell="D136" sqref="D136:W136"/>
      <selection pane="bottomLeft" activeCell="D136" sqref="D136:W136"/>
      <selection pane="bottomRight" activeCell="D136" sqref="D136:W136"/>
    </sheetView>
  </sheetViews>
  <sheetFormatPr defaultColWidth="8.85546875" defaultRowHeight="12.75"/>
  <cols>
    <col min="1" max="1" width="20.85546875" style="4" customWidth="1"/>
    <col min="2" max="2" width="40.85546875" style="4" customWidth="1"/>
    <col min="3" max="3" width="15.85546875" style="27" customWidth="1"/>
    <col min="4" max="23" width="5.85546875" style="4" customWidth="1"/>
    <col min="24" max="24" width="30.85546875" style="4" customWidth="1"/>
    <col min="25" max="16384" width="8.85546875" style="4"/>
  </cols>
  <sheetData>
    <row r="1" spans="1:24" s="67" customFormat="1" ht="32.25" thickBot="1">
      <c r="A1" s="3" t="s">
        <v>0</v>
      </c>
      <c r="B1" s="64" t="s">
        <v>231</v>
      </c>
      <c r="C1" s="65" t="s">
        <v>270</v>
      </c>
      <c r="D1" s="65"/>
      <c r="E1" s="65"/>
      <c r="F1" s="65"/>
      <c r="G1" s="65"/>
      <c r="H1" s="65"/>
      <c r="I1" s="65"/>
      <c r="J1" s="65"/>
      <c r="K1" s="65"/>
      <c r="L1" s="65"/>
      <c r="M1" s="65"/>
      <c r="N1" s="65"/>
      <c r="O1" s="65"/>
      <c r="P1" s="65"/>
      <c r="Q1" s="65"/>
      <c r="R1" s="65"/>
      <c r="S1" s="65"/>
      <c r="T1" s="65"/>
      <c r="U1" s="65"/>
      <c r="V1" s="65"/>
      <c r="W1" s="65"/>
      <c r="X1" s="66"/>
    </row>
    <row r="2" spans="1:24">
      <c r="A2" s="5"/>
      <c r="B2" s="5"/>
      <c r="C2" s="6"/>
      <c r="D2" s="5"/>
      <c r="E2" s="5"/>
      <c r="F2" s="5"/>
      <c r="G2" s="5"/>
      <c r="H2" s="5"/>
      <c r="I2" s="5"/>
      <c r="J2" s="5"/>
      <c r="K2" s="5"/>
      <c r="L2" s="5"/>
      <c r="M2" s="5"/>
      <c r="N2" s="5"/>
      <c r="O2" s="5"/>
      <c r="P2" s="5"/>
      <c r="Q2" s="5"/>
      <c r="R2" s="5"/>
      <c r="S2" s="5"/>
      <c r="T2" s="5"/>
      <c r="U2" s="5"/>
      <c r="V2" s="5"/>
      <c r="W2" s="5"/>
      <c r="X2" s="5"/>
    </row>
    <row r="3" spans="1:24" ht="13.5" thickBot="1">
      <c r="A3" s="5"/>
      <c r="B3" s="5"/>
      <c r="C3" s="6"/>
      <c r="D3" s="5"/>
      <c r="E3" s="5"/>
      <c r="F3" s="5"/>
      <c r="G3" s="5"/>
      <c r="H3" s="5"/>
      <c r="I3" s="5"/>
      <c r="J3" s="5"/>
      <c r="K3" s="5"/>
      <c r="L3" s="5"/>
      <c r="M3" s="5"/>
      <c r="N3" s="5"/>
      <c r="O3" s="5"/>
      <c r="P3" s="5"/>
      <c r="Q3" s="5"/>
      <c r="R3" s="5"/>
      <c r="S3" s="5"/>
      <c r="T3" s="5"/>
      <c r="U3" s="5"/>
      <c r="V3" s="5"/>
      <c r="W3" s="5"/>
      <c r="X3" s="5"/>
    </row>
    <row r="4" spans="1:24" ht="13.5" thickBot="1">
      <c r="A4" s="7" t="s">
        <v>50</v>
      </c>
      <c r="B4" s="97" t="s">
        <v>51</v>
      </c>
      <c r="C4" s="8"/>
      <c r="D4" s="927" t="s">
        <v>79</v>
      </c>
      <c r="E4" s="928"/>
      <c r="F4" s="928"/>
      <c r="G4" s="929"/>
      <c r="H4" s="927" t="s">
        <v>80</v>
      </c>
      <c r="I4" s="928"/>
      <c r="J4" s="928"/>
      <c r="K4" s="929"/>
      <c r="L4" s="927" t="s">
        <v>81</v>
      </c>
      <c r="M4" s="928"/>
      <c r="N4" s="928"/>
      <c r="O4" s="929"/>
      <c r="P4" s="927" t="s">
        <v>254</v>
      </c>
      <c r="Q4" s="928"/>
      <c r="R4" s="928"/>
      <c r="S4" s="929"/>
      <c r="T4" s="927" t="s">
        <v>76</v>
      </c>
      <c r="U4" s="928"/>
      <c r="V4" s="928"/>
      <c r="W4" s="929"/>
      <c r="X4" s="991"/>
    </row>
    <row r="5" spans="1:24" ht="13.5" thickBot="1">
      <c r="A5" s="868" t="s">
        <v>43</v>
      </c>
      <c r="B5" s="868" t="s">
        <v>46</v>
      </c>
      <c r="C5" s="9" t="s">
        <v>2</v>
      </c>
      <c r="D5" s="983" t="s">
        <v>82</v>
      </c>
      <c r="E5" s="984"/>
      <c r="F5" s="984"/>
      <c r="G5" s="984"/>
      <c r="H5" s="984"/>
      <c r="I5" s="984"/>
      <c r="J5" s="984"/>
      <c r="K5" s="984"/>
      <c r="L5" s="984"/>
      <c r="M5" s="984"/>
      <c r="N5" s="984"/>
      <c r="O5" s="984"/>
      <c r="P5" s="984"/>
      <c r="Q5" s="984"/>
      <c r="R5" s="984"/>
      <c r="S5" s="984"/>
      <c r="T5" s="984"/>
      <c r="U5" s="984"/>
      <c r="V5" s="984"/>
      <c r="W5" s="985"/>
      <c r="X5" s="992"/>
    </row>
    <row r="6" spans="1:24" ht="13.5" thickBot="1">
      <c r="A6" s="885"/>
      <c r="B6" s="885"/>
      <c r="C6" s="10" t="s">
        <v>3</v>
      </c>
      <c r="D6" s="986"/>
      <c r="E6" s="987"/>
      <c r="F6" s="987"/>
      <c r="G6" s="987"/>
      <c r="H6" s="987"/>
      <c r="I6" s="987"/>
      <c r="J6" s="987"/>
      <c r="K6" s="987"/>
      <c r="L6" s="987"/>
      <c r="M6" s="987"/>
      <c r="N6" s="987"/>
      <c r="O6" s="987"/>
      <c r="P6" s="987"/>
      <c r="Q6" s="987"/>
      <c r="R6" s="987"/>
      <c r="S6" s="987"/>
      <c r="T6" s="987"/>
      <c r="U6" s="987"/>
      <c r="V6" s="987"/>
      <c r="W6" s="988"/>
      <c r="X6" s="992"/>
    </row>
    <row r="7" spans="1:24" ht="13.5" thickBot="1">
      <c r="A7" s="885"/>
      <c r="B7" s="885"/>
      <c r="C7" s="1142" t="s">
        <v>413</v>
      </c>
      <c r="D7" s="989" t="s">
        <v>4</v>
      </c>
      <c r="E7" s="990"/>
      <c r="F7" s="990"/>
      <c r="G7" s="990"/>
      <c r="H7" s="990"/>
      <c r="I7" s="990"/>
      <c r="J7" s="990"/>
      <c r="K7" s="990"/>
      <c r="L7" s="990"/>
      <c r="M7" s="990"/>
      <c r="N7" s="990"/>
      <c r="O7" s="990"/>
      <c r="P7" s="990"/>
      <c r="Q7" s="990"/>
      <c r="R7" s="990"/>
      <c r="S7" s="990"/>
      <c r="T7" s="990"/>
      <c r="U7" s="990"/>
      <c r="V7" s="990"/>
      <c r="W7" s="990"/>
      <c r="X7" s="992"/>
    </row>
    <row r="8" spans="1:24" ht="13.5" thickBot="1">
      <c r="A8" s="885"/>
      <c r="B8" s="869"/>
      <c r="C8" s="1143"/>
      <c r="D8" s="930" t="s">
        <v>85</v>
      </c>
      <c r="E8" s="931"/>
      <c r="F8" s="931"/>
      <c r="G8" s="931"/>
      <c r="H8" s="931"/>
      <c r="I8" s="931"/>
      <c r="J8" s="931"/>
      <c r="K8" s="931"/>
      <c r="L8" s="931"/>
      <c r="M8" s="931"/>
      <c r="N8" s="931"/>
      <c r="O8" s="931"/>
      <c r="P8" s="931"/>
      <c r="Q8" s="931"/>
      <c r="R8" s="931"/>
      <c r="S8" s="931"/>
      <c r="T8" s="931"/>
      <c r="U8" s="931"/>
      <c r="V8" s="931"/>
      <c r="W8" s="932"/>
      <c r="X8" s="992"/>
    </row>
    <row r="9" spans="1:24" ht="13.5" thickBot="1">
      <c r="A9" s="885"/>
      <c r="B9" s="11" t="s">
        <v>52</v>
      </c>
      <c r="C9" s="12"/>
      <c r="D9" s="927" t="s">
        <v>79</v>
      </c>
      <c r="E9" s="928"/>
      <c r="F9" s="928"/>
      <c r="G9" s="929"/>
      <c r="H9" s="927" t="s">
        <v>80</v>
      </c>
      <c r="I9" s="928"/>
      <c r="J9" s="928"/>
      <c r="K9" s="929"/>
      <c r="L9" s="927" t="s">
        <v>81</v>
      </c>
      <c r="M9" s="928"/>
      <c r="N9" s="928"/>
      <c r="O9" s="929"/>
      <c r="P9" s="927" t="s">
        <v>254</v>
      </c>
      <c r="Q9" s="928"/>
      <c r="R9" s="928"/>
      <c r="S9" s="929"/>
      <c r="T9" s="927" t="s">
        <v>76</v>
      </c>
      <c r="U9" s="928"/>
      <c r="V9" s="928"/>
      <c r="W9" s="929"/>
      <c r="X9" s="992"/>
    </row>
    <row r="10" spans="1:24" ht="35.1" customHeight="1" thickBot="1">
      <c r="A10" s="885"/>
      <c r="B10" s="868" t="s">
        <v>45</v>
      </c>
      <c r="C10" s="13" t="s">
        <v>2</v>
      </c>
      <c r="D10" s="930" t="s">
        <v>86</v>
      </c>
      <c r="E10" s="931"/>
      <c r="F10" s="931"/>
      <c r="G10" s="931"/>
      <c r="H10" s="931"/>
      <c r="I10" s="931"/>
      <c r="J10" s="931"/>
      <c r="K10" s="931"/>
      <c r="L10" s="931"/>
      <c r="M10" s="931"/>
      <c r="N10" s="931"/>
      <c r="O10" s="931"/>
      <c r="P10" s="931"/>
      <c r="Q10" s="931"/>
      <c r="R10" s="931"/>
      <c r="S10" s="931"/>
      <c r="T10" s="931"/>
      <c r="U10" s="931"/>
      <c r="V10" s="931"/>
      <c r="W10" s="932"/>
      <c r="X10" s="992"/>
    </row>
    <row r="11" spans="1:24" ht="13.5" thickBot="1">
      <c r="A11" s="885"/>
      <c r="B11" s="885"/>
      <c r="C11" s="10" t="s">
        <v>3</v>
      </c>
      <c r="D11" s="986"/>
      <c r="E11" s="987"/>
      <c r="F11" s="987"/>
      <c r="G11" s="987"/>
      <c r="H11" s="987"/>
      <c r="I11" s="987"/>
      <c r="J11" s="987"/>
      <c r="K11" s="987"/>
      <c r="L11" s="987"/>
      <c r="M11" s="987"/>
      <c r="N11" s="987"/>
      <c r="O11" s="987"/>
      <c r="P11" s="987"/>
      <c r="Q11" s="987"/>
      <c r="R11" s="987"/>
      <c r="S11" s="987"/>
      <c r="T11" s="987"/>
      <c r="U11" s="987"/>
      <c r="V11" s="987"/>
      <c r="W11" s="988"/>
      <c r="X11" s="992"/>
    </row>
    <row r="12" spans="1:24" ht="13.5" thickBot="1">
      <c r="A12" s="885"/>
      <c r="B12" s="885"/>
      <c r="C12" s="1142" t="s">
        <v>413</v>
      </c>
      <c r="D12" s="927" t="s">
        <v>4</v>
      </c>
      <c r="E12" s="928"/>
      <c r="F12" s="928"/>
      <c r="G12" s="928"/>
      <c r="H12" s="928"/>
      <c r="I12" s="928"/>
      <c r="J12" s="928"/>
      <c r="K12" s="928"/>
      <c r="L12" s="928"/>
      <c r="M12" s="928"/>
      <c r="N12" s="928"/>
      <c r="O12" s="928"/>
      <c r="P12" s="928"/>
      <c r="Q12" s="928"/>
      <c r="R12" s="928"/>
      <c r="S12" s="928"/>
      <c r="T12" s="928"/>
      <c r="U12" s="928"/>
      <c r="V12" s="928"/>
      <c r="W12" s="928"/>
      <c r="X12" s="992"/>
    </row>
    <row r="13" spans="1:24" ht="24" customHeight="1" thickBot="1">
      <c r="A13" s="885"/>
      <c r="B13" s="869"/>
      <c r="C13" s="1143"/>
      <c r="D13" s="930" t="s">
        <v>87</v>
      </c>
      <c r="E13" s="931"/>
      <c r="F13" s="931"/>
      <c r="G13" s="931"/>
      <c r="H13" s="931"/>
      <c r="I13" s="931"/>
      <c r="J13" s="931"/>
      <c r="K13" s="931"/>
      <c r="L13" s="931"/>
      <c r="M13" s="931"/>
      <c r="N13" s="931"/>
      <c r="O13" s="931"/>
      <c r="P13" s="931"/>
      <c r="Q13" s="931"/>
      <c r="R13" s="931"/>
      <c r="S13" s="931"/>
      <c r="T13" s="931"/>
      <c r="U13" s="931"/>
      <c r="V13" s="931"/>
      <c r="W13" s="932"/>
      <c r="X13" s="992"/>
    </row>
    <row r="14" spans="1:24" ht="13.5" thickBot="1">
      <c r="A14" s="885"/>
      <c r="B14" s="11" t="s">
        <v>53</v>
      </c>
      <c r="C14" s="12"/>
      <c r="D14" s="927" t="s">
        <v>79</v>
      </c>
      <c r="E14" s="928"/>
      <c r="F14" s="928"/>
      <c r="G14" s="929"/>
      <c r="H14" s="927" t="s">
        <v>80</v>
      </c>
      <c r="I14" s="928"/>
      <c r="J14" s="928"/>
      <c r="K14" s="929"/>
      <c r="L14" s="927" t="s">
        <v>81</v>
      </c>
      <c r="M14" s="928"/>
      <c r="N14" s="928"/>
      <c r="O14" s="929"/>
      <c r="P14" s="927" t="s">
        <v>254</v>
      </c>
      <c r="Q14" s="928"/>
      <c r="R14" s="928"/>
      <c r="S14" s="929"/>
      <c r="T14" s="927" t="s">
        <v>76</v>
      </c>
      <c r="U14" s="928"/>
      <c r="V14" s="928"/>
      <c r="W14" s="929"/>
      <c r="X14" s="992"/>
    </row>
    <row r="15" spans="1:24" ht="13.5" thickBot="1">
      <c r="A15" s="885"/>
      <c r="B15" s="868" t="s">
        <v>44</v>
      </c>
      <c r="C15" s="9" t="s">
        <v>2</v>
      </c>
      <c r="D15" s="930" t="s">
        <v>83</v>
      </c>
      <c r="E15" s="931"/>
      <c r="F15" s="931"/>
      <c r="G15" s="931"/>
      <c r="H15" s="931"/>
      <c r="I15" s="931"/>
      <c r="J15" s="931"/>
      <c r="K15" s="931"/>
      <c r="L15" s="931"/>
      <c r="M15" s="931"/>
      <c r="N15" s="931"/>
      <c r="O15" s="931"/>
      <c r="P15" s="931"/>
      <c r="Q15" s="931"/>
      <c r="R15" s="931"/>
      <c r="S15" s="931"/>
      <c r="T15" s="931"/>
      <c r="U15" s="931"/>
      <c r="V15" s="931"/>
      <c r="W15" s="932"/>
      <c r="X15" s="992"/>
    </row>
    <row r="16" spans="1:24" ht="13.5" thickBot="1">
      <c r="A16" s="885"/>
      <c r="B16" s="885"/>
      <c r="C16" s="10" t="s">
        <v>3</v>
      </c>
      <c r="D16" s="986"/>
      <c r="E16" s="987"/>
      <c r="F16" s="987"/>
      <c r="G16" s="987"/>
      <c r="H16" s="987"/>
      <c r="I16" s="987"/>
      <c r="J16" s="987"/>
      <c r="K16" s="987"/>
      <c r="L16" s="987"/>
      <c r="M16" s="987"/>
      <c r="N16" s="987"/>
      <c r="O16" s="987"/>
      <c r="P16" s="987"/>
      <c r="Q16" s="987"/>
      <c r="R16" s="987"/>
      <c r="S16" s="987"/>
      <c r="T16" s="987"/>
      <c r="U16" s="987"/>
      <c r="V16" s="987"/>
      <c r="W16" s="988"/>
      <c r="X16" s="992"/>
    </row>
    <row r="17" spans="1:24" ht="13.5" thickBot="1">
      <c r="A17" s="885"/>
      <c r="B17" s="885"/>
      <c r="C17" s="1142" t="s">
        <v>413</v>
      </c>
      <c r="D17" s="989" t="s">
        <v>4</v>
      </c>
      <c r="E17" s="990"/>
      <c r="F17" s="990"/>
      <c r="G17" s="990"/>
      <c r="H17" s="990"/>
      <c r="I17" s="990"/>
      <c r="J17" s="990"/>
      <c r="K17" s="990"/>
      <c r="L17" s="990"/>
      <c r="M17" s="990"/>
      <c r="N17" s="990"/>
      <c r="O17" s="990"/>
      <c r="P17" s="990"/>
      <c r="Q17" s="990"/>
      <c r="R17" s="990"/>
      <c r="S17" s="990"/>
      <c r="T17" s="990"/>
      <c r="U17" s="990"/>
      <c r="V17" s="990"/>
      <c r="W17" s="990"/>
      <c r="X17" s="992"/>
    </row>
    <row r="18" spans="1:24" ht="13.5" thickBot="1">
      <c r="A18" s="869"/>
      <c r="B18" s="869"/>
      <c r="C18" s="1143"/>
      <c r="D18" s="930" t="s">
        <v>84</v>
      </c>
      <c r="E18" s="931"/>
      <c r="F18" s="931"/>
      <c r="G18" s="931"/>
      <c r="H18" s="931"/>
      <c r="I18" s="931"/>
      <c r="J18" s="931"/>
      <c r="K18" s="931"/>
      <c r="L18" s="931"/>
      <c r="M18" s="931"/>
      <c r="N18" s="931"/>
      <c r="O18" s="931"/>
      <c r="P18" s="931"/>
      <c r="Q18" s="931"/>
      <c r="R18" s="931"/>
      <c r="S18" s="931"/>
      <c r="T18" s="931"/>
      <c r="U18" s="931"/>
      <c r="V18" s="931"/>
      <c r="W18" s="932"/>
      <c r="X18" s="993"/>
    </row>
    <row r="19" spans="1:24">
      <c r="A19" s="5"/>
      <c r="B19" s="5"/>
      <c r="C19" s="14"/>
      <c r="D19" s="5"/>
      <c r="E19" s="5"/>
      <c r="F19" s="5"/>
      <c r="G19" s="5"/>
      <c r="H19" s="5"/>
      <c r="I19" s="5"/>
      <c r="J19" s="5"/>
      <c r="K19" s="5"/>
      <c r="L19" s="5"/>
      <c r="M19" s="5"/>
      <c r="N19" s="5"/>
      <c r="O19" s="5"/>
      <c r="P19" s="5"/>
      <c r="Q19" s="5"/>
      <c r="R19" s="5"/>
      <c r="S19" s="5"/>
      <c r="T19" s="5"/>
      <c r="U19" s="5"/>
      <c r="V19" s="5"/>
      <c r="W19" s="5"/>
      <c r="X19" s="5"/>
    </row>
    <row r="20" spans="1:24" ht="13.5" thickBot="1">
      <c r="A20" s="5"/>
      <c r="B20" s="5"/>
      <c r="C20" s="6"/>
      <c r="D20" s="5"/>
      <c r="E20" s="5"/>
      <c r="F20" s="5"/>
      <c r="G20" s="5"/>
      <c r="H20" s="5"/>
      <c r="I20" s="5"/>
      <c r="J20" s="5"/>
      <c r="K20" s="5"/>
      <c r="L20" s="5"/>
      <c r="M20" s="5"/>
      <c r="N20" s="5"/>
      <c r="O20" s="5"/>
      <c r="P20" s="5"/>
      <c r="Q20" s="5"/>
      <c r="R20" s="5"/>
      <c r="S20" s="5"/>
      <c r="T20" s="5"/>
      <c r="U20" s="5"/>
      <c r="V20" s="5"/>
      <c r="W20" s="5"/>
      <c r="X20" s="5"/>
    </row>
    <row r="21" spans="1:24" ht="13.5" thickBot="1">
      <c r="A21" s="15" t="s">
        <v>1</v>
      </c>
      <c r="B21" s="97" t="s">
        <v>24</v>
      </c>
      <c r="C21" s="8"/>
      <c r="D21" s="927" t="s">
        <v>78</v>
      </c>
      <c r="E21" s="928"/>
      <c r="F21" s="928"/>
      <c r="G21" s="929"/>
      <c r="H21" s="927" t="s">
        <v>77</v>
      </c>
      <c r="I21" s="928"/>
      <c r="J21" s="928"/>
      <c r="K21" s="929"/>
      <c r="L21" s="927" t="s">
        <v>81</v>
      </c>
      <c r="M21" s="928"/>
      <c r="N21" s="928"/>
      <c r="O21" s="929"/>
      <c r="P21" s="927" t="s">
        <v>254</v>
      </c>
      <c r="Q21" s="928"/>
      <c r="R21" s="928"/>
      <c r="S21" s="929"/>
      <c r="T21" s="927" t="s">
        <v>76</v>
      </c>
      <c r="U21" s="928"/>
      <c r="V21" s="928"/>
      <c r="W21" s="929"/>
      <c r="X21" s="16" t="s">
        <v>6</v>
      </c>
    </row>
    <row r="22" spans="1:24" ht="13.5" thickBot="1">
      <c r="A22" s="868" t="s">
        <v>47</v>
      </c>
      <c r="B22" s="868" t="s">
        <v>48</v>
      </c>
      <c r="C22" s="9" t="s">
        <v>235</v>
      </c>
      <c r="D22" s="942">
        <f>SUM('State DisAgg LFx10 (2015)'!D22:G26)/5</f>
        <v>2.1</v>
      </c>
      <c r="E22" s="943"/>
      <c r="F22" s="943"/>
      <c r="G22" s="944"/>
      <c r="H22" s="942">
        <f>SUM('State DisAgg LFx10 (2015)'!H22:K26)/5</f>
        <v>2.1</v>
      </c>
      <c r="I22" s="943"/>
      <c r="J22" s="943"/>
      <c r="K22" s="944"/>
      <c r="L22" s="942">
        <f>SUM('State DisAgg LFx10 (2015)'!L22:O26)/5</f>
        <v>2.9</v>
      </c>
      <c r="M22" s="943"/>
      <c r="N22" s="943"/>
      <c r="O22" s="944"/>
      <c r="P22" s="942">
        <f>SUM('State DisAgg LFx10 (2015)'!P22:S26)/5</f>
        <v>3.06</v>
      </c>
      <c r="Q22" s="943"/>
      <c r="R22" s="943"/>
      <c r="S22" s="944"/>
      <c r="T22" s="963">
        <f>SUM('State DisAgg LFx10 (2015)'!T22:W26)/5</f>
        <v>3.2600000000000002</v>
      </c>
      <c r="U22" s="964"/>
      <c r="V22" s="964"/>
      <c r="W22" s="965"/>
      <c r="X22" s="873" t="s">
        <v>96</v>
      </c>
    </row>
    <row r="23" spans="1:24" ht="13.5" thickBot="1">
      <c r="A23" s="885"/>
      <c r="B23" s="885"/>
      <c r="C23" s="9" t="s">
        <v>233</v>
      </c>
      <c r="D23" s="1048" t="s">
        <v>414</v>
      </c>
      <c r="E23" s="1049"/>
      <c r="F23" s="1049"/>
      <c r="G23" s="1050"/>
      <c r="H23" s="942">
        <f>SUM('State DisAgg LFx10 (2015)'!H27:K29)/3</f>
        <v>2.3333333333333335</v>
      </c>
      <c r="I23" s="943"/>
      <c r="J23" s="943"/>
      <c r="K23" s="944"/>
      <c r="L23" s="942">
        <f>SUM('State DisAgg LFx10 (2015)'!L27:O29)/3</f>
        <v>2.3333333333333335</v>
      </c>
      <c r="M23" s="943"/>
      <c r="N23" s="943"/>
      <c r="O23" s="944"/>
      <c r="P23" s="942">
        <f>SUM('State DisAgg LFx10 (2015)'!P27:S29)/3</f>
        <v>2.5</v>
      </c>
      <c r="Q23" s="943"/>
      <c r="R23" s="943"/>
      <c r="S23" s="944"/>
      <c r="T23" s="963">
        <f>SUM('State DisAgg LFx10 (2015)'!T27:W29)/3</f>
        <v>2.6666666666666665</v>
      </c>
      <c r="U23" s="964"/>
      <c r="V23" s="964"/>
      <c r="W23" s="965"/>
      <c r="X23" s="874"/>
    </row>
    <row r="24" spans="1:24" ht="12.95" customHeight="1" thickBot="1">
      <c r="A24" s="885"/>
      <c r="B24" s="885"/>
      <c r="C24" s="9" t="s">
        <v>234</v>
      </c>
      <c r="D24" s="957"/>
      <c r="E24" s="958"/>
      <c r="F24" s="958"/>
      <c r="G24" s="959"/>
      <c r="H24" s="1048"/>
      <c r="I24" s="1049"/>
      <c r="J24" s="1049"/>
      <c r="K24" s="1050"/>
      <c r="L24" s="1057" t="s">
        <v>909</v>
      </c>
      <c r="M24" s="1058"/>
      <c r="N24" s="1058"/>
      <c r="O24" s="1059"/>
      <c r="P24" s="963">
        <f>SUM('State DisAgg LFx10 (2015)'!P30:S31)/2</f>
        <v>2.6</v>
      </c>
      <c r="Q24" s="964"/>
      <c r="R24" s="964"/>
      <c r="S24" s="965"/>
      <c r="T24" s="963">
        <f>SUM('State DisAgg LFx10 (2015)'!T30:W31)/2</f>
        <v>2.85</v>
      </c>
      <c r="U24" s="964"/>
      <c r="V24" s="964"/>
      <c r="W24" s="965"/>
      <c r="X24" s="874"/>
    </row>
    <row r="25" spans="1:24" ht="13.5" thickBot="1">
      <c r="A25" s="885"/>
      <c r="B25" s="885"/>
      <c r="C25" s="102" t="s">
        <v>236</v>
      </c>
      <c r="D25" s="1045" t="s">
        <v>582</v>
      </c>
      <c r="E25" s="1046"/>
      <c r="F25" s="1046"/>
      <c r="G25" s="1047"/>
      <c r="H25" s="1147">
        <f>SUM('State DisAgg LFx10 (2015)'!H32:K36)/5</f>
        <v>2.5</v>
      </c>
      <c r="I25" s="1148"/>
      <c r="J25" s="1148"/>
      <c r="K25" s="1149"/>
      <c r="L25" s="1147">
        <f>SUM('State DisAgg LFx10 (2015)'!L32:O36)/5</f>
        <v>2.84</v>
      </c>
      <c r="M25" s="1148"/>
      <c r="N25" s="1148"/>
      <c r="O25" s="1149"/>
      <c r="P25" s="1147">
        <f>SUM('State DisAgg LFx10 (2015)'!P32:S36)/5</f>
        <v>3.1800000000000006</v>
      </c>
      <c r="Q25" s="1148"/>
      <c r="R25" s="1148"/>
      <c r="S25" s="1149"/>
      <c r="T25" s="1147">
        <f>SUM('State DisAgg LFx10 (2015)'!T32:W36)/5</f>
        <v>0</v>
      </c>
      <c r="U25" s="1148"/>
      <c r="V25" s="1148"/>
      <c r="W25" s="1149"/>
      <c r="X25" s="874"/>
    </row>
    <row r="26" spans="1:24" ht="13.5" thickBot="1">
      <c r="A26" s="885"/>
      <c r="B26" s="885"/>
      <c r="C26" s="102" t="s">
        <v>283</v>
      </c>
      <c r="D26" s="1017"/>
      <c r="E26" s="1018"/>
      <c r="F26" s="1018"/>
      <c r="G26" s="1019"/>
      <c r="H26" s="1017"/>
      <c r="I26" s="1018"/>
      <c r="J26" s="1018"/>
      <c r="K26" s="1019"/>
      <c r="L26" s="1147">
        <f>SUM('State DisAgg LFx10 (2015)'!L37:O39)/3</f>
        <v>2.3333333333333335</v>
      </c>
      <c r="M26" s="1148"/>
      <c r="N26" s="1148"/>
      <c r="O26" s="1149"/>
      <c r="P26" s="1147">
        <f>SUM('State DisAgg LFx10 (2015)'!P37:S39)/3</f>
        <v>2.4333333333333336</v>
      </c>
      <c r="Q26" s="1148"/>
      <c r="R26" s="1148"/>
      <c r="S26" s="1149"/>
      <c r="T26" s="1147">
        <f>SUM('State DisAgg LFx10 (2015)'!T37:W39)/3</f>
        <v>0</v>
      </c>
      <c r="U26" s="1148"/>
      <c r="V26" s="1148"/>
      <c r="W26" s="1149"/>
      <c r="X26" s="874"/>
    </row>
    <row r="27" spans="1:24" ht="13.5" thickBot="1">
      <c r="A27" s="885"/>
      <c r="B27" s="885"/>
      <c r="C27" s="102" t="s">
        <v>284</v>
      </c>
      <c r="D27" s="1017"/>
      <c r="E27" s="1018"/>
      <c r="F27" s="1018"/>
      <c r="G27" s="1019"/>
      <c r="H27" s="1017"/>
      <c r="I27" s="1018"/>
      <c r="J27" s="1018"/>
      <c r="K27" s="1019"/>
      <c r="L27" s="1017"/>
      <c r="M27" s="1018"/>
      <c r="N27" s="1018"/>
      <c r="O27" s="1019"/>
      <c r="P27" s="1017"/>
      <c r="Q27" s="1018"/>
      <c r="R27" s="1018"/>
      <c r="S27" s="1019"/>
      <c r="T27" s="1147">
        <f>SUM('State DisAgg LFx10 (2015)'!T40:W41)/2</f>
        <v>0</v>
      </c>
      <c r="U27" s="1148"/>
      <c r="V27" s="1148"/>
      <c r="W27" s="1149"/>
      <c r="X27" s="874"/>
    </row>
    <row r="28" spans="1:24" ht="13.5" thickBot="1">
      <c r="A28" s="885"/>
      <c r="B28" s="885"/>
      <c r="C28" s="1142" t="s">
        <v>413</v>
      </c>
      <c r="D28" s="927" t="s">
        <v>4</v>
      </c>
      <c r="E28" s="928"/>
      <c r="F28" s="928"/>
      <c r="G28" s="928"/>
      <c r="H28" s="928"/>
      <c r="I28" s="928"/>
      <c r="J28" s="928"/>
      <c r="K28" s="928"/>
      <c r="L28" s="928"/>
      <c r="M28" s="928"/>
      <c r="N28" s="928"/>
      <c r="O28" s="928"/>
      <c r="P28" s="928"/>
      <c r="Q28" s="928"/>
      <c r="R28" s="928"/>
      <c r="S28" s="928"/>
      <c r="T28" s="928"/>
      <c r="U28" s="928"/>
      <c r="V28" s="928"/>
      <c r="W28" s="928"/>
      <c r="X28" s="874"/>
    </row>
    <row r="29" spans="1:24" ht="13.5" thickBot="1">
      <c r="A29" s="885"/>
      <c r="B29" s="869"/>
      <c r="C29" s="1143"/>
      <c r="D29" s="930" t="s">
        <v>115</v>
      </c>
      <c r="E29" s="931"/>
      <c r="F29" s="931"/>
      <c r="G29" s="931"/>
      <c r="H29" s="931"/>
      <c r="I29" s="931"/>
      <c r="J29" s="931"/>
      <c r="K29" s="931"/>
      <c r="L29" s="931"/>
      <c r="M29" s="931"/>
      <c r="N29" s="931"/>
      <c r="O29" s="931"/>
      <c r="P29" s="931"/>
      <c r="Q29" s="931"/>
      <c r="R29" s="931"/>
      <c r="S29" s="931"/>
      <c r="T29" s="931"/>
      <c r="U29" s="931"/>
      <c r="V29" s="931"/>
      <c r="W29" s="932"/>
      <c r="X29" s="874"/>
    </row>
    <row r="30" spans="1:24" ht="13.5" thickBot="1">
      <c r="A30" s="885"/>
      <c r="B30" s="11" t="s">
        <v>25</v>
      </c>
      <c r="C30" s="12"/>
      <c r="D30" s="927" t="s">
        <v>78</v>
      </c>
      <c r="E30" s="928"/>
      <c r="F30" s="928"/>
      <c r="G30" s="929"/>
      <c r="H30" s="927" t="s">
        <v>77</v>
      </c>
      <c r="I30" s="928"/>
      <c r="J30" s="928"/>
      <c r="K30" s="929"/>
      <c r="L30" s="927" t="s">
        <v>81</v>
      </c>
      <c r="M30" s="928"/>
      <c r="N30" s="928"/>
      <c r="O30" s="929"/>
      <c r="P30" s="927" t="s">
        <v>254</v>
      </c>
      <c r="Q30" s="928"/>
      <c r="R30" s="928"/>
      <c r="S30" s="929"/>
      <c r="T30" s="927" t="s">
        <v>76</v>
      </c>
      <c r="U30" s="928"/>
      <c r="V30" s="928"/>
      <c r="W30" s="929"/>
      <c r="X30" s="874"/>
    </row>
    <row r="31" spans="1:24" ht="13.5" thickBot="1">
      <c r="A31" s="885"/>
      <c r="B31" s="868" t="s">
        <v>49</v>
      </c>
      <c r="C31" s="9" t="s">
        <v>235</v>
      </c>
      <c r="D31" s="942">
        <f>SUM('State DisAgg LFx10 (2015)'!D45:G49)/5</f>
        <v>1</v>
      </c>
      <c r="E31" s="943"/>
      <c r="F31" s="943"/>
      <c r="G31" s="944"/>
      <c r="H31" s="942">
        <f>SUM('State DisAgg LFx10 (2015)'!H45:K49)/5</f>
        <v>1</v>
      </c>
      <c r="I31" s="943"/>
      <c r="J31" s="943"/>
      <c r="K31" s="944"/>
      <c r="L31" s="942">
        <f>SUM('State DisAgg LFx10 (2015)'!L45:O49)/5</f>
        <v>1.5</v>
      </c>
      <c r="M31" s="943"/>
      <c r="N31" s="943"/>
      <c r="O31" s="944"/>
      <c r="P31" s="963">
        <f>SUM('State DisAgg LFx10 (2015)'!P45:S49)/5</f>
        <v>2.0100000000000002</v>
      </c>
      <c r="Q31" s="964"/>
      <c r="R31" s="964"/>
      <c r="S31" s="965"/>
      <c r="T31" s="963">
        <f>SUM('State DisAgg LFx10 (2015)'!T45:W49)/5</f>
        <v>2.7600000000000002</v>
      </c>
      <c r="U31" s="964"/>
      <c r="V31" s="964"/>
      <c r="W31" s="965"/>
      <c r="X31" s="874"/>
    </row>
    <row r="32" spans="1:24" ht="13.5" thickBot="1">
      <c r="A32" s="885"/>
      <c r="B32" s="885"/>
      <c r="C32" s="9" t="s">
        <v>233</v>
      </c>
      <c r="D32" s="1048" t="s">
        <v>414</v>
      </c>
      <c r="E32" s="1049"/>
      <c r="F32" s="1049"/>
      <c r="G32" s="1050"/>
      <c r="H32" s="942">
        <f>SUM('State DisAgg LFx10 (2015)'!H50:K52)/3</f>
        <v>1</v>
      </c>
      <c r="I32" s="943"/>
      <c r="J32" s="943"/>
      <c r="K32" s="944"/>
      <c r="L32" s="942">
        <f>SUM('State DisAgg LFx10 (2015)'!L50:O52)/3</f>
        <v>1</v>
      </c>
      <c r="M32" s="943"/>
      <c r="N32" s="943"/>
      <c r="O32" s="944"/>
      <c r="P32" s="942">
        <f>SUM('State DisAgg LFx10 (2015)'!P50:S52)/3</f>
        <v>1.2</v>
      </c>
      <c r="Q32" s="943"/>
      <c r="R32" s="943"/>
      <c r="S32" s="944"/>
      <c r="T32" s="942">
        <f>SUM('State DisAgg LFx10 (2015)'!T50:W52)/3</f>
        <v>2.5</v>
      </c>
      <c r="U32" s="943"/>
      <c r="V32" s="943"/>
      <c r="W32" s="944"/>
      <c r="X32" s="874"/>
    </row>
    <row r="33" spans="1:24" ht="12.95" customHeight="1" thickBot="1">
      <c r="A33" s="885"/>
      <c r="B33" s="885"/>
      <c r="C33" s="9" t="s">
        <v>234</v>
      </c>
      <c r="D33" s="957"/>
      <c r="E33" s="958"/>
      <c r="F33" s="958"/>
      <c r="G33" s="959"/>
      <c r="H33" s="1048"/>
      <c r="I33" s="1049"/>
      <c r="J33" s="1049"/>
      <c r="K33" s="1050"/>
      <c r="L33" s="1057" t="s">
        <v>909</v>
      </c>
      <c r="M33" s="1058"/>
      <c r="N33" s="1058"/>
      <c r="O33" s="1059"/>
      <c r="P33" s="963">
        <f>SUM('State DisAgg LFx10 (2015)'!P53:S54)/2</f>
        <v>0.6</v>
      </c>
      <c r="Q33" s="964"/>
      <c r="R33" s="964"/>
      <c r="S33" s="965"/>
      <c r="T33" s="963">
        <f>SUM('State DisAgg LFx10 (2015)'!T53:W54)/2</f>
        <v>1.9</v>
      </c>
      <c r="U33" s="964"/>
      <c r="V33" s="964"/>
      <c r="W33" s="965"/>
      <c r="X33" s="874"/>
    </row>
    <row r="34" spans="1:24" ht="13.5" thickBot="1">
      <c r="A34" s="885"/>
      <c r="B34" s="885"/>
      <c r="C34" s="102" t="s">
        <v>236</v>
      </c>
      <c r="D34" s="1008" t="s">
        <v>595</v>
      </c>
      <c r="E34" s="1009"/>
      <c r="F34" s="1009"/>
      <c r="G34" s="1010"/>
      <c r="H34" s="1147">
        <f>SUM('State DisAgg LFx10 (2015)'!H55:K59)/5</f>
        <v>1.6</v>
      </c>
      <c r="I34" s="1148"/>
      <c r="J34" s="1148"/>
      <c r="K34" s="1149"/>
      <c r="L34" s="1147">
        <f>SUM('State DisAgg LFx10 (2015)'!L55:O59)/5</f>
        <v>2.2000000000000002</v>
      </c>
      <c r="M34" s="1148"/>
      <c r="N34" s="1148"/>
      <c r="O34" s="1149"/>
      <c r="P34" s="1147">
        <f>SUM('State DisAgg LFx10 (2015)'!P55:S59)/5</f>
        <v>2.6</v>
      </c>
      <c r="Q34" s="1148"/>
      <c r="R34" s="1148"/>
      <c r="S34" s="1149"/>
      <c r="T34" s="1147">
        <f>SUM('State DisAgg LFx10 (2015)'!T55:W59)/5</f>
        <v>0</v>
      </c>
      <c r="U34" s="1148"/>
      <c r="V34" s="1148"/>
      <c r="W34" s="1149"/>
      <c r="X34" s="874"/>
    </row>
    <row r="35" spans="1:24" ht="13.5" thickBot="1">
      <c r="A35" s="885"/>
      <c r="B35" s="885"/>
      <c r="C35" s="102" t="s">
        <v>283</v>
      </c>
      <c r="D35" s="1017"/>
      <c r="E35" s="1018"/>
      <c r="F35" s="1018"/>
      <c r="G35" s="1019"/>
      <c r="H35" s="1017"/>
      <c r="I35" s="1018"/>
      <c r="J35" s="1018"/>
      <c r="K35" s="1019"/>
      <c r="L35" s="1147">
        <f>SUM('State DisAgg LFx10 (2015)'!L60:O62)/3</f>
        <v>1</v>
      </c>
      <c r="M35" s="1148"/>
      <c r="N35" s="1148"/>
      <c r="O35" s="1149"/>
      <c r="P35" s="1147">
        <f>SUM('State DisAgg LFx10 (2015)'!P60:S62)/3</f>
        <v>1.8333333333333333</v>
      </c>
      <c r="Q35" s="1148"/>
      <c r="R35" s="1148"/>
      <c r="S35" s="1149"/>
      <c r="T35" s="1147">
        <f>SUM('State DisAgg LFx10 (2015)'!T60:W62)/3</f>
        <v>0</v>
      </c>
      <c r="U35" s="1148"/>
      <c r="V35" s="1148"/>
      <c r="W35" s="1149"/>
      <c r="X35" s="874"/>
    </row>
    <row r="36" spans="1:24" ht="13.5" thickBot="1">
      <c r="A36" s="885"/>
      <c r="B36" s="885"/>
      <c r="C36" s="102" t="s">
        <v>284</v>
      </c>
      <c r="D36" s="1017"/>
      <c r="E36" s="1018"/>
      <c r="F36" s="1018"/>
      <c r="G36" s="1019"/>
      <c r="H36" s="1017"/>
      <c r="I36" s="1018"/>
      <c r="J36" s="1018"/>
      <c r="K36" s="1019"/>
      <c r="L36" s="1017"/>
      <c r="M36" s="1018"/>
      <c r="N36" s="1018"/>
      <c r="O36" s="1019"/>
      <c r="P36" s="1017"/>
      <c r="Q36" s="1018"/>
      <c r="R36" s="1018"/>
      <c r="S36" s="1019"/>
      <c r="T36" s="1147">
        <f>SUM('State DisAgg LFx10 (2015)'!T63:W64)/2</f>
        <v>0</v>
      </c>
      <c r="U36" s="1148"/>
      <c r="V36" s="1148"/>
      <c r="W36" s="1149"/>
      <c r="X36" s="874"/>
    </row>
    <row r="37" spans="1:24" ht="13.5" thickBot="1">
      <c r="A37" s="885"/>
      <c r="B37" s="885"/>
      <c r="C37" s="1142" t="s">
        <v>413</v>
      </c>
      <c r="D37" s="927" t="s">
        <v>4</v>
      </c>
      <c r="E37" s="928"/>
      <c r="F37" s="928"/>
      <c r="G37" s="928"/>
      <c r="H37" s="928"/>
      <c r="I37" s="928"/>
      <c r="J37" s="928"/>
      <c r="K37" s="928"/>
      <c r="L37" s="928"/>
      <c r="M37" s="928"/>
      <c r="N37" s="928"/>
      <c r="O37" s="928"/>
      <c r="P37" s="928"/>
      <c r="Q37" s="928"/>
      <c r="R37" s="928"/>
      <c r="S37" s="928"/>
      <c r="T37" s="928"/>
      <c r="U37" s="928"/>
      <c r="V37" s="928"/>
      <c r="W37" s="928"/>
      <c r="X37" s="874"/>
    </row>
    <row r="38" spans="1:24" ht="13.5" thickBot="1">
      <c r="A38" s="885"/>
      <c r="B38" s="869"/>
      <c r="C38" s="1143"/>
      <c r="D38" s="930" t="s">
        <v>116</v>
      </c>
      <c r="E38" s="931"/>
      <c r="F38" s="931"/>
      <c r="G38" s="931"/>
      <c r="H38" s="931"/>
      <c r="I38" s="931"/>
      <c r="J38" s="931"/>
      <c r="K38" s="931"/>
      <c r="L38" s="931"/>
      <c r="M38" s="931"/>
      <c r="N38" s="931"/>
      <c r="O38" s="931"/>
      <c r="P38" s="931"/>
      <c r="Q38" s="931"/>
      <c r="R38" s="931"/>
      <c r="S38" s="931"/>
      <c r="T38" s="931"/>
      <c r="U38" s="931"/>
      <c r="V38" s="931"/>
      <c r="W38" s="932"/>
      <c r="X38" s="874"/>
    </row>
    <row r="39" spans="1:24" ht="13.5" thickBot="1">
      <c r="A39" s="885"/>
      <c r="B39" s="11" t="s">
        <v>37</v>
      </c>
      <c r="C39" s="12"/>
      <c r="D39" s="927" t="s">
        <v>78</v>
      </c>
      <c r="E39" s="928"/>
      <c r="F39" s="928"/>
      <c r="G39" s="929"/>
      <c r="H39" s="927" t="s">
        <v>77</v>
      </c>
      <c r="I39" s="928"/>
      <c r="J39" s="928"/>
      <c r="K39" s="929"/>
      <c r="L39" s="927" t="s">
        <v>81</v>
      </c>
      <c r="M39" s="928"/>
      <c r="N39" s="928"/>
      <c r="O39" s="929"/>
      <c r="P39" s="927" t="s">
        <v>254</v>
      </c>
      <c r="Q39" s="928"/>
      <c r="R39" s="928"/>
      <c r="S39" s="929"/>
      <c r="T39" s="927" t="s">
        <v>76</v>
      </c>
      <c r="U39" s="928"/>
      <c r="V39" s="928"/>
      <c r="W39" s="929"/>
      <c r="X39" s="874"/>
    </row>
    <row r="40" spans="1:24" ht="33" customHeight="1" thickBot="1">
      <c r="A40" s="971"/>
      <c r="B40" s="868" t="s">
        <v>148</v>
      </c>
      <c r="C40" s="91"/>
      <c r="D40" s="17" t="s">
        <v>106</v>
      </c>
      <c r="E40" s="17" t="s">
        <v>107</v>
      </c>
      <c r="F40" s="17" t="s">
        <v>108</v>
      </c>
      <c r="G40" s="17" t="s">
        <v>109</v>
      </c>
      <c r="H40" s="17" t="s">
        <v>106</v>
      </c>
      <c r="I40" s="17" t="s">
        <v>107</v>
      </c>
      <c r="J40" s="17" t="s">
        <v>108</v>
      </c>
      <c r="K40" s="17" t="s">
        <v>109</v>
      </c>
      <c r="L40" s="17" t="s">
        <v>106</v>
      </c>
      <c r="M40" s="17" t="s">
        <v>107</v>
      </c>
      <c r="N40" s="17" t="s">
        <v>108</v>
      </c>
      <c r="O40" s="17" t="s">
        <v>109</v>
      </c>
      <c r="P40" s="17" t="s">
        <v>106</v>
      </c>
      <c r="Q40" s="17" t="s">
        <v>107</v>
      </c>
      <c r="R40" s="17" t="s">
        <v>108</v>
      </c>
      <c r="S40" s="17" t="s">
        <v>109</v>
      </c>
      <c r="T40" s="17" t="s">
        <v>106</v>
      </c>
      <c r="U40" s="17" t="s">
        <v>107</v>
      </c>
      <c r="V40" s="17" t="s">
        <v>108</v>
      </c>
      <c r="W40" s="17" t="s">
        <v>109</v>
      </c>
      <c r="X40" s="874"/>
    </row>
    <row r="41" spans="1:24" ht="13.5" thickBot="1">
      <c r="A41" s="971"/>
      <c r="B41" s="885"/>
      <c r="C41" s="91" t="s">
        <v>235</v>
      </c>
      <c r="D41" s="104">
        <f>SUM('State DisAgg LFx10 (2015)'!D69:D73)/5</f>
        <v>3.2</v>
      </c>
      <c r="E41" s="104">
        <f>SUM('State DisAgg LFx10 (2015)'!E69:E73)/5</f>
        <v>3.8</v>
      </c>
      <c r="F41" s="104">
        <f>SUM('State DisAgg LFx10 (2015)'!F69:F73)/5</f>
        <v>0.2</v>
      </c>
      <c r="G41" s="104">
        <f>SUM('State DisAgg LFx10 (2015)'!G69:G73)/5</f>
        <v>7.8</v>
      </c>
      <c r="H41" s="104">
        <f>SUM('State DisAgg LFx10 (2015)'!H69:H73)/5</f>
        <v>5.2</v>
      </c>
      <c r="I41" s="104">
        <f>SUM('State DisAgg LFx10 (2015)'!I69:I73)/5</f>
        <v>7.2</v>
      </c>
      <c r="J41" s="104">
        <f>SUM('State DisAgg LFx10 (2015)'!J69:J73)/5</f>
        <v>0.8</v>
      </c>
      <c r="K41" s="104">
        <f>SUM('State DisAgg LFx10 (2015)'!K69:K73)/5</f>
        <v>9.6</v>
      </c>
      <c r="L41" s="150">
        <f>SUM('State DisAgg LFx10 (2015)'!L69:L73)/5</f>
        <v>6</v>
      </c>
      <c r="M41" s="150">
        <f>SUM('State DisAgg LFx10 (2015)'!M69:M73)/5</f>
        <v>9.1999999999999993</v>
      </c>
      <c r="N41" s="150">
        <f>SUM('State DisAgg LFx10 (2015)'!N69:N73)/5</f>
        <v>2.6</v>
      </c>
      <c r="O41" s="150">
        <f>SUM('State DisAgg LFx10 (2015)'!O69:O73)/5</f>
        <v>14</v>
      </c>
      <c r="P41" s="150">
        <f>SUM('State DisAgg LFx10 (2015)'!P69:P73)/5</f>
        <v>9</v>
      </c>
      <c r="Q41" s="150">
        <f>SUM('State DisAgg LFx10 (2015)'!Q69:Q73)/5</f>
        <v>11.6</v>
      </c>
      <c r="R41" s="150">
        <f>SUM('State DisAgg LFx10 (2015)'!R69:R73)/5</f>
        <v>3.4</v>
      </c>
      <c r="S41" s="150">
        <f>SUM('State DisAgg LFx10 (2015)'!S69:S73)/5</f>
        <v>14</v>
      </c>
      <c r="T41" s="150">
        <f>SUM('State DisAgg LFx10 (2015)'!T69:T73)/5</f>
        <v>10.6</v>
      </c>
      <c r="U41" s="150">
        <f>SUM('State DisAgg LFx10 (2015)'!U69:U73)/5</f>
        <v>13.4</v>
      </c>
      <c r="V41" s="104">
        <f>SUM('State DisAgg LFx10 (2015)'!V69:V73)/5</f>
        <v>8.8000000000000007</v>
      </c>
      <c r="W41" s="104">
        <f>SUM('State DisAgg LFx10 (2015)'!W69:W73)/5</f>
        <v>14.6</v>
      </c>
      <c r="X41" s="874"/>
    </row>
    <row r="42" spans="1:24" ht="13.5" thickBot="1">
      <c r="A42" s="971"/>
      <c r="B42" s="93" t="s">
        <v>145</v>
      </c>
      <c r="C42" s="91" t="s">
        <v>233</v>
      </c>
      <c r="D42" s="1051" t="s">
        <v>414</v>
      </c>
      <c r="E42" s="1052"/>
      <c r="F42" s="1052"/>
      <c r="G42" s="1053"/>
      <c r="H42" s="104">
        <f>SUM('State DisAgg LFx10 (2015)'!H74:H76)/3</f>
        <v>0.33333333333333331</v>
      </c>
      <c r="I42" s="104">
        <f>SUM('State DisAgg LFx10 (2015)'!I74:I76)/3</f>
        <v>0.33333333333333331</v>
      </c>
      <c r="J42" s="104">
        <f>SUM('State DisAgg LFx10 (2015)'!J74:J76)/3</f>
        <v>0</v>
      </c>
      <c r="K42" s="104">
        <f>SUM('State DisAgg LFx10 (2015)'!K74:K76)/3</f>
        <v>12.333333333333334</v>
      </c>
      <c r="L42" s="150">
        <f>SUM('State DisAgg LFx10 (2015)'!L74:L76)/3</f>
        <v>1</v>
      </c>
      <c r="M42" s="150">
        <f>SUM('State DisAgg LFx10 (2015)'!M74:M76)/3</f>
        <v>1</v>
      </c>
      <c r="N42" s="150">
        <f>SUM('State DisAgg LFx10 (2015)'!N74:N76)/3</f>
        <v>0.66666666666666663</v>
      </c>
      <c r="O42" s="150">
        <f>SUM('State DisAgg LFx10 (2015)'!O74:O76)/3</f>
        <v>12.333333333333334</v>
      </c>
      <c r="P42" s="150">
        <f>SUM('State DisAgg LFx10 (2015)'!P74:P76)/3</f>
        <v>2.6666666666666665</v>
      </c>
      <c r="Q42" s="150">
        <f>SUM('State DisAgg LFx10 (2015)'!Q74:Q76)/3</f>
        <v>2.6666666666666665</v>
      </c>
      <c r="R42" s="150">
        <f>SUM('State DisAgg LFx10 (2015)'!R74:R76)/3</f>
        <v>1.6666666666666667</v>
      </c>
      <c r="S42" s="150">
        <f>SUM('State DisAgg LFx10 (2015)'!S74:S76)/3</f>
        <v>13.666666666666666</v>
      </c>
      <c r="T42" s="150">
        <f>SUM('State DisAgg LFx10 (2015)'!T74:T76)/3</f>
        <v>5.666666666666667</v>
      </c>
      <c r="U42" s="150">
        <f>SUM('State DisAgg LFx10 (2015)'!U74:U76)/3</f>
        <v>5.666666666666667</v>
      </c>
      <c r="V42" s="104">
        <f>SUM('State DisAgg LFx10 (2015)'!V74:V76)/3</f>
        <v>8</v>
      </c>
      <c r="W42" s="104">
        <f>SUM('State DisAgg LFx10 (2015)'!W74:W76)/3</f>
        <v>14.666666666666666</v>
      </c>
      <c r="X42" s="874"/>
    </row>
    <row r="43" spans="1:24" ht="12.95" customHeight="1" thickBot="1">
      <c r="A43" s="971"/>
      <c r="B43" s="93" t="s">
        <v>147</v>
      </c>
      <c r="C43" s="91" t="s">
        <v>234</v>
      </c>
      <c r="D43" s="945"/>
      <c r="E43" s="946"/>
      <c r="F43" s="946"/>
      <c r="G43" s="947"/>
      <c r="H43" s="1048"/>
      <c r="I43" s="1049"/>
      <c r="J43" s="1049"/>
      <c r="K43" s="1050"/>
      <c r="L43" s="1057" t="s">
        <v>910</v>
      </c>
      <c r="M43" s="1058"/>
      <c r="N43" s="1058"/>
      <c r="O43" s="1059"/>
      <c r="P43" s="150">
        <f>SUM('State DisAgg LFx10 (2015)'!P77:P78)/2</f>
        <v>13.5</v>
      </c>
      <c r="Q43" s="150">
        <f>SUM('State DisAgg LFx10 (2015)'!Q77:Q78)/2</f>
        <v>13.5</v>
      </c>
      <c r="R43" s="150">
        <f>SUM('State DisAgg LFx10 (2015)'!R77:R78)/2</f>
        <v>12</v>
      </c>
      <c r="S43" s="150">
        <f>SUM('State DisAgg LFx10 (2015)'!S77:S78)/2</f>
        <v>13.5</v>
      </c>
      <c r="T43" s="150">
        <f>SUM('State DisAgg LFx10 (2015)'!T77:T78)/2</f>
        <v>13.5</v>
      </c>
      <c r="U43" s="150">
        <f>SUM('State DisAgg LFx10 (2015)'!U77:U78)/2</f>
        <v>13.5</v>
      </c>
      <c r="V43" s="150">
        <f>SUM('State DisAgg LFx10 (2015)'!V77:V78)/2</f>
        <v>12.5</v>
      </c>
      <c r="W43" s="150">
        <f>SUM('State DisAgg LFx10 (2015)'!W77:W78)/2</f>
        <v>13.5</v>
      </c>
      <c r="X43" s="874"/>
    </row>
    <row r="44" spans="1:24" ht="13.5" thickBot="1">
      <c r="A44" s="971"/>
      <c r="B44" s="93" t="s">
        <v>146</v>
      </c>
      <c r="C44" s="103" t="s">
        <v>236</v>
      </c>
      <c r="D44" s="1042" t="s">
        <v>594</v>
      </c>
      <c r="E44" s="1043"/>
      <c r="F44" s="1043"/>
      <c r="G44" s="1044"/>
      <c r="H44" s="105">
        <f>SUM('State DisAgg LFx10 (2015)'!H79:H83)/5</f>
        <v>5.5</v>
      </c>
      <c r="I44" s="105">
        <f>SUM('State DisAgg LFx10 (2015)'!I79:I83)/5</f>
        <v>5.8</v>
      </c>
      <c r="J44" s="105">
        <f>SUM('State DisAgg LFx10 (2015)'!J79:J83)/5</f>
        <v>2.6</v>
      </c>
      <c r="K44" s="105">
        <f>SUM('State DisAgg LFx10 (2015)'!K79:K83)/5</f>
        <v>8.9</v>
      </c>
      <c r="L44" s="105">
        <f>SUM('State DisAgg LFx10 (2015)'!L79:L83)/5</f>
        <v>5.8</v>
      </c>
      <c r="M44" s="105">
        <f>SUM('State DisAgg LFx10 (2015)'!M79:M83)/5</f>
        <v>8.6</v>
      </c>
      <c r="N44" s="105">
        <f>SUM('State DisAgg LFx10 (2015)'!N79:N83)/5</f>
        <v>2.2000000000000002</v>
      </c>
      <c r="O44" s="105">
        <f>SUM('State DisAgg LFx10 (2015)'!O79:O83)/5</f>
        <v>13.8</v>
      </c>
      <c r="P44" s="105">
        <f>SUM('State DisAgg LFx10 (2015)'!P79:P83)/5</f>
        <v>7.4</v>
      </c>
      <c r="Q44" s="105">
        <f>SUM('State DisAgg LFx10 (2015)'!Q79:Q83)/5</f>
        <v>10.4</v>
      </c>
      <c r="R44" s="105">
        <f>SUM('State DisAgg LFx10 (2015)'!R79:R83)/5</f>
        <v>2.2000000000000002</v>
      </c>
      <c r="S44" s="105">
        <f>SUM('State DisAgg LFx10 (2015)'!S79:S83)/5</f>
        <v>14.4</v>
      </c>
      <c r="T44" s="105">
        <f>SUM('State DisAgg LFx10 (2015)'!T79:T83)/5</f>
        <v>0</v>
      </c>
      <c r="U44" s="105">
        <f>SUM('State DisAgg LFx10 (2015)'!U79:U83)/5</f>
        <v>0</v>
      </c>
      <c r="V44" s="105">
        <f>SUM('State DisAgg LFx10 (2015)'!V79:V83)/5</f>
        <v>0</v>
      </c>
      <c r="W44" s="105">
        <f>SUM('State DisAgg LFx10 (2015)'!W79:W83)/5</f>
        <v>0</v>
      </c>
      <c r="X44" s="874"/>
    </row>
    <row r="45" spans="1:24" ht="13.5" thickBot="1">
      <c r="A45" s="971"/>
      <c r="B45" s="93"/>
      <c r="C45" s="102" t="s">
        <v>283</v>
      </c>
      <c r="D45" s="1054"/>
      <c r="E45" s="1055"/>
      <c r="F45" s="1055"/>
      <c r="G45" s="1056"/>
      <c r="H45" s="1054"/>
      <c r="I45" s="1055"/>
      <c r="J45" s="1055"/>
      <c r="K45" s="1056"/>
      <c r="L45" s="105">
        <f>SUM('State DisAgg LFx10 (2015)'!L84:L86)/3</f>
        <v>1</v>
      </c>
      <c r="M45" s="105">
        <f>SUM('State DisAgg LFx10 (2015)'!M84:M86)/3</f>
        <v>1</v>
      </c>
      <c r="N45" s="105">
        <f>SUM('State DisAgg LFx10 (2015)'!N84:N86)/3</f>
        <v>0.66666666666666663</v>
      </c>
      <c r="O45" s="105">
        <f>SUM('State DisAgg LFx10 (2015)'!O84:O86)/3</f>
        <v>12.333333333333334</v>
      </c>
      <c r="P45" s="105">
        <f>SUM('State DisAgg LFx10 (2015)'!P84:P86)/3</f>
        <v>2.6666666666666665</v>
      </c>
      <c r="Q45" s="105">
        <f>SUM('State DisAgg LFx10 (2015)'!Q84:Q86)/3</f>
        <v>2.6666666666666665</v>
      </c>
      <c r="R45" s="105">
        <f>SUM('State DisAgg LFx10 (2015)'!R84:R86)/3</f>
        <v>0.66666666666666663</v>
      </c>
      <c r="S45" s="105">
        <f>SUM('State DisAgg LFx10 (2015)'!S84:S86)/3</f>
        <v>14.333333333333334</v>
      </c>
      <c r="T45" s="105">
        <f>SUM('State DisAgg LFx10 (2015)'!T84:T86)/3</f>
        <v>0</v>
      </c>
      <c r="U45" s="105">
        <f>SUM('State DisAgg LFx10 (2015)'!U84:U86)/3</f>
        <v>0</v>
      </c>
      <c r="V45" s="105">
        <f>SUM('State DisAgg LFx10 (2015)'!V84:V86)/3</f>
        <v>0</v>
      </c>
      <c r="W45" s="105">
        <f>SUM('State DisAgg LFx10 (2015)'!W84:W86)/3</f>
        <v>0</v>
      </c>
      <c r="X45" s="874"/>
    </row>
    <row r="46" spans="1:24" ht="13.5" thickBot="1">
      <c r="A46" s="971"/>
      <c r="B46" s="93"/>
      <c r="C46" s="102" t="s">
        <v>284</v>
      </c>
      <c r="D46" s="1054"/>
      <c r="E46" s="1055"/>
      <c r="F46" s="1055"/>
      <c r="G46" s="1056"/>
      <c r="H46" s="1054"/>
      <c r="I46" s="1055"/>
      <c r="J46" s="1055"/>
      <c r="K46" s="1056"/>
      <c r="L46" s="1054"/>
      <c r="M46" s="1055"/>
      <c r="N46" s="1055"/>
      <c r="O46" s="1056"/>
      <c r="P46" s="1017"/>
      <c r="Q46" s="1018"/>
      <c r="R46" s="1018"/>
      <c r="S46" s="1019"/>
      <c r="T46" s="105">
        <f>SUM('State DisAgg LFx10 (2015)'!T87:T88)/2</f>
        <v>0</v>
      </c>
      <c r="U46" s="105">
        <f>SUM('State DisAgg LFx10 (2015)'!U87:U88)/2</f>
        <v>0</v>
      </c>
      <c r="V46" s="105">
        <f>SUM('State DisAgg LFx10 (2015)'!V87:V88)/2</f>
        <v>0</v>
      </c>
      <c r="W46" s="105">
        <f>SUM('State DisAgg LFx10 (2015)'!W87:W88)/2</f>
        <v>0</v>
      </c>
      <c r="X46" s="874"/>
    </row>
    <row r="47" spans="1:24" ht="13.5" thickBot="1">
      <c r="A47" s="971"/>
      <c r="B47" s="980"/>
      <c r="C47" s="1142" t="s">
        <v>413</v>
      </c>
      <c r="D47" s="927" t="s">
        <v>4</v>
      </c>
      <c r="E47" s="928"/>
      <c r="F47" s="928"/>
      <c r="G47" s="928"/>
      <c r="H47" s="928"/>
      <c r="I47" s="928"/>
      <c r="J47" s="928"/>
      <c r="K47" s="928"/>
      <c r="L47" s="928"/>
      <c r="M47" s="928"/>
      <c r="N47" s="928"/>
      <c r="O47" s="928"/>
      <c r="P47" s="928"/>
      <c r="Q47" s="928"/>
      <c r="R47" s="928"/>
      <c r="S47" s="928"/>
      <c r="T47" s="928"/>
      <c r="U47" s="928"/>
      <c r="V47" s="928"/>
      <c r="W47" s="928"/>
      <c r="X47" s="874"/>
    </row>
    <row r="48" spans="1:24" ht="13.5" thickBot="1">
      <c r="A48" s="982"/>
      <c r="B48" s="981"/>
      <c r="C48" s="1143"/>
      <c r="D48" s="930" t="s">
        <v>117</v>
      </c>
      <c r="E48" s="931"/>
      <c r="F48" s="931"/>
      <c r="G48" s="931"/>
      <c r="H48" s="931"/>
      <c r="I48" s="931"/>
      <c r="J48" s="931"/>
      <c r="K48" s="931"/>
      <c r="L48" s="931"/>
      <c r="M48" s="931"/>
      <c r="N48" s="931"/>
      <c r="O48" s="931"/>
      <c r="P48" s="931"/>
      <c r="Q48" s="931"/>
      <c r="R48" s="931"/>
      <c r="S48" s="931"/>
      <c r="T48" s="931"/>
      <c r="U48" s="931"/>
      <c r="V48" s="931"/>
      <c r="W48" s="932"/>
      <c r="X48" s="875"/>
    </row>
    <row r="49" spans="1:24">
      <c r="A49" s="5"/>
      <c r="B49" s="5"/>
      <c r="C49" s="14"/>
      <c r="D49" s="5"/>
      <c r="E49" s="5"/>
      <c r="F49" s="5"/>
      <c r="G49" s="5"/>
      <c r="H49" s="5"/>
      <c r="I49" s="5"/>
      <c r="J49" s="5"/>
      <c r="K49" s="5"/>
      <c r="L49" s="5"/>
      <c r="M49" s="5"/>
      <c r="N49" s="5"/>
      <c r="O49" s="5"/>
      <c r="P49" s="5"/>
      <c r="Q49" s="5"/>
      <c r="R49" s="5"/>
      <c r="S49" s="5"/>
      <c r="T49" s="5"/>
      <c r="U49" s="5"/>
      <c r="V49" s="5"/>
      <c r="W49" s="5"/>
      <c r="X49" s="5"/>
    </row>
    <row r="50" spans="1:24" ht="13.5" thickBot="1">
      <c r="A50" s="5"/>
      <c r="B50" s="5"/>
      <c r="C50" s="6"/>
      <c r="D50" s="5"/>
      <c r="E50" s="5"/>
      <c r="F50" s="5"/>
      <c r="G50" s="5"/>
      <c r="H50" s="5"/>
      <c r="I50" s="5"/>
      <c r="J50" s="5"/>
      <c r="K50" s="5"/>
      <c r="L50" s="5"/>
      <c r="M50" s="5"/>
      <c r="N50" s="5"/>
      <c r="O50" s="5"/>
      <c r="P50" s="5"/>
      <c r="Q50" s="5"/>
      <c r="R50" s="5"/>
      <c r="S50" s="5"/>
      <c r="T50" s="5"/>
      <c r="U50" s="5"/>
      <c r="V50" s="5"/>
      <c r="W50" s="5"/>
      <c r="X50" s="5"/>
    </row>
    <row r="51" spans="1:24" ht="13.5" thickBot="1">
      <c r="A51" s="7" t="s">
        <v>5</v>
      </c>
      <c r="B51" s="97" t="s">
        <v>22</v>
      </c>
      <c r="C51" s="8"/>
      <c r="D51" s="927" t="s">
        <v>78</v>
      </c>
      <c r="E51" s="928"/>
      <c r="F51" s="928"/>
      <c r="G51" s="929"/>
      <c r="H51" s="927" t="s">
        <v>77</v>
      </c>
      <c r="I51" s="928"/>
      <c r="J51" s="928"/>
      <c r="K51" s="929"/>
      <c r="L51" s="927" t="s">
        <v>81</v>
      </c>
      <c r="M51" s="928"/>
      <c r="N51" s="928"/>
      <c r="O51" s="929"/>
      <c r="P51" s="927" t="s">
        <v>254</v>
      </c>
      <c r="Q51" s="928"/>
      <c r="R51" s="928"/>
      <c r="S51" s="929"/>
      <c r="T51" s="927" t="s">
        <v>76</v>
      </c>
      <c r="U51" s="928"/>
      <c r="V51" s="928"/>
      <c r="W51" s="929"/>
      <c r="X51" s="19" t="s">
        <v>6</v>
      </c>
    </row>
    <row r="52" spans="1:24" ht="13.5" thickBot="1">
      <c r="A52" s="868" t="s">
        <v>54</v>
      </c>
      <c r="B52" s="868" t="s">
        <v>55</v>
      </c>
      <c r="C52" s="9" t="s">
        <v>235</v>
      </c>
      <c r="D52" s="942">
        <f>SUM('State DisAgg LFx10 (2015)'!D94:G98)/5</f>
        <v>2.16</v>
      </c>
      <c r="E52" s="943"/>
      <c r="F52" s="943"/>
      <c r="G52" s="944"/>
      <c r="H52" s="942">
        <f>SUM('State DisAgg LFx10 (2015)'!H94:K98)/5</f>
        <v>2.2600000000000002</v>
      </c>
      <c r="I52" s="943"/>
      <c r="J52" s="943"/>
      <c r="K52" s="944"/>
      <c r="L52" s="942">
        <f>SUM('State DisAgg LFx10 (2015)'!L94:O98)/5</f>
        <v>2.88</v>
      </c>
      <c r="M52" s="943"/>
      <c r="N52" s="943"/>
      <c r="O52" s="944"/>
      <c r="P52" s="942">
        <f>SUM('State DisAgg LFx10 (2015)'!P94:S98)/5</f>
        <v>3.16</v>
      </c>
      <c r="Q52" s="943"/>
      <c r="R52" s="943"/>
      <c r="S52" s="944"/>
      <c r="T52" s="942">
        <f>SUM('State DisAgg LFx10 (2015)'!T94:W98)/5</f>
        <v>3.62</v>
      </c>
      <c r="U52" s="943"/>
      <c r="V52" s="943"/>
      <c r="W52" s="944"/>
      <c r="X52" s="879" t="s">
        <v>95</v>
      </c>
    </row>
    <row r="53" spans="1:24" ht="13.5" thickBot="1">
      <c r="A53" s="885"/>
      <c r="B53" s="885"/>
      <c r="C53" s="9" t="s">
        <v>233</v>
      </c>
      <c r="D53" s="1048" t="s">
        <v>414</v>
      </c>
      <c r="E53" s="1049"/>
      <c r="F53" s="1049"/>
      <c r="G53" s="1050"/>
      <c r="H53" s="942">
        <f>SUM('State DisAgg LFx10 (2015)'!H99:K101)/3</f>
        <v>2.1666666666666665</v>
      </c>
      <c r="I53" s="943"/>
      <c r="J53" s="943"/>
      <c r="K53" s="944"/>
      <c r="L53" s="942">
        <f>SUM('State DisAgg LFx10 (2015)'!L99:O101)/3</f>
        <v>2.1666666666666665</v>
      </c>
      <c r="M53" s="943"/>
      <c r="N53" s="943"/>
      <c r="O53" s="944"/>
      <c r="P53" s="942">
        <f>SUM('State DisAgg LFx10 (2015)'!P99:S101)/3</f>
        <v>2.3666666666666667</v>
      </c>
      <c r="Q53" s="943"/>
      <c r="R53" s="943"/>
      <c r="S53" s="944"/>
      <c r="T53" s="963">
        <f>SUM('State DisAgg LFx10 (2015)'!T99:W101)/3</f>
        <v>2.9666666666666668</v>
      </c>
      <c r="U53" s="964"/>
      <c r="V53" s="964"/>
      <c r="W53" s="965"/>
      <c r="X53" s="880"/>
    </row>
    <row r="54" spans="1:24" ht="12.95" customHeight="1" thickBot="1">
      <c r="A54" s="885"/>
      <c r="B54" s="885"/>
      <c r="C54" s="9" t="s">
        <v>234</v>
      </c>
      <c r="D54" s="957"/>
      <c r="E54" s="958"/>
      <c r="F54" s="958"/>
      <c r="G54" s="959"/>
      <c r="H54" s="1048"/>
      <c r="I54" s="1049"/>
      <c r="J54" s="1049"/>
      <c r="K54" s="1050"/>
      <c r="L54" s="1057" t="s">
        <v>909</v>
      </c>
      <c r="M54" s="1058"/>
      <c r="N54" s="1058"/>
      <c r="O54" s="1059"/>
      <c r="P54" s="963">
        <f>SUM('State DisAgg LFx10 (2015)'!P102:S103)/2</f>
        <v>2.2999999999999998</v>
      </c>
      <c r="Q54" s="964"/>
      <c r="R54" s="964"/>
      <c r="S54" s="965"/>
      <c r="T54" s="963">
        <f>SUM('State DisAgg LFx10 (2015)'!T102:W103)/2</f>
        <v>2.65</v>
      </c>
      <c r="U54" s="964"/>
      <c r="V54" s="964"/>
      <c r="W54" s="965"/>
      <c r="X54" s="880"/>
    </row>
    <row r="55" spans="1:24" ht="13.5" thickBot="1">
      <c r="A55" s="885"/>
      <c r="B55" s="885"/>
      <c r="C55" s="102" t="s">
        <v>236</v>
      </c>
      <c r="D55" s="1045" t="s">
        <v>583</v>
      </c>
      <c r="E55" s="1046"/>
      <c r="F55" s="1046"/>
      <c r="G55" s="1047"/>
      <c r="H55" s="1147">
        <f>SUM('State DisAgg LFx10 (2015)'!H104:K108)/5</f>
        <v>2.42</v>
      </c>
      <c r="I55" s="1148"/>
      <c r="J55" s="1148"/>
      <c r="K55" s="1149"/>
      <c r="L55" s="1147">
        <f>SUM('State DisAgg LFx10 (2015)'!L104:O108)/5</f>
        <v>2.88</v>
      </c>
      <c r="M55" s="1148"/>
      <c r="N55" s="1148"/>
      <c r="O55" s="1149"/>
      <c r="P55" s="1147">
        <f>SUM('State DisAgg LFx10 (2015)'!P104:S108)/5</f>
        <v>3.3200000000000003</v>
      </c>
      <c r="Q55" s="1148"/>
      <c r="R55" s="1148"/>
      <c r="S55" s="1149"/>
      <c r="T55" s="1147">
        <f>SUM('State DisAgg LFx10 (2015)'!T104:W108)/5</f>
        <v>0</v>
      </c>
      <c r="U55" s="1148"/>
      <c r="V55" s="1148"/>
      <c r="W55" s="1149"/>
      <c r="X55" s="880"/>
    </row>
    <row r="56" spans="1:24" ht="13.5" thickBot="1">
      <c r="A56" s="885"/>
      <c r="B56" s="885"/>
      <c r="C56" s="102" t="s">
        <v>283</v>
      </c>
      <c r="D56" s="1017"/>
      <c r="E56" s="1018"/>
      <c r="F56" s="1018"/>
      <c r="G56" s="1019"/>
      <c r="H56" s="1017"/>
      <c r="I56" s="1018"/>
      <c r="J56" s="1018"/>
      <c r="K56" s="1019"/>
      <c r="L56" s="1147">
        <f>SUM('State DisAgg LFx10 (2015)'!L109:O111)/3</f>
        <v>2.1666666666666665</v>
      </c>
      <c r="M56" s="1148"/>
      <c r="N56" s="1148"/>
      <c r="O56" s="1149"/>
      <c r="P56" s="1147">
        <f>SUM('State DisAgg LFx10 (2015)'!P109:S111)/3</f>
        <v>2.3000000000000003</v>
      </c>
      <c r="Q56" s="1148"/>
      <c r="R56" s="1148"/>
      <c r="S56" s="1149"/>
      <c r="T56" s="1147">
        <f>SUM('State DisAgg LFx10 (2015)'!T109:W111)/3</f>
        <v>0</v>
      </c>
      <c r="U56" s="1148"/>
      <c r="V56" s="1148"/>
      <c r="W56" s="1149"/>
      <c r="X56" s="880"/>
    </row>
    <row r="57" spans="1:24" ht="13.5" thickBot="1">
      <c r="A57" s="885"/>
      <c r="B57" s="885"/>
      <c r="C57" s="102" t="s">
        <v>284</v>
      </c>
      <c r="D57" s="1017"/>
      <c r="E57" s="1018"/>
      <c r="F57" s="1018"/>
      <c r="G57" s="1019"/>
      <c r="H57" s="1017"/>
      <c r="I57" s="1018"/>
      <c r="J57" s="1018"/>
      <c r="K57" s="1019"/>
      <c r="L57" s="1017"/>
      <c r="M57" s="1018"/>
      <c r="N57" s="1018"/>
      <c r="O57" s="1019"/>
      <c r="P57" s="1017"/>
      <c r="Q57" s="1018"/>
      <c r="R57" s="1018"/>
      <c r="S57" s="1019"/>
      <c r="T57" s="1147">
        <f>SUM('State DisAgg LFx10 (2015)'!T112:W113)/2</f>
        <v>0</v>
      </c>
      <c r="U57" s="1148"/>
      <c r="V57" s="1148"/>
      <c r="W57" s="1149"/>
      <c r="X57" s="880"/>
    </row>
    <row r="58" spans="1:24" ht="13.5" thickBot="1">
      <c r="A58" s="885"/>
      <c r="B58" s="885"/>
      <c r="C58" s="1142" t="s">
        <v>413</v>
      </c>
      <c r="D58" s="927" t="s">
        <v>4</v>
      </c>
      <c r="E58" s="928"/>
      <c r="F58" s="928"/>
      <c r="G58" s="928"/>
      <c r="H58" s="928"/>
      <c r="I58" s="928"/>
      <c r="J58" s="928"/>
      <c r="K58" s="928"/>
      <c r="L58" s="928"/>
      <c r="M58" s="928"/>
      <c r="N58" s="928"/>
      <c r="O58" s="928"/>
      <c r="P58" s="928"/>
      <c r="Q58" s="928"/>
      <c r="R58" s="928"/>
      <c r="S58" s="928"/>
      <c r="T58" s="928"/>
      <c r="U58" s="928"/>
      <c r="V58" s="928"/>
      <c r="W58" s="928"/>
      <c r="X58" s="880"/>
    </row>
    <row r="59" spans="1:24" ht="13.5" thickBot="1">
      <c r="A59" s="885"/>
      <c r="B59" s="869"/>
      <c r="C59" s="1143"/>
      <c r="D59" s="930" t="s">
        <v>115</v>
      </c>
      <c r="E59" s="931"/>
      <c r="F59" s="931"/>
      <c r="G59" s="931"/>
      <c r="H59" s="931"/>
      <c r="I59" s="931"/>
      <c r="J59" s="931"/>
      <c r="K59" s="931"/>
      <c r="L59" s="931"/>
      <c r="M59" s="931"/>
      <c r="N59" s="931"/>
      <c r="O59" s="931"/>
      <c r="P59" s="931"/>
      <c r="Q59" s="931"/>
      <c r="R59" s="931"/>
      <c r="S59" s="931"/>
      <c r="T59" s="931"/>
      <c r="U59" s="931"/>
      <c r="V59" s="931"/>
      <c r="W59" s="932"/>
      <c r="X59" s="880"/>
    </row>
    <row r="60" spans="1:24" ht="13.5" thickBot="1">
      <c r="A60" s="885"/>
      <c r="B60" s="11" t="s">
        <v>23</v>
      </c>
      <c r="C60" s="12"/>
      <c r="D60" s="927" t="s">
        <v>78</v>
      </c>
      <c r="E60" s="928"/>
      <c r="F60" s="928"/>
      <c r="G60" s="929"/>
      <c r="H60" s="927" t="s">
        <v>77</v>
      </c>
      <c r="I60" s="928"/>
      <c r="J60" s="928"/>
      <c r="K60" s="929"/>
      <c r="L60" s="927" t="s">
        <v>81</v>
      </c>
      <c r="M60" s="928"/>
      <c r="N60" s="928"/>
      <c r="O60" s="929"/>
      <c r="P60" s="927" t="s">
        <v>254</v>
      </c>
      <c r="Q60" s="928"/>
      <c r="R60" s="928"/>
      <c r="S60" s="929"/>
      <c r="T60" s="927" t="s">
        <v>76</v>
      </c>
      <c r="U60" s="928"/>
      <c r="V60" s="928"/>
      <c r="W60" s="929"/>
      <c r="X60" s="880"/>
    </row>
    <row r="61" spans="1:24" ht="13.5" thickBot="1">
      <c r="A61" s="885"/>
      <c r="B61" s="868" t="s">
        <v>56</v>
      </c>
      <c r="C61" s="9" t="s">
        <v>235</v>
      </c>
      <c r="D61" s="942">
        <f>SUM('State DisAgg LFx10 (2015)'!D117:G121)/5</f>
        <v>1.9799999999999998</v>
      </c>
      <c r="E61" s="943"/>
      <c r="F61" s="943"/>
      <c r="G61" s="944"/>
      <c r="H61" s="942">
        <f>SUM('State DisAgg LFx10 (2015)'!H117:K121)/5</f>
        <v>2.2399999999999998</v>
      </c>
      <c r="I61" s="943"/>
      <c r="J61" s="943"/>
      <c r="K61" s="944"/>
      <c r="L61" s="942">
        <f>SUM('State DisAgg LFx10 (2015)'!L117:O121)/5</f>
        <v>2.83</v>
      </c>
      <c r="M61" s="943"/>
      <c r="N61" s="943"/>
      <c r="O61" s="944"/>
      <c r="P61" s="963">
        <f>SUM('State DisAgg LFx10 (2015)'!P117:S121)/5</f>
        <v>3.35</v>
      </c>
      <c r="Q61" s="964"/>
      <c r="R61" s="964"/>
      <c r="S61" s="965"/>
      <c r="T61" s="963">
        <f>SUM('State DisAgg LFx10 (2015)'!T117:W121)/5</f>
        <v>4.12</v>
      </c>
      <c r="U61" s="964"/>
      <c r="V61" s="964"/>
      <c r="W61" s="965"/>
      <c r="X61" s="880"/>
    </row>
    <row r="62" spans="1:24" ht="13.5" thickBot="1">
      <c r="A62" s="885"/>
      <c r="B62" s="885"/>
      <c r="C62" s="9" t="s">
        <v>233</v>
      </c>
      <c r="D62" s="1048" t="s">
        <v>414</v>
      </c>
      <c r="E62" s="1049"/>
      <c r="F62" s="1049"/>
      <c r="G62" s="1050"/>
      <c r="H62" s="942">
        <f>SUM('State DisAgg LFx10 (2015)'!H122:K124)/3</f>
        <v>1.5999999999999999</v>
      </c>
      <c r="I62" s="943"/>
      <c r="J62" s="943"/>
      <c r="K62" s="944"/>
      <c r="L62" s="942">
        <f>SUM('State DisAgg LFx10 (2015)'!L122:O124)/3</f>
        <v>1.5999999999999999</v>
      </c>
      <c r="M62" s="943"/>
      <c r="N62" s="943"/>
      <c r="O62" s="944"/>
      <c r="P62" s="963">
        <f>SUM('State DisAgg LFx10 (2015)'!P122:S124)/3</f>
        <v>1.9000000000000001</v>
      </c>
      <c r="Q62" s="964"/>
      <c r="R62" s="964"/>
      <c r="S62" s="965"/>
      <c r="T62" s="963">
        <f>SUM('State DisAgg LFx10 (2015)'!T122:W124)/3</f>
        <v>2.9333333333333336</v>
      </c>
      <c r="U62" s="964"/>
      <c r="V62" s="964"/>
      <c r="W62" s="965"/>
      <c r="X62" s="880"/>
    </row>
    <row r="63" spans="1:24" ht="12.95" customHeight="1" thickBot="1">
      <c r="A63" s="885"/>
      <c r="B63" s="885"/>
      <c r="C63" s="9" t="s">
        <v>234</v>
      </c>
      <c r="D63" s="957"/>
      <c r="E63" s="958"/>
      <c r="F63" s="958"/>
      <c r="G63" s="959"/>
      <c r="H63" s="1048"/>
      <c r="I63" s="1049"/>
      <c r="J63" s="1049"/>
      <c r="K63" s="1050"/>
      <c r="L63" s="1057" t="s">
        <v>909</v>
      </c>
      <c r="M63" s="1058"/>
      <c r="N63" s="1058"/>
      <c r="O63" s="1059"/>
      <c r="P63" s="963">
        <f>SUM('State DisAgg LFx10 (2015)'!P125:S126)/2</f>
        <v>2.25</v>
      </c>
      <c r="Q63" s="964"/>
      <c r="R63" s="964"/>
      <c r="S63" s="965"/>
      <c r="T63" s="963">
        <f>SUM('State DisAgg LFx10 (2015)'!T125:W126)/2</f>
        <v>2.7</v>
      </c>
      <c r="U63" s="964"/>
      <c r="V63" s="964"/>
      <c r="W63" s="965"/>
      <c r="X63" s="880"/>
    </row>
    <row r="64" spans="1:24" ht="13.5" thickBot="1">
      <c r="A64" s="885"/>
      <c r="B64" s="885"/>
      <c r="C64" s="102" t="s">
        <v>236</v>
      </c>
      <c r="D64" s="1045" t="s">
        <v>584</v>
      </c>
      <c r="E64" s="1046"/>
      <c r="F64" s="1046"/>
      <c r="G64" s="1047"/>
      <c r="H64" s="1147">
        <f>SUM('State DisAgg LFx10 (2015)'!H127:K131)/5</f>
        <v>2.7600000000000002</v>
      </c>
      <c r="I64" s="1148"/>
      <c r="J64" s="1148"/>
      <c r="K64" s="1149"/>
      <c r="L64" s="1147">
        <f>SUM('State DisAgg LFx10 (2015)'!L127:O131)/5</f>
        <v>2.96</v>
      </c>
      <c r="M64" s="1148"/>
      <c r="N64" s="1148"/>
      <c r="O64" s="1149"/>
      <c r="P64" s="1147">
        <f>SUM('State DisAgg LFx10 (2015)'!P127:S131)/5</f>
        <v>3.46</v>
      </c>
      <c r="Q64" s="1148"/>
      <c r="R64" s="1148"/>
      <c r="S64" s="1149"/>
      <c r="T64" s="1147">
        <f>SUM('State DisAgg LFx10 (2015)'!T127:W131)/5</f>
        <v>0</v>
      </c>
      <c r="U64" s="1148"/>
      <c r="V64" s="1148"/>
      <c r="W64" s="1149"/>
      <c r="X64" s="880"/>
    </row>
    <row r="65" spans="1:24" ht="13.5" thickBot="1">
      <c r="A65" s="885"/>
      <c r="B65" s="885"/>
      <c r="C65" s="102" t="s">
        <v>283</v>
      </c>
      <c r="D65" s="1017"/>
      <c r="E65" s="1018"/>
      <c r="F65" s="1018"/>
      <c r="G65" s="1019"/>
      <c r="H65" s="1017"/>
      <c r="I65" s="1018"/>
      <c r="J65" s="1018"/>
      <c r="K65" s="1019"/>
      <c r="L65" s="1147">
        <f>SUM('State DisAgg LFx10 (2015)'!L132:O134)/3</f>
        <v>1.5999999999999999</v>
      </c>
      <c r="M65" s="1148"/>
      <c r="N65" s="1148"/>
      <c r="O65" s="1149"/>
      <c r="P65" s="1147">
        <f>SUM('State DisAgg LFx10 (2015)'!P132:S134)/3</f>
        <v>2.2000000000000002</v>
      </c>
      <c r="Q65" s="1148"/>
      <c r="R65" s="1148"/>
      <c r="S65" s="1149"/>
      <c r="T65" s="1147">
        <f>SUM('State DisAgg LFx10 (2015)'!T132:W134)/3</f>
        <v>0</v>
      </c>
      <c r="U65" s="1148"/>
      <c r="V65" s="1148"/>
      <c r="W65" s="1149"/>
      <c r="X65" s="880"/>
    </row>
    <row r="66" spans="1:24" ht="13.5" thickBot="1">
      <c r="A66" s="885"/>
      <c r="B66" s="885"/>
      <c r="C66" s="102" t="s">
        <v>284</v>
      </c>
      <c r="D66" s="1017"/>
      <c r="E66" s="1018"/>
      <c r="F66" s="1018"/>
      <c r="G66" s="1019"/>
      <c r="H66" s="1017"/>
      <c r="I66" s="1018"/>
      <c r="J66" s="1018"/>
      <c r="K66" s="1019"/>
      <c r="L66" s="1017"/>
      <c r="M66" s="1018"/>
      <c r="N66" s="1018"/>
      <c r="O66" s="1019"/>
      <c r="P66" s="1017"/>
      <c r="Q66" s="1018"/>
      <c r="R66" s="1018"/>
      <c r="S66" s="1019"/>
      <c r="T66" s="1147">
        <f>SUM('State DisAgg LFx10 (2015)'!T135:W136)/2</f>
        <v>0</v>
      </c>
      <c r="U66" s="1148"/>
      <c r="V66" s="1148"/>
      <c r="W66" s="1149"/>
      <c r="X66" s="880"/>
    </row>
    <row r="67" spans="1:24" ht="13.5" thickBot="1">
      <c r="A67" s="885"/>
      <c r="B67" s="885"/>
      <c r="C67" s="1142" t="s">
        <v>413</v>
      </c>
      <c r="D67" s="927" t="s">
        <v>4</v>
      </c>
      <c r="E67" s="928"/>
      <c r="F67" s="928"/>
      <c r="G67" s="928"/>
      <c r="H67" s="928"/>
      <c r="I67" s="928"/>
      <c r="J67" s="928"/>
      <c r="K67" s="928"/>
      <c r="L67" s="928"/>
      <c r="M67" s="928"/>
      <c r="N67" s="928"/>
      <c r="O67" s="928"/>
      <c r="P67" s="928"/>
      <c r="Q67" s="928"/>
      <c r="R67" s="928"/>
      <c r="S67" s="928"/>
      <c r="T67" s="928"/>
      <c r="U67" s="928"/>
      <c r="V67" s="928"/>
      <c r="W67" s="928"/>
      <c r="X67" s="880"/>
    </row>
    <row r="68" spans="1:24" ht="13.5" thickBot="1">
      <c r="A68" s="885"/>
      <c r="B68" s="869"/>
      <c r="C68" s="1143"/>
      <c r="D68" s="930" t="s">
        <v>115</v>
      </c>
      <c r="E68" s="931"/>
      <c r="F68" s="931"/>
      <c r="G68" s="931"/>
      <c r="H68" s="931"/>
      <c r="I68" s="931"/>
      <c r="J68" s="931"/>
      <c r="K68" s="931"/>
      <c r="L68" s="931"/>
      <c r="M68" s="931"/>
      <c r="N68" s="931"/>
      <c r="O68" s="931"/>
      <c r="P68" s="931"/>
      <c r="Q68" s="931"/>
      <c r="R68" s="931"/>
      <c r="S68" s="931"/>
      <c r="T68" s="931"/>
      <c r="U68" s="931"/>
      <c r="V68" s="931"/>
      <c r="W68" s="932"/>
      <c r="X68" s="880"/>
    </row>
    <row r="69" spans="1:24" ht="13.5" thickBot="1">
      <c r="A69" s="885"/>
      <c r="B69" s="11" t="s">
        <v>38</v>
      </c>
      <c r="C69" s="12"/>
      <c r="D69" s="927" t="s">
        <v>78</v>
      </c>
      <c r="E69" s="928"/>
      <c r="F69" s="928"/>
      <c r="G69" s="929"/>
      <c r="H69" s="927" t="s">
        <v>77</v>
      </c>
      <c r="I69" s="928"/>
      <c r="J69" s="928"/>
      <c r="K69" s="929"/>
      <c r="L69" s="927" t="s">
        <v>81</v>
      </c>
      <c r="M69" s="928"/>
      <c r="N69" s="928"/>
      <c r="O69" s="929"/>
      <c r="P69" s="927" t="s">
        <v>254</v>
      </c>
      <c r="Q69" s="928"/>
      <c r="R69" s="928"/>
      <c r="S69" s="929"/>
      <c r="T69" s="927" t="s">
        <v>76</v>
      </c>
      <c r="U69" s="928"/>
      <c r="V69" s="928"/>
      <c r="W69" s="929"/>
      <c r="X69" s="880"/>
    </row>
    <row r="70" spans="1:24" ht="12.95" customHeight="1" thickBot="1">
      <c r="A70" s="885"/>
      <c r="B70" s="868" t="s">
        <v>155</v>
      </c>
      <c r="C70" s="9" t="s">
        <v>235</v>
      </c>
      <c r="D70" s="933" t="s">
        <v>171</v>
      </c>
      <c r="E70" s="934"/>
      <c r="F70" s="934"/>
      <c r="G70" s="935"/>
      <c r="H70" s="966" t="s">
        <v>572</v>
      </c>
      <c r="I70" s="967"/>
      <c r="J70" s="967"/>
      <c r="K70" s="968"/>
      <c r="L70" s="963">
        <f>SUM('State DisAgg LFx10 (2015)'!L140:O144)/5</f>
        <v>2.9799999999999995</v>
      </c>
      <c r="M70" s="964"/>
      <c r="N70" s="964"/>
      <c r="O70" s="965"/>
      <c r="P70" s="963">
        <f>SUM('State DisAgg LFx10 (2015)'!P140:S144)/5</f>
        <v>3.21</v>
      </c>
      <c r="Q70" s="964"/>
      <c r="R70" s="964"/>
      <c r="S70" s="965"/>
      <c r="T70" s="963">
        <f>SUM('State DisAgg LFx10 (2015)'!T140:W144)/5</f>
        <v>3.78</v>
      </c>
      <c r="U70" s="964"/>
      <c r="V70" s="964"/>
      <c r="W70" s="965"/>
      <c r="X70" s="880"/>
    </row>
    <row r="71" spans="1:24" ht="12.95" customHeight="1" thickBot="1">
      <c r="A71" s="885"/>
      <c r="B71" s="885"/>
      <c r="C71" s="9" t="s">
        <v>233</v>
      </c>
      <c r="D71" s="957"/>
      <c r="E71" s="958"/>
      <c r="F71" s="958"/>
      <c r="G71" s="959"/>
      <c r="H71" s="966" t="s">
        <v>572</v>
      </c>
      <c r="I71" s="967"/>
      <c r="J71" s="967"/>
      <c r="K71" s="968"/>
      <c r="L71" s="963">
        <f>SUM('State DisAgg LFx10 (2015)'!L145:O147)/3</f>
        <v>2.6</v>
      </c>
      <c r="M71" s="964"/>
      <c r="N71" s="964"/>
      <c r="O71" s="965"/>
      <c r="P71" s="963">
        <f>SUM('State DisAgg LFx10 (2015)'!P145:S147)/3</f>
        <v>2.9</v>
      </c>
      <c r="Q71" s="964"/>
      <c r="R71" s="964"/>
      <c r="S71" s="965"/>
      <c r="T71" s="963">
        <f>SUM('State DisAgg LFx10 (2015)'!T145:W147)/3</f>
        <v>3.5</v>
      </c>
      <c r="U71" s="964"/>
      <c r="V71" s="964"/>
      <c r="W71" s="965"/>
      <c r="X71" s="880"/>
    </row>
    <row r="72" spans="1:24" ht="12.95" customHeight="1" thickBot="1">
      <c r="A72" s="885"/>
      <c r="B72" s="885"/>
      <c r="C72" s="9" t="s">
        <v>234</v>
      </c>
      <c r="D72" s="957"/>
      <c r="E72" s="958"/>
      <c r="F72" s="958"/>
      <c r="G72" s="959"/>
      <c r="H72" s="1048"/>
      <c r="I72" s="1049"/>
      <c r="J72" s="1049"/>
      <c r="K72" s="1050"/>
      <c r="L72" s="1057" t="s">
        <v>909</v>
      </c>
      <c r="M72" s="1058"/>
      <c r="N72" s="1058"/>
      <c r="O72" s="1059"/>
      <c r="P72" s="963">
        <f>SUM('State DisAgg LFx10 (2015)'!P148:S149)/2</f>
        <v>3</v>
      </c>
      <c r="Q72" s="964"/>
      <c r="R72" s="964"/>
      <c r="S72" s="965"/>
      <c r="T72" s="963">
        <f>SUM('State DisAgg LFx10 (2015)'!T148:W149)/2</f>
        <v>3.2</v>
      </c>
      <c r="U72" s="964"/>
      <c r="V72" s="964"/>
      <c r="W72" s="965"/>
      <c r="X72" s="880"/>
    </row>
    <row r="73" spans="1:24" ht="13.5" thickBot="1">
      <c r="A73" s="885"/>
      <c r="B73" s="885"/>
      <c r="C73" s="102" t="s">
        <v>236</v>
      </c>
      <c r="D73" s="1011"/>
      <c r="E73" s="1012"/>
      <c r="F73" s="1012"/>
      <c r="G73" s="1013"/>
      <c r="H73" s="1011"/>
      <c r="I73" s="1012"/>
      <c r="J73" s="1012"/>
      <c r="K73" s="1013"/>
      <c r="L73" s="1011"/>
      <c r="M73" s="1012"/>
      <c r="N73" s="1012"/>
      <c r="O73" s="1013"/>
      <c r="P73" s="1147">
        <f>SUM('State DisAgg LFx10 (2015)'!P150:S154)/5</f>
        <v>3.46</v>
      </c>
      <c r="Q73" s="1148"/>
      <c r="R73" s="1148"/>
      <c r="S73" s="1149"/>
      <c r="T73" s="1147">
        <f>SUM('State DisAgg LFx10 (2015)'!T150:W154)/5</f>
        <v>0</v>
      </c>
      <c r="U73" s="1148"/>
      <c r="V73" s="1148"/>
      <c r="W73" s="1149"/>
      <c r="X73" s="880"/>
    </row>
    <row r="74" spans="1:24" ht="13.5" thickBot="1">
      <c r="A74" s="885"/>
      <c r="B74" s="885"/>
      <c r="C74" s="102" t="s">
        <v>283</v>
      </c>
      <c r="D74" s="1017"/>
      <c r="E74" s="1018"/>
      <c r="F74" s="1018"/>
      <c r="G74" s="1019"/>
      <c r="H74" s="1017"/>
      <c r="I74" s="1018"/>
      <c r="J74" s="1018"/>
      <c r="K74" s="1019"/>
      <c r="L74" s="1011"/>
      <c r="M74" s="1012"/>
      <c r="N74" s="1012"/>
      <c r="O74" s="1013"/>
      <c r="P74" s="1147">
        <f>SUM('State DisAgg LFx10 (2015)'!P155:S157)/3</f>
        <v>2.7666666666666671</v>
      </c>
      <c r="Q74" s="1148"/>
      <c r="R74" s="1148"/>
      <c r="S74" s="1149"/>
      <c r="T74" s="1147">
        <f>SUM('State DisAgg LFx10 (2015)'!T155:W157)/3</f>
        <v>0</v>
      </c>
      <c r="U74" s="1148"/>
      <c r="V74" s="1148"/>
      <c r="W74" s="1149"/>
      <c r="X74" s="880"/>
    </row>
    <row r="75" spans="1:24" ht="13.5" thickBot="1">
      <c r="A75" s="885"/>
      <c r="B75" s="885"/>
      <c r="C75" s="102" t="s">
        <v>284</v>
      </c>
      <c r="D75" s="1017"/>
      <c r="E75" s="1018"/>
      <c r="F75" s="1018"/>
      <c r="G75" s="1019"/>
      <c r="H75" s="1017"/>
      <c r="I75" s="1018"/>
      <c r="J75" s="1018"/>
      <c r="K75" s="1019"/>
      <c r="L75" s="1017"/>
      <c r="M75" s="1018"/>
      <c r="N75" s="1018"/>
      <c r="O75" s="1019"/>
      <c r="P75" s="1017"/>
      <c r="Q75" s="1018"/>
      <c r="R75" s="1018"/>
      <c r="S75" s="1019"/>
      <c r="T75" s="1147">
        <f>SUM('State DisAgg LFx10 (2015)'!T158:W159)/2</f>
        <v>0</v>
      </c>
      <c r="U75" s="1148"/>
      <c r="V75" s="1148"/>
      <c r="W75" s="1149"/>
      <c r="X75" s="880"/>
    </row>
    <row r="76" spans="1:24" ht="13.5" thickBot="1">
      <c r="A76" s="885"/>
      <c r="B76" s="885"/>
      <c r="C76" s="1142" t="s">
        <v>413</v>
      </c>
      <c r="D76" s="927" t="s">
        <v>4</v>
      </c>
      <c r="E76" s="928"/>
      <c r="F76" s="928"/>
      <c r="G76" s="928"/>
      <c r="H76" s="928"/>
      <c r="I76" s="928"/>
      <c r="J76" s="928"/>
      <c r="K76" s="928"/>
      <c r="L76" s="928"/>
      <c r="M76" s="928"/>
      <c r="N76" s="928"/>
      <c r="O76" s="928"/>
      <c r="P76" s="928"/>
      <c r="Q76" s="928"/>
      <c r="R76" s="928"/>
      <c r="S76" s="928"/>
      <c r="T76" s="928"/>
      <c r="U76" s="928"/>
      <c r="V76" s="928"/>
      <c r="W76" s="928"/>
      <c r="X76" s="880"/>
    </row>
    <row r="77" spans="1:24" ht="13.5" thickBot="1">
      <c r="A77" s="885"/>
      <c r="B77" s="869"/>
      <c r="C77" s="1143"/>
      <c r="D77" s="930" t="s">
        <v>115</v>
      </c>
      <c r="E77" s="931"/>
      <c r="F77" s="931"/>
      <c r="G77" s="931"/>
      <c r="H77" s="931"/>
      <c r="I77" s="931"/>
      <c r="J77" s="931"/>
      <c r="K77" s="931"/>
      <c r="L77" s="931"/>
      <c r="M77" s="931"/>
      <c r="N77" s="931"/>
      <c r="O77" s="931"/>
      <c r="P77" s="931"/>
      <c r="Q77" s="931"/>
      <c r="R77" s="931"/>
      <c r="S77" s="931"/>
      <c r="T77" s="931"/>
      <c r="U77" s="931"/>
      <c r="V77" s="931"/>
      <c r="W77" s="932"/>
      <c r="X77" s="880"/>
    </row>
    <row r="78" spans="1:24" ht="13.5" thickBot="1">
      <c r="A78" s="885"/>
      <c r="B78" s="11" t="s">
        <v>39</v>
      </c>
      <c r="C78" s="12"/>
      <c r="D78" s="927" t="s">
        <v>78</v>
      </c>
      <c r="E78" s="928"/>
      <c r="F78" s="928"/>
      <c r="G78" s="929"/>
      <c r="H78" s="927" t="s">
        <v>77</v>
      </c>
      <c r="I78" s="928"/>
      <c r="J78" s="928"/>
      <c r="K78" s="929"/>
      <c r="L78" s="927" t="s">
        <v>81</v>
      </c>
      <c r="M78" s="928"/>
      <c r="N78" s="928"/>
      <c r="O78" s="929"/>
      <c r="P78" s="927" t="s">
        <v>254</v>
      </c>
      <c r="Q78" s="928"/>
      <c r="R78" s="928"/>
      <c r="S78" s="929"/>
      <c r="T78" s="927" t="s">
        <v>76</v>
      </c>
      <c r="U78" s="928"/>
      <c r="V78" s="928"/>
      <c r="W78" s="929"/>
      <c r="X78" s="880"/>
    </row>
    <row r="79" spans="1:24" ht="42.95" customHeight="1" thickBot="1">
      <c r="A79" s="885"/>
      <c r="B79" s="978" t="s">
        <v>575</v>
      </c>
      <c r="C79" s="9"/>
      <c r="D79" s="20" t="s">
        <v>105</v>
      </c>
      <c r="E79" s="20" t="s">
        <v>579</v>
      </c>
      <c r="F79" s="20" t="s">
        <v>580</v>
      </c>
      <c r="G79" s="20" t="s">
        <v>581</v>
      </c>
      <c r="H79" s="20" t="s">
        <v>105</v>
      </c>
      <c r="I79" s="20" t="s">
        <v>579</v>
      </c>
      <c r="J79" s="20" t="s">
        <v>580</v>
      </c>
      <c r="K79" s="20" t="s">
        <v>581</v>
      </c>
      <c r="L79" s="20" t="s">
        <v>105</v>
      </c>
      <c r="M79" s="20" t="s">
        <v>579</v>
      </c>
      <c r="N79" s="20" t="s">
        <v>580</v>
      </c>
      <c r="O79" s="20" t="s">
        <v>581</v>
      </c>
      <c r="P79" s="20" t="s">
        <v>105</v>
      </c>
      <c r="Q79" s="20" t="s">
        <v>579</v>
      </c>
      <c r="R79" s="20" t="s">
        <v>580</v>
      </c>
      <c r="S79" s="20" t="s">
        <v>581</v>
      </c>
      <c r="T79" s="20" t="s">
        <v>105</v>
      </c>
      <c r="U79" s="20" t="s">
        <v>579</v>
      </c>
      <c r="V79" s="20" t="s">
        <v>580</v>
      </c>
      <c r="W79" s="20" t="s">
        <v>581</v>
      </c>
      <c r="X79" s="880"/>
    </row>
    <row r="80" spans="1:24" ht="13.5" thickBot="1">
      <c r="A80" s="885"/>
      <c r="B80" s="979"/>
      <c r="C80" s="9" t="s">
        <v>247</v>
      </c>
      <c r="D80" s="104">
        <f>SUM('State DisAgg LFx10 (2015)'!D164:D168)</f>
        <v>0</v>
      </c>
      <c r="E80" s="104">
        <f>SUM('State DisAgg LFx10 (2015)'!E164:E168)</f>
        <v>0</v>
      </c>
      <c r="F80" s="104">
        <f>SUM('State DisAgg LFx10 (2015)'!F164:F168)</f>
        <v>0</v>
      </c>
      <c r="G80" s="104">
        <f>SUM('State DisAgg LFx10 (2015)'!G164:G168)</f>
        <v>0</v>
      </c>
      <c r="H80" s="104">
        <f>SUM('State DisAgg LFx10 (2015)'!H164:H171)</f>
        <v>11</v>
      </c>
      <c r="I80" s="104">
        <f>SUM('State DisAgg LFx10 (2015)'!I164:I171)</f>
        <v>4</v>
      </c>
      <c r="J80" s="104">
        <f>SUM('State DisAgg LFx10 (2015)'!J164:J171)</f>
        <v>1</v>
      </c>
      <c r="K80" s="104">
        <f>SUM('State DisAgg LFx10 (2015)'!K164:K171)</f>
        <v>0</v>
      </c>
      <c r="L80" s="104">
        <f>SUM('State DisAgg LFx10 (2015)'!L164:L173)</f>
        <v>22</v>
      </c>
      <c r="M80" s="104">
        <f>SUM('State DisAgg LFx10 (2015)'!M164:M173)</f>
        <v>11</v>
      </c>
      <c r="N80" s="104">
        <f>SUM('State DisAgg LFx10 (2015)'!N164:N173)</f>
        <v>6</v>
      </c>
      <c r="O80" s="104">
        <f>SUM('State DisAgg LFx10 (2015)'!O164:O173)</f>
        <v>1</v>
      </c>
      <c r="P80" s="150">
        <f>SUM('State DisAgg LFx10 (2015)'!P164:P173)</f>
        <v>43</v>
      </c>
      <c r="Q80" s="150">
        <f>SUM('State DisAgg LFx10 (2015)'!Q164:Q173)</f>
        <v>22</v>
      </c>
      <c r="R80" s="150">
        <f>SUM('State DisAgg LFx10 (2015)'!R164:R173)</f>
        <v>13</v>
      </c>
      <c r="S80" s="150">
        <f>SUM('State DisAgg LFx10 (2015)'!S164:S173)</f>
        <v>4</v>
      </c>
      <c r="T80" s="150">
        <f>SUM('State DisAgg LFx10 (2015)'!T164:T173)</f>
        <v>93</v>
      </c>
      <c r="U80" s="104">
        <f>SUM('State DisAgg LFx10 (2015)'!U164:U173)</f>
        <v>43</v>
      </c>
      <c r="V80" s="104">
        <f>SUM('State DisAgg LFx10 (2015)'!V164:V173)</f>
        <v>31</v>
      </c>
      <c r="W80" s="104">
        <f>SUM('State DisAgg LFx10 (2015)'!W164:W173)</f>
        <v>8</v>
      </c>
      <c r="X80" s="880"/>
    </row>
    <row r="81" spans="1:24" ht="24.75" thickBot="1">
      <c r="A81" s="885"/>
      <c r="B81" s="169" t="s">
        <v>159</v>
      </c>
      <c r="C81" s="102" t="s">
        <v>246</v>
      </c>
      <c r="D81" s="1042" t="s">
        <v>593</v>
      </c>
      <c r="E81" s="1043"/>
      <c r="F81" s="1043"/>
      <c r="G81" s="1044"/>
      <c r="H81" s="105">
        <f>SUM('State DisAgg LFx10 (2015)'!H174:H178)</f>
        <v>10</v>
      </c>
      <c r="I81" s="105">
        <f>SUM('State DisAgg LFx10 (2015)'!I174:I178)</f>
        <v>2</v>
      </c>
      <c r="J81" s="105">
        <f>SUM('State DisAgg LFx10 (2015)'!J174:J178)</f>
        <v>0</v>
      </c>
      <c r="K81" s="105">
        <f>SUM('State DisAgg LFx10 (2015)'!K174:K178)</f>
        <v>0</v>
      </c>
      <c r="L81" s="105">
        <f>SUM('State DisAgg LFx10 (2015)'!L174:L181)</f>
        <v>29</v>
      </c>
      <c r="M81" s="105">
        <f>SUM('State DisAgg LFx10 (2015)'!M174:M181)</f>
        <v>16</v>
      </c>
      <c r="N81" s="105">
        <f>SUM('State DisAgg LFx10 (2015)'!N174:N181)</f>
        <v>6</v>
      </c>
      <c r="O81" s="105">
        <f>SUM('State DisAgg LFx10 (2015)'!O174:O181)</f>
        <v>0</v>
      </c>
      <c r="P81" s="105">
        <f>SUM('State DisAgg LFx10 (2015)'!P174:P183)</f>
        <v>75</v>
      </c>
      <c r="Q81" s="105">
        <f>SUM('State DisAgg LFx10 (2015)'!Q174:Q183)</f>
        <v>39</v>
      </c>
      <c r="R81" s="105">
        <f>SUM('State DisAgg LFx10 (2015)'!R174:R183)</f>
        <v>22</v>
      </c>
      <c r="S81" s="105">
        <f>SUM('State DisAgg LFx10 (2015)'!S174:S183)</f>
        <v>4</v>
      </c>
      <c r="T81" s="105">
        <f>SUM('State DisAgg LFx10 (2015)'!T174:T183)</f>
        <v>0</v>
      </c>
      <c r="U81" s="105">
        <f>SUM('State DisAgg LFx10 (2015)'!U174:U183)</f>
        <v>0</v>
      </c>
      <c r="V81" s="105">
        <f>SUM('State DisAgg LFx10 (2015)'!V174:V183)</f>
        <v>0</v>
      </c>
      <c r="W81" s="105">
        <f>SUM('State DisAgg LFx10 (2015)'!W174:W183)</f>
        <v>0</v>
      </c>
      <c r="X81" s="880"/>
    </row>
    <row r="82" spans="1:24" ht="36.75" thickBot="1">
      <c r="A82" s="885"/>
      <c r="B82" s="239" t="s">
        <v>576</v>
      </c>
      <c r="C82" s="1142" t="s">
        <v>413</v>
      </c>
      <c r="D82" s="927" t="s">
        <v>4</v>
      </c>
      <c r="E82" s="928"/>
      <c r="F82" s="928"/>
      <c r="G82" s="928"/>
      <c r="H82" s="928"/>
      <c r="I82" s="928"/>
      <c r="J82" s="928"/>
      <c r="K82" s="928"/>
      <c r="L82" s="928"/>
      <c r="M82" s="928"/>
      <c r="N82" s="928"/>
      <c r="O82" s="928"/>
      <c r="P82" s="928"/>
      <c r="Q82" s="928"/>
      <c r="R82" s="928"/>
      <c r="S82" s="928"/>
      <c r="T82" s="928"/>
      <c r="U82" s="928"/>
      <c r="V82" s="928"/>
      <c r="W82" s="928"/>
      <c r="X82" s="880"/>
    </row>
    <row r="83" spans="1:24" ht="13.5" thickBot="1">
      <c r="A83" s="869"/>
      <c r="B83" s="240" t="s">
        <v>577</v>
      </c>
      <c r="C83" s="1143"/>
      <c r="D83" s="930" t="s">
        <v>126</v>
      </c>
      <c r="E83" s="931"/>
      <c r="F83" s="931"/>
      <c r="G83" s="931"/>
      <c r="H83" s="931"/>
      <c r="I83" s="931"/>
      <c r="J83" s="931"/>
      <c r="K83" s="931"/>
      <c r="L83" s="931"/>
      <c r="M83" s="931"/>
      <c r="N83" s="931"/>
      <c r="O83" s="931"/>
      <c r="P83" s="931"/>
      <c r="Q83" s="931"/>
      <c r="R83" s="931"/>
      <c r="S83" s="931"/>
      <c r="T83" s="931"/>
      <c r="U83" s="931"/>
      <c r="V83" s="931"/>
      <c r="W83" s="932"/>
      <c r="X83" s="881"/>
    </row>
    <row r="84" spans="1:24" ht="13.5" thickBot="1">
      <c r="A84" s="906" t="s">
        <v>7</v>
      </c>
      <c r="B84" s="908" t="s">
        <v>173</v>
      </c>
      <c r="C84" s="918"/>
      <c r="D84" s="908" t="s">
        <v>8</v>
      </c>
      <c r="E84" s="918"/>
      <c r="F84" s="918"/>
      <c r="G84" s="909"/>
      <c r="H84" s="908" t="s">
        <v>88</v>
      </c>
      <c r="I84" s="918"/>
      <c r="J84" s="918"/>
      <c r="K84" s="909"/>
      <c r="L84" s="908" t="s">
        <v>89</v>
      </c>
      <c r="M84" s="918"/>
      <c r="N84" s="918"/>
      <c r="O84" s="909"/>
      <c r="P84" s="908" t="s">
        <v>9</v>
      </c>
      <c r="Q84" s="918"/>
      <c r="R84" s="918"/>
      <c r="S84" s="909"/>
      <c r="T84" s="908" t="s">
        <v>174</v>
      </c>
      <c r="U84" s="918"/>
      <c r="V84" s="918"/>
      <c r="W84" s="918"/>
      <c r="X84" s="909"/>
    </row>
    <row r="85" spans="1:24" ht="13.5" thickBot="1">
      <c r="A85" s="907"/>
      <c r="B85" s="975" t="e">
        <f>SUM(B114+B143+B180+B228+B246)</f>
        <v>#VALUE!</v>
      </c>
      <c r="C85" s="977"/>
      <c r="D85" s="975">
        <f>SUM(D114+D143+D180+D228+D246)</f>
        <v>2100000</v>
      </c>
      <c r="E85" s="977"/>
      <c r="F85" s="977">
        <f>SUM(F114+F143+F180+F228+F246)</f>
        <v>0</v>
      </c>
      <c r="G85" s="976"/>
      <c r="H85" s="975">
        <f>SUM(H114+H143+H180+H228+H246)</f>
        <v>13000000</v>
      </c>
      <c r="I85" s="977"/>
      <c r="J85" s="977">
        <f>SUM(J114+J143+J180+J228+J246)</f>
        <v>0</v>
      </c>
      <c r="K85" s="976"/>
      <c r="L85" s="975">
        <f>SUM(L114+L143+L180+L228+L246)</f>
        <v>9200000</v>
      </c>
      <c r="M85" s="977"/>
      <c r="N85" s="977">
        <f>SUM(N114+N143+N180+N228+N246)</f>
        <v>0</v>
      </c>
      <c r="O85" s="976"/>
      <c r="P85" s="975" t="e">
        <f>SUM(B85:O85)</f>
        <v>#VALUE!</v>
      </c>
      <c r="Q85" s="977"/>
      <c r="R85" s="977"/>
      <c r="S85" s="976"/>
      <c r="T85" s="942" t="e">
        <f>B85/P85%</f>
        <v>#VALUE!</v>
      </c>
      <c r="U85" s="943"/>
      <c r="V85" s="943"/>
      <c r="W85" s="943"/>
      <c r="X85" s="944"/>
    </row>
    <row r="86" spans="1:24" ht="13.5" thickBot="1">
      <c r="A86" s="906" t="s">
        <v>10</v>
      </c>
      <c r="B86" s="908" t="s">
        <v>175</v>
      </c>
      <c r="C86" s="918"/>
      <c r="D86" s="910"/>
      <c r="E86" s="911"/>
      <c r="F86" s="911"/>
      <c r="G86" s="911"/>
      <c r="H86" s="911"/>
      <c r="I86" s="911"/>
      <c r="J86" s="911"/>
      <c r="K86" s="911"/>
      <c r="L86" s="911"/>
      <c r="M86" s="911"/>
      <c r="N86" s="911"/>
      <c r="O86" s="911"/>
      <c r="P86" s="911"/>
      <c r="Q86" s="911"/>
      <c r="R86" s="911"/>
      <c r="S86" s="911"/>
      <c r="T86" s="911"/>
      <c r="U86" s="911"/>
      <c r="V86" s="911"/>
      <c r="W86" s="911"/>
      <c r="X86" s="912"/>
    </row>
    <row r="87" spans="1:24" ht="13.5" thickBot="1">
      <c r="A87" s="907"/>
      <c r="B87" s="916">
        <f>SUM(B116+B145+B182+B230+B248)</f>
        <v>0</v>
      </c>
      <c r="C87" s="994"/>
      <c r="D87" s="913"/>
      <c r="E87" s="914"/>
      <c r="F87" s="914"/>
      <c r="G87" s="914"/>
      <c r="H87" s="914"/>
      <c r="I87" s="914"/>
      <c r="J87" s="914"/>
      <c r="K87" s="914"/>
      <c r="L87" s="914"/>
      <c r="M87" s="914"/>
      <c r="N87" s="914"/>
      <c r="O87" s="914"/>
      <c r="P87" s="914"/>
      <c r="Q87" s="914"/>
      <c r="R87" s="914"/>
      <c r="S87" s="914"/>
      <c r="T87" s="914"/>
      <c r="U87" s="914"/>
      <c r="V87" s="914"/>
      <c r="W87" s="914"/>
      <c r="X87" s="915"/>
    </row>
    <row r="88" spans="1:24">
      <c r="A88" s="5"/>
      <c r="B88" s="5"/>
      <c r="C88" s="6"/>
      <c r="D88" s="5"/>
      <c r="E88" s="5"/>
      <c r="F88" s="5"/>
      <c r="G88" s="5"/>
      <c r="H88" s="5"/>
      <c r="I88" s="5"/>
      <c r="J88" s="5"/>
      <c r="K88" s="5"/>
      <c r="L88" s="5"/>
      <c r="M88" s="5"/>
      <c r="N88" s="5"/>
      <c r="O88" s="5"/>
      <c r="P88" s="5"/>
      <c r="Q88" s="5"/>
      <c r="R88" s="5"/>
      <c r="S88" s="5"/>
      <c r="T88" s="5"/>
      <c r="U88" s="5"/>
      <c r="V88" s="5"/>
      <c r="W88" s="5"/>
      <c r="X88" s="5"/>
    </row>
    <row r="89" spans="1:24" ht="13.5" thickBot="1">
      <c r="A89" s="21"/>
      <c r="B89" s="21"/>
      <c r="C89" s="22"/>
      <c r="D89" s="21"/>
      <c r="E89" s="21"/>
      <c r="F89" s="21"/>
      <c r="G89" s="21"/>
      <c r="H89" s="21"/>
      <c r="I89" s="21"/>
      <c r="J89" s="21"/>
      <c r="K89" s="21"/>
      <c r="L89" s="21"/>
      <c r="M89" s="21"/>
      <c r="N89" s="21"/>
      <c r="O89" s="21"/>
      <c r="P89" s="21"/>
      <c r="Q89" s="21"/>
      <c r="R89" s="21"/>
      <c r="S89" s="21"/>
      <c r="T89" s="21"/>
      <c r="U89" s="21"/>
      <c r="V89" s="21"/>
      <c r="W89" s="21"/>
      <c r="X89" s="21"/>
    </row>
    <row r="90" spans="1:24" ht="13.5" thickBot="1">
      <c r="A90" s="95" t="s">
        <v>11</v>
      </c>
      <c r="B90" s="97" t="s">
        <v>16</v>
      </c>
      <c r="C90" s="8"/>
      <c r="D90" s="927" t="s">
        <v>78</v>
      </c>
      <c r="E90" s="928"/>
      <c r="F90" s="928"/>
      <c r="G90" s="929"/>
      <c r="H90" s="927" t="s">
        <v>77</v>
      </c>
      <c r="I90" s="928"/>
      <c r="J90" s="928"/>
      <c r="K90" s="929"/>
      <c r="L90" s="927" t="s">
        <v>81</v>
      </c>
      <c r="M90" s="928"/>
      <c r="N90" s="928"/>
      <c r="O90" s="929"/>
      <c r="P90" s="927" t="s">
        <v>254</v>
      </c>
      <c r="Q90" s="928"/>
      <c r="R90" s="928"/>
      <c r="S90" s="929"/>
      <c r="T90" s="927" t="s">
        <v>76</v>
      </c>
      <c r="U90" s="928"/>
      <c r="V90" s="928"/>
      <c r="W90" s="929"/>
      <c r="X90" s="16" t="s">
        <v>12</v>
      </c>
    </row>
    <row r="91" spans="1:24" ht="13.5" thickBot="1">
      <c r="A91" s="868" t="s">
        <v>57</v>
      </c>
      <c r="B91" s="868" t="s">
        <v>58</v>
      </c>
      <c r="C91" s="9" t="s">
        <v>235</v>
      </c>
      <c r="D91" s="942">
        <f>SUM('State DisAgg LFx10 (2015)'!D193:G197)/5</f>
        <v>1</v>
      </c>
      <c r="E91" s="943"/>
      <c r="F91" s="943"/>
      <c r="G91" s="944"/>
      <c r="H91" s="942">
        <f>SUM('State DisAgg LFx10 (2015)'!H193:K197)/5</f>
        <v>2</v>
      </c>
      <c r="I91" s="943"/>
      <c r="J91" s="943"/>
      <c r="K91" s="944"/>
      <c r="L91" s="942">
        <f>SUM('State DisAgg LFx10 (2015)'!L193:O197)/5</f>
        <v>2.7</v>
      </c>
      <c r="M91" s="943"/>
      <c r="N91" s="943"/>
      <c r="O91" s="944"/>
      <c r="P91" s="963">
        <f>SUM('State DisAgg LFx10 (2015)'!P193:S197)/5</f>
        <v>3.22</v>
      </c>
      <c r="Q91" s="964"/>
      <c r="R91" s="964"/>
      <c r="S91" s="965"/>
      <c r="T91" s="963">
        <f>SUM('State DisAgg LFx10 (2015)'!T193:W197)/5</f>
        <v>4.08</v>
      </c>
      <c r="U91" s="964"/>
      <c r="V91" s="964"/>
      <c r="W91" s="965"/>
      <c r="X91" s="879" t="s">
        <v>97</v>
      </c>
    </row>
    <row r="92" spans="1:24" ht="13.5" thickBot="1">
      <c r="A92" s="885"/>
      <c r="B92" s="885"/>
      <c r="C92" s="9" t="s">
        <v>233</v>
      </c>
      <c r="D92" s="966" t="s">
        <v>255</v>
      </c>
      <c r="E92" s="967"/>
      <c r="F92" s="967"/>
      <c r="G92" s="968"/>
      <c r="H92" s="942">
        <f>SUM('State DisAgg LFx10 (2015)'!H198:K200)/3</f>
        <v>1</v>
      </c>
      <c r="I92" s="943"/>
      <c r="J92" s="943"/>
      <c r="K92" s="944"/>
      <c r="L92" s="942">
        <f>SUM('State DisAgg LFx10 (2015)'!L198:O200)/3</f>
        <v>1.1666666666666667</v>
      </c>
      <c r="M92" s="943"/>
      <c r="N92" s="943"/>
      <c r="O92" s="944"/>
      <c r="P92" s="963">
        <f>SUM('State DisAgg LFx10 (2015)'!P198:S200)/3</f>
        <v>1.5</v>
      </c>
      <c r="Q92" s="964"/>
      <c r="R92" s="964"/>
      <c r="S92" s="965"/>
      <c r="T92" s="963">
        <f>SUM('State DisAgg LFx10 (2015)'!T198:W200)/3</f>
        <v>2.7666666666666671</v>
      </c>
      <c r="U92" s="964"/>
      <c r="V92" s="964"/>
      <c r="W92" s="965"/>
      <c r="X92" s="880"/>
    </row>
    <row r="93" spans="1:24" ht="12.95" customHeight="1" thickBot="1">
      <c r="A93" s="885"/>
      <c r="B93" s="885"/>
      <c r="C93" s="9" t="s">
        <v>234</v>
      </c>
      <c r="D93" s="957"/>
      <c r="E93" s="958"/>
      <c r="F93" s="958"/>
      <c r="G93" s="959"/>
      <c r="H93" s="1048"/>
      <c r="I93" s="1049"/>
      <c r="J93" s="1049"/>
      <c r="K93" s="1050"/>
      <c r="L93" s="1057" t="s">
        <v>909</v>
      </c>
      <c r="M93" s="1058"/>
      <c r="N93" s="1058"/>
      <c r="O93" s="1059"/>
      <c r="P93" s="963">
        <f>SUM('State DisAgg LFx10 (2015)'!P201:S202)/2</f>
        <v>1.1499999999999999</v>
      </c>
      <c r="Q93" s="964"/>
      <c r="R93" s="964"/>
      <c r="S93" s="965"/>
      <c r="T93" s="963">
        <f>SUM('State DisAgg LFx10 (2015)'!T201:W202)/2</f>
        <v>1.55</v>
      </c>
      <c r="U93" s="964"/>
      <c r="V93" s="964"/>
      <c r="W93" s="965"/>
      <c r="X93" s="880"/>
    </row>
    <row r="94" spans="1:24" ht="13.5" thickBot="1">
      <c r="A94" s="885"/>
      <c r="B94" s="885"/>
      <c r="C94" s="102" t="s">
        <v>236</v>
      </c>
      <c r="D94" s="1008" t="s">
        <v>585</v>
      </c>
      <c r="E94" s="1009"/>
      <c r="F94" s="1009"/>
      <c r="G94" s="1010"/>
      <c r="H94" s="1147">
        <f>SUM('State DisAgg LFx10 (2015)'!H203:K207)/5</f>
        <v>2.08</v>
      </c>
      <c r="I94" s="1148"/>
      <c r="J94" s="1148"/>
      <c r="K94" s="1149"/>
      <c r="L94" s="1147">
        <f>SUM('State DisAgg LFx10 (2015)'!L203:O207)/5</f>
        <v>2.52</v>
      </c>
      <c r="M94" s="1148"/>
      <c r="N94" s="1148"/>
      <c r="O94" s="1149"/>
      <c r="P94" s="1147">
        <f>SUM('State DisAgg LFx10 (2015)'!P203:S207)/5</f>
        <v>3.2600000000000002</v>
      </c>
      <c r="Q94" s="1148"/>
      <c r="R94" s="1148"/>
      <c r="S94" s="1149"/>
      <c r="T94" s="1147">
        <f>SUM('State DisAgg LFx10 (2015)'!T203:W207)/5</f>
        <v>0</v>
      </c>
      <c r="U94" s="1148"/>
      <c r="V94" s="1148"/>
      <c r="W94" s="1149"/>
      <c r="X94" s="880"/>
    </row>
    <row r="95" spans="1:24" ht="13.5" thickBot="1">
      <c r="A95" s="885"/>
      <c r="B95" s="885"/>
      <c r="C95" s="102" t="s">
        <v>283</v>
      </c>
      <c r="D95" s="1017"/>
      <c r="E95" s="1018"/>
      <c r="F95" s="1018"/>
      <c r="G95" s="1019"/>
      <c r="H95" s="1017"/>
      <c r="I95" s="1018"/>
      <c r="J95" s="1018"/>
      <c r="K95" s="1019"/>
      <c r="L95" s="1147">
        <f>SUM('State DisAgg LFx10 (2015)'!L208:O210)/3</f>
        <v>1.1666666666666667</v>
      </c>
      <c r="M95" s="1148"/>
      <c r="N95" s="1148"/>
      <c r="O95" s="1149"/>
      <c r="P95" s="1147">
        <f>SUM('State DisAgg LFx10 (2015)'!P208:S210)/3</f>
        <v>1.4666666666666668</v>
      </c>
      <c r="Q95" s="1148"/>
      <c r="R95" s="1148"/>
      <c r="S95" s="1149"/>
      <c r="T95" s="1147">
        <f>SUM('State DisAgg LFx10 (2015)'!T208:W210)/3</f>
        <v>0</v>
      </c>
      <c r="U95" s="1148"/>
      <c r="V95" s="1148"/>
      <c r="W95" s="1149"/>
      <c r="X95" s="880"/>
    </row>
    <row r="96" spans="1:24" ht="13.5" thickBot="1">
      <c r="A96" s="885"/>
      <c r="B96" s="885"/>
      <c r="C96" s="102" t="s">
        <v>284</v>
      </c>
      <c r="D96" s="1017"/>
      <c r="E96" s="1018"/>
      <c r="F96" s="1018"/>
      <c r="G96" s="1019"/>
      <c r="H96" s="1017"/>
      <c r="I96" s="1018"/>
      <c r="J96" s="1018"/>
      <c r="K96" s="1019"/>
      <c r="L96" s="1017"/>
      <c r="M96" s="1018"/>
      <c r="N96" s="1018"/>
      <c r="O96" s="1019"/>
      <c r="P96" s="1017"/>
      <c r="Q96" s="1018"/>
      <c r="R96" s="1018"/>
      <c r="S96" s="1019"/>
      <c r="T96" s="1147">
        <f>SUM('State DisAgg LFx10 (2015)'!T211:W212)/2</f>
        <v>0</v>
      </c>
      <c r="U96" s="1148"/>
      <c r="V96" s="1148"/>
      <c r="W96" s="1149"/>
      <c r="X96" s="880"/>
    </row>
    <row r="97" spans="1:24" ht="13.5" thickBot="1">
      <c r="A97" s="885"/>
      <c r="B97" s="885"/>
      <c r="C97" s="1142" t="s">
        <v>413</v>
      </c>
      <c r="D97" s="927" t="s">
        <v>4</v>
      </c>
      <c r="E97" s="928"/>
      <c r="F97" s="928"/>
      <c r="G97" s="928"/>
      <c r="H97" s="928"/>
      <c r="I97" s="928"/>
      <c r="J97" s="928"/>
      <c r="K97" s="928"/>
      <c r="L97" s="928"/>
      <c r="M97" s="928"/>
      <c r="N97" s="928"/>
      <c r="O97" s="928"/>
      <c r="P97" s="928"/>
      <c r="Q97" s="928"/>
      <c r="R97" s="928"/>
      <c r="S97" s="928"/>
      <c r="T97" s="928"/>
      <c r="U97" s="928"/>
      <c r="V97" s="928"/>
      <c r="W97" s="929"/>
      <c r="X97" s="880"/>
    </row>
    <row r="98" spans="1:24" ht="24" customHeight="1" thickBot="1">
      <c r="A98" s="885"/>
      <c r="B98" s="869"/>
      <c r="C98" s="1143"/>
      <c r="D98" s="930" t="s">
        <v>120</v>
      </c>
      <c r="E98" s="931"/>
      <c r="F98" s="931"/>
      <c r="G98" s="931"/>
      <c r="H98" s="931"/>
      <c r="I98" s="931"/>
      <c r="J98" s="931"/>
      <c r="K98" s="931"/>
      <c r="L98" s="931"/>
      <c r="M98" s="931"/>
      <c r="N98" s="931"/>
      <c r="O98" s="931"/>
      <c r="P98" s="931"/>
      <c r="Q98" s="931"/>
      <c r="R98" s="931"/>
      <c r="S98" s="931"/>
      <c r="T98" s="931"/>
      <c r="U98" s="931"/>
      <c r="V98" s="931"/>
      <c r="W98" s="932"/>
      <c r="X98" s="880"/>
    </row>
    <row r="99" spans="1:24" ht="13.5" thickBot="1">
      <c r="A99" s="885"/>
      <c r="B99" s="11" t="s">
        <v>17</v>
      </c>
      <c r="C99" s="12"/>
      <c r="D99" s="927" t="s">
        <v>78</v>
      </c>
      <c r="E99" s="928"/>
      <c r="F99" s="928"/>
      <c r="G99" s="929"/>
      <c r="H99" s="927" t="s">
        <v>77</v>
      </c>
      <c r="I99" s="928"/>
      <c r="J99" s="928"/>
      <c r="K99" s="929"/>
      <c r="L99" s="927" t="s">
        <v>81</v>
      </c>
      <c r="M99" s="928"/>
      <c r="N99" s="928"/>
      <c r="O99" s="929"/>
      <c r="P99" s="927" t="s">
        <v>254</v>
      </c>
      <c r="Q99" s="928"/>
      <c r="R99" s="928"/>
      <c r="S99" s="929"/>
      <c r="T99" s="927" t="s">
        <v>76</v>
      </c>
      <c r="U99" s="928"/>
      <c r="V99" s="928"/>
      <c r="W99" s="929"/>
      <c r="X99" s="880"/>
    </row>
    <row r="100" spans="1:24" ht="13.5" thickBot="1">
      <c r="A100" s="885"/>
      <c r="B100" s="868" t="s">
        <v>59</v>
      </c>
      <c r="C100" s="9" t="s">
        <v>235</v>
      </c>
      <c r="D100" s="942">
        <f>SUM('State DisAgg LFx10 (2015)'!D216:G220)/5</f>
        <v>1.1000000000000001</v>
      </c>
      <c r="E100" s="943"/>
      <c r="F100" s="943"/>
      <c r="G100" s="944"/>
      <c r="H100" s="942">
        <f>SUM('State DisAgg LFx10 (2015)'!H216:K220)/5</f>
        <v>1.6</v>
      </c>
      <c r="I100" s="943"/>
      <c r="J100" s="943"/>
      <c r="K100" s="944"/>
      <c r="L100" s="942">
        <f>SUM('State DisAgg LFx10 (2015)'!L216:O220)/5</f>
        <v>2.7</v>
      </c>
      <c r="M100" s="943"/>
      <c r="N100" s="943"/>
      <c r="O100" s="944"/>
      <c r="P100" s="963">
        <f>SUM('State DisAgg LFx10 (2015)'!P216:S220)/5</f>
        <v>3.3</v>
      </c>
      <c r="Q100" s="964"/>
      <c r="R100" s="964"/>
      <c r="S100" s="965"/>
      <c r="T100" s="963">
        <f>SUM('State DisAgg LFx10 (2015)'!T216:W220)/5</f>
        <v>4.0999999999999996</v>
      </c>
      <c r="U100" s="964"/>
      <c r="V100" s="964"/>
      <c r="W100" s="965"/>
      <c r="X100" s="880"/>
    </row>
    <row r="101" spans="1:24" ht="13.5" thickBot="1">
      <c r="A101" s="885"/>
      <c r="B101" s="885"/>
      <c r="C101" s="9" t="s">
        <v>233</v>
      </c>
      <c r="D101" s="966" t="s">
        <v>255</v>
      </c>
      <c r="E101" s="967"/>
      <c r="F101" s="967"/>
      <c r="G101" s="968"/>
      <c r="H101" s="942">
        <f>SUM('State DisAgg LFx10 (2015)'!H221:K223)/3</f>
        <v>1</v>
      </c>
      <c r="I101" s="943"/>
      <c r="J101" s="943"/>
      <c r="K101" s="944"/>
      <c r="L101" s="942">
        <f>SUM('State DisAgg LFx10 (2015)'!L221:O223)/3</f>
        <v>1</v>
      </c>
      <c r="M101" s="943"/>
      <c r="N101" s="943"/>
      <c r="O101" s="944"/>
      <c r="P101" s="963">
        <f>SUM('State DisAgg LFx10 (2015)'!P221:S223)/3</f>
        <v>1.3999999999999997</v>
      </c>
      <c r="Q101" s="964"/>
      <c r="R101" s="964"/>
      <c r="S101" s="965"/>
      <c r="T101" s="963">
        <f>SUM('State DisAgg LFx10 (2015)'!T221:W223)/3</f>
        <v>2.8333333333333335</v>
      </c>
      <c r="U101" s="964"/>
      <c r="V101" s="964"/>
      <c r="W101" s="965"/>
      <c r="X101" s="880"/>
    </row>
    <row r="102" spans="1:24" ht="12.95" customHeight="1" thickBot="1">
      <c r="A102" s="885"/>
      <c r="B102" s="885"/>
      <c r="C102" s="9" t="s">
        <v>234</v>
      </c>
      <c r="D102" s="957"/>
      <c r="E102" s="958"/>
      <c r="F102" s="958"/>
      <c r="G102" s="959"/>
      <c r="H102" s="1048"/>
      <c r="I102" s="1049"/>
      <c r="J102" s="1049"/>
      <c r="K102" s="1050"/>
      <c r="L102" s="1057" t="s">
        <v>909</v>
      </c>
      <c r="M102" s="1058"/>
      <c r="N102" s="1058"/>
      <c r="O102" s="1059"/>
      <c r="P102" s="963">
        <f>SUM('State DisAgg LFx10 (2015)'!P224:S225)/2</f>
        <v>1.5</v>
      </c>
      <c r="Q102" s="964"/>
      <c r="R102" s="964"/>
      <c r="S102" s="965"/>
      <c r="T102" s="963">
        <f>SUM('State DisAgg LFx10 (2015)'!T224:W225)/2</f>
        <v>1.9</v>
      </c>
      <c r="U102" s="964"/>
      <c r="V102" s="964"/>
      <c r="W102" s="965"/>
      <c r="X102" s="880"/>
    </row>
    <row r="103" spans="1:24" ht="13.5" thickBot="1">
      <c r="A103" s="885"/>
      <c r="B103" s="885"/>
      <c r="C103" s="102" t="s">
        <v>236</v>
      </c>
      <c r="D103" s="1008" t="s">
        <v>586</v>
      </c>
      <c r="E103" s="1009"/>
      <c r="F103" s="1009"/>
      <c r="G103" s="1010"/>
      <c r="H103" s="1147">
        <f>SUM('State DisAgg LFx10 (2015)'!H226:K230)/5</f>
        <v>1.48</v>
      </c>
      <c r="I103" s="1148"/>
      <c r="J103" s="1148"/>
      <c r="K103" s="1149"/>
      <c r="L103" s="1147">
        <f>SUM('State DisAgg LFx10 (2015)'!L226:O230)/5</f>
        <v>2.8400000000000003</v>
      </c>
      <c r="M103" s="1148"/>
      <c r="N103" s="1148"/>
      <c r="O103" s="1149"/>
      <c r="P103" s="1147">
        <f>SUM('State DisAgg LFx10 (2015)'!P226:S230)/5</f>
        <v>3.3600000000000003</v>
      </c>
      <c r="Q103" s="1148"/>
      <c r="R103" s="1148"/>
      <c r="S103" s="1149"/>
      <c r="T103" s="1147">
        <f>SUM('State DisAgg LFx10 (2015)'!T226:W230)/5</f>
        <v>0</v>
      </c>
      <c r="U103" s="1148"/>
      <c r="V103" s="1148"/>
      <c r="W103" s="1149"/>
      <c r="X103" s="880"/>
    </row>
    <row r="104" spans="1:24" ht="13.5" thickBot="1">
      <c r="A104" s="885"/>
      <c r="B104" s="885"/>
      <c r="C104" s="102" t="s">
        <v>283</v>
      </c>
      <c r="D104" s="1017"/>
      <c r="E104" s="1018"/>
      <c r="F104" s="1018"/>
      <c r="G104" s="1019"/>
      <c r="H104" s="1017"/>
      <c r="I104" s="1018"/>
      <c r="J104" s="1018"/>
      <c r="K104" s="1019"/>
      <c r="L104" s="1147">
        <f>SUM('State DisAgg LFx10 (2015)'!L231:O233)/3</f>
        <v>1</v>
      </c>
      <c r="M104" s="1148"/>
      <c r="N104" s="1148"/>
      <c r="O104" s="1149"/>
      <c r="P104" s="1147">
        <f>SUM('State DisAgg LFx10 (2015)'!P231:S233)/3</f>
        <v>1.2666666666666668</v>
      </c>
      <c r="Q104" s="1148"/>
      <c r="R104" s="1148"/>
      <c r="S104" s="1149"/>
      <c r="T104" s="1147">
        <f>SUM('State DisAgg LFx10 (2015)'!T231:W233)/3</f>
        <v>0</v>
      </c>
      <c r="U104" s="1148"/>
      <c r="V104" s="1148"/>
      <c r="W104" s="1149"/>
      <c r="X104" s="880"/>
    </row>
    <row r="105" spans="1:24" ht="13.5" thickBot="1">
      <c r="A105" s="885"/>
      <c r="B105" s="885"/>
      <c r="C105" s="102" t="s">
        <v>284</v>
      </c>
      <c r="D105" s="1017"/>
      <c r="E105" s="1018"/>
      <c r="F105" s="1018"/>
      <c r="G105" s="1019"/>
      <c r="H105" s="1017"/>
      <c r="I105" s="1018"/>
      <c r="J105" s="1018"/>
      <c r="K105" s="1019"/>
      <c r="L105" s="1017"/>
      <c r="M105" s="1018"/>
      <c r="N105" s="1018"/>
      <c r="O105" s="1019"/>
      <c r="P105" s="1017"/>
      <c r="Q105" s="1018"/>
      <c r="R105" s="1018"/>
      <c r="S105" s="1019"/>
      <c r="T105" s="1147">
        <f>SUM('State DisAgg LFx10 (2015)'!T234:W235)/2</f>
        <v>0</v>
      </c>
      <c r="U105" s="1148"/>
      <c r="V105" s="1148"/>
      <c r="W105" s="1149"/>
      <c r="X105" s="880"/>
    </row>
    <row r="106" spans="1:24" ht="13.5" thickBot="1">
      <c r="A106" s="885"/>
      <c r="B106" s="885"/>
      <c r="C106" s="1142" t="s">
        <v>413</v>
      </c>
      <c r="D106" s="927" t="s">
        <v>4</v>
      </c>
      <c r="E106" s="928"/>
      <c r="F106" s="928"/>
      <c r="G106" s="928"/>
      <c r="H106" s="928"/>
      <c r="I106" s="928"/>
      <c r="J106" s="928"/>
      <c r="K106" s="928"/>
      <c r="L106" s="928"/>
      <c r="M106" s="928"/>
      <c r="N106" s="928"/>
      <c r="O106" s="928"/>
      <c r="P106" s="928"/>
      <c r="Q106" s="928"/>
      <c r="R106" s="928"/>
      <c r="S106" s="928"/>
      <c r="T106" s="928"/>
      <c r="U106" s="928"/>
      <c r="V106" s="928"/>
      <c r="W106" s="929"/>
      <c r="X106" s="880"/>
    </row>
    <row r="107" spans="1:24" ht="13.5" thickBot="1">
      <c r="A107" s="885"/>
      <c r="B107" s="869"/>
      <c r="C107" s="1143"/>
      <c r="D107" s="930" t="s">
        <v>118</v>
      </c>
      <c r="E107" s="931"/>
      <c r="F107" s="931"/>
      <c r="G107" s="931"/>
      <c r="H107" s="931"/>
      <c r="I107" s="931"/>
      <c r="J107" s="931"/>
      <c r="K107" s="931"/>
      <c r="L107" s="931"/>
      <c r="M107" s="931"/>
      <c r="N107" s="931"/>
      <c r="O107" s="931"/>
      <c r="P107" s="931"/>
      <c r="Q107" s="931"/>
      <c r="R107" s="931"/>
      <c r="S107" s="931"/>
      <c r="T107" s="931"/>
      <c r="U107" s="931"/>
      <c r="V107" s="931"/>
      <c r="W107" s="932"/>
      <c r="X107" s="880"/>
    </row>
    <row r="108" spans="1:24" ht="13.5" thickBot="1">
      <c r="A108" s="885"/>
      <c r="B108" s="11" t="s">
        <v>18</v>
      </c>
      <c r="C108" s="12"/>
      <c r="D108" s="927" t="s">
        <v>78</v>
      </c>
      <c r="E108" s="928"/>
      <c r="F108" s="928"/>
      <c r="G108" s="929"/>
      <c r="H108" s="927" t="s">
        <v>77</v>
      </c>
      <c r="I108" s="928"/>
      <c r="J108" s="928"/>
      <c r="K108" s="929"/>
      <c r="L108" s="927" t="s">
        <v>81</v>
      </c>
      <c r="M108" s="928"/>
      <c r="N108" s="928"/>
      <c r="O108" s="929"/>
      <c r="P108" s="927" t="s">
        <v>254</v>
      </c>
      <c r="Q108" s="928"/>
      <c r="R108" s="928"/>
      <c r="S108" s="929"/>
      <c r="T108" s="927" t="s">
        <v>76</v>
      </c>
      <c r="U108" s="928"/>
      <c r="V108" s="928"/>
      <c r="W108" s="929"/>
      <c r="X108" s="880"/>
    </row>
    <row r="109" spans="1:24" ht="13.5" thickBot="1">
      <c r="A109" s="885"/>
      <c r="B109" s="868" t="s">
        <v>60</v>
      </c>
      <c r="C109" s="9" t="s">
        <v>247</v>
      </c>
      <c r="D109" s="924">
        <f>SUM('State DisAgg LFx10 (2015)'!D239:G243)</f>
        <v>1</v>
      </c>
      <c r="E109" s="925"/>
      <c r="F109" s="925"/>
      <c r="G109" s="926"/>
      <c r="H109" s="924">
        <f>SUM('State DisAgg LFx10 (2015)'!H239:K246)</f>
        <v>8</v>
      </c>
      <c r="I109" s="925"/>
      <c r="J109" s="925"/>
      <c r="K109" s="926"/>
      <c r="L109" s="924">
        <f>SUM('State DisAgg LFx10 (2015)'!L239:O248)</f>
        <v>17</v>
      </c>
      <c r="M109" s="925"/>
      <c r="N109" s="925"/>
      <c r="O109" s="926"/>
      <c r="P109" s="939">
        <f>SUM('State DisAgg LFx10 (2015)'!P239:S248)</f>
        <v>19</v>
      </c>
      <c r="Q109" s="940"/>
      <c r="R109" s="940"/>
      <c r="S109" s="941"/>
      <c r="T109" s="939">
        <f>SUM('State DisAgg LFx10 (2015)'!T239:W248)</f>
        <v>54</v>
      </c>
      <c r="U109" s="940"/>
      <c r="V109" s="940"/>
      <c r="W109" s="941"/>
      <c r="X109" s="880"/>
    </row>
    <row r="110" spans="1:24" ht="13.5" thickBot="1">
      <c r="A110" s="869"/>
      <c r="B110" s="885"/>
      <c r="C110" s="102" t="s">
        <v>246</v>
      </c>
      <c r="D110" s="1003" t="s">
        <v>172</v>
      </c>
      <c r="E110" s="1004"/>
      <c r="F110" s="1004"/>
      <c r="G110" s="1005"/>
      <c r="H110" s="1003" t="s">
        <v>417</v>
      </c>
      <c r="I110" s="1004"/>
      <c r="J110" s="1004"/>
      <c r="K110" s="1005"/>
      <c r="L110" s="1140">
        <f>SUM('State DisAgg LFx10 (2015)'!L249:O256)</f>
        <v>11</v>
      </c>
      <c r="M110" s="1156"/>
      <c r="N110" s="1156"/>
      <c r="O110" s="1141"/>
      <c r="P110" s="1140">
        <f>SUM('State DisAgg LFx10 (2015)'!P249:S258)</f>
        <v>38</v>
      </c>
      <c r="Q110" s="1156"/>
      <c r="R110" s="1156"/>
      <c r="S110" s="1141"/>
      <c r="T110" s="1140">
        <f>SUM('State DisAgg LFx10 (2015)'!T249:W258)</f>
        <v>0</v>
      </c>
      <c r="U110" s="1156"/>
      <c r="V110" s="1156"/>
      <c r="W110" s="1141"/>
      <c r="X110" s="881"/>
    </row>
    <row r="111" spans="1:24" ht="13.5" thickBot="1">
      <c r="A111" s="96" t="s">
        <v>13</v>
      </c>
      <c r="B111" s="885"/>
      <c r="C111" s="1142" t="s">
        <v>413</v>
      </c>
      <c r="D111" s="927" t="s">
        <v>4</v>
      </c>
      <c r="E111" s="928"/>
      <c r="F111" s="928"/>
      <c r="G111" s="928"/>
      <c r="H111" s="928"/>
      <c r="I111" s="928"/>
      <c r="J111" s="928"/>
      <c r="K111" s="928"/>
      <c r="L111" s="928"/>
      <c r="M111" s="928"/>
      <c r="N111" s="928"/>
      <c r="O111" s="928"/>
      <c r="P111" s="928"/>
      <c r="Q111" s="928"/>
      <c r="R111" s="928"/>
      <c r="S111" s="928"/>
      <c r="T111" s="928"/>
      <c r="U111" s="928"/>
      <c r="V111" s="928"/>
      <c r="W111" s="929"/>
      <c r="X111" s="24" t="s">
        <v>14</v>
      </c>
    </row>
    <row r="112" spans="1:24" ht="13.5" thickBot="1">
      <c r="A112" s="25" t="s">
        <v>75</v>
      </c>
      <c r="B112" s="869"/>
      <c r="C112" s="1143"/>
      <c r="D112" s="930" t="s">
        <v>119</v>
      </c>
      <c r="E112" s="931"/>
      <c r="F112" s="931"/>
      <c r="G112" s="931"/>
      <c r="H112" s="931"/>
      <c r="I112" s="931"/>
      <c r="J112" s="931"/>
      <c r="K112" s="931"/>
      <c r="L112" s="931"/>
      <c r="M112" s="931"/>
      <c r="N112" s="931"/>
      <c r="O112" s="931"/>
      <c r="P112" s="931"/>
      <c r="Q112" s="931"/>
      <c r="R112" s="931"/>
      <c r="S112" s="931"/>
      <c r="T112" s="931"/>
      <c r="U112" s="931"/>
      <c r="V112" s="931"/>
      <c r="W112" s="932"/>
      <c r="X112" s="18" t="s">
        <v>92</v>
      </c>
    </row>
    <row r="113" spans="1:24" ht="13.5" thickBot="1">
      <c r="A113" s="906" t="s">
        <v>7</v>
      </c>
      <c r="B113" s="908" t="s">
        <v>173</v>
      </c>
      <c r="C113" s="918"/>
      <c r="D113" s="908" t="s">
        <v>8</v>
      </c>
      <c r="E113" s="918"/>
      <c r="F113" s="918"/>
      <c r="G113" s="909"/>
      <c r="H113" s="908" t="s">
        <v>88</v>
      </c>
      <c r="I113" s="918"/>
      <c r="J113" s="918"/>
      <c r="K113" s="909"/>
      <c r="L113" s="908" t="s">
        <v>89</v>
      </c>
      <c r="M113" s="918"/>
      <c r="N113" s="918"/>
      <c r="O113" s="909"/>
      <c r="P113" s="908" t="s">
        <v>9</v>
      </c>
      <c r="Q113" s="918"/>
      <c r="R113" s="918"/>
      <c r="S113" s="909"/>
      <c r="T113" s="908" t="s">
        <v>174</v>
      </c>
      <c r="U113" s="918"/>
      <c r="V113" s="918"/>
      <c r="W113" s="918"/>
      <c r="X113" s="909"/>
    </row>
    <row r="114" spans="1:24" ht="13.5" thickBot="1">
      <c r="A114" s="907"/>
      <c r="B114" s="919">
        <v>6200000</v>
      </c>
      <c r="C114" s="921"/>
      <c r="D114" s="919">
        <v>900000</v>
      </c>
      <c r="E114" s="921"/>
      <c r="F114" s="921"/>
      <c r="G114" s="920"/>
      <c r="H114" s="919">
        <v>1800000</v>
      </c>
      <c r="I114" s="921"/>
      <c r="J114" s="921"/>
      <c r="K114" s="920"/>
      <c r="L114" s="919">
        <v>3300000</v>
      </c>
      <c r="M114" s="921"/>
      <c r="N114" s="921"/>
      <c r="O114" s="920"/>
      <c r="P114" s="919">
        <f>SUM(B114:O114)</f>
        <v>12200000</v>
      </c>
      <c r="Q114" s="921"/>
      <c r="R114" s="921"/>
      <c r="S114" s="920"/>
      <c r="T114" s="942">
        <f>B114/P114%</f>
        <v>50.819672131147541</v>
      </c>
      <c r="U114" s="943"/>
      <c r="V114" s="943"/>
      <c r="W114" s="943"/>
      <c r="X114" s="944"/>
    </row>
    <row r="115" spans="1:24" ht="13.5" thickBot="1">
      <c r="A115" s="906" t="s">
        <v>10</v>
      </c>
      <c r="B115" s="908" t="s">
        <v>175</v>
      </c>
      <c r="C115" s="918"/>
      <c r="D115" s="910"/>
      <c r="E115" s="911"/>
      <c r="F115" s="911"/>
      <c r="G115" s="911"/>
      <c r="H115" s="911"/>
      <c r="I115" s="911"/>
      <c r="J115" s="911"/>
      <c r="K115" s="911"/>
      <c r="L115" s="911"/>
      <c r="M115" s="911"/>
      <c r="N115" s="911"/>
      <c r="O115" s="911"/>
      <c r="P115" s="911"/>
      <c r="Q115" s="911"/>
      <c r="R115" s="911"/>
      <c r="S115" s="911"/>
      <c r="T115" s="911"/>
      <c r="U115" s="911"/>
      <c r="V115" s="911"/>
      <c r="W115" s="911"/>
      <c r="X115" s="912"/>
    </row>
    <row r="116" spans="1:24" ht="13.5" thickBot="1">
      <c r="A116" s="907"/>
      <c r="B116" s="916"/>
      <c r="C116" s="994"/>
      <c r="D116" s="913"/>
      <c r="E116" s="914"/>
      <c r="F116" s="914"/>
      <c r="G116" s="914"/>
      <c r="H116" s="914"/>
      <c r="I116" s="914"/>
      <c r="J116" s="914"/>
      <c r="K116" s="914"/>
      <c r="L116" s="914"/>
      <c r="M116" s="914"/>
      <c r="N116" s="914"/>
      <c r="O116" s="914"/>
      <c r="P116" s="914"/>
      <c r="Q116" s="914"/>
      <c r="R116" s="914"/>
      <c r="S116" s="914"/>
      <c r="T116" s="914"/>
      <c r="U116" s="914"/>
      <c r="V116" s="914"/>
      <c r="W116" s="914"/>
      <c r="X116" s="915"/>
    </row>
    <row r="117" spans="1:24">
      <c r="A117" s="5"/>
      <c r="B117" s="5"/>
      <c r="C117" s="6"/>
      <c r="D117" s="5"/>
      <c r="E117" s="5"/>
      <c r="F117" s="5"/>
      <c r="G117" s="5"/>
      <c r="H117" s="5"/>
      <c r="I117" s="5"/>
      <c r="J117" s="5"/>
      <c r="K117" s="5"/>
      <c r="L117" s="5"/>
      <c r="M117" s="5"/>
      <c r="N117" s="5"/>
      <c r="O117" s="5"/>
      <c r="P117" s="5"/>
      <c r="Q117" s="5"/>
      <c r="R117" s="5"/>
      <c r="S117" s="5"/>
      <c r="T117" s="5"/>
      <c r="U117" s="5"/>
      <c r="V117" s="5"/>
      <c r="W117" s="5"/>
      <c r="X117" s="5"/>
    </row>
    <row r="118" spans="1:24" ht="13.5" thickBot="1">
      <c r="A118" s="5"/>
      <c r="B118" s="5"/>
      <c r="C118" s="6"/>
      <c r="D118" s="5"/>
      <c r="E118" s="5"/>
      <c r="F118" s="5"/>
      <c r="G118" s="5"/>
      <c r="H118" s="5"/>
      <c r="I118" s="5"/>
      <c r="J118" s="5"/>
      <c r="K118" s="5"/>
      <c r="L118" s="5"/>
      <c r="M118" s="5"/>
      <c r="N118" s="5"/>
      <c r="O118" s="5"/>
      <c r="P118" s="5"/>
      <c r="Q118" s="5"/>
      <c r="R118" s="5"/>
      <c r="S118" s="5"/>
      <c r="T118" s="5"/>
      <c r="U118" s="5"/>
      <c r="V118" s="5"/>
      <c r="W118" s="5"/>
      <c r="X118" s="5"/>
    </row>
    <row r="119" spans="1:24" ht="13.5" thickBot="1">
      <c r="A119" s="95" t="s">
        <v>15</v>
      </c>
      <c r="B119" s="97" t="s">
        <v>19</v>
      </c>
      <c r="C119" s="8"/>
      <c r="D119" s="927" t="s">
        <v>78</v>
      </c>
      <c r="E119" s="928"/>
      <c r="F119" s="928"/>
      <c r="G119" s="929"/>
      <c r="H119" s="927" t="s">
        <v>77</v>
      </c>
      <c r="I119" s="928"/>
      <c r="J119" s="928"/>
      <c r="K119" s="929"/>
      <c r="L119" s="927" t="s">
        <v>81</v>
      </c>
      <c r="M119" s="928"/>
      <c r="N119" s="928"/>
      <c r="O119" s="929"/>
      <c r="P119" s="927" t="s">
        <v>254</v>
      </c>
      <c r="Q119" s="928"/>
      <c r="R119" s="928"/>
      <c r="S119" s="929"/>
      <c r="T119" s="927" t="s">
        <v>76</v>
      </c>
      <c r="U119" s="928"/>
      <c r="V119" s="928"/>
      <c r="W119" s="929"/>
      <c r="X119" s="16" t="s">
        <v>6</v>
      </c>
    </row>
    <row r="120" spans="1:24" ht="13.5" thickBot="1">
      <c r="A120" s="868" t="s">
        <v>61</v>
      </c>
      <c r="B120" s="868" t="s">
        <v>62</v>
      </c>
      <c r="C120" s="9" t="s">
        <v>235</v>
      </c>
      <c r="D120" s="942">
        <f>SUM('State DisAgg LFx10 (2015)'!D268:G272)/5</f>
        <v>1</v>
      </c>
      <c r="E120" s="943"/>
      <c r="F120" s="943"/>
      <c r="G120" s="944"/>
      <c r="H120" s="942">
        <f>SUM('State DisAgg LFx10 (2015)'!H268:K272)/5</f>
        <v>1.7</v>
      </c>
      <c r="I120" s="943"/>
      <c r="J120" s="943"/>
      <c r="K120" s="944"/>
      <c r="L120" s="942">
        <f>SUM('State DisAgg LFx10 (2015)'!L268:O272)/5</f>
        <v>2.4</v>
      </c>
      <c r="M120" s="943"/>
      <c r="N120" s="943"/>
      <c r="O120" s="944"/>
      <c r="P120" s="963">
        <f>SUM('State DisAgg LFx10 (2015)'!P268:S272)/5</f>
        <v>3.1399999999999997</v>
      </c>
      <c r="Q120" s="964"/>
      <c r="R120" s="964"/>
      <c r="S120" s="965"/>
      <c r="T120" s="963">
        <f>SUM('State DisAgg LFx10 (2015)'!T268:W272)/5</f>
        <v>3.7399999999999998</v>
      </c>
      <c r="U120" s="964"/>
      <c r="V120" s="964"/>
      <c r="W120" s="965"/>
      <c r="X120" s="879" t="s">
        <v>94</v>
      </c>
    </row>
    <row r="121" spans="1:24" ht="13.5" thickBot="1">
      <c r="A121" s="885"/>
      <c r="B121" s="885"/>
      <c r="C121" s="9" t="s">
        <v>233</v>
      </c>
      <c r="D121" s="966" t="s">
        <v>255</v>
      </c>
      <c r="E121" s="967"/>
      <c r="F121" s="967"/>
      <c r="G121" s="968"/>
      <c r="H121" s="942">
        <f>SUM('State DisAgg LFx10 (2015)'!H273:K275)/3</f>
        <v>1</v>
      </c>
      <c r="I121" s="943"/>
      <c r="J121" s="943"/>
      <c r="K121" s="944"/>
      <c r="L121" s="942">
        <f>SUM('State DisAgg LFx10 (2015)'!L273:O275)/3</f>
        <v>1</v>
      </c>
      <c r="M121" s="943"/>
      <c r="N121" s="943"/>
      <c r="O121" s="944"/>
      <c r="P121" s="963">
        <f>SUM('State DisAgg LFx10 (2015)'!P273:S275)/3</f>
        <v>1.4333333333333333</v>
      </c>
      <c r="Q121" s="964"/>
      <c r="R121" s="964"/>
      <c r="S121" s="965"/>
      <c r="T121" s="963">
        <f>SUM('State DisAgg LFx10 (2015)'!T273:W275)/3</f>
        <v>3.3333333333333335</v>
      </c>
      <c r="U121" s="964"/>
      <c r="V121" s="964"/>
      <c r="W121" s="965"/>
      <c r="X121" s="880"/>
    </row>
    <row r="122" spans="1:24" ht="12.95" customHeight="1" thickBot="1">
      <c r="A122" s="885"/>
      <c r="B122" s="885"/>
      <c r="C122" s="9" t="s">
        <v>234</v>
      </c>
      <c r="D122" s="957"/>
      <c r="E122" s="958"/>
      <c r="F122" s="958"/>
      <c r="G122" s="959"/>
      <c r="H122" s="1048"/>
      <c r="I122" s="1049"/>
      <c r="J122" s="1049"/>
      <c r="K122" s="1050"/>
      <c r="L122" s="1057" t="s">
        <v>909</v>
      </c>
      <c r="M122" s="1058"/>
      <c r="N122" s="1058"/>
      <c r="O122" s="1059"/>
      <c r="P122" s="963">
        <f>SUM('State DisAgg LFx10 (2015)'!P276:S277)/2</f>
        <v>1.05</v>
      </c>
      <c r="Q122" s="964"/>
      <c r="R122" s="964"/>
      <c r="S122" s="965"/>
      <c r="T122" s="963">
        <f>SUM('State DisAgg LFx10 (2015)'!T276:W277)/2</f>
        <v>1.4500000000000002</v>
      </c>
      <c r="U122" s="964"/>
      <c r="V122" s="964"/>
      <c r="W122" s="965"/>
      <c r="X122" s="880"/>
    </row>
    <row r="123" spans="1:24" ht="13.5" thickBot="1">
      <c r="A123" s="885"/>
      <c r="B123" s="885"/>
      <c r="C123" s="102" t="s">
        <v>236</v>
      </c>
      <c r="D123" s="1008" t="s">
        <v>587</v>
      </c>
      <c r="E123" s="1009"/>
      <c r="F123" s="1009"/>
      <c r="G123" s="1010"/>
      <c r="H123" s="1147">
        <f>SUM('State DisAgg LFx10 (2015)'!H278:K282)/5</f>
        <v>1.2</v>
      </c>
      <c r="I123" s="1148"/>
      <c r="J123" s="1148"/>
      <c r="K123" s="1149"/>
      <c r="L123" s="1147">
        <f>SUM('State DisAgg LFx10 (2015)'!L278:O282)/5</f>
        <v>2.5</v>
      </c>
      <c r="M123" s="1148"/>
      <c r="N123" s="1148"/>
      <c r="O123" s="1149"/>
      <c r="P123" s="1147">
        <f>SUM('State DisAgg LFx10 (2015)'!P278:S282)/5</f>
        <v>3.2400000000000007</v>
      </c>
      <c r="Q123" s="1148"/>
      <c r="R123" s="1148"/>
      <c r="S123" s="1149"/>
      <c r="T123" s="1147">
        <f>SUM('State DisAgg LFx10 (2015)'!T278:W282)/5</f>
        <v>0</v>
      </c>
      <c r="U123" s="1148"/>
      <c r="V123" s="1148"/>
      <c r="W123" s="1149"/>
      <c r="X123" s="880"/>
    </row>
    <row r="124" spans="1:24" ht="13.5" thickBot="1">
      <c r="A124" s="885"/>
      <c r="B124" s="885"/>
      <c r="C124" s="102" t="s">
        <v>283</v>
      </c>
      <c r="D124" s="1017"/>
      <c r="E124" s="1018"/>
      <c r="F124" s="1018"/>
      <c r="G124" s="1019"/>
      <c r="H124" s="1017"/>
      <c r="I124" s="1018"/>
      <c r="J124" s="1018"/>
      <c r="K124" s="1019"/>
      <c r="L124" s="1147">
        <f>SUM('State DisAgg LFx10 (2015)'!L283:O285)/3</f>
        <v>1</v>
      </c>
      <c r="M124" s="1148"/>
      <c r="N124" s="1148"/>
      <c r="O124" s="1149"/>
      <c r="P124" s="1147">
        <f>SUM('State DisAgg LFx10 (2015)'!P283:S285)/3</f>
        <v>1.6666666666666667</v>
      </c>
      <c r="Q124" s="1148"/>
      <c r="R124" s="1148"/>
      <c r="S124" s="1149"/>
      <c r="T124" s="1147">
        <f>SUM('State DisAgg LFx10 (2015)'!T283:W285)/3</f>
        <v>0</v>
      </c>
      <c r="U124" s="1148"/>
      <c r="V124" s="1148"/>
      <c r="W124" s="1149"/>
      <c r="X124" s="880"/>
    </row>
    <row r="125" spans="1:24" ht="13.5" thickBot="1">
      <c r="A125" s="885"/>
      <c r="B125" s="885"/>
      <c r="C125" s="102" t="s">
        <v>284</v>
      </c>
      <c r="D125" s="1017"/>
      <c r="E125" s="1018"/>
      <c r="F125" s="1018"/>
      <c r="G125" s="1019"/>
      <c r="H125" s="1017"/>
      <c r="I125" s="1018"/>
      <c r="J125" s="1018"/>
      <c r="K125" s="1019"/>
      <c r="L125" s="1017"/>
      <c r="M125" s="1018"/>
      <c r="N125" s="1018"/>
      <c r="O125" s="1019"/>
      <c r="P125" s="1017"/>
      <c r="Q125" s="1018"/>
      <c r="R125" s="1018"/>
      <c r="S125" s="1019"/>
      <c r="T125" s="1147">
        <f>SUM('State DisAgg LFx10 (2015)'!T286:W287)/2</f>
        <v>0</v>
      </c>
      <c r="U125" s="1148"/>
      <c r="V125" s="1148"/>
      <c r="W125" s="1149"/>
      <c r="X125" s="880"/>
    </row>
    <row r="126" spans="1:24" ht="13.5" thickBot="1">
      <c r="A126" s="885"/>
      <c r="B126" s="885"/>
      <c r="C126" s="1142" t="s">
        <v>413</v>
      </c>
      <c r="D126" s="927" t="s">
        <v>4</v>
      </c>
      <c r="E126" s="928"/>
      <c r="F126" s="928"/>
      <c r="G126" s="928"/>
      <c r="H126" s="928"/>
      <c r="I126" s="928"/>
      <c r="J126" s="928"/>
      <c r="K126" s="928"/>
      <c r="L126" s="928"/>
      <c r="M126" s="928"/>
      <c r="N126" s="928"/>
      <c r="O126" s="928"/>
      <c r="P126" s="928"/>
      <c r="Q126" s="928"/>
      <c r="R126" s="928"/>
      <c r="S126" s="928"/>
      <c r="T126" s="928"/>
      <c r="U126" s="928"/>
      <c r="V126" s="928"/>
      <c r="W126" s="929"/>
      <c r="X126" s="880"/>
    </row>
    <row r="127" spans="1:24" ht="24" customHeight="1" thickBot="1">
      <c r="A127" s="885"/>
      <c r="B127" s="869"/>
      <c r="C127" s="1143"/>
      <c r="D127" s="930" t="s">
        <v>120</v>
      </c>
      <c r="E127" s="931"/>
      <c r="F127" s="931"/>
      <c r="G127" s="931"/>
      <c r="H127" s="931"/>
      <c r="I127" s="931"/>
      <c r="J127" s="931"/>
      <c r="K127" s="931"/>
      <c r="L127" s="931"/>
      <c r="M127" s="931"/>
      <c r="N127" s="931"/>
      <c r="O127" s="931"/>
      <c r="P127" s="931"/>
      <c r="Q127" s="931"/>
      <c r="R127" s="931"/>
      <c r="S127" s="931"/>
      <c r="T127" s="931"/>
      <c r="U127" s="931"/>
      <c r="V127" s="931"/>
      <c r="W127" s="932"/>
      <c r="X127" s="880"/>
    </row>
    <row r="128" spans="1:24" ht="13.5" thickBot="1">
      <c r="A128" s="885"/>
      <c r="B128" s="11" t="s">
        <v>20</v>
      </c>
      <c r="C128" s="12"/>
      <c r="D128" s="927" t="s">
        <v>78</v>
      </c>
      <c r="E128" s="928"/>
      <c r="F128" s="928"/>
      <c r="G128" s="929"/>
      <c r="H128" s="927" t="s">
        <v>77</v>
      </c>
      <c r="I128" s="928"/>
      <c r="J128" s="928"/>
      <c r="K128" s="929"/>
      <c r="L128" s="927" t="s">
        <v>81</v>
      </c>
      <c r="M128" s="928"/>
      <c r="N128" s="928"/>
      <c r="O128" s="929"/>
      <c r="P128" s="927" t="s">
        <v>254</v>
      </c>
      <c r="Q128" s="928"/>
      <c r="R128" s="928"/>
      <c r="S128" s="929"/>
      <c r="T128" s="927" t="s">
        <v>76</v>
      </c>
      <c r="U128" s="928"/>
      <c r="V128" s="928"/>
      <c r="W128" s="929"/>
      <c r="X128" s="880"/>
    </row>
    <row r="129" spans="1:24" ht="13.5" thickBot="1">
      <c r="A129" s="885"/>
      <c r="B129" s="868" t="s">
        <v>59</v>
      </c>
      <c r="C129" s="9" t="s">
        <v>235</v>
      </c>
      <c r="D129" s="942">
        <f>SUM('State DisAgg LFx10 (2015)'!D291:G295)/5</f>
        <v>1</v>
      </c>
      <c r="E129" s="943"/>
      <c r="F129" s="943"/>
      <c r="G129" s="944"/>
      <c r="H129" s="942">
        <f>SUM('State DisAgg LFx10 (2015)'!H291:K295)/5</f>
        <v>1.64</v>
      </c>
      <c r="I129" s="943"/>
      <c r="J129" s="943"/>
      <c r="K129" s="944"/>
      <c r="L129" s="942">
        <f>SUM('State DisAgg LFx10 (2015)'!L291:O295)/5</f>
        <v>2.5</v>
      </c>
      <c r="M129" s="943"/>
      <c r="N129" s="943"/>
      <c r="O129" s="944"/>
      <c r="P129" s="963">
        <f>SUM('State DisAgg LFx10 (2015)'!P291:S295)/5</f>
        <v>3.3</v>
      </c>
      <c r="Q129" s="964"/>
      <c r="R129" s="964"/>
      <c r="S129" s="965"/>
      <c r="T129" s="963">
        <f>SUM('State DisAgg LFx10 (2015)'!T291:W295)/5</f>
        <v>3.96</v>
      </c>
      <c r="U129" s="964"/>
      <c r="V129" s="964"/>
      <c r="W129" s="965"/>
      <c r="X129" s="880"/>
    </row>
    <row r="130" spans="1:24" ht="13.5" thickBot="1">
      <c r="A130" s="885"/>
      <c r="B130" s="885"/>
      <c r="C130" s="9" t="s">
        <v>233</v>
      </c>
      <c r="D130" s="966" t="s">
        <v>255</v>
      </c>
      <c r="E130" s="967"/>
      <c r="F130" s="967"/>
      <c r="G130" s="968"/>
      <c r="H130" s="942">
        <f>SUM('State DisAgg LFx10 (2015)'!H296:K298)/3</f>
        <v>1</v>
      </c>
      <c r="I130" s="943"/>
      <c r="J130" s="943"/>
      <c r="K130" s="944"/>
      <c r="L130" s="942">
        <f>SUM('State DisAgg LFx10 (2015)'!L296:O298)/3</f>
        <v>1</v>
      </c>
      <c r="M130" s="943"/>
      <c r="N130" s="943"/>
      <c r="O130" s="944"/>
      <c r="P130" s="963">
        <f>SUM('State DisAgg LFx10 (2015)'!P296:S298)/3</f>
        <v>1.3</v>
      </c>
      <c r="Q130" s="964"/>
      <c r="R130" s="964"/>
      <c r="S130" s="965"/>
      <c r="T130" s="963">
        <f>SUM('State DisAgg LFx10 (2015)'!T296:W298)/3</f>
        <v>3.1</v>
      </c>
      <c r="U130" s="964"/>
      <c r="V130" s="964"/>
      <c r="W130" s="965"/>
      <c r="X130" s="880"/>
    </row>
    <row r="131" spans="1:24" ht="12.95" customHeight="1" thickBot="1">
      <c r="A131" s="885"/>
      <c r="B131" s="885"/>
      <c r="C131" s="9" t="s">
        <v>234</v>
      </c>
      <c r="D131" s="957"/>
      <c r="E131" s="958"/>
      <c r="F131" s="958"/>
      <c r="G131" s="959"/>
      <c r="H131" s="1048"/>
      <c r="I131" s="1049"/>
      <c r="J131" s="1049"/>
      <c r="K131" s="1050"/>
      <c r="L131" s="1057" t="s">
        <v>909</v>
      </c>
      <c r="M131" s="1058"/>
      <c r="N131" s="1058"/>
      <c r="O131" s="1059"/>
      <c r="P131" s="963">
        <f>SUM('State DisAgg LFx10 (2015)'!P299:S300)/2</f>
        <v>1</v>
      </c>
      <c r="Q131" s="964"/>
      <c r="R131" s="964"/>
      <c r="S131" s="965"/>
      <c r="T131" s="963">
        <f>SUM('State DisAgg LFx10 (2015)'!T299:W300)/2</f>
        <v>1.4</v>
      </c>
      <c r="U131" s="964"/>
      <c r="V131" s="964"/>
      <c r="W131" s="965"/>
      <c r="X131" s="880"/>
    </row>
    <row r="132" spans="1:24" ht="13.5" thickBot="1">
      <c r="A132" s="885"/>
      <c r="B132" s="885"/>
      <c r="C132" s="102" t="s">
        <v>236</v>
      </c>
      <c r="D132" s="1008" t="s">
        <v>588</v>
      </c>
      <c r="E132" s="1009"/>
      <c r="F132" s="1009"/>
      <c r="G132" s="1010"/>
      <c r="H132" s="1147">
        <f>SUM('State DisAgg LFx10 (2015)'!H301:K305)/5</f>
        <v>0.9</v>
      </c>
      <c r="I132" s="1148"/>
      <c r="J132" s="1148"/>
      <c r="K132" s="1149"/>
      <c r="L132" s="1147">
        <f>SUM('State DisAgg LFx10 (2015)'!L301:O305)/5</f>
        <v>2.9</v>
      </c>
      <c r="M132" s="1148"/>
      <c r="N132" s="1148"/>
      <c r="O132" s="1149"/>
      <c r="P132" s="1147">
        <f>SUM('State DisAgg LFx10 (2015)'!P301:S305)/5</f>
        <v>3.3599999999999994</v>
      </c>
      <c r="Q132" s="1148"/>
      <c r="R132" s="1148"/>
      <c r="S132" s="1149"/>
      <c r="T132" s="1147">
        <f>SUM('State DisAgg LFx10 (2015)'!T301:W305)/5</f>
        <v>0</v>
      </c>
      <c r="U132" s="1148"/>
      <c r="V132" s="1148"/>
      <c r="W132" s="1149"/>
      <c r="X132" s="880"/>
    </row>
    <row r="133" spans="1:24" ht="13.5" thickBot="1">
      <c r="A133" s="885"/>
      <c r="B133" s="885"/>
      <c r="C133" s="102" t="s">
        <v>283</v>
      </c>
      <c r="D133" s="1017"/>
      <c r="E133" s="1018"/>
      <c r="F133" s="1018"/>
      <c r="G133" s="1019"/>
      <c r="H133" s="1017"/>
      <c r="I133" s="1018"/>
      <c r="J133" s="1018"/>
      <c r="K133" s="1019"/>
      <c r="L133" s="1147">
        <f>SUM('State DisAgg LFx10 (2015)'!L306:O308)/3</f>
        <v>1</v>
      </c>
      <c r="M133" s="1148"/>
      <c r="N133" s="1148"/>
      <c r="O133" s="1149"/>
      <c r="P133" s="1147">
        <f>SUM('State DisAgg LFx10 (2015)'!P306:S308)/3</f>
        <v>2.6666666666666665</v>
      </c>
      <c r="Q133" s="1148"/>
      <c r="R133" s="1148"/>
      <c r="S133" s="1149"/>
      <c r="T133" s="1147">
        <f>SUM('State DisAgg LFx10 (2015)'!T306:W308)/3</f>
        <v>0</v>
      </c>
      <c r="U133" s="1148"/>
      <c r="V133" s="1148"/>
      <c r="W133" s="1149"/>
      <c r="X133" s="880"/>
    </row>
    <row r="134" spans="1:24" ht="13.5" thickBot="1">
      <c r="A134" s="885"/>
      <c r="B134" s="885"/>
      <c r="C134" s="102" t="s">
        <v>284</v>
      </c>
      <c r="D134" s="1017"/>
      <c r="E134" s="1018"/>
      <c r="F134" s="1018"/>
      <c r="G134" s="1019"/>
      <c r="H134" s="1017"/>
      <c r="I134" s="1018"/>
      <c r="J134" s="1018"/>
      <c r="K134" s="1019"/>
      <c r="L134" s="1017"/>
      <c r="M134" s="1018"/>
      <c r="N134" s="1018"/>
      <c r="O134" s="1019"/>
      <c r="P134" s="1017"/>
      <c r="Q134" s="1018"/>
      <c r="R134" s="1018"/>
      <c r="S134" s="1019"/>
      <c r="T134" s="1147">
        <f>SUM('State DisAgg LFx10 (2015)'!T309:W310)/2</f>
        <v>0</v>
      </c>
      <c r="U134" s="1148"/>
      <c r="V134" s="1148"/>
      <c r="W134" s="1149"/>
      <c r="X134" s="880"/>
    </row>
    <row r="135" spans="1:24" ht="13.5" thickBot="1">
      <c r="A135" s="885"/>
      <c r="B135" s="885"/>
      <c r="C135" s="1142" t="s">
        <v>413</v>
      </c>
      <c r="D135" s="927" t="s">
        <v>4</v>
      </c>
      <c r="E135" s="928"/>
      <c r="F135" s="928"/>
      <c r="G135" s="928"/>
      <c r="H135" s="928"/>
      <c r="I135" s="928"/>
      <c r="J135" s="928"/>
      <c r="K135" s="928"/>
      <c r="L135" s="928"/>
      <c r="M135" s="928"/>
      <c r="N135" s="928"/>
      <c r="O135" s="928"/>
      <c r="P135" s="928"/>
      <c r="Q135" s="928"/>
      <c r="R135" s="928"/>
      <c r="S135" s="928"/>
      <c r="T135" s="928"/>
      <c r="U135" s="928"/>
      <c r="V135" s="928"/>
      <c r="W135" s="929"/>
      <c r="X135" s="880"/>
    </row>
    <row r="136" spans="1:24" ht="13.5" thickBot="1">
      <c r="A136" s="885"/>
      <c r="B136" s="869"/>
      <c r="C136" s="1143"/>
      <c r="D136" s="930" t="s">
        <v>118</v>
      </c>
      <c r="E136" s="931"/>
      <c r="F136" s="931"/>
      <c r="G136" s="931"/>
      <c r="H136" s="931"/>
      <c r="I136" s="931"/>
      <c r="J136" s="931"/>
      <c r="K136" s="931"/>
      <c r="L136" s="931"/>
      <c r="M136" s="931"/>
      <c r="N136" s="931"/>
      <c r="O136" s="931"/>
      <c r="P136" s="931"/>
      <c r="Q136" s="931"/>
      <c r="R136" s="931"/>
      <c r="S136" s="931"/>
      <c r="T136" s="931"/>
      <c r="U136" s="931"/>
      <c r="V136" s="931"/>
      <c r="W136" s="932"/>
      <c r="X136" s="880"/>
    </row>
    <row r="137" spans="1:24" ht="13.5" thickBot="1">
      <c r="A137" s="885"/>
      <c r="B137" s="11" t="s">
        <v>21</v>
      </c>
      <c r="C137" s="12"/>
      <c r="D137" s="927" t="s">
        <v>78</v>
      </c>
      <c r="E137" s="928"/>
      <c r="F137" s="928"/>
      <c r="G137" s="929"/>
      <c r="H137" s="927" t="s">
        <v>77</v>
      </c>
      <c r="I137" s="928"/>
      <c r="J137" s="928"/>
      <c r="K137" s="929"/>
      <c r="L137" s="927" t="s">
        <v>81</v>
      </c>
      <c r="M137" s="928"/>
      <c r="N137" s="928"/>
      <c r="O137" s="929"/>
      <c r="P137" s="927" t="s">
        <v>254</v>
      </c>
      <c r="Q137" s="928"/>
      <c r="R137" s="928"/>
      <c r="S137" s="929"/>
      <c r="T137" s="927" t="s">
        <v>76</v>
      </c>
      <c r="U137" s="928"/>
      <c r="V137" s="928"/>
      <c r="W137" s="929"/>
      <c r="X137" s="880"/>
    </row>
    <row r="138" spans="1:24" ht="13.5" thickBot="1">
      <c r="A138" s="885"/>
      <c r="B138" s="868" t="s">
        <v>63</v>
      </c>
      <c r="C138" s="9" t="s">
        <v>247</v>
      </c>
      <c r="D138" s="924">
        <f>SUM('State DisAgg LFx10 (2015)'!D314:G318)</f>
        <v>0</v>
      </c>
      <c r="E138" s="925"/>
      <c r="F138" s="925"/>
      <c r="G138" s="926"/>
      <c r="H138" s="924">
        <f>SUM('State DisAgg LFx10 (2015)'!H314:K321)</f>
        <v>7</v>
      </c>
      <c r="I138" s="925"/>
      <c r="J138" s="925"/>
      <c r="K138" s="926"/>
      <c r="L138" s="924">
        <f>SUM('State DisAgg LFx10 (2015)'!L314:O323)</f>
        <v>14</v>
      </c>
      <c r="M138" s="925"/>
      <c r="N138" s="925"/>
      <c r="O138" s="926"/>
      <c r="P138" s="939">
        <f>SUM('State DisAgg LFx10 (2015)'!P314:S323)</f>
        <v>25</v>
      </c>
      <c r="Q138" s="940"/>
      <c r="R138" s="940"/>
      <c r="S138" s="941"/>
      <c r="T138" s="939">
        <f>SUM('State DisAgg LFx10 (2015)'!T314:W323)</f>
        <v>54</v>
      </c>
      <c r="U138" s="940"/>
      <c r="V138" s="940"/>
      <c r="W138" s="941"/>
      <c r="X138" s="880"/>
    </row>
    <row r="139" spans="1:24" ht="13.5" thickBot="1">
      <c r="A139" s="869"/>
      <c r="B139" s="885"/>
      <c r="C139" s="102" t="s">
        <v>246</v>
      </c>
      <c r="D139" s="1003" t="s">
        <v>172</v>
      </c>
      <c r="E139" s="1004"/>
      <c r="F139" s="1004"/>
      <c r="G139" s="1005"/>
      <c r="H139" s="1003" t="s">
        <v>417</v>
      </c>
      <c r="I139" s="1004"/>
      <c r="J139" s="1004"/>
      <c r="K139" s="1005"/>
      <c r="L139" s="1140">
        <f>SUM('State DisAgg LFx10 (2015)'!L324:O331)</f>
        <v>16</v>
      </c>
      <c r="M139" s="1156"/>
      <c r="N139" s="1156"/>
      <c r="O139" s="1141"/>
      <c r="P139" s="1140">
        <f>SUM('State DisAgg LFx10 (2015)'!P324:S333)</f>
        <v>39</v>
      </c>
      <c r="Q139" s="1156"/>
      <c r="R139" s="1156"/>
      <c r="S139" s="1141"/>
      <c r="T139" s="1140">
        <f>SUM('State DisAgg LFx10 (2015)'!T324:W333)</f>
        <v>0</v>
      </c>
      <c r="U139" s="1156"/>
      <c r="V139" s="1156"/>
      <c r="W139" s="1141"/>
      <c r="X139" s="881"/>
    </row>
    <row r="140" spans="1:24" ht="13.5" thickBot="1">
      <c r="A140" s="96" t="s">
        <v>13</v>
      </c>
      <c r="B140" s="885"/>
      <c r="C140" s="1142" t="s">
        <v>413</v>
      </c>
      <c r="D140" s="927" t="s">
        <v>4</v>
      </c>
      <c r="E140" s="928"/>
      <c r="F140" s="928"/>
      <c r="G140" s="928"/>
      <c r="H140" s="928"/>
      <c r="I140" s="928"/>
      <c r="J140" s="928"/>
      <c r="K140" s="928"/>
      <c r="L140" s="928"/>
      <c r="M140" s="928"/>
      <c r="N140" s="928"/>
      <c r="O140" s="928"/>
      <c r="P140" s="928"/>
      <c r="Q140" s="928"/>
      <c r="R140" s="928"/>
      <c r="S140" s="928"/>
      <c r="T140" s="928"/>
      <c r="U140" s="928"/>
      <c r="V140" s="928"/>
      <c r="W140" s="929"/>
      <c r="X140" s="24" t="s">
        <v>14</v>
      </c>
    </row>
    <row r="141" spans="1:24" ht="13.5" thickBot="1">
      <c r="A141" s="25" t="s">
        <v>75</v>
      </c>
      <c r="B141" s="869"/>
      <c r="C141" s="1143"/>
      <c r="D141" s="930" t="s">
        <v>119</v>
      </c>
      <c r="E141" s="931"/>
      <c r="F141" s="931"/>
      <c r="G141" s="931"/>
      <c r="H141" s="931"/>
      <c r="I141" s="931"/>
      <c r="J141" s="931"/>
      <c r="K141" s="931"/>
      <c r="L141" s="931"/>
      <c r="M141" s="931"/>
      <c r="N141" s="931"/>
      <c r="O141" s="931"/>
      <c r="P141" s="931"/>
      <c r="Q141" s="931"/>
      <c r="R141" s="931"/>
      <c r="S141" s="931"/>
      <c r="T141" s="931"/>
      <c r="U141" s="931"/>
      <c r="V141" s="931"/>
      <c r="W141" s="932"/>
      <c r="X141" s="18" t="s">
        <v>93</v>
      </c>
    </row>
    <row r="142" spans="1:24" ht="13.5" thickBot="1">
      <c r="A142" s="906" t="s">
        <v>7</v>
      </c>
      <c r="B142" s="908" t="s">
        <v>173</v>
      </c>
      <c r="C142" s="918"/>
      <c r="D142" s="908" t="s">
        <v>8</v>
      </c>
      <c r="E142" s="918"/>
      <c r="F142" s="918"/>
      <c r="G142" s="909"/>
      <c r="H142" s="908" t="s">
        <v>88</v>
      </c>
      <c r="I142" s="918"/>
      <c r="J142" s="918"/>
      <c r="K142" s="909"/>
      <c r="L142" s="908" t="s">
        <v>89</v>
      </c>
      <c r="M142" s="918"/>
      <c r="N142" s="918"/>
      <c r="O142" s="909"/>
      <c r="P142" s="908" t="s">
        <v>9</v>
      </c>
      <c r="Q142" s="918"/>
      <c r="R142" s="918"/>
      <c r="S142" s="909"/>
      <c r="T142" s="908" t="s">
        <v>174</v>
      </c>
      <c r="U142" s="918"/>
      <c r="V142" s="918"/>
      <c r="W142" s="918"/>
      <c r="X142" s="909"/>
    </row>
    <row r="143" spans="1:24" ht="13.5" thickBot="1">
      <c r="A143" s="907"/>
      <c r="B143" s="919">
        <v>6200000</v>
      </c>
      <c r="C143" s="921"/>
      <c r="D143" s="919">
        <v>1200000</v>
      </c>
      <c r="E143" s="921"/>
      <c r="F143" s="921"/>
      <c r="G143" s="920"/>
      <c r="H143" s="919">
        <v>2500000</v>
      </c>
      <c r="I143" s="921"/>
      <c r="J143" s="921"/>
      <c r="K143" s="920"/>
      <c r="L143" s="919">
        <v>2800000</v>
      </c>
      <c r="M143" s="921"/>
      <c r="N143" s="921"/>
      <c r="O143" s="920"/>
      <c r="P143" s="919">
        <f>SUM(B143:O143)</f>
        <v>12700000</v>
      </c>
      <c r="Q143" s="921"/>
      <c r="R143" s="921"/>
      <c r="S143" s="920"/>
      <c r="T143" s="942">
        <f>B143/P143%</f>
        <v>48.818897637795274</v>
      </c>
      <c r="U143" s="943"/>
      <c r="V143" s="943"/>
      <c r="W143" s="943"/>
      <c r="X143" s="944"/>
    </row>
    <row r="144" spans="1:24" ht="13.5" thickBot="1">
      <c r="A144" s="906" t="s">
        <v>10</v>
      </c>
      <c r="B144" s="908" t="s">
        <v>175</v>
      </c>
      <c r="C144" s="918"/>
      <c r="D144" s="910"/>
      <c r="E144" s="911"/>
      <c r="F144" s="911"/>
      <c r="G144" s="911"/>
      <c r="H144" s="911"/>
      <c r="I144" s="911"/>
      <c r="J144" s="911"/>
      <c r="K144" s="911"/>
      <c r="L144" s="911"/>
      <c r="M144" s="911"/>
      <c r="N144" s="911"/>
      <c r="O144" s="911"/>
      <c r="P144" s="911"/>
      <c r="Q144" s="911"/>
      <c r="R144" s="911"/>
      <c r="S144" s="911"/>
      <c r="T144" s="911"/>
      <c r="U144" s="911"/>
      <c r="V144" s="911"/>
      <c r="W144" s="911"/>
      <c r="X144" s="912"/>
    </row>
    <row r="145" spans="1:24" ht="13.5" thickBot="1">
      <c r="A145" s="907"/>
      <c r="B145" s="916"/>
      <c r="C145" s="994"/>
      <c r="D145" s="913"/>
      <c r="E145" s="914"/>
      <c r="F145" s="914"/>
      <c r="G145" s="914"/>
      <c r="H145" s="914"/>
      <c r="I145" s="914"/>
      <c r="J145" s="914"/>
      <c r="K145" s="914"/>
      <c r="L145" s="914"/>
      <c r="M145" s="914"/>
      <c r="N145" s="914"/>
      <c r="O145" s="914"/>
      <c r="P145" s="914"/>
      <c r="Q145" s="914"/>
      <c r="R145" s="914"/>
      <c r="S145" s="914"/>
      <c r="T145" s="914"/>
      <c r="U145" s="914"/>
      <c r="V145" s="914"/>
      <c r="W145" s="914"/>
      <c r="X145" s="915"/>
    </row>
    <row r="147" spans="1:24" ht="13.5" thickBot="1"/>
    <row r="148" spans="1:24" ht="13.5" thickBot="1">
      <c r="A148" s="95" t="s">
        <v>26</v>
      </c>
      <c r="B148" s="97" t="s">
        <v>29</v>
      </c>
      <c r="C148" s="8"/>
      <c r="D148" s="927" t="s">
        <v>78</v>
      </c>
      <c r="E148" s="928"/>
      <c r="F148" s="928"/>
      <c r="G148" s="929"/>
      <c r="H148" s="927" t="s">
        <v>77</v>
      </c>
      <c r="I148" s="928"/>
      <c r="J148" s="928"/>
      <c r="K148" s="929"/>
      <c r="L148" s="927" t="s">
        <v>81</v>
      </c>
      <c r="M148" s="928"/>
      <c r="N148" s="928"/>
      <c r="O148" s="929"/>
      <c r="P148" s="927" t="s">
        <v>254</v>
      </c>
      <c r="Q148" s="928"/>
      <c r="R148" s="928"/>
      <c r="S148" s="929"/>
      <c r="T148" s="927" t="s">
        <v>76</v>
      </c>
      <c r="U148" s="928"/>
      <c r="V148" s="928"/>
      <c r="W148" s="929"/>
      <c r="X148" s="16" t="s">
        <v>12</v>
      </c>
    </row>
    <row r="149" spans="1:24" ht="54.95" customHeight="1" thickBot="1">
      <c r="A149" s="868" t="s">
        <v>64</v>
      </c>
      <c r="B149" s="868" t="s">
        <v>156</v>
      </c>
      <c r="C149" s="9"/>
      <c r="D149" s="17" t="s">
        <v>101</v>
      </c>
      <c r="E149" s="17" t="s">
        <v>104</v>
      </c>
      <c r="F149" s="17" t="s">
        <v>102</v>
      </c>
      <c r="G149" s="17" t="s">
        <v>103</v>
      </c>
      <c r="H149" s="17" t="s">
        <v>101</v>
      </c>
      <c r="I149" s="17" t="s">
        <v>104</v>
      </c>
      <c r="J149" s="17" t="s">
        <v>102</v>
      </c>
      <c r="K149" s="17" t="s">
        <v>103</v>
      </c>
      <c r="L149" s="17" t="s">
        <v>101</v>
      </c>
      <c r="M149" s="17" t="s">
        <v>104</v>
      </c>
      <c r="N149" s="17" t="s">
        <v>102</v>
      </c>
      <c r="O149" s="17" t="s">
        <v>103</v>
      </c>
      <c r="P149" s="17" t="s">
        <v>101</v>
      </c>
      <c r="Q149" s="17" t="s">
        <v>104</v>
      </c>
      <c r="R149" s="17" t="s">
        <v>102</v>
      </c>
      <c r="S149" s="17" t="s">
        <v>103</v>
      </c>
      <c r="T149" s="17" t="s">
        <v>101</v>
      </c>
      <c r="U149" s="17" t="s">
        <v>104</v>
      </c>
      <c r="V149" s="17" t="s">
        <v>102</v>
      </c>
      <c r="W149" s="17" t="s">
        <v>103</v>
      </c>
      <c r="X149" s="879" t="s">
        <v>98</v>
      </c>
    </row>
    <row r="150" spans="1:24" ht="13.5" thickBot="1">
      <c r="A150" s="885"/>
      <c r="B150" s="885"/>
      <c r="C150" s="9" t="s">
        <v>247</v>
      </c>
      <c r="D150" s="104">
        <f>SUM('State DisAgg LFx10 (2015)'!D344:D348)</f>
        <v>2</v>
      </c>
      <c r="E150" s="104">
        <f>SUM('State DisAgg LFx10 (2015)'!E344:E348)</f>
        <v>0</v>
      </c>
      <c r="F150" s="104">
        <f>SUM('State DisAgg LFx10 (2015)'!F344:F348)</f>
        <v>0</v>
      </c>
      <c r="G150" s="104">
        <f>SUM('State DisAgg LFx10 (2015)'!G344:G348)</f>
        <v>0</v>
      </c>
      <c r="H150" s="104">
        <f>SUM('State DisAgg LFx10 (2015)'!H344:H351)</f>
        <v>30</v>
      </c>
      <c r="I150" s="104">
        <f>SUM('State DisAgg LFx10 (2015)'!I344:I351)</f>
        <v>13</v>
      </c>
      <c r="J150" s="104">
        <f>SUM('State DisAgg LFx10 (2015)'!J344:J351)</f>
        <v>7</v>
      </c>
      <c r="K150" s="104">
        <f>SUM('State DisAgg LFx10 (2015)'!K344:K351)</f>
        <v>3</v>
      </c>
      <c r="L150" s="104">
        <f>SUM('State DisAgg LFx10 (2015)'!L344:L353)</f>
        <v>48</v>
      </c>
      <c r="M150" s="104">
        <f>SUM('State DisAgg LFx10 (2015)'!M344:M353)</f>
        <v>25</v>
      </c>
      <c r="N150" s="104">
        <f>SUM('State DisAgg LFx10 (2015)'!N344:N353)</f>
        <v>17</v>
      </c>
      <c r="O150" s="104">
        <f>SUM('State DisAgg LFx10 (2015)'!O344:O353)</f>
        <v>8</v>
      </c>
      <c r="P150" s="104">
        <f>SUM('State DisAgg LFx10 (2015)'!P344:P353)</f>
        <v>55</v>
      </c>
      <c r="Q150" s="104">
        <f>SUM('State DisAgg LFx10 (2015)'!Q344:Q353)</f>
        <v>34</v>
      </c>
      <c r="R150" s="104">
        <f>SUM('State DisAgg LFx10 (2015)'!R344:R353)</f>
        <v>26</v>
      </c>
      <c r="S150" s="104">
        <f>SUM('State DisAgg LFx10 (2015)'!S344:S353)</f>
        <v>15</v>
      </c>
      <c r="T150" s="150">
        <f>SUM('State DisAgg LFx10 (2015)'!T344:T353)</f>
        <v>84</v>
      </c>
      <c r="U150" s="104">
        <f>SUM('State DisAgg LFx10 (2015)'!U344:U353)</f>
        <v>70</v>
      </c>
      <c r="V150" s="104">
        <f>SUM('State DisAgg LFx10 (2015)'!V344:V353)</f>
        <v>47</v>
      </c>
      <c r="W150" s="104">
        <f>SUM('State DisAgg LFx10 (2015)'!W344:W353)</f>
        <v>20</v>
      </c>
      <c r="X150" s="880"/>
    </row>
    <row r="151" spans="1:24" ht="13.5" thickBot="1">
      <c r="A151" s="885"/>
      <c r="B151" s="93" t="s">
        <v>151</v>
      </c>
      <c r="C151" s="102" t="s">
        <v>246</v>
      </c>
      <c r="D151" s="1042" t="s">
        <v>592</v>
      </c>
      <c r="E151" s="1043"/>
      <c r="F151" s="1043"/>
      <c r="G151" s="1044"/>
      <c r="H151" s="105">
        <f>SUM('State DisAgg LFx10 (2015)'!H354:H358)</f>
        <v>11</v>
      </c>
      <c r="I151" s="105">
        <f>SUM('State DisAgg LFx10 (2015)'!I354:I358)</f>
        <v>7</v>
      </c>
      <c r="J151" s="105">
        <f>SUM('State DisAgg LFx10 (2015)'!J354:J358)</f>
        <v>6</v>
      </c>
      <c r="K151" s="105">
        <f>SUM('State DisAgg LFx10 (2015)'!K354:K358)</f>
        <v>4</v>
      </c>
      <c r="L151" s="105">
        <f>SUM('State DisAgg LFx10 (2015)'!L354:L361)</f>
        <v>29</v>
      </c>
      <c r="M151" s="105">
        <f>SUM('State DisAgg LFx10 (2015)'!M354:M361)</f>
        <v>22</v>
      </c>
      <c r="N151" s="105">
        <f>SUM('State DisAgg LFx10 (2015)'!N354:N361)</f>
        <v>16</v>
      </c>
      <c r="O151" s="105">
        <f>SUM('State DisAgg LFx10 (2015)'!O354:O361)</f>
        <v>10</v>
      </c>
      <c r="P151" s="105">
        <f>SUM('State DisAgg LFx10 (2015)'!P354:P363)</f>
        <v>66</v>
      </c>
      <c r="Q151" s="105">
        <f>SUM('State DisAgg LFx10 (2015)'!Q354:Q363)</f>
        <v>46</v>
      </c>
      <c r="R151" s="105">
        <f>SUM('State DisAgg LFx10 (2015)'!R354:R363)</f>
        <v>30</v>
      </c>
      <c r="S151" s="105">
        <f>SUM('State DisAgg LFx10 (2015)'!S354:S363)</f>
        <v>10</v>
      </c>
      <c r="T151" s="105">
        <f>SUM('State DisAgg LFx10 (2015)'!T354:T363)</f>
        <v>0</v>
      </c>
      <c r="U151" s="105">
        <f>SUM('State DisAgg LFx10 (2015)'!U354:U363)</f>
        <v>0</v>
      </c>
      <c r="V151" s="105">
        <f>SUM('State DisAgg LFx10 (2015)'!V354:V363)</f>
        <v>0</v>
      </c>
      <c r="W151" s="105">
        <f>SUM('State DisAgg LFx10 (2015)'!W354:W363)</f>
        <v>0</v>
      </c>
      <c r="X151" s="880"/>
    </row>
    <row r="152" spans="1:24" ht="13.5" thickBot="1">
      <c r="A152" s="885"/>
      <c r="B152" s="93" t="s">
        <v>150</v>
      </c>
      <c r="C152" s="1142" t="s">
        <v>413</v>
      </c>
      <c r="D152" s="927" t="s">
        <v>4</v>
      </c>
      <c r="E152" s="928"/>
      <c r="F152" s="928"/>
      <c r="G152" s="928"/>
      <c r="H152" s="928"/>
      <c r="I152" s="928"/>
      <c r="J152" s="928"/>
      <c r="K152" s="928"/>
      <c r="L152" s="928"/>
      <c r="M152" s="928"/>
      <c r="N152" s="928"/>
      <c r="O152" s="928"/>
      <c r="P152" s="928"/>
      <c r="Q152" s="928"/>
      <c r="R152" s="928"/>
      <c r="S152" s="928"/>
      <c r="T152" s="928"/>
      <c r="U152" s="928"/>
      <c r="V152" s="928"/>
      <c r="W152" s="929"/>
      <c r="X152" s="880"/>
    </row>
    <row r="153" spans="1:24" ht="24.75" thickBot="1">
      <c r="A153" s="885"/>
      <c r="B153" s="94" t="s">
        <v>149</v>
      </c>
      <c r="C153" s="1143"/>
      <c r="D153" s="930" t="s">
        <v>420</v>
      </c>
      <c r="E153" s="931"/>
      <c r="F153" s="931"/>
      <c r="G153" s="931"/>
      <c r="H153" s="931"/>
      <c r="I153" s="931"/>
      <c r="J153" s="931"/>
      <c r="K153" s="931"/>
      <c r="L153" s="931"/>
      <c r="M153" s="931"/>
      <c r="N153" s="931"/>
      <c r="O153" s="931"/>
      <c r="P153" s="931"/>
      <c r="Q153" s="931"/>
      <c r="R153" s="931"/>
      <c r="S153" s="931"/>
      <c r="T153" s="931"/>
      <c r="U153" s="931"/>
      <c r="V153" s="931"/>
      <c r="W153" s="932"/>
      <c r="X153" s="880"/>
    </row>
    <row r="154" spans="1:24" ht="13.5" thickBot="1">
      <c r="A154" s="885"/>
      <c r="B154" s="11" t="s">
        <v>30</v>
      </c>
      <c r="C154" s="12"/>
      <c r="D154" s="927" t="s">
        <v>78</v>
      </c>
      <c r="E154" s="928"/>
      <c r="F154" s="928"/>
      <c r="G154" s="929"/>
      <c r="H154" s="927" t="s">
        <v>77</v>
      </c>
      <c r="I154" s="928"/>
      <c r="J154" s="928"/>
      <c r="K154" s="929"/>
      <c r="L154" s="927" t="s">
        <v>81</v>
      </c>
      <c r="M154" s="928"/>
      <c r="N154" s="928"/>
      <c r="O154" s="929"/>
      <c r="P154" s="927" t="s">
        <v>254</v>
      </c>
      <c r="Q154" s="928"/>
      <c r="R154" s="928"/>
      <c r="S154" s="929"/>
      <c r="T154" s="927" t="s">
        <v>76</v>
      </c>
      <c r="U154" s="928"/>
      <c r="V154" s="928"/>
      <c r="W154" s="929"/>
      <c r="X154" s="880"/>
    </row>
    <row r="155" spans="1:24" ht="44.1" customHeight="1" thickBot="1">
      <c r="A155" s="885"/>
      <c r="B155" s="868" t="s">
        <v>157</v>
      </c>
      <c r="C155" s="23"/>
      <c r="D155" s="17" t="s">
        <v>101</v>
      </c>
      <c r="E155" s="17" t="s">
        <v>104</v>
      </c>
      <c r="F155" s="17" t="s">
        <v>102</v>
      </c>
      <c r="G155" s="17" t="s">
        <v>103</v>
      </c>
      <c r="H155" s="17" t="s">
        <v>101</v>
      </c>
      <c r="I155" s="17" t="s">
        <v>104</v>
      </c>
      <c r="J155" s="17" t="s">
        <v>102</v>
      </c>
      <c r="K155" s="17" t="s">
        <v>103</v>
      </c>
      <c r="L155" s="17" t="s">
        <v>101</v>
      </c>
      <c r="M155" s="17" t="s">
        <v>104</v>
      </c>
      <c r="N155" s="17" t="s">
        <v>102</v>
      </c>
      <c r="O155" s="17" t="s">
        <v>103</v>
      </c>
      <c r="P155" s="17" t="s">
        <v>101</v>
      </c>
      <c r="Q155" s="17" t="s">
        <v>104</v>
      </c>
      <c r="R155" s="17" t="s">
        <v>102</v>
      </c>
      <c r="S155" s="17" t="s">
        <v>103</v>
      </c>
      <c r="T155" s="17" t="s">
        <v>101</v>
      </c>
      <c r="U155" s="17" t="s">
        <v>104</v>
      </c>
      <c r="V155" s="17" t="s">
        <v>102</v>
      </c>
      <c r="W155" s="17" t="s">
        <v>103</v>
      </c>
      <c r="X155" s="880"/>
    </row>
    <row r="156" spans="1:24" ht="13.5" thickBot="1">
      <c r="A156" s="885"/>
      <c r="B156" s="885"/>
      <c r="C156" s="9" t="s">
        <v>247</v>
      </c>
      <c r="D156" s="104">
        <f>SUM('State DisAgg LFx10 (2015)'!D368:D372)</f>
        <v>2</v>
      </c>
      <c r="E156" s="104">
        <f>SUM('State DisAgg LFx10 (2015)'!E368:E372)</f>
        <v>0</v>
      </c>
      <c r="F156" s="104">
        <f>SUM('State DisAgg LFx10 (2015)'!F368:F372)</f>
        <v>0</v>
      </c>
      <c r="G156" s="104">
        <f>SUM('State DisAgg LFx10 (2015)'!G368:G372)</f>
        <v>0</v>
      </c>
      <c r="H156" s="104">
        <f>SUM('State DisAgg LFx10 (2015)'!H368:H375)</f>
        <v>15</v>
      </c>
      <c r="I156" s="104">
        <f>SUM('State DisAgg LFx10 (2015)'!I368:I375)</f>
        <v>10</v>
      </c>
      <c r="J156" s="104">
        <f>SUM('State DisAgg LFx10 (2015)'!J368:J375)</f>
        <v>7</v>
      </c>
      <c r="K156" s="104">
        <f>SUM('State DisAgg LFx10 (2015)'!K368:K375)</f>
        <v>2</v>
      </c>
      <c r="L156" s="104">
        <f>SUM('State DisAgg LFx10 (2015)'!L368:L377)</f>
        <v>29</v>
      </c>
      <c r="M156" s="104">
        <f>SUM('State DisAgg LFx10 (2015)'!M368:M377)</f>
        <v>23</v>
      </c>
      <c r="N156" s="104">
        <f>SUM('State DisAgg LFx10 (2015)'!N368:N377)</f>
        <v>15</v>
      </c>
      <c r="O156" s="104">
        <f>SUM('State DisAgg LFx10 (2015)'!O368:O377)</f>
        <v>8</v>
      </c>
      <c r="P156" s="150">
        <f>SUM('State DisAgg LFx10 (2015)'!P368:P377)</f>
        <v>51</v>
      </c>
      <c r="Q156" s="150">
        <f>SUM('State DisAgg LFx10 (2015)'!Q368:Q377)</f>
        <v>38</v>
      </c>
      <c r="R156" s="150">
        <f>SUM('State DisAgg LFx10 (2015)'!R368:R377)</f>
        <v>27</v>
      </c>
      <c r="S156" s="150">
        <f>SUM('State DisAgg LFx10 (2015)'!S368:S377)</f>
        <v>15</v>
      </c>
      <c r="T156" s="150">
        <f>SUM('State DisAgg LFx10 (2015)'!T368:T377)</f>
        <v>78</v>
      </c>
      <c r="U156" s="104">
        <f>SUM('State DisAgg LFx10 (2015)'!U368:U377)</f>
        <v>64</v>
      </c>
      <c r="V156" s="104">
        <f>SUM('State DisAgg LFx10 (2015)'!V368:V377)</f>
        <v>43</v>
      </c>
      <c r="W156" s="104">
        <f>SUM('State DisAgg LFx10 (2015)'!W368:W377)</f>
        <v>25</v>
      </c>
      <c r="X156" s="880"/>
    </row>
    <row r="157" spans="1:24" ht="13.5" thickBot="1">
      <c r="A157" s="885"/>
      <c r="B157" s="93" t="s">
        <v>151</v>
      </c>
      <c r="C157" s="102" t="s">
        <v>246</v>
      </c>
      <c r="D157" s="1003" t="s">
        <v>172</v>
      </c>
      <c r="E157" s="1004"/>
      <c r="F157" s="1004"/>
      <c r="G157" s="1005"/>
      <c r="H157" s="1003" t="s">
        <v>417</v>
      </c>
      <c r="I157" s="1004"/>
      <c r="J157" s="1004"/>
      <c r="K157" s="1005"/>
      <c r="L157" s="105">
        <f>SUM('State DisAgg LFx10 (2015)'!L378:L385)</f>
        <v>24</v>
      </c>
      <c r="M157" s="105">
        <f>SUM('State DisAgg LFx10 (2015)'!M378:M385)</f>
        <v>21</v>
      </c>
      <c r="N157" s="105">
        <f>SUM('State DisAgg LFx10 (2015)'!N378:N385)</f>
        <v>17</v>
      </c>
      <c r="O157" s="105">
        <f>SUM('State DisAgg LFx10 (2015)'!O378:O385)</f>
        <v>7</v>
      </c>
      <c r="P157" s="105">
        <f>SUM('State DisAgg LFx10 (2015)'!P378:P387)</f>
        <v>44</v>
      </c>
      <c r="Q157" s="105">
        <f>SUM('State DisAgg LFx10 (2015)'!Q378:Q387)</f>
        <v>27</v>
      </c>
      <c r="R157" s="105">
        <f>SUM('State DisAgg LFx10 (2015)'!R378:R387)</f>
        <v>20</v>
      </c>
      <c r="S157" s="105">
        <f>SUM('State DisAgg LFx10 (2015)'!S378:S387)</f>
        <v>8</v>
      </c>
      <c r="T157" s="105">
        <f>SUM('State DisAgg LFx10 (2015)'!T378:T387)</f>
        <v>0</v>
      </c>
      <c r="U157" s="105">
        <f>SUM('State DisAgg LFx10 (2015)'!U378:U387)</f>
        <v>0</v>
      </c>
      <c r="V157" s="105">
        <f>SUM('State DisAgg LFx10 (2015)'!V378:V387)</f>
        <v>0</v>
      </c>
      <c r="W157" s="105">
        <f>SUM('State DisAgg LFx10 (2015)'!W378:W387)</f>
        <v>0</v>
      </c>
      <c r="X157" s="880"/>
    </row>
    <row r="158" spans="1:24" ht="13.5" thickBot="1">
      <c r="A158" s="885"/>
      <c r="B158" s="93" t="s">
        <v>150</v>
      </c>
      <c r="C158" s="1142" t="s">
        <v>413</v>
      </c>
      <c r="D158" s="927" t="s">
        <v>4</v>
      </c>
      <c r="E158" s="928"/>
      <c r="F158" s="928"/>
      <c r="G158" s="928"/>
      <c r="H158" s="928"/>
      <c r="I158" s="928"/>
      <c r="J158" s="928"/>
      <c r="K158" s="928"/>
      <c r="L158" s="928"/>
      <c r="M158" s="928"/>
      <c r="N158" s="928"/>
      <c r="O158" s="928"/>
      <c r="P158" s="928"/>
      <c r="Q158" s="928"/>
      <c r="R158" s="928"/>
      <c r="S158" s="928"/>
      <c r="T158" s="928"/>
      <c r="U158" s="928"/>
      <c r="V158" s="928"/>
      <c r="W158" s="929"/>
      <c r="X158" s="880"/>
    </row>
    <row r="159" spans="1:24" ht="13.5" thickBot="1">
      <c r="A159" s="885"/>
      <c r="B159" s="94" t="s">
        <v>152</v>
      </c>
      <c r="C159" s="1143"/>
      <c r="D159" s="930" t="s">
        <v>420</v>
      </c>
      <c r="E159" s="931"/>
      <c r="F159" s="931"/>
      <c r="G159" s="931"/>
      <c r="H159" s="931"/>
      <c r="I159" s="931"/>
      <c r="J159" s="931"/>
      <c r="K159" s="931"/>
      <c r="L159" s="931"/>
      <c r="M159" s="931"/>
      <c r="N159" s="931"/>
      <c r="O159" s="931"/>
      <c r="P159" s="931"/>
      <c r="Q159" s="931"/>
      <c r="R159" s="931"/>
      <c r="S159" s="931"/>
      <c r="T159" s="931"/>
      <c r="U159" s="931"/>
      <c r="V159" s="931"/>
      <c r="W159" s="932"/>
      <c r="X159" s="880"/>
    </row>
    <row r="160" spans="1:24" ht="13.5" thickBot="1">
      <c r="A160" s="885"/>
      <c r="B160" s="92" t="s">
        <v>31</v>
      </c>
      <c r="C160" s="12"/>
      <c r="D160" s="927" t="s">
        <v>78</v>
      </c>
      <c r="E160" s="928"/>
      <c r="F160" s="928"/>
      <c r="G160" s="929"/>
      <c r="H160" s="927" t="s">
        <v>77</v>
      </c>
      <c r="I160" s="928"/>
      <c r="J160" s="928"/>
      <c r="K160" s="929"/>
      <c r="L160" s="927" t="s">
        <v>81</v>
      </c>
      <c r="M160" s="928"/>
      <c r="N160" s="928"/>
      <c r="O160" s="929"/>
      <c r="P160" s="927" t="s">
        <v>254</v>
      </c>
      <c r="Q160" s="928"/>
      <c r="R160" s="928"/>
      <c r="S160" s="929"/>
      <c r="T160" s="927" t="s">
        <v>76</v>
      </c>
      <c r="U160" s="928"/>
      <c r="V160" s="928"/>
      <c r="W160" s="929"/>
      <c r="X160" s="880"/>
    </row>
    <row r="161" spans="1:24" ht="17.100000000000001" customHeight="1" thickBot="1">
      <c r="A161" s="885"/>
      <c r="B161" s="868" t="s">
        <v>421</v>
      </c>
      <c r="C161" s="23"/>
      <c r="D161" s="955" t="s">
        <v>418</v>
      </c>
      <c r="E161" s="956"/>
      <c r="F161" s="955" t="s">
        <v>419</v>
      </c>
      <c r="G161" s="956"/>
      <c r="H161" s="955" t="s">
        <v>418</v>
      </c>
      <c r="I161" s="956"/>
      <c r="J161" s="955" t="s">
        <v>419</v>
      </c>
      <c r="K161" s="956"/>
      <c r="L161" s="955" t="s">
        <v>418</v>
      </c>
      <c r="M161" s="956"/>
      <c r="N161" s="955" t="s">
        <v>419</v>
      </c>
      <c r="O161" s="956"/>
      <c r="P161" s="955" t="s">
        <v>418</v>
      </c>
      <c r="Q161" s="956"/>
      <c r="R161" s="955" t="s">
        <v>419</v>
      </c>
      <c r="S161" s="956"/>
      <c r="T161" s="955" t="s">
        <v>418</v>
      </c>
      <c r="U161" s="956"/>
      <c r="V161" s="955" t="s">
        <v>419</v>
      </c>
      <c r="W161" s="956"/>
      <c r="X161" s="880"/>
    </row>
    <row r="162" spans="1:24" ht="12.95" customHeight="1" thickBot="1">
      <c r="A162" s="885"/>
      <c r="B162" s="885"/>
      <c r="C162" s="91" t="s">
        <v>235</v>
      </c>
      <c r="D162" s="933" t="s">
        <v>172</v>
      </c>
      <c r="E162" s="934"/>
      <c r="F162" s="934"/>
      <c r="G162" s="935"/>
      <c r="H162" s="966" t="s">
        <v>572</v>
      </c>
      <c r="I162" s="967"/>
      <c r="J162" s="967"/>
      <c r="K162" s="968"/>
      <c r="L162" s="939">
        <f>SUM('State DisAgg LFx10 (2015)'!L392:M396)/5</f>
        <v>49.8</v>
      </c>
      <c r="M162" s="941"/>
      <c r="N162" s="939">
        <f>SUM('State DisAgg LFx10 (2015)'!N392:O396)/5</f>
        <v>36.6</v>
      </c>
      <c r="O162" s="941"/>
      <c r="P162" s="939">
        <f>SUM('State DisAgg LFx10 (2015)'!P392:Q396)/5</f>
        <v>63</v>
      </c>
      <c r="Q162" s="941"/>
      <c r="R162" s="939">
        <f>SUM('State DisAgg LFx10 (2015)'!R392:S396)/5</f>
        <v>39.799999999999997</v>
      </c>
      <c r="S162" s="941"/>
      <c r="T162" s="939">
        <f>SUM('State DisAgg LFx10 (2015)'!T392:U396)/5</f>
        <v>77</v>
      </c>
      <c r="U162" s="941"/>
      <c r="V162" s="939">
        <f>SUM('State DisAgg LFx10 (2015)'!V392:W396)/5</f>
        <v>69</v>
      </c>
      <c r="W162" s="941"/>
      <c r="X162" s="880"/>
    </row>
    <row r="163" spans="1:24" ht="12.95" customHeight="1" thickBot="1">
      <c r="A163" s="885"/>
      <c r="B163" s="885"/>
      <c r="C163" s="91" t="s">
        <v>233</v>
      </c>
      <c r="D163" s="957"/>
      <c r="E163" s="958"/>
      <c r="F163" s="958"/>
      <c r="G163" s="959"/>
      <c r="H163" s="966" t="s">
        <v>572</v>
      </c>
      <c r="I163" s="967"/>
      <c r="J163" s="967"/>
      <c r="K163" s="968"/>
      <c r="L163" s="939">
        <f>SUM('State DisAgg LFx10 (2015)'!L397:M399)/3</f>
        <v>28.333333333333332</v>
      </c>
      <c r="M163" s="941"/>
      <c r="N163" s="939">
        <f>SUM('State DisAgg LFx10 (2015)'!N397:O399)/3</f>
        <v>20.666666666666668</v>
      </c>
      <c r="O163" s="941"/>
      <c r="P163" s="939">
        <f>SUM('State DisAgg LFx10 (2015)'!P397:Q399)/3</f>
        <v>41.666666666666664</v>
      </c>
      <c r="Q163" s="941"/>
      <c r="R163" s="939">
        <f>SUM('State DisAgg LFx10 (2015)'!R397:S399)/3</f>
        <v>28.333333333333332</v>
      </c>
      <c r="S163" s="941"/>
      <c r="T163" s="939">
        <f>SUM('State DisAgg LFx10 (2015)'!T397:U399)/3</f>
        <v>75</v>
      </c>
      <c r="U163" s="941"/>
      <c r="V163" s="939">
        <f>SUM('State DisAgg LFx10 (2015)'!V397:W399)/3</f>
        <v>50</v>
      </c>
      <c r="W163" s="941"/>
      <c r="X163" s="880"/>
    </row>
    <row r="164" spans="1:24" ht="12.95" customHeight="1" thickBot="1">
      <c r="A164" s="885"/>
      <c r="B164" s="885"/>
      <c r="C164" s="91" t="s">
        <v>234</v>
      </c>
      <c r="D164" s="957"/>
      <c r="E164" s="958"/>
      <c r="F164" s="958"/>
      <c r="G164" s="959"/>
      <c r="H164" s="1048"/>
      <c r="I164" s="1049"/>
      <c r="J164" s="1049"/>
      <c r="K164" s="1050"/>
      <c r="L164" s="1057" t="s">
        <v>909</v>
      </c>
      <c r="M164" s="1058"/>
      <c r="N164" s="1058"/>
      <c r="O164" s="1059"/>
      <c r="P164" s="939">
        <f>SUM('State DisAgg LFx10 (2015)'!P400:Q401)/2</f>
        <v>44</v>
      </c>
      <c r="Q164" s="953"/>
      <c r="R164" s="939">
        <f>SUM('State DisAgg LFx10 (2015)'!R400:S401)/2</f>
        <v>71.5</v>
      </c>
      <c r="S164" s="953"/>
      <c r="T164" s="939">
        <f>SUM('State DisAgg LFx10 (2015)'!T400:U401)/2</f>
        <v>59</v>
      </c>
      <c r="U164" s="953"/>
      <c r="V164" s="939">
        <f>SUM('State DisAgg LFx10 (2015)'!V400:W401)/2</f>
        <v>78.5</v>
      </c>
      <c r="W164" s="953"/>
      <c r="X164" s="880"/>
    </row>
    <row r="165" spans="1:24" ht="13.5" thickBot="1">
      <c r="A165" s="885"/>
      <c r="B165" s="93" t="s">
        <v>179</v>
      </c>
      <c r="C165" s="103" t="s">
        <v>236</v>
      </c>
      <c r="D165" s="1011"/>
      <c r="E165" s="1012"/>
      <c r="F165" s="1012"/>
      <c r="G165" s="1013"/>
      <c r="H165" s="1011"/>
      <c r="I165" s="1012"/>
      <c r="J165" s="1012"/>
      <c r="K165" s="1013"/>
      <c r="L165" s="1011"/>
      <c r="M165" s="1012"/>
      <c r="N165" s="1012"/>
      <c r="O165" s="1013"/>
      <c r="P165" s="1140">
        <f>SUM('State DisAgg LFx10 (2015)'!P402:Q406)/5</f>
        <v>76</v>
      </c>
      <c r="Q165" s="1141"/>
      <c r="R165" s="1140">
        <f>SUM('State DisAgg LFx10 (2015)'!R402:S406)/5</f>
        <v>59.8</v>
      </c>
      <c r="S165" s="1141"/>
      <c r="T165" s="1140">
        <f>SUM('State DisAgg LFx10 (2015)'!T402:U406)/5</f>
        <v>0</v>
      </c>
      <c r="U165" s="1141"/>
      <c r="V165" s="1140">
        <f>SUM('State DisAgg LFx10 (2015)'!V402:W406)/5</f>
        <v>0</v>
      </c>
      <c r="W165" s="1141"/>
      <c r="X165" s="880"/>
    </row>
    <row r="166" spans="1:24" ht="13.5" thickBot="1">
      <c r="A166" s="885"/>
      <c r="B166" s="93"/>
      <c r="C166" s="102" t="s">
        <v>283</v>
      </c>
      <c r="D166" s="1017"/>
      <c r="E166" s="1018"/>
      <c r="F166" s="1018"/>
      <c r="G166" s="1019"/>
      <c r="H166" s="1017"/>
      <c r="I166" s="1018"/>
      <c r="J166" s="1018"/>
      <c r="K166" s="1019"/>
      <c r="L166" s="1011"/>
      <c r="M166" s="1012"/>
      <c r="N166" s="1012"/>
      <c r="O166" s="1013"/>
      <c r="P166" s="1140">
        <f>SUM('State DisAgg LFx10 (2015)'!P407:Q409)/3</f>
        <v>42.666666666666664</v>
      </c>
      <c r="Q166" s="1141"/>
      <c r="R166" s="1140">
        <f>SUM('State DisAgg LFx10 (2015)'!R407:S409)/3</f>
        <v>27.333333333333332</v>
      </c>
      <c r="S166" s="1141"/>
      <c r="T166" s="1140">
        <f>SUM('State DisAgg LFx10 (2015)'!T407:U409)/3</f>
        <v>0</v>
      </c>
      <c r="U166" s="1141"/>
      <c r="V166" s="1140">
        <f>SUM('State DisAgg LFx10 (2015)'!V407:W409)/3</f>
        <v>0</v>
      </c>
      <c r="W166" s="1141"/>
      <c r="X166" s="880"/>
    </row>
    <row r="167" spans="1:24" ht="13.5" thickBot="1">
      <c r="A167" s="885"/>
      <c r="B167" s="93"/>
      <c r="C167" s="102" t="s">
        <v>284</v>
      </c>
      <c r="D167" s="1017"/>
      <c r="E167" s="1018"/>
      <c r="F167" s="1018"/>
      <c r="G167" s="1019"/>
      <c r="H167" s="1017"/>
      <c r="I167" s="1018"/>
      <c r="J167" s="1018"/>
      <c r="K167" s="1019"/>
      <c r="L167" s="1017"/>
      <c r="M167" s="1018"/>
      <c r="N167" s="1018"/>
      <c r="O167" s="1019"/>
      <c r="P167" s="1017"/>
      <c r="Q167" s="1018"/>
      <c r="R167" s="1018"/>
      <c r="S167" s="1019"/>
      <c r="T167" s="1140">
        <f>SUM('State DisAgg LFx10 (2015)'!T410:U411)/2</f>
        <v>0</v>
      </c>
      <c r="U167" s="1141"/>
      <c r="V167" s="1140">
        <f>SUM('State DisAgg LFx10 (2015)'!V410:W411)/2</f>
        <v>0</v>
      </c>
      <c r="W167" s="1141"/>
      <c r="X167" s="880"/>
    </row>
    <row r="168" spans="1:24" ht="13.5" thickBot="1">
      <c r="A168" s="885"/>
      <c r="B168" s="885"/>
      <c r="C168" s="1142" t="s">
        <v>413</v>
      </c>
      <c r="D168" s="927" t="s">
        <v>4</v>
      </c>
      <c r="E168" s="928"/>
      <c r="F168" s="928"/>
      <c r="G168" s="928"/>
      <c r="H168" s="928"/>
      <c r="I168" s="928"/>
      <c r="J168" s="928"/>
      <c r="K168" s="928"/>
      <c r="L168" s="928"/>
      <c r="M168" s="928"/>
      <c r="N168" s="928"/>
      <c r="O168" s="928"/>
      <c r="P168" s="928"/>
      <c r="Q168" s="928"/>
      <c r="R168" s="928"/>
      <c r="S168" s="928"/>
      <c r="T168" s="928"/>
      <c r="U168" s="928"/>
      <c r="V168" s="928"/>
      <c r="W168" s="929"/>
      <c r="X168" s="880"/>
    </row>
    <row r="169" spans="1:24" ht="24" customHeight="1" thickBot="1">
      <c r="A169" s="885"/>
      <c r="B169" s="869"/>
      <c r="C169" s="1143"/>
      <c r="D169" s="930" t="s">
        <v>121</v>
      </c>
      <c r="E169" s="931"/>
      <c r="F169" s="931"/>
      <c r="G169" s="931"/>
      <c r="H169" s="931"/>
      <c r="I169" s="931"/>
      <c r="J169" s="931"/>
      <c r="K169" s="931"/>
      <c r="L169" s="931"/>
      <c r="M169" s="931"/>
      <c r="N169" s="931"/>
      <c r="O169" s="931"/>
      <c r="P169" s="931"/>
      <c r="Q169" s="931"/>
      <c r="R169" s="931"/>
      <c r="S169" s="931"/>
      <c r="T169" s="931"/>
      <c r="U169" s="931"/>
      <c r="V169" s="931"/>
      <c r="W169" s="932"/>
      <c r="X169" s="880"/>
    </row>
    <row r="170" spans="1:24" ht="13.5" thickBot="1">
      <c r="A170" s="885"/>
      <c r="B170" s="11" t="s">
        <v>40</v>
      </c>
      <c r="C170" s="12"/>
      <c r="D170" s="927" t="s">
        <v>78</v>
      </c>
      <c r="E170" s="928"/>
      <c r="F170" s="928"/>
      <c r="G170" s="929"/>
      <c r="H170" s="927" t="s">
        <v>77</v>
      </c>
      <c r="I170" s="928"/>
      <c r="J170" s="928"/>
      <c r="K170" s="929"/>
      <c r="L170" s="927" t="s">
        <v>81</v>
      </c>
      <c r="M170" s="928"/>
      <c r="N170" s="928"/>
      <c r="O170" s="929"/>
      <c r="P170" s="927" t="s">
        <v>254</v>
      </c>
      <c r="Q170" s="928"/>
      <c r="R170" s="928"/>
      <c r="S170" s="929"/>
      <c r="T170" s="927" t="s">
        <v>76</v>
      </c>
      <c r="U170" s="928"/>
      <c r="V170" s="928"/>
      <c r="W170" s="929"/>
      <c r="X170" s="880"/>
    </row>
    <row r="171" spans="1:24" ht="12.95" customHeight="1" thickBot="1">
      <c r="A171" s="885"/>
      <c r="B171" s="868" t="s">
        <v>644</v>
      </c>
      <c r="C171" s="9" t="s">
        <v>235</v>
      </c>
      <c r="D171" s="933" t="s">
        <v>171</v>
      </c>
      <c r="E171" s="934"/>
      <c r="F171" s="934"/>
      <c r="G171" s="935"/>
      <c r="H171" s="966" t="s">
        <v>572</v>
      </c>
      <c r="I171" s="967"/>
      <c r="J171" s="967"/>
      <c r="K171" s="968"/>
      <c r="L171" s="963">
        <f>SUM('State DisAgg LFx10 (2015)'!L415:O419)/5</f>
        <v>3.4799999999999995</v>
      </c>
      <c r="M171" s="964"/>
      <c r="N171" s="964"/>
      <c r="O171" s="965"/>
      <c r="P171" s="963">
        <f>SUM('State DisAgg LFx10 (2015)'!P415:S419)/5</f>
        <v>3.78</v>
      </c>
      <c r="Q171" s="964"/>
      <c r="R171" s="964"/>
      <c r="S171" s="965"/>
      <c r="T171" s="963">
        <f>SUM('State DisAgg LFx10 (2015)'!T415:W419)/5</f>
        <v>4.0999999999999996</v>
      </c>
      <c r="U171" s="964"/>
      <c r="V171" s="964"/>
      <c r="W171" s="965"/>
      <c r="X171" s="880"/>
    </row>
    <row r="172" spans="1:24" ht="12.95" customHeight="1" thickBot="1">
      <c r="A172" s="885"/>
      <c r="B172" s="885"/>
      <c r="C172" s="9" t="s">
        <v>233</v>
      </c>
      <c r="D172" s="957"/>
      <c r="E172" s="958"/>
      <c r="F172" s="958"/>
      <c r="G172" s="959"/>
      <c r="H172" s="966" t="s">
        <v>572</v>
      </c>
      <c r="I172" s="967"/>
      <c r="J172" s="967"/>
      <c r="K172" s="968"/>
      <c r="L172" s="963">
        <f>SUM('State DisAgg LFx10 (2015)'!L420:O422)/3</f>
        <v>2.0333333333333332</v>
      </c>
      <c r="M172" s="964"/>
      <c r="N172" s="964"/>
      <c r="O172" s="965"/>
      <c r="P172" s="963">
        <f>SUM('State DisAgg LFx10 (2015)'!P420:S422)/3</f>
        <v>2.3333333333333335</v>
      </c>
      <c r="Q172" s="964"/>
      <c r="R172" s="964"/>
      <c r="S172" s="965"/>
      <c r="T172" s="963">
        <f>SUM('State DisAgg LFx10 (2015)'!T420:W422)/3</f>
        <v>3.1666666666666665</v>
      </c>
      <c r="U172" s="964"/>
      <c r="V172" s="964"/>
      <c r="W172" s="965"/>
      <c r="X172" s="880"/>
    </row>
    <row r="173" spans="1:24" ht="12.95" customHeight="1" thickBot="1">
      <c r="A173" s="885"/>
      <c r="B173" s="885"/>
      <c r="C173" s="9" t="s">
        <v>234</v>
      </c>
      <c r="D173" s="957"/>
      <c r="E173" s="958"/>
      <c r="F173" s="958"/>
      <c r="G173" s="959"/>
      <c r="H173" s="1048"/>
      <c r="I173" s="1049"/>
      <c r="J173" s="1049"/>
      <c r="K173" s="1050"/>
      <c r="L173" s="1057" t="s">
        <v>909</v>
      </c>
      <c r="M173" s="1058"/>
      <c r="N173" s="1058"/>
      <c r="O173" s="1059"/>
      <c r="P173" s="963">
        <f>SUM('State DisAgg LFx10 (2015)'!P423:S424)/2</f>
        <v>2.8</v>
      </c>
      <c r="Q173" s="964"/>
      <c r="R173" s="964"/>
      <c r="S173" s="965"/>
      <c r="T173" s="963">
        <f>SUM('State DisAgg LFx10 (2015)'!T423:W424)/2</f>
        <v>3.2</v>
      </c>
      <c r="U173" s="964"/>
      <c r="V173" s="964"/>
      <c r="W173" s="965"/>
      <c r="X173" s="880"/>
    </row>
    <row r="174" spans="1:24" ht="13.5" thickBot="1">
      <c r="A174" s="885"/>
      <c r="B174" s="885"/>
      <c r="C174" s="102" t="s">
        <v>236</v>
      </c>
      <c r="D174" s="1011"/>
      <c r="E174" s="1012"/>
      <c r="F174" s="1012"/>
      <c r="G174" s="1013"/>
      <c r="H174" s="1011"/>
      <c r="I174" s="1012"/>
      <c r="J174" s="1012"/>
      <c r="K174" s="1013"/>
      <c r="L174" s="1011"/>
      <c r="M174" s="1012"/>
      <c r="N174" s="1012"/>
      <c r="O174" s="1013"/>
      <c r="P174" s="1147">
        <f>SUM('State DisAgg LFx10 (2015)'!P425:S429)/5</f>
        <v>3.7199999999999998</v>
      </c>
      <c r="Q174" s="1148"/>
      <c r="R174" s="1148"/>
      <c r="S174" s="1149"/>
      <c r="T174" s="1147">
        <f>SUM('State DisAgg LFx10 (2015)'!T425:W429)/5</f>
        <v>0</v>
      </c>
      <c r="U174" s="1148"/>
      <c r="V174" s="1148"/>
      <c r="W174" s="1149"/>
      <c r="X174" s="881"/>
    </row>
    <row r="175" spans="1:24" ht="13.5" thickBot="1">
      <c r="A175" s="885"/>
      <c r="B175" s="885"/>
      <c r="C175" s="102" t="s">
        <v>283</v>
      </c>
      <c r="D175" s="1017"/>
      <c r="E175" s="1018"/>
      <c r="F175" s="1018"/>
      <c r="G175" s="1019"/>
      <c r="H175" s="1017"/>
      <c r="I175" s="1018"/>
      <c r="J175" s="1018"/>
      <c r="K175" s="1019"/>
      <c r="L175" s="1011"/>
      <c r="M175" s="1012"/>
      <c r="N175" s="1012"/>
      <c r="O175" s="1013"/>
      <c r="P175" s="1147">
        <f>SUM('State DisAgg LFx10 (2015)'!P430:S432)/3</f>
        <v>2.5</v>
      </c>
      <c r="Q175" s="1148"/>
      <c r="R175" s="1148"/>
      <c r="S175" s="1149"/>
      <c r="T175" s="1147">
        <f>SUM('State DisAgg LFx10 (2015)'!T430:W432)/3</f>
        <v>0</v>
      </c>
      <c r="U175" s="1148"/>
      <c r="V175" s="1148"/>
      <c r="W175" s="1149"/>
      <c r="X175" s="101"/>
    </row>
    <row r="176" spans="1:24" ht="13.5" thickBot="1">
      <c r="A176" s="869"/>
      <c r="B176" s="885"/>
      <c r="C176" s="102" t="s">
        <v>284</v>
      </c>
      <c r="D176" s="1017"/>
      <c r="E176" s="1018"/>
      <c r="F176" s="1018"/>
      <c r="G176" s="1019"/>
      <c r="H176" s="1017"/>
      <c r="I176" s="1018"/>
      <c r="J176" s="1018"/>
      <c r="K176" s="1019"/>
      <c r="L176" s="1017"/>
      <c r="M176" s="1018"/>
      <c r="N176" s="1018"/>
      <c r="O176" s="1019"/>
      <c r="P176" s="1017"/>
      <c r="Q176" s="1018"/>
      <c r="R176" s="1018"/>
      <c r="S176" s="1019"/>
      <c r="T176" s="1147">
        <f>SUM('State DisAgg LFx10 (2015)'!T433:W434)/2</f>
        <v>0</v>
      </c>
      <c r="U176" s="1148"/>
      <c r="V176" s="1148"/>
      <c r="W176" s="1149"/>
      <c r="X176" s="101"/>
    </row>
    <row r="177" spans="1:24" ht="13.5" thickBot="1">
      <c r="A177" s="96" t="s">
        <v>13</v>
      </c>
      <c r="B177" s="885"/>
      <c r="C177" s="1142" t="s">
        <v>413</v>
      </c>
      <c r="D177" s="927" t="s">
        <v>4</v>
      </c>
      <c r="E177" s="928"/>
      <c r="F177" s="928"/>
      <c r="G177" s="928"/>
      <c r="H177" s="928"/>
      <c r="I177" s="928"/>
      <c r="J177" s="928"/>
      <c r="K177" s="928"/>
      <c r="L177" s="928"/>
      <c r="M177" s="928"/>
      <c r="N177" s="928"/>
      <c r="O177" s="928"/>
      <c r="P177" s="928"/>
      <c r="Q177" s="928"/>
      <c r="R177" s="928"/>
      <c r="S177" s="928"/>
      <c r="T177" s="928"/>
      <c r="U177" s="928"/>
      <c r="V177" s="928"/>
      <c r="W177" s="929"/>
      <c r="X177" s="24" t="s">
        <v>14</v>
      </c>
    </row>
    <row r="178" spans="1:24" ht="13.5" thickBot="1">
      <c r="A178" s="25" t="s">
        <v>75</v>
      </c>
      <c r="B178" s="869"/>
      <c r="C178" s="1143"/>
      <c r="D178" s="930" t="s">
        <v>122</v>
      </c>
      <c r="E178" s="931"/>
      <c r="F178" s="931"/>
      <c r="G178" s="931"/>
      <c r="H178" s="931"/>
      <c r="I178" s="931"/>
      <c r="J178" s="931"/>
      <c r="K178" s="931"/>
      <c r="L178" s="931"/>
      <c r="M178" s="931"/>
      <c r="N178" s="931"/>
      <c r="O178" s="931"/>
      <c r="P178" s="931"/>
      <c r="Q178" s="931"/>
      <c r="R178" s="931"/>
      <c r="S178" s="931"/>
      <c r="T178" s="931"/>
      <c r="U178" s="931"/>
      <c r="V178" s="931"/>
      <c r="W178" s="932"/>
      <c r="X178" s="18" t="s">
        <v>92</v>
      </c>
    </row>
    <row r="179" spans="1:24" ht="13.5" thickBot="1">
      <c r="A179" s="906" t="s">
        <v>7</v>
      </c>
      <c r="B179" s="908" t="s">
        <v>173</v>
      </c>
      <c r="C179" s="918"/>
      <c r="D179" s="908" t="s">
        <v>8</v>
      </c>
      <c r="E179" s="918"/>
      <c r="F179" s="918"/>
      <c r="G179" s="909"/>
      <c r="H179" s="908" t="s">
        <v>88</v>
      </c>
      <c r="I179" s="918"/>
      <c r="J179" s="918"/>
      <c r="K179" s="909"/>
      <c r="L179" s="908" t="s">
        <v>89</v>
      </c>
      <c r="M179" s="918"/>
      <c r="N179" s="918"/>
      <c r="O179" s="909"/>
      <c r="P179" s="908" t="s">
        <v>9</v>
      </c>
      <c r="Q179" s="918"/>
      <c r="R179" s="918"/>
      <c r="S179" s="909"/>
      <c r="T179" s="908" t="s">
        <v>174</v>
      </c>
      <c r="U179" s="918"/>
      <c r="V179" s="918"/>
      <c r="W179" s="918"/>
      <c r="X179" s="909"/>
    </row>
    <row r="180" spans="1:24" ht="13.5" thickBot="1">
      <c r="A180" s="907"/>
      <c r="B180" s="919">
        <v>4200000</v>
      </c>
      <c r="C180" s="921"/>
      <c r="D180" s="919">
        <v>0</v>
      </c>
      <c r="E180" s="921"/>
      <c r="F180" s="921"/>
      <c r="G180" s="920"/>
      <c r="H180" s="919">
        <v>3200000</v>
      </c>
      <c r="I180" s="921"/>
      <c r="J180" s="921"/>
      <c r="K180" s="920"/>
      <c r="L180" s="919">
        <v>0</v>
      </c>
      <c r="M180" s="921"/>
      <c r="N180" s="921"/>
      <c r="O180" s="920"/>
      <c r="P180" s="919">
        <f>SUM(B180:O180)</f>
        <v>7400000</v>
      </c>
      <c r="Q180" s="921"/>
      <c r="R180" s="921"/>
      <c r="S180" s="920"/>
      <c r="T180" s="942">
        <f>B180/P180%</f>
        <v>56.756756756756758</v>
      </c>
      <c r="U180" s="943"/>
      <c r="V180" s="943"/>
      <c r="W180" s="943"/>
      <c r="X180" s="944"/>
    </row>
    <row r="181" spans="1:24" ht="13.5" thickBot="1">
      <c r="A181" s="906" t="s">
        <v>10</v>
      </c>
      <c r="B181" s="908" t="s">
        <v>175</v>
      </c>
      <c r="C181" s="918"/>
      <c r="D181" s="910"/>
      <c r="E181" s="911"/>
      <c r="F181" s="911"/>
      <c r="G181" s="911"/>
      <c r="H181" s="911"/>
      <c r="I181" s="911"/>
      <c r="J181" s="911"/>
      <c r="K181" s="911"/>
      <c r="L181" s="911"/>
      <c r="M181" s="911"/>
      <c r="N181" s="911"/>
      <c r="O181" s="911"/>
      <c r="P181" s="911"/>
      <c r="Q181" s="911"/>
      <c r="R181" s="911"/>
      <c r="S181" s="911"/>
      <c r="T181" s="911"/>
      <c r="U181" s="911"/>
      <c r="V181" s="911"/>
      <c r="W181" s="911"/>
      <c r="X181" s="912"/>
    </row>
    <row r="182" spans="1:24" ht="13.5" thickBot="1">
      <c r="A182" s="907"/>
      <c r="B182" s="916"/>
      <c r="C182" s="994"/>
      <c r="D182" s="913"/>
      <c r="E182" s="914"/>
      <c r="F182" s="914"/>
      <c r="G182" s="914"/>
      <c r="H182" s="914"/>
      <c r="I182" s="914"/>
      <c r="J182" s="914"/>
      <c r="K182" s="914"/>
      <c r="L182" s="914"/>
      <c r="M182" s="914"/>
      <c r="N182" s="914"/>
      <c r="O182" s="914"/>
      <c r="P182" s="914"/>
      <c r="Q182" s="914"/>
      <c r="R182" s="914"/>
      <c r="S182" s="914"/>
      <c r="T182" s="914"/>
      <c r="U182" s="914"/>
      <c r="V182" s="914"/>
      <c r="W182" s="914"/>
      <c r="X182" s="915"/>
    </row>
    <row r="183" spans="1:24">
      <c r="A183" s="5"/>
      <c r="B183" s="5"/>
      <c r="C183" s="6"/>
      <c r="D183" s="5"/>
      <c r="E183" s="5"/>
      <c r="F183" s="5"/>
      <c r="G183" s="5"/>
      <c r="H183" s="5"/>
      <c r="I183" s="5"/>
      <c r="J183" s="5"/>
      <c r="K183" s="5"/>
      <c r="L183" s="5"/>
      <c r="M183" s="5"/>
      <c r="N183" s="5"/>
      <c r="O183" s="5"/>
      <c r="P183" s="5"/>
      <c r="Q183" s="5"/>
      <c r="R183" s="5"/>
      <c r="S183" s="5"/>
      <c r="T183" s="5"/>
      <c r="U183" s="5"/>
      <c r="V183" s="5"/>
      <c r="W183" s="5"/>
      <c r="X183" s="5"/>
    </row>
    <row r="184" spans="1:24" ht="13.5" thickBot="1">
      <c r="A184" s="5"/>
      <c r="B184" s="5"/>
      <c r="C184" s="6"/>
      <c r="D184" s="5"/>
      <c r="E184" s="5"/>
      <c r="F184" s="5"/>
      <c r="G184" s="5"/>
      <c r="H184" s="5"/>
      <c r="I184" s="5"/>
      <c r="J184" s="5"/>
      <c r="K184" s="5"/>
      <c r="L184" s="5"/>
      <c r="M184" s="5"/>
      <c r="N184" s="5"/>
      <c r="O184" s="5"/>
      <c r="P184" s="5"/>
      <c r="Q184" s="5"/>
      <c r="R184" s="5"/>
      <c r="S184" s="5"/>
      <c r="T184" s="5"/>
      <c r="U184" s="5"/>
      <c r="V184" s="5"/>
      <c r="W184" s="5"/>
      <c r="X184" s="5"/>
    </row>
    <row r="185" spans="1:24" ht="13.5" thickBot="1">
      <c r="A185" s="95" t="s">
        <v>28</v>
      </c>
      <c r="B185" s="97" t="s">
        <v>32</v>
      </c>
      <c r="C185" s="8"/>
      <c r="D185" s="927" t="s">
        <v>78</v>
      </c>
      <c r="E185" s="928"/>
      <c r="F185" s="928"/>
      <c r="G185" s="929"/>
      <c r="H185" s="927" t="s">
        <v>77</v>
      </c>
      <c r="I185" s="928"/>
      <c r="J185" s="928"/>
      <c r="K185" s="929"/>
      <c r="L185" s="927" t="s">
        <v>81</v>
      </c>
      <c r="M185" s="928"/>
      <c r="N185" s="928"/>
      <c r="O185" s="929"/>
      <c r="P185" s="927" t="s">
        <v>254</v>
      </c>
      <c r="Q185" s="928"/>
      <c r="R185" s="928"/>
      <c r="S185" s="929"/>
      <c r="T185" s="927" t="s">
        <v>76</v>
      </c>
      <c r="U185" s="928"/>
      <c r="V185" s="928"/>
      <c r="W185" s="929"/>
      <c r="X185" s="16" t="s">
        <v>6</v>
      </c>
    </row>
    <row r="186" spans="1:24" ht="13.5" thickBot="1">
      <c r="A186" s="868" t="s">
        <v>65</v>
      </c>
      <c r="B186" s="868" t="s">
        <v>66</v>
      </c>
      <c r="C186" s="9" t="s">
        <v>235</v>
      </c>
      <c r="D186" s="942">
        <f>SUM('State DisAgg LFx10 (2015)'!D444:G448)/5</f>
        <v>1.2</v>
      </c>
      <c r="E186" s="943"/>
      <c r="F186" s="943"/>
      <c r="G186" s="944"/>
      <c r="H186" s="942">
        <f>SUM('State DisAgg LFx10 (2015)'!H444:K448)/5</f>
        <v>1.9</v>
      </c>
      <c r="I186" s="943"/>
      <c r="J186" s="943"/>
      <c r="K186" s="944"/>
      <c r="L186" s="963">
        <f>SUM('State DisAgg LFx10 (2015)'!L444:O448)/5</f>
        <v>2.5</v>
      </c>
      <c r="M186" s="964"/>
      <c r="N186" s="964"/>
      <c r="O186" s="965"/>
      <c r="P186" s="963">
        <f>SUM('State DisAgg LFx10 (2015)'!P444:S448)/5</f>
        <v>2.7800000000000002</v>
      </c>
      <c r="Q186" s="964"/>
      <c r="R186" s="964"/>
      <c r="S186" s="965"/>
      <c r="T186" s="963">
        <f>SUM('State DisAgg LFx10 (2015)'!T444:W448)/5</f>
        <v>3.5200000000000005</v>
      </c>
      <c r="U186" s="964"/>
      <c r="V186" s="964"/>
      <c r="W186" s="965"/>
      <c r="X186" s="879" t="s">
        <v>91</v>
      </c>
    </row>
    <row r="187" spans="1:24" ht="13.5" thickBot="1">
      <c r="A187" s="885"/>
      <c r="B187" s="885"/>
      <c r="C187" s="9" t="s">
        <v>233</v>
      </c>
      <c r="D187" s="966" t="s">
        <v>255</v>
      </c>
      <c r="E187" s="967"/>
      <c r="F187" s="967"/>
      <c r="G187" s="968"/>
      <c r="H187" s="942">
        <f>SUM('State DisAgg LFx10 (2015)'!H449:K451)/3</f>
        <v>1.5</v>
      </c>
      <c r="I187" s="943"/>
      <c r="J187" s="943"/>
      <c r="K187" s="944"/>
      <c r="L187" s="963">
        <f>SUM('State DisAgg LFx10 (2015)'!L449:O451)/3</f>
        <v>1.5</v>
      </c>
      <c r="M187" s="964"/>
      <c r="N187" s="964"/>
      <c r="O187" s="965"/>
      <c r="P187" s="963">
        <f>SUM('State DisAgg LFx10 (2015)'!P449:S451)/3</f>
        <v>1.8333333333333333</v>
      </c>
      <c r="Q187" s="964"/>
      <c r="R187" s="964"/>
      <c r="S187" s="965"/>
      <c r="T187" s="963">
        <f>SUM('State DisAgg LFx10 (2015)'!T449:W451)/3</f>
        <v>3.4</v>
      </c>
      <c r="U187" s="964"/>
      <c r="V187" s="964"/>
      <c r="W187" s="965"/>
      <c r="X187" s="880"/>
    </row>
    <row r="188" spans="1:24" ht="12.95" customHeight="1" thickBot="1">
      <c r="A188" s="885"/>
      <c r="B188" s="885"/>
      <c r="C188" s="9" t="s">
        <v>234</v>
      </c>
      <c r="D188" s="957"/>
      <c r="E188" s="958"/>
      <c r="F188" s="958"/>
      <c r="G188" s="959"/>
      <c r="H188" s="1048"/>
      <c r="I188" s="1049"/>
      <c r="J188" s="1049"/>
      <c r="K188" s="1050"/>
      <c r="L188" s="1057" t="s">
        <v>910</v>
      </c>
      <c r="M188" s="1058"/>
      <c r="N188" s="1058"/>
      <c r="O188" s="1059"/>
      <c r="P188" s="963">
        <f>SUM('State DisAgg LFx10 (2015)'!P452:S453)/2</f>
        <v>1.25</v>
      </c>
      <c r="Q188" s="964"/>
      <c r="R188" s="964"/>
      <c r="S188" s="965"/>
      <c r="T188" s="963">
        <f>SUM('State DisAgg LFx10 (2015)'!T452:W453)/2</f>
        <v>2.0499999999999998</v>
      </c>
      <c r="U188" s="964"/>
      <c r="V188" s="964"/>
      <c r="W188" s="965"/>
      <c r="X188" s="880"/>
    </row>
    <row r="189" spans="1:24" ht="13.5" thickBot="1">
      <c r="A189" s="885"/>
      <c r="B189" s="885"/>
      <c r="C189" s="102" t="s">
        <v>236</v>
      </c>
      <c r="D189" s="1008" t="s">
        <v>587</v>
      </c>
      <c r="E189" s="1009"/>
      <c r="F189" s="1009"/>
      <c r="G189" s="1010"/>
      <c r="H189" s="1147">
        <f>SUM('State DisAgg LFx10 (2015)'!H454:K458)/5</f>
        <v>1.92</v>
      </c>
      <c r="I189" s="1148"/>
      <c r="J189" s="1148"/>
      <c r="K189" s="1149"/>
      <c r="L189" s="1147">
        <f>SUM('State DisAgg LFx10 (2015)'!L454:O458)/5</f>
        <v>2.66</v>
      </c>
      <c r="M189" s="1148"/>
      <c r="N189" s="1148"/>
      <c r="O189" s="1149"/>
      <c r="P189" s="1147">
        <f>SUM('State DisAgg LFx10 (2015)'!P454:S458)/5</f>
        <v>3.04</v>
      </c>
      <c r="Q189" s="1148"/>
      <c r="R189" s="1148"/>
      <c r="S189" s="1149"/>
      <c r="T189" s="1147">
        <f>SUM('State DisAgg LFx10 (2015)'!T454:W458)/5</f>
        <v>0</v>
      </c>
      <c r="U189" s="1148"/>
      <c r="V189" s="1148"/>
      <c r="W189" s="1149"/>
      <c r="X189" s="880"/>
    </row>
    <row r="190" spans="1:24" ht="13.5" thickBot="1">
      <c r="A190" s="885"/>
      <c r="B190" s="885"/>
      <c r="C190" s="102" t="s">
        <v>283</v>
      </c>
      <c r="D190" s="1017"/>
      <c r="E190" s="1018"/>
      <c r="F190" s="1018"/>
      <c r="G190" s="1019"/>
      <c r="H190" s="1017"/>
      <c r="I190" s="1018"/>
      <c r="J190" s="1018"/>
      <c r="K190" s="1019"/>
      <c r="L190" s="1147">
        <f>SUM('State DisAgg LFx10 (2015)'!L459:O461)/3</f>
        <v>1.5</v>
      </c>
      <c r="M190" s="1148"/>
      <c r="N190" s="1148"/>
      <c r="O190" s="1149"/>
      <c r="P190" s="1147">
        <f>SUM('State DisAgg LFx10 (2015)'!P459:S461)/3</f>
        <v>2.6999999999999997</v>
      </c>
      <c r="Q190" s="1148"/>
      <c r="R190" s="1148"/>
      <c r="S190" s="1149"/>
      <c r="T190" s="1147">
        <f>SUM('State DisAgg LFx10 (2015)'!T459:W461)/3</f>
        <v>0</v>
      </c>
      <c r="U190" s="1148"/>
      <c r="V190" s="1148"/>
      <c r="W190" s="1149"/>
      <c r="X190" s="880"/>
    </row>
    <row r="191" spans="1:24" ht="13.5" thickBot="1">
      <c r="A191" s="885"/>
      <c r="B191" s="885"/>
      <c r="C191" s="102" t="s">
        <v>284</v>
      </c>
      <c r="D191" s="1017"/>
      <c r="E191" s="1018"/>
      <c r="F191" s="1018"/>
      <c r="G191" s="1019"/>
      <c r="H191" s="1017"/>
      <c r="I191" s="1018"/>
      <c r="J191" s="1018"/>
      <c r="K191" s="1019"/>
      <c r="L191" s="1017"/>
      <c r="M191" s="1018"/>
      <c r="N191" s="1018"/>
      <c r="O191" s="1019"/>
      <c r="P191" s="1017"/>
      <c r="Q191" s="1018"/>
      <c r="R191" s="1018"/>
      <c r="S191" s="1019"/>
      <c r="T191" s="1147">
        <f>SUM('State DisAgg LFx10 (2015)'!T462:W463)/2</f>
        <v>0</v>
      </c>
      <c r="U191" s="1148"/>
      <c r="V191" s="1148"/>
      <c r="W191" s="1149"/>
      <c r="X191" s="880"/>
    </row>
    <row r="192" spans="1:24" ht="13.5" thickBot="1">
      <c r="A192" s="885"/>
      <c r="B192" s="885"/>
      <c r="C192" s="1142" t="s">
        <v>413</v>
      </c>
      <c r="D192" s="927" t="s">
        <v>4</v>
      </c>
      <c r="E192" s="928"/>
      <c r="F192" s="928"/>
      <c r="G192" s="928"/>
      <c r="H192" s="928"/>
      <c r="I192" s="928"/>
      <c r="J192" s="928"/>
      <c r="K192" s="928"/>
      <c r="L192" s="928"/>
      <c r="M192" s="928"/>
      <c r="N192" s="928"/>
      <c r="O192" s="928"/>
      <c r="P192" s="928"/>
      <c r="Q192" s="928"/>
      <c r="R192" s="928"/>
      <c r="S192" s="928"/>
      <c r="T192" s="928"/>
      <c r="U192" s="928"/>
      <c r="V192" s="928"/>
      <c r="W192" s="929"/>
      <c r="X192" s="880"/>
    </row>
    <row r="193" spans="1:24" ht="13.5" thickBot="1">
      <c r="A193" s="885"/>
      <c r="B193" s="869"/>
      <c r="C193" s="1143"/>
      <c r="D193" s="930" t="s">
        <v>123</v>
      </c>
      <c r="E193" s="931"/>
      <c r="F193" s="931"/>
      <c r="G193" s="931"/>
      <c r="H193" s="931"/>
      <c r="I193" s="931"/>
      <c r="J193" s="931"/>
      <c r="K193" s="931"/>
      <c r="L193" s="931"/>
      <c r="M193" s="931"/>
      <c r="N193" s="931"/>
      <c r="O193" s="931"/>
      <c r="P193" s="931"/>
      <c r="Q193" s="931"/>
      <c r="R193" s="931"/>
      <c r="S193" s="931"/>
      <c r="T193" s="931"/>
      <c r="U193" s="931"/>
      <c r="V193" s="931"/>
      <c r="W193" s="932"/>
      <c r="X193" s="880"/>
    </row>
    <row r="194" spans="1:24" ht="13.5" thickBot="1">
      <c r="A194" s="885"/>
      <c r="B194" s="11" t="s">
        <v>33</v>
      </c>
      <c r="C194" s="12"/>
      <c r="D194" s="927" t="s">
        <v>78</v>
      </c>
      <c r="E194" s="928"/>
      <c r="F194" s="928"/>
      <c r="G194" s="929"/>
      <c r="H194" s="927" t="s">
        <v>77</v>
      </c>
      <c r="I194" s="928"/>
      <c r="J194" s="928"/>
      <c r="K194" s="929"/>
      <c r="L194" s="927" t="s">
        <v>81</v>
      </c>
      <c r="M194" s="928"/>
      <c r="N194" s="928"/>
      <c r="O194" s="929"/>
      <c r="P194" s="927" t="s">
        <v>254</v>
      </c>
      <c r="Q194" s="928"/>
      <c r="R194" s="928"/>
      <c r="S194" s="929"/>
      <c r="T194" s="927" t="s">
        <v>76</v>
      </c>
      <c r="U194" s="928"/>
      <c r="V194" s="928"/>
      <c r="W194" s="929"/>
      <c r="X194" s="880"/>
    </row>
    <row r="195" spans="1:24" ht="13.5" thickBot="1">
      <c r="A195" s="885"/>
      <c r="B195" s="868" t="s">
        <v>67</v>
      </c>
      <c r="C195" s="9" t="s">
        <v>235</v>
      </c>
      <c r="D195" s="942">
        <f>SUM('State DisAgg LFx10 (2015)'!D467:G471)/5</f>
        <v>1.2</v>
      </c>
      <c r="E195" s="943"/>
      <c r="F195" s="943"/>
      <c r="G195" s="944"/>
      <c r="H195" s="942">
        <f>SUM('State DisAgg LFx10 (2015)'!H467:K471)/5</f>
        <v>1.8</v>
      </c>
      <c r="I195" s="943"/>
      <c r="J195" s="943"/>
      <c r="K195" s="944"/>
      <c r="L195" s="963">
        <f>SUM('State DisAgg LFx10 (2015)'!L467:O471)/5</f>
        <v>2.7</v>
      </c>
      <c r="M195" s="964"/>
      <c r="N195" s="964"/>
      <c r="O195" s="965"/>
      <c r="P195" s="963">
        <f>SUM('State DisAgg LFx10 (2015)'!P467:S471)/5</f>
        <v>3.12</v>
      </c>
      <c r="Q195" s="964"/>
      <c r="R195" s="964"/>
      <c r="S195" s="965"/>
      <c r="T195" s="963">
        <f>SUM('State DisAgg LFx10 (2015)'!T467:W471)/5</f>
        <v>4.2</v>
      </c>
      <c r="U195" s="964"/>
      <c r="V195" s="964"/>
      <c r="W195" s="965"/>
      <c r="X195" s="880"/>
    </row>
    <row r="196" spans="1:24" ht="13.5" thickBot="1">
      <c r="A196" s="885"/>
      <c r="B196" s="885"/>
      <c r="C196" s="9" t="s">
        <v>233</v>
      </c>
      <c r="D196" s="966" t="s">
        <v>255</v>
      </c>
      <c r="E196" s="967"/>
      <c r="F196" s="967"/>
      <c r="G196" s="968"/>
      <c r="H196" s="942">
        <f>SUM('State DisAgg LFx10 (2015)'!H472:K474)/3</f>
        <v>2.4666666666666668</v>
      </c>
      <c r="I196" s="943"/>
      <c r="J196" s="943"/>
      <c r="K196" s="944"/>
      <c r="L196" s="963">
        <f>SUM('State DisAgg LFx10 (2015)'!L472:O474)/3</f>
        <v>2.4666666666666668</v>
      </c>
      <c r="M196" s="964"/>
      <c r="N196" s="964"/>
      <c r="O196" s="965"/>
      <c r="P196" s="963">
        <f>SUM('State DisAgg LFx10 (2015)'!P472:S474)/3</f>
        <v>2.8000000000000003</v>
      </c>
      <c r="Q196" s="964"/>
      <c r="R196" s="964"/>
      <c r="S196" s="965"/>
      <c r="T196" s="963">
        <f>SUM('State DisAgg LFx10 (2015)'!T472:W474)/3</f>
        <v>3.8333333333333335</v>
      </c>
      <c r="U196" s="964"/>
      <c r="V196" s="964"/>
      <c r="W196" s="965"/>
      <c r="X196" s="880"/>
    </row>
    <row r="197" spans="1:24" ht="12.95" customHeight="1" thickBot="1">
      <c r="A197" s="885"/>
      <c r="B197" s="885"/>
      <c r="C197" s="9" t="s">
        <v>234</v>
      </c>
      <c r="D197" s="957"/>
      <c r="E197" s="958"/>
      <c r="F197" s="958"/>
      <c r="G197" s="959"/>
      <c r="H197" s="1048"/>
      <c r="I197" s="1049"/>
      <c r="J197" s="1049"/>
      <c r="K197" s="1050"/>
      <c r="L197" s="1057" t="s">
        <v>910</v>
      </c>
      <c r="M197" s="1058"/>
      <c r="N197" s="1058"/>
      <c r="O197" s="1059"/>
      <c r="P197" s="963">
        <f>SUM('State DisAgg LFx10 (2015)'!P475:S476)/2</f>
        <v>1.8</v>
      </c>
      <c r="Q197" s="964"/>
      <c r="R197" s="964"/>
      <c r="S197" s="965"/>
      <c r="T197" s="963">
        <f>SUM('State DisAgg LFx10 (2015)'!T475:W476)/2</f>
        <v>2.95</v>
      </c>
      <c r="U197" s="964"/>
      <c r="V197" s="964"/>
      <c r="W197" s="965"/>
      <c r="X197" s="880"/>
    </row>
    <row r="198" spans="1:24" ht="13.5" thickBot="1">
      <c r="A198" s="885"/>
      <c r="B198" s="885"/>
      <c r="C198" s="102" t="s">
        <v>236</v>
      </c>
      <c r="D198" s="1008" t="s">
        <v>589</v>
      </c>
      <c r="E198" s="1009"/>
      <c r="F198" s="1009"/>
      <c r="G198" s="1010"/>
      <c r="H198" s="1147">
        <f>SUM('State DisAgg LFx10 (2015)'!H477:K481)/5</f>
        <v>1.86</v>
      </c>
      <c r="I198" s="1148"/>
      <c r="J198" s="1148"/>
      <c r="K198" s="1149"/>
      <c r="L198" s="1147">
        <f>SUM('State DisAgg LFx10 (2015)'!L477:O481)/5</f>
        <v>2.66</v>
      </c>
      <c r="M198" s="1148"/>
      <c r="N198" s="1148"/>
      <c r="O198" s="1149"/>
      <c r="P198" s="1147">
        <f>SUM('State DisAgg LFx10 (2015)'!P477:S481)/5</f>
        <v>4.1400000000000006</v>
      </c>
      <c r="Q198" s="1148"/>
      <c r="R198" s="1148"/>
      <c r="S198" s="1149"/>
      <c r="T198" s="1147">
        <f>SUM('State DisAgg LFx10 (2015)'!T477:W481)/5</f>
        <v>0</v>
      </c>
      <c r="U198" s="1148"/>
      <c r="V198" s="1148"/>
      <c r="W198" s="1149"/>
      <c r="X198" s="880"/>
    </row>
    <row r="199" spans="1:24" ht="13.5" thickBot="1">
      <c r="A199" s="885"/>
      <c r="B199" s="885"/>
      <c r="C199" s="102" t="s">
        <v>283</v>
      </c>
      <c r="D199" s="1017"/>
      <c r="E199" s="1018"/>
      <c r="F199" s="1018"/>
      <c r="G199" s="1019"/>
      <c r="H199" s="1017"/>
      <c r="I199" s="1018"/>
      <c r="J199" s="1018"/>
      <c r="K199" s="1019"/>
      <c r="L199" s="1147">
        <f>SUM('State DisAgg LFx10 (2015)'!L482:O484)/3</f>
        <v>2.4666666666666668</v>
      </c>
      <c r="M199" s="1148"/>
      <c r="N199" s="1148"/>
      <c r="O199" s="1149"/>
      <c r="P199" s="1147">
        <f>SUM('State DisAgg LFx10 (2015)'!P482:S484)/3</f>
        <v>3.0333333333333332</v>
      </c>
      <c r="Q199" s="1148"/>
      <c r="R199" s="1148"/>
      <c r="S199" s="1149"/>
      <c r="T199" s="1147">
        <f>SUM('State DisAgg LFx10 (2015)'!T482:W484)/3</f>
        <v>0</v>
      </c>
      <c r="U199" s="1148"/>
      <c r="V199" s="1148"/>
      <c r="W199" s="1149"/>
      <c r="X199" s="880"/>
    </row>
    <row r="200" spans="1:24" ht="13.5" thickBot="1">
      <c r="A200" s="885"/>
      <c r="B200" s="885"/>
      <c r="C200" s="102" t="s">
        <v>284</v>
      </c>
      <c r="D200" s="1017"/>
      <c r="E200" s="1018"/>
      <c r="F200" s="1018"/>
      <c r="G200" s="1019"/>
      <c r="H200" s="1017"/>
      <c r="I200" s="1018"/>
      <c r="J200" s="1018"/>
      <c r="K200" s="1019"/>
      <c r="L200" s="1017"/>
      <c r="M200" s="1018"/>
      <c r="N200" s="1018"/>
      <c r="O200" s="1019"/>
      <c r="P200" s="1017"/>
      <c r="Q200" s="1018"/>
      <c r="R200" s="1018"/>
      <c r="S200" s="1019"/>
      <c r="T200" s="1147">
        <f>SUM('State DisAgg LFx10 (2015)'!T485:W486)/2</f>
        <v>0</v>
      </c>
      <c r="U200" s="1148"/>
      <c r="V200" s="1148"/>
      <c r="W200" s="1149"/>
      <c r="X200" s="880"/>
    </row>
    <row r="201" spans="1:24" ht="13.5" thickBot="1">
      <c r="A201" s="885"/>
      <c r="B201" s="885"/>
      <c r="C201" s="1142" t="s">
        <v>413</v>
      </c>
      <c r="D201" s="927" t="s">
        <v>4</v>
      </c>
      <c r="E201" s="928"/>
      <c r="F201" s="928"/>
      <c r="G201" s="928"/>
      <c r="H201" s="928"/>
      <c r="I201" s="928"/>
      <c r="J201" s="928"/>
      <c r="K201" s="928"/>
      <c r="L201" s="928"/>
      <c r="M201" s="928"/>
      <c r="N201" s="928"/>
      <c r="O201" s="928"/>
      <c r="P201" s="928"/>
      <c r="Q201" s="928"/>
      <c r="R201" s="928"/>
      <c r="S201" s="928"/>
      <c r="T201" s="928"/>
      <c r="U201" s="928"/>
      <c r="V201" s="928"/>
      <c r="W201" s="929"/>
      <c r="X201" s="880"/>
    </row>
    <row r="202" spans="1:24" ht="13.5" thickBot="1">
      <c r="A202" s="885"/>
      <c r="B202" s="869"/>
      <c r="C202" s="1143"/>
      <c r="D202" s="930" t="s">
        <v>123</v>
      </c>
      <c r="E202" s="931"/>
      <c r="F202" s="931"/>
      <c r="G202" s="931"/>
      <c r="H202" s="931"/>
      <c r="I202" s="931"/>
      <c r="J202" s="931"/>
      <c r="K202" s="931"/>
      <c r="L202" s="931"/>
      <c r="M202" s="931"/>
      <c r="N202" s="931"/>
      <c r="O202" s="931"/>
      <c r="P202" s="931"/>
      <c r="Q202" s="931"/>
      <c r="R202" s="931"/>
      <c r="S202" s="931"/>
      <c r="T202" s="931"/>
      <c r="U202" s="931"/>
      <c r="V202" s="931"/>
      <c r="W202" s="932"/>
      <c r="X202" s="880"/>
    </row>
    <row r="203" spans="1:24" ht="13.5" thickBot="1">
      <c r="A203" s="885"/>
      <c r="B203" s="11" t="s">
        <v>34</v>
      </c>
      <c r="C203" s="12"/>
      <c r="D203" s="927" t="s">
        <v>78</v>
      </c>
      <c r="E203" s="928"/>
      <c r="F203" s="928"/>
      <c r="G203" s="929"/>
      <c r="H203" s="927" t="s">
        <v>77</v>
      </c>
      <c r="I203" s="928"/>
      <c r="J203" s="928"/>
      <c r="K203" s="929"/>
      <c r="L203" s="927" t="s">
        <v>81</v>
      </c>
      <c r="M203" s="928"/>
      <c r="N203" s="928"/>
      <c r="O203" s="929"/>
      <c r="P203" s="927" t="s">
        <v>254</v>
      </c>
      <c r="Q203" s="928"/>
      <c r="R203" s="928"/>
      <c r="S203" s="929"/>
      <c r="T203" s="927" t="s">
        <v>76</v>
      </c>
      <c r="U203" s="928"/>
      <c r="V203" s="928"/>
      <c r="W203" s="929"/>
      <c r="X203" s="880"/>
    </row>
    <row r="204" spans="1:24" ht="13.5" thickBot="1">
      <c r="A204" s="885"/>
      <c r="B204" s="868" t="s">
        <v>68</v>
      </c>
      <c r="C204" s="9" t="s">
        <v>235</v>
      </c>
      <c r="D204" s="942">
        <f>SUM('State DisAgg LFx10 (2015)'!D490:G494)/5</f>
        <v>1.2</v>
      </c>
      <c r="E204" s="943"/>
      <c r="F204" s="943"/>
      <c r="G204" s="944"/>
      <c r="H204" s="942">
        <f>SUM('State DisAgg LFx10 (2015)'!H490:K494)/5</f>
        <v>1.4</v>
      </c>
      <c r="I204" s="943"/>
      <c r="J204" s="943"/>
      <c r="K204" s="944"/>
      <c r="L204" s="963">
        <f>SUM('State DisAgg LFx10 (2015)'!L490:O494)/5</f>
        <v>2.4</v>
      </c>
      <c r="M204" s="964"/>
      <c r="N204" s="964"/>
      <c r="O204" s="965"/>
      <c r="P204" s="963">
        <f>SUM('State DisAgg LFx10 (2015)'!P490:S494)/5</f>
        <v>2.7399999999999998</v>
      </c>
      <c r="Q204" s="964"/>
      <c r="R204" s="964"/>
      <c r="S204" s="965"/>
      <c r="T204" s="963">
        <f>SUM('State DisAgg LFx10 (2015)'!T490:W494)/5</f>
        <v>3.1399999999999997</v>
      </c>
      <c r="U204" s="964"/>
      <c r="V204" s="964"/>
      <c r="W204" s="965"/>
      <c r="X204" s="880"/>
    </row>
    <row r="205" spans="1:24" ht="13.5" thickBot="1">
      <c r="A205" s="885"/>
      <c r="B205" s="885"/>
      <c r="C205" s="9" t="s">
        <v>233</v>
      </c>
      <c r="D205" s="966" t="s">
        <v>255</v>
      </c>
      <c r="E205" s="967"/>
      <c r="F205" s="967"/>
      <c r="G205" s="968"/>
      <c r="H205" s="942">
        <f>SUM('State DisAgg LFx10 (2015)'!H495:K497)/3</f>
        <v>1.5999999999999999</v>
      </c>
      <c r="I205" s="943"/>
      <c r="J205" s="943"/>
      <c r="K205" s="944"/>
      <c r="L205" s="963">
        <f>SUM('State DisAgg LFx10 (2015)'!L495:O497)/3</f>
        <v>1.5999999999999999</v>
      </c>
      <c r="M205" s="964"/>
      <c r="N205" s="964"/>
      <c r="O205" s="965"/>
      <c r="P205" s="963">
        <f>SUM('State DisAgg LFx10 (2015)'!P495:S497)/3</f>
        <v>1.9666666666666668</v>
      </c>
      <c r="Q205" s="964"/>
      <c r="R205" s="964"/>
      <c r="S205" s="965"/>
      <c r="T205" s="963">
        <f>SUM('State DisAgg LFx10 (2015)'!T495:W497)/3</f>
        <v>3.1999999999999997</v>
      </c>
      <c r="U205" s="964"/>
      <c r="V205" s="964"/>
      <c r="W205" s="965"/>
      <c r="X205" s="880"/>
    </row>
    <row r="206" spans="1:24" ht="12.95" customHeight="1" thickBot="1">
      <c r="A206" s="885"/>
      <c r="B206" s="885"/>
      <c r="C206" s="9" t="s">
        <v>234</v>
      </c>
      <c r="D206" s="957"/>
      <c r="E206" s="958"/>
      <c r="F206" s="958"/>
      <c r="G206" s="959"/>
      <c r="H206" s="1048"/>
      <c r="I206" s="1049"/>
      <c r="J206" s="1049"/>
      <c r="K206" s="1050"/>
      <c r="L206" s="1057" t="s">
        <v>910</v>
      </c>
      <c r="M206" s="1058"/>
      <c r="N206" s="1058"/>
      <c r="O206" s="1059"/>
      <c r="P206" s="963">
        <f>SUM('State DisAgg LFx10 (2015)'!P498:S499)/2</f>
        <v>1.1000000000000001</v>
      </c>
      <c r="Q206" s="964"/>
      <c r="R206" s="964"/>
      <c r="S206" s="965"/>
      <c r="T206" s="963">
        <f>SUM('State DisAgg LFx10 (2015)'!T498:W499)/2</f>
        <v>1.85</v>
      </c>
      <c r="U206" s="964"/>
      <c r="V206" s="964"/>
      <c r="W206" s="965"/>
      <c r="X206" s="880"/>
    </row>
    <row r="207" spans="1:24" ht="13.5" thickBot="1">
      <c r="A207" s="885"/>
      <c r="B207" s="885"/>
      <c r="C207" s="102" t="s">
        <v>236</v>
      </c>
      <c r="D207" s="1008" t="s">
        <v>590</v>
      </c>
      <c r="E207" s="1009"/>
      <c r="F207" s="1009"/>
      <c r="G207" s="1010"/>
      <c r="H207" s="1147">
        <f>SUM('State DisAgg LFx10 (2015)'!H500:K504)/5</f>
        <v>2.1</v>
      </c>
      <c r="I207" s="1148"/>
      <c r="J207" s="1148"/>
      <c r="K207" s="1149"/>
      <c r="L207" s="1147">
        <f>SUM('State DisAgg LFx10 (2015)'!L500:O504)/5</f>
        <v>2.2200000000000002</v>
      </c>
      <c r="M207" s="1148"/>
      <c r="N207" s="1148"/>
      <c r="O207" s="1149"/>
      <c r="P207" s="1147">
        <f>SUM('State DisAgg LFx10 (2015)'!P500:S504)/5</f>
        <v>2.84</v>
      </c>
      <c r="Q207" s="1148"/>
      <c r="R207" s="1148"/>
      <c r="S207" s="1149"/>
      <c r="T207" s="1147">
        <f>SUM('State DisAgg LFx10 (2015)'!T500:W504)/5</f>
        <v>0</v>
      </c>
      <c r="U207" s="1148"/>
      <c r="V207" s="1148"/>
      <c r="W207" s="1149"/>
      <c r="X207" s="880"/>
    </row>
    <row r="208" spans="1:24" ht="13.5" thickBot="1">
      <c r="A208" s="885"/>
      <c r="B208" s="885"/>
      <c r="C208" s="102" t="s">
        <v>283</v>
      </c>
      <c r="D208" s="1017"/>
      <c r="E208" s="1018"/>
      <c r="F208" s="1018"/>
      <c r="G208" s="1019"/>
      <c r="H208" s="1017"/>
      <c r="I208" s="1018"/>
      <c r="J208" s="1018"/>
      <c r="K208" s="1019"/>
      <c r="L208" s="1147">
        <f>SUM('State DisAgg LFx10 (2015)'!L505:O507)/3</f>
        <v>1.5999999999999999</v>
      </c>
      <c r="M208" s="1148"/>
      <c r="N208" s="1148"/>
      <c r="O208" s="1149"/>
      <c r="P208" s="1147">
        <f>SUM('State DisAgg LFx10 (2015)'!P505:S507)/3</f>
        <v>2.3333333333333335</v>
      </c>
      <c r="Q208" s="1148"/>
      <c r="R208" s="1148"/>
      <c r="S208" s="1149"/>
      <c r="T208" s="1147">
        <f>SUM('State DisAgg LFx10 (2015)'!T505:W507)/3</f>
        <v>0</v>
      </c>
      <c r="U208" s="1148"/>
      <c r="V208" s="1148"/>
      <c r="W208" s="1149"/>
      <c r="X208" s="880"/>
    </row>
    <row r="209" spans="1:24" ht="13.5" thickBot="1">
      <c r="A209" s="885"/>
      <c r="B209" s="885"/>
      <c r="C209" s="102" t="s">
        <v>284</v>
      </c>
      <c r="D209" s="1017"/>
      <c r="E209" s="1018"/>
      <c r="F209" s="1018"/>
      <c r="G209" s="1019"/>
      <c r="H209" s="1017"/>
      <c r="I209" s="1018"/>
      <c r="J209" s="1018"/>
      <c r="K209" s="1019"/>
      <c r="L209" s="1017"/>
      <c r="M209" s="1018"/>
      <c r="N209" s="1018"/>
      <c r="O209" s="1019"/>
      <c r="P209" s="1017"/>
      <c r="Q209" s="1018"/>
      <c r="R209" s="1018"/>
      <c r="S209" s="1019"/>
      <c r="T209" s="1147">
        <f>SUM('State DisAgg LFx10 (2015)'!T508:W509)/2</f>
        <v>0</v>
      </c>
      <c r="U209" s="1148"/>
      <c r="V209" s="1148"/>
      <c r="W209" s="1149"/>
      <c r="X209" s="880"/>
    </row>
    <row r="210" spans="1:24" ht="13.5" thickBot="1">
      <c r="A210" s="885"/>
      <c r="B210" s="885"/>
      <c r="C210" s="1142" t="s">
        <v>413</v>
      </c>
      <c r="D210" s="927" t="s">
        <v>4</v>
      </c>
      <c r="E210" s="928"/>
      <c r="F210" s="928"/>
      <c r="G210" s="928"/>
      <c r="H210" s="928"/>
      <c r="I210" s="928"/>
      <c r="J210" s="928"/>
      <c r="K210" s="928"/>
      <c r="L210" s="928"/>
      <c r="M210" s="928"/>
      <c r="N210" s="928"/>
      <c r="O210" s="928"/>
      <c r="P210" s="928"/>
      <c r="Q210" s="928"/>
      <c r="R210" s="928"/>
      <c r="S210" s="928"/>
      <c r="T210" s="928"/>
      <c r="U210" s="928"/>
      <c r="V210" s="928"/>
      <c r="W210" s="929"/>
      <c r="X210" s="880"/>
    </row>
    <row r="211" spans="1:24" ht="13.5" thickBot="1">
      <c r="A211" s="885"/>
      <c r="B211" s="869"/>
      <c r="C211" s="1143"/>
      <c r="D211" s="930" t="s">
        <v>123</v>
      </c>
      <c r="E211" s="931"/>
      <c r="F211" s="931"/>
      <c r="G211" s="931"/>
      <c r="H211" s="931"/>
      <c r="I211" s="931"/>
      <c r="J211" s="931"/>
      <c r="K211" s="931"/>
      <c r="L211" s="931"/>
      <c r="M211" s="931"/>
      <c r="N211" s="931"/>
      <c r="O211" s="931"/>
      <c r="P211" s="931"/>
      <c r="Q211" s="931"/>
      <c r="R211" s="931"/>
      <c r="S211" s="931"/>
      <c r="T211" s="931"/>
      <c r="U211" s="931"/>
      <c r="V211" s="931"/>
      <c r="W211" s="932"/>
      <c r="X211" s="880"/>
    </row>
    <row r="212" spans="1:24" ht="13.5" thickBot="1">
      <c r="A212" s="885"/>
      <c r="B212" s="11" t="s">
        <v>41</v>
      </c>
      <c r="C212" s="12"/>
      <c r="D212" s="927" t="s">
        <v>78</v>
      </c>
      <c r="E212" s="928"/>
      <c r="F212" s="928"/>
      <c r="G212" s="929"/>
      <c r="H212" s="927" t="s">
        <v>77</v>
      </c>
      <c r="I212" s="928"/>
      <c r="J212" s="928"/>
      <c r="K212" s="929"/>
      <c r="L212" s="927" t="s">
        <v>81</v>
      </c>
      <c r="M212" s="928"/>
      <c r="N212" s="928"/>
      <c r="O212" s="929"/>
      <c r="P212" s="927" t="s">
        <v>254</v>
      </c>
      <c r="Q212" s="928"/>
      <c r="R212" s="928"/>
      <c r="S212" s="929"/>
      <c r="T212" s="927" t="s">
        <v>76</v>
      </c>
      <c r="U212" s="928"/>
      <c r="V212" s="928"/>
      <c r="W212" s="929"/>
      <c r="X212" s="880"/>
    </row>
    <row r="213" spans="1:24" ht="13.5" thickBot="1">
      <c r="A213" s="885"/>
      <c r="B213" s="868" t="s">
        <v>69</v>
      </c>
      <c r="C213" s="9" t="s">
        <v>235</v>
      </c>
      <c r="D213" s="942">
        <f>SUM('State DisAgg LFx10 (2015)'!D513:G517)/5</f>
        <v>1.2</v>
      </c>
      <c r="E213" s="943"/>
      <c r="F213" s="943"/>
      <c r="G213" s="944"/>
      <c r="H213" s="942">
        <f>SUM('State DisAgg LFx10 (2015)'!H513:K517)/5</f>
        <v>1.6</v>
      </c>
      <c r="I213" s="943"/>
      <c r="J213" s="943"/>
      <c r="K213" s="944"/>
      <c r="L213" s="963">
        <f>SUM('State DisAgg LFx10 (2015)'!L513:O517)/5</f>
        <v>2.6</v>
      </c>
      <c r="M213" s="964"/>
      <c r="N213" s="964"/>
      <c r="O213" s="965"/>
      <c r="P213" s="963">
        <f>SUM('State DisAgg LFx10 (2015)'!P513:S517)/5</f>
        <v>2.7600000000000002</v>
      </c>
      <c r="Q213" s="964"/>
      <c r="R213" s="964"/>
      <c r="S213" s="965"/>
      <c r="T213" s="963">
        <f>SUM('State DisAgg LFx10 (2015)'!T513:W517)/5</f>
        <v>3.38</v>
      </c>
      <c r="U213" s="964"/>
      <c r="V213" s="964"/>
      <c r="W213" s="965"/>
      <c r="X213" s="880"/>
    </row>
    <row r="214" spans="1:24" ht="13.5" thickBot="1">
      <c r="A214" s="885"/>
      <c r="B214" s="885"/>
      <c r="C214" s="9" t="s">
        <v>233</v>
      </c>
      <c r="D214" s="966" t="s">
        <v>255</v>
      </c>
      <c r="E214" s="967"/>
      <c r="F214" s="967"/>
      <c r="G214" s="968"/>
      <c r="H214" s="942">
        <f>SUM('State DisAgg LFx10 (2015)'!H518:K520)/3</f>
        <v>1.7333333333333332</v>
      </c>
      <c r="I214" s="943"/>
      <c r="J214" s="943"/>
      <c r="K214" s="944"/>
      <c r="L214" s="942">
        <f>SUM('State DisAgg LFx10 (2015)'!L518:O520)/3</f>
        <v>1.7333333333333332</v>
      </c>
      <c r="M214" s="943"/>
      <c r="N214" s="943"/>
      <c r="O214" s="944"/>
      <c r="P214" s="963">
        <f>SUM('State DisAgg LFx10 (2015)'!P518:S520)/3</f>
        <v>1.9666666666666668</v>
      </c>
      <c r="Q214" s="964"/>
      <c r="R214" s="964"/>
      <c r="S214" s="965"/>
      <c r="T214" s="963">
        <f>SUM('State DisAgg LFx10 (2015)'!T518:W520)/3</f>
        <v>3.1666666666666665</v>
      </c>
      <c r="U214" s="964"/>
      <c r="V214" s="964"/>
      <c r="W214" s="965"/>
      <c r="X214" s="880"/>
    </row>
    <row r="215" spans="1:24" ht="12.95" customHeight="1" thickBot="1">
      <c r="A215" s="885"/>
      <c r="B215" s="885"/>
      <c r="C215" s="9" t="s">
        <v>234</v>
      </c>
      <c r="D215" s="957"/>
      <c r="E215" s="958"/>
      <c r="F215" s="958"/>
      <c r="G215" s="959"/>
      <c r="H215" s="1048"/>
      <c r="I215" s="1049"/>
      <c r="J215" s="1049"/>
      <c r="K215" s="1050"/>
      <c r="L215" s="1057" t="s">
        <v>910</v>
      </c>
      <c r="M215" s="1058"/>
      <c r="N215" s="1058"/>
      <c r="O215" s="1059"/>
      <c r="P215" s="963">
        <f>SUM('State DisAgg LFx10 (2015)'!P521:S522)/2</f>
        <v>1.25</v>
      </c>
      <c r="Q215" s="964"/>
      <c r="R215" s="964"/>
      <c r="S215" s="965"/>
      <c r="T215" s="963">
        <f>SUM('State DisAgg LFx10 (2015)'!T521:W522)/2</f>
        <v>1.8</v>
      </c>
      <c r="U215" s="964"/>
      <c r="V215" s="964"/>
      <c r="W215" s="965"/>
      <c r="X215" s="880"/>
    </row>
    <row r="216" spans="1:24" ht="13.5" thickBot="1">
      <c r="A216" s="885"/>
      <c r="B216" s="885"/>
      <c r="C216" s="102" t="s">
        <v>236</v>
      </c>
      <c r="D216" s="1008" t="s">
        <v>591</v>
      </c>
      <c r="E216" s="1009"/>
      <c r="F216" s="1009"/>
      <c r="G216" s="1010"/>
      <c r="H216" s="1147">
        <f>SUM('State DisAgg LFx10 (2015)'!H523:K527)/5</f>
        <v>1.7399999999999998</v>
      </c>
      <c r="I216" s="1148"/>
      <c r="J216" s="1148"/>
      <c r="K216" s="1149"/>
      <c r="L216" s="1147">
        <f>SUM('State DisAgg LFx10 (2015)'!L523:O527)/5</f>
        <v>2.12</v>
      </c>
      <c r="M216" s="1148"/>
      <c r="N216" s="1148"/>
      <c r="O216" s="1149"/>
      <c r="P216" s="1147">
        <f>SUM('State DisAgg LFx10 (2015)'!P523:S527)/5</f>
        <v>3.06</v>
      </c>
      <c r="Q216" s="1148"/>
      <c r="R216" s="1148"/>
      <c r="S216" s="1149"/>
      <c r="T216" s="1147">
        <f>SUM('State DisAgg LFx10 (2015)'!T523:W527)/5</f>
        <v>0</v>
      </c>
      <c r="U216" s="1148"/>
      <c r="V216" s="1148"/>
      <c r="W216" s="1149"/>
      <c r="X216" s="880"/>
    </row>
    <row r="217" spans="1:24" ht="13.5" thickBot="1">
      <c r="A217" s="885"/>
      <c r="B217" s="885"/>
      <c r="C217" s="102" t="s">
        <v>283</v>
      </c>
      <c r="D217" s="1017"/>
      <c r="E217" s="1018"/>
      <c r="F217" s="1018"/>
      <c r="G217" s="1019"/>
      <c r="H217" s="1017"/>
      <c r="I217" s="1018"/>
      <c r="J217" s="1018"/>
      <c r="K217" s="1019"/>
      <c r="L217" s="1147">
        <f>SUM('State DisAgg LFx10 (2015)'!L528:O530)/3</f>
        <v>1.7333333333333332</v>
      </c>
      <c r="M217" s="1148"/>
      <c r="N217" s="1148"/>
      <c r="O217" s="1149"/>
      <c r="P217" s="1147">
        <f>SUM('State DisAgg LFx10 (2015)'!P528:S530)/3</f>
        <v>2.2333333333333329</v>
      </c>
      <c r="Q217" s="1148"/>
      <c r="R217" s="1148"/>
      <c r="S217" s="1149"/>
      <c r="T217" s="1147">
        <f>SUM('State DisAgg LFx10 (2015)'!T528:W530)/3</f>
        <v>0</v>
      </c>
      <c r="U217" s="1148"/>
      <c r="V217" s="1148"/>
      <c r="W217" s="1149"/>
      <c r="X217" s="880"/>
    </row>
    <row r="218" spans="1:24" ht="13.5" thickBot="1">
      <c r="A218" s="885"/>
      <c r="B218" s="885"/>
      <c r="C218" s="102" t="s">
        <v>284</v>
      </c>
      <c r="D218" s="1017"/>
      <c r="E218" s="1018"/>
      <c r="F218" s="1018"/>
      <c r="G218" s="1019"/>
      <c r="H218" s="1017"/>
      <c r="I218" s="1018"/>
      <c r="J218" s="1018"/>
      <c r="K218" s="1019"/>
      <c r="L218" s="1017"/>
      <c r="M218" s="1018"/>
      <c r="N218" s="1018"/>
      <c r="O218" s="1019"/>
      <c r="P218" s="1017"/>
      <c r="Q218" s="1018"/>
      <c r="R218" s="1018"/>
      <c r="S218" s="1019"/>
      <c r="T218" s="1147">
        <f>SUM('State DisAgg LFx10 (2015)'!T531:W532)/2</f>
        <v>0</v>
      </c>
      <c r="U218" s="1148"/>
      <c r="V218" s="1148"/>
      <c r="W218" s="1149"/>
      <c r="X218" s="880"/>
    </row>
    <row r="219" spans="1:24" ht="13.5" thickBot="1">
      <c r="A219" s="885"/>
      <c r="B219" s="885"/>
      <c r="C219" s="1142" t="s">
        <v>413</v>
      </c>
      <c r="D219" s="927" t="s">
        <v>4</v>
      </c>
      <c r="E219" s="928"/>
      <c r="F219" s="928"/>
      <c r="G219" s="928"/>
      <c r="H219" s="928"/>
      <c r="I219" s="928"/>
      <c r="J219" s="928"/>
      <c r="K219" s="928"/>
      <c r="L219" s="928"/>
      <c r="M219" s="928"/>
      <c r="N219" s="928"/>
      <c r="O219" s="928"/>
      <c r="P219" s="928"/>
      <c r="Q219" s="928"/>
      <c r="R219" s="928"/>
      <c r="S219" s="928"/>
      <c r="T219" s="928"/>
      <c r="U219" s="928"/>
      <c r="V219" s="928"/>
      <c r="W219" s="929"/>
      <c r="X219" s="880"/>
    </row>
    <row r="220" spans="1:24" ht="13.5" thickBot="1">
      <c r="A220" s="885"/>
      <c r="B220" s="869"/>
      <c r="C220" s="1143"/>
      <c r="D220" s="930" t="s">
        <v>123</v>
      </c>
      <c r="E220" s="931"/>
      <c r="F220" s="931"/>
      <c r="G220" s="931"/>
      <c r="H220" s="931"/>
      <c r="I220" s="931"/>
      <c r="J220" s="931"/>
      <c r="K220" s="931"/>
      <c r="L220" s="931"/>
      <c r="M220" s="931"/>
      <c r="N220" s="931"/>
      <c r="O220" s="931"/>
      <c r="P220" s="931"/>
      <c r="Q220" s="931"/>
      <c r="R220" s="931"/>
      <c r="S220" s="931"/>
      <c r="T220" s="931"/>
      <c r="U220" s="931"/>
      <c r="V220" s="931"/>
      <c r="W220" s="932"/>
      <c r="X220" s="880"/>
    </row>
    <row r="221" spans="1:24" ht="13.5" thickBot="1">
      <c r="A221" s="885"/>
      <c r="B221" s="11" t="s">
        <v>42</v>
      </c>
      <c r="C221" s="28"/>
      <c r="D221" s="927" t="s">
        <v>78</v>
      </c>
      <c r="E221" s="928"/>
      <c r="F221" s="928"/>
      <c r="G221" s="929"/>
      <c r="H221" s="927" t="s">
        <v>77</v>
      </c>
      <c r="I221" s="928"/>
      <c r="J221" s="928"/>
      <c r="K221" s="929"/>
      <c r="L221" s="927" t="s">
        <v>81</v>
      </c>
      <c r="M221" s="928"/>
      <c r="N221" s="928"/>
      <c r="O221" s="929"/>
      <c r="P221" s="927" t="s">
        <v>254</v>
      </c>
      <c r="Q221" s="928"/>
      <c r="R221" s="928"/>
      <c r="S221" s="929"/>
      <c r="T221" s="927" t="s">
        <v>76</v>
      </c>
      <c r="U221" s="928"/>
      <c r="V221" s="928"/>
      <c r="W221" s="929"/>
      <c r="X221" s="880"/>
    </row>
    <row r="222" spans="1:24" ht="18.95" customHeight="1" thickBot="1">
      <c r="A222" s="885"/>
      <c r="B222" s="868" t="s">
        <v>180</v>
      </c>
      <c r="C222" s="26"/>
      <c r="D222" s="955" t="s">
        <v>99</v>
      </c>
      <c r="E222" s="956"/>
      <c r="F222" s="955" t="s">
        <v>100</v>
      </c>
      <c r="G222" s="956"/>
      <c r="H222" s="955" t="s">
        <v>99</v>
      </c>
      <c r="I222" s="956"/>
      <c r="J222" s="955" t="s">
        <v>100</v>
      </c>
      <c r="K222" s="956"/>
      <c r="L222" s="955" t="s">
        <v>99</v>
      </c>
      <c r="M222" s="956"/>
      <c r="N222" s="955" t="s">
        <v>100</v>
      </c>
      <c r="O222" s="956"/>
      <c r="P222" s="955" t="s">
        <v>99</v>
      </c>
      <c r="Q222" s="956"/>
      <c r="R222" s="955" t="s">
        <v>100</v>
      </c>
      <c r="S222" s="956"/>
      <c r="T222" s="955" t="s">
        <v>99</v>
      </c>
      <c r="U222" s="956"/>
      <c r="V222" s="955" t="s">
        <v>100</v>
      </c>
      <c r="W222" s="956"/>
      <c r="X222" s="880"/>
    </row>
    <row r="223" spans="1:24" ht="13.5" thickBot="1">
      <c r="A223" s="885"/>
      <c r="B223" s="885"/>
      <c r="C223" s="9" t="s">
        <v>247</v>
      </c>
      <c r="D223" s="951">
        <f>SUM('State DisAgg LFx10 (2015)'!D537:E541)</f>
        <v>0</v>
      </c>
      <c r="E223" s="952"/>
      <c r="F223" s="951">
        <f>SUM('State DisAgg LFx10 (2015)'!F537:G541)</f>
        <v>0</v>
      </c>
      <c r="G223" s="952"/>
      <c r="H223" s="951">
        <f>SUM('State DisAgg LFx10 (2015)'!H537:I544)</f>
        <v>14</v>
      </c>
      <c r="I223" s="952"/>
      <c r="J223" s="951">
        <f>SUM('State DisAgg LFx10 (2015)'!J537:K544)</f>
        <v>7</v>
      </c>
      <c r="K223" s="952"/>
      <c r="L223" s="951">
        <f>SUM('State DisAgg LFx10 (2015)'!L537:M546)</f>
        <v>29</v>
      </c>
      <c r="M223" s="952"/>
      <c r="N223" s="954">
        <f>SUM('State DisAgg LFx10 (2015)'!N537:O546)</f>
        <v>11</v>
      </c>
      <c r="O223" s="953"/>
      <c r="P223" s="954">
        <f>SUM('State DisAgg LFx10 (2015)'!P537:Q546)</f>
        <v>46</v>
      </c>
      <c r="Q223" s="953"/>
      <c r="R223" s="954">
        <f>SUM('State DisAgg LFx10 (2015)'!R537:S546)</f>
        <v>19</v>
      </c>
      <c r="S223" s="953"/>
      <c r="T223" s="954">
        <f>SUM('State DisAgg LFx10 (2015)'!T537:U546)</f>
        <v>73</v>
      </c>
      <c r="U223" s="953"/>
      <c r="V223" s="954">
        <f>SUM('State DisAgg LFx10 (2015)'!V537:W546)</f>
        <v>39</v>
      </c>
      <c r="W223" s="953"/>
      <c r="X223" s="880"/>
    </row>
    <row r="224" spans="1:24" ht="13.5" thickBot="1">
      <c r="A224" s="869"/>
      <c r="B224" s="885"/>
      <c r="C224" s="102" t="s">
        <v>246</v>
      </c>
      <c r="D224" s="1011" t="s">
        <v>171</v>
      </c>
      <c r="E224" s="1012"/>
      <c r="F224" s="1012"/>
      <c r="G224" s="1013"/>
      <c r="H224" s="1011" t="s">
        <v>417</v>
      </c>
      <c r="I224" s="1012"/>
      <c r="J224" s="1012"/>
      <c r="K224" s="1013"/>
      <c r="L224" s="1140">
        <f>SUM('State DisAgg LFx10 (2015)'!L547:M554)</f>
        <v>28</v>
      </c>
      <c r="M224" s="1141"/>
      <c r="N224" s="1140">
        <f>SUM('State DisAgg LFx10 (2015)'!N547:O554)</f>
        <v>15</v>
      </c>
      <c r="O224" s="1141"/>
      <c r="P224" s="1140">
        <f>SUM('State DisAgg LFx10 (2015)'!P547:Q556)</f>
        <v>48</v>
      </c>
      <c r="Q224" s="1141"/>
      <c r="R224" s="1140">
        <f>SUM('State DisAgg LFx10 (2015)'!R547:S556)</f>
        <v>28</v>
      </c>
      <c r="S224" s="1141"/>
      <c r="T224" s="1140">
        <f>SUM('State DisAgg LFx10 (2015)'!T547:U556)</f>
        <v>0</v>
      </c>
      <c r="U224" s="1141"/>
      <c r="V224" s="1140">
        <f>SUM('State DisAgg LFx10 (2015)'!V547:W556)</f>
        <v>0</v>
      </c>
      <c r="W224" s="1141"/>
      <c r="X224" s="881"/>
    </row>
    <row r="225" spans="1:24" ht="13.5" thickBot="1">
      <c r="A225" s="96" t="s">
        <v>13</v>
      </c>
      <c r="B225" s="93" t="s">
        <v>178</v>
      </c>
      <c r="C225" s="1142" t="s">
        <v>413</v>
      </c>
      <c r="D225" s="927" t="s">
        <v>4</v>
      </c>
      <c r="E225" s="928"/>
      <c r="F225" s="928"/>
      <c r="G225" s="928"/>
      <c r="H225" s="928"/>
      <c r="I225" s="928"/>
      <c r="J225" s="928"/>
      <c r="K225" s="928"/>
      <c r="L225" s="928"/>
      <c r="M225" s="928"/>
      <c r="N225" s="928"/>
      <c r="O225" s="928"/>
      <c r="P225" s="928"/>
      <c r="Q225" s="928"/>
      <c r="R225" s="928"/>
      <c r="S225" s="928"/>
      <c r="T225" s="928"/>
      <c r="U225" s="928"/>
      <c r="V225" s="928"/>
      <c r="W225" s="929"/>
      <c r="X225" s="24" t="s">
        <v>14</v>
      </c>
    </row>
    <row r="226" spans="1:24" ht="13.5" thickBot="1">
      <c r="A226" s="25" t="s">
        <v>74</v>
      </c>
      <c r="B226" s="94"/>
      <c r="C226" s="1143"/>
      <c r="D226" s="930" t="s">
        <v>124</v>
      </c>
      <c r="E226" s="931"/>
      <c r="F226" s="931"/>
      <c r="G226" s="931"/>
      <c r="H226" s="931"/>
      <c r="I226" s="931"/>
      <c r="J226" s="931"/>
      <c r="K226" s="931"/>
      <c r="L226" s="931"/>
      <c r="M226" s="931"/>
      <c r="N226" s="931"/>
      <c r="O226" s="931"/>
      <c r="P226" s="931"/>
      <c r="Q226" s="931"/>
      <c r="R226" s="931"/>
      <c r="S226" s="931"/>
      <c r="T226" s="931"/>
      <c r="U226" s="931"/>
      <c r="V226" s="931"/>
      <c r="W226" s="932"/>
      <c r="X226" s="18" t="s">
        <v>93</v>
      </c>
    </row>
    <row r="227" spans="1:24" ht="13.5" thickBot="1">
      <c r="A227" s="906" t="s">
        <v>7</v>
      </c>
      <c r="B227" s="908" t="s">
        <v>173</v>
      </c>
      <c r="C227" s="918"/>
      <c r="D227" s="908" t="s">
        <v>8</v>
      </c>
      <c r="E227" s="918"/>
      <c r="F227" s="918"/>
      <c r="G227" s="909"/>
      <c r="H227" s="908" t="s">
        <v>88</v>
      </c>
      <c r="I227" s="918"/>
      <c r="J227" s="918"/>
      <c r="K227" s="909"/>
      <c r="L227" s="908" t="s">
        <v>89</v>
      </c>
      <c r="M227" s="918"/>
      <c r="N227" s="918"/>
      <c r="O227" s="909"/>
      <c r="P227" s="908" t="s">
        <v>9</v>
      </c>
      <c r="Q227" s="918"/>
      <c r="R227" s="918"/>
      <c r="S227" s="909"/>
      <c r="T227" s="908" t="s">
        <v>174</v>
      </c>
      <c r="U227" s="918"/>
      <c r="V227" s="918"/>
      <c r="W227" s="918"/>
      <c r="X227" s="909"/>
    </row>
    <row r="228" spans="1:24" ht="13.5" thickBot="1">
      <c r="A228" s="907"/>
      <c r="B228" s="919">
        <v>10300000</v>
      </c>
      <c r="C228" s="921"/>
      <c r="D228" s="919">
        <v>0</v>
      </c>
      <c r="E228" s="921"/>
      <c r="F228" s="921"/>
      <c r="G228" s="920"/>
      <c r="H228" s="919">
        <v>5500000</v>
      </c>
      <c r="I228" s="921"/>
      <c r="J228" s="921"/>
      <c r="K228" s="920"/>
      <c r="L228" s="919">
        <v>3100000</v>
      </c>
      <c r="M228" s="921"/>
      <c r="N228" s="921"/>
      <c r="O228" s="920"/>
      <c r="P228" s="919">
        <f>SUM(B228:O228)</f>
        <v>18900000</v>
      </c>
      <c r="Q228" s="921"/>
      <c r="R228" s="921"/>
      <c r="S228" s="920"/>
      <c r="T228" s="942">
        <f>B228/P228%</f>
        <v>54.4973544973545</v>
      </c>
      <c r="U228" s="943"/>
      <c r="V228" s="943"/>
      <c r="W228" s="943"/>
      <c r="X228" s="944"/>
    </row>
    <row r="229" spans="1:24" ht="13.5" thickBot="1">
      <c r="A229" s="906" t="s">
        <v>10</v>
      </c>
      <c r="B229" s="908" t="s">
        <v>175</v>
      </c>
      <c r="C229" s="918"/>
      <c r="D229" s="910"/>
      <c r="E229" s="911"/>
      <c r="F229" s="911"/>
      <c r="G229" s="911"/>
      <c r="H229" s="911"/>
      <c r="I229" s="911"/>
      <c r="J229" s="911"/>
      <c r="K229" s="911"/>
      <c r="L229" s="911"/>
      <c r="M229" s="911"/>
      <c r="N229" s="911"/>
      <c r="O229" s="911"/>
      <c r="P229" s="911"/>
      <c r="Q229" s="911"/>
      <c r="R229" s="911"/>
      <c r="S229" s="911"/>
      <c r="T229" s="911"/>
      <c r="U229" s="911"/>
      <c r="V229" s="911"/>
      <c r="W229" s="911"/>
      <c r="X229" s="912"/>
    </row>
    <row r="230" spans="1:24" ht="13.5" thickBot="1">
      <c r="A230" s="907"/>
      <c r="B230" s="916"/>
      <c r="C230" s="994"/>
      <c r="D230" s="913"/>
      <c r="E230" s="914"/>
      <c r="F230" s="914"/>
      <c r="G230" s="914"/>
      <c r="H230" s="914"/>
      <c r="I230" s="914"/>
      <c r="J230" s="914"/>
      <c r="K230" s="914"/>
      <c r="L230" s="914"/>
      <c r="M230" s="914"/>
      <c r="N230" s="914"/>
      <c r="O230" s="914"/>
      <c r="P230" s="914"/>
      <c r="Q230" s="914"/>
      <c r="R230" s="914"/>
      <c r="S230" s="914"/>
      <c r="T230" s="914"/>
      <c r="U230" s="914"/>
      <c r="V230" s="914"/>
      <c r="W230" s="914"/>
      <c r="X230" s="915"/>
    </row>
    <row r="232" spans="1:24" ht="13.5" thickBot="1"/>
    <row r="233" spans="1:24" ht="13.5" thickBot="1">
      <c r="A233" s="223" t="s">
        <v>27</v>
      </c>
      <c r="B233" s="97" t="s">
        <v>35</v>
      </c>
      <c r="C233" s="8"/>
      <c r="D233" s="927" t="s">
        <v>78</v>
      </c>
      <c r="E233" s="928"/>
      <c r="F233" s="928"/>
      <c r="G233" s="929"/>
      <c r="H233" s="927" t="s">
        <v>77</v>
      </c>
      <c r="I233" s="928"/>
      <c r="J233" s="928"/>
      <c r="K233" s="929"/>
      <c r="L233" s="927" t="s">
        <v>81</v>
      </c>
      <c r="M233" s="928"/>
      <c r="N233" s="928"/>
      <c r="O233" s="929"/>
      <c r="P233" s="927" t="s">
        <v>254</v>
      </c>
      <c r="Q233" s="928"/>
      <c r="R233" s="928"/>
      <c r="S233" s="929"/>
      <c r="T233" s="927" t="s">
        <v>76</v>
      </c>
      <c r="U233" s="928"/>
      <c r="V233" s="928"/>
      <c r="W233" s="929"/>
      <c r="X233" s="16" t="s">
        <v>12</v>
      </c>
    </row>
    <row r="234" spans="1:24" ht="12.95" customHeight="1" thickBot="1">
      <c r="A234" s="868" t="s">
        <v>70</v>
      </c>
      <c r="B234" s="873" t="s">
        <v>609</v>
      </c>
      <c r="C234" s="187"/>
      <c r="D234" s="1065" t="s">
        <v>636</v>
      </c>
      <c r="E234" s="1066"/>
      <c r="F234" s="1066"/>
      <c r="G234" s="1157"/>
      <c r="H234" s="1158" t="s">
        <v>636</v>
      </c>
      <c r="I234" s="1066"/>
      <c r="J234" s="1066"/>
      <c r="K234" s="1157"/>
      <c r="L234" s="1158" t="s">
        <v>636</v>
      </c>
      <c r="M234" s="1066"/>
      <c r="N234" s="1066"/>
      <c r="O234" s="1157"/>
      <c r="P234" s="219" t="s">
        <v>602</v>
      </c>
      <c r="Q234" s="219" t="s">
        <v>603</v>
      </c>
      <c r="R234" s="219" t="s">
        <v>608</v>
      </c>
      <c r="S234" s="219" t="s">
        <v>604</v>
      </c>
      <c r="T234" s="219" t="s">
        <v>602</v>
      </c>
      <c r="U234" s="219" t="s">
        <v>603</v>
      </c>
      <c r="V234" s="219" t="s">
        <v>608</v>
      </c>
      <c r="W234" s="219" t="s">
        <v>604</v>
      </c>
      <c r="X234" s="879" t="s">
        <v>90</v>
      </c>
    </row>
    <row r="235" spans="1:24" ht="12.95" customHeight="1" thickBot="1">
      <c r="A235" s="885"/>
      <c r="B235" s="874"/>
      <c r="C235" s="9" t="s">
        <v>247</v>
      </c>
      <c r="D235" s="924">
        <f>SUM('State DisAgg LFx10 (2015)'!D566:G577)</f>
        <v>5</v>
      </c>
      <c r="E235" s="925"/>
      <c r="F235" s="925"/>
      <c r="G235" s="926"/>
      <c r="H235" s="924">
        <f>SUM('State DisAgg LFx10 (2015)'!H566:K577)</f>
        <v>30</v>
      </c>
      <c r="I235" s="925"/>
      <c r="J235" s="925"/>
      <c r="K235" s="926"/>
      <c r="L235" s="924">
        <f>SUM('State DisAgg LFx10 (2015)'!L566:O577)</f>
        <v>52</v>
      </c>
      <c r="M235" s="925"/>
      <c r="N235" s="925"/>
      <c r="O235" s="926"/>
      <c r="P235" s="924">
        <f>SUM('State DisAgg LFx10 (2015)'!P566:S577)</f>
        <v>84</v>
      </c>
      <c r="Q235" s="925"/>
      <c r="R235" s="925"/>
      <c r="S235" s="926"/>
      <c r="T235" s="185">
        <f>SUM('State DisAgg LFx10 (2015)'!T566:T577)</f>
        <v>169</v>
      </c>
      <c r="U235" s="185">
        <f>SUM('State DisAgg LFx10 (2015)'!U566:U577)</f>
        <v>97</v>
      </c>
      <c r="V235" s="185">
        <f>SUM('State DisAgg LFx10 (2015)'!V566:V577)</f>
        <v>63</v>
      </c>
      <c r="W235" s="185">
        <f>SUM('State DisAgg LFx10 (2015)'!W566:W577)</f>
        <v>52</v>
      </c>
      <c r="X235" s="880"/>
    </row>
    <row r="236" spans="1:24" ht="13.5" thickBot="1">
      <c r="A236" s="885"/>
      <c r="B236" s="874"/>
      <c r="C236" s="102" t="s">
        <v>246</v>
      </c>
      <c r="D236" s="1008" t="s">
        <v>596</v>
      </c>
      <c r="E236" s="1009"/>
      <c r="F236" s="1009"/>
      <c r="G236" s="1010"/>
      <c r="H236" s="1140">
        <f>SUM('State DisAgg LFx10 (2015)'!H578:K589)</f>
        <v>26</v>
      </c>
      <c r="I236" s="1156"/>
      <c r="J236" s="1156"/>
      <c r="K236" s="1141"/>
      <c r="L236" s="1140">
        <f>SUM('State DisAgg LFx10 (2015)'!L578:O589)</f>
        <v>54</v>
      </c>
      <c r="M236" s="1156"/>
      <c r="N236" s="1156"/>
      <c r="O236" s="1141"/>
      <c r="P236" s="186">
        <f>SUM('State DisAgg LFx10 (2015)'!P578:P589)</f>
        <v>110</v>
      </c>
      <c r="Q236" s="186">
        <f>SUM('State DisAgg LFx10 (2015)'!Q578:Q589)</f>
        <v>62</v>
      </c>
      <c r="R236" s="186">
        <f>SUM('State DisAgg LFx10 (2015)'!R578:R589)</f>
        <v>41</v>
      </c>
      <c r="S236" s="186">
        <f>SUM('State DisAgg LFx10 (2015)'!S578:S589)</f>
        <v>36</v>
      </c>
      <c r="T236" s="186">
        <f>SUM('State DisAgg LFx10 (2015)'!T578:T589)</f>
        <v>84</v>
      </c>
      <c r="U236" s="186">
        <f>SUM('State DisAgg LFx10 (2015)'!U578:U589)</f>
        <v>53</v>
      </c>
      <c r="V236" s="186">
        <f>SUM('State DisAgg LFx10 (2015)'!V578:V589)</f>
        <v>32</v>
      </c>
      <c r="W236" s="186">
        <f>SUM('State DisAgg LFx10 (2015)'!W578:W589)</f>
        <v>21</v>
      </c>
      <c r="X236" s="880"/>
    </row>
    <row r="237" spans="1:24" ht="13.5" thickBot="1">
      <c r="A237" s="885"/>
      <c r="B237" s="874"/>
      <c r="C237" s="1142" t="s">
        <v>413</v>
      </c>
      <c r="D237" s="927" t="s">
        <v>4</v>
      </c>
      <c r="E237" s="928"/>
      <c r="F237" s="928"/>
      <c r="G237" s="928"/>
      <c r="H237" s="928"/>
      <c r="I237" s="928"/>
      <c r="J237" s="928"/>
      <c r="K237" s="928"/>
      <c r="L237" s="928"/>
      <c r="M237" s="928"/>
      <c r="N237" s="928"/>
      <c r="O237" s="928"/>
      <c r="P237" s="928"/>
      <c r="Q237" s="928"/>
      <c r="R237" s="928"/>
      <c r="S237" s="928"/>
      <c r="T237" s="928"/>
      <c r="U237" s="928"/>
      <c r="V237" s="928"/>
      <c r="W237" s="929"/>
      <c r="X237" s="880"/>
    </row>
    <row r="238" spans="1:24" ht="13.5" thickBot="1">
      <c r="A238" s="885"/>
      <c r="B238" s="875"/>
      <c r="C238" s="1143"/>
      <c r="D238" s="930" t="s">
        <v>125</v>
      </c>
      <c r="E238" s="931"/>
      <c r="F238" s="931"/>
      <c r="G238" s="931"/>
      <c r="H238" s="931"/>
      <c r="I238" s="931"/>
      <c r="J238" s="931"/>
      <c r="K238" s="931"/>
      <c r="L238" s="931"/>
      <c r="M238" s="931"/>
      <c r="N238" s="931"/>
      <c r="O238" s="931"/>
      <c r="P238" s="931"/>
      <c r="Q238" s="931"/>
      <c r="R238" s="931"/>
      <c r="S238" s="931"/>
      <c r="T238" s="931"/>
      <c r="U238" s="931"/>
      <c r="V238" s="931"/>
      <c r="W238" s="932"/>
      <c r="X238" s="880"/>
    </row>
    <row r="239" spans="1:24" ht="13.5" thickBot="1">
      <c r="A239" s="885"/>
      <c r="B239" s="11" t="s">
        <v>36</v>
      </c>
      <c r="C239" s="12"/>
      <c r="D239" s="927" t="s">
        <v>78</v>
      </c>
      <c r="E239" s="928"/>
      <c r="F239" s="928"/>
      <c r="G239" s="929"/>
      <c r="H239" s="927" t="s">
        <v>77</v>
      </c>
      <c r="I239" s="928"/>
      <c r="J239" s="928"/>
      <c r="K239" s="929"/>
      <c r="L239" s="927" t="s">
        <v>81</v>
      </c>
      <c r="M239" s="928"/>
      <c r="N239" s="928"/>
      <c r="O239" s="929"/>
      <c r="P239" s="927" t="s">
        <v>254</v>
      </c>
      <c r="Q239" s="928"/>
      <c r="R239" s="928"/>
      <c r="S239" s="929"/>
      <c r="T239" s="927" t="s">
        <v>76</v>
      </c>
      <c r="U239" s="928"/>
      <c r="V239" s="928"/>
      <c r="W239" s="929"/>
      <c r="X239" s="880"/>
    </row>
    <row r="240" spans="1:24" ht="12.95" customHeight="1" thickBot="1">
      <c r="A240" s="885"/>
      <c r="B240" s="873" t="s">
        <v>601</v>
      </c>
      <c r="C240" s="187"/>
      <c r="D240" s="1065" t="s">
        <v>636</v>
      </c>
      <c r="E240" s="1066"/>
      <c r="F240" s="1066"/>
      <c r="G240" s="1067"/>
      <c r="H240" s="1065" t="s">
        <v>636</v>
      </c>
      <c r="I240" s="1066"/>
      <c r="J240" s="1066"/>
      <c r="K240" s="1067"/>
      <c r="L240" s="1065" t="s">
        <v>636</v>
      </c>
      <c r="M240" s="1066"/>
      <c r="N240" s="1066"/>
      <c r="O240" s="1067"/>
      <c r="P240" s="218" t="s">
        <v>101</v>
      </c>
      <c r="Q240" s="218" t="s">
        <v>104</v>
      </c>
      <c r="R240" s="218" t="s">
        <v>102</v>
      </c>
      <c r="S240" s="218" t="s">
        <v>103</v>
      </c>
      <c r="T240" s="218" t="s">
        <v>101</v>
      </c>
      <c r="U240" s="218" t="s">
        <v>104</v>
      </c>
      <c r="V240" s="218" t="s">
        <v>102</v>
      </c>
      <c r="W240" s="218" t="s">
        <v>103</v>
      </c>
      <c r="X240" s="880"/>
    </row>
    <row r="241" spans="1:24" ht="12.95" customHeight="1" thickBot="1">
      <c r="A241" s="885"/>
      <c r="B241" s="874"/>
      <c r="C241" s="9" t="s">
        <v>247</v>
      </c>
      <c r="D241" s="924">
        <f>SUM('State DisAgg LFx10 (2015)'!D593:G604)</f>
        <v>2</v>
      </c>
      <c r="E241" s="925"/>
      <c r="F241" s="925"/>
      <c r="G241" s="926"/>
      <c r="H241" s="924">
        <f>SUM('State DisAgg LFx10 (2015)'!H593:K604)</f>
        <v>14</v>
      </c>
      <c r="I241" s="925"/>
      <c r="J241" s="925"/>
      <c r="K241" s="926"/>
      <c r="L241" s="924">
        <f>SUM('State DisAgg LFx10 (2015)'!L593:O604)</f>
        <v>34</v>
      </c>
      <c r="M241" s="925"/>
      <c r="N241" s="925"/>
      <c r="O241" s="926"/>
      <c r="P241" s="924">
        <f>SUM('State DisAgg LFx10 (2015)'!P593:S604)</f>
        <v>38</v>
      </c>
      <c r="Q241" s="925"/>
      <c r="R241" s="925"/>
      <c r="S241" s="926"/>
      <c r="T241" s="185">
        <f>SUM('State DisAgg LFx10 (2015)'!T593:T604)</f>
        <v>90</v>
      </c>
      <c r="U241" s="185">
        <f>SUM('State DisAgg LFx10 (2015)'!U593:U604)</f>
        <v>56</v>
      </c>
      <c r="V241" s="185">
        <f>SUM('State DisAgg LFx10 (2015)'!V593:V604)</f>
        <v>35</v>
      </c>
      <c r="W241" s="185">
        <f>SUM('State DisAgg LFx10 (2015)'!W593:W604)</f>
        <v>17</v>
      </c>
      <c r="X241" s="880"/>
    </row>
    <row r="242" spans="1:24" ht="13.5" thickBot="1">
      <c r="A242" s="885"/>
      <c r="B242" s="874"/>
      <c r="C242" s="102" t="s">
        <v>246</v>
      </c>
      <c r="D242" s="1003" t="s">
        <v>172</v>
      </c>
      <c r="E242" s="1004"/>
      <c r="F242" s="1004"/>
      <c r="G242" s="1005"/>
      <c r="H242" s="1003" t="s">
        <v>417</v>
      </c>
      <c r="I242" s="1004"/>
      <c r="J242" s="1004"/>
      <c r="K242" s="1005"/>
      <c r="L242" s="1140">
        <f>SUM('State DisAgg LFx10 (2015)'!L605:O616)</f>
        <v>21</v>
      </c>
      <c r="M242" s="1156"/>
      <c r="N242" s="1156"/>
      <c r="O242" s="1141"/>
      <c r="P242" s="186">
        <f>SUM('State DisAgg LFx10 (2015)'!P605:P616)</f>
        <v>52</v>
      </c>
      <c r="Q242" s="186">
        <f>SUM('State DisAgg LFx10 (2015)'!Q605:Q616)</f>
        <v>34</v>
      </c>
      <c r="R242" s="186">
        <f>SUM('State DisAgg LFx10 (2015)'!R605:R616)</f>
        <v>17</v>
      </c>
      <c r="S242" s="186">
        <f>SUM('State DisAgg LFx10 (2015)'!S605:S616)</f>
        <v>8</v>
      </c>
      <c r="T242" s="186">
        <f>SUM('State DisAgg LFx10 (2015)'!T605:T616)</f>
        <v>32</v>
      </c>
      <c r="U242" s="186">
        <f>SUM('State DisAgg LFx10 (2015)'!U605:U616)</f>
        <v>30</v>
      </c>
      <c r="V242" s="186">
        <f>SUM('State DisAgg LFx10 (2015)'!V605:V616)</f>
        <v>17</v>
      </c>
      <c r="W242" s="186">
        <f>SUM('State DisAgg LFx10 (2015)'!W605:W616)</f>
        <v>5</v>
      </c>
      <c r="X242" s="881"/>
    </row>
    <row r="243" spans="1:24" ht="13.5" thickBot="1">
      <c r="A243" s="885"/>
      <c r="B243" s="874"/>
      <c r="C243" s="1142" t="s">
        <v>413</v>
      </c>
      <c r="D243" s="927" t="s">
        <v>4</v>
      </c>
      <c r="E243" s="928"/>
      <c r="F243" s="928"/>
      <c r="G243" s="928"/>
      <c r="H243" s="928"/>
      <c r="I243" s="928"/>
      <c r="J243" s="928"/>
      <c r="K243" s="928"/>
      <c r="L243" s="928"/>
      <c r="M243" s="928"/>
      <c r="N243" s="928"/>
      <c r="O243" s="928"/>
      <c r="P243" s="928"/>
      <c r="Q243" s="928"/>
      <c r="R243" s="928"/>
      <c r="S243" s="928"/>
      <c r="T243" s="928"/>
      <c r="U243" s="928"/>
      <c r="V243" s="928"/>
      <c r="W243" s="929"/>
      <c r="X243" s="24" t="s">
        <v>14</v>
      </c>
    </row>
    <row r="244" spans="1:24" ht="13.5" thickBot="1">
      <c r="A244" s="885"/>
      <c r="B244" s="875"/>
      <c r="C244" s="1143"/>
      <c r="D244" s="930" t="s">
        <v>125</v>
      </c>
      <c r="E244" s="931"/>
      <c r="F244" s="931"/>
      <c r="G244" s="931"/>
      <c r="H244" s="931"/>
      <c r="I244" s="931"/>
      <c r="J244" s="931"/>
      <c r="K244" s="931"/>
      <c r="L244" s="931"/>
      <c r="M244" s="931"/>
      <c r="N244" s="931"/>
      <c r="O244" s="931"/>
      <c r="P244" s="931"/>
      <c r="Q244" s="931"/>
      <c r="R244" s="931"/>
      <c r="S244" s="931"/>
      <c r="T244" s="931"/>
      <c r="U244" s="931"/>
      <c r="V244" s="931"/>
      <c r="W244" s="932"/>
      <c r="X244" s="18" t="s">
        <v>92</v>
      </c>
    </row>
    <row r="245" spans="1:24" ht="13.5" thickBot="1">
      <c r="A245" s="885"/>
      <c r="B245" s="11" t="s">
        <v>600</v>
      </c>
      <c r="C245" s="12"/>
      <c r="D245" s="927" t="s">
        <v>78</v>
      </c>
      <c r="E245" s="928"/>
      <c r="F245" s="928"/>
      <c r="G245" s="929"/>
      <c r="H245" s="927" t="s">
        <v>77</v>
      </c>
      <c r="I245" s="928"/>
      <c r="J245" s="928"/>
      <c r="K245" s="929"/>
      <c r="L245" s="927" t="s">
        <v>81</v>
      </c>
      <c r="M245" s="928"/>
      <c r="N245" s="928"/>
      <c r="O245" s="929"/>
      <c r="P245" s="927" t="s">
        <v>254</v>
      </c>
      <c r="Q245" s="928"/>
      <c r="R245" s="928"/>
      <c r="S245" s="929"/>
      <c r="T245" s="927" t="s">
        <v>76</v>
      </c>
      <c r="U245" s="928"/>
      <c r="V245" s="928"/>
      <c r="W245" s="929"/>
      <c r="X245" s="222"/>
    </row>
    <row r="246" spans="1:24" ht="12.95" customHeight="1" thickBot="1">
      <c r="A246" s="885"/>
      <c r="B246" s="1132" t="s">
        <v>648</v>
      </c>
      <c r="C246" s="187"/>
      <c r="D246" s="1065"/>
      <c r="E246" s="1066"/>
      <c r="F246" s="1066"/>
      <c r="G246" s="1067"/>
      <c r="H246" s="1065"/>
      <c r="I246" s="1066"/>
      <c r="J246" s="1066"/>
      <c r="K246" s="1067"/>
      <c r="L246" s="1065"/>
      <c r="M246" s="1066"/>
      <c r="N246" s="1066"/>
      <c r="O246" s="1067"/>
      <c r="P246" s="218" t="s">
        <v>693</v>
      </c>
      <c r="Q246" s="219" t="s">
        <v>607</v>
      </c>
      <c r="R246" s="218" t="s">
        <v>606</v>
      </c>
      <c r="S246" s="218" t="s">
        <v>694</v>
      </c>
      <c r="T246" s="218" t="s">
        <v>693</v>
      </c>
      <c r="U246" s="219" t="s">
        <v>607</v>
      </c>
      <c r="V246" s="218" t="s">
        <v>606</v>
      </c>
      <c r="W246" s="218" t="s">
        <v>694</v>
      </c>
      <c r="X246" s="221"/>
    </row>
    <row r="247" spans="1:24" ht="12.95" customHeight="1" thickBot="1">
      <c r="A247" s="885"/>
      <c r="B247" s="1133"/>
      <c r="C247" s="9" t="s">
        <v>247</v>
      </c>
      <c r="D247" s="957"/>
      <c r="E247" s="958"/>
      <c r="F247" s="958"/>
      <c r="G247" s="959"/>
      <c r="H247" s="1061" t="s">
        <v>635</v>
      </c>
      <c r="I247" s="1062"/>
      <c r="J247" s="1062"/>
      <c r="K247" s="1063"/>
      <c r="L247" s="966" t="s">
        <v>443</v>
      </c>
      <c r="M247" s="967"/>
      <c r="N247" s="967"/>
      <c r="O247" s="968"/>
      <c r="P247" s="238">
        <f>SUM('State DisAgg LFx10 (2015)'!P620:P631)</f>
        <v>39</v>
      </c>
      <c r="Q247" s="238">
        <f>SUM('State DisAgg LFx10 (2015)'!Q620:Q631)</f>
        <v>29</v>
      </c>
      <c r="R247" s="238">
        <f>SUM('State DisAgg LFx10 (2015)'!R620:R631)</f>
        <v>10</v>
      </c>
      <c r="S247" s="238">
        <f>SUM('State DisAgg LFx10 (2015)'!S620:S631)</f>
        <v>2</v>
      </c>
      <c r="T247" s="238">
        <f>SUM('State DisAgg LFx10 (2015)'!T620:T631)</f>
        <v>73</v>
      </c>
      <c r="U247" s="238">
        <f>SUM('State DisAgg LFx10 (2015)'!U620:U631)</f>
        <v>50</v>
      </c>
      <c r="V247" s="238">
        <f>SUM('State DisAgg LFx10 (2015)'!V620:V631)</f>
        <v>23</v>
      </c>
      <c r="W247" s="238">
        <f>SUM('State DisAgg LFx10 (2015)'!W620:W631)</f>
        <v>8</v>
      </c>
      <c r="X247" s="225"/>
    </row>
    <row r="248" spans="1:24" ht="12.95" customHeight="1" thickBot="1">
      <c r="A248" s="869"/>
      <c r="B248" s="1133"/>
      <c r="C248" s="102" t="s">
        <v>246</v>
      </c>
      <c r="D248" s="957"/>
      <c r="E248" s="958"/>
      <c r="F248" s="958"/>
      <c r="G248" s="959"/>
      <c r="H248" s="957"/>
      <c r="I248" s="958"/>
      <c r="J248" s="958"/>
      <c r="K248" s="959"/>
      <c r="L248" s="957"/>
      <c r="M248" s="958"/>
      <c r="N248" s="958"/>
      <c r="O248" s="959"/>
      <c r="P248" s="957"/>
      <c r="Q248" s="958"/>
      <c r="R248" s="958"/>
      <c r="S248" s="959"/>
      <c r="T248" s="186">
        <f>SUM('State DisAgg LFx10 (2015)'!T632:T643)</f>
        <v>20</v>
      </c>
      <c r="U248" s="186">
        <f>SUM('State DisAgg LFx10 (2015)'!U632:U643)</f>
        <v>18</v>
      </c>
      <c r="V248" s="186">
        <f>SUM('State DisAgg LFx10 (2015)'!V632:V643)</f>
        <v>18</v>
      </c>
      <c r="W248" s="186">
        <f>SUM('State DisAgg LFx10 (2015)'!W632:W643)</f>
        <v>6</v>
      </c>
      <c r="X248" s="226"/>
    </row>
    <row r="249" spans="1:24" ht="13.5" thickBot="1">
      <c r="A249" s="224" t="s">
        <v>13</v>
      </c>
      <c r="B249" s="1133"/>
      <c r="C249" s="998" t="s">
        <v>413</v>
      </c>
      <c r="D249" s="927" t="s">
        <v>4</v>
      </c>
      <c r="E249" s="928"/>
      <c r="F249" s="928"/>
      <c r="G249" s="928"/>
      <c r="H249" s="928"/>
      <c r="I249" s="928"/>
      <c r="J249" s="928"/>
      <c r="K249" s="928"/>
      <c r="L249" s="928"/>
      <c r="M249" s="928"/>
      <c r="N249" s="928"/>
      <c r="O249" s="928"/>
      <c r="P249" s="928"/>
      <c r="Q249" s="928"/>
      <c r="R249" s="928"/>
      <c r="S249" s="928"/>
      <c r="T249" s="928"/>
      <c r="U249" s="928"/>
      <c r="V249" s="928"/>
      <c r="W249" s="929"/>
      <c r="X249" s="24" t="s">
        <v>14</v>
      </c>
    </row>
    <row r="250" spans="1:24" ht="13.5" thickBot="1">
      <c r="A250" s="25" t="s">
        <v>73</v>
      </c>
      <c r="B250" s="1134"/>
      <c r="C250" s="999"/>
      <c r="D250" s="930" t="s">
        <v>125</v>
      </c>
      <c r="E250" s="931"/>
      <c r="F250" s="931"/>
      <c r="G250" s="931"/>
      <c r="H250" s="931"/>
      <c r="I250" s="931"/>
      <c r="J250" s="931"/>
      <c r="K250" s="931"/>
      <c r="L250" s="931"/>
      <c r="M250" s="931"/>
      <c r="N250" s="931"/>
      <c r="O250" s="931"/>
      <c r="P250" s="931"/>
      <c r="Q250" s="931"/>
      <c r="R250" s="931"/>
      <c r="S250" s="931"/>
      <c r="T250" s="931"/>
      <c r="U250" s="931"/>
      <c r="V250" s="931"/>
      <c r="W250" s="932"/>
      <c r="X250" s="18" t="s">
        <v>92</v>
      </c>
    </row>
    <row r="251" spans="1:24" ht="13.5" thickBot="1">
      <c r="A251" s="1060" t="s">
        <v>7</v>
      </c>
      <c r="B251" s="908" t="s">
        <v>173</v>
      </c>
      <c r="C251" s="918"/>
      <c r="D251" s="908" t="s">
        <v>8</v>
      </c>
      <c r="E251" s="918"/>
      <c r="F251" s="918"/>
      <c r="G251" s="909"/>
      <c r="H251" s="908" t="s">
        <v>88</v>
      </c>
      <c r="I251" s="918"/>
      <c r="J251" s="918"/>
      <c r="K251" s="909"/>
      <c r="L251" s="908" t="s">
        <v>89</v>
      </c>
      <c r="M251" s="918"/>
      <c r="N251" s="918"/>
      <c r="O251" s="909"/>
      <c r="P251" s="908" t="s">
        <v>9</v>
      </c>
      <c r="Q251" s="918"/>
      <c r="R251" s="918"/>
      <c r="S251" s="909"/>
      <c r="T251" s="908" t="s">
        <v>174</v>
      </c>
      <c r="U251" s="918"/>
      <c r="V251" s="918"/>
      <c r="W251" s="918"/>
      <c r="X251" s="909"/>
    </row>
    <row r="252" spans="1:24" ht="13.5" thickBot="1">
      <c r="A252" s="907"/>
      <c r="B252" s="919">
        <v>4100000</v>
      </c>
      <c r="C252" s="921"/>
      <c r="D252" s="919">
        <v>0</v>
      </c>
      <c r="E252" s="921"/>
      <c r="F252" s="921"/>
      <c r="G252" s="920"/>
      <c r="H252" s="919">
        <v>0</v>
      </c>
      <c r="I252" s="921"/>
      <c r="J252" s="921"/>
      <c r="K252" s="920"/>
      <c r="L252" s="919">
        <v>2700000</v>
      </c>
      <c r="M252" s="921"/>
      <c r="N252" s="921"/>
      <c r="O252" s="920"/>
      <c r="P252" s="919">
        <f>SUM(B252:O252)</f>
        <v>6800000</v>
      </c>
      <c r="Q252" s="921"/>
      <c r="R252" s="921"/>
      <c r="S252" s="920"/>
      <c r="T252" s="942">
        <f>B252/P252%</f>
        <v>60.294117647058826</v>
      </c>
      <c r="U252" s="943"/>
      <c r="V252" s="943"/>
      <c r="W252" s="943"/>
      <c r="X252" s="944"/>
    </row>
    <row r="253" spans="1:24" ht="13.5" thickBot="1">
      <c r="A253" s="906" t="s">
        <v>10</v>
      </c>
      <c r="B253" s="908" t="s">
        <v>175</v>
      </c>
      <c r="C253" s="918"/>
      <c r="D253" s="910"/>
      <c r="E253" s="911"/>
      <c r="F253" s="911"/>
      <c r="G253" s="911"/>
      <c r="H253" s="911"/>
      <c r="I253" s="911"/>
      <c r="J253" s="911"/>
      <c r="K253" s="911"/>
      <c r="L253" s="911"/>
      <c r="M253" s="911"/>
      <c r="N253" s="911"/>
      <c r="O253" s="911"/>
      <c r="P253" s="911"/>
      <c r="Q253" s="911"/>
      <c r="R253" s="911"/>
      <c r="S253" s="911"/>
      <c r="T253" s="911"/>
      <c r="U253" s="911"/>
      <c r="V253" s="911"/>
      <c r="W253" s="911"/>
      <c r="X253" s="912"/>
    </row>
    <row r="254" spans="1:24" ht="13.5" thickBot="1">
      <c r="A254" s="907"/>
      <c r="B254" s="916"/>
      <c r="C254" s="994"/>
      <c r="D254" s="913"/>
      <c r="E254" s="914"/>
      <c r="F254" s="914"/>
      <c r="G254" s="914"/>
      <c r="H254" s="914"/>
      <c r="I254" s="914"/>
      <c r="J254" s="914"/>
      <c r="K254" s="914"/>
      <c r="L254" s="914"/>
      <c r="M254" s="914"/>
      <c r="N254" s="914"/>
      <c r="O254" s="914"/>
      <c r="P254" s="914"/>
      <c r="Q254" s="914"/>
      <c r="R254" s="914"/>
      <c r="S254" s="914"/>
      <c r="T254" s="914"/>
      <c r="U254" s="914"/>
      <c r="V254" s="914"/>
      <c r="W254" s="914"/>
      <c r="X254" s="915"/>
    </row>
  </sheetData>
  <sheetProtection password="CF55" sheet="1" objects="1" scenarios="1" selectLockedCells="1" selectUnlockedCells="1"/>
  <mergeCells count="944">
    <mergeCell ref="A253:A254"/>
    <mergeCell ref="B253:C253"/>
    <mergeCell ref="D253:X254"/>
    <mergeCell ref="B254:C254"/>
    <mergeCell ref="A234:A248"/>
    <mergeCell ref="L43:O43"/>
    <mergeCell ref="L164:O164"/>
    <mergeCell ref="A251:A252"/>
    <mergeCell ref="B251:C251"/>
    <mergeCell ref="D251:G251"/>
    <mergeCell ref="H251:K251"/>
    <mergeCell ref="L251:O251"/>
    <mergeCell ref="P251:S251"/>
    <mergeCell ref="T251:X251"/>
    <mergeCell ref="B252:C252"/>
    <mergeCell ref="D252:G252"/>
    <mergeCell ref="H252:K252"/>
    <mergeCell ref="L252:O252"/>
    <mergeCell ref="P252:S252"/>
    <mergeCell ref="T252:X252"/>
    <mergeCell ref="B246:B250"/>
    <mergeCell ref="D247:G247"/>
    <mergeCell ref="H247:K247"/>
    <mergeCell ref="L247:O247"/>
    <mergeCell ref="H161:I161"/>
    <mergeCell ref="D248:G248"/>
    <mergeCell ref="H248:K248"/>
    <mergeCell ref="L248:O248"/>
    <mergeCell ref="P248:S248"/>
    <mergeCell ref="C249:C250"/>
    <mergeCell ref="D249:W249"/>
    <mergeCell ref="D250:W250"/>
    <mergeCell ref="B240:B244"/>
    <mergeCell ref="D235:G235"/>
    <mergeCell ref="H235:K235"/>
    <mergeCell ref="H236:K236"/>
    <mergeCell ref="L235:O235"/>
    <mergeCell ref="P235:S235"/>
    <mergeCell ref="L236:O236"/>
    <mergeCell ref="H239:K239"/>
    <mergeCell ref="L239:O239"/>
    <mergeCell ref="P239:S239"/>
    <mergeCell ref="D238:W238"/>
    <mergeCell ref="D239:G239"/>
    <mergeCell ref="D236:G236"/>
    <mergeCell ref="D237:W237"/>
    <mergeCell ref="D242:G242"/>
    <mergeCell ref="D245:G245"/>
    <mergeCell ref="D109:G109"/>
    <mergeCell ref="A149:A176"/>
    <mergeCell ref="D190:G190"/>
    <mergeCell ref="H190:K190"/>
    <mergeCell ref="L190:O190"/>
    <mergeCell ref="P190:S190"/>
    <mergeCell ref="L160:O160"/>
    <mergeCell ref="D151:G151"/>
    <mergeCell ref="D152:W152"/>
    <mergeCell ref="D153:W153"/>
    <mergeCell ref="D154:G154"/>
    <mergeCell ref="H154:K154"/>
    <mergeCell ref="L154:O154"/>
    <mergeCell ref="B161:B164"/>
    <mergeCell ref="J161:K161"/>
    <mergeCell ref="P154:S154"/>
    <mergeCell ref="T154:W154"/>
    <mergeCell ref="B155:B156"/>
    <mergeCell ref="D157:G157"/>
    <mergeCell ref="P162:Q162"/>
    <mergeCell ref="V161:W161"/>
    <mergeCell ref="H160:K160"/>
    <mergeCell ref="D161:E161"/>
    <mergeCell ref="F161:G161"/>
    <mergeCell ref="L108:O108"/>
    <mergeCell ref="P161:Q161"/>
    <mergeCell ref="R161:S161"/>
    <mergeCell ref="T100:W100"/>
    <mergeCell ref="T101:W101"/>
    <mergeCell ref="D99:G99"/>
    <mergeCell ref="D105:G105"/>
    <mergeCell ref="D100:G100"/>
    <mergeCell ref="H100:K100"/>
    <mergeCell ref="L100:O100"/>
    <mergeCell ref="P100:S100"/>
    <mergeCell ref="H105:K105"/>
    <mergeCell ref="P108:S108"/>
    <mergeCell ref="T108:W108"/>
    <mergeCell ref="P103:S103"/>
    <mergeCell ref="D104:G104"/>
    <mergeCell ref="H104:K104"/>
    <mergeCell ref="L104:O104"/>
    <mergeCell ref="P104:S104"/>
    <mergeCell ref="H109:K109"/>
    <mergeCell ref="L109:O109"/>
    <mergeCell ref="P109:S109"/>
    <mergeCell ref="T109:W109"/>
    <mergeCell ref="D107:W107"/>
    <mergeCell ref="P93:S93"/>
    <mergeCell ref="H78:K78"/>
    <mergeCell ref="L78:O78"/>
    <mergeCell ref="P78:S78"/>
    <mergeCell ref="D97:W97"/>
    <mergeCell ref="D91:G91"/>
    <mergeCell ref="D94:G94"/>
    <mergeCell ref="H91:K91"/>
    <mergeCell ref="L91:O91"/>
    <mergeCell ref="D81:G81"/>
    <mergeCell ref="T84:X84"/>
    <mergeCell ref="P85:S85"/>
    <mergeCell ref="T85:X85"/>
    <mergeCell ref="D82:W82"/>
    <mergeCell ref="X91:X110"/>
    <mergeCell ref="T99:W99"/>
    <mergeCell ref="H110:K110"/>
    <mergeCell ref="H99:K99"/>
    <mergeCell ref="L92:O92"/>
    <mergeCell ref="H96:K96"/>
    <mergeCell ref="T104:W104"/>
    <mergeCell ref="T103:W103"/>
    <mergeCell ref="D108:G108"/>
    <mergeCell ref="H108:K108"/>
    <mergeCell ref="T94:W94"/>
    <mergeCell ref="H69:K69"/>
    <mergeCell ref="L69:O69"/>
    <mergeCell ref="P69:S69"/>
    <mergeCell ref="T69:W69"/>
    <mergeCell ref="L99:O99"/>
    <mergeCell ref="P99:S99"/>
    <mergeCell ref="P95:S95"/>
    <mergeCell ref="P90:S90"/>
    <mergeCell ref="P92:S92"/>
    <mergeCell ref="D83:W83"/>
    <mergeCell ref="H90:K90"/>
    <mergeCell ref="T95:W95"/>
    <mergeCell ref="L90:O90"/>
    <mergeCell ref="D96:G96"/>
    <mergeCell ref="D95:G95"/>
    <mergeCell ref="D98:W98"/>
    <mergeCell ref="L96:O96"/>
    <mergeCell ref="P96:S96"/>
    <mergeCell ref="T96:W96"/>
    <mergeCell ref="T92:W92"/>
    <mergeCell ref="L93:O93"/>
    <mergeCell ref="D93:G93"/>
    <mergeCell ref="P91:S91"/>
    <mergeCell ref="T78:W78"/>
    <mergeCell ref="T91:W91"/>
    <mergeCell ref="L70:O70"/>
    <mergeCell ref="P70:S70"/>
    <mergeCell ref="T70:W70"/>
    <mergeCell ref="T71:W71"/>
    <mergeCell ref="D77:W77"/>
    <mergeCell ref="D78:G78"/>
    <mergeCell ref="T74:W74"/>
    <mergeCell ref="D72:G72"/>
    <mergeCell ref="H72:K72"/>
    <mergeCell ref="L72:O72"/>
    <mergeCell ref="T90:W90"/>
    <mergeCell ref="D75:G75"/>
    <mergeCell ref="H75:K75"/>
    <mergeCell ref="L75:O75"/>
    <mergeCell ref="P75:S75"/>
    <mergeCell ref="D90:G90"/>
    <mergeCell ref="X4:X18"/>
    <mergeCell ref="P9:S9"/>
    <mergeCell ref="T9:W9"/>
    <mergeCell ref="D14:G14"/>
    <mergeCell ref="H14:K14"/>
    <mergeCell ref="D18:W18"/>
    <mergeCell ref="D8:W8"/>
    <mergeCell ref="D9:G9"/>
    <mergeCell ref="H9:K9"/>
    <mergeCell ref="L9:O9"/>
    <mergeCell ref="D4:G4"/>
    <mergeCell ref="H4:K4"/>
    <mergeCell ref="L4:O4"/>
    <mergeCell ref="P4:S4"/>
    <mergeCell ref="T4:W4"/>
    <mergeCell ref="L14:O14"/>
    <mergeCell ref="P14:S14"/>
    <mergeCell ref="T14:W14"/>
    <mergeCell ref="D21:G21"/>
    <mergeCell ref="H21:K21"/>
    <mergeCell ref="T23:W23"/>
    <mergeCell ref="P22:S22"/>
    <mergeCell ref="T22:W22"/>
    <mergeCell ref="A22:A48"/>
    <mergeCell ref="B22:B29"/>
    <mergeCell ref="D22:G22"/>
    <mergeCell ref="H22:K22"/>
    <mergeCell ref="L22:O22"/>
    <mergeCell ref="D32:G32"/>
    <mergeCell ref="H32:K32"/>
    <mergeCell ref="T24:W24"/>
    <mergeCell ref="L21:O21"/>
    <mergeCell ref="P21:S21"/>
    <mergeCell ref="T21:W21"/>
    <mergeCell ref="B31:B38"/>
    <mergeCell ref="D31:G31"/>
    <mergeCell ref="H31:K31"/>
    <mergeCell ref="L31:O31"/>
    <mergeCell ref="P31:S31"/>
    <mergeCell ref="P24:S24"/>
    <mergeCell ref="D25:G25"/>
    <mergeCell ref="H25:K25"/>
    <mergeCell ref="C12:C13"/>
    <mergeCell ref="C17:C18"/>
    <mergeCell ref="B10:B13"/>
    <mergeCell ref="D10:W10"/>
    <mergeCell ref="D11:W11"/>
    <mergeCell ref="D12:W12"/>
    <mergeCell ref="D13:W13"/>
    <mergeCell ref="A5:A18"/>
    <mergeCell ref="B5:B8"/>
    <mergeCell ref="D5:W5"/>
    <mergeCell ref="D6:W6"/>
    <mergeCell ref="D7:W7"/>
    <mergeCell ref="B15:B18"/>
    <mergeCell ref="D15:W15"/>
    <mergeCell ref="D16:W16"/>
    <mergeCell ref="D17:W17"/>
    <mergeCell ref="C7:C8"/>
    <mergeCell ref="T31:W31"/>
    <mergeCell ref="P32:S32"/>
    <mergeCell ref="P35:S35"/>
    <mergeCell ref="T35:W35"/>
    <mergeCell ref="L32:O32"/>
    <mergeCell ref="H35:K35"/>
    <mergeCell ref="L35:O35"/>
    <mergeCell ref="P25:S25"/>
    <mergeCell ref="T25:W25"/>
    <mergeCell ref="T34:W34"/>
    <mergeCell ref="T32:W32"/>
    <mergeCell ref="D28:W28"/>
    <mergeCell ref="D29:W29"/>
    <mergeCell ref="D33:G33"/>
    <mergeCell ref="H33:K33"/>
    <mergeCell ref="L33:O33"/>
    <mergeCell ref="P33:S33"/>
    <mergeCell ref="T33:W33"/>
    <mergeCell ref="D26:G26"/>
    <mergeCell ref="H26:K26"/>
    <mergeCell ref="L26:O26"/>
    <mergeCell ref="P26:S26"/>
    <mergeCell ref="T26:W26"/>
    <mergeCell ref="D27:G27"/>
    <mergeCell ref="D36:G36"/>
    <mergeCell ref="T36:W36"/>
    <mergeCell ref="X22:X48"/>
    <mergeCell ref="D23:G23"/>
    <mergeCell ref="H23:K23"/>
    <mergeCell ref="L23:O23"/>
    <mergeCell ref="P23:S23"/>
    <mergeCell ref="D24:G24"/>
    <mergeCell ref="H24:K24"/>
    <mergeCell ref="L24:O24"/>
    <mergeCell ref="D35:G35"/>
    <mergeCell ref="L34:O34"/>
    <mergeCell ref="D30:G30"/>
    <mergeCell ref="H30:K30"/>
    <mergeCell ref="L30:O30"/>
    <mergeCell ref="P30:S30"/>
    <mergeCell ref="H36:K36"/>
    <mergeCell ref="L36:O36"/>
    <mergeCell ref="P36:S36"/>
    <mergeCell ref="L25:O25"/>
    <mergeCell ref="P34:S34"/>
    <mergeCell ref="D34:G34"/>
    <mergeCell ref="H34:K34"/>
    <mergeCell ref="T30:W30"/>
    <mergeCell ref="B47:B48"/>
    <mergeCell ref="C47:C48"/>
    <mergeCell ref="D39:G39"/>
    <mergeCell ref="H39:K39"/>
    <mergeCell ref="L39:O39"/>
    <mergeCell ref="P39:S39"/>
    <mergeCell ref="T39:W39"/>
    <mergeCell ref="D37:W37"/>
    <mergeCell ref="D38:W38"/>
    <mergeCell ref="B40:B41"/>
    <mergeCell ref="D45:G45"/>
    <mergeCell ref="H45:K45"/>
    <mergeCell ref="D46:G46"/>
    <mergeCell ref="H46:K46"/>
    <mergeCell ref="L46:O46"/>
    <mergeCell ref="D42:G42"/>
    <mergeCell ref="D43:G43"/>
    <mergeCell ref="H43:K43"/>
    <mergeCell ref="D44:G44"/>
    <mergeCell ref="D47:W47"/>
    <mergeCell ref="D48:W48"/>
    <mergeCell ref="P46:S46"/>
    <mergeCell ref="T56:W56"/>
    <mergeCell ref="D51:G51"/>
    <mergeCell ref="H51:K51"/>
    <mergeCell ref="L51:O51"/>
    <mergeCell ref="P51:S51"/>
    <mergeCell ref="T51:W51"/>
    <mergeCell ref="T52:W52"/>
    <mergeCell ref="D54:G54"/>
    <mergeCell ref="H54:K54"/>
    <mergeCell ref="L53:O53"/>
    <mergeCell ref="P53:S53"/>
    <mergeCell ref="T53:W53"/>
    <mergeCell ref="L54:O54"/>
    <mergeCell ref="P54:S54"/>
    <mergeCell ref="T54:W54"/>
    <mergeCell ref="D55:G55"/>
    <mergeCell ref="H55:K55"/>
    <mergeCell ref="L55:O55"/>
    <mergeCell ref="P55:S55"/>
    <mergeCell ref="T55:W55"/>
    <mergeCell ref="A86:A87"/>
    <mergeCell ref="B86:C86"/>
    <mergeCell ref="D86:X87"/>
    <mergeCell ref="B87:C87"/>
    <mergeCell ref="X52:X83"/>
    <mergeCell ref="D53:G53"/>
    <mergeCell ref="H53:K53"/>
    <mergeCell ref="D74:G74"/>
    <mergeCell ref="H74:K74"/>
    <mergeCell ref="L74:O74"/>
    <mergeCell ref="P74:S74"/>
    <mergeCell ref="T75:W75"/>
    <mergeCell ref="D76:W76"/>
    <mergeCell ref="P72:S72"/>
    <mergeCell ref="T72:W72"/>
    <mergeCell ref="D71:G71"/>
    <mergeCell ref="H71:K71"/>
    <mergeCell ref="L71:O71"/>
    <mergeCell ref="D73:G73"/>
    <mergeCell ref="H73:K73"/>
    <mergeCell ref="L73:O73"/>
    <mergeCell ref="P73:S73"/>
    <mergeCell ref="T73:W73"/>
    <mergeCell ref="H56:K56"/>
    <mergeCell ref="P57:S57"/>
    <mergeCell ref="T57:W57"/>
    <mergeCell ref="L56:O56"/>
    <mergeCell ref="D57:G57"/>
    <mergeCell ref="H57:K57"/>
    <mergeCell ref="L57:O57"/>
    <mergeCell ref="D56:G56"/>
    <mergeCell ref="D63:G63"/>
    <mergeCell ref="D67:W67"/>
    <mergeCell ref="H62:K62"/>
    <mergeCell ref="L62:O62"/>
    <mergeCell ref="P62:S62"/>
    <mergeCell ref="T62:W62"/>
    <mergeCell ref="D61:G61"/>
    <mergeCell ref="H61:K61"/>
    <mergeCell ref="L61:O61"/>
    <mergeCell ref="H66:K66"/>
    <mergeCell ref="L66:O66"/>
    <mergeCell ref="P66:S66"/>
    <mergeCell ref="T66:W66"/>
    <mergeCell ref="P64:S64"/>
    <mergeCell ref="T64:W64"/>
    <mergeCell ref="L64:O64"/>
    <mergeCell ref="P56:S56"/>
    <mergeCell ref="D68:W68"/>
    <mergeCell ref="P60:S60"/>
    <mergeCell ref="T60:W60"/>
    <mergeCell ref="L60:O60"/>
    <mergeCell ref="P61:S61"/>
    <mergeCell ref="T61:W61"/>
    <mergeCell ref="D58:W58"/>
    <mergeCell ref="D59:W59"/>
    <mergeCell ref="D60:G60"/>
    <mergeCell ref="H60:K60"/>
    <mergeCell ref="D62:G62"/>
    <mergeCell ref="T65:W65"/>
    <mergeCell ref="D64:G64"/>
    <mergeCell ref="H64:K64"/>
    <mergeCell ref="D65:G65"/>
    <mergeCell ref="H65:K65"/>
    <mergeCell ref="L65:O65"/>
    <mergeCell ref="P65:S65"/>
    <mergeCell ref="P63:S63"/>
    <mergeCell ref="T63:W63"/>
    <mergeCell ref="A52:A83"/>
    <mergeCell ref="B52:B59"/>
    <mergeCell ref="D52:G52"/>
    <mergeCell ref="H52:K52"/>
    <mergeCell ref="L52:O52"/>
    <mergeCell ref="P52:S52"/>
    <mergeCell ref="B61:B68"/>
    <mergeCell ref="P71:S71"/>
    <mergeCell ref="L85:O85"/>
    <mergeCell ref="A84:A85"/>
    <mergeCell ref="B84:C84"/>
    <mergeCell ref="D84:G84"/>
    <mergeCell ref="H84:K84"/>
    <mergeCell ref="L84:O84"/>
    <mergeCell ref="P84:S84"/>
    <mergeCell ref="B85:C85"/>
    <mergeCell ref="D85:G85"/>
    <mergeCell ref="H85:K85"/>
    <mergeCell ref="D70:G70"/>
    <mergeCell ref="H70:K70"/>
    <mergeCell ref="H63:K63"/>
    <mergeCell ref="L63:O63"/>
    <mergeCell ref="D66:G66"/>
    <mergeCell ref="D69:G69"/>
    <mergeCell ref="A91:A110"/>
    <mergeCell ref="L103:O103"/>
    <mergeCell ref="H95:K95"/>
    <mergeCell ref="L95:O95"/>
    <mergeCell ref="H93:K93"/>
    <mergeCell ref="D92:G92"/>
    <mergeCell ref="D103:G103"/>
    <mergeCell ref="H103:K103"/>
    <mergeCell ref="D101:G101"/>
    <mergeCell ref="H101:K101"/>
    <mergeCell ref="L101:O101"/>
    <mergeCell ref="L102:O102"/>
    <mergeCell ref="D106:W106"/>
    <mergeCell ref="P102:S102"/>
    <mergeCell ref="T102:W102"/>
    <mergeCell ref="D102:G102"/>
    <mergeCell ref="P101:S101"/>
    <mergeCell ref="H102:K102"/>
    <mergeCell ref="T110:W110"/>
    <mergeCell ref="T93:W93"/>
    <mergeCell ref="H94:K94"/>
    <mergeCell ref="H92:K92"/>
    <mergeCell ref="L94:O94"/>
    <mergeCell ref="P94:S94"/>
    <mergeCell ref="A113:A114"/>
    <mergeCell ref="B113:C113"/>
    <mergeCell ref="D113:G113"/>
    <mergeCell ref="H113:K113"/>
    <mergeCell ref="L113:O113"/>
    <mergeCell ref="T121:W121"/>
    <mergeCell ref="T122:W122"/>
    <mergeCell ref="A120:A139"/>
    <mergeCell ref="L121:O121"/>
    <mergeCell ref="P121:S121"/>
    <mergeCell ref="T129:W129"/>
    <mergeCell ref="T132:W132"/>
    <mergeCell ref="B138:B141"/>
    <mergeCell ref="A115:A116"/>
    <mergeCell ref="B115:C115"/>
    <mergeCell ref="D115:X116"/>
    <mergeCell ref="D119:G119"/>
    <mergeCell ref="H120:K120"/>
    <mergeCell ref="L120:O120"/>
    <mergeCell ref="P120:S120"/>
    <mergeCell ref="P122:S122"/>
    <mergeCell ref="D120:G120"/>
    <mergeCell ref="L122:O122"/>
    <mergeCell ref="H122:K122"/>
    <mergeCell ref="L105:O105"/>
    <mergeCell ref="P105:S105"/>
    <mergeCell ref="T105:W105"/>
    <mergeCell ref="P130:S130"/>
    <mergeCell ref="H131:K131"/>
    <mergeCell ref="D121:G121"/>
    <mergeCell ref="H121:K121"/>
    <mergeCell ref="P110:S110"/>
    <mergeCell ref="D111:W111"/>
    <mergeCell ref="D112:W112"/>
    <mergeCell ref="T113:X113"/>
    <mergeCell ref="L110:O110"/>
    <mergeCell ref="T114:X114"/>
    <mergeCell ref="T120:W120"/>
    <mergeCell ref="D110:G110"/>
    <mergeCell ref="P125:S125"/>
    <mergeCell ref="T128:W128"/>
    <mergeCell ref="D114:G114"/>
    <mergeCell ref="H114:K114"/>
    <mergeCell ref="L114:O114"/>
    <mergeCell ref="P114:S114"/>
    <mergeCell ref="D122:G122"/>
    <mergeCell ref="P113:S113"/>
    <mergeCell ref="T124:W124"/>
    <mergeCell ref="H119:K119"/>
    <mergeCell ref="L119:O119"/>
    <mergeCell ref="P119:S119"/>
    <mergeCell ref="T119:W119"/>
    <mergeCell ref="H129:K129"/>
    <mergeCell ref="L129:O129"/>
    <mergeCell ref="T130:W130"/>
    <mergeCell ref="P132:S132"/>
    <mergeCell ref="T138:W138"/>
    <mergeCell ref="L130:O130"/>
    <mergeCell ref="H123:K123"/>
    <mergeCell ref="L123:O123"/>
    <mergeCell ref="P123:S123"/>
    <mergeCell ref="T123:W123"/>
    <mergeCell ref="T125:W125"/>
    <mergeCell ref="L138:O138"/>
    <mergeCell ref="L132:O132"/>
    <mergeCell ref="D128:G128"/>
    <mergeCell ref="H128:K128"/>
    <mergeCell ref="L128:O128"/>
    <mergeCell ref="H124:K124"/>
    <mergeCell ref="D124:G124"/>
    <mergeCell ref="P128:S128"/>
    <mergeCell ref="H125:K125"/>
    <mergeCell ref="L125:O125"/>
    <mergeCell ref="L124:O124"/>
    <mergeCell ref="P124:S124"/>
    <mergeCell ref="D125:G125"/>
    <mergeCell ref="D123:G123"/>
    <mergeCell ref="D126:W126"/>
    <mergeCell ref="D127:W127"/>
    <mergeCell ref="A144:A145"/>
    <mergeCell ref="B144:C144"/>
    <mergeCell ref="D144:X145"/>
    <mergeCell ref="B145:C145"/>
    <mergeCell ref="C135:C136"/>
    <mergeCell ref="C140:C141"/>
    <mergeCell ref="A142:A143"/>
    <mergeCell ref="B142:C142"/>
    <mergeCell ref="D142:G142"/>
    <mergeCell ref="H142:K142"/>
    <mergeCell ref="D136:W136"/>
    <mergeCell ref="D137:G137"/>
    <mergeCell ref="H137:K137"/>
    <mergeCell ref="L137:O137"/>
    <mergeCell ref="P137:S137"/>
    <mergeCell ref="T137:W137"/>
    <mergeCell ref="X120:X139"/>
    <mergeCell ref="D130:G130"/>
    <mergeCell ref="H130:K130"/>
    <mergeCell ref="D138:G138"/>
    <mergeCell ref="H138:K138"/>
    <mergeCell ref="D140:W140"/>
    <mergeCell ref="D141:W141"/>
    <mergeCell ref="T142:X142"/>
    <mergeCell ref="L134:O134"/>
    <mergeCell ref="P134:S134"/>
    <mergeCell ref="H132:K132"/>
    <mergeCell ref="P148:S148"/>
    <mergeCell ref="P138:S138"/>
    <mergeCell ref="D131:G131"/>
    <mergeCell ref="D134:G134"/>
    <mergeCell ref="H134:K134"/>
    <mergeCell ref="T139:W139"/>
    <mergeCell ref="D129:G129"/>
    <mergeCell ref="D139:G139"/>
    <mergeCell ref="H139:K139"/>
    <mergeCell ref="L139:O139"/>
    <mergeCell ref="P139:S139"/>
    <mergeCell ref="D135:W135"/>
    <mergeCell ref="T134:W134"/>
    <mergeCell ref="T133:W133"/>
    <mergeCell ref="D133:G133"/>
    <mergeCell ref="H133:K133"/>
    <mergeCell ref="L133:O133"/>
    <mergeCell ref="P133:S133"/>
    <mergeCell ref="H167:K167"/>
    <mergeCell ref="L167:O167"/>
    <mergeCell ref="D132:G132"/>
    <mergeCell ref="P129:S129"/>
    <mergeCell ref="L148:O148"/>
    <mergeCell ref="V164:W164"/>
    <mergeCell ref="V163:W163"/>
    <mergeCell ref="P166:Q166"/>
    <mergeCell ref="R166:S166"/>
    <mergeCell ref="D162:G162"/>
    <mergeCell ref="H162:K162"/>
    <mergeCell ref="L162:M162"/>
    <mergeCell ref="N162:O162"/>
    <mergeCell ref="T161:U161"/>
    <mergeCell ref="N161:O161"/>
    <mergeCell ref="T160:W160"/>
    <mergeCell ref="T148:W148"/>
    <mergeCell ref="R162:S162"/>
    <mergeCell ref="D160:G160"/>
    <mergeCell ref="L131:O131"/>
    <mergeCell ref="L142:O142"/>
    <mergeCell ref="P142:S142"/>
    <mergeCell ref="D143:G143"/>
    <mergeCell ref="D148:G148"/>
    <mergeCell ref="H157:K157"/>
    <mergeCell ref="D158:W158"/>
    <mergeCell ref="D159:W159"/>
    <mergeCell ref="L161:M161"/>
    <mergeCell ref="T162:U162"/>
    <mergeCell ref="V162:W162"/>
    <mergeCell ref="P131:S131"/>
    <mergeCell ref="T131:W131"/>
    <mergeCell ref="H143:K143"/>
    <mergeCell ref="L143:O143"/>
    <mergeCell ref="P143:S143"/>
    <mergeCell ref="T143:X143"/>
    <mergeCell ref="X149:X174"/>
    <mergeCell ref="H163:K163"/>
    <mergeCell ref="P160:S160"/>
    <mergeCell ref="H148:K148"/>
    <mergeCell ref="D164:G164"/>
    <mergeCell ref="N163:O163"/>
    <mergeCell ref="P163:Q163"/>
    <mergeCell ref="R163:S163"/>
    <mergeCell ref="T163:U163"/>
    <mergeCell ref="H164:K164"/>
    <mergeCell ref="P164:Q164"/>
    <mergeCell ref="R164:S164"/>
    <mergeCell ref="T164:U164"/>
    <mergeCell ref="L163:M163"/>
    <mergeCell ref="D163:G163"/>
    <mergeCell ref="D166:G166"/>
    <mergeCell ref="H166:K166"/>
    <mergeCell ref="D170:G170"/>
    <mergeCell ref="H170:K170"/>
    <mergeCell ref="L170:O170"/>
    <mergeCell ref="P170:S170"/>
    <mergeCell ref="T170:W170"/>
    <mergeCell ref="D169:W169"/>
    <mergeCell ref="V165:W165"/>
    <mergeCell ref="V166:W166"/>
    <mergeCell ref="V167:W167"/>
    <mergeCell ref="D165:G165"/>
    <mergeCell ref="H165:K165"/>
    <mergeCell ref="L165:O165"/>
    <mergeCell ref="P165:Q165"/>
    <mergeCell ref="R165:S165"/>
    <mergeCell ref="T165:U165"/>
    <mergeCell ref="T166:U166"/>
    <mergeCell ref="T167:U167"/>
    <mergeCell ref="L166:O166"/>
    <mergeCell ref="D167:G167"/>
    <mergeCell ref="D175:G175"/>
    <mergeCell ref="D168:W168"/>
    <mergeCell ref="D174:G174"/>
    <mergeCell ref="H174:K174"/>
    <mergeCell ref="L174:O174"/>
    <mergeCell ref="P174:S174"/>
    <mergeCell ref="T174:W174"/>
    <mergeCell ref="D171:G171"/>
    <mergeCell ref="H171:K171"/>
    <mergeCell ref="L171:O171"/>
    <mergeCell ref="P171:S171"/>
    <mergeCell ref="T180:X180"/>
    <mergeCell ref="T171:W171"/>
    <mergeCell ref="D172:G172"/>
    <mergeCell ref="H172:K172"/>
    <mergeCell ref="L172:O172"/>
    <mergeCell ref="P172:S172"/>
    <mergeCell ref="T179:X179"/>
    <mergeCell ref="H175:K175"/>
    <mergeCell ref="L175:O175"/>
    <mergeCell ref="P175:S175"/>
    <mergeCell ref="T175:W175"/>
    <mergeCell ref="H176:K176"/>
    <mergeCell ref="L176:O176"/>
    <mergeCell ref="P176:S176"/>
    <mergeCell ref="T176:W176"/>
    <mergeCell ref="D177:W177"/>
    <mergeCell ref="D178:W178"/>
    <mergeCell ref="T172:W172"/>
    <mergeCell ref="D173:G173"/>
    <mergeCell ref="H173:K173"/>
    <mergeCell ref="L173:O173"/>
    <mergeCell ref="P173:S173"/>
    <mergeCell ref="T173:W173"/>
    <mergeCell ref="D176:G176"/>
    <mergeCell ref="A179:A180"/>
    <mergeCell ref="B179:C179"/>
    <mergeCell ref="D179:G179"/>
    <mergeCell ref="H179:K179"/>
    <mergeCell ref="L179:O179"/>
    <mergeCell ref="P179:S179"/>
    <mergeCell ref="B180:C180"/>
    <mergeCell ref="D180:G180"/>
    <mergeCell ref="H180:K180"/>
    <mergeCell ref="L180:O180"/>
    <mergeCell ref="P180:S180"/>
    <mergeCell ref="A181:A182"/>
    <mergeCell ref="B181:C181"/>
    <mergeCell ref="D181:X182"/>
    <mergeCell ref="B182:C182"/>
    <mergeCell ref="D185:G185"/>
    <mergeCell ref="H185:K185"/>
    <mergeCell ref="L185:O185"/>
    <mergeCell ref="P185:S185"/>
    <mergeCell ref="T185:W185"/>
    <mergeCell ref="D189:G189"/>
    <mergeCell ref="D191:G191"/>
    <mergeCell ref="H191:K191"/>
    <mergeCell ref="D187:G187"/>
    <mergeCell ref="H187:K187"/>
    <mergeCell ref="L187:O187"/>
    <mergeCell ref="P187:S187"/>
    <mergeCell ref="T195:W195"/>
    <mergeCell ref="L189:O189"/>
    <mergeCell ref="P189:S189"/>
    <mergeCell ref="T189:W189"/>
    <mergeCell ref="L191:O191"/>
    <mergeCell ref="P191:S191"/>
    <mergeCell ref="H189:K189"/>
    <mergeCell ref="P188:S188"/>
    <mergeCell ref="T187:W187"/>
    <mergeCell ref="D188:G188"/>
    <mergeCell ref="H188:K188"/>
    <mergeCell ref="L188:O188"/>
    <mergeCell ref="D195:G195"/>
    <mergeCell ref="H195:K195"/>
    <mergeCell ref="L195:O195"/>
    <mergeCell ref="P195:S195"/>
    <mergeCell ref="T188:W188"/>
    <mergeCell ref="D196:G196"/>
    <mergeCell ref="H196:K196"/>
    <mergeCell ref="L196:O196"/>
    <mergeCell ref="P196:S196"/>
    <mergeCell ref="T190:W190"/>
    <mergeCell ref="D194:G194"/>
    <mergeCell ref="H194:K194"/>
    <mergeCell ref="L194:O194"/>
    <mergeCell ref="P194:S194"/>
    <mergeCell ref="T194:W194"/>
    <mergeCell ref="D192:W192"/>
    <mergeCell ref="D193:W193"/>
    <mergeCell ref="T191:W191"/>
    <mergeCell ref="T196:W196"/>
    <mergeCell ref="L198:O198"/>
    <mergeCell ref="D203:G203"/>
    <mergeCell ref="H203:K203"/>
    <mergeCell ref="L203:O203"/>
    <mergeCell ref="D201:W201"/>
    <mergeCell ref="D202:W202"/>
    <mergeCell ref="P198:S198"/>
    <mergeCell ref="L207:O207"/>
    <mergeCell ref="P207:S207"/>
    <mergeCell ref="D204:G204"/>
    <mergeCell ref="H204:K204"/>
    <mergeCell ref="L204:O204"/>
    <mergeCell ref="P204:S204"/>
    <mergeCell ref="L206:O206"/>
    <mergeCell ref="L199:O199"/>
    <mergeCell ref="P199:S199"/>
    <mergeCell ref="T199:W199"/>
    <mergeCell ref="T198:W198"/>
    <mergeCell ref="A186:A224"/>
    <mergeCell ref="B186:B193"/>
    <mergeCell ref="D186:G186"/>
    <mergeCell ref="H186:K186"/>
    <mergeCell ref="L186:O186"/>
    <mergeCell ref="P186:S186"/>
    <mergeCell ref="T186:W186"/>
    <mergeCell ref="D200:G200"/>
    <mergeCell ref="H200:K200"/>
    <mergeCell ref="L200:O200"/>
    <mergeCell ref="P200:S200"/>
    <mergeCell ref="T200:W200"/>
    <mergeCell ref="D199:G199"/>
    <mergeCell ref="H199:K199"/>
    <mergeCell ref="T207:W207"/>
    <mergeCell ref="D207:G207"/>
    <mergeCell ref="P206:S206"/>
    <mergeCell ref="D197:G197"/>
    <mergeCell ref="H197:K197"/>
    <mergeCell ref="L197:O197"/>
    <mergeCell ref="P197:S197"/>
    <mergeCell ref="T197:W197"/>
    <mergeCell ref="D198:G198"/>
    <mergeCell ref="H198:K198"/>
    <mergeCell ref="A227:A228"/>
    <mergeCell ref="B227:C227"/>
    <mergeCell ref="D227:G227"/>
    <mergeCell ref="H227:K227"/>
    <mergeCell ref="L227:O227"/>
    <mergeCell ref="P227:S227"/>
    <mergeCell ref="B228:C228"/>
    <mergeCell ref="L228:O228"/>
    <mergeCell ref="P228:S228"/>
    <mergeCell ref="B213:B220"/>
    <mergeCell ref="D214:G214"/>
    <mergeCell ref="H214:K214"/>
    <mergeCell ref="D217:G217"/>
    <mergeCell ref="H217:K217"/>
    <mergeCell ref="L217:O217"/>
    <mergeCell ref="H215:K215"/>
    <mergeCell ref="L218:O218"/>
    <mergeCell ref="L215:O215"/>
    <mergeCell ref="D219:W219"/>
    <mergeCell ref="T216:W216"/>
    <mergeCell ref="H213:K213"/>
    <mergeCell ref="T218:W218"/>
    <mergeCell ref="T215:W215"/>
    <mergeCell ref="D216:G216"/>
    <mergeCell ref="L213:O213"/>
    <mergeCell ref="P213:S213"/>
    <mergeCell ref="T213:W213"/>
    <mergeCell ref="L216:O216"/>
    <mergeCell ref="P216:S216"/>
    <mergeCell ref="D215:G215"/>
    <mergeCell ref="P215:S215"/>
    <mergeCell ref="P217:S217"/>
    <mergeCell ref="C219:C220"/>
    <mergeCell ref="A229:A230"/>
    <mergeCell ref="B229:C229"/>
    <mergeCell ref="D229:X230"/>
    <mergeCell ref="B230:C230"/>
    <mergeCell ref="D233:G233"/>
    <mergeCell ref="H233:K233"/>
    <mergeCell ref="L233:O233"/>
    <mergeCell ref="P233:S233"/>
    <mergeCell ref="T233:W233"/>
    <mergeCell ref="H27:K27"/>
    <mergeCell ref="L27:O27"/>
    <mergeCell ref="P27:S27"/>
    <mergeCell ref="T27:W27"/>
    <mergeCell ref="C28:C29"/>
    <mergeCell ref="C37:C38"/>
    <mergeCell ref="T239:W239"/>
    <mergeCell ref="D241:G241"/>
    <mergeCell ref="H241:K241"/>
    <mergeCell ref="B143:C143"/>
    <mergeCell ref="B91:B98"/>
    <mergeCell ref="B70:B77"/>
    <mergeCell ref="B171:B178"/>
    <mergeCell ref="B168:B169"/>
    <mergeCell ref="B149:B150"/>
    <mergeCell ref="B120:B127"/>
    <mergeCell ref="B79:B80"/>
    <mergeCell ref="B114:C114"/>
    <mergeCell ref="C76:C77"/>
    <mergeCell ref="C152:C153"/>
    <mergeCell ref="C158:C159"/>
    <mergeCell ref="C168:C169"/>
    <mergeCell ref="B100:B107"/>
    <mergeCell ref="C82:C83"/>
    <mergeCell ref="H246:K246"/>
    <mergeCell ref="L246:O246"/>
    <mergeCell ref="C243:C244"/>
    <mergeCell ref="D244:W244"/>
    <mergeCell ref="H242:K242"/>
    <mergeCell ref="L242:O242"/>
    <mergeCell ref="D243:W243"/>
    <mergeCell ref="X234:X242"/>
    <mergeCell ref="H245:K245"/>
    <mergeCell ref="L245:O245"/>
    <mergeCell ref="P245:S245"/>
    <mergeCell ref="D234:G234"/>
    <mergeCell ref="H234:K234"/>
    <mergeCell ref="L234:O234"/>
    <mergeCell ref="D240:G240"/>
    <mergeCell ref="H240:K240"/>
    <mergeCell ref="L240:O240"/>
    <mergeCell ref="T245:W245"/>
    <mergeCell ref="L241:O241"/>
    <mergeCell ref="P241:S241"/>
    <mergeCell ref="C237:C238"/>
    <mergeCell ref="D246:G246"/>
    <mergeCell ref="C97:C98"/>
    <mergeCell ref="C106:C107"/>
    <mergeCell ref="C111:C112"/>
    <mergeCell ref="C126:C127"/>
    <mergeCell ref="C177:C178"/>
    <mergeCell ref="C58:C59"/>
    <mergeCell ref="C67:C68"/>
    <mergeCell ref="B109:B112"/>
    <mergeCell ref="B204:B211"/>
    <mergeCell ref="C192:C193"/>
    <mergeCell ref="C201:C202"/>
    <mergeCell ref="B195:B202"/>
    <mergeCell ref="C210:C211"/>
    <mergeCell ref="B129:B136"/>
    <mergeCell ref="B116:C116"/>
    <mergeCell ref="T227:X227"/>
    <mergeCell ref="D228:G228"/>
    <mergeCell ref="H228:K228"/>
    <mergeCell ref="B222:B224"/>
    <mergeCell ref="D222:E222"/>
    <mergeCell ref="F222:G222"/>
    <mergeCell ref="L223:M223"/>
    <mergeCell ref="R224:S224"/>
    <mergeCell ref="T224:U224"/>
    <mergeCell ref="T222:U222"/>
    <mergeCell ref="D225:W225"/>
    <mergeCell ref="D226:W226"/>
    <mergeCell ref="N223:O223"/>
    <mergeCell ref="P223:Q223"/>
    <mergeCell ref="D224:G224"/>
    <mergeCell ref="V222:W222"/>
    <mergeCell ref="N222:O222"/>
    <mergeCell ref="V223:W223"/>
    <mergeCell ref="C225:C226"/>
    <mergeCell ref="T209:W209"/>
    <mergeCell ref="D221:G221"/>
    <mergeCell ref="H221:K221"/>
    <mergeCell ref="L221:O221"/>
    <mergeCell ref="P221:S221"/>
    <mergeCell ref="T221:W221"/>
    <mergeCell ref="T217:W217"/>
    <mergeCell ref="P218:S218"/>
    <mergeCell ref="D220:W220"/>
    <mergeCell ref="L214:O214"/>
    <mergeCell ref="P214:S214"/>
    <mergeCell ref="T214:W214"/>
    <mergeCell ref="H216:K216"/>
    <mergeCell ref="D218:G218"/>
    <mergeCell ref="H218:K218"/>
    <mergeCell ref="H209:K209"/>
    <mergeCell ref="B234:B238"/>
    <mergeCell ref="D223:E223"/>
    <mergeCell ref="F223:G223"/>
    <mergeCell ref="H223:I223"/>
    <mergeCell ref="T228:X228"/>
    <mergeCell ref="V224:W224"/>
    <mergeCell ref="H222:I222"/>
    <mergeCell ref="H224:K224"/>
    <mergeCell ref="L224:M224"/>
    <mergeCell ref="N224:O224"/>
    <mergeCell ref="P224:Q224"/>
    <mergeCell ref="J222:K222"/>
    <mergeCell ref="L222:M222"/>
    <mergeCell ref="R222:S222"/>
    <mergeCell ref="X186:X224"/>
    <mergeCell ref="J223:K223"/>
    <mergeCell ref="P222:Q222"/>
    <mergeCell ref="T206:W206"/>
    <mergeCell ref="P208:S208"/>
    <mergeCell ref="D212:G212"/>
    <mergeCell ref="H212:K212"/>
    <mergeCell ref="L212:O212"/>
    <mergeCell ref="P212:S212"/>
    <mergeCell ref="L209:O209"/>
    <mergeCell ref="P167:S167"/>
    <mergeCell ref="T208:W208"/>
    <mergeCell ref="H208:K208"/>
    <mergeCell ref="L208:O208"/>
    <mergeCell ref="P203:S203"/>
    <mergeCell ref="H206:K206"/>
    <mergeCell ref="D206:G206"/>
    <mergeCell ref="D213:G213"/>
    <mergeCell ref="R223:S223"/>
    <mergeCell ref="T223:U223"/>
    <mergeCell ref="T203:W203"/>
    <mergeCell ref="D208:G208"/>
    <mergeCell ref="T204:W204"/>
    <mergeCell ref="D205:G205"/>
    <mergeCell ref="H205:K205"/>
    <mergeCell ref="T205:W205"/>
    <mergeCell ref="L205:O205"/>
    <mergeCell ref="P205:S205"/>
    <mergeCell ref="H207:K207"/>
    <mergeCell ref="P209:S209"/>
    <mergeCell ref="D211:W211"/>
    <mergeCell ref="T212:W212"/>
    <mergeCell ref="D210:W210"/>
    <mergeCell ref="D209:G209"/>
  </mergeCells>
  <hyperlinks>
    <hyperlink ref="C12" location="Reference!C9" display="★ click here for more guidance"/>
    <hyperlink ref="C13" location="Reference!C9" display="Reference!C9"/>
    <hyperlink ref="C7" location="Reference!C7" display="★ click here for more guidance"/>
    <hyperlink ref="C17" location="Reference!C11" display="★ click here for more guidance"/>
    <hyperlink ref="C18" location="Reference!C11" display="Reference!C11"/>
    <hyperlink ref="C28" location="Reference!C13" display="★ click here for more guidance"/>
    <hyperlink ref="C29" location="Reference!C13" display="Reference!C13"/>
    <hyperlink ref="C37" location="Reference!C15" display="★ click here for more guidance"/>
    <hyperlink ref="C38" location="Reference!C15" display="Reference!C15"/>
    <hyperlink ref="C47" location="Reference!C17" display="★ click here for more guidance"/>
    <hyperlink ref="C48" location="Reference!C17" display="Reference!C17"/>
    <hyperlink ref="C58" location="Reference!C22" display="★ click here for more guidance"/>
    <hyperlink ref="C59" location="Reference!C22" display="Reference!C22"/>
    <hyperlink ref="C67" location="Reference!C24" display="★ click here for more guidance"/>
    <hyperlink ref="C68" location="Reference!C24" display="Reference!C24"/>
    <hyperlink ref="C76" location="Reference!C26" display="★ click here for more guidance"/>
    <hyperlink ref="C77" location="Reference!C26" display="Reference!C26"/>
    <hyperlink ref="C82" location="Reference!C28" display="★ click here for more guidance"/>
    <hyperlink ref="C83" location="Reference!C28" display="Reference!C28"/>
    <hyperlink ref="C97" location="Reference!C33" display="★ click here for more guidance"/>
    <hyperlink ref="C98" location="Reference!C33" display="Reference!C33"/>
    <hyperlink ref="C106" location="Reference!C35" display="★ click here for more guidance"/>
    <hyperlink ref="C107" location="Reference!C35" display="Reference!C35"/>
    <hyperlink ref="C111" location="Reference!C37" display="★ click here for more guidance"/>
    <hyperlink ref="C112" location="Reference!C37" display="Reference!C37"/>
    <hyperlink ref="C126" location="Reference!C39" display="★ click here for more guidance"/>
    <hyperlink ref="C127" location="Reference!C39" display="Reference!C39"/>
    <hyperlink ref="C135" location="Reference!C41" display="★ click here for more guidance"/>
    <hyperlink ref="C136" location="Reference!C41" display="Reference!C41"/>
    <hyperlink ref="C140" location="Reference!C43" display="★ click here for more guidance"/>
    <hyperlink ref="C141" location="Reference!C43" display="Reference!C43"/>
    <hyperlink ref="C152" location="Reference!C45" display="★ click here for more guidance"/>
    <hyperlink ref="C153" location="Reference!C45" display="Reference!C45"/>
    <hyperlink ref="C158" location="Reference!C50" display="★ click here for more guidance"/>
    <hyperlink ref="C159" location="Reference!C50" display="Reference!C50"/>
    <hyperlink ref="C168" location="Reference!C55" display="★ click here for more guidance"/>
    <hyperlink ref="C169" location="Reference!C55" display="Reference!C55"/>
    <hyperlink ref="C177" location="Reference!C58" display="★ click here for more guidance"/>
    <hyperlink ref="C178" location="Reference!C58" display="Reference!C58"/>
    <hyperlink ref="C192" location="Reference!C60" display="★ click here for more guidance"/>
    <hyperlink ref="C193" location="Reference!C60" display="Reference!C60"/>
    <hyperlink ref="C201" location="Reference!C62" display="★ click here for more guidance"/>
    <hyperlink ref="C202" location="Reference!C62" display="Reference!C62"/>
    <hyperlink ref="C210" location="Reference!C64" display="★ click here for more guidance"/>
    <hyperlink ref="C211" location="Reference!C64" display="Reference!C64"/>
    <hyperlink ref="C219" location="Reference!C66" display="★ click here for more guidance"/>
    <hyperlink ref="C220" location="Reference!C66" display="Reference!C66"/>
    <hyperlink ref="C225" location="Reference!C68" display="★ click here for more guidance"/>
    <hyperlink ref="C226" location="Reference!C68" display="Reference!C68"/>
    <hyperlink ref="C237" location="Reference!C71" display="★ click here for more guidance"/>
    <hyperlink ref="C238" location="Reference!C71" display="Reference!C71"/>
    <hyperlink ref="C243" location="Reference!C73" display="★ click here for more guidance"/>
    <hyperlink ref="C244" location="Reference!C73" display="Reference!C73"/>
    <hyperlink ref="C8" location="Reference!C7" display="Reference!C7"/>
  </hyperlinks>
  <pageMargins left="0.79000000000000015" right="0.79000000000000015" top="0.79000000000000015" bottom="0.79000000000000015" header="0.39000000000000007" footer="0.39000000000000007"/>
  <pageSetup paperSize="9" scale="55" fitToHeight="3" orientation="landscape"/>
  <headerFooter>
    <oddFooter>&amp;L&amp;K000000&amp;F&amp;C&amp;K000000&amp;D&amp;R&amp;K000000Page &amp;P</oddFooter>
  </headerFooter>
  <legacy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pageSetUpPr fitToPage="1"/>
  </sheetPr>
  <dimension ref="A1:X649"/>
  <sheetViews>
    <sheetView topLeftCell="A562" workbookViewId="0">
      <pane xSplit="3" topLeftCell="D1" activePane="topRight" state="frozen"/>
      <selection activeCell="D136" sqref="D136:W136"/>
      <selection pane="topRight" activeCell="D136" sqref="D136:W136"/>
    </sheetView>
  </sheetViews>
  <sheetFormatPr defaultColWidth="8.85546875" defaultRowHeight="12.75"/>
  <cols>
    <col min="1" max="1" width="20.85546875" style="4" customWidth="1"/>
    <col min="2" max="2" width="40.85546875" style="4" customWidth="1"/>
    <col min="3" max="3" width="15.85546875" style="27" customWidth="1"/>
    <col min="4" max="23" width="5.85546875" style="4" customWidth="1"/>
    <col min="24" max="24" width="30.85546875" style="4" customWidth="1"/>
    <col min="25" max="16384" width="8.85546875" style="4"/>
  </cols>
  <sheetData>
    <row r="1" spans="1:24" s="67" customFormat="1" ht="32.25" thickBot="1">
      <c r="A1" s="3" t="s">
        <v>0</v>
      </c>
      <c r="B1" s="64" t="s">
        <v>231</v>
      </c>
      <c r="C1" s="65" t="s">
        <v>270</v>
      </c>
      <c r="D1" s="65"/>
      <c r="E1" s="65"/>
      <c r="F1" s="65"/>
      <c r="G1" s="65"/>
      <c r="H1" s="65"/>
      <c r="I1" s="65"/>
      <c r="J1" s="65"/>
      <c r="K1" s="65"/>
      <c r="L1" s="65"/>
      <c r="M1" s="65"/>
      <c r="N1" s="65"/>
      <c r="O1" s="65"/>
      <c r="P1" s="65"/>
      <c r="Q1" s="65"/>
      <c r="R1" s="65"/>
      <c r="S1" s="65"/>
      <c r="T1" s="65"/>
      <c r="U1" s="65"/>
      <c r="V1" s="65"/>
      <c r="W1" s="65"/>
      <c r="X1" s="66"/>
    </row>
    <row r="2" spans="1:24">
      <c r="A2" s="5"/>
      <c r="B2" s="5"/>
      <c r="C2" s="6"/>
      <c r="D2" s="5"/>
      <c r="E2" s="5"/>
      <c r="F2" s="5"/>
      <c r="G2" s="5"/>
      <c r="H2" s="5"/>
      <c r="I2" s="5"/>
      <c r="J2" s="5"/>
      <c r="K2" s="5"/>
      <c r="L2" s="5"/>
      <c r="M2" s="5"/>
      <c r="N2" s="5"/>
      <c r="O2" s="5"/>
      <c r="P2" s="5"/>
      <c r="Q2" s="5"/>
      <c r="R2" s="5"/>
      <c r="S2" s="5"/>
      <c r="T2" s="5"/>
      <c r="U2" s="5"/>
      <c r="V2" s="5"/>
      <c r="W2" s="5"/>
      <c r="X2" s="5"/>
    </row>
    <row r="3" spans="1:24" ht="13.5" thickBot="1">
      <c r="A3" s="5"/>
      <c r="B3" s="5"/>
      <c r="C3" s="6"/>
      <c r="D3" s="5"/>
      <c r="E3" s="5"/>
      <c r="F3" s="5"/>
      <c r="G3" s="5"/>
      <c r="H3" s="5"/>
      <c r="I3" s="5"/>
      <c r="J3" s="5"/>
      <c r="K3" s="5"/>
      <c r="L3" s="5"/>
      <c r="M3" s="5"/>
      <c r="N3" s="5"/>
      <c r="O3" s="5"/>
      <c r="P3" s="5"/>
      <c r="Q3" s="5"/>
      <c r="R3" s="5"/>
      <c r="S3" s="5"/>
      <c r="T3" s="5"/>
      <c r="U3" s="5"/>
      <c r="V3" s="5"/>
      <c r="W3" s="5"/>
      <c r="X3" s="5"/>
    </row>
    <row r="4" spans="1:24" ht="13.5" thickBot="1">
      <c r="A4" s="7" t="s">
        <v>50</v>
      </c>
      <c r="B4" s="97" t="s">
        <v>51</v>
      </c>
      <c r="C4" s="8"/>
      <c r="D4" s="927" t="s">
        <v>79</v>
      </c>
      <c r="E4" s="928"/>
      <c r="F4" s="928"/>
      <c r="G4" s="929"/>
      <c r="H4" s="927" t="s">
        <v>80</v>
      </c>
      <c r="I4" s="928"/>
      <c r="J4" s="928"/>
      <c r="K4" s="929"/>
      <c r="L4" s="927" t="s">
        <v>81</v>
      </c>
      <c r="M4" s="928"/>
      <c r="N4" s="928"/>
      <c r="O4" s="929"/>
      <c r="P4" s="927" t="s">
        <v>254</v>
      </c>
      <c r="Q4" s="928"/>
      <c r="R4" s="928"/>
      <c r="S4" s="929"/>
      <c r="T4" s="927" t="s">
        <v>76</v>
      </c>
      <c r="U4" s="928"/>
      <c r="V4" s="928"/>
      <c r="W4" s="929"/>
      <c r="X4" s="991"/>
    </row>
    <row r="5" spans="1:24" ht="13.5" thickBot="1">
      <c r="A5" s="868" t="s">
        <v>43</v>
      </c>
      <c r="B5" s="868" t="s">
        <v>46</v>
      </c>
      <c r="C5" s="9" t="s">
        <v>2</v>
      </c>
      <c r="D5" s="983" t="s">
        <v>82</v>
      </c>
      <c r="E5" s="984"/>
      <c r="F5" s="984"/>
      <c r="G5" s="984"/>
      <c r="H5" s="984"/>
      <c r="I5" s="984"/>
      <c r="J5" s="984"/>
      <c r="K5" s="984"/>
      <c r="L5" s="984"/>
      <c r="M5" s="984"/>
      <c r="N5" s="984"/>
      <c r="O5" s="984"/>
      <c r="P5" s="984"/>
      <c r="Q5" s="984"/>
      <c r="R5" s="984"/>
      <c r="S5" s="984"/>
      <c r="T5" s="984"/>
      <c r="U5" s="984"/>
      <c r="V5" s="984"/>
      <c r="W5" s="985"/>
      <c r="X5" s="992"/>
    </row>
    <row r="6" spans="1:24" ht="13.5" thickBot="1">
      <c r="A6" s="885"/>
      <c r="B6" s="885"/>
      <c r="C6" s="10" t="s">
        <v>3</v>
      </c>
      <c r="D6" s="986"/>
      <c r="E6" s="987"/>
      <c r="F6" s="987"/>
      <c r="G6" s="987"/>
      <c r="H6" s="987"/>
      <c r="I6" s="987"/>
      <c r="J6" s="987"/>
      <c r="K6" s="987"/>
      <c r="L6" s="987"/>
      <c r="M6" s="987"/>
      <c r="N6" s="987"/>
      <c r="O6" s="987"/>
      <c r="P6" s="987"/>
      <c r="Q6" s="987"/>
      <c r="R6" s="987"/>
      <c r="S6" s="987"/>
      <c r="T6" s="987"/>
      <c r="U6" s="987"/>
      <c r="V6" s="987"/>
      <c r="W6" s="988"/>
      <c r="X6" s="992"/>
    </row>
    <row r="7" spans="1:24" ht="13.5" thickBot="1">
      <c r="A7" s="885"/>
      <c r="B7" s="885"/>
      <c r="C7" s="922" t="s">
        <v>413</v>
      </c>
      <c r="D7" s="989" t="s">
        <v>4</v>
      </c>
      <c r="E7" s="990"/>
      <c r="F7" s="990"/>
      <c r="G7" s="990"/>
      <c r="H7" s="990"/>
      <c r="I7" s="990"/>
      <c r="J7" s="990"/>
      <c r="K7" s="990"/>
      <c r="L7" s="990"/>
      <c r="M7" s="990"/>
      <c r="N7" s="990"/>
      <c r="O7" s="990"/>
      <c r="P7" s="990"/>
      <c r="Q7" s="990"/>
      <c r="R7" s="990"/>
      <c r="S7" s="990"/>
      <c r="T7" s="990"/>
      <c r="U7" s="990"/>
      <c r="V7" s="990"/>
      <c r="W7" s="990"/>
      <c r="X7" s="992"/>
    </row>
    <row r="8" spans="1:24" ht="13.5" thickBot="1">
      <c r="A8" s="885"/>
      <c r="B8" s="869"/>
      <c r="C8" s="923"/>
      <c r="D8" s="930" t="s">
        <v>85</v>
      </c>
      <c r="E8" s="931"/>
      <c r="F8" s="931"/>
      <c r="G8" s="931"/>
      <c r="H8" s="931"/>
      <c r="I8" s="931"/>
      <c r="J8" s="931"/>
      <c r="K8" s="931"/>
      <c r="L8" s="931"/>
      <c r="M8" s="931"/>
      <c r="N8" s="931"/>
      <c r="O8" s="931"/>
      <c r="P8" s="931"/>
      <c r="Q8" s="931"/>
      <c r="R8" s="931"/>
      <c r="S8" s="931"/>
      <c r="T8" s="931"/>
      <c r="U8" s="931"/>
      <c r="V8" s="931"/>
      <c r="W8" s="932"/>
      <c r="X8" s="992"/>
    </row>
    <row r="9" spans="1:24" ht="13.5" thickBot="1">
      <c r="A9" s="885"/>
      <c r="B9" s="11" t="s">
        <v>52</v>
      </c>
      <c r="C9" s="12"/>
      <c r="D9" s="927" t="s">
        <v>79</v>
      </c>
      <c r="E9" s="928"/>
      <c r="F9" s="928"/>
      <c r="G9" s="929"/>
      <c r="H9" s="927" t="s">
        <v>80</v>
      </c>
      <c r="I9" s="928"/>
      <c r="J9" s="928"/>
      <c r="K9" s="929"/>
      <c r="L9" s="927" t="s">
        <v>81</v>
      </c>
      <c r="M9" s="928"/>
      <c r="N9" s="928"/>
      <c r="O9" s="929"/>
      <c r="P9" s="927" t="s">
        <v>254</v>
      </c>
      <c r="Q9" s="928"/>
      <c r="R9" s="928"/>
      <c r="S9" s="929"/>
      <c r="T9" s="927" t="s">
        <v>76</v>
      </c>
      <c r="U9" s="928"/>
      <c r="V9" s="928"/>
      <c r="W9" s="929"/>
      <c r="X9" s="992"/>
    </row>
    <row r="10" spans="1:24" ht="35.1" customHeight="1" thickBot="1">
      <c r="A10" s="885"/>
      <c r="B10" s="868" t="s">
        <v>45</v>
      </c>
      <c r="C10" s="13" t="s">
        <v>2</v>
      </c>
      <c r="D10" s="930" t="s">
        <v>86</v>
      </c>
      <c r="E10" s="931"/>
      <c r="F10" s="931"/>
      <c r="G10" s="931"/>
      <c r="H10" s="931"/>
      <c r="I10" s="931"/>
      <c r="J10" s="931"/>
      <c r="K10" s="931"/>
      <c r="L10" s="931"/>
      <c r="M10" s="931"/>
      <c r="N10" s="931"/>
      <c r="O10" s="931"/>
      <c r="P10" s="931"/>
      <c r="Q10" s="931"/>
      <c r="R10" s="931"/>
      <c r="S10" s="931"/>
      <c r="T10" s="931"/>
      <c r="U10" s="931"/>
      <c r="V10" s="931"/>
      <c r="W10" s="932"/>
      <c r="X10" s="992"/>
    </row>
    <row r="11" spans="1:24" ht="13.5" thickBot="1">
      <c r="A11" s="885"/>
      <c r="B11" s="885"/>
      <c r="C11" s="10" t="s">
        <v>3</v>
      </c>
      <c r="D11" s="986"/>
      <c r="E11" s="987"/>
      <c r="F11" s="987"/>
      <c r="G11" s="987"/>
      <c r="H11" s="987"/>
      <c r="I11" s="987"/>
      <c r="J11" s="987"/>
      <c r="K11" s="987"/>
      <c r="L11" s="987"/>
      <c r="M11" s="987"/>
      <c r="N11" s="987"/>
      <c r="O11" s="987"/>
      <c r="P11" s="987"/>
      <c r="Q11" s="987"/>
      <c r="R11" s="987"/>
      <c r="S11" s="987"/>
      <c r="T11" s="987"/>
      <c r="U11" s="987"/>
      <c r="V11" s="987"/>
      <c r="W11" s="988"/>
      <c r="X11" s="992"/>
    </row>
    <row r="12" spans="1:24" ht="13.5" thickBot="1">
      <c r="A12" s="885"/>
      <c r="B12" s="885"/>
      <c r="C12" s="922" t="s">
        <v>413</v>
      </c>
      <c r="D12" s="927" t="s">
        <v>4</v>
      </c>
      <c r="E12" s="928"/>
      <c r="F12" s="928"/>
      <c r="G12" s="928"/>
      <c r="H12" s="928"/>
      <c r="I12" s="928"/>
      <c r="J12" s="928"/>
      <c r="K12" s="928"/>
      <c r="L12" s="928"/>
      <c r="M12" s="928"/>
      <c r="N12" s="928"/>
      <c r="O12" s="928"/>
      <c r="P12" s="928"/>
      <c r="Q12" s="928"/>
      <c r="R12" s="928"/>
      <c r="S12" s="928"/>
      <c r="T12" s="928"/>
      <c r="U12" s="928"/>
      <c r="V12" s="928"/>
      <c r="W12" s="928"/>
      <c r="X12" s="992"/>
    </row>
    <row r="13" spans="1:24" ht="24" customHeight="1" thickBot="1">
      <c r="A13" s="885"/>
      <c r="B13" s="869"/>
      <c r="C13" s="923"/>
      <c r="D13" s="930" t="s">
        <v>87</v>
      </c>
      <c r="E13" s="931"/>
      <c r="F13" s="931"/>
      <c r="G13" s="931"/>
      <c r="H13" s="931"/>
      <c r="I13" s="931"/>
      <c r="J13" s="931"/>
      <c r="K13" s="931"/>
      <c r="L13" s="931"/>
      <c r="M13" s="931"/>
      <c r="N13" s="931"/>
      <c r="O13" s="931"/>
      <c r="P13" s="931"/>
      <c r="Q13" s="931"/>
      <c r="R13" s="931"/>
      <c r="S13" s="931"/>
      <c r="T13" s="931"/>
      <c r="U13" s="931"/>
      <c r="V13" s="931"/>
      <c r="W13" s="932"/>
      <c r="X13" s="992"/>
    </row>
    <row r="14" spans="1:24" ht="13.5" thickBot="1">
      <c r="A14" s="885"/>
      <c r="B14" s="11" t="s">
        <v>53</v>
      </c>
      <c r="C14" s="12"/>
      <c r="D14" s="927" t="s">
        <v>79</v>
      </c>
      <c r="E14" s="928"/>
      <c r="F14" s="928"/>
      <c r="G14" s="929"/>
      <c r="H14" s="927" t="s">
        <v>80</v>
      </c>
      <c r="I14" s="928"/>
      <c r="J14" s="928"/>
      <c r="K14" s="929"/>
      <c r="L14" s="927" t="s">
        <v>81</v>
      </c>
      <c r="M14" s="928"/>
      <c r="N14" s="928"/>
      <c r="O14" s="929"/>
      <c r="P14" s="927" t="s">
        <v>254</v>
      </c>
      <c r="Q14" s="928"/>
      <c r="R14" s="928"/>
      <c r="S14" s="929"/>
      <c r="T14" s="927" t="s">
        <v>76</v>
      </c>
      <c r="U14" s="928"/>
      <c r="V14" s="928"/>
      <c r="W14" s="929"/>
      <c r="X14" s="992"/>
    </row>
    <row r="15" spans="1:24" ht="13.5" thickBot="1">
      <c r="A15" s="885"/>
      <c r="B15" s="868" t="s">
        <v>44</v>
      </c>
      <c r="C15" s="9" t="s">
        <v>2</v>
      </c>
      <c r="D15" s="930" t="s">
        <v>83</v>
      </c>
      <c r="E15" s="931"/>
      <c r="F15" s="931"/>
      <c r="G15" s="931"/>
      <c r="H15" s="931"/>
      <c r="I15" s="931"/>
      <c r="J15" s="931"/>
      <c r="K15" s="931"/>
      <c r="L15" s="931"/>
      <c r="M15" s="931"/>
      <c r="N15" s="931"/>
      <c r="O15" s="931"/>
      <c r="P15" s="931"/>
      <c r="Q15" s="931"/>
      <c r="R15" s="931"/>
      <c r="S15" s="931"/>
      <c r="T15" s="931"/>
      <c r="U15" s="931"/>
      <c r="V15" s="931"/>
      <c r="W15" s="932"/>
      <c r="X15" s="992"/>
    </row>
    <row r="16" spans="1:24" ht="13.5" thickBot="1">
      <c r="A16" s="885"/>
      <c r="B16" s="885"/>
      <c r="C16" s="10" t="s">
        <v>3</v>
      </c>
      <c r="D16" s="986"/>
      <c r="E16" s="987"/>
      <c r="F16" s="987"/>
      <c r="G16" s="987"/>
      <c r="H16" s="987"/>
      <c r="I16" s="987"/>
      <c r="J16" s="987"/>
      <c r="K16" s="987"/>
      <c r="L16" s="987"/>
      <c r="M16" s="987"/>
      <c r="N16" s="987"/>
      <c r="O16" s="987"/>
      <c r="P16" s="987"/>
      <c r="Q16" s="987"/>
      <c r="R16" s="987"/>
      <c r="S16" s="987"/>
      <c r="T16" s="987"/>
      <c r="U16" s="987"/>
      <c r="V16" s="987"/>
      <c r="W16" s="988"/>
      <c r="X16" s="992"/>
    </row>
    <row r="17" spans="1:24" ht="13.5" thickBot="1">
      <c r="A17" s="885"/>
      <c r="B17" s="885"/>
      <c r="C17" s="922" t="s">
        <v>413</v>
      </c>
      <c r="D17" s="989" t="s">
        <v>4</v>
      </c>
      <c r="E17" s="990"/>
      <c r="F17" s="990"/>
      <c r="G17" s="990"/>
      <c r="H17" s="990"/>
      <c r="I17" s="990"/>
      <c r="J17" s="990"/>
      <c r="K17" s="990"/>
      <c r="L17" s="990"/>
      <c r="M17" s="990"/>
      <c r="N17" s="990"/>
      <c r="O17" s="990"/>
      <c r="P17" s="990"/>
      <c r="Q17" s="990"/>
      <c r="R17" s="990"/>
      <c r="S17" s="990"/>
      <c r="T17" s="990"/>
      <c r="U17" s="990"/>
      <c r="V17" s="990"/>
      <c r="W17" s="990"/>
      <c r="X17" s="992"/>
    </row>
    <row r="18" spans="1:24" ht="13.5" thickBot="1">
      <c r="A18" s="869"/>
      <c r="B18" s="869"/>
      <c r="C18" s="923"/>
      <c r="D18" s="930" t="s">
        <v>84</v>
      </c>
      <c r="E18" s="931"/>
      <c r="F18" s="931"/>
      <c r="G18" s="931"/>
      <c r="H18" s="931"/>
      <c r="I18" s="931"/>
      <c r="J18" s="931"/>
      <c r="K18" s="931"/>
      <c r="L18" s="931"/>
      <c r="M18" s="931"/>
      <c r="N18" s="931"/>
      <c r="O18" s="931"/>
      <c r="P18" s="931"/>
      <c r="Q18" s="931"/>
      <c r="R18" s="931"/>
      <c r="S18" s="931"/>
      <c r="T18" s="931"/>
      <c r="U18" s="931"/>
      <c r="V18" s="931"/>
      <c r="W18" s="932"/>
      <c r="X18" s="993"/>
    </row>
    <row r="19" spans="1:24">
      <c r="A19" s="5"/>
      <c r="B19" s="5"/>
      <c r="C19" s="14"/>
      <c r="D19" s="5"/>
      <c r="E19" s="5"/>
      <c r="F19" s="5"/>
      <c r="G19" s="5"/>
      <c r="H19" s="5"/>
      <c r="I19" s="5"/>
      <c r="J19" s="5"/>
      <c r="K19" s="5"/>
      <c r="L19" s="5"/>
      <c r="M19" s="5"/>
      <c r="N19" s="5"/>
      <c r="O19" s="5"/>
      <c r="P19" s="5"/>
      <c r="Q19" s="5"/>
      <c r="R19" s="5"/>
      <c r="S19" s="5"/>
      <c r="T19" s="5"/>
      <c r="U19" s="5"/>
      <c r="V19" s="5"/>
      <c r="W19" s="5"/>
      <c r="X19" s="5"/>
    </row>
    <row r="20" spans="1:24" ht="13.5" thickBot="1">
      <c r="A20" s="5"/>
      <c r="B20" s="5"/>
      <c r="C20" s="6"/>
      <c r="D20" s="5"/>
      <c r="E20" s="5"/>
      <c r="F20" s="5"/>
      <c r="G20" s="5"/>
      <c r="H20" s="5"/>
      <c r="I20" s="5"/>
      <c r="J20" s="5"/>
      <c r="K20" s="5"/>
      <c r="L20" s="5"/>
      <c r="M20" s="5"/>
      <c r="N20" s="5"/>
      <c r="O20" s="5"/>
      <c r="P20" s="5"/>
      <c r="Q20" s="5"/>
      <c r="R20" s="5"/>
      <c r="S20" s="5"/>
      <c r="T20" s="5"/>
      <c r="U20" s="5"/>
      <c r="V20" s="5"/>
      <c r="W20" s="5"/>
      <c r="X20" s="5"/>
    </row>
    <row r="21" spans="1:24" ht="13.5" thickBot="1">
      <c r="A21" s="15" t="s">
        <v>1</v>
      </c>
      <c r="B21" s="97" t="s">
        <v>24</v>
      </c>
      <c r="C21" s="8"/>
      <c r="D21" s="927" t="s">
        <v>78</v>
      </c>
      <c r="E21" s="928"/>
      <c r="F21" s="928"/>
      <c r="G21" s="929"/>
      <c r="H21" s="927" t="s">
        <v>77</v>
      </c>
      <c r="I21" s="928"/>
      <c r="J21" s="928"/>
      <c r="K21" s="929"/>
      <c r="L21" s="927" t="s">
        <v>81</v>
      </c>
      <c r="M21" s="928"/>
      <c r="N21" s="928"/>
      <c r="O21" s="929"/>
      <c r="P21" s="927" t="s">
        <v>254</v>
      </c>
      <c r="Q21" s="928"/>
      <c r="R21" s="928"/>
      <c r="S21" s="929"/>
      <c r="T21" s="927" t="s">
        <v>76</v>
      </c>
      <c r="U21" s="928"/>
      <c r="V21" s="928"/>
      <c r="W21" s="929"/>
      <c r="X21" s="16" t="s">
        <v>6</v>
      </c>
    </row>
    <row r="22" spans="1:24" ht="13.5" thickBot="1">
      <c r="A22" s="868" t="s">
        <v>47</v>
      </c>
      <c r="B22" s="868" t="s">
        <v>48</v>
      </c>
      <c r="C22" s="9" t="s">
        <v>285</v>
      </c>
      <c r="D22" s="942">
        <f>'LF-Enugu'!D22:G22</f>
        <v>2.2000000000000002</v>
      </c>
      <c r="E22" s="943"/>
      <c r="F22" s="943"/>
      <c r="G22" s="944"/>
      <c r="H22" s="942">
        <f>'LF-Enugu'!H22:K22</f>
        <v>2.2000000000000002</v>
      </c>
      <c r="I22" s="943"/>
      <c r="J22" s="943"/>
      <c r="K22" s="944"/>
      <c r="L22" s="942">
        <f>'LF-Enugu'!L22:O22</f>
        <v>3</v>
      </c>
      <c r="M22" s="943"/>
      <c r="N22" s="943"/>
      <c r="O22" s="944"/>
      <c r="P22" s="963">
        <f>'LF-Enugu'!P22:S22</f>
        <v>3.1</v>
      </c>
      <c r="Q22" s="964"/>
      <c r="R22" s="964"/>
      <c r="S22" s="965"/>
      <c r="T22" s="963">
        <f>'LF-Enugu'!T22:W22</f>
        <v>3.7</v>
      </c>
      <c r="U22" s="964"/>
      <c r="V22" s="964"/>
      <c r="W22" s="965"/>
      <c r="X22" s="873" t="s">
        <v>96</v>
      </c>
    </row>
    <row r="23" spans="1:24" ht="13.5" thickBot="1">
      <c r="A23" s="885"/>
      <c r="B23" s="885"/>
      <c r="C23" s="9" t="s">
        <v>286</v>
      </c>
      <c r="D23" s="942">
        <f>'LF-Jigawa'!D22:G22</f>
        <v>2.5</v>
      </c>
      <c r="E23" s="943"/>
      <c r="F23" s="943"/>
      <c r="G23" s="944"/>
      <c r="H23" s="942">
        <f>'LF-Jigawa'!H22:K22</f>
        <v>2.5</v>
      </c>
      <c r="I23" s="943"/>
      <c r="J23" s="943"/>
      <c r="K23" s="944"/>
      <c r="L23" s="942">
        <f>'LF-Jigawa'!L22:O22</f>
        <v>3</v>
      </c>
      <c r="M23" s="943"/>
      <c r="N23" s="943"/>
      <c r="O23" s="944"/>
      <c r="P23" s="963">
        <f>'LF-Jigawa'!P22:S22</f>
        <v>3.2</v>
      </c>
      <c r="Q23" s="964"/>
      <c r="R23" s="964"/>
      <c r="S23" s="965"/>
      <c r="T23" s="963">
        <f>'LF-Jigawa'!T22:W22</f>
        <v>3.3</v>
      </c>
      <c r="U23" s="964"/>
      <c r="V23" s="964"/>
      <c r="W23" s="965"/>
      <c r="X23" s="874"/>
    </row>
    <row r="24" spans="1:24" ht="13.5" thickBot="1">
      <c r="A24" s="885"/>
      <c r="B24" s="885"/>
      <c r="C24" s="9" t="s">
        <v>287</v>
      </c>
      <c r="D24" s="942">
        <f>'LF-Kaduna'!D22:G22</f>
        <v>1.8</v>
      </c>
      <c r="E24" s="943"/>
      <c r="F24" s="943"/>
      <c r="G24" s="944"/>
      <c r="H24" s="942">
        <f>'LF-Kaduna'!H22:K22</f>
        <v>1.8</v>
      </c>
      <c r="I24" s="943"/>
      <c r="J24" s="943"/>
      <c r="K24" s="944"/>
      <c r="L24" s="942">
        <f>'LF-Kaduna'!L22:O22</f>
        <v>2.5</v>
      </c>
      <c r="M24" s="943"/>
      <c r="N24" s="943"/>
      <c r="O24" s="944"/>
      <c r="P24" s="963">
        <f>'LF-Kaduna'!P22:S22</f>
        <v>3.2</v>
      </c>
      <c r="Q24" s="964"/>
      <c r="R24" s="964"/>
      <c r="S24" s="965"/>
      <c r="T24" s="963">
        <f>'LF-Kaduna'!T22:W22</f>
        <v>3.1</v>
      </c>
      <c r="U24" s="964"/>
      <c r="V24" s="964"/>
      <c r="W24" s="965"/>
      <c r="X24" s="874"/>
    </row>
    <row r="25" spans="1:24" ht="13.5" thickBot="1">
      <c r="A25" s="885"/>
      <c r="B25" s="885"/>
      <c r="C25" s="9" t="s">
        <v>288</v>
      </c>
      <c r="D25" s="942">
        <f>'LF-Kano'!D22:G22</f>
        <v>2</v>
      </c>
      <c r="E25" s="943"/>
      <c r="F25" s="943"/>
      <c r="G25" s="944"/>
      <c r="H25" s="942">
        <f>'LF-Kano'!H22:K22</f>
        <v>2</v>
      </c>
      <c r="I25" s="943"/>
      <c r="J25" s="943"/>
      <c r="K25" s="944"/>
      <c r="L25" s="942">
        <f>'LF-Kano'!L22:O22</f>
        <v>3</v>
      </c>
      <c r="M25" s="943"/>
      <c r="N25" s="943"/>
      <c r="O25" s="944"/>
      <c r="P25" s="963">
        <f>'LF-Kano'!P22:S22</f>
        <v>3</v>
      </c>
      <c r="Q25" s="964"/>
      <c r="R25" s="964"/>
      <c r="S25" s="965"/>
      <c r="T25" s="963">
        <f>'LF-Kano'!T22:W22</f>
        <v>3.2</v>
      </c>
      <c r="U25" s="964"/>
      <c r="V25" s="964"/>
      <c r="W25" s="965"/>
      <c r="X25" s="874"/>
    </row>
    <row r="26" spans="1:24" ht="13.5" thickBot="1">
      <c r="A26" s="885"/>
      <c r="B26" s="885"/>
      <c r="C26" s="9" t="s">
        <v>289</v>
      </c>
      <c r="D26" s="942">
        <f>'LF-Lagos'!D22:G22</f>
        <v>2</v>
      </c>
      <c r="E26" s="943"/>
      <c r="F26" s="943"/>
      <c r="G26" s="944"/>
      <c r="H26" s="942">
        <f>'LF-Lagos'!H22:K22</f>
        <v>2</v>
      </c>
      <c r="I26" s="943"/>
      <c r="J26" s="943"/>
      <c r="K26" s="944"/>
      <c r="L26" s="942">
        <f>'LF-Lagos'!L22:O22</f>
        <v>3</v>
      </c>
      <c r="M26" s="943"/>
      <c r="N26" s="943"/>
      <c r="O26" s="944"/>
      <c r="P26" s="963">
        <f>'LF-Lagos'!P22:S22</f>
        <v>2.8</v>
      </c>
      <c r="Q26" s="964"/>
      <c r="R26" s="964"/>
      <c r="S26" s="965"/>
      <c r="T26" s="963">
        <f>'LF-Lagos'!T22:W22</f>
        <v>3</v>
      </c>
      <c r="U26" s="964"/>
      <c r="V26" s="964"/>
      <c r="W26" s="965"/>
      <c r="X26" s="874"/>
    </row>
    <row r="27" spans="1:24" ht="13.5" thickBot="1">
      <c r="A27" s="885"/>
      <c r="B27" s="885"/>
      <c r="C27" s="9" t="s">
        <v>292</v>
      </c>
      <c r="D27" s="1051" t="s">
        <v>414</v>
      </c>
      <c r="E27" s="1052"/>
      <c r="F27" s="1052"/>
      <c r="G27" s="1053"/>
      <c r="H27" s="942">
        <f>'LF-Zamfara'!H22:K22</f>
        <v>1.8</v>
      </c>
      <c r="I27" s="943"/>
      <c r="J27" s="943"/>
      <c r="K27" s="944"/>
      <c r="L27" s="942">
        <f>'LF-Zamfara'!L22:O22</f>
        <v>1.8</v>
      </c>
      <c r="M27" s="943"/>
      <c r="N27" s="943"/>
      <c r="O27" s="944"/>
      <c r="P27" s="963">
        <f>'LF-Zamfara'!P22:S22</f>
        <v>2</v>
      </c>
      <c r="Q27" s="964"/>
      <c r="R27" s="964"/>
      <c r="S27" s="965"/>
      <c r="T27" s="963">
        <f>'LF-Zamfara'!T22:W22</f>
        <v>2.2999999999999998</v>
      </c>
      <c r="U27" s="964"/>
      <c r="V27" s="964"/>
      <c r="W27" s="965"/>
      <c r="X27" s="874"/>
    </row>
    <row r="28" spans="1:24" ht="13.5" thickBot="1">
      <c r="A28" s="885"/>
      <c r="B28" s="885"/>
      <c r="C28" s="9" t="s">
        <v>293</v>
      </c>
      <c r="D28" s="1051" t="s">
        <v>414</v>
      </c>
      <c r="E28" s="1052"/>
      <c r="F28" s="1052"/>
      <c r="G28" s="1053"/>
      <c r="H28" s="942">
        <f>'LF-Katsina'!H22:K22</f>
        <v>3.1</v>
      </c>
      <c r="I28" s="943"/>
      <c r="J28" s="943"/>
      <c r="K28" s="944"/>
      <c r="L28" s="942">
        <f>'LF-Katsina'!L22:O22</f>
        <v>3.1</v>
      </c>
      <c r="M28" s="943"/>
      <c r="N28" s="943"/>
      <c r="O28" s="944"/>
      <c r="P28" s="963">
        <f>'LF-Katsina'!P22:S22</f>
        <v>3.3</v>
      </c>
      <c r="Q28" s="964"/>
      <c r="R28" s="964"/>
      <c r="S28" s="965"/>
      <c r="T28" s="963">
        <f>'LF-Katsina'!T22:W22</f>
        <v>2.7</v>
      </c>
      <c r="U28" s="964"/>
      <c r="V28" s="964"/>
      <c r="W28" s="965"/>
      <c r="X28" s="874"/>
    </row>
    <row r="29" spans="1:24" ht="13.5" thickBot="1">
      <c r="A29" s="885"/>
      <c r="B29" s="885"/>
      <c r="C29" s="9" t="s">
        <v>294</v>
      </c>
      <c r="D29" s="1051" t="s">
        <v>414</v>
      </c>
      <c r="E29" s="1052"/>
      <c r="F29" s="1052"/>
      <c r="G29" s="1053"/>
      <c r="H29" s="942">
        <f>'LF-Yobe'!H22:K22</f>
        <v>2.1</v>
      </c>
      <c r="I29" s="943"/>
      <c r="J29" s="943"/>
      <c r="K29" s="944"/>
      <c r="L29" s="942">
        <f>'LF-Yobe'!L22:O22</f>
        <v>2.1</v>
      </c>
      <c r="M29" s="943"/>
      <c r="N29" s="943"/>
      <c r="O29" s="944"/>
      <c r="P29" s="963">
        <f>'LF-Yobe'!P22:S22</f>
        <v>2.2000000000000002</v>
      </c>
      <c r="Q29" s="964"/>
      <c r="R29" s="964"/>
      <c r="S29" s="965"/>
      <c r="T29" s="963">
        <f>'LF-Yobe'!T22:W22</f>
        <v>3</v>
      </c>
      <c r="U29" s="964"/>
      <c r="V29" s="964"/>
      <c r="W29" s="965"/>
      <c r="X29" s="874"/>
    </row>
    <row r="30" spans="1:24" ht="12.95" customHeight="1" thickBot="1">
      <c r="A30" s="885"/>
      <c r="B30" s="885"/>
      <c r="C30" s="9" t="s">
        <v>290</v>
      </c>
      <c r="D30" s="957"/>
      <c r="E30" s="958"/>
      <c r="F30" s="958"/>
      <c r="G30" s="959"/>
      <c r="H30" s="1153"/>
      <c r="I30" s="1154"/>
      <c r="J30" s="1154"/>
      <c r="K30" s="1155"/>
      <c r="L30" s="1150" t="s">
        <v>909</v>
      </c>
      <c r="M30" s="1151"/>
      <c r="N30" s="1151"/>
      <c r="O30" s="1152"/>
      <c r="P30" s="942">
        <f>'LF-Anambra'!P22:S22</f>
        <v>2.6</v>
      </c>
      <c r="Q30" s="943"/>
      <c r="R30" s="943"/>
      <c r="S30" s="944"/>
      <c r="T30" s="942">
        <f>'LF-Anambra'!T22:W22</f>
        <v>2.7</v>
      </c>
      <c r="U30" s="943"/>
      <c r="V30" s="943"/>
      <c r="W30" s="944"/>
      <c r="X30" s="874"/>
    </row>
    <row r="31" spans="1:24" ht="12.95" customHeight="1" thickBot="1">
      <c r="A31" s="885"/>
      <c r="B31" s="885"/>
      <c r="C31" s="9" t="s">
        <v>291</v>
      </c>
      <c r="D31" s="957"/>
      <c r="E31" s="958"/>
      <c r="F31" s="958"/>
      <c r="G31" s="959"/>
      <c r="H31" s="1162"/>
      <c r="I31" s="1163"/>
      <c r="J31" s="1163"/>
      <c r="K31" s="1164"/>
      <c r="L31" s="1150" t="s">
        <v>909</v>
      </c>
      <c r="M31" s="1151"/>
      <c r="N31" s="1151"/>
      <c r="O31" s="1152"/>
      <c r="P31" s="942">
        <f>'LF-Niger'!P22:S22</f>
        <v>2.6</v>
      </c>
      <c r="Q31" s="943"/>
      <c r="R31" s="943"/>
      <c r="S31" s="944"/>
      <c r="T31" s="942">
        <f>'LF-Niger'!T22:W22</f>
        <v>3</v>
      </c>
      <c r="U31" s="943"/>
      <c r="V31" s="943"/>
      <c r="W31" s="944"/>
      <c r="X31" s="874"/>
    </row>
    <row r="32" spans="1:24" ht="13.5" thickBot="1">
      <c r="A32" s="885"/>
      <c r="B32" s="885"/>
      <c r="C32" s="100" t="s">
        <v>295</v>
      </c>
      <c r="D32" s="1008" t="s">
        <v>415</v>
      </c>
      <c r="E32" s="1009"/>
      <c r="F32" s="1009"/>
      <c r="G32" s="1010"/>
      <c r="H32" s="1147">
        <f>'LF-Enugu'!H23:K23</f>
        <v>3.5</v>
      </c>
      <c r="I32" s="1148"/>
      <c r="J32" s="1148"/>
      <c r="K32" s="1149"/>
      <c r="L32" s="1147">
        <f>'LF-Enugu'!L23:O23</f>
        <v>2.9</v>
      </c>
      <c r="M32" s="1148"/>
      <c r="N32" s="1148"/>
      <c r="O32" s="1149"/>
      <c r="P32" s="1147">
        <f>'LF-Enugu'!P23:S23</f>
        <v>3.5</v>
      </c>
      <c r="Q32" s="1148"/>
      <c r="R32" s="1148"/>
      <c r="S32" s="1149"/>
      <c r="T32" s="1147">
        <f>'LF-Enugu'!T23:W23</f>
        <v>0</v>
      </c>
      <c r="U32" s="1148"/>
      <c r="V32" s="1148"/>
      <c r="W32" s="1149"/>
      <c r="X32" s="874"/>
    </row>
    <row r="33" spans="1:24" ht="13.5" thickBot="1">
      <c r="A33" s="885"/>
      <c r="B33" s="885"/>
      <c r="C33" s="100" t="s">
        <v>296</v>
      </c>
      <c r="D33" s="1008" t="s">
        <v>415</v>
      </c>
      <c r="E33" s="1009"/>
      <c r="F33" s="1009"/>
      <c r="G33" s="1010"/>
      <c r="H33" s="1147">
        <f>'LF-Jigawa'!H23:K23</f>
        <v>2.5</v>
      </c>
      <c r="I33" s="1148"/>
      <c r="J33" s="1148"/>
      <c r="K33" s="1149"/>
      <c r="L33" s="1147">
        <f>'LF-Jigawa'!L23:O23</f>
        <v>2.8</v>
      </c>
      <c r="M33" s="1148"/>
      <c r="N33" s="1148"/>
      <c r="O33" s="1149"/>
      <c r="P33" s="1147">
        <f>'LF-Jigawa'!P23:S23</f>
        <v>3.6</v>
      </c>
      <c r="Q33" s="1148"/>
      <c r="R33" s="1148"/>
      <c r="S33" s="1149"/>
      <c r="T33" s="1147">
        <f>'LF-Jigawa'!T23:W23</f>
        <v>0</v>
      </c>
      <c r="U33" s="1148"/>
      <c r="V33" s="1148"/>
      <c r="W33" s="1149"/>
      <c r="X33" s="874"/>
    </row>
    <row r="34" spans="1:24" ht="13.5" thickBot="1">
      <c r="A34" s="885"/>
      <c r="B34" s="885"/>
      <c r="C34" s="100" t="s">
        <v>297</v>
      </c>
      <c r="D34" s="1008" t="s">
        <v>415</v>
      </c>
      <c r="E34" s="1009"/>
      <c r="F34" s="1009"/>
      <c r="G34" s="1010"/>
      <c r="H34" s="1147">
        <f>'LF-Kaduna'!H23:K23</f>
        <v>2.5</v>
      </c>
      <c r="I34" s="1148"/>
      <c r="J34" s="1148"/>
      <c r="K34" s="1149"/>
      <c r="L34" s="1147">
        <f>'LF-Kaduna'!L23:O23</f>
        <v>3.1</v>
      </c>
      <c r="M34" s="1148"/>
      <c r="N34" s="1148"/>
      <c r="O34" s="1149"/>
      <c r="P34" s="1147">
        <f>'LF-Kaduna'!P23:S23</f>
        <v>3.2</v>
      </c>
      <c r="Q34" s="1148"/>
      <c r="R34" s="1148"/>
      <c r="S34" s="1149"/>
      <c r="T34" s="1147">
        <f>'LF-Kaduna'!T23:W23</f>
        <v>0</v>
      </c>
      <c r="U34" s="1148"/>
      <c r="V34" s="1148"/>
      <c r="W34" s="1149"/>
      <c r="X34" s="874"/>
    </row>
    <row r="35" spans="1:24" ht="13.5" thickBot="1">
      <c r="A35" s="885"/>
      <c r="B35" s="885"/>
      <c r="C35" s="100" t="s">
        <v>298</v>
      </c>
      <c r="D35" s="1008" t="s">
        <v>415</v>
      </c>
      <c r="E35" s="1009"/>
      <c r="F35" s="1009"/>
      <c r="G35" s="1010"/>
      <c r="H35" s="1147">
        <f>'LF-Kano'!H23:K23</f>
        <v>2</v>
      </c>
      <c r="I35" s="1148"/>
      <c r="J35" s="1148"/>
      <c r="K35" s="1149"/>
      <c r="L35" s="1147">
        <f>'LF-Kano'!L23:O23</f>
        <v>2.7</v>
      </c>
      <c r="M35" s="1148"/>
      <c r="N35" s="1148"/>
      <c r="O35" s="1149"/>
      <c r="P35" s="1147">
        <f>'LF-Kano'!P23:S23</f>
        <v>2.8</v>
      </c>
      <c r="Q35" s="1148"/>
      <c r="R35" s="1148"/>
      <c r="S35" s="1149"/>
      <c r="T35" s="1147">
        <f>'LF-Kano'!T23:W23</f>
        <v>0</v>
      </c>
      <c r="U35" s="1148"/>
      <c r="V35" s="1148"/>
      <c r="W35" s="1149"/>
      <c r="X35" s="874"/>
    </row>
    <row r="36" spans="1:24" ht="13.5" thickBot="1">
      <c r="A36" s="885"/>
      <c r="B36" s="885"/>
      <c r="C36" s="100" t="s">
        <v>299</v>
      </c>
      <c r="D36" s="1008" t="s">
        <v>415</v>
      </c>
      <c r="E36" s="1009"/>
      <c r="F36" s="1009"/>
      <c r="G36" s="1010"/>
      <c r="H36" s="1147">
        <f>'LF-Lagos'!H23:K23</f>
        <v>2</v>
      </c>
      <c r="I36" s="1148"/>
      <c r="J36" s="1148"/>
      <c r="K36" s="1149"/>
      <c r="L36" s="1147">
        <f>'LF-Lagos'!L23:O23</f>
        <v>2.7</v>
      </c>
      <c r="M36" s="1148"/>
      <c r="N36" s="1148"/>
      <c r="O36" s="1149"/>
      <c r="P36" s="1147">
        <f>'LF-Lagos'!P23:S23</f>
        <v>2.8</v>
      </c>
      <c r="Q36" s="1148"/>
      <c r="R36" s="1148"/>
      <c r="S36" s="1149"/>
      <c r="T36" s="1147">
        <f>'LF-Lagos'!T23:W23</f>
        <v>0</v>
      </c>
      <c r="U36" s="1148"/>
      <c r="V36" s="1148"/>
      <c r="W36" s="1149"/>
      <c r="X36" s="874"/>
    </row>
    <row r="37" spans="1:24" ht="24.75" thickBot="1">
      <c r="A37" s="885"/>
      <c r="B37" s="885"/>
      <c r="C37" s="100" t="s">
        <v>300</v>
      </c>
      <c r="D37" s="1017"/>
      <c r="E37" s="1018"/>
      <c r="F37" s="1018"/>
      <c r="G37" s="1019"/>
      <c r="H37" s="1017"/>
      <c r="I37" s="1018"/>
      <c r="J37" s="1018"/>
      <c r="K37" s="1019"/>
      <c r="L37" s="1147">
        <f>'LF-Zamfara'!L23:O23</f>
        <v>1.8</v>
      </c>
      <c r="M37" s="1148"/>
      <c r="N37" s="1148"/>
      <c r="O37" s="1149"/>
      <c r="P37" s="1147">
        <f>'LF-Zamfara'!P23:S23</f>
        <v>2.2000000000000002</v>
      </c>
      <c r="Q37" s="1148"/>
      <c r="R37" s="1148"/>
      <c r="S37" s="1149"/>
      <c r="T37" s="1147">
        <f>'LF-Zamfara'!T23:W23</f>
        <v>0</v>
      </c>
      <c r="U37" s="1148"/>
      <c r="V37" s="1148"/>
      <c r="W37" s="1149"/>
      <c r="X37" s="874"/>
    </row>
    <row r="38" spans="1:24" ht="13.5" thickBot="1">
      <c r="A38" s="885"/>
      <c r="B38" s="885"/>
      <c r="C38" s="100" t="s">
        <v>301</v>
      </c>
      <c r="D38" s="1017"/>
      <c r="E38" s="1018"/>
      <c r="F38" s="1018"/>
      <c r="G38" s="1019"/>
      <c r="H38" s="1017"/>
      <c r="I38" s="1018"/>
      <c r="J38" s="1018"/>
      <c r="K38" s="1019"/>
      <c r="L38" s="1147">
        <f>'LF-Katsina'!L23:O23</f>
        <v>3.1</v>
      </c>
      <c r="M38" s="1148"/>
      <c r="N38" s="1148"/>
      <c r="O38" s="1149"/>
      <c r="P38" s="1147">
        <f>'LF-Katsina'!P23:S23</f>
        <v>2.1</v>
      </c>
      <c r="Q38" s="1148"/>
      <c r="R38" s="1148"/>
      <c r="S38" s="1149"/>
      <c r="T38" s="1147">
        <f>'LF-Katsina'!T23:W23</f>
        <v>0</v>
      </c>
      <c r="U38" s="1148"/>
      <c r="V38" s="1148"/>
      <c r="W38" s="1149"/>
      <c r="X38" s="874"/>
    </row>
    <row r="39" spans="1:24" ht="13.5" thickBot="1">
      <c r="A39" s="885"/>
      <c r="B39" s="885"/>
      <c r="C39" s="100" t="s">
        <v>302</v>
      </c>
      <c r="D39" s="1017"/>
      <c r="E39" s="1018"/>
      <c r="F39" s="1018"/>
      <c r="G39" s="1019"/>
      <c r="H39" s="1017"/>
      <c r="I39" s="1018"/>
      <c r="J39" s="1018"/>
      <c r="K39" s="1019"/>
      <c r="L39" s="1147">
        <f>'LF-Yobe'!L23:O23</f>
        <v>2.1</v>
      </c>
      <c r="M39" s="1148"/>
      <c r="N39" s="1148"/>
      <c r="O39" s="1149"/>
      <c r="P39" s="1147">
        <f>'LF-Yobe'!P23:S23</f>
        <v>3</v>
      </c>
      <c r="Q39" s="1148"/>
      <c r="R39" s="1148"/>
      <c r="S39" s="1149"/>
      <c r="T39" s="1147">
        <f>'LF-Yobe'!T23:W23</f>
        <v>0</v>
      </c>
      <c r="U39" s="1148"/>
      <c r="V39" s="1148"/>
      <c r="W39" s="1149"/>
      <c r="X39" s="874"/>
    </row>
    <row r="40" spans="1:24" ht="24.75" thickBot="1">
      <c r="A40" s="885"/>
      <c r="B40" s="885"/>
      <c r="C40" s="100" t="s">
        <v>303</v>
      </c>
      <c r="D40" s="1017"/>
      <c r="E40" s="1018"/>
      <c r="F40" s="1018"/>
      <c r="G40" s="1019"/>
      <c r="H40" s="1017"/>
      <c r="I40" s="1018"/>
      <c r="J40" s="1018"/>
      <c r="K40" s="1019"/>
      <c r="L40" s="1017"/>
      <c r="M40" s="1018"/>
      <c r="N40" s="1018"/>
      <c r="O40" s="1019"/>
      <c r="P40" s="1017"/>
      <c r="Q40" s="1018"/>
      <c r="R40" s="1018"/>
      <c r="S40" s="1019"/>
      <c r="T40" s="1147">
        <f>'LF-Anambra'!T23:W23</f>
        <v>0</v>
      </c>
      <c r="U40" s="1148"/>
      <c r="V40" s="1148"/>
      <c r="W40" s="1149"/>
      <c r="X40" s="874"/>
    </row>
    <row r="41" spans="1:24" ht="13.5" thickBot="1">
      <c r="A41" s="885"/>
      <c r="B41" s="885"/>
      <c r="C41" s="100" t="s">
        <v>304</v>
      </c>
      <c r="D41" s="1017"/>
      <c r="E41" s="1018"/>
      <c r="F41" s="1018"/>
      <c r="G41" s="1019"/>
      <c r="H41" s="1017"/>
      <c r="I41" s="1018"/>
      <c r="J41" s="1018"/>
      <c r="K41" s="1019"/>
      <c r="L41" s="1017"/>
      <c r="M41" s="1018"/>
      <c r="N41" s="1018"/>
      <c r="O41" s="1019"/>
      <c r="P41" s="1017"/>
      <c r="Q41" s="1018"/>
      <c r="R41" s="1018"/>
      <c r="S41" s="1019"/>
      <c r="T41" s="1147">
        <f>'LF-Niger'!T23:W23</f>
        <v>0</v>
      </c>
      <c r="U41" s="1148"/>
      <c r="V41" s="1148"/>
      <c r="W41" s="1149"/>
      <c r="X41" s="874"/>
    </row>
    <row r="42" spans="1:24" ht="13.5" thickBot="1">
      <c r="A42" s="885"/>
      <c r="B42" s="885"/>
      <c r="C42" s="922" t="s">
        <v>413</v>
      </c>
      <c r="D42" s="927" t="s">
        <v>4</v>
      </c>
      <c r="E42" s="928"/>
      <c r="F42" s="928"/>
      <c r="G42" s="928"/>
      <c r="H42" s="928"/>
      <c r="I42" s="928"/>
      <c r="J42" s="928"/>
      <c r="K42" s="928"/>
      <c r="L42" s="928"/>
      <c r="M42" s="928"/>
      <c r="N42" s="928"/>
      <c r="O42" s="928"/>
      <c r="P42" s="928"/>
      <c r="Q42" s="928"/>
      <c r="R42" s="928"/>
      <c r="S42" s="928"/>
      <c r="T42" s="928"/>
      <c r="U42" s="928"/>
      <c r="V42" s="928"/>
      <c r="W42" s="928"/>
      <c r="X42" s="874"/>
    </row>
    <row r="43" spans="1:24" ht="13.5" thickBot="1">
      <c r="A43" s="885"/>
      <c r="B43" s="869"/>
      <c r="C43" s="923"/>
      <c r="D43" s="930" t="s">
        <v>115</v>
      </c>
      <c r="E43" s="931"/>
      <c r="F43" s="931"/>
      <c r="G43" s="931"/>
      <c r="H43" s="931"/>
      <c r="I43" s="931"/>
      <c r="J43" s="931"/>
      <c r="K43" s="931"/>
      <c r="L43" s="931"/>
      <c r="M43" s="931"/>
      <c r="N43" s="931"/>
      <c r="O43" s="931"/>
      <c r="P43" s="931"/>
      <c r="Q43" s="931"/>
      <c r="R43" s="931"/>
      <c r="S43" s="931"/>
      <c r="T43" s="931"/>
      <c r="U43" s="931"/>
      <c r="V43" s="931"/>
      <c r="W43" s="932"/>
      <c r="X43" s="874"/>
    </row>
    <row r="44" spans="1:24" ht="13.5" thickBot="1">
      <c r="A44" s="885"/>
      <c r="B44" s="11" t="s">
        <v>25</v>
      </c>
      <c r="C44" s="12"/>
      <c r="D44" s="927" t="s">
        <v>78</v>
      </c>
      <c r="E44" s="928"/>
      <c r="F44" s="928"/>
      <c r="G44" s="929"/>
      <c r="H44" s="927" t="s">
        <v>77</v>
      </c>
      <c r="I44" s="928"/>
      <c r="J44" s="928"/>
      <c r="K44" s="929"/>
      <c r="L44" s="927" t="s">
        <v>81</v>
      </c>
      <c r="M44" s="928"/>
      <c r="N44" s="928"/>
      <c r="O44" s="929"/>
      <c r="P44" s="927" t="s">
        <v>254</v>
      </c>
      <c r="Q44" s="928"/>
      <c r="R44" s="928"/>
      <c r="S44" s="929"/>
      <c r="T44" s="927" t="s">
        <v>76</v>
      </c>
      <c r="U44" s="928"/>
      <c r="V44" s="928"/>
      <c r="W44" s="929"/>
      <c r="X44" s="874"/>
    </row>
    <row r="45" spans="1:24" ht="13.5" thickBot="1">
      <c r="A45" s="885"/>
      <c r="B45" s="868" t="s">
        <v>49</v>
      </c>
      <c r="C45" s="9" t="s">
        <v>285</v>
      </c>
      <c r="D45" s="942">
        <f>'LF-Enugu'!D27:G27</f>
        <v>1</v>
      </c>
      <c r="E45" s="943"/>
      <c r="F45" s="943"/>
      <c r="G45" s="944"/>
      <c r="H45" s="942">
        <f>'LF-Enugu'!H27:K27</f>
        <v>1</v>
      </c>
      <c r="I45" s="943"/>
      <c r="J45" s="943"/>
      <c r="K45" s="944"/>
      <c r="L45" s="942">
        <f>'LF-Enugu'!L27:O27</f>
        <v>1.25</v>
      </c>
      <c r="M45" s="943"/>
      <c r="N45" s="943"/>
      <c r="O45" s="944"/>
      <c r="P45" s="963">
        <f>'LF-Enugu'!P27:S27</f>
        <v>1.8</v>
      </c>
      <c r="Q45" s="964"/>
      <c r="R45" s="964"/>
      <c r="S45" s="965"/>
      <c r="T45" s="963">
        <f>'LF-Enugu'!T27:W27</f>
        <v>2.5</v>
      </c>
      <c r="U45" s="964"/>
      <c r="V45" s="964"/>
      <c r="W45" s="965"/>
      <c r="X45" s="874"/>
    </row>
    <row r="46" spans="1:24" ht="13.5" thickBot="1">
      <c r="A46" s="885"/>
      <c r="B46" s="885"/>
      <c r="C46" s="9" t="s">
        <v>286</v>
      </c>
      <c r="D46" s="942">
        <f>'LF-Jigawa'!D27:G27</f>
        <v>1</v>
      </c>
      <c r="E46" s="943"/>
      <c r="F46" s="943"/>
      <c r="G46" s="944"/>
      <c r="H46" s="942">
        <f>'LF-Jigawa'!H27:K27</f>
        <v>1</v>
      </c>
      <c r="I46" s="943"/>
      <c r="J46" s="943"/>
      <c r="K46" s="944"/>
      <c r="L46" s="942">
        <f>'LF-Jigawa'!L27:O27</f>
        <v>2</v>
      </c>
      <c r="M46" s="943"/>
      <c r="N46" s="943"/>
      <c r="O46" s="944"/>
      <c r="P46" s="963">
        <f>'LF-Jigawa'!P27:S27</f>
        <v>2.2000000000000002</v>
      </c>
      <c r="Q46" s="964"/>
      <c r="R46" s="964"/>
      <c r="S46" s="965"/>
      <c r="T46" s="963">
        <f>'LF-Jigawa'!T27:W27</f>
        <v>4</v>
      </c>
      <c r="U46" s="964"/>
      <c r="V46" s="964"/>
      <c r="W46" s="965"/>
      <c r="X46" s="874"/>
    </row>
    <row r="47" spans="1:24" ht="13.5" thickBot="1">
      <c r="A47" s="885"/>
      <c r="B47" s="885"/>
      <c r="C47" s="9" t="s">
        <v>287</v>
      </c>
      <c r="D47" s="942">
        <f>'LF-Kaduna'!D27:G27</f>
        <v>1</v>
      </c>
      <c r="E47" s="943"/>
      <c r="F47" s="943"/>
      <c r="G47" s="944"/>
      <c r="H47" s="942">
        <f>'LF-Kaduna'!H27:K27</f>
        <v>1</v>
      </c>
      <c r="I47" s="943"/>
      <c r="J47" s="943"/>
      <c r="K47" s="944"/>
      <c r="L47" s="942">
        <f>'LF-Kaduna'!L27:O27</f>
        <v>1.25</v>
      </c>
      <c r="M47" s="943"/>
      <c r="N47" s="943"/>
      <c r="O47" s="944"/>
      <c r="P47" s="963">
        <f>'LF-Kaduna'!P27:S27</f>
        <v>2.2999999999999998</v>
      </c>
      <c r="Q47" s="964"/>
      <c r="R47" s="964"/>
      <c r="S47" s="965"/>
      <c r="T47" s="963">
        <f>'LF-Kaduna'!T27:W27</f>
        <v>2.6</v>
      </c>
      <c r="U47" s="964"/>
      <c r="V47" s="964"/>
      <c r="W47" s="965"/>
      <c r="X47" s="874"/>
    </row>
    <row r="48" spans="1:24" ht="13.5" thickBot="1">
      <c r="A48" s="885"/>
      <c r="B48" s="885"/>
      <c r="C48" s="9" t="s">
        <v>288</v>
      </c>
      <c r="D48" s="942">
        <f>'LF-Kano'!D27:G27</f>
        <v>1</v>
      </c>
      <c r="E48" s="943"/>
      <c r="F48" s="943"/>
      <c r="G48" s="944"/>
      <c r="H48" s="942">
        <f>'LF-Kano'!H27:K27</f>
        <v>1</v>
      </c>
      <c r="I48" s="943"/>
      <c r="J48" s="943"/>
      <c r="K48" s="944"/>
      <c r="L48" s="942">
        <f>'LF-Kano'!L27:O27</f>
        <v>1.25</v>
      </c>
      <c r="M48" s="943"/>
      <c r="N48" s="943"/>
      <c r="O48" s="944"/>
      <c r="P48" s="963">
        <f>'LF-Kano'!P27:S27</f>
        <v>1.5</v>
      </c>
      <c r="Q48" s="964"/>
      <c r="R48" s="964"/>
      <c r="S48" s="965"/>
      <c r="T48" s="963">
        <f>'LF-Kano'!T27:W27</f>
        <v>2.5</v>
      </c>
      <c r="U48" s="964"/>
      <c r="V48" s="964"/>
      <c r="W48" s="965"/>
      <c r="X48" s="874"/>
    </row>
    <row r="49" spans="1:24" ht="13.5" thickBot="1">
      <c r="A49" s="885"/>
      <c r="B49" s="885"/>
      <c r="C49" s="9" t="s">
        <v>289</v>
      </c>
      <c r="D49" s="942">
        <f>'LF-Lagos'!D27:G27</f>
        <v>1</v>
      </c>
      <c r="E49" s="943"/>
      <c r="F49" s="943"/>
      <c r="G49" s="944"/>
      <c r="H49" s="942">
        <f>'LF-Lagos'!H27:K27</f>
        <v>1</v>
      </c>
      <c r="I49" s="943"/>
      <c r="J49" s="943"/>
      <c r="K49" s="944"/>
      <c r="L49" s="942">
        <f>'LF-Lagos'!L27:O27</f>
        <v>1.75</v>
      </c>
      <c r="M49" s="943"/>
      <c r="N49" s="943"/>
      <c r="O49" s="944"/>
      <c r="P49" s="963">
        <f>'LF-Lagos'!P27:S27</f>
        <v>2.25</v>
      </c>
      <c r="Q49" s="964"/>
      <c r="R49" s="964"/>
      <c r="S49" s="965"/>
      <c r="T49" s="963">
        <f>'LF-Lagos'!T27:W27</f>
        <v>2.2000000000000002</v>
      </c>
      <c r="U49" s="964"/>
      <c r="V49" s="964"/>
      <c r="W49" s="965"/>
      <c r="X49" s="874"/>
    </row>
    <row r="50" spans="1:24" ht="13.5" thickBot="1">
      <c r="A50" s="885"/>
      <c r="B50" s="885"/>
      <c r="C50" s="9" t="s">
        <v>292</v>
      </c>
      <c r="D50" s="1051" t="s">
        <v>414</v>
      </c>
      <c r="E50" s="1052"/>
      <c r="F50" s="1052"/>
      <c r="G50" s="1053"/>
      <c r="H50" s="942">
        <f>'LF-Zamfara'!H27:K27</f>
        <v>1</v>
      </c>
      <c r="I50" s="943"/>
      <c r="J50" s="943"/>
      <c r="K50" s="944"/>
      <c r="L50" s="942">
        <f>'LF-Zamfara'!L27:O27</f>
        <v>1</v>
      </c>
      <c r="M50" s="943"/>
      <c r="N50" s="943"/>
      <c r="O50" s="944"/>
      <c r="P50" s="963">
        <f>'LF-Zamfara'!P27:S27</f>
        <v>1.3</v>
      </c>
      <c r="Q50" s="964"/>
      <c r="R50" s="964"/>
      <c r="S50" s="965"/>
      <c r="T50" s="963">
        <f>'LF-Zamfara'!T27:W27</f>
        <v>2</v>
      </c>
      <c r="U50" s="964"/>
      <c r="V50" s="964"/>
      <c r="W50" s="965"/>
      <c r="X50" s="874"/>
    </row>
    <row r="51" spans="1:24" ht="13.5" thickBot="1">
      <c r="A51" s="885"/>
      <c r="B51" s="885"/>
      <c r="C51" s="9" t="s">
        <v>293</v>
      </c>
      <c r="D51" s="1051" t="s">
        <v>414</v>
      </c>
      <c r="E51" s="1052"/>
      <c r="F51" s="1052"/>
      <c r="G51" s="1053"/>
      <c r="H51" s="942">
        <f>'LF-Katsina'!H27:K27</f>
        <v>1</v>
      </c>
      <c r="I51" s="943"/>
      <c r="J51" s="943"/>
      <c r="K51" s="944"/>
      <c r="L51" s="942">
        <f>'LF-Katsina'!L27:O27</f>
        <v>1</v>
      </c>
      <c r="M51" s="943"/>
      <c r="N51" s="943"/>
      <c r="O51" s="944"/>
      <c r="P51" s="963">
        <f>'LF-Katsina'!P27:S27</f>
        <v>1.2</v>
      </c>
      <c r="Q51" s="964"/>
      <c r="R51" s="964"/>
      <c r="S51" s="965"/>
      <c r="T51" s="963">
        <f>'LF-Katsina'!T27:W27</f>
        <v>3</v>
      </c>
      <c r="U51" s="964"/>
      <c r="V51" s="964"/>
      <c r="W51" s="965"/>
      <c r="X51" s="874"/>
    </row>
    <row r="52" spans="1:24" ht="13.5" thickBot="1">
      <c r="A52" s="885"/>
      <c r="B52" s="885"/>
      <c r="C52" s="9" t="s">
        <v>294</v>
      </c>
      <c r="D52" s="1051" t="s">
        <v>414</v>
      </c>
      <c r="E52" s="1052"/>
      <c r="F52" s="1052"/>
      <c r="G52" s="1053"/>
      <c r="H52" s="942">
        <f>'LF-Yobe'!H27:K27</f>
        <v>1</v>
      </c>
      <c r="I52" s="943"/>
      <c r="J52" s="943"/>
      <c r="K52" s="944"/>
      <c r="L52" s="942">
        <f>'LF-Yobe'!L27:O27</f>
        <v>1</v>
      </c>
      <c r="M52" s="943"/>
      <c r="N52" s="943"/>
      <c r="O52" s="944"/>
      <c r="P52" s="963">
        <f>'LF-Yobe'!P27:S27</f>
        <v>1.1000000000000001</v>
      </c>
      <c r="Q52" s="964"/>
      <c r="R52" s="964"/>
      <c r="S52" s="965"/>
      <c r="T52" s="963">
        <f>'LF-Yobe'!T27:W27</f>
        <v>2.5</v>
      </c>
      <c r="U52" s="964"/>
      <c r="V52" s="964"/>
      <c r="W52" s="965"/>
      <c r="X52" s="874"/>
    </row>
    <row r="53" spans="1:24" ht="12.95" customHeight="1" thickBot="1">
      <c r="A53" s="885"/>
      <c r="B53" s="885"/>
      <c r="C53" s="9" t="s">
        <v>290</v>
      </c>
      <c r="D53" s="957"/>
      <c r="E53" s="958"/>
      <c r="F53" s="958"/>
      <c r="G53" s="959"/>
      <c r="H53" s="1162"/>
      <c r="I53" s="1163"/>
      <c r="J53" s="1163"/>
      <c r="K53" s="1164"/>
      <c r="L53" s="1150" t="s">
        <v>909</v>
      </c>
      <c r="M53" s="1151"/>
      <c r="N53" s="1151"/>
      <c r="O53" s="1152"/>
      <c r="P53" s="963">
        <f>'LF-Anambra'!P27:S27</f>
        <v>0</v>
      </c>
      <c r="Q53" s="964"/>
      <c r="R53" s="964"/>
      <c r="S53" s="965"/>
      <c r="T53" s="963">
        <f>'LF-Anambra'!T27:W27</f>
        <v>2.1</v>
      </c>
      <c r="U53" s="964"/>
      <c r="V53" s="964"/>
      <c r="W53" s="965"/>
      <c r="X53" s="874"/>
    </row>
    <row r="54" spans="1:24" ht="12.95" customHeight="1" thickBot="1">
      <c r="A54" s="885"/>
      <c r="B54" s="885"/>
      <c r="C54" s="9" t="s">
        <v>291</v>
      </c>
      <c r="D54" s="957"/>
      <c r="E54" s="958"/>
      <c r="F54" s="958"/>
      <c r="G54" s="959"/>
      <c r="H54" s="1162"/>
      <c r="I54" s="1163"/>
      <c r="J54" s="1163"/>
      <c r="K54" s="1164"/>
      <c r="L54" s="1150" t="s">
        <v>909</v>
      </c>
      <c r="M54" s="1151"/>
      <c r="N54" s="1151"/>
      <c r="O54" s="1152"/>
      <c r="P54" s="942">
        <f>'LF-Niger'!P27:S27</f>
        <v>1.2</v>
      </c>
      <c r="Q54" s="943"/>
      <c r="R54" s="943"/>
      <c r="S54" s="944"/>
      <c r="T54" s="942">
        <f>'LF-Niger'!T27:W27</f>
        <v>1.7</v>
      </c>
      <c r="U54" s="943"/>
      <c r="V54" s="943"/>
      <c r="W54" s="944"/>
      <c r="X54" s="874"/>
    </row>
    <row r="55" spans="1:24" ht="13.5" thickBot="1">
      <c r="A55" s="885"/>
      <c r="B55" s="885"/>
      <c r="C55" s="100" t="s">
        <v>295</v>
      </c>
      <c r="D55" s="1008" t="s">
        <v>416</v>
      </c>
      <c r="E55" s="1009"/>
      <c r="F55" s="1009"/>
      <c r="G55" s="1010"/>
      <c r="H55" s="1147">
        <f>'LF-Enugu'!H28:K28</f>
        <v>2</v>
      </c>
      <c r="I55" s="1148"/>
      <c r="J55" s="1148"/>
      <c r="K55" s="1149"/>
      <c r="L55" s="1147">
        <f>'LF-Enugu'!L28:O28</f>
        <v>2.6</v>
      </c>
      <c r="M55" s="1148"/>
      <c r="N55" s="1148"/>
      <c r="O55" s="1149"/>
      <c r="P55" s="1147">
        <f>'LF-Enugu'!P28:S28</f>
        <v>2.2999999999999998</v>
      </c>
      <c r="Q55" s="1148"/>
      <c r="R55" s="1148"/>
      <c r="S55" s="1149"/>
      <c r="T55" s="1147">
        <f>'LF-Enugu'!T28:W28</f>
        <v>0</v>
      </c>
      <c r="U55" s="1148"/>
      <c r="V55" s="1148"/>
      <c r="W55" s="1149"/>
      <c r="X55" s="874"/>
    </row>
    <row r="56" spans="1:24" ht="13.5" thickBot="1">
      <c r="A56" s="885"/>
      <c r="B56" s="885"/>
      <c r="C56" s="100" t="s">
        <v>296</v>
      </c>
      <c r="D56" s="1008" t="s">
        <v>416</v>
      </c>
      <c r="E56" s="1009"/>
      <c r="F56" s="1009"/>
      <c r="G56" s="1010"/>
      <c r="H56" s="1147">
        <f>'LF-Jigawa'!H28:K28</f>
        <v>1.5</v>
      </c>
      <c r="I56" s="1148"/>
      <c r="J56" s="1148"/>
      <c r="K56" s="1149"/>
      <c r="L56" s="1147">
        <f>'LF-Jigawa'!L28:O28</f>
        <v>2</v>
      </c>
      <c r="M56" s="1148"/>
      <c r="N56" s="1148"/>
      <c r="O56" s="1149"/>
      <c r="P56" s="1147">
        <f>'LF-Jigawa'!P28:S28</f>
        <v>3.5</v>
      </c>
      <c r="Q56" s="1148"/>
      <c r="R56" s="1148"/>
      <c r="S56" s="1149"/>
      <c r="T56" s="1147">
        <f>'LF-Jigawa'!T28:W28</f>
        <v>0</v>
      </c>
      <c r="U56" s="1148"/>
      <c r="V56" s="1148"/>
      <c r="W56" s="1149"/>
      <c r="X56" s="874"/>
    </row>
    <row r="57" spans="1:24" ht="13.5" thickBot="1">
      <c r="A57" s="885"/>
      <c r="B57" s="885"/>
      <c r="C57" s="100" t="s">
        <v>297</v>
      </c>
      <c r="D57" s="1008" t="s">
        <v>416</v>
      </c>
      <c r="E57" s="1009"/>
      <c r="F57" s="1009"/>
      <c r="G57" s="1010"/>
      <c r="H57" s="1147">
        <f>'LF-Kaduna'!H28:K28</f>
        <v>1</v>
      </c>
      <c r="I57" s="1148"/>
      <c r="J57" s="1148"/>
      <c r="K57" s="1149"/>
      <c r="L57" s="1147">
        <f>'LF-Kaduna'!L28:O28</f>
        <v>2.1</v>
      </c>
      <c r="M57" s="1148"/>
      <c r="N57" s="1148"/>
      <c r="O57" s="1149"/>
      <c r="P57" s="1147">
        <f>'LF-Kaduna'!P28:S28</f>
        <v>2.4</v>
      </c>
      <c r="Q57" s="1148"/>
      <c r="R57" s="1148"/>
      <c r="S57" s="1149"/>
      <c r="T57" s="1147">
        <f>'LF-Kaduna'!T28:W28</f>
        <v>0</v>
      </c>
      <c r="U57" s="1148"/>
      <c r="V57" s="1148"/>
      <c r="W57" s="1149"/>
      <c r="X57" s="874"/>
    </row>
    <row r="58" spans="1:24" ht="13.5" thickBot="1">
      <c r="A58" s="885"/>
      <c r="B58" s="885"/>
      <c r="C58" s="100" t="s">
        <v>298</v>
      </c>
      <c r="D58" s="1008" t="s">
        <v>416</v>
      </c>
      <c r="E58" s="1009"/>
      <c r="F58" s="1009"/>
      <c r="G58" s="1010"/>
      <c r="H58" s="1147">
        <f>'LF-Kano'!H28:K28</f>
        <v>2</v>
      </c>
      <c r="I58" s="1148"/>
      <c r="J58" s="1148"/>
      <c r="K58" s="1149"/>
      <c r="L58" s="1147">
        <f>'LF-Kano'!L28:O28</f>
        <v>2.2999999999999998</v>
      </c>
      <c r="M58" s="1148"/>
      <c r="N58" s="1148"/>
      <c r="O58" s="1149"/>
      <c r="P58" s="1147">
        <f>'LF-Kano'!P28:S28</f>
        <v>2.2999999999999998</v>
      </c>
      <c r="Q58" s="1148"/>
      <c r="R58" s="1148"/>
      <c r="S58" s="1149"/>
      <c r="T58" s="1147">
        <f>'LF-Kano'!T28:W28</f>
        <v>0</v>
      </c>
      <c r="U58" s="1148"/>
      <c r="V58" s="1148"/>
      <c r="W58" s="1149"/>
      <c r="X58" s="874"/>
    </row>
    <row r="59" spans="1:24" ht="13.5" thickBot="1">
      <c r="A59" s="885"/>
      <c r="B59" s="885"/>
      <c r="C59" s="100" t="s">
        <v>299</v>
      </c>
      <c r="D59" s="1008" t="s">
        <v>416</v>
      </c>
      <c r="E59" s="1009"/>
      <c r="F59" s="1009"/>
      <c r="G59" s="1010"/>
      <c r="H59" s="1147">
        <f>'LF-Lagos'!H28:K28</f>
        <v>1.5</v>
      </c>
      <c r="I59" s="1148"/>
      <c r="J59" s="1148"/>
      <c r="K59" s="1149"/>
      <c r="L59" s="1147">
        <f>'LF-Lagos'!L28:O28</f>
        <v>2</v>
      </c>
      <c r="M59" s="1148"/>
      <c r="N59" s="1148"/>
      <c r="O59" s="1149"/>
      <c r="P59" s="1147">
        <f>'LF-Lagos'!P28:S28</f>
        <v>2.5</v>
      </c>
      <c r="Q59" s="1148"/>
      <c r="R59" s="1148"/>
      <c r="S59" s="1149"/>
      <c r="T59" s="1147">
        <f>'LF-Lagos'!T28:W28</f>
        <v>0</v>
      </c>
      <c r="U59" s="1148"/>
      <c r="V59" s="1148"/>
      <c r="W59" s="1149"/>
      <c r="X59" s="874"/>
    </row>
    <row r="60" spans="1:24" ht="24.75" thickBot="1">
      <c r="A60" s="885"/>
      <c r="B60" s="885"/>
      <c r="C60" s="100" t="s">
        <v>300</v>
      </c>
      <c r="D60" s="1017"/>
      <c r="E60" s="1018"/>
      <c r="F60" s="1018"/>
      <c r="G60" s="1019"/>
      <c r="H60" s="1017"/>
      <c r="I60" s="1018"/>
      <c r="J60" s="1018"/>
      <c r="K60" s="1019"/>
      <c r="L60" s="1147">
        <f>'LF-Zamfara'!L28:O28</f>
        <v>1</v>
      </c>
      <c r="M60" s="1148"/>
      <c r="N60" s="1148"/>
      <c r="O60" s="1149"/>
      <c r="P60" s="1147">
        <f>'LF-Zamfara'!P28:S28</f>
        <v>1.2</v>
      </c>
      <c r="Q60" s="1148"/>
      <c r="R60" s="1148"/>
      <c r="S60" s="1149"/>
      <c r="T60" s="1147">
        <f>'LF-Zamfara'!T28:W28</f>
        <v>0</v>
      </c>
      <c r="U60" s="1148"/>
      <c r="V60" s="1148"/>
      <c r="W60" s="1149"/>
      <c r="X60" s="874"/>
    </row>
    <row r="61" spans="1:24" ht="13.5" thickBot="1">
      <c r="A61" s="885"/>
      <c r="B61" s="885"/>
      <c r="C61" s="100" t="s">
        <v>301</v>
      </c>
      <c r="D61" s="1017"/>
      <c r="E61" s="1018"/>
      <c r="F61" s="1018"/>
      <c r="G61" s="1019"/>
      <c r="H61" s="1017"/>
      <c r="I61" s="1018"/>
      <c r="J61" s="1018"/>
      <c r="K61" s="1019"/>
      <c r="L61" s="1147">
        <f>'LF-Katsina'!L28:O28</f>
        <v>1</v>
      </c>
      <c r="M61" s="1148"/>
      <c r="N61" s="1148"/>
      <c r="O61" s="1149"/>
      <c r="P61" s="1147">
        <f>'LF-Katsina'!P28:S28</f>
        <v>1.2</v>
      </c>
      <c r="Q61" s="1148"/>
      <c r="R61" s="1148"/>
      <c r="S61" s="1149"/>
      <c r="T61" s="1147">
        <f>'LF-Katsina'!T28:W28</f>
        <v>0</v>
      </c>
      <c r="U61" s="1148"/>
      <c r="V61" s="1148"/>
      <c r="W61" s="1149"/>
      <c r="X61" s="874"/>
    </row>
    <row r="62" spans="1:24" ht="13.5" thickBot="1">
      <c r="A62" s="885"/>
      <c r="B62" s="885"/>
      <c r="C62" s="100" t="s">
        <v>302</v>
      </c>
      <c r="D62" s="1017"/>
      <c r="E62" s="1018"/>
      <c r="F62" s="1018"/>
      <c r="G62" s="1019"/>
      <c r="H62" s="1017"/>
      <c r="I62" s="1018"/>
      <c r="J62" s="1018"/>
      <c r="K62" s="1019"/>
      <c r="L62" s="1147">
        <f>'LF-Yobe'!L28:O28</f>
        <v>1</v>
      </c>
      <c r="M62" s="1148"/>
      <c r="N62" s="1148"/>
      <c r="O62" s="1149"/>
      <c r="P62" s="1147">
        <f>'LF-Yobe'!P28:S28</f>
        <v>3.1</v>
      </c>
      <c r="Q62" s="1148"/>
      <c r="R62" s="1148"/>
      <c r="S62" s="1149"/>
      <c r="T62" s="1147">
        <f>'LF-Yobe'!T28:W28</f>
        <v>0</v>
      </c>
      <c r="U62" s="1148"/>
      <c r="V62" s="1148"/>
      <c r="W62" s="1149"/>
      <c r="X62" s="874"/>
    </row>
    <row r="63" spans="1:24" ht="24.75" thickBot="1">
      <c r="A63" s="885"/>
      <c r="B63" s="885"/>
      <c r="C63" s="100" t="s">
        <v>303</v>
      </c>
      <c r="D63" s="1017"/>
      <c r="E63" s="1018"/>
      <c r="F63" s="1018"/>
      <c r="G63" s="1019"/>
      <c r="H63" s="1017"/>
      <c r="I63" s="1018"/>
      <c r="J63" s="1018"/>
      <c r="K63" s="1019"/>
      <c r="L63" s="1017"/>
      <c r="M63" s="1018"/>
      <c r="N63" s="1018"/>
      <c r="O63" s="1019"/>
      <c r="P63" s="1017"/>
      <c r="Q63" s="1018"/>
      <c r="R63" s="1018"/>
      <c r="S63" s="1019"/>
      <c r="T63" s="1147">
        <f>'LF-Anambra'!T28:W28</f>
        <v>0</v>
      </c>
      <c r="U63" s="1148"/>
      <c r="V63" s="1148"/>
      <c r="W63" s="1149"/>
      <c r="X63" s="874"/>
    </row>
    <row r="64" spans="1:24" ht="13.5" thickBot="1">
      <c r="A64" s="885"/>
      <c r="B64" s="885"/>
      <c r="C64" s="100" t="s">
        <v>304</v>
      </c>
      <c r="D64" s="1017"/>
      <c r="E64" s="1018"/>
      <c r="F64" s="1018"/>
      <c r="G64" s="1019"/>
      <c r="H64" s="1017"/>
      <c r="I64" s="1018"/>
      <c r="J64" s="1018"/>
      <c r="K64" s="1019"/>
      <c r="L64" s="1017"/>
      <c r="M64" s="1018"/>
      <c r="N64" s="1018"/>
      <c r="O64" s="1019"/>
      <c r="P64" s="1017"/>
      <c r="Q64" s="1018"/>
      <c r="R64" s="1018"/>
      <c r="S64" s="1019"/>
      <c r="T64" s="1147">
        <f>'LF-Niger'!T28:W28</f>
        <v>0</v>
      </c>
      <c r="U64" s="1148"/>
      <c r="V64" s="1148"/>
      <c r="W64" s="1149"/>
      <c r="X64" s="874"/>
    </row>
    <row r="65" spans="1:24" ht="13.5" thickBot="1">
      <c r="A65" s="885"/>
      <c r="B65" s="885"/>
      <c r="C65" s="922" t="s">
        <v>413</v>
      </c>
      <c r="D65" s="927" t="s">
        <v>4</v>
      </c>
      <c r="E65" s="928"/>
      <c r="F65" s="928"/>
      <c r="G65" s="928"/>
      <c r="H65" s="928"/>
      <c r="I65" s="928"/>
      <c r="J65" s="928"/>
      <c r="K65" s="928"/>
      <c r="L65" s="928"/>
      <c r="M65" s="928"/>
      <c r="N65" s="928"/>
      <c r="O65" s="928"/>
      <c r="P65" s="928"/>
      <c r="Q65" s="928"/>
      <c r="R65" s="928"/>
      <c r="S65" s="928"/>
      <c r="T65" s="928"/>
      <c r="U65" s="928"/>
      <c r="V65" s="928"/>
      <c r="W65" s="928"/>
      <c r="X65" s="874"/>
    </row>
    <row r="66" spans="1:24" ht="13.5" thickBot="1">
      <c r="A66" s="885"/>
      <c r="B66" s="869"/>
      <c r="C66" s="923"/>
      <c r="D66" s="930" t="s">
        <v>116</v>
      </c>
      <c r="E66" s="931"/>
      <c r="F66" s="931"/>
      <c r="G66" s="931"/>
      <c r="H66" s="931"/>
      <c r="I66" s="931"/>
      <c r="J66" s="931"/>
      <c r="K66" s="931"/>
      <c r="L66" s="931"/>
      <c r="M66" s="931"/>
      <c r="N66" s="931"/>
      <c r="O66" s="931"/>
      <c r="P66" s="931"/>
      <c r="Q66" s="931"/>
      <c r="R66" s="931"/>
      <c r="S66" s="931"/>
      <c r="T66" s="931"/>
      <c r="U66" s="931"/>
      <c r="V66" s="931"/>
      <c r="W66" s="932"/>
      <c r="X66" s="874"/>
    </row>
    <row r="67" spans="1:24" ht="13.5" thickBot="1">
      <c r="A67" s="885"/>
      <c r="B67" s="11" t="s">
        <v>37</v>
      </c>
      <c r="C67" s="12"/>
      <c r="D67" s="927" t="s">
        <v>78</v>
      </c>
      <c r="E67" s="928"/>
      <c r="F67" s="928"/>
      <c r="G67" s="929"/>
      <c r="H67" s="927" t="s">
        <v>77</v>
      </c>
      <c r="I67" s="928"/>
      <c r="J67" s="928"/>
      <c r="K67" s="929"/>
      <c r="L67" s="927" t="s">
        <v>81</v>
      </c>
      <c r="M67" s="928"/>
      <c r="N67" s="928"/>
      <c r="O67" s="929"/>
      <c r="P67" s="927" t="s">
        <v>254</v>
      </c>
      <c r="Q67" s="928"/>
      <c r="R67" s="928"/>
      <c r="S67" s="929"/>
      <c r="T67" s="927" t="s">
        <v>76</v>
      </c>
      <c r="U67" s="928"/>
      <c r="V67" s="928"/>
      <c r="W67" s="929"/>
      <c r="X67" s="874"/>
    </row>
    <row r="68" spans="1:24" ht="33" customHeight="1" thickBot="1">
      <c r="A68" s="971"/>
      <c r="B68" s="868" t="s">
        <v>148</v>
      </c>
      <c r="C68" s="91"/>
      <c r="D68" s="17" t="s">
        <v>106</v>
      </c>
      <c r="E68" s="17" t="s">
        <v>107</v>
      </c>
      <c r="F68" s="17" t="s">
        <v>108</v>
      </c>
      <c r="G68" s="17" t="s">
        <v>109</v>
      </c>
      <c r="H68" s="17" t="s">
        <v>106</v>
      </c>
      <c r="I68" s="17" t="s">
        <v>107</v>
      </c>
      <c r="J68" s="17" t="s">
        <v>108</v>
      </c>
      <c r="K68" s="17" t="s">
        <v>109</v>
      </c>
      <c r="L68" s="17" t="s">
        <v>106</v>
      </c>
      <c r="M68" s="17" t="s">
        <v>107</v>
      </c>
      <c r="N68" s="17" t="s">
        <v>108</v>
      </c>
      <c r="O68" s="17" t="s">
        <v>109</v>
      </c>
      <c r="P68" s="17" t="s">
        <v>106</v>
      </c>
      <c r="Q68" s="17" t="s">
        <v>107</v>
      </c>
      <c r="R68" s="17" t="s">
        <v>108</v>
      </c>
      <c r="S68" s="17" t="s">
        <v>109</v>
      </c>
      <c r="T68" s="17" t="s">
        <v>106</v>
      </c>
      <c r="U68" s="17" t="s">
        <v>107</v>
      </c>
      <c r="V68" s="17" t="s">
        <v>108</v>
      </c>
      <c r="W68" s="17" t="s">
        <v>109</v>
      </c>
      <c r="X68" s="874"/>
    </row>
    <row r="69" spans="1:24" ht="13.5" thickBot="1">
      <c r="A69" s="971"/>
      <c r="B69" s="885"/>
      <c r="C69" s="9" t="s">
        <v>285</v>
      </c>
      <c r="D69" s="104">
        <f>'LF-Enugu'!D33</f>
        <v>0</v>
      </c>
      <c r="E69" s="104">
        <f>'LF-Enugu'!E33</f>
        <v>2</v>
      </c>
      <c r="F69" s="104">
        <f>'LF-Enugu'!F33</f>
        <v>0</v>
      </c>
      <c r="G69" s="104">
        <f>'LF-Enugu'!G33</f>
        <v>0</v>
      </c>
      <c r="H69" s="104">
        <f>'LF-Enugu'!H33</f>
        <v>1</v>
      </c>
      <c r="I69" s="104">
        <f>'LF-Enugu'!I33</f>
        <v>9</v>
      </c>
      <c r="J69" s="104">
        <f>'LF-Enugu'!J33</f>
        <v>0</v>
      </c>
      <c r="K69" s="104">
        <f>'LF-Enugu'!K33</f>
        <v>2</v>
      </c>
      <c r="L69" s="104">
        <f>'LF-Enugu'!L33</f>
        <v>1</v>
      </c>
      <c r="M69" s="104">
        <f>'LF-Enugu'!M33</f>
        <v>13</v>
      </c>
      <c r="N69" s="104">
        <f>'LF-Enugu'!N33</f>
        <v>1</v>
      </c>
      <c r="O69" s="104">
        <f>'LF-Enugu'!O33</f>
        <v>13</v>
      </c>
      <c r="P69" s="150">
        <f>'LF-Enugu'!P33</f>
        <v>2</v>
      </c>
      <c r="Q69" s="150">
        <f>'LF-Enugu'!Q33</f>
        <v>14</v>
      </c>
      <c r="R69" s="150">
        <f>'LF-Enugu'!R33</f>
        <v>2</v>
      </c>
      <c r="S69" s="150">
        <f>'LF-Enugu'!S33</f>
        <v>15</v>
      </c>
      <c r="T69" s="150">
        <f>'LF-Enugu'!T33</f>
        <v>4</v>
      </c>
      <c r="U69" s="150">
        <f>'LF-Enugu'!U33</f>
        <v>15</v>
      </c>
      <c r="V69" s="150">
        <f>'LF-Enugu'!V33</f>
        <v>4</v>
      </c>
      <c r="W69" s="150">
        <f>'LF-Enugu'!W33</f>
        <v>15</v>
      </c>
      <c r="X69" s="874"/>
    </row>
    <row r="70" spans="1:24" ht="13.5" thickBot="1">
      <c r="A70" s="971"/>
      <c r="B70" s="93" t="s">
        <v>145</v>
      </c>
      <c r="C70" s="9" t="s">
        <v>286</v>
      </c>
      <c r="D70" s="104">
        <f>'LF-Jigawa'!D33</f>
        <v>12</v>
      </c>
      <c r="E70" s="104">
        <f>'LF-Jigawa'!E33</f>
        <v>15</v>
      </c>
      <c r="F70" s="104">
        <f>'LF-Jigawa'!F33</f>
        <v>0</v>
      </c>
      <c r="G70" s="104">
        <f>'LF-Jigawa'!G33</f>
        <v>12</v>
      </c>
      <c r="H70" s="104">
        <f>'LF-Jigawa'!H33</f>
        <v>12</v>
      </c>
      <c r="I70" s="104">
        <f>'LF-Jigawa'!I33</f>
        <v>15</v>
      </c>
      <c r="J70" s="104">
        <f>'LF-Jigawa'!J33</f>
        <v>0</v>
      </c>
      <c r="K70" s="104">
        <f>'LF-Jigawa'!K33</f>
        <v>12</v>
      </c>
      <c r="L70" s="104">
        <f>'LF-Jigawa'!L33</f>
        <v>13</v>
      </c>
      <c r="M70" s="104">
        <f>'LF-Jigawa'!M33</f>
        <v>15</v>
      </c>
      <c r="N70" s="104">
        <f>'LF-Jigawa'!N33</f>
        <v>1</v>
      </c>
      <c r="O70" s="104">
        <f>'LF-Jigawa'!O33</f>
        <v>13</v>
      </c>
      <c r="P70" s="150">
        <f>'LF-Jigawa'!P33</f>
        <v>14</v>
      </c>
      <c r="Q70" s="150">
        <f>'LF-Jigawa'!Q33</f>
        <v>15</v>
      </c>
      <c r="R70" s="150">
        <f>'LF-Jigawa'!R33</f>
        <v>2</v>
      </c>
      <c r="S70" s="150">
        <f>'LF-Jigawa'!S33</f>
        <v>13</v>
      </c>
      <c r="T70" s="150">
        <f>'LF-Jigawa'!T33</f>
        <v>12</v>
      </c>
      <c r="U70" s="150">
        <f>'LF-Jigawa'!U33</f>
        <v>15</v>
      </c>
      <c r="V70" s="150">
        <f>'LF-Jigawa'!V33</f>
        <v>3</v>
      </c>
      <c r="W70" s="150">
        <f>'LF-Jigawa'!W33</f>
        <v>14</v>
      </c>
      <c r="X70" s="874"/>
    </row>
    <row r="71" spans="1:24" ht="13.5" thickBot="1">
      <c r="A71" s="971"/>
      <c r="B71" s="93" t="s">
        <v>147</v>
      </c>
      <c r="C71" s="9" t="s">
        <v>287</v>
      </c>
      <c r="D71" s="104">
        <f>'LF-Kaduna'!D33</f>
        <v>2</v>
      </c>
      <c r="E71" s="104">
        <f>'LF-Kaduna'!E33</f>
        <v>0</v>
      </c>
      <c r="F71" s="104">
        <f>'LF-Kaduna'!F33</f>
        <v>0</v>
      </c>
      <c r="G71" s="104">
        <f>'LF-Kaduna'!G33</f>
        <v>13</v>
      </c>
      <c r="H71" s="104">
        <f>'LF-Kaduna'!H33</f>
        <v>6</v>
      </c>
      <c r="I71" s="104">
        <f>'LF-Kaduna'!I33</f>
        <v>1</v>
      </c>
      <c r="J71" s="104">
        <f>'LF-Kaduna'!J33</f>
        <v>0</v>
      </c>
      <c r="K71" s="104">
        <f>'LF-Kaduna'!K33</f>
        <v>10</v>
      </c>
      <c r="L71" s="104">
        <f>'LF-Kaduna'!L33</f>
        <v>3</v>
      </c>
      <c r="M71" s="104">
        <f>'LF-Kaduna'!M33</f>
        <v>2</v>
      </c>
      <c r="N71" s="104">
        <f>'LF-Kaduna'!N33</f>
        <v>1</v>
      </c>
      <c r="O71" s="104">
        <f>'LF-Kaduna'!O33</f>
        <v>15</v>
      </c>
      <c r="P71" s="150">
        <f>'LF-Kaduna'!P33</f>
        <v>11</v>
      </c>
      <c r="Q71" s="150">
        <f>'LF-Kaduna'!Q33</f>
        <v>11</v>
      </c>
      <c r="R71" s="150">
        <f>'LF-Kaduna'!R33</f>
        <v>2</v>
      </c>
      <c r="S71" s="150">
        <f>'LF-Kaduna'!S33</f>
        <v>15</v>
      </c>
      <c r="T71" s="150">
        <f>'LF-Kaduna'!T33</f>
        <v>15</v>
      </c>
      <c r="U71" s="150">
        <f>'LF-Kaduna'!U33</f>
        <v>15</v>
      </c>
      <c r="V71" s="150">
        <f>'LF-Kaduna'!V33</f>
        <v>13</v>
      </c>
      <c r="W71" s="150">
        <f>'LF-Kaduna'!W33</f>
        <v>15</v>
      </c>
      <c r="X71" s="874"/>
    </row>
    <row r="72" spans="1:24" ht="13.5" thickBot="1">
      <c r="A72" s="971"/>
      <c r="B72" s="93" t="s">
        <v>146</v>
      </c>
      <c r="C72" s="9" t="s">
        <v>288</v>
      </c>
      <c r="D72" s="104">
        <f>'LF-Kano'!D33</f>
        <v>1</v>
      </c>
      <c r="E72" s="104">
        <f>'LF-Kano'!E33</f>
        <v>1</v>
      </c>
      <c r="F72" s="104">
        <f>'LF-Kano'!F33</f>
        <v>0</v>
      </c>
      <c r="G72" s="104">
        <f>'LF-Kano'!G33</f>
        <v>2</v>
      </c>
      <c r="H72" s="104">
        <f>'LF-Kano'!H33</f>
        <v>2</v>
      </c>
      <c r="I72" s="104">
        <f>'LF-Kano'!I33</f>
        <v>2</v>
      </c>
      <c r="J72" s="104">
        <f>'LF-Kano'!J33</f>
        <v>1</v>
      </c>
      <c r="K72" s="104">
        <f>'LF-Kano'!K33</f>
        <v>11</v>
      </c>
      <c r="L72" s="104">
        <f>'LF-Kano'!L33</f>
        <v>3</v>
      </c>
      <c r="M72" s="104">
        <f>'LF-Kano'!M33</f>
        <v>3</v>
      </c>
      <c r="N72" s="104">
        <f>'LF-Kano'!N33</f>
        <v>1</v>
      </c>
      <c r="O72" s="104">
        <f>'LF-Kano'!O33</f>
        <v>15</v>
      </c>
      <c r="P72" s="150">
        <f>'LF-Kano'!P33</f>
        <v>3</v>
      </c>
      <c r="Q72" s="150">
        <f>'LF-Kano'!Q33</f>
        <v>3</v>
      </c>
      <c r="R72" s="150">
        <f>'LF-Kano'!R33</f>
        <v>2</v>
      </c>
      <c r="S72" s="150">
        <f>'LF-Kano'!S33</f>
        <v>13</v>
      </c>
      <c r="T72" s="150">
        <f>'LF-Kano'!T33</f>
        <v>7</v>
      </c>
      <c r="U72" s="150">
        <f>'LF-Kano'!U33</f>
        <v>7</v>
      </c>
      <c r="V72" s="150">
        <f>'LF-Kano'!V33</f>
        <v>12</v>
      </c>
      <c r="W72" s="150">
        <f>'LF-Kano'!W33</f>
        <v>14</v>
      </c>
      <c r="X72" s="874"/>
    </row>
    <row r="73" spans="1:24" ht="13.5" thickBot="1">
      <c r="A73" s="971"/>
      <c r="B73" s="93"/>
      <c r="C73" s="9" t="s">
        <v>289</v>
      </c>
      <c r="D73" s="104">
        <f>'LF-Lagos'!D33</f>
        <v>1</v>
      </c>
      <c r="E73" s="104">
        <f>'LF-Lagos'!E33</f>
        <v>1</v>
      </c>
      <c r="F73" s="104">
        <f>'LF-Lagos'!F33</f>
        <v>1</v>
      </c>
      <c r="G73" s="104">
        <f>'LF-Lagos'!G33</f>
        <v>12</v>
      </c>
      <c r="H73" s="104">
        <f>'LF-Lagos'!H33</f>
        <v>5</v>
      </c>
      <c r="I73" s="104">
        <f>'LF-Lagos'!I33</f>
        <v>9</v>
      </c>
      <c r="J73" s="104">
        <f>'LF-Lagos'!J33</f>
        <v>3</v>
      </c>
      <c r="K73" s="104">
        <f>'LF-Lagos'!K33</f>
        <v>13</v>
      </c>
      <c r="L73" s="104">
        <f>'LF-Lagos'!L33</f>
        <v>10</v>
      </c>
      <c r="M73" s="104">
        <f>'LF-Lagos'!M33</f>
        <v>13</v>
      </c>
      <c r="N73" s="104">
        <f>'LF-Lagos'!N33</f>
        <v>9</v>
      </c>
      <c r="O73" s="104">
        <f>'LF-Lagos'!O33</f>
        <v>14</v>
      </c>
      <c r="P73" s="150">
        <f>'LF-Lagos'!P33</f>
        <v>15</v>
      </c>
      <c r="Q73" s="150">
        <f>'LF-Lagos'!Q33</f>
        <v>15</v>
      </c>
      <c r="R73" s="150">
        <f>'LF-Lagos'!R33</f>
        <v>9</v>
      </c>
      <c r="S73" s="150">
        <f>'LF-Lagos'!S33</f>
        <v>14</v>
      </c>
      <c r="T73" s="150">
        <f>'LF-Lagos'!T33</f>
        <v>15</v>
      </c>
      <c r="U73" s="150">
        <f>'LF-Lagos'!U33</f>
        <v>15</v>
      </c>
      <c r="V73" s="150">
        <f>'LF-Lagos'!V33</f>
        <v>12</v>
      </c>
      <c r="W73" s="150">
        <f>'LF-Lagos'!W33</f>
        <v>15</v>
      </c>
      <c r="X73" s="874"/>
    </row>
    <row r="74" spans="1:24" ht="13.5" thickBot="1">
      <c r="A74" s="971"/>
      <c r="B74" s="93"/>
      <c r="C74" s="9" t="s">
        <v>292</v>
      </c>
      <c r="D74" s="1051" t="s">
        <v>414</v>
      </c>
      <c r="E74" s="1052"/>
      <c r="F74" s="1052"/>
      <c r="G74" s="1053"/>
      <c r="H74" s="104">
        <f>'LF-Zamfara'!H33</f>
        <v>0</v>
      </c>
      <c r="I74" s="104">
        <f>'LF-Zamfara'!I33</f>
        <v>0</v>
      </c>
      <c r="J74" s="104">
        <f>'LF-Zamfara'!J33</f>
        <v>0</v>
      </c>
      <c r="K74" s="104">
        <f>'LF-Zamfara'!K33</f>
        <v>12</v>
      </c>
      <c r="L74" s="104">
        <f>'LF-Zamfara'!L33</f>
        <v>1</v>
      </c>
      <c r="M74" s="104">
        <f>'LF-Zamfara'!M33</f>
        <v>1</v>
      </c>
      <c r="N74" s="104">
        <f>'LF-Zamfara'!N33</f>
        <v>1</v>
      </c>
      <c r="O74" s="104">
        <f>'LF-Zamfara'!O33</f>
        <v>12</v>
      </c>
      <c r="P74" s="150">
        <f>'LF-Zamfara'!P33</f>
        <v>2</v>
      </c>
      <c r="Q74" s="150">
        <f>'LF-Zamfara'!Q33</f>
        <v>2</v>
      </c>
      <c r="R74" s="150">
        <f>'LF-Zamfara'!R33</f>
        <v>2</v>
      </c>
      <c r="S74" s="150">
        <f>'LF-Zamfara'!S33</f>
        <v>13</v>
      </c>
      <c r="T74" s="150">
        <f>'LF-Zamfara'!T33</f>
        <v>2</v>
      </c>
      <c r="U74" s="150">
        <f>'LF-Zamfara'!U33</f>
        <v>2</v>
      </c>
      <c r="V74" s="150">
        <f>'LF-Zamfara'!V33</f>
        <v>2</v>
      </c>
      <c r="W74" s="150">
        <f>'LF-Zamfara'!W33</f>
        <v>14</v>
      </c>
      <c r="X74" s="874"/>
    </row>
    <row r="75" spans="1:24" ht="13.5" thickBot="1">
      <c r="A75" s="971"/>
      <c r="B75" s="93"/>
      <c r="C75" s="9" t="s">
        <v>293</v>
      </c>
      <c r="D75" s="1051" t="s">
        <v>414</v>
      </c>
      <c r="E75" s="1052"/>
      <c r="F75" s="1052"/>
      <c r="G75" s="1053"/>
      <c r="H75" s="104">
        <f>'LF-Katsina'!H33</f>
        <v>0</v>
      </c>
      <c r="I75" s="104">
        <f>'LF-Katsina'!I33</f>
        <v>0</v>
      </c>
      <c r="J75" s="104">
        <f>'LF-Katsina'!J33</f>
        <v>0</v>
      </c>
      <c r="K75" s="104">
        <f>'LF-Katsina'!K33</f>
        <v>12</v>
      </c>
      <c r="L75" s="104">
        <f>'LF-Katsina'!L33</f>
        <v>1</v>
      </c>
      <c r="M75" s="104">
        <f>'LF-Katsina'!M33</f>
        <v>1</v>
      </c>
      <c r="N75" s="104">
        <f>'LF-Katsina'!N33</f>
        <v>1</v>
      </c>
      <c r="O75" s="104">
        <f>'LF-Katsina'!O33</f>
        <v>12</v>
      </c>
      <c r="P75" s="150">
        <f>'LF-Katsina'!P33</f>
        <v>4</v>
      </c>
      <c r="Q75" s="150">
        <f>'LF-Katsina'!Q33</f>
        <v>5</v>
      </c>
      <c r="R75" s="150">
        <f>'LF-Katsina'!R33</f>
        <v>2</v>
      </c>
      <c r="S75" s="150">
        <f>'LF-Katsina'!S33</f>
        <v>14</v>
      </c>
      <c r="T75" s="150">
        <f>'LF-Katsina'!T33</f>
        <v>6</v>
      </c>
      <c r="U75" s="150">
        <f>'LF-Katsina'!U33</f>
        <v>6</v>
      </c>
      <c r="V75" s="150">
        <f>'LF-Katsina'!V33</f>
        <v>12</v>
      </c>
      <c r="W75" s="150">
        <f>'LF-Katsina'!W33</f>
        <v>15</v>
      </c>
      <c r="X75" s="874"/>
    </row>
    <row r="76" spans="1:24" ht="13.5" thickBot="1">
      <c r="A76" s="971"/>
      <c r="B76" s="93"/>
      <c r="C76" s="9" t="s">
        <v>294</v>
      </c>
      <c r="D76" s="1051" t="s">
        <v>414</v>
      </c>
      <c r="E76" s="1052"/>
      <c r="F76" s="1052"/>
      <c r="G76" s="1053"/>
      <c r="H76" s="104">
        <f>'LF-Yobe'!H33</f>
        <v>1</v>
      </c>
      <c r="I76" s="104">
        <f>'LF-Yobe'!I33</f>
        <v>1</v>
      </c>
      <c r="J76" s="104">
        <f>'LF-Yobe'!J33</f>
        <v>0</v>
      </c>
      <c r="K76" s="104">
        <f>'LF-Yobe'!K33</f>
        <v>13</v>
      </c>
      <c r="L76" s="104">
        <f>'LF-Yobe'!L33</f>
        <v>1</v>
      </c>
      <c r="M76" s="104">
        <f>'LF-Yobe'!M33</f>
        <v>1</v>
      </c>
      <c r="N76" s="104">
        <f>'LF-Yobe'!N33</f>
        <v>0</v>
      </c>
      <c r="O76" s="104">
        <f>'LF-Yobe'!O33</f>
        <v>13</v>
      </c>
      <c r="P76" s="150">
        <f>'LF-Yobe'!P33</f>
        <v>2</v>
      </c>
      <c r="Q76" s="150">
        <f>'LF-Yobe'!Q33</f>
        <v>1</v>
      </c>
      <c r="R76" s="150">
        <f>'LF-Yobe'!R33</f>
        <v>1</v>
      </c>
      <c r="S76" s="150">
        <f>'LF-Yobe'!S33</f>
        <v>14</v>
      </c>
      <c r="T76" s="150">
        <f>'LF-Yobe'!T33</f>
        <v>9</v>
      </c>
      <c r="U76" s="150">
        <f>'LF-Yobe'!U33</f>
        <v>9</v>
      </c>
      <c r="V76" s="150">
        <f>'LF-Yobe'!V33</f>
        <v>10</v>
      </c>
      <c r="W76" s="150">
        <f>'LF-Yobe'!W33</f>
        <v>15</v>
      </c>
      <c r="X76" s="874"/>
    </row>
    <row r="77" spans="1:24" ht="12.95" customHeight="1" thickBot="1">
      <c r="A77" s="971"/>
      <c r="B77" s="93"/>
      <c r="C77" s="9" t="s">
        <v>290</v>
      </c>
      <c r="D77" s="945"/>
      <c r="E77" s="946"/>
      <c r="F77" s="946"/>
      <c r="G77" s="947"/>
      <c r="H77" s="1162"/>
      <c r="I77" s="1163"/>
      <c r="J77" s="1163"/>
      <c r="K77" s="1164"/>
      <c r="L77" s="1150" t="s">
        <v>910</v>
      </c>
      <c r="M77" s="1151"/>
      <c r="N77" s="1151"/>
      <c r="O77" s="1152"/>
      <c r="P77" s="104">
        <f>'LF-Anambra'!P33</f>
        <v>12</v>
      </c>
      <c r="Q77" s="104">
        <f>'LF-Anambra'!Q33</f>
        <v>12</v>
      </c>
      <c r="R77" s="104">
        <f>'LF-Anambra'!R33</f>
        <v>12</v>
      </c>
      <c r="S77" s="104">
        <f>'LF-Anambra'!S33</f>
        <v>12</v>
      </c>
      <c r="T77" s="104">
        <f>'LF-Anambra'!T33</f>
        <v>12</v>
      </c>
      <c r="U77" s="104">
        <f>'LF-Anambra'!U33</f>
        <v>12</v>
      </c>
      <c r="V77" s="104">
        <f>'LF-Anambra'!V33</f>
        <v>12</v>
      </c>
      <c r="W77" s="104">
        <f>'LF-Anambra'!W33</f>
        <v>12</v>
      </c>
      <c r="X77" s="874"/>
    </row>
    <row r="78" spans="1:24" ht="12.95" customHeight="1" thickBot="1">
      <c r="A78" s="971"/>
      <c r="B78" s="93"/>
      <c r="C78" s="9" t="s">
        <v>291</v>
      </c>
      <c r="D78" s="945"/>
      <c r="E78" s="946"/>
      <c r="F78" s="946"/>
      <c r="G78" s="947"/>
      <c r="H78" s="1162"/>
      <c r="I78" s="1163"/>
      <c r="J78" s="1163"/>
      <c r="K78" s="1164"/>
      <c r="L78" s="1150" t="s">
        <v>910</v>
      </c>
      <c r="M78" s="1151"/>
      <c r="N78" s="1151"/>
      <c r="O78" s="1152"/>
      <c r="P78" s="104">
        <f>'LF-Niger'!P33</f>
        <v>15</v>
      </c>
      <c r="Q78" s="104">
        <f>'LF-Niger'!Q33</f>
        <v>15</v>
      </c>
      <c r="R78" s="104">
        <f>'LF-Niger'!R33</f>
        <v>12</v>
      </c>
      <c r="S78" s="104">
        <f>'LF-Niger'!S33</f>
        <v>15</v>
      </c>
      <c r="T78" s="104">
        <f>'LF-Niger'!T33</f>
        <v>15</v>
      </c>
      <c r="U78" s="104">
        <f>'LF-Niger'!U33</f>
        <v>15</v>
      </c>
      <c r="V78" s="104">
        <f>'LF-Niger'!V33</f>
        <v>13</v>
      </c>
      <c r="W78" s="104">
        <f>'LF-Niger'!W33</f>
        <v>15</v>
      </c>
      <c r="X78" s="874"/>
    </row>
    <row r="79" spans="1:24" ht="13.5" thickBot="1">
      <c r="A79" s="971"/>
      <c r="B79" s="93"/>
      <c r="C79" s="100" t="s">
        <v>295</v>
      </c>
      <c r="D79" s="1042" t="s">
        <v>416</v>
      </c>
      <c r="E79" s="1043"/>
      <c r="F79" s="1043"/>
      <c r="G79" s="1044"/>
      <c r="H79" s="105">
        <f>'LF-Enugu'!H34</f>
        <v>2</v>
      </c>
      <c r="I79" s="105">
        <f>'LF-Enugu'!I34</f>
        <v>8</v>
      </c>
      <c r="J79" s="105">
        <f>'LF-Enugu'!J34</f>
        <v>8</v>
      </c>
      <c r="K79" s="105">
        <f>'LF-Enugu'!K34</f>
        <v>10</v>
      </c>
      <c r="L79" s="105">
        <f>'LF-Enugu'!L34</f>
        <v>1</v>
      </c>
      <c r="M79" s="105">
        <f>'LF-Enugu'!M34</f>
        <v>12</v>
      </c>
      <c r="N79" s="105">
        <f>'LF-Enugu'!N34</f>
        <v>1</v>
      </c>
      <c r="O79" s="105">
        <f>'LF-Enugu'!O34</f>
        <v>15</v>
      </c>
      <c r="P79" s="105">
        <f>'LF-Enugu'!P34</f>
        <v>2</v>
      </c>
      <c r="Q79" s="105">
        <f>'LF-Enugu'!Q34</f>
        <v>14</v>
      </c>
      <c r="R79" s="105">
        <f>'LF-Enugu'!R34</f>
        <v>1</v>
      </c>
      <c r="S79" s="105">
        <f>'LF-Enugu'!S34</f>
        <v>15</v>
      </c>
      <c r="T79" s="105">
        <f>'LF-Enugu'!T34</f>
        <v>0</v>
      </c>
      <c r="U79" s="105">
        <f>'LF-Enugu'!U34</f>
        <v>0</v>
      </c>
      <c r="V79" s="105">
        <f>'LF-Enugu'!V34</f>
        <v>0</v>
      </c>
      <c r="W79" s="105">
        <f>'LF-Enugu'!W34</f>
        <v>0</v>
      </c>
      <c r="X79" s="874"/>
    </row>
    <row r="80" spans="1:24" ht="13.5" thickBot="1">
      <c r="A80" s="971"/>
      <c r="B80" s="93"/>
      <c r="C80" s="100" t="s">
        <v>296</v>
      </c>
      <c r="D80" s="1042" t="s">
        <v>416</v>
      </c>
      <c r="E80" s="1043"/>
      <c r="F80" s="1043"/>
      <c r="G80" s="1044"/>
      <c r="H80" s="105">
        <f>'LF-Jigawa'!H34</f>
        <v>8.5</v>
      </c>
      <c r="I80" s="105">
        <f>'LF-Jigawa'!I34</f>
        <v>8</v>
      </c>
      <c r="J80" s="105">
        <f>'LF-Jigawa'!J34</f>
        <v>0</v>
      </c>
      <c r="K80" s="105">
        <f>'LF-Jigawa'!K34</f>
        <v>8.5</v>
      </c>
      <c r="L80" s="105">
        <f>'LF-Jigawa'!L34</f>
        <v>12</v>
      </c>
      <c r="M80" s="105">
        <f>'LF-Jigawa'!M34</f>
        <v>15</v>
      </c>
      <c r="N80" s="105">
        <f>'LF-Jigawa'!N34</f>
        <v>1</v>
      </c>
      <c r="O80" s="105">
        <f>'LF-Jigawa'!O34</f>
        <v>12</v>
      </c>
      <c r="P80" s="105">
        <f>'LF-Jigawa'!P34</f>
        <v>12</v>
      </c>
      <c r="Q80" s="105">
        <f>'LF-Jigawa'!Q34</f>
        <v>15</v>
      </c>
      <c r="R80" s="105">
        <f>'LF-Jigawa'!R34</f>
        <v>1</v>
      </c>
      <c r="S80" s="105">
        <f>'LF-Jigawa'!S34</f>
        <v>12</v>
      </c>
      <c r="T80" s="105">
        <f>'LF-Jigawa'!T34</f>
        <v>0</v>
      </c>
      <c r="U80" s="105">
        <f>'LF-Jigawa'!U34</f>
        <v>0</v>
      </c>
      <c r="V80" s="105">
        <f>'LF-Jigawa'!V34</f>
        <v>0</v>
      </c>
      <c r="W80" s="105">
        <f>'LF-Jigawa'!W34</f>
        <v>0</v>
      </c>
      <c r="X80" s="874"/>
    </row>
    <row r="81" spans="1:24" ht="13.5" thickBot="1">
      <c r="A81" s="971"/>
      <c r="B81" s="93"/>
      <c r="C81" s="100" t="s">
        <v>297</v>
      </c>
      <c r="D81" s="1042" t="s">
        <v>416</v>
      </c>
      <c r="E81" s="1043"/>
      <c r="F81" s="1043"/>
      <c r="G81" s="1044"/>
      <c r="H81" s="105">
        <f>'LF-Kaduna'!H34</f>
        <v>7</v>
      </c>
      <c r="I81" s="105">
        <f>'LF-Kaduna'!I34</f>
        <v>3</v>
      </c>
      <c r="J81" s="105">
        <f>'LF-Kaduna'!J34</f>
        <v>0</v>
      </c>
      <c r="K81" s="105">
        <f>'LF-Kaduna'!K34</f>
        <v>10</v>
      </c>
      <c r="L81" s="105">
        <f>'LF-Kaduna'!L34</f>
        <v>2</v>
      </c>
      <c r="M81" s="105">
        <f>'LF-Kaduna'!M34</f>
        <v>1</v>
      </c>
      <c r="N81" s="105">
        <f>'LF-Kaduna'!N34</f>
        <v>1</v>
      </c>
      <c r="O81" s="105">
        <f>'LF-Kaduna'!O34</f>
        <v>15</v>
      </c>
      <c r="P81" s="105">
        <f>'LF-Kaduna'!P34</f>
        <v>2</v>
      </c>
      <c r="Q81" s="105">
        <f>'LF-Kaduna'!Q34</f>
        <v>2</v>
      </c>
      <c r="R81" s="105">
        <f>'LF-Kaduna'!R34</f>
        <v>1</v>
      </c>
      <c r="S81" s="105">
        <f>'LF-Kaduna'!S34</f>
        <v>15</v>
      </c>
      <c r="T81" s="105">
        <f>'LF-Kaduna'!T34</f>
        <v>0</v>
      </c>
      <c r="U81" s="105">
        <f>'LF-Kaduna'!U34</f>
        <v>0</v>
      </c>
      <c r="V81" s="105">
        <f>'LF-Kaduna'!V34</f>
        <v>0</v>
      </c>
      <c r="W81" s="105">
        <f>'LF-Kaduna'!W34</f>
        <v>0</v>
      </c>
      <c r="X81" s="874"/>
    </row>
    <row r="82" spans="1:24" ht="13.5" thickBot="1">
      <c r="A82" s="971"/>
      <c r="B82" s="93"/>
      <c r="C82" s="100" t="s">
        <v>298</v>
      </c>
      <c r="D82" s="1042" t="s">
        <v>416</v>
      </c>
      <c r="E82" s="1043"/>
      <c r="F82" s="1043"/>
      <c r="G82" s="1044"/>
      <c r="H82" s="105">
        <f>'LF-Kano'!H34</f>
        <v>3</v>
      </c>
      <c r="I82" s="105">
        <f>'LF-Kano'!I34</f>
        <v>3</v>
      </c>
      <c r="J82" s="105">
        <f>'LF-Kano'!J34</f>
        <v>1</v>
      </c>
      <c r="K82" s="105">
        <f>'LF-Kano'!K34</f>
        <v>7</v>
      </c>
      <c r="L82" s="105">
        <f>'LF-Kano'!L34</f>
        <v>1</v>
      </c>
      <c r="M82" s="105">
        <f>'LF-Kano'!M34</f>
        <v>1</v>
      </c>
      <c r="N82" s="105">
        <f>'LF-Kano'!N34</f>
        <v>1</v>
      </c>
      <c r="O82" s="105">
        <f>'LF-Kano'!O34</f>
        <v>13</v>
      </c>
      <c r="P82" s="105">
        <f>'LF-Kano'!P34</f>
        <v>6</v>
      </c>
      <c r="Q82" s="105">
        <f>'LF-Kano'!Q34</f>
        <v>6</v>
      </c>
      <c r="R82" s="105">
        <f>'LF-Kano'!R34</f>
        <v>1</v>
      </c>
      <c r="S82" s="105">
        <f>'LF-Kano'!S34</f>
        <v>15</v>
      </c>
      <c r="T82" s="105">
        <f>'LF-Kano'!T34</f>
        <v>0</v>
      </c>
      <c r="U82" s="105">
        <f>'LF-Kano'!U34</f>
        <v>0</v>
      </c>
      <c r="V82" s="105">
        <f>'LF-Kano'!V34</f>
        <v>0</v>
      </c>
      <c r="W82" s="105">
        <f>'LF-Kano'!W34</f>
        <v>0</v>
      </c>
      <c r="X82" s="874"/>
    </row>
    <row r="83" spans="1:24" ht="13.5" thickBot="1">
      <c r="A83" s="971"/>
      <c r="B83" s="93"/>
      <c r="C83" s="100" t="s">
        <v>299</v>
      </c>
      <c r="D83" s="1042" t="s">
        <v>416</v>
      </c>
      <c r="E83" s="1043"/>
      <c r="F83" s="1043"/>
      <c r="G83" s="1044"/>
      <c r="H83" s="105">
        <f>'LF-Lagos'!H34</f>
        <v>7</v>
      </c>
      <c r="I83" s="105">
        <f>'LF-Lagos'!I34</f>
        <v>7</v>
      </c>
      <c r="J83" s="105">
        <f>'LF-Lagos'!J34</f>
        <v>4</v>
      </c>
      <c r="K83" s="105">
        <f>'LF-Lagos'!K34</f>
        <v>9</v>
      </c>
      <c r="L83" s="105">
        <f>'LF-Lagos'!L34</f>
        <v>13</v>
      </c>
      <c r="M83" s="105">
        <f>'LF-Lagos'!M34</f>
        <v>14</v>
      </c>
      <c r="N83" s="105">
        <f>'LF-Lagos'!N34</f>
        <v>7</v>
      </c>
      <c r="O83" s="105">
        <f>'LF-Lagos'!O34</f>
        <v>14</v>
      </c>
      <c r="P83" s="105">
        <f>'LF-Lagos'!P34</f>
        <v>15</v>
      </c>
      <c r="Q83" s="105">
        <f>'LF-Lagos'!Q34</f>
        <v>15</v>
      </c>
      <c r="R83" s="105">
        <f>'LF-Lagos'!R34</f>
        <v>7</v>
      </c>
      <c r="S83" s="105">
        <f>'LF-Lagos'!S34</f>
        <v>15</v>
      </c>
      <c r="T83" s="105">
        <f>'LF-Lagos'!T34</f>
        <v>0</v>
      </c>
      <c r="U83" s="105">
        <f>'LF-Lagos'!U34</f>
        <v>0</v>
      </c>
      <c r="V83" s="105">
        <f>'LF-Lagos'!V34</f>
        <v>0</v>
      </c>
      <c r="W83" s="105">
        <f>'LF-Lagos'!W34</f>
        <v>0</v>
      </c>
      <c r="X83" s="874"/>
    </row>
    <row r="84" spans="1:24" ht="24.75" thickBot="1">
      <c r="A84" s="971"/>
      <c r="B84" s="93"/>
      <c r="C84" s="100" t="s">
        <v>300</v>
      </c>
      <c r="D84" s="1054"/>
      <c r="E84" s="1055"/>
      <c r="F84" s="1055"/>
      <c r="G84" s="1056"/>
      <c r="H84" s="1054"/>
      <c r="I84" s="1055"/>
      <c r="J84" s="1055"/>
      <c r="K84" s="1056"/>
      <c r="L84" s="105">
        <f>'LF-Zamfara'!L34</f>
        <v>1</v>
      </c>
      <c r="M84" s="105">
        <f>'LF-Zamfara'!M34</f>
        <v>1</v>
      </c>
      <c r="N84" s="105">
        <f>'LF-Zamfara'!N34</f>
        <v>1</v>
      </c>
      <c r="O84" s="105">
        <f>'LF-Zamfara'!O34</f>
        <v>12</v>
      </c>
      <c r="P84" s="105">
        <f>'LF-Zamfara'!P34</f>
        <v>1</v>
      </c>
      <c r="Q84" s="105">
        <f>'LF-Zamfara'!Q34</f>
        <v>1</v>
      </c>
      <c r="R84" s="105">
        <f>'LF-Zamfara'!R34</f>
        <v>1</v>
      </c>
      <c r="S84" s="105">
        <f>'LF-Zamfara'!S34</f>
        <v>14</v>
      </c>
      <c r="T84" s="105">
        <f>'LF-Zamfara'!T34</f>
        <v>0</v>
      </c>
      <c r="U84" s="105">
        <f>'LF-Zamfara'!U34</f>
        <v>0</v>
      </c>
      <c r="V84" s="105">
        <f>'LF-Zamfara'!V34</f>
        <v>0</v>
      </c>
      <c r="W84" s="105">
        <f>'LF-Zamfara'!W34</f>
        <v>0</v>
      </c>
      <c r="X84" s="874"/>
    </row>
    <row r="85" spans="1:24" ht="13.5" thickBot="1">
      <c r="A85" s="971"/>
      <c r="B85" s="93"/>
      <c r="C85" s="100" t="s">
        <v>301</v>
      </c>
      <c r="D85" s="107"/>
      <c r="E85" s="108"/>
      <c r="F85" s="108"/>
      <c r="G85" s="109"/>
      <c r="H85" s="107"/>
      <c r="I85" s="108"/>
      <c r="J85" s="108"/>
      <c r="K85" s="109"/>
      <c r="L85" s="105">
        <f>'LF-Katsina'!L34</f>
        <v>1</v>
      </c>
      <c r="M85" s="105">
        <f>'LF-Katsina'!M34</f>
        <v>1</v>
      </c>
      <c r="N85" s="105">
        <f>'LF-Katsina'!N34</f>
        <v>1</v>
      </c>
      <c r="O85" s="105">
        <f>'LF-Katsina'!O34</f>
        <v>12</v>
      </c>
      <c r="P85" s="105">
        <f>'LF-Katsina'!P34</f>
        <v>6</v>
      </c>
      <c r="Q85" s="105">
        <f>'LF-Katsina'!Q34</f>
        <v>6</v>
      </c>
      <c r="R85" s="105">
        <f>'LF-Katsina'!R34</f>
        <v>1</v>
      </c>
      <c r="S85" s="105">
        <f>'LF-Katsina'!S34</f>
        <v>15</v>
      </c>
      <c r="T85" s="105">
        <f>'LF-Katsina'!T34</f>
        <v>0</v>
      </c>
      <c r="U85" s="105">
        <f>'LF-Katsina'!U34</f>
        <v>0</v>
      </c>
      <c r="V85" s="105">
        <f>'LF-Katsina'!V34</f>
        <v>0</v>
      </c>
      <c r="W85" s="105">
        <f>'LF-Katsina'!W34</f>
        <v>0</v>
      </c>
      <c r="X85" s="874"/>
    </row>
    <row r="86" spans="1:24" ht="13.5" thickBot="1">
      <c r="A86" s="971"/>
      <c r="B86" s="93"/>
      <c r="C86" s="100" t="s">
        <v>302</v>
      </c>
      <c r="D86" s="107"/>
      <c r="E86" s="108"/>
      <c r="F86" s="108"/>
      <c r="G86" s="109"/>
      <c r="H86" s="107"/>
      <c r="I86" s="108"/>
      <c r="J86" s="108"/>
      <c r="K86" s="109"/>
      <c r="L86" s="105">
        <f>'LF-Yobe'!L34</f>
        <v>1</v>
      </c>
      <c r="M86" s="105">
        <f>'LF-Yobe'!M34</f>
        <v>1</v>
      </c>
      <c r="N86" s="105">
        <f>'LF-Yobe'!N34</f>
        <v>0</v>
      </c>
      <c r="O86" s="105">
        <f>'LF-Yobe'!O34</f>
        <v>13</v>
      </c>
      <c r="P86" s="105">
        <f>'LF-Yobe'!P34</f>
        <v>1</v>
      </c>
      <c r="Q86" s="105">
        <f>'LF-Yobe'!Q34</f>
        <v>1</v>
      </c>
      <c r="R86" s="105">
        <f>'LF-Yobe'!R34</f>
        <v>0</v>
      </c>
      <c r="S86" s="105">
        <f>'LF-Yobe'!S34</f>
        <v>14</v>
      </c>
      <c r="T86" s="105">
        <f>'LF-Yobe'!T34</f>
        <v>0</v>
      </c>
      <c r="U86" s="105">
        <f>'LF-Yobe'!U34</f>
        <v>0</v>
      </c>
      <c r="V86" s="105">
        <f>'LF-Yobe'!V34</f>
        <v>0</v>
      </c>
      <c r="W86" s="105">
        <f>'LF-Yobe'!W34</f>
        <v>0</v>
      </c>
      <c r="X86" s="874"/>
    </row>
    <row r="87" spans="1:24" ht="24.75" thickBot="1">
      <c r="A87" s="971"/>
      <c r="B87" s="93"/>
      <c r="C87" s="100" t="s">
        <v>303</v>
      </c>
      <c r="D87" s="1054"/>
      <c r="E87" s="1055"/>
      <c r="F87" s="1055"/>
      <c r="G87" s="1056"/>
      <c r="H87" s="1054"/>
      <c r="I87" s="1055"/>
      <c r="J87" s="1055"/>
      <c r="K87" s="1056"/>
      <c r="L87" s="1054"/>
      <c r="M87" s="1055"/>
      <c r="N87" s="1055"/>
      <c r="O87" s="1056"/>
      <c r="P87" s="1017"/>
      <c r="Q87" s="1018"/>
      <c r="R87" s="1018"/>
      <c r="S87" s="1019"/>
      <c r="T87" s="105">
        <f>'LF-Anambra'!T34</f>
        <v>0</v>
      </c>
      <c r="U87" s="105">
        <f>'LF-Anambra'!U34</f>
        <v>0</v>
      </c>
      <c r="V87" s="105">
        <f>'LF-Anambra'!V34</f>
        <v>0</v>
      </c>
      <c r="W87" s="105">
        <f>'LF-Anambra'!W34</f>
        <v>0</v>
      </c>
      <c r="X87" s="874"/>
    </row>
    <row r="88" spans="1:24" ht="13.5" thickBot="1">
      <c r="A88" s="971"/>
      <c r="B88" s="93"/>
      <c r="C88" s="100" t="s">
        <v>304</v>
      </c>
      <c r="D88" s="107"/>
      <c r="E88" s="108"/>
      <c r="F88" s="108"/>
      <c r="G88" s="109"/>
      <c r="H88" s="107"/>
      <c r="I88" s="108"/>
      <c r="J88" s="108"/>
      <c r="K88" s="109"/>
      <c r="L88" s="107"/>
      <c r="M88" s="108"/>
      <c r="N88" s="108"/>
      <c r="O88" s="109"/>
      <c r="P88" s="1017"/>
      <c r="Q88" s="1018"/>
      <c r="R88" s="1018"/>
      <c r="S88" s="1019"/>
      <c r="T88" s="105">
        <f>'LF-Niger'!T34</f>
        <v>0</v>
      </c>
      <c r="U88" s="105">
        <f>'LF-Niger'!U34</f>
        <v>0</v>
      </c>
      <c r="V88" s="105">
        <f>'LF-Niger'!V34</f>
        <v>0</v>
      </c>
      <c r="W88" s="105">
        <f>'LF-Niger'!W34</f>
        <v>0</v>
      </c>
      <c r="X88" s="874"/>
    </row>
    <row r="89" spans="1:24" ht="13.5" thickBot="1">
      <c r="A89" s="971"/>
      <c r="B89" s="980"/>
      <c r="C89" s="922" t="s">
        <v>413</v>
      </c>
      <c r="D89" s="927" t="s">
        <v>4</v>
      </c>
      <c r="E89" s="928"/>
      <c r="F89" s="928"/>
      <c r="G89" s="928"/>
      <c r="H89" s="928"/>
      <c r="I89" s="928"/>
      <c r="J89" s="928"/>
      <c r="K89" s="928"/>
      <c r="L89" s="928"/>
      <c r="M89" s="928"/>
      <c r="N89" s="928"/>
      <c r="O89" s="928"/>
      <c r="P89" s="928"/>
      <c r="Q89" s="928"/>
      <c r="R89" s="928"/>
      <c r="S89" s="928"/>
      <c r="T89" s="928"/>
      <c r="U89" s="928"/>
      <c r="V89" s="928"/>
      <c r="W89" s="928"/>
      <c r="X89" s="874"/>
    </row>
    <row r="90" spans="1:24" ht="13.5" thickBot="1">
      <c r="A90" s="982"/>
      <c r="B90" s="981"/>
      <c r="C90" s="923"/>
      <c r="D90" s="930" t="s">
        <v>117</v>
      </c>
      <c r="E90" s="931"/>
      <c r="F90" s="931"/>
      <c r="G90" s="931"/>
      <c r="H90" s="931"/>
      <c r="I90" s="931"/>
      <c r="J90" s="931"/>
      <c r="K90" s="931"/>
      <c r="L90" s="931"/>
      <c r="M90" s="931"/>
      <c r="N90" s="931"/>
      <c r="O90" s="931"/>
      <c r="P90" s="931"/>
      <c r="Q90" s="931"/>
      <c r="R90" s="931"/>
      <c r="S90" s="931"/>
      <c r="T90" s="931"/>
      <c r="U90" s="931"/>
      <c r="V90" s="931"/>
      <c r="W90" s="932"/>
      <c r="X90" s="875"/>
    </row>
    <row r="91" spans="1:24">
      <c r="A91" s="5"/>
      <c r="B91" s="5"/>
      <c r="C91" s="14"/>
      <c r="D91" s="5"/>
      <c r="E91" s="5"/>
      <c r="F91" s="5"/>
      <c r="G91" s="5"/>
      <c r="H91" s="5"/>
      <c r="I91" s="5"/>
      <c r="J91" s="5"/>
      <c r="K91" s="5"/>
      <c r="L91" s="5"/>
      <c r="M91" s="5"/>
      <c r="N91" s="5"/>
      <c r="O91" s="5"/>
      <c r="P91" s="5"/>
      <c r="Q91" s="5"/>
      <c r="R91" s="5"/>
      <c r="S91" s="5"/>
      <c r="T91" s="5"/>
      <c r="U91" s="5"/>
      <c r="V91" s="5"/>
      <c r="W91" s="5"/>
      <c r="X91" s="5"/>
    </row>
    <row r="92" spans="1:24" ht="13.5" thickBot="1">
      <c r="A92" s="5"/>
      <c r="B92" s="5"/>
      <c r="C92" s="6"/>
      <c r="D92" s="5"/>
      <c r="E92" s="5"/>
      <c r="F92" s="5"/>
      <c r="G92" s="5"/>
      <c r="H92" s="5"/>
      <c r="I92" s="5"/>
      <c r="J92" s="5"/>
      <c r="K92" s="5"/>
      <c r="L92" s="5"/>
      <c r="M92" s="5"/>
      <c r="N92" s="5"/>
      <c r="O92" s="5"/>
      <c r="P92" s="5"/>
      <c r="Q92" s="5"/>
      <c r="R92" s="5"/>
      <c r="S92" s="5"/>
      <c r="T92" s="5"/>
      <c r="U92" s="5"/>
      <c r="V92" s="5"/>
      <c r="W92" s="5"/>
      <c r="X92" s="5"/>
    </row>
    <row r="93" spans="1:24" ht="13.5" thickBot="1">
      <c r="A93" s="7" t="s">
        <v>5</v>
      </c>
      <c r="B93" s="97" t="s">
        <v>22</v>
      </c>
      <c r="C93" s="8"/>
      <c r="D93" s="927" t="s">
        <v>78</v>
      </c>
      <c r="E93" s="928"/>
      <c r="F93" s="928"/>
      <c r="G93" s="929"/>
      <c r="H93" s="927" t="s">
        <v>77</v>
      </c>
      <c r="I93" s="928"/>
      <c r="J93" s="928"/>
      <c r="K93" s="929"/>
      <c r="L93" s="927" t="s">
        <v>81</v>
      </c>
      <c r="M93" s="928"/>
      <c r="N93" s="928"/>
      <c r="O93" s="929"/>
      <c r="P93" s="927" t="s">
        <v>254</v>
      </c>
      <c r="Q93" s="928"/>
      <c r="R93" s="928"/>
      <c r="S93" s="929"/>
      <c r="T93" s="927" t="s">
        <v>76</v>
      </c>
      <c r="U93" s="928"/>
      <c r="V93" s="928"/>
      <c r="W93" s="929"/>
      <c r="X93" s="19" t="s">
        <v>6</v>
      </c>
    </row>
    <row r="94" spans="1:24" ht="13.5" thickBot="1">
      <c r="A94" s="868" t="s">
        <v>54</v>
      </c>
      <c r="B94" s="868" t="s">
        <v>55</v>
      </c>
      <c r="C94" s="9" t="s">
        <v>285</v>
      </c>
      <c r="D94" s="942">
        <f>'LF-Enugu'!D40:G40</f>
        <v>2</v>
      </c>
      <c r="E94" s="943"/>
      <c r="F94" s="943"/>
      <c r="G94" s="944"/>
      <c r="H94" s="942">
        <f>'LF-Enugu'!H40:K40</f>
        <v>2</v>
      </c>
      <c r="I94" s="943"/>
      <c r="J94" s="943"/>
      <c r="K94" s="944"/>
      <c r="L94" s="942">
        <f>'LF-Enugu'!L40:O40</f>
        <v>2.8</v>
      </c>
      <c r="M94" s="943"/>
      <c r="N94" s="943"/>
      <c r="O94" s="944"/>
      <c r="P94" s="963">
        <f>'LF-Enugu'!P40:S40</f>
        <v>3.2</v>
      </c>
      <c r="Q94" s="964"/>
      <c r="R94" s="964"/>
      <c r="S94" s="965"/>
      <c r="T94" s="963">
        <f>'LF-Enugu'!T40:W40</f>
        <v>3.9</v>
      </c>
      <c r="U94" s="964"/>
      <c r="V94" s="964"/>
      <c r="W94" s="965"/>
      <c r="X94" s="879" t="s">
        <v>95</v>
      </c>
    </row>
    <row r="95" spans="1:24" ht="13.5" thickBot="1">
      <c r="A95" s="885"/>
      <c r="B95" s="885"/>
      <c r="C95" s="9" t="s">
        <v>286</v>
      </c>
      <c r="D95" s="942">
        <f>'LF-Jigawa'!D40:G40</f>
        <v>2.2000000000000002</v>
      </c>
      <c r="E95" s="943"/>
      <c r="F95" s="943"/>
      <c r="G95" s="944"/>
      <c r="H95" s="942">
        <f>'LF-Jigawa'!H40:K40</f>
        <v>2.2000000000000002</v>
      </c>
      <c r="I95" s="943"/>
      <c r="J95" s="943"/>
      <c r="K95" s="944"/>
      <c r="L95" s="942">
        <f>'LF-Jigawa'!L40:O40</f>
        <v>2.5</v>
      </c>
      <c r="M95" s="943"/>
      <c r="N95" s="943"/>
      <c r="O95" s="944"/>
      <c r="P95" s="963">
        <f>'LF-Jigawa'!P40:S40</f>
        <v>3.2</v>
      </c>
      <c r="Q95" s="964"/>
      <c r="R95" s="964"/>
      <c r="S95" s="965"/>
      <c r="T95" s="963">
        <f>'LF-Jigawa'!T40:W40</f>
        <v>3.5</v>
      </c>
      <c r="U95" s="964"/>
      <c r="V95" s="964"/>
      <c r="W95" s="965"/>
      <c r="X95" s="880"/>
    </row>
    <row r="96" spans="1:24" ht="13.5" thickBot="1">
      <c r="A96" s="885"/>
      <c r="B96" s="885"/>
      <c r="C96" s="9" t="s">
        <v>287</v>
      </c>
      <c r="D96" s="942">
        <f>'LF-Kaduna'!D40:G40</f>
        <v>2.1</v>
      </c>
      <c r="E96" s="943"/>
      <c r="F96" s="943"/>
      <c r="G96" s="944"/>
      <c r="H96" s="942">
        <f>'LF-Kaduna'!H40:K40</f>
        <v>2.1</v>
      </c>
      <c r="I96" s="943"/>
      <c r="J96" s="943"/>
      <c r="K96" s="944"/>
      <c r="L96" s="942">
        <f>'LF-Kaduna'!L40:O40</f>
        <v>2.6</v>
      </c>
      <c r="M96" s="943"/>
      <c r="N96" s="943"/>
      <c r="O96" s="944"/>
      <c r="P96" s="963">
        <f>'LF-Kaduna'!P40:S40</f>
        <v>3</v>
      </c>
      <c r="Q96" s="964"/>
      <c r="R96" s="964"/>
      <c r="S96" s="965"/>
      <c r="T96" s="963">
        <f>'LF-Kaduna'!T40:W40</f>
        <v>3.2</v>
      </c>
      <c r="U96" s="964"/>
      <c r="V96" s="964"/>
      <c r="W96" s="965"/>
      <c r="X96" s="880"/>
    </row>
    <row r="97" spans="1:24" ht="13.5" thickBot="1">
      <c r="A97" s="885"/>
      <c r="B97" s="885"/>
      <c r="C97" s="9" t="s">
        <v>288</v>
      </c>
      <c r="D97" s="942">
        <f>'LF-Kano'!D40:G40</f>
        <v>1.9</v>
      </c>
      <c r="E97" s="943"/>
      <c r="F97" s="943"/>
      <c r="G97" s="944"/>
      <c r="H97" s="942">
        <f>'LF-Kano'!H40:K40</f>
        <v>2</v>
      </c>
      <c r="I97" s="943"/>
      <c r="J97" s="943"/>
      <c r="K97" s="944"/>
      <c r="L97" s="942">
        <f>'LF-Kano'!L40:O40</f>
        <v>3</v>
      </c>
      <c r="M97" s="943"/>
      <c r="N97" s="943"/>
      <c r="O97" s="944"/>
      <c r="P97" s="963">
        <f>'LF-Kano'!P40:S40</f>
        <v>3.2</v>
      </c>
      <c r="Q97" s="964"/>
      <c r="R97" s="964"/>
      <c r="S97" s="965"/>
      <c r="T97" s="963">
        <f>'LF-Kano'!T40:W40</f>
        <v>4</v>
      </c>
      <c r="U97" s="964"/>
      <c r="V97" s="964"/>
      <c r="W97" s="965"/>
      <c r="X97" s="880"/>
    </row>
    <row r="98" spans="1:24" ht="13.5" thickBot="1">
      <c r="A98" s="885"/>
      <c r="B98" s="885"/>
      <c r="C98" s="9" t="s">
        <v>289</v>
      </c>
      <c r="D98" s="942">
        <f>'LF-Lagos'!D40:G40</f>
        <v>2.6</v>
      </c>
      <c r="E98" s="943"/>
      <c r="F98" s="943"/>
      <c r="G98" s="944"/>
      <c r="H98" s="942">
        <f>'LF-Lagos'!H40:K40</f>
        <v>3</v>
      </c>
      <c r="I98" s="943"/>
      <c r="J98" s="943"/>
      <c r="K98" s="944"/>
      <c r="L98" s="942">
        <f>'LF-Lagos'!L40:O40</f>
        <v>3.5</v>
      </c>
      <c r="M98" s="943"/>
      <c r="N98" s="943"/>
      <c r="O98" s="944"/>
      <c r="P98" s="963">
        <f>'LF-Lagos'!P40:S40</f>
        <v>3.2</v>
      </c>
      <c r="Q98" s="964"/>
      <c r="R98" s="964"/>
      <c r="S98" s="965"/>
      <c r="T98" s="963">
        <f>'LF-Lagos'!T40:W40</f>
        <v>3.5</v>
      </c>
      <c r="U98" s="964"/>
      <c r="V98" s="964"/>
      <c r="W98" s="965"/>
      <c r="X98" s="880"/>
    </row>
    <row r="99" spans="1:24" ht="13.5" thickBot="1">
      <c r="A99" s="885"/>
      <c r="B99" s="885"/>
      <c r="C99" s="9" t="s">
        <v>292</v>
      </c>
      <c r="D99" s="1051" t="s">
        <v>414</v>
      </c>
      <c r="E99" s="1052"/>
      <c r="F99" s="1052"/>
      <c r="G99" s="1053"/>
      <c r="H99" s="942">
        <f>'LF-Zamfara'!H40:K40</f>
        <v>1.5</v>
      </c>
      <c r="I99" s="943"/>
      <c r="J99" s="943"/>
      <c r="K99" s="944"/>
      <c r="L99" s="942">
        <f>'LF-Zamfara'!L40:O40</f>
        <v>1.5</v>
      </c>
      <c r="M99" s="943"/>
      <c r="N99" s="943"/>
      <c r="O99" s="944"/>
      <c r="P99" s="963">
        <f>'LF-Zamfara'!P40:S40</f>
        <v>1.7</v>
      </c>
      <c r="Q99" s="964"/>
      <c r="R99" s="964"/>
      <c r="S99" s="965"/>
      <c r="T99" s="963">
        <f>'LF-Zamfara'!T40:W40</f>
        <v>2.2000000000000002</v>
      </c>
      <c r="U99" s="964"/>
      <c r="V99" s="964"/>
      <c r="W99" s="965"/>
      <c r="X99" s="880"/>
    </row>
    <row r="100" spans="1:24" ht="13.5" thickBot="1">
      <c r="A100" s="885"/>
      <c r="B100" s="885"/>
      <c r="C100" s="9" t="s">
        <v>293</v>
      </c>
      <c r="D100" s="1051" t="s">
        <v>414</v>
      </c>
      <c r="E100" s="1052"/>
      <c r="F100" s="1052"/>
      <c r="G100" s="1053"/>
      <c r="H100" s="942">
        <f>'LF-Katsina'!H40:K40</f>
        <v>2.8</v>
      </c>
      <c r="I100" s="943"/>
      <c r="J100" s="943"/>
      <c r="K100" s="944"/>
      <c r="L100" s="942">
        <f>'LF-Katsina'!L40:O40</f>
        <v>2.8</v>
      </c>
      <c r="M100" s="943"/>
      <c r="N100" s="943"/>
      <c r="O100" s="944"/>
      <c r="P100" s="963">
        <f>'LF-Katsina'!P40:S40</f>
        <v>3</v>
      </c>
      <c r="Q100" s="964"/>
      <c r="R100" s="964"/>
      <c r="S100" s="965"/>
      <c r="T100" s="963">
        <f>'LF-Katsina'!T40:W40</f>
        <v>4</v>
      </c>
      <c r="U100" s="964"/>
      <c r="V100" s="964"/>
      <c r="W100" s="965"/>
      <c r="X100" s="880"/>
    </row>
    <row r="101" spans="1:24" ht="13.5" thickBot="1">
      <c r="A101" s="885"/>
      <c r="B101" s="885"/>
      <c r="C101" s="9" t="s">
        <v>294</v>
      </c>
      <c r="D101" s="1051" t="s">
        <v>414</v>
      </c>
      <c r="E101" s="1052"/>
      <c r="F101" s="1052"/>
      <c r="G101" s="1053"/>
      <c r="H101" s="942">
        <f>'LF-Yobe'!H40:K40</f>
        <v>2.2000000000000002</v>
      </c>
      <c r="I101" s="943"/>
      <c r="J101" s="943"/>
      <c r="K101" s="944"/>
      <c r="L101" s="942">
        <f>'LF-Yobe'!L40:O40</f>
        <v>2.2000000000000002</v>
      </c>
      <c r="M101" s="943"/>
      <c r="N101" s="943"/>
      <c r="O101" s="944"/>
      <c r="P101" s="963">
        <f>'LF-Yobe'!P40:S40</f>
        <v>2.4</v>
      </c>
      <c r="Q101" s="964"/>
      <c r="R101" s="964"/>
      <c r="S101" s="965"/>
      <c r="T101" s="963">
        <f>'LF-Yobe'!T40:W40</f>
        <v>2.7</v>
      </c>
      <c r="U101" s="964"/>
      <c r="V101" s="964"/>
      <c r="W101" s="965"/>
      <c r="X101" s="880"/>
    </row>
    <row r="102" spans="1:24" ht="12.95" customHeight="1" thickBot="1">
      <c r="A102" s="885"/>
      <c r="B102" s="885"/>
      <c r="C102" s="9" t="s">
        <v>290</v>
      </c>
      <c r="D102" s="957"/>
      <c r="E102" s="958"/>
      <c r="F102" s="958"/>
      <c r="G102" s="959"/>
      <c r="H102" s="1162"/>
      <c r="I102" s="1163"/>
      <c r="J102" s="1163"/>
      <c r="K102" s="1164"/>
      <c r="L102" s="1150" t="s">
        <v>909</v>
      </c>
      <c r="M102" s="1151"/>
      <c r="N102" s="1151"/>
      <c r="O102" s="1152"/>
      <c r="P102" s="942">
        <f>'LF-Anambra'!P40:S40</f>
        <v>2.1</v>
      </c>
      <c r="Q102" s="943"/>
      <c r="R102" s="943"/>
      <c r="S102" s="944"/>
      <c r="T102" s="942">
        <f>'LF-Anambra'!T40:W40</f>
        <v>2.2999999999999998</v>
      </c>
      <c r="U102" s="943"/>
      <c r="V102" s="943"/>
      <c r="W102" s="944"/>
      <c r="X102" s="880"/>
    </row>
    <row r="103" spans="1:24" ht="12.95" customHeight="1" thickBot="1">
      <c r="A103" s="885"/>
      <c r="B103" s="885"/>
      <c r="C103" s="9" t="s">
        <v>291</v>
      </c>
      <c r="D103" s="957"/>
      <c r="E103" s="958"/>
      <c r="F103" s="958"/>
      <c r="G103" s="959"/>
      <c r="H103" s="1162"/>
      <c r="I103" s="1163"/>
      <c r="J103" s="1163"/>
      <c r="K103" s="1164"/>
      <c r="L103" s="1150" t="s">
        <v>909</v>
      </c>
      <c r="M103" s="1151"/>
      <c r="N103" s="1151"/>
      <c r="O103" s="1152"/>
      <c r="P103" s="942">
        <f>'LF-Niger'!P40:S40</f>
        <v>2.5</v>
      </c>
      <c r="Q103" s="943"/>
      <c r="R103" s="943"/>
      <c r="S103" s="944"/>
      <c r="T103" s="942">
        <f>'LF-Niger'!T40:W40</f>
        <v>3</v>
      </c>
      <c r="U103" s="943"/>
      <c r="V103" s="943"/>
      <c r="W103" s="944"/>
      <c r="X103" s="880"/>
    </row>
    <row r="104" spans="1:24" ht="13.5" thickBot="1">
      <c r="A104" s="885"/>
      <c r="B104" s="885"/>
      <c r="C104" s="100" t="s">
        <v>295</v>
      </c>
      <c r="D104" s="1008" t="s">
        <v>415</v>
      </c>
      <c r="E104" s="1009"/>
      <c r="F104" s="1009"/>
      <c r="G104" s="1010"/>
      <c r="H104" s="1147">
        <f>'LF-Enugu'!H41:K41</f>
        <v>2</v>
      </c>
      <c r="I104" s="1148"/>
      <c r="J104" s="1148"/>
      <c r="K104" s="1149"/>
      <c r="L104" s="1147">
        <f>'LF-Enugu'!L41:O41</f>
        <v>2.9</v>
      </c>
      <c r="M104" s="1148"/>
      <c r="N104" s="1148"/>
      <c r="O104" s="1149"/>
      <c r="P104" s="1147">
        <f>'LF-Enugu'!P41:S41</f>
        <v>4</v>
      </c>
      <c r="Q104" s="1148"/>
      <c r="R104" s="1148"/>
      <c r="S104" s="1149"/>
      <c r="T104" s="1147">
        <f>'LF-Enugu'!T41:W41</f>
        <v>0</v>
      </c>
      <c r="U104" s="1148"/>
      <c r="V104" s="1148"/>
      <c r="W104" s="1149"/>
      <c r="X104" s="880"/>
    </row>
    <row r="105" spans="1:24" ht="13.5" thickBot="1">
      <c r="A105" s="885"/>
      <c r="B105" s="885"/>
      <c r="C105" s="100" t="s">
        <v>296</v>
      </c>
      <c r="D105" s="1008" t="s">
        <v>415</v>
      </c>
      <c r="E105" s="1009"/>
      <c r="F105" s="1009"/>
      <c r="G105" s="1010"/>
      <c r="H105" s="1147">
        <f>'LF-Jigawa'!H41:K41</f>
        <v>2.1</v>
      </c>
      <c r="I105" s="1148"/>
      <c r="J105" s="1148"/>
      <c r="K105" s="1149"/>
      <c r="L105" s="1147">
        <f>'LF-Jigawa'!L41:O41</f>
        <v>2.6</v>
      </c>
      <c r="M105" s="1148"/>
      <c r="N105" s="1148"/>
      <c r="O105" s="1149"/>
      <c r="P105" s="1147">
        <f>'LF-Jigawa'!P41:S41</f>
        <v>3.2</v>
      </c>
      <c r="Q105" s="1148"/>
      <c r="R105" s="1148"/>
      <c r="S105" s="1149"/>
      <c r="T105" s="1147">
        <f>'LF-Jigawa'!T41:W41</f>
        <v>0</v>
      </c>
      <c r="U105" s="1148"/>
      <c r="V105" s="1148"/>
      <c r="W105" s="1149"/>
      <c r="X105" s="880"/>
    </row>
    <row r="106" spans="1:24" ht="13.5" thickBot="1">
      <c r="A106" s="885"/>
      <c r="B106" s="885"/>
      <c r="C106" s="100" t="s">
        <v>297</v>
      </c>
      <c r="D106" s="1008" t="s">
        <v>415</v>
      </c>
      <c r="E106" s="1009"/>
      <c r="F106" s="1009"/>
      <c r="G106" s="1010"/>
      <c r="H106" s="1147">
        <f>'LF-Kaduna'!H41:K41</f>
        <v>3</v>
      </c>
      <c r="I106" s="1148"/>
      <c r="J106" s="1148"/>
      <c r="K106" s="1149"/>
      <c r="L106" s="1147">
        <f>'LF-Kaduna'!L41:O41</f>
        <v>2.9</v>
      </c>
      <c r="M106" s="1148"/>
      <c r="N106" s="1148"/>
      <c r="O106" s="1149"/>
      <c r="P106" s="1147">
        <f>'LF-Kaduna'!P41:S41</f>
        <v>3.1</v>
      </c>
      <c r="Q106" s="1148"/>
      <c r="R106" s="1148"/>
      <c r="S106" s="1149"/>
      <c r="T106" s="1147">
        <f>'LF-Kaduna'!T41:W41</f>
        <v>0</v>
      </c>
      <c r="U106" s="1148"/>
      <c r="V106" s="1148"/>
      <c r="W106" s="1149"/>
      <c r="X106" s="880"/>
    </row>
    <row r="107" spans="1:24" ht="13.5" thickBot="1">
      <c r="A107" s="885"/>
      <c r="B107" s="885"/>
      <c r="C107" s="100" t="s">
        <v>298</v>
      </c>
      <c r="D107" s="1008" t="s">
        <v>415</v>
      </c>
      <c r="E107" s="1009"/>
      <c r="F107" s="1009"/>
      <c r="G107" s="1010"/>
      <c r="H107" s="1147">
        <f>'LF-Kano'!H41:K41</f>
        <v>2</v>
      </c>
      <c r="I107" s="1148"/>
      <c r="J107" s="1148"/>
      <c r="K107" s="1149"/>
      <c r="L107" s="1147">
        <f>'LF-Kano'!L41:O41</f>
        <v>3</v>
      </c>
      <c r="M107" s="1148"/>
      <c r="N107" s="1148"/>
      <c r="O107" s="1149"/>
      <c r="P107" s="1147">
        <f>'LF-Kano'!P41:S41</f>
        <v>2.8</v>
      </c>
      <c r="Q107" s="1148"/>
      <c r="R107" s="1148"/>
      <c r="S107" s="1149"/>
      <c r="T107" s="1147">
        <f>'LF-Kano'!T41:W41</f>
        <v>0</v>
      </c>
      <c r="U107" s="1148"/>
      <c r="V107" s="1148"/>
      <c r="W107" s="1149"/>
      <c r="X107" s="880"/>
    </row>
    <row r="108" spans="1:24" ht="13.5" thickBot="1">
      <c r="A108" s="885"/>
      <c r="B108" s="885"/>
      <c r="C108" s="100" t="s">
        <v>299</v>
      </c>
      <c r="D108" s="1008" t="s">
        <v>415</v>
      </c>
      <c r="E108" s="1009"/>
      <c r="F108" s="1009"/>
      <c r="G108" s="1010"/>
      <c r="H108" s="1147">
        <f>'LF-Lagos'!H41:K41</f>
        <v>3</v>
      </c>
      <c r="I108" s="1148"/>
      <c r="J108" s="1148"/>
      <c r="K108" s="1149"/>
      <c r="L108" s="1147">
        <f>'LF-Lagos'!L41:O41</f>
        <v>3</v>
      </c>
      <c r="M108" s="1148"/>
      <c r="N108" s="1148"/>
      <c r="O108" s="1149"/>
      <c r="P108" s="1147">
        <f>'LF-Lagos'!P41:S41</f>
        <v>3.5</v>
      </c>
      <c r="Q108" s="1148"/>
      <c r="R108" s="1148"/>
      <c r="S108" s="1149"/>
      <c r="T108" s="1147">
        <f>'LF-Lagos'!T41:W41</f>
        <v>0</v>
      </c>
      <c r="U108" s="1148"/>
      <c r="V108" s="1148"/>
      <c r="W108" s="1149"/>
      <c r="X108" s="880"/>
    </row>
    <row r="109" spans="1:24" ht="24.75" thickBot="1">
      <c r="A109" s="885"/>
      <c r="B109" s="885"/>
      <c r="C109" s="100" t="s">
        <v>300</v>
      </c>
      <c r="D109" s="1017"/>
      <c r="E109" s="1018"/>
      <c r="F109" s="1018"/>
      <c r="G109" s="1019"/>
      <c r="H109" s="1017"/>
      <c r="I109" s="1018"/>
      <c r="J109" s="1018"/>
      <c r="K109" s="1019"/>
      <c r="L109" s="1147">
        <f>'LF-Zamfara'!L41:O41</f>
        <v>1.5</v>
      </c>
      <c r="M109" s="1148"/>
      <c r="N109" s="1148"/>
      <c r="O109" s="1149"/>
      <c r="P109" s="1147">
        <f>'LF-Zamfara'!P41:S41</f>
        <v>2.2000000000000002</v>
      </c>
      <c r="Q109" s="1148"/>
      <c r="R109" s="1148"/>
      <c r="S109" s="1149"/>
      <c r="T109" s="1147">
        <f>'LF-Zamfara'!T41:W41</f>
        <v>0</v>
      </c>
      <c r="U109" s="1148"/>
      <c r="V109" s="1148"/>
      <c r="W109" s="1149"/>
      <c r="X109" s="880"/>
    </row>
    <row r="110" spans="1:24" ht="13.5" thickBot="1">
      <c r="A110" s="885"/>
      <c r="B110" s="885"/>
      <c r="C110" s="100" t="s">
        <v>301</v>
      </c>
      <c r="D110" s="1017"/>
      <c r="E110" s="1018"/>
      <c r="F110" s="1018"/>
      <c r="G110" s="1019"/>
      <c r="H110" s="1017"/>
      <c r="I110" s="1018"/>
      <c r="J110" s="1018"/>
      <c r="K110" s="1019"/>
      <c r="L110" s="1147">
        <f>'LF-Katsina'!L41:O41</f>
        <v>2.8</v>
      </c>
      <c r="M110" s="1148"/>
      <c r="N110" s="1148"/>
      <c r="O110" s="1149"/>
      <c r="P110" s="1147">
        <f>'LF-Katsina'!P41:S41</f>
        <v>2.2000000000000002</v>
      </c>
      <c r="Q110" s="1148"/>
      <c r="R110" s="1148"/>
      <c r="S110" s="1149"/>
      <c r="T110" s="1147">
        <f>'LF-Katsina'!T41:W41</f>
        <v>0</v>
      </c>
      <c r="U110" s="1148"/>
      <c r="V110" s="1148"/>
      <c r="W110" s="1149"/>
      <c r="X110" s="880"/>
    </row>
    <row r="111" spans="1:24" ht="13.5" thickBot="1">
      <c r="A111" s="885"/>
      <c r="B111" s="885"/>
      <c r="C111" s="100" t="s">
        <v>302</v>
      </c>
      <c r="D111" s="1017"/>
      <c r="E111" s="1018"/>
      <c r="F111" s="1018"/>
      <c r="G111" s="1019"/>
      <c r="H111" s="1017"/>
      <c r="I111" s="1018"/>
      <c r="J111" s="1018"/>
      <c r="K111" s="1019"/>
      <c r="L111" s="1147">
        <f>'LF-Yobe'!L41:O41</f>
        <v>2.2000000000000002</v>
      </c>
      <c r="M111" s="1148"/>
      <c r="N111" s="1148"/>
      <c r="O111" s="1149"/>
      <c r="P111" s="1147">
        <f>'LF-Yobe'!P41:S41</f>
        <v>2.5</v>
      </c>
      <c r="Q111" s="1148"/>
      <c r="R111" s="1148"/>
      <c r="S111" s="1149"/>
      <c r="T111" s="1147">
        <f>'LF-Yobe'!T41:W41</f>
        <v>0</v>
      </c>
      <c r="U111" s="1148"/>
      <c r="V111" s="1148"/>
      <c r="W111" s="1149"/>
      <c r="X111" s="880"/>
    </row>
    <row r="112" spans="1:24" ht="24.75" thickBot="1">
      <c r="A112" s="885"/>
      <c r="B112" s="885"/>
      <c r="C112" s="100" t="s">
        <v>303</v>
      </c>
      <c r="D112" s="1017"/>
      <c r="E112" s="1018"/>
      <c r="F112" s="1018"/>
      <c r="G112" s="1019"/>
      <c r="H112" s="1017"/>
      <c r="I112" s="1018"/>
      <c r="J112" s="1018"/>
      <c r="K112" s="1019"/>
      <c r="L112" s="1017"/>
      <c r="M112" s="1018"/>
      <c r="N112" s="1018"/>
      <c r="O112" s="1019"/>
      <c r="P112" s="1017"/>
      <c r="Q112" s="1018"/>
      <c r="R112" s="1018"/>
      <c r="S112" s="1019"/>
      <c r="T112" s="1147">
        <f>'LF-Anambra'!T41:W41</f>
        <v>0</v>
      </c>
      <c r="U112" s="1148"/>
      <c r="V112" s="1148"/>
      <c r="W112" s="1149"/>
      <c r="X112" s="880"/>
    </row>
    <row r="113" spans="1:24" ht="13.5" thickBot="1">
      <c r="A113" s="885"/>
      <c r="B113" s="885"/>
      <c r="C113" s="100" t="s">
        <v>304</v>
      </c>
      <c r="D113" s="1017"/>
      <c r="E113" s="1018"/>
      <c r="F113" s="1018"/>
      <c r="G113" s="1019"/>
      <c r="H113" s="1017"/>
      <c r="I113" s="1018"/>
      <c r="J113" s="1018"/>
      <c r="K113" s="1019"/>
      <c r="L113" s="1017"/>
      <c r="M113" s="1018"/>
      <c r="N113" s="1018"/>
      <c r="O113" s="1019"/>
      <c r="P113" s="1017"/>
      <c r="Q113" s="1018"/>
      <c r="R113" s="1018"/>
      <c r="S113" s="1019"/>
      <c r="T113" s="1147">
        <f>'LF-Niger'!T41:W41</f>
        <v>0</v>
      </c>
      <c r="U113" s="1148"/>
      <c r="V113" s="1148"/>
      <c r="W113" s="1149"/>
      <c r="X113" s="880"/>
    </row>
    <row r="114" spans="1:24" ht="13.5" thickBot="1">
      <c r="A114" s="885"/>
      <c r="B114" s="885"/>
      <c r="C114" s="922" t="s">
        <v>413</v>
      </c>
      <c r="D114" s="927" t="s">
        <v>4</v>
      </c>
      <c r="E114" s="928"/>
      <c r="F114" s="928"/>
      <c r="G114" s="928"/>
      <c r="H114" s="928"/>
      <c r="I114" s="928"/>
      <c r="J114" s="928"/>
      <c r="K114" s="928"/>
      <c r="L114" s="928"/>
      <c r="M114" s="928"/>
      <c r="N114" s="928"/>
      <c r="O114" s="928"/>
      <c r="P114" s="928"/>
      <c r="Q114" s="928"/>
      <c r="R114" s="928"/>
      <c r="S114" s="928"/>
      <c r="T114" s="928"/>
      <c r="U114" s="928"/>
      <c r="V114" s="928"/>
      <c r="W114" s="928"/>
      <c r="X114" s="880"/>
    </row>
    <row r="115" spans="1:24" ht="13.5" thickBot="1">
      <c r="A115" s="885"/>
      <c r="B115" s="869"/>
      <c r="C115" s="923"/>
      <c r="D115" s="930" t="s">
        <v>115</v>
      </c>
      <c r="E115" s="931"/>
      <c r="F115" s="931"/>
      <c r="G115" s="931"/>
      <c r="H115" s="931"/>
      <c r="I115" s="931"/>
      <c r="J115" s="931"/>
      <c r="K115" s="931"/>
      <c r="L115" s="931"/>
      <c r="M115" s="931"/>
      <c r="N115" s="931"/>
      <c r="O115" s="931"/>
      <c r="P115" s="931"/>
      <c r="Q115" s="931"/>
      <c r="R115" s="931"/>
      <c r="S115" s="931"/>
      <c r="T115" s="931"/>
      <c r="U115" s="931"/>
      <c r="V115" s="931"/>
      <c r="W115" s="932"/>
      <c r="X115" s="880"/>
    </row>
    <row r="116" spans="1:24" ht="13.5" thickBot="1">
      <c r="A116" s="885"/>
      <c r="B116" s="11" t="s">
        <v>23</v>
      </c>
      <c r="C116" s="12"/>
      <c r="D116" s="927" t="s">
        <v>78</v>
      </c>
      <c r="E116" s="928"/>
      <c r="F116" s="928"/>
      <c r="G116" s="929"/>
      <c r="H116" s="927" t="s">
        <v>77</v>
      </c>
      <c r="I116" s="928"/>
      <c r="J116" s="928"/>
      <c r="K116" s="929"/>
      <c r="L116" s="927" t="s">
        <v>81</v>
      </c>
      <c r="M116" s="928"/>
      <c r="N116" s="928"/>
      <c r="O116" s="929"/>
      <c r="P116" s="927" t="s">
        <v>254</v>
      </c>
      <c r="Q116" s="928"/>
      <c r="R116" s="928"/>
      <c r="S116" s="929"/>
      <c r="T116" s="927" t="s">
        <v>76</v>
      </c>
      <c r="U116" s="928"/>
      <c r="V116" s="928"/>
      <c r="W116" s="929"/>
      <c r="X116" s="880"/>
    </row>
    <row r="117" spans="1:24" ht="13.5" thickBot="1">
      <c r="A117" s="885"/>
      <c r="B117" s="868" t="s">
        <v>56</v>
      </c>
      <c r="C117" s="9" t="s">
        <v>285</v>
      </c>
      <c r="D117" s="942">
        <f>'LF-Enugu'!D45:G45</f>
        <v>1</v>
      </c>
      <c r="E117" s="943"/>
      <c r="F117" s="943"/>
      <c r="G117" s="944"/>
      <c r="H117" s="942">
        <f>'LF-Enugu'!H45:K45</f>
        <v>1</v>
      </c>
      <c r="I117" s="943"/>
      <c r="J117" s="943"/>
      <c r="K117" s="944"/>
      <c r="L117" s="942">
        <f>'LF-Enugu'!L45:O45</f>
        <v>1.25</v>
      </c>
      <c r="M117" s="943"/>
      <c r="N117" s="943"/>
      <c r="O117" s="944"/>
      <c r="P117" s="942">
        <f>'LF-Enugu'!P45:S45</f>
        <v>3</v>
      </c>
      <c r="Q117" s="943"/>
      <c r="R117" s="943"/>
      <c r="S117" s="944"/>
      <c r="T117" s="942">
        <f>'LF-Enugu'!T45:W45</f>
        <v>4</v>
      </c>
      <c r="U117" s="943"/>
      <c r="V117" s="943"/>
      <c r="W117" s="944"/>
      <c r="X117" s="880"/>
    </row>
    <row r="118" spans="1:24" ht="13.5" thickBot="1">
      <c r="A118" s="885"/>
      <c r="B118" s="885"/>
      <c r="C118" s="9" t="s">
        <v>286</v>
      </c>
      <c r="D118" s="942">
        <f>'LF-Jigawa'!D45:G45</f>
        <v>2.4</v>
      </c>
      <c r="E118" s="943"/>
      <c r="F118" s="943"/>
      <c r="G118" s="944"/>
      <c r="H118" s="942">
        <f>'LF-Jigawa'!H45:K45</f>
        <v>2.7</v>
      </c>
      <c r="I118" s="943"/>
      <c r="J118" s="943"/>
      <c r="K118" s="944"/>
      <c r="L118" s="942">
        <f>'LF-Jigawa'!L45:O45</f>
        <v>3</v>
      </c>
      <c r="M118" s="943"/>
      <c r="N118" s="943"/>
      <c r="O118" s="944"/>
      <c r="P118" s="963">
        <f>'LF-Jigawa'!P45:S45</f>
        <v>3.25</v>
      </c>
      <c r="Q118" s="964"/>
      <c r="R118" s="964"/>
      <c r="S118" s="965"/>
      <c r="T118" s="963">
        <f>'LF-Jigawa'!T45:W45</f>
        <v>4.3</v>
      </c>
      <c r="U118" s="964"/>
      <c r="V118" s="964"/>
      <c r="W118" s="965"/>
      <c r="X118" s="880"/>
    </row>
    <row r="119" spans="1:24" ht="13.5" thickBot="1">
      <c r="A119" s="885"/>
      <c r="B119" s="885"/>
      <c r="C119" s="9" t="s">
        <v>287</v>
      </c>
      <c r="D119" s="942">
        <f>'LF-Kaduna'!D45:G45</f>
        <v>2.2000000000000002</v>
      </c>
      <c r="E119" s="943"/>
      <c r="F119" s="943"/>
      <c r="G119" s="944"/>
      <c r="H119" s="942">
        <f>'LF-Kaduna'!H45:K45</f>
        <v>2.5</v>
      </c>
      <c r="I119" s="943"/>
      <c r="J119" s="943"/>
      <c r="K119" s="944"/>
      <c r="L119" s="942">
        <f>'LF-Kaduna'!L45:O45</f>
        <v>2.9</v>
      </c>
      <c r="M119" s="943"/>
      <c r="N119" s="943"/>
      <c r="O119" s="944"/>
      <c r="P119" s="963">
        <f>'LF-Kaduna'!P45:S45</f>
        <v>3.2</v>
      </c>
      <c r="Q119" s="964"/>
      <c r="R119" s="964"/>
      <c r="S119" s="965"/>
      <c r="T119" s="963">
        <f>'LF-Kaduna'!T45:W45</f>
        <v>4.3</v>
      </c>
      <c r="U119" s="964"/>
      <c r="V119" s="964"/>
      <c r="W119" s="965"/>
      <c r="X119" s="880"/>
    </row>
    <row r="120" spans="1:24" ht="13.5" thickBot="1">
      <c r="A120" s="885"/>
      <c r="B120" s="885"/>
      <c r="C120" s="9" t="s">
        <v>288</v>
      </c>
      <c r="D120" s="942">
        <f>'LF-Kano'!D45:G45</f>
        <v>2</v>
      </c>
      <c r="E120" s="943"/>
      <c r="F120" s="943"/>
      <c r="G120" s="944"/>
      <c r="H120" s="942">
        <f>'LF-Kano'!H45:K45</f>
        <v>2</v>
      </c>
      <c r="I120" s="943"/>
      <c r="J120" s="943"/>
      <c r="K120" s="944"/>
      <c r="L120" s="942">
        <f>'LF-Kano'!L45:O45</f>
        <v>3.5</v>
      </c>
      <c r="M120" s="943"/>
      <c r="N120" s="943"/>
      <c r="O120" s="944"/>
      <c r="P120" s="963">
        <f>'LF-Kano'!P45:S45</f>
        <v>3.8</v>
      </c>
      <c r="Q120" s="964"/>
      <c r="R120" s="964"/>
      <c r="S120" s="965"/>
      <c r="T120" s="963">
        <f>'LF-Kano'!T45:W45</f>
        <v>4</v>
      </c>
      <c r="U120" s="964"/>
      <c r="V120" s="964"/>
      <c r="W120" s="965"/>
      <c r="X120" s="880"/>
    </row>
    <row r="121" spans="1:24" ht="13.5" thickBot="1">
      <c r="A121" s="885"/>
      <c r="B121" s="885"/>
      <c r="C121" s="9" t="s">
        <v>289</v>
      </c>
      <c r="D121" s="942">
        <f>'LF-Lagos'!D45:G45</f>
        <v>2.2999999999999998</v>
      </c>
      <c r="E121" s="943"/>
      <c r="F121" s="943"/>
      <c r="G121" s="944"/>
      <c r="H121" s="942">
        <f>'LF-Lagos'!H45:K45</f>
        <v>3</v>
      </c>
      <c r="I121" s="943"/>
      <c r="J121" s="943"/>
      <c r="K121" s="944"/>
      <c r="L121" s="942">
        <f>'LF-Lagos'!L45:O45</f>
        <v>3.5</v>
      </c>
      <c r="M121" s="943"/>
      <c r="N121" s="943"/>
      <c r="O121" s="944"/>
      <c r="P121" s="963">
        <f>'LF-Lagos'!P45:S45</f>
        <v>3.5</v>
      </c>
      <c r="Q121" s="964"/>
      <c r="R121" s="964"/>
      <c r="S121" s="965"/>
      <c r="T121" s="963">
        <f>'LF-Lagos'!T45:W45</f>
        <v>4</v>
      </c>
      <c r="U121" s="964"/>
      <c r="V121" s="964"/>
      <c r="W121" s="965"/>
      <c r="X121" s="880"/>
    </row>
    <row r="122" spans="1:24" ht="13.5" thickBot="1">
      <c r="A122" s="885"/>
      <c r="B122" s="885"/>
      <c r="C122" s="9" t="s">
        <v>292</v>
      </c>
      <c r="D122" s="1051" t="s">
        <v>414</v>
      </c>
      <c r="E122" s="1052"/>
      <c r="F122" s="1052"/>
      <c r="G122" s="1053"/>
      <c r="H122" s="942">
        <f>'LF-Zamfara'!H45:K45</f>
        <v>1.6</v>
      </c>
      <c r="I122" s="943"/>
      <c r="J122" s="943"/>
      <c r="K122" s="944"/>
      <c r="L122" s="942">
        <f>'LF-Zamfara'!L45:O45</f>
        <v>1.6</v>
      </c>
      <c r="M122" s="943"/>
      <c r="N122" s="943"/>
      <c r="O122" s="944"/>
      <c r="P122" s="963">
        <f>'LF-Zamfara'!P45:S45</f>
        <v>1.9</v>
      </c>
      <c r="Q122" s="964"/>
      <c r="R122" s="964"/>
      <c r="S122" s="965"/>
      <c r="T122" s="963">
        <f>'LF-Zamfara'!T45:W45</f>
        <v>2.2999999999999998</v>
      </c>
      <c r="U122" s="964"/>
      <c r="V122" s="964"/>
      <c r="W122" s="965"/>
      <c r="X122" s="880"/>
    </row>
    <row r="123" spans="1:24" ht="13.5" thickBot="1">
      <c r="A123" s="885"/>
      <c r="B123" s="885"/>
      <c r="C123" s="9" t="s">
        <v>293</v>
      </c>
      <c r="D123" s="1051" t="s">
        <v>414</v>
      </c>
      <c r="E123" s="1052"/>
      <c r="F123" s="1052"/>
      <c r="G123" s="1053"/>
      <c r="H123" s="942">
        <f>'LF-Katsina'!H45:K45</f>
        <v>1.7</v>
      </c>
      <c r="I123" s="943"/>
      <c r="J123" s="943"/>
      <c r="K123" s="944"/>
      <c r="L123" s="942">
        <f>'LF-Katsina'!L45:O45</f>
        <v>1.7</v>
      </c>
      <c r="M123" s="943"/>
      <c r="N123" s="943"/>
      <c r="O123" s="944"/>
      <c r="P123" s="963">
        <f>'LF-Katsina'!P45:S45</f>
        <v>2</v>
      </c>
      <c r="Q123" s="964"/>
      <c r="R123" s="964"/>
      <c r="S123" s="965"/>
      <c r="T123" s="963">
        <f>'LF-Katsina'!T45:W45</f>
        <v>4</v>
      </c>
      <c r="U123" s="964"/>
      <c r="V123" s="964"/>
      <c r="W123" s="965"/>
      <c r="X123" s="880"/>
    </row>
    <row r="124" spans="1:24" ht="13.5" thickBot="1">
      <c r="A124" s="885"/>
      <c r="B124" s="885"/>
      <c r="C124" s="9" t="s">
        <v>294</v>
      </c>
      <c r="D124" s="1051" t="s">
        <v>414</v>
      </c>
      <c r="E124" s="1052"/>
      <c r="F124" s="1052"/>
      <c r="G124" s="1053"/>
      <c r="H124" s="942">
        <f>'LF-Yobe'!H45:K45</f>
        <v>1.5</v>
      </c>
      <c r="I124" s="943"/>
      <c r="J124" s="943"/>
      <c r="K124" s="944"/>
      <c r="L124" s="942">
        <f>'LF-Yobe'!L45:O45</f>
        <v>1.5</v>
      </c>
      <c r="M124" s="943"/>
      <c r="N124" s="943"/>
      <c r="O124" s="944"/>
      <c r="P124" s="942">
        <f>'LF-Yobe'!P45:S45</f>
        <v>1.8</v>
      </c>
      <c r="Q124" s="943"/>
      <c r="R124" s="943"/>
      <c r="S124" s="944"/>
      <c r="T124" s="942">
        <f>'LF-Yobe'!T45:W45</f>
        <v>2.5</v>
      </c>
      <c r="U124" s="943"/>
      <c r="V124" s="943"/>
      <c r="W124" s="944"/>
      <c r="X124" s="880"/>
    </row>
    <row r="125" spans="1:24" ht="12.95" customHeight="1" thickBot="1">
      <c r="A125" s="885"/>
      <c r="B125" s="885"/>
      <c r="C125" s="9" t="s">
        <v>290</v>
      </c>
      <c r="D125" s="957"/>
      <c r="E125" s="958"/>
      <c r="F125" s="958"/>
      <c r="G125" s="959"/>
      <c r="H125" s="1162"/>
      <c r="I125" s="1163"/>
      <c r="J125" s="1163"/>
      <c r="K125" s="1164"/>
      <c r="L125" s="1150" t="s">
        <v>909</v>
      </c>
      <c r="M125" s="1151"/>
      <c r="N125" s="1151"/>
      <c r="O125" s="1152"/>
      <c r="P125" s="942">
        <f>'LF-Anambra'!P45:S45</f>
        <v>2.2000000000000002</v>
      </c>
      <c r="Q125" s="943"/>
      <c r="R125" s="943"/>
      <c r="S125" s="944"/>
      <c r="T125" s="942">
        <f>'LF-Anambra'!T45:W45</f>
        <v>2.6</v>
      </c>
      <c r="U125" s="943"/>
      <c r="V125" s="943"/>
      <c r="W125" s="944"/>
      <c r="X125" s="880"/>
    </row>
    <row r="126" spans="1:24" ht="12.95" customHeight="1" thickBot="1">
      <c r="A126" s="885"/>
      <c r="B126" s="885"/>
      <c r="C126" s="9" t="s">
        <v>291</v>
      </c>
      <c r="D126" s="957"/>
      <c r="E126" s="958"/>
      <c r="F126" s="958"/>
      <c r="G126" s="959"/>
      <c r="H126" s="1162"/>
      <c r="I126" s="1163"/>
      <c r="J126" s="1163"/>
      <c r="K126" s="1164"/>
      <c r="L126" s="1150" t="s">
        <v>909</v>
      </c>
      <c r="M126" s="1151"/>
      <c r="N126" s="1151"/>
      <c r="O126" s="1152"/>
      <c r="P126" s="942">
        <f>'LF-Niger'!P45:S45</f>
        <v>2.2999999999999998</v>
      </c>
      <c r="Q126" s="943"/>
      <c r="R126" s="943"/>
      <c r="S126" s="944"/>
      <c r="T126" s="942">
        <f>'LF-Niger'!T45:W45</f>
        <v>2.8</v>
      </c>
      <c r="U126" s="943"/>
      <c r="V126" s="943"/>
      <c r="W126" s="944"/>
      <c r="X126" s="880"/>
    </row>
    <row r="127" spans="1:24" ht="13.5" thickBot="1">
      <c r="A127" s="885"/>
      <c r="B127" s="885"/>
      <c r="C127" s="100" t="s">
        <v>295</v>
      </c>
      <c r="D127" s="1008" t="s">
        <v>415</v>
      </c>
      <c r="E127" s="1009"/>
      <c r="F127" s="1009"/>
      <c r="G127" s="1010"/>
      <c r="H127" s="1147">
        <f>'LF-Enugu'!H46:K46</f>
        <v>3</v>
      </c>
      <c r="I127" s="1148"/>
      <c r="J127" s="1148"/>
      <c r="K127" s="1149"/>
      <c r="L127" s="1147">
        <f>'LF-Enugu'!L46:O46</f>
        <v>2.5</v>
      </c>
      <c r="M127" s="1148"/>
      <c r="N127" s="1148"/>
      <c r="O127" s="1149"/>
      <c r="P127" s="1147">
        <f>'LF-Enugu'!P46:S46</f>
        <v>3.3</v>
      </c>
      <c r="Q127" s="1148"/>
      <c r="R127" s="1148"/>
      <c r="S127" s="1149"/>
      <c r="T127" s="1147">
        <f>'LF-Enugu'!T46:W46</f>
        <v>0</v>
      </c>
      <c r="U127" s="1148"/>
      <c r="V127" s="1148"/>
      <c r="W127" s="1149"/>
      <c r="X127" s="880"/>
    </row>
    <row r="128" spans="1:24" ht="13.5" thickBot="1">
      <c r="A128" s="885"/>
      <c r="B128" s="885"/>
      <c r="C128" s="100" t="s">
        <v>296</v>
      </c>
      <c r="D128" s="1008" t="s">
        <v>415</v>
      </c>
      <c r="E128" s="1009"/>
      <c r="F128" s="1009"/>
      <c r="G128" s="1010"/>
      <c r="H128" s="1147">
        <f>'LF-Jigawa'!H46:K46</f>
        <v>2.8</v>
      </c>
      <c r="I128" s="1148"/>
      <c r="J128" s="1148"/>
      <c r="K128" s="1149"/>
      <c r="L128" s="1147">
        <f>'LF-Jigawa'!L46:O46</f>
        <v>2.8</v>
      </c>
      <c r="M128" s="1148"/>
      <c r="N128" s="1148"/>
      <c r="O128" s="1149"/>
      <c r="P128" s="1147">
        <f>'LF-Jigawa'!P46:S46</f>
        <v>4.0999999999999996</v>
      </c>
      <c r="Q128" s="1148"/>
      <c r="R128" s="1148"/>
      <c r="S128" s="1149"/>
      <c r="T128" s="1147">
        <f>'LF-Jigawa'!T46:W46</f>
        <v>0</v>
      </c>
      <c r="U128" s="1148"/>
      <c r="V128" s="1148"/>
      <c r="W128" s="1149"/>
      <c r="X128" s="880"/>
    </row>
    <row r="129" spans="1:24" ht="13.5" thickBot="1">
      <c r="A129" s="885"/>
      <c r="B129" s="885"/>
      <c r="C129" s="100" t="s">
        <v>297</v>
      </c>
      <c r="D129" s="1008" t="s">
        <v>415</v>
      </c>
      <c r="E129" s="1009"/>
      <c r="F129" s="1009"/>
      <c r="G129" s="1010"/>
      <c r="H129" s="1147">
        <f>'LF-Kaduna'!H46:K46</f>
        <v>3</v>
      </c>
      <c r="I129" s="1148"/>
      <c r="J129" s="1148"/>
      <c r="K129" s="1149"/>
      <c r="L129" s="1147">
        <f>'LF-Kaduna'!L46:O46</f>
        <v>3.1</v>
      </c>
      <c r="M129" s="1148"/>
      <c r="N129" s="1148"/>
      <c r="O129" s="1149"/>
      <c r="P129" s="1147">
        <f>'LF-Kaduna'!P46:S46</f>
        <v>3.3</v>
      </c>
      <c r="Q129" s="1148"/>
      <c r="R129" s="1148"/>
      <c r="S129" s="1149"/>
      <c r="T129" s="1147">
        <f>'LF-Kaduna'!T46:W46</f>
        <v>0</v>
      </c>
      <c r="U129" s="1148"/>
      <c r="V129" s="1148"/>
      <c r="W129" s="1149"/>
      <c r="X129" s="880"/>
    </row>
    <row r="130" spans="1:24" ht="13.5" thickBot="1">
      <c r="A130" s="885"/>
      <c r="B130" s="885"/>
      <c r="C130" s="100" t="s">
        <v>298</v>
      </c>
      <c r="D130" s="1008" t="s">
        <v>415</v>
      </c>
      <c r="E130" s="1009"/>
      <c r="F130" s="1009"/>
      <c r="G130" s="1010"/>
      <c r="H130" s="1147">
        <f>'LF-Kano'!H46:K46</f>
        <v>2</v>
      </c>
      <c r="I130" s="1148"/>
      <c r="J130" s="1148"/>
      <c r="K130" s="1149"/>
      <c r="L130" s="1147">
        <f>'LF-Kano'!L46:O46</f>
        <v>3.5</v>
      </c>
      <c r="M130" s="1148"/>
      <c r="N130" s="1148"/>
      <c r="O130" s="1149"/>
      <c r="P130" s="1147">
        <f>'LF-Kano'!P46:S46</f>
        <v>3.5</v>
      </c>
      <c r="Q130" s="1148"/>
      <c r="R130" s="1148"/>
      <c r="S130" s="1149"/>
      <c r="T130" s="1147">
        <f>'LF-Kano'!T46:W46</f>
        <v>0</v>
      </c>
      <c r="U130" s="1148"/>
      <c r="V130" s="1148"/>
      <c r="W130" s="1149"/>
      <c r="X130" s="880"/>
    </row>
    <row r="131" spans="1:24" ht="13.5" thickBot="1">
      <c r="A131" s="885"/>
      <c r="B131" s="885"/>
      <c r="C131" s="100" t="s">
        <v>299</v>
      </c>
      <c r="D131" s="1008" t="s">
        <v>415</v>
      </c>
      <c r="E131" s="1009"/>
      <c r="F131" s="1009"/>
      <c r="G131" s="1010"/>
      <c r="H131" s="1147">
        <f>'LF-Lagos'!H46:K46</f>
        <v>3</v>
      </c>
      <c r="I131" s="1148"/>
      <c r="J131" s="1148"/>
      <c r="K131" s="1149"/>
      <c r="L131" s="1147">
        <f>'LF-Lagos'!L46:O46</f>
        <v>2.9</v>
      </c>
      <c r="M131" s="1148"/>
      <c r="N131" s="1148"/>
      <c r="O131" s="1149"/>
      <c r="P131" s="1147">
        <f>'LF-Lagos'!P46:S46</f>
        <v>3.1</v>
      </c>
      <c r="Q131" s="1148"/>
      <c r="R131" s="1148"/>
      <c r="S131" s="1149"/>
      <c r="T131" s="1147">
        <f>'LF-Lagos'!T46:W46</f>
        <v>0</v>
      </c>
      <c r="U131" s="1148"/>
      <c r="V131" s="1148"/>
      <c r="W131" s="1149"/>
      <c r="X131" s="880"/>
    </row>
    <row r="132" spans="1:24" ht="24.75" thickBot="1">
      <c r="A132" s="885"/>
      <c r="B132" s="885"/>
      <c r="C132" s="100" t="s">
        <v>300</v>
      </c>
      <c r="D132" s="1017"/>
      <c r="E132" s="1018"/>
      <c r="F132" s="1018"/>
      <c r="G132" s="1019"/>
      <c r="H132" s="1017"/>
      <c r="I132" s="1018"/>
      <c r="J132" s="1018"/>
      <c r="K132" s="1019"/>
      <c r="L132" s="1147">
        <f>'LF-Zamfara'!L46:O46</f>
        <v>1.6</v>
      </c>
      <c r="M132" s="1148"/>
      <c r="N132" s="1148"/>
      <c r="O132" s="1149"/>
      <c r="P132" s="1147">
        <f>'LF-Zamfara'!P46:S46</f>
        <v>1.9</v>
      </c>
      <c r="Q132" s="1148"/>
      <c r="R132" s="1148"/>
      <c r="S132" s="1149"/>
      <c r="T132" s="1147">
        <f>'LF-Zamfara'!T46:W46</f>
        <v>0</v>
      </c>
      <c r="U132" s="1148"/>
      <c r="V132" s="1148"/>
      <c r="W132" s="1149"/>
      <c r="X132" s="880"/>
    </row>
    <row r="133" spans="1:24" ht="13.5" thickBot="1">
      <c r="A133" s="885"/>
      <c r="B133" s="885"/>
      <c r="C133" s="100" t="s">
        <v>301</v>
      </c>
      <c r="D133" s="1017"/>
      <c r="E133" s="1018"/>
      <c r="F133" s="1018"/>
      <c r="G133" s="1019"/>
      <c r="H133" s="1017"/>
      <c r="I133" s="1018"/>
      <c r="J133" s="1018"/>
      <c r="K133" s="1019"/>
      <c r="L133" s="1147">
        <f>'LF-Katsina'!L46:O46</f>
        <v>1.7</v>
      </c>
      <c r="M133" s="1148"/>
      <c r="N133" s="1148"/>
      <c r="O133" s="1149"/>
      <c r="P133" s="1147">
        <f>'LF-Katsina'!P46:S46</f>
        <v>2.5</v>
      </c>
      <c r="Q133" s="1148"/>
      <c r="R133" s="1148"/>
      <c r="S133" s="1149"/>
      <c r="T133" s="1147">
        <f>'LF-Katsina'!T46:W46</f>
        <v>0</v>
      </c>
      <c r="U133" s="1148"/>
      <c r="V133" s="1148"/>
      <c r="W133" s="1149"/>
      <c r="X133" s="880"/>
    </row>
    <row r="134" spans="1:24" ht="13.5" thickBot="1">
      <c r="A134" s="885"/>
      <c r="B134" s="885"/>
      <c r="C134" s="100" t="s">
        <v>302</v>
      </c>
      <c r="D134" s="1017"/>
      <c r="E134" s="1018"/>
      <c r="F134" s="1018"/>
      <c r="G134" s="1019"/>
      <c r="H134" s="1017"/>
      <c r="I134" s="1018"/>
      <c r="J134" s="1018"/>
      <c r="K134" s="1019"/>
      <c r="L134" s="1147">
        <f>'LF-Yobe'!L46:O46</f>
        <v>1.5</v>
      </c>
      <c r="M134" s="1148"/>
      <c r="N134" s="1148"/>
      <c r="O134" s="1149"/>
      <c r="P134" s="1147">
        <f>'LF-Yobe'!P46:S46</f>
        <v>2.2000000000000002</v>
      </c>
      <c r="Q134" s="1148"/>
      <c r="R134" s="1148"/>
      <c r="S134" s="1149"/>
      <c r="T134" s="1147">
        <f>'LF-Yobe'!T46:W46</f>
        <v>0</v>
      </c>
      <c r="U134" s="1148"/>
      <c r="V134" s="1148"/>
      <c r="W134" s="1149"/>
      <c r="X134" s="880"/>
    </row>
    <row r="135" spans="1:24" ht="24.75" thickBot="1">
      <c r="A135" s="885"/>
      <c r="B135" s="885"/>
      <c r="C135" s="100" t="s">
        <v>303</v>
      </c>
      <c r="D135" s="1017"/>
      <c r="E135" s="1018"/>
      <c r="F135" s="1018"/>
      <c r="G135" s="1019"/>
      <c r="H135" s="1017"/>
      <c r="I135" s="1018"/>
      <c r="J135" s="1018"/>
      <c r="K135" s="1019"/>
      <c r="L135" s="1017"/>
      <c r="M135" s="1018"/>
      <c r="N135" s="1018"/>
      <c r="O135" s="1019"/>
      <c r="P135" s="1017"/>
      <c r="Q135" s="1018"/>
      <c r="R135" s="1018"/>
      <c r="S135" s="1019"/>
      <c r="T135" s="1147">
        <f>'LF-Anambra'!T46:W46</f>
        <v>0</v>
      </c>
      <c r="U135" s="1148"/>
      <c r="V135" s="1148"/>
      <c r="W135" s="1149"/>
      <c r="X135" s="880"/>
    </row>
    <row r="136" spans="1:24" ht="13.5" thickBot="1">
      <c r="A136" s="885"/>
      <c r="B136" s="885"/>
      <c r="C136" s="100" t="s">
        <v>304</v>
      </c>
      <c r="D136" s="1017"/>
      <c r="E136" s="1018"/>
      <c r="F136" s="1018"/>
      <c r="G136" s="1019"/>
      <c r="H136" s="1017"/>
      <c r="I136" s="1018"/>
      <c r="J136" s="1018"/>
      <c r="K136" s="1019"/>
      <c r="L136" s="1017"/>
      <c r="M136" s="1018"/>
      <c r="N136" s="1018"/>
      <c r="O136" s="1019"/>
      <c r="P136" s="1017"/>
      <c r="Q136" s="1018"/>
      <c r="R136" s="1018"/>
      <c r="S136" s="1019"/>
      <c r="T136" s="1147">
        <f>'LF-Niger'!T46:W46</f>
        <v>0</v>
      </c>
      <c r="U136" s="1148"/>
      <c r="V136" s="1148"/>
      <c r="W136" s="1149"/>
      <c r="X136" s="880"/>
    </row>
    <row r="137" spans="1:24" ht="13.5" thickBot="1">
      <c r="A137" s="885"/>
      <c r="B137" s="885"/>
      <c r="C137" s="922" t="s">
        <v>413</v>
      </c>
      <c r="D137" s="927" t="s">
        <v>4</v>
      </c>
      <c r="E137" s="928"/>
      <c r="F137" s="928"/>
      <c r="G137" s="928"/>
      <c r="H137" s="928"/>
      <c r="I137" s="928"/>
      <c r="J137" s="928"/>
      <c r="K137" s="928"/>
      <c r="L137" s="928"/>
      <c r="M137" s="928"/>
      <c r="N137" s="928"/>
      <c r="O137" s="928"/>
      <c r="P137" s="928"/>
      <c r="Q137" s="928"/>
      <c r="R137" s="928"/>
      <c r="S137" s="928"/>
      <c r="T137" s="928"/>
      <c r="U137" s="928"/>
      <c r="V137" s="928"/>
      <c r="W137" s="928"/>
      <c r="X137" s="880"/>
    </row>
    <row r="138" spans="1:24" ht="13.5" thickBot="1">
      <c r="A138" s="885"/>
      <c r="B138" s="869"/>
      <c r="C138" s="923"/>
      <c r="D138" s="930" t="s">
        <v>115</v>
      </c>
      <c r="E138" s="931"/>
      <c r="F138" s="931"/>
      <c r="G138" s="931"/>
      <c r="H138" s="931"/>
      <c r="I138" s="931"/>
      <c r="J138" s="931"/>
      <c r="K138" s="931"/>
      <c r="L138" s="931"/>
      <c r="M138" s="931"/>
      <c r="N138" s="931"/>
      <c r="O138" s="931"/>
      <c r="P138" s="931"/>
      <c r="Q138" s="931"/>
      <c r="R138" s="931"/>
      <c r="S138" s="931"/>
      <c r="T138" s="931"/>
      <c r="U138" s="931"/>
      <c r="V138" s="931"/>
      <c r="W138" s="932"/>
      <c r="X138" s="880"/>
    </row>
    <row r="139" spans="1:24" ht="13.5" thickBot="1">
      <c r="A139" s="885"/>
      <c r="B139" s="11" t="s">
        <v>38</v>
      </c>
      <c r="C139" s="12"/>
      <c r="D139" s="927" t="s">
        <v>78</v>
      </c>
      <c r="E139" s="928"/>
      <c r="F139" s="928"/>
      <c r="G139" s="929"/>
      <c r="H139" s="927" t="s">
        <v>77</v>
      </c>
      <c r="I139" s="928"/>
      <c r="J139" s="928"/>
      <c r="K139" s="929"/>
      <c r="L139" s="927" t="s">
        <v>81</v>
      </c>
      <c r="M139" s="928"/>
      <c r="N139" s="928"/>
      <c r="O139" s="929"/>
      <c r="P139" s="927" t="s">
        <v>254</v>
      </c>
      <c r="Q139" s="928"/>
      <c r="R139" s="928"/>
      <c r="S139" s="929"/>
      <c r="T139" s="927" t="s">
        <v>76</v>
      </c>
      <c r="U139" s="928"/>
      <c r="V139" s="928"/>
      <c r="W139" s="929"/>
      <c r="X139" s="880"/>
    </row>
    <row r="140" spans="1:24" ht="13.5" thickBot="1">
      <c r="A140" s="885"/>
      <c r="B140" s="868" t="s">
        <v>155</v>
      </c>
      <c r="C140" s="9" t="s">
        <v>285</v>
      </c>
      <c r="D140" s="933" t="s">
        <v>171</v>
      </c>
      <c r="E140" s="934"/>
      <c r="F140" s="934"/>
      <c r="G140" s="935"/>
      <c r="H140" s="1051" t="s">
        <v>256</v>
      </c>
      <c r="I140" s="1052"/>
      <c r="J140" s="1052"/>
      <c r="K140" s="1053"/>
      <c r="L140" s="942">
        <f>'LF-Enugu'!L50:O50</f>
        <v>2.9</v>
      </c>
      <c r="M140" s="943"/>
      <c r="N140" s="943"/>
      <c r="O140" s="944"/>
      <c r="P140" s="942">
        <f>'LF-Enugu'!P50:S50</f>
        <v>3</v>
      </c>
      <c r="Q140" s="943"/>
      <c r="R140" s="943"/>
      <c r="S140" s="944"/>
      <c r="T140" s="942">
        <f>'LF-Enugu'!T50:W50</f>
        <v>4</v>
      </c>
      <c r="U140" s="943"/>
      <c r="V140" s="943"/>
      <c r="W140" s="944"/>
      <c r="X140" s="880"/>
    </row>
    <row r="141" spans="1:24" ht="13.5" thickBot="1">
      <c r="A141" s="885"/>
      <c r="B141" s="885"/>
      <c r="C141" s="9" t="s">
        <v>286</v>
      </c>
      <c r="D141" s="957"/>
      <c r="E141" s="958"/>
      <c r="F141" s="958"/>
      <c r="G141" s="959"/>
      <c r="H141" s="1051" t="s">
        <v>256</v>
      </c>
      <c r="I141" s="1052"/>
      <c r="J141" s="1052"/>
      <c r="K141" s="1053"/>
      <c r="L141" s="942">
        <f>'LF-Jigawa'!L50:O50</f>
        <v>3.4</v>
      </c>
      <c r="M141" s="943"/>
      <c r="N141" s="943"/>
      <c r="O141" s="944"/>
      <c r="P141" s="942">
        <f>'LF-Jigawa'!P50:S50</f>
        <v>3.6</v>
      </c>
      <c r="Q141" s="943"/>
      <c r="R141" s="943"/>
      <c r="S141" s="944"/>
      <c r="T141" s="942">
        <f>'LF-Jigawa'!T50:W50</f>
        <v>3.7</v>
      </c>
      <c r="U141" s="943"/>
      <c r="V141" s="943"/>
      <c r="W141" s="944"/>
      <c r="X141" s="880"/>
    </row>
    <row r="142" spans="1:24" ht="13.5" thickBot="1">
      <c r="A142" s="885"/>
      <c r="B142" s="885"/>
      <c r="C142" s="9" t="s">
        <v>287</v>
      </c>
      <c r="D142" s="957"/>
      <c r="E142" s="958"/>
      <c r="F142" s="958"/>
      <c r="G142" s="959"/>
      <c r="H142" s="1051" t="s">
        <v>256</v>
      </c>
      <c r="I142" s="1052"/>
      <c r="J142" s="1052"/>
      <c r="K142" s="1053"/>
      <c r="L142" s="942">
        <f>'LF-Kaduna'!L50:O50</f>
        <v>3.3</v>
      </c>
      <c r="M142" s="943"/>
      <c r="N142" s="943"/>
      <c r="O142" s="944"/>
      <c r="P142" s="942">
        <f>'LF-Kaduna'!P50:S50</f>
        <v>3.5</v>
      </c>
      <c r="Q142" s="943"/>
      <c r="R142" s="943"/>
      <c r="S142" s="944"/>
      <c r="T142" s="942">
        <f>'LF-Kaduna'!T50:W50</f>
        <v>3.9</v>
      </c>
      <c r="U142" s="943"/>
      <c r="V142" s="943"/>
      <c r="W142" s="944"/>
      <c r="X142" s="880"/>
    </row>
    <row r="143" spans="1:24" ht="13.5" thickBot="1">
      <c r="A143" s="885"/>
      <c r="B143" s="885"/>
      <c r="C143" s="9" t="s">
        <v>288</v>
      </c>
      <c r="D143" s="957"/>
      <c r="E143" s="958"/>
      <c r="F143" s="958"/>
      <c r="G143" s="959"/>
      <c r="H143" s="1051" t="s">
        <v>256</v>
      </c>
      <c r="I143" s="1052"/>
      <c r="J143" s="1052"/>
      <c r="K143" s="1053"/>
      <c r="L143" s="942">
        <f>'LF-Kano'!L50:O50</f>
        <v>2.8</v>
      </c>
      <c r="M143" s="943"/>
      <c r="N143" s="943"/>
      <c r="O143" s="944"/>
      <c r="P143" s="963">
        <f>'LF-Kano'!P50:S50</f>
        <v>3.2</v>
      </c>
      <c r="Q143" s="964"/>
      <c r="R143" s="964"/>
      <c r="S143" s="965"/>
      <c r="T143" s="963">
        <f>'LF-Kano'!T50:W50</f>
        <v>4</v>
      </c>
      <c r="U143" s="964"/>
      <c r="V143" s="964"/>
      <c r="W143" s="965"/>
      <c r="X143" s="880"/>
    </row>
    <row r="144" spans="1:24" ht="13.5" thickBot="1">
      <c r="A144" s="885"/>
      <c r="B144" s="885"/>
      <c r="C144" s="9" t="s">
        <v>289</v>
      </c>
      <c r="D144" s="957"/>
      <c r="E144" s="958"/>
      <c r="F144" s="958"/>
      <c r="G144" s="959"/>
      <c r="H144" s="1051" t="s">
        <v>256</v>
      </c>
      <c r="I144" s="1052"/>
      <c r="J144" s="1052"/>
      <c r="K144" s="1053"/>
      <c r="L144" s="942">
        <f>'LF-Lagos'!L50:O50</f>
        <v>2.5</v>
      </c>
      <c r="M144" s="943"/>
      <c r="N144" s="943"/>
      <c r="O144" s="944"/>
      <c r="P144" s="963">
        <f>'LF-Lagos'!P50:S50</f>
        <v>2.75</v>
      </c>
      <c r="Q144" s="964"/>
      <c r="R144" s="964"/>
      <c r="S144" s="965"/>
      <c r="T144" s="963">
        <f>'LF-Lagos'!T50:W50</f>
        <v>3.3</v>
      </c>
      <c r="U144" s="964"/>
      <c r="V144" s="964"/>
      <c r="W144" s="965"/>
      <c r="X144" s="880"/>
    </row>
    <row r="145" spans="1:24" ht="13.5" thickBot="1">
      <c r="A145" s="885"/>
      <c r="B145" s="885"/>
      <c r="C145" s="9" t="s">
        <v>292</v>
      </c>
      <c r="D145" s="957"/>
      <c r="E145" s="958"/>
      <c r="F145" s="958"/>
      <c r="G145" s="959"/>
      <c r="H145" s="1051" t="s">
        <v>256</v>
      </c>
      <c r="I145" s="1052"/>
      <c r="J145" s="1052"/>
      <c r="K145" s="1053"/>
      <c r="L145" s="942">
        <f>'LF-Zamfara'!L50:O50</f>
        <v>2.6</v>
      </c>
      <c r="M145" s="943"/>
      <c r="N145" s="943"/>
      <c r="O145" s="944"/>
      <c r="P145" s="963">
        <f>'LF-Zamfara'!P50:S50</f>
        <v>2.9</v>
      </c>
      <c r="Q145" s="964"/>
      <c r="R145" s="964"/>
      <c r="S145" s="965"/>
      <c r="T145" s="963">
        <f>'LF-Zamfara'!T50:W50</f>
        <v>3.5</v>
      </c>
      <c r="U145" s="964"/>
      <c r="V145" s="964"/>
      <c r="W145" s="965"/>
      <c r="X145" s="880"/>
    </row>
    <row r="146" spans="1:24" ht="13.5" thickBot="1">
      <c r="A146" s="885"/>
      <c r="B146" s="885"/>
      <c r="C146" s="9" t="s">
        <v>293</v>
      </c>
      <c r="D146" s="957"/>
      <c r="E146" s="958"/>
      <c r="F146" s="958"/>
      <c r="G146" s="959"/>
      <c r="H146" s="1051" t="s">
        <v>256</v>
      </c>
      <c r="I146" s="1052"/>
      <c r="J146" s="1052"/>
      <c r="K146" s="1053"/>
      <c r="L146" s="942">
        <f>'LF-Katsina'!L50:O50</f>
        <v>2.7</v>
      </c>
      <c r="M146" s="943"/>
      <c r="N146" s="943"/>
      <c r="O146" s="944"/>
      <c r="P146" s="963">
        <f>'LF-Katsina'!P50:S50</f>
        <v>3</v>
      </c>
      <c r="Q146" s="964"/>
      <c r="R146" s="964"/>
      <c r="S146" s="965"/>
      <c r="T146" s="963">
        <f>'LF-Katsina'!T50:W50</f>
        <v>4</v>
      </c>
      <c r="U146" s="964"/>
      <c r="V146" s="964"/>
      <c r="W146" s="965"/>
      <c r="X146" s="880"/>
    </row>
    <row r="147" spans="1:24" ht="13.5" thickBot="1">
      <c r="A147" s="885"/>
      <c r="B147" s="885"/>
      <c r="C147" s="9" t="s">
        <v>294</v>
      </c>
      <c r="D147" s="957"/>
      <c r="E147" s="958"/>
      <c r="F147" s="958"/>
      <c r="G147" s="959"/>
      <c r="H147" s="1051" t="s">
        <v>256</v>
      </c>
      <c r="I147" s="1052"/>
      <c r="J147" s="1052"/>
      <c r="K147" s="1053"/>
      <c r="L147" s="942">
        <f>'LF-Yobe'!L50:O50</f>
        <v>2.5</v>
      </c>
      <c r="M147" s="943"/>
      <c r="N147" s="943"/>
      <c r="O147" s="944"/>
      <c r="P147" s="963">
        <f>'LF-Yobe'!P50:S50</f>
        <v>2.8</v>
      </c>
      <c r="Q147" s="964"/>
      <c r="R147" s="964"/>
      <c r="S147" s="965"/>
      <c r="T147" s="963">
        <f>'LF-Yobe'!T50:W50</f>
        <v>3</v>
      </c>
      <c r="U147" s="964"/>
      <c r="V147" s="964"/>
      <c r="W147" s="965"/>
      <c r="X147" s="880"/>
    </row>
    <row r="148" spans="1:24" ht="12.95" customHeight="1" thickBot="1">
      <c r="A148" s="885"/>
      <c r="B148" s="885"/>
      <c r="C148" s="9" t="s">
        <v>290</v>
      </c>
      <c r="D148" s="957"/>
      <c r="E148" s="958"/>
      <c r="F148" s="958"/>
      <c r="G148" s="959"/>
      <c r="H148" s="1162"/>
      <c r="I148" s="1163"/>
      <c r="J148" s="1163"/>
      <c r="K148" s="1164"/>
      <c r="L148" s="1150" t="s">
        <v>909</v>
      </c>
      <c r="M148" s="1151"/>
      <c r="N148" s="1151"/>
      <c r="O148" s="1152"/>
      <c r="P148" s="942">
        <f>'LF-Anambra'!P50:S50</f>
        <v>3.1</v>
      </c>
      <c r="Q148" s="943"/>
      <c r="R148" s="943"/>
      <c r="S148" s="944"/>
      <c r="T148" s="942">
        <f>'LF-Anambra'!T50:W50</f>
        <v>3.2</v>
      </c>
      <c r="U148" s="943"/>
      <c r="V148" s="943"/>
      <c r="W148" s="944"/>
      <c r="X148" s="880"/>
    </row>
    <row r="149" spans="1:24" ht="12.95" customHeight="1" thickBot="1">
      <c r="A149" s="885"/>
      <c r="B149" s="885"/>
      <c r="C149" s="9" t="s">
        <v>291</v>
      </c>
      <c r="D149" s="957"/>
      <c r="E149" s="958"/>
      <c r="F149" s="958"/>
      <c r="G149" s="959"/>
      <c r="H149" s="1162"/>
      <c r="I149" s="1163"/>
      <c r="J149" s="1163"/>
      <c r="K149" s="1164"/>
      <c r="L149" s="1150" t="s">
        <v>909</v>
      </c>
      <c r="M149" s="1151"/>
      <c r="N149" s="1151"/>
      <c r="O149" s="1152"/>
      <c r="P149" s="942">
        <f>'LF-Niger'!P50:S50</f>
        <v>2.9</v>
      </c>
      <c r="Q149" s="943"/>
      <c r="R149" s="943"/>
      <c r="S149" s="944"/>
      <c r="T149" s="942">
        <f>'LF-Niger'!T50:W50</f>
        <v>3.2</v>
      </c>
      <c r="U149" s="943"/>
      <c r="V149" s="943"/>
      <c r="W149" s="944"/>
      <c r="X149" s="880"/>
    </row>
    <row r="150" spans="1:24" ht="13.5" thickBot="1">
      <c r="A150" s="885"/>
      <c r="B150" s="885"/>
      <c r="C150" s="100" t="s">
        <v>295</v>
      </c>
      <c r="D150" s="1017"/>
      <c r="E150" s="1018"/>
      <c r="F150" s="1018"/>
      <c r="G150" s="1019"/>
      <c r="H150" s="1017"/>
      <c r="I150" s="1018"/>
      <c r="J150" s="1018"/>
      <c r="K150" s="1019"/>
      <c r="L150" s="1017"/>
      <c r="M150" s="1018"/>
      <c r="N150" s="1018"/>
      <c r="O150" s="1019"/>
      <c r="P150" s="1147">
        <f>'LF-Enugu'!P51:S51</f>
        <v>3.5</v>
      </c>
      <c r="Q150" s="1148"/>
      <c r="R150" s="1148"/>
      <c r="S150" s="1149"/>
      <c r="T150" s="1147">
        <f>'LF-Enugu'!T51:W51</f>
        <v>0</v>
      </c>
      <c r="U150" s="1148"/>
      <c r="V150" s="1148"/>
      <c r="W150" s="1149"/>
      <c r="X150" s="880"/>
    </row>
    <row r="151" spans="1:24" ht="13.5" thickBot="1">
      <c r="A151" s="885"/>
      <c r="B151" s="885"/>
      <c r="C151" s="100" t="s">
        <v>296</v>
      </c>
      <c r="D151" s="1017"/>
      <c r="E151" s="1018"/>
      <c r="F151" s="1018"/>
      <c r="G151" s="1019"/>
      <c r="H151" s="1017"/>
      <c r="I151" s="1018"/>
      <c r="J151" s="1018"/>
      <c r="K151" s="1019"/>
      <c r="L151" s="1017"/>
      <c r="M151" s="1018"/>
      <c r="N151" s="1018"/>
      <c r="O151" s="1019"/>
      <c r="P151" s="1147">
        <f>'LF-Jigawa'!P51:S51</f>
        <v>3.4</v>
      </c>
      <c r="Q151" s="1148"/>
      <c r="R151" s="1148"/>
      <c r="S151" s="1149"/>
      <c r="T151" s="1147">
        <f>'LF-Jigawa'!T51:W51</f>
        <v>0</v>
      </c>
      <c r="U151" s="1148"/>
      <c r="V151" s="1148"/>
      <c r="W151" s="1149"/>
      <c r="X151" s="880"/>
    </row>
    <row r="152" spans="1:24" ht="13.5" thickBot="1">
      <c r="A152" s="885"/>
      <c r="B152" s="885"/>
      <c r="C152" s="100" t="s">
        <v>297</v>
      </c>
      <c r="D152" s="1017"/>
      <c r="E152" s="1018"/>
      <c r="F152" s="1018"/>
      <c r="G152" s="1019"/>
      <c r="H152" s="1017"/>
      <c r="I152" s="1018"/>
      <c r="J152" s="1018"/>
      <c r="K152" s="1019"/>
      <c r="L152" s="1017"/>
      <c r="M152" s="1018"/>
      <c r="N152" s="1018"/>
      <c r="O152" s="1019"/>
      <c r="P152" s="1147">
        <f>'LF-Kaduna'!P51:S51</f>
        <v>3.4</v>
      </c>
      <c r="Q152" s="1148"/>
      <c r="R152" s="1148"/>
      <c r="S152" s="1149"/>
      <c r="T152" s="1147">
        <f>'LF-Kaduna'!T51:W51</f>
        <v>0</v>
      </c>
      <c r="U152" s="1148"/>
      <c r="V152" s="1148"/>
      <c r="W152" s="1149"/>
      <c r="X152" s="880"/>
    </row>
    <row r="153" spans="1:24" ht="13.5" thickBot="1">
      <c r="A153" s="885"/>
      <c r="B153" s="885"/>
      <c r="C153" s="100" t="s">
        <v>298</v>
      </c>
      <c r="D153" s="1017"/>
      <c r="E153" s="1018"/>
      <c r="F153" s="1018"/>
      <c r="G153" s="1019"/>
      <c r="H153" s="1017"/>
      <c r="I153" s="1018"/>
      <c r="J153" s="1018"/>
      <c r="K153" s="1019"/>
      <c r="L153" s="1017"/>
      <c r="M153" s="1018"/>
      <c r="N153" s="1018"/>
      <c r="O153" s="1019"/>
      <c r="P153" s="1147">
        <f>'LF-Kano'!P51:S51</f>
        <v>3.7</v>
      </c>
      <c r="Q153" s="1148"/>
      <c r="R153" s="1148"/>
      <c r="S153" s="1149"/>
      <c r="T153" s="1147">
        <f>'LF-Kano'!T51:W51</f>
        <v>0</v>
      </c>
      <c r="U153" s="1148"/>
      <c r="V153" s="1148"/>
      <c r="W153" s="1149"/>
      <c r="X153" s="880"/>
    </row>
    <row r="154" spans="1:24" ht="13.5" thickBot="1">
      <c r="A154" s="885"/>
      <c r="B154" s="885"/>
      <c r="C154" s="100" t="s">
        <v>299</v>
      </c>
      <c r="D154" s="1017"/>
      <c r="E154" s="1018"/>
      <c r="F154" s="1018"/>
      <c r="G154" s="1019"/>
      <c r="H154" s="1017"/>
      <c r="I154" s="1018"/>
      <c r="J154" s="1018"/>
      <c r="K154" s="1019"/>
      <c r="L154" s="1017"/>
      <c r="M154" s="1018"/>
      <c r="N154" s="1018"/>
      <c r="O154" s="1019"/>
      <c r="P154" s="1147">
        <f>'LF-Lagos'!P51:S51</f>
        <v>3.3</v>
      </c>
      <c r="Q154" s="1148"/>
      <c r="R154" s="1148"/>
      <c r="S154" s="1149"/>
      <c r="T154" s="1147">
        <f>'LF-Lagos'!T51:W51</f>
        <v>0</v>
      </c>
      <c r="U154" s="1148"/>
      <c r="V154" s="1148"/>
      <c r="W154" s="1149"/>
      <c r="X154" s="880"/>
    </row>
    <row r="155" spans="1:24" ht="24.75" thickBot="1">
      <c r="A155" s="885"/>
      <c r="B155" s="885"/>
      <c r="C155" s="100" t="s">
        <v>300</v>
      </c>
      <c r="D155" s="1017"/>
      <c r="E155" s="1018"/>
      <c r="F155" s="1018"/>
      <c r="G155" s="1019"/>
      <c r="H155" s="1017"/>
      <c r="I155" s="1018"/>
      <c r="J155" s="1018"/>
      <c r="K155" s="1019"/>
      <c r="L155" s="1017"/>
      <c r="M155" s="1018"/>
      <c r="N155" s="1018"/>
      <c r="O155" s="1019"/>
      <c r="P155" s="1147">
        <f>'LF-Zamfara'!P51:S51</f>
        <v>2.2999999999999998</v>
      </c>
      <c r="Q155" s="1148"/>
      <c r="R155" s="1148"/>
      <c r="S155" s="1149"/>
      <c r="T155" s="1147">
        <f>'LF-Zamfara'!T51:W51</f>
        <v>0</v>
      </c>
      <c r="U155" s="1148"/>
      <c r="V155" s="1148"/>
      <c r="W155" s="1149"/>
      <c r="X155" s="880"/>
    </row>
    <row r="156" spans="1:24" ht="13.5" thickBot="1">
      <c r="A156" s="885"/>
      <c r="B156" s="885"/>
      <c r="C156" s="100" t="s">
        <v>301</v>
      </c>
      <c r="D156" s="1017"/>
      <c r="E156" s="1018"/>
      <c r="F156" s="1018"/>
      <c r="G156" s="1019"/>
      <c r="H156" s="1017"/>
      <c r="I156" s="1018"/>
      <c r="J156" s="1018"/>
      <c r="K156" s="1019"/>
      <c r="L156" s="1017"/>
      <c r="M156" s="1018"/>
      <c r="N156" s="1018"/>
      <c r="O156" s="1019"/>
      <c r="P156" s="1147">
        <f>'LF-Katsina'!P51:S51</f>
        <v>3.1</v>
      </c>
      <c r="Q156" s="1148"/>
      <c r="R156" s="1148"/>
      <c r="S156" s="1149"/>
      <c r="T156" s="1147">
        <f>'LF-Katsina'!T51:W51</f>
        <v>0</v>
      </c>
      <c r="U156" s="1148"/>
      <c r="V156" s="1148"/>
      <c r="W156" s="1149"/>
      <c r="X156" s="880"/>
    </row>
    <row r="157" spans="1:24" ht="13.5" thickBot="1">
      <c r="A157" s="885"/>
      <c r="B157" s="885"/>
      <c r="C157" s="100" t="s">
        <v>302</v>
      </c>
      <c r="D157" s="1017"/>
      <c r="E157" s="1018"/>
      <c r="F157" s="1018"/>
      <c r="G157" s="1019"/>
      <c r="H157" s="1017"/>
      <c r="I157" s="1018"/>
      <c r="J157" s="1018"/>
      <c r="K157" s="1019"/>
      <c r="L157" s="1017"/>
      <c r="M157" s="1018"/>
      <c r="N157" s="1018"/>
      <c r="O157" s="1019"/>
      <c r="P157" s="1147">
        <f>'LF-Yobe'!P51:S51</f>
        <v>2.9</v>
      </c>
      <c r="Q157" s="1148"/>
      <c r="R157" s="1148"/>
      <c r="S157" s="1149"/>
      <c r="T157" s="1147">
        <f>'LF-Yobe'!T51:W51</f>
        <v>0</v>
      </c>
      <c r="U157" s="1148"/>
      <c r="V157" s="1148"/>
      <c r="W157" s="1149"/>
      <c r="X157" s="880"/>
    </row>
    <row r="158" spans="1:24" ht="24.75" thickBot="1">
      <c r="A158" s="885"/>
      <c r="B158" s="885"/>
      <c r="C158" s="100" t="s">
        <v>303</v>
      </c>
      <c r="D158" s="1017"/>
      <c r="E158" s="1018"/>
      <c r="F158" s="1018"/>
      <c r="G158" s="1019"/>
      <c r="H158" s="1017"/>
      <c r="I158" s="1018"/>
      <c r="J158" s="1018"/>
      <c r="K158" s="1019"/>
      <c r="L158" s="1017"/>
      <c r="M158" s="1018"/>
      <c r="N158" s="1018"/>
      <c r="O158" s="1019"/>
      <c r="P158" s="1017"/>
      <c r="Q158" s="1018"/>
      <c r="R158" s="1018"/>
      <c r="S158" s="1019"/>
      <c r="T158" s="1147">
        <f>'LF-Anambra'!T51:W51</f>
        <v>0</v>
      </c>
      <c r="U158" s="1148"/>
      <c r="V158" s="1148"/>
      <c r="W158" s="1149"/>
      <c r="X158" s="880"/>
    </row>
    <row r="159" spans="1:24" ht="13.5" thickBot="1">
      <c r="A159" s="885"/>
      <c r="B159" s="885"/>
      <c r="C159" s="100" t="s">
        <v>304</v>
      </c>
      <c r="D159" s="1017"/>
      <c r="E159" s="1018"/>
      <c r="F159" s="1018"/>
      <c r="G159" s="1019"/>
      <c r="H159" s="1017"/>
      <c r="I159" s="1018"/>
      <c r="J159" s="1018"/>
      <c r="K159" s="1019"/>
      <c r="L159" s="1017"/>
      <c r="M159" s="1018"/>
      <c r="N159" s="1018"/>
      <c r="O159" s="1019"/>
      <c r="P159" s="1017"/>
      <c r="Q159" s="1018"/>
      <c r="R159" s="1018"/>
      <c r="S159" s="1019"/>
      <c r="T159" s="1147">
        <f>'LF-Niger'!T51:W51</f>
        <v>0</v>
      </c>
      <c r="U159" s="1148"/>
      <c r="V159" s="1148"/>
      <c r="W159" s="1149"/>
      <c r="X159" s="880"/>
    </row>
    <row r="160" spans="1:24" ht="13.5" thickBot="1">
      <c r="A160" s="885"/>
      <c r="B160" s="885"/>
      <c r="C160" s="922" t="s">
        <v>413</v>
      </c>
      <c r="D160" s="927" t="s">
        <v>4</v>
      </c>
      <c r="E160" s="928"/>
      <c r="F160" s="928"/>
      <c r="G160" s="928"/>
      <c r="H160" s="928"/>
      <c r="I160" s="928"/>
      <c r="J160" s="928"/>
      <c r="K160" s="928"/>
      <c r="L160" s="928"/>
      <c r="M160" s="928"/>
      <c r="N160" s="928"/>
      <c r="O160" s="928"/>
      <c r="P160" s="928"/>
      <c r="Q160" s="928"/>
      <c r="R160" s="928"/>
      <c r="S160" s="928"/>
      <c r="T160" s="928"/>
      <c r="U160" s="928"/>
      <c r="V160" s="928"/>
      <c r="W160" s="928"/>
      <c r="X160" s="880"/>
    </row>
    <row r="161" spans="1:24" ht="13.5" thickBot="1">
      <c r="A161" s="885"/>
      <c r="B161" s="869"/>
      <c r="C161" s="923"/>
      <c r="D161" s="930" t="s">
        <v>115</v>
      </c>
      <c r="E161" s="931"/>
      <c r="F161" s="931"/>
      <c r="G161" s="931"/>
      <c r="H161" s="931"/>
      <c r="I161" s="931"/>
      <c r="J161" s="931"/>
      <c r="K161" s="931"/>
      <c r="L161" s="931"/>
      <c r="M161" s="931"/>
      <c r="N161" s="931"/>
      <c r="O161" s="931"/>
      <c r="P161" s="931"/>
      <c r="Q161" s="931"/>
      <c r="R161" s="931"/>
      <c r="S161" s="931"/>
      <c r="T161" s="931"/>
      <c r="U161" s="931"/>
      <c r="V161" s="931"/>
      <c r="W161" s="932"/>
      <c r="X161" s="880"/>
    </row>
    <row r="162" spans="1:24" ht="13.5" thickBot="1">
      <c r="A162" s="885"/>
      <c r="B162" s="11" t="s">
        <v>39</v>
      </c>
      <c r="C162" s="12"/>
      <c r="D162" s="927" t="s">
        <v>78</v>
      </c>
      <c r="E162" s="928"/>
      <c r="F162" s="928"/>
      <c r="G162" s="929"/>
      <c r="H162" s="927" t="s">
        <v>77</v>
      </c>
      <c r="I162" s="928"/>
      <c r="J162" s="928"/>
      <c r="K162" s="929"/>
      <c r="L162" s="927" t="s">
        <v>81</v>
      </c>
      <c r="M162" s="928"/>
      <c r="N162" s="928"/>
      <c r="O162" s="929"/>
      <c r="P162" s="927" t="s">
        <v>254</v>
      </c>
      <c r="Q162" s="928"/>
      <c r="R162" s="928"/>
      <c r="S162" s="929"/>
      <c r="T162" s="927" t="s">
        <v>76</v>
      </c>
      <c r="U162" s="928"/>
      <c r="V162" s="928"/>
      <c r="W162" s="929"/>
      <c r="X162" s="880"/>
    </row>
    <row r="163" spans="1:24" ht="44.1" customHeight="1" thickBot="1">
      <c r="A163" s="885"/>
      <c r="B163" s="978" t="s">
        <v>575</v>
      </c>
      <c r="C163" s="9"/>
      <c r="D163" s="20" t="s">
        <v>105</v>
      </c>
      <c r="E163" s="20" t="s">
        <v>579</v>
      </c>
      <c r="F163" s="20" t="s">
        <v>580</v>
      </c>
      <c r="G163" s="20" t="s">
        <v>581</v>
      </c>
      <c r="H163" s="20" t="s">
        <v>105</v>
      </c>
      <c r="I163" s="20" t="s">
        <v>579</v>
      </c>
      <c r="J163" s="20" t="s">
        <v>580</v>
      </c>
      <c r="K163" s="20" t="s">
        <v>581</v>
      </c>
      <c r="L163" s="20" t="s">
        <v>105</v>
      </c>
      <c r="M163" s="20" t="s">
        <v>579</v>
      </c>
      <c r="N163" s="20" t="s">
        <v>580</v>
      </c>
      <c r="O163" s="20" t="s">
        <v>581</v>
      </c>
      <c r="P163" s="20" t="s">
        <v>105</v>
      </c>
      <c r="Q163" s="20" t="s">
        <v>579</v>
      </c>
      <c r="R163" s="20" t="s">
        <v>580</v>
      </c>
      <c r="S163" s="20" t="s">
        <v>581</v>
      </c>
      <c r="T163" s="20" t="s">
        <v>105</v>
      </c>
      <c r="U163" s="20" t="s">
        <v>579</v>
      </c>
      <c r="V163" s="20" t="s">
        <v>580</v>
      </c>
      <c r="W163" s="20" t="s">
        <v>581</v>
      </c>
      <c r="X163" s="880"/>
    </row>
    <row r="164" spans="1:24" ht="13.5" thickBot="1">
      <c r="A164" s="885"/>
      <c r="B164" s="979"/>
      <c r="C164" s="9" t="s">
        <v>285</v>
      </c>
      <c r="D164" s="104">
        <f>'LF-Enugu'!D56</f>
        <v>0</v>
      </c>
      <c r="E164" s="104">
        <f>'LF-Enugu'!E56</f>
        <v>0</v>
      </c>
      <c r="F164" s="104">
        <f>'LF-Enugu'!F56</f>
        <v>0</v>
      </c>
      <c r="G164" s="104">
        <f>'LF-Enugu'!G56</f>
        <v>0</v>
      </c>
      <c r="H164" s="104">
        <f>'LF-Enugu'!H56</f>
        <v>2</v>
      </c>
      <c r="I164" s="104">
        <f>'LF-Enugu'!I56</f>
        <v>0</v>
      </c>
      <c r="J164" s="104">
        <f>'LF-Enugu'!J56</f>
        <v>0</v>
      </c>
      <c r="K164" s="104">
        <f>'LF-Enugu'!K56</f>
        <v>0</v>
      </c>
      <c r="L164" s="104">
        <f>'LF-Enugu'!L56</f>
        <v>4</v>
      </c>
      <c r="M164" s="104">
        <f>'LF-Enugu'!M56</f>
        <v>2</v>
      </c>
      <c r="N164" s="104">
        <f>'LF-Enugu'!N56</f>
        <v>1</v>
      </c>
      <c r="O164" s="104">
        <f>'LF-Enugu'!O56</f>
        <v>0</v>
      </c>
      <c r="P164" s="104">
        <f>'LF-Enugu'!P56</f>
        <v>6</v>
      </c>
      <c r="Q164" s="104">
        <f>'LF-Enugu'!Q56</f>
        <v>3</v>
      </c>
      <c r="R164" s="104">
        <f>'LF-Enugu'!R56</f>
        <v>2</v>
      </c>
      <c r="S164" s="104">
        <f>'LF-Enugu'!S56</f>
        <v>0</v>
      </c>
      <c r="T164" s="104">
        <f>'LF-Enugu'!T56</f>
        <v>7</v>
      </c>
      <c r="U164" s="104">
        <f>'LF-Enugu'!U56</f>
        <v>4</v>
      </c>
      <c r="V164" s="104">
        <f>'LF-Enugu'!V56</f>
        <v>2</v>
      </c>
      <c r="W164" s="104">
        <f>'LF-Enugu'!W56</f>
        <v>1</v>
      </c>
      <c r="X164" s="880"/>
    </row>
    <row r="165" spans="1:24" ht="24.75" thickBot="1">
      <c r="A165" s="885"/>
      <c r="B165" s="169" t="s">
        <v>159</v>
      </c>
      <c r="C165" s="9" t="s">
        <v>286</v>
      </c>
      <c r="D165" s="104">
        <f>'LF-Jigawa'!D56</f>
        <v>0</v>
      </c>
      <c r="E165" s="104">
        <f>'LF-Jigawa'!E56</f>
        <v>0</v>
      </c>
      <c r="F165" s="104">
        <f>'LF-Jigawa'!F56</f>
        <v>0</v>
      </c>
      <c r="G165" s="104">
        <f>'LF-Jigawa'!G56</f>
        <v>0</v>
      </c>
      <c r="H165" s="104">
        <f>'LF-Jigawa'!H56</f>
        <v>3</v>
      </c>
      <c r="I165" s="104">
        <f>'LF-Jigawa'!I56</f>
        <v>1</v>
      </c>
      <c r="J165" s="104">
        <f>'LF-Jigawa'!J56</f>
        <v>0</v>
      </c>
      <c r="K165" s="104">
        <f>'LF-Jigawa'!K56</f>
        <v>0</v>
      </c>
      <c r="L165" s="104">
        <f>'LF-Jigawa'!L56</f>
        <v>6</v>
      </c>
      <c r="M165" s="104">
        <f>'LF-Jigawa'!M56</f>
        <v>3</v>
      </c>
      <c r="N165" s="104">
        <f>'LF-Jigawa'!N56</f>
        <v>1</v>
      </c>
      <c r="O165" s="104">
        <f>'LF-Jigawa'!O56</f>
        <v>0</v>
      </c>
      <c r="P165" s="104">
        <f>'LF-Jigawa'!P56</f>
        <v>7</v>
      </c>
      <c r="Q165" s="104">
        <f>'LF-Jigawa'!Q56</f>
        <v>4</v>
      </c>
      <c r="R165" s="104">
        <f>'LF-Jigawa'!R56</f>
        <v>2</v>
      </c>
      <c r="S165" s="104">
        <f>'LF-Jigawa'!S56</f>
        <v>1</v>
      </c>
      <c r="T165" s="104">
        <f>'LF-Jigawa'!T56</f>
        <v>30</v>
      </c>
      <c r="U165" s="104">
        <f>'LF-Jigawa'!U56</f>
        <v>9</v>
      </c>
      <c r="V165" s="104">
        <f>'LF-Jigawa'!V56</f>
        <v>9</v>
      </c>
      <c r="W165" s="104">
        <f>'LF-Jigawa'!W56</f>
        <v>2</v>
      </c>
      <c r="X165" s="880"/>
    </row>
    <row r="166" spans="1:24" ht="36.75" thickBot="1">
      <c r="A166" s="885"/>
      <c r="B166" s="169" t="s">
        <v>576</v>
      </c>
      <c r="C166" s="9" t="s">
        <v>287</v>
      </c>
      <c r="D166" s="104">
        <f>'LF-Kaduna'!D56</f>
        <v>0</v>
      </c>
      <c r="E166" s="104">
        <f>'LF-Kaduna'!E56</f>
        <v>0</v>
      </c>
      <c r="F166" s="104">
        <f>'LF-Kaduna'!F56</f>
        <v>0</v>
      </c>
      <c r="G166" s="104">
        <f>'LF-Kaduna'!G56</f>
        <v>0</v>
      </c>
      <c r="H166" s="104">
        <f>'LF-Kaduna'!H56</f>
        <v>2</v>
      </c>
      <c r="I166" s="104">
        <f>'LF-Kaduna'!I56</f>
        <v>1</v>
      </c>
      <c r="J166" s="104">
        <f>'LF-Kaduna'!J56</f>
        <v>1</v>
      </c>
      <c r="K166" s="104">
        <f>'LF-Kaduna'!K56</f>
        <v>0</v>
      </c>
      <c r="L166" s="104">
        <f>'LF-Kaduna'!L56</f>
        <v>4</v>
      </c>
      <c r="M166" s="104">
        <f>'LF-Kaduna'!M56</f>
        <v>2</v>
      </c>
      <c r="N166" s="104">
        <f>'LF-Kaduna'!N56</f>
        <v>2</v>
      </c>
      <c r="O166" s="104">
        <f>'LF-Kaduna'!O56</f>
        <v>0</v>
      </c>
      <c r="P166" s="104">
        <f>'LF-Kaduna'!P56</f>
        <v>8</v>
      </c>
      <c r="Q166" s="104">
        <f>'LF-Kaduna'!Q56</f>
        <v>5</v>
      </c>
      <c r="R166" s="104">
        <f>'LF-Kaduna'!R56</f>
        <v>3</v>
      </c>
      <c r="S166" s="104">
        <f>'LF-Kaduna'!S56</f>
        <v>1</v>
      </c>
      <c r="T166" s="104">
        <f>'LF-Kaduna'!T56</f>
        <v>12</v>
      </c>
      <c r="U166" s="104">
        <f>'LF-Kaduna'!U56</f>
        <v>7</v>
      </c>
      <c r="V166" s="104">
        <f>'LF-Kaduna'!V56</f>
        <v>5</v>
      </c>
      <c r="W166" s="104">
        <f>'LF-Kaduna'!W56</f>
        <v>2</v>
      </c>
      <c r="X166" s="880"/>
    </row>
    <row r="167" spans="1:24" ht="13.5" thickBot="1">
      <c r="A167" s="885"/>
      <c r="B167" s="979" t="s">
        <v>577</v>
      </c>
      <c r="C167" s="9" t="s">
        <v>288</v>
      </c>
      <c r="D167" s="104">
        <f>'LF-Kano'!D56</f>
        <v>0</v>
      </c>
      <c r="E167" s="104">
        <f>'LF-Kano'!E56</f>
        <v>0</v>
      </c>
      <c r="F167" s="104">
        <f>'LF-Kano'!F56</f>
        <v>0</v>
      </c>
      <c r="G167" s="104">
        <f>'LF-Kano'!G56</f>
        <v>0</v>
      </c>
      <c r="H167" s="104">
        <f>'LF-Kano'!H56</f>
        <v>2</v>
      </c>
      <c r="I167" s="104">
        <f>'LF-Kano'!I56</f>
        <v>1</v>
      </c>
      <c r="J167" s="104">
        <f>'LF-Kano'!J56</f>
        <v>0</v>
      </c>
      <c r="K167" s="104">
        <f>'LF-Kano'!K56</f>
        <v>0</v>
      </c>
      <c r="L167" s="104">
        <f>'LF-Kano'!L56</f>
        <v>4</v>
      </c>
      <c r="M167" s="104">
        <f>'LF-Kano'!M56</f>
        <v>2</v>
      </c>
      <c r="N167" s="104">
        <f>'LF-Kano'!N56</f>
        <v>1</v>
      </c>
      <c r="O167" s="104">
        <f>'LF-Kano'!O56</f>
        <v>0</v>
      </c>
      <c r="P167" s="150">
        <f>'LF-Kano'!P56</f>
        <v>10</v>
      </c>
      <c r="Q167" s="150">
        <f>'LF-Kano'!Q56</f>
        <v>5</v>
      </c>
      <c r="R167" s="150">
        <f>'LF-Kano'!R56</f>
        <v>3</v>
      </c>
      <c r="S167" s="150">
        <f>'LF-Kano'!S56</f>
        <v>0</v>
      </c>
      <c r="T167" s="150">
        <f>'LF-Kano'!T56</f>
        <v>13</v>
      </c>
      <c r="U167" s="150">
        <f>'LF-Kano'!U56</f>
        <v>7</v>
      </c>
      <c r="V167" s="150">
        <f>'LF-Kano'!V56</f>
        <v>8</v>
      </c>
      <c r="W167" s="150">
        <f>'LF-Kano'!W56</f>
        <v>1</v>
      </c>
      <c r="X167" s="880"/>
    </row>
    <row r="168" spans="1:24" ht="13.5" thickBot="1">
      <c r="A168" s="885"/>
      <c r="B168" s="979"/>
      <c r="C168" s="9" t="s">
        <v>289</v>
      </c>
      <c r="D168" s="104">
        <f>'LF-Lagos'!D56</f>
        <v>0</v>
      </c>
      <c r="E168" s="104">
        <f>'LF-Lagos'!E56</f>
        <v>0</v>
      </c>
      <c r="F168" s="104">
        <f>'LF-Lagos'!F56</f>
        <v>0</v>
      </c>
      <c r="G168" s="104">
        <f>'LF-Lagos'!G56</f>
        <v>0</v>
      </c>
      <c r="H168" s="104">
        <f>'LF-Lagos'!H56</f>
        <v>2</v>
      </c>
      <c r="I168" s="104">
        <f>'LF-Lagos'!I56</f>
        <v>1</v>
      </c>
      <c r="J168" s="104">
        <f>'LF-Lagos'!J56</f>
        <v>0</v>
      </c>
      <c r="K168" s="104">
        <f>'LF-Lagos'!K56</f>
        <v>0</v>
      </c>
      <c r="L168" s="104">
        <f>'LF-Lagos'!L56</f>
        <v>4</v>
      </c>
      <c r="M168" s="104">
        <f>'LF-Lagos'!M56</f>
        <v>2</v>
      </c>
      <c r="N168" s="104">
        <f>'LF-Lagos'!N56</f>
        <v>1</v>
      </c>
      <c r="O168" s="104">
        <f>'LF-Lagos'!O56</f>
        <v>1</v>
      </c>
      <c r="P168" s="150">
        <f>'LF-Lagos'!P56</f>
        <v>7</v>
      </c>
      <c r="Q168" s="150">
        <f>'LF-Lagos'!Q56</f>
        <v>3</v>
      </c>
      <c r="R168" s="150">
        <f>'LF-Lagos'!R56</f>
        <v>2</v>
      </c>
      <c r="S168" s="150">
        <f>'LF-Lagos'!S56</f>
        <v>2</v>
      </c>
      <c r="T168" s="150">
        <f>'LF-Lagos'!T56</f>
        <v>10</v>
      </c>
      <c r="U168" s="150">
        <f>'LF-Lagos'!U56</f>
        <v>7</v>
      </c>
      <c r="V168" s="150">
        <f>'LF-Lagos'!V56</f>
        <v>3</v>
      </c>
      <c r="W168" s="150">
        <f>'LF-Lagos'!W56</f>
        <v>1</v>
      </c>
      <c r="X168" s="880"/>
    </row>
    <row r="169" spans="1:24" ht="13.5" thickBot="1">
      <c r="A169" s="885"/>
      <c r="B169" s="979"/>
      <c r="C169" s="9" t="s">
        <v>292</v>
      </c>
      <c r="D169" s="1051" t="s">
        <v>414</v>
      </c>
      <c r="E169" s="1052"/>
      <c r="F169" s="1052"/>
      <c r="G169" s="1053"/>
      <c r="H169" s="104">
        <f>'LF-Zamfara'!H56</f>
        <v>0</v>
      </c>
      <c r="I169" s="104">
        <f>'LF-Zamfara'!I56</f>
        <v>0</v>
      </c>
      <c r="J169" s="104">
        <f>'LF-Zamfara'!J56</f>
        <v>0</v>
      </c>
      <c r="K169" s="104">
        <f>'LF-Zamfara'!K56</f>
        <v>0</v>
      </c>
      <c r="L169" s="104">
        <f>'LF-Zamfara'!L56</f>
        <v>0</v>
      </c>
      <c r="M169" s="104">
        <f>'LF-Zamfara'!M56</f>
        <v>0</v>
      </c>
      <c r="N169" s="104">
        <f>'LF-Zamfara'!N56</f>
        <v>0</v>
      </c>
      <c r="O169" s="104">
        <f>'LF-Zamfara'!O56</f>
        <v>0</v>
      </c>
      <c r="P169" s="150">
        <f>'LF-Zamfara'!P56</f>
        <v>0</v>
      </c>
      <c r="Q169" s="150">
        <f>'LF-Zamfara'!Q56</f>
        <v>0</v>
      </c>
      <c r="R169" s="150">
        <f>'LF-Zamfara'!R56</f>
        <v>0</v>
      </c>
      <c r="S169" s="150">
        <f>'LF-Zamfara'!S56</f>
        <v>0</v>
      </c>
      <c r="T169" s="150">
        <f>'LF-Zamfara'!T56</f>
        <v>2</v>
      </c>
      <c r="U169" s="150">
        <f>'LF-Zamfara'!U56</f>
        <v>1</v>
      </c>
      <c r="V169" s="150">
        <f>'LF-Zamfara'!V56</f>
        <v>0</v>
      </c>
      <c r="W169" s="150">
        <f>'LF-Zamfara'!W56</f>
        <v>0</v>
      </c>
      <c r="X169" s="880"/>
    </row>
    <row r="170" spans="1:24" ht="13.5" thickBot="1">
      <c r="A170" s="885"/>
      <c r="B170" s="979"/>
      <c r="C170" s="9" t="s">
        <v>293</v>
      </c>
      <c r="D170" s="1051" t="s">
        <v>414</v>
      </c>
      <c r="E170" s="1052"/>
      <c r="F170" s="1052"/>
      <c r="G170" s="1053"/>
      <c r="H170" s="104">
        <f>'LF-Katsina'!H56</f>
        <v>0</v>
      </c>
      <c r="I170" s="104">
        <f>'LF-Katsina'!I56</f>
        <v>0</v>
      </c>
      <c r="J170" s="104">
        <f>'LF-Katsina'!J56</f>
        <v>0</v>
      </c>
      <c r="K170" s="104">
        <f>'LF-Katsina'!K56</f>
        <v>0</v>
      </c>
      <c r="L170" s="104">
        <f>'LF-Katsina'!L56</f>
        <v>0</v>
      </c>
      <c r="M170" s="104">
        <f>'LF-Katsina'!M56</f>
        <v>0</v>
      </c>
      <c r="N170" s="104">
        <f>'LF-Katsina'!N56</f>
        <v>0</v>
      </c>
      <c r="O170" s="104">
        <f>'LF-Katsina'!O56</f>
        <v>0</v>
      </c>
      <c r="P170" s="150">
        <f>'LF-Katsina'!P56</f>
        <v>2</v>
      </c>
      <c r="Q170" s="150">
        <f>'LF-Katsina'!Q56</f>
        <v>1</v>
      </c>
      <c r="R170" s="150">
        <f>'LF-Katsina'!R56</f>
        <v>0</v>
      </c>
      <c r="S170" s="150">
        <f>'LF-Katsina'!S56</f>
        <v>0</v>
      </c>
      <c r="T170" s="150">
        <f>'LF-Katsina'!T56</f>
        <v>4</v>
      </c>
      <c r="U170" s="150">
        <f>'LF-Katsina'!U56</f>
        <v>3</v>
      </c>
      <c r="V170" s="150">
        <f>'LF-Katsina'!V56</f>
        <v>2</v>
      </c>
      <c r="W170" s="150">
        <f>'LF-Katsina'!W56</f>
        <v>0</v>
      </c>
      <c r="X170" s="880"/>
    </row>
    <row r="171" spans="1:24" ht="13.5" thickBot="1">
      <c r="A171" s="885"/>
      <c r="B171" s="979"/>
      <c r="C171" s="9" t="s">
        <v>294</v>
      </c>
      <c r="D171" s="1051" t="s">
        <v>414</v>
      </c>
      <c r="E171" s="1052"/>
      <c r="F171" s="1052"/>
      <c r="G171" s="1053"/>
      <c r="H171" s="104">
        <f>'LF-Yobe'!H56</f>
        <v>0</v>
      </c>
      <c r="I171" s="104">
        <f>'LF-Yobe'!I56</f>
        <v>0</v>
      </c>
      <c r="J171" s="104">
        <f>'LF-Yobe'!J56</f>
        <v>0</v>
      </c>
      <c r="K171" s="104">
        <f>'LF-Yobe'!K56</f>
        <v>0</v>
      </c>
      <c r="L171" s="104">
        <f>'LF-Yobe'!L56</f>
        <v>0</v>
      </c>
      <c r="M171" s="104">
        <f>'LF-Yobe'!M56</f>
        <v>0</v>
      </c>
      <c r="N171" s="104">
        <f>'LF-Yobe'!N56</f>
        <v>0</v>
      </c>
      <c r="O171" s="104">
        <f>'LF-Yobe'!O56</f>
        <v>0</v>
      </c>
      <c r="P171" s="150">
        <f>'LF-Yobe'!P56</f>
        <v>3</v>
      </c>
      <c r="Q171" s="150">
        <f>'LF-Yobe'!Q56</f>
        <v>1</v>
      </c>
      <c r="R171" s="150">
        <f>'LF-Yobe'!R56</f>
        <v>1</v>
      </c>
      <c r="S171" s="150">
        <f>'LF-Yobe'!S56</f>
        <v>0</v>
      </c>
      <c r="T171" s="150">
        <f>'LF-Yobe'!T56</f>
        <v>13</v>
      </c>
      <c r="U171" s="150">
        <f>'LF-Yobe'!U56</f>
        <v>3</v>
      </c>
      <c r="V171" s="150">
        <f>'LF-Yobe'!V56</f>
        <v>2</v>
      </c>
      <c r="W171" s="150">
        <f>'LF-Yobe'!W56</f>
        <v>1</v>
      </c>
      <c r="X171" s="880"/>
    </row>
    <row r="172" spans="1:24" ht="12.95" customHeight="1" thickBot="1">
      <c r="A172" s="885"/>
      <c r="B172" s="979"/>
      <c r="C172" s="9" t="s">
        <v>290</v>
      </c>
      <c r="D172" s="945"/>
      <c r="E172" s="946"/>
      <c r="F172" s="946"/>
      <c r="G172" s="947"/>
      <c r="H172" s="1162"/>
      <c r="I172" s="1163"/>
      <c r="J172" s="1163"/>
      <c r="K172" s="1164"/>
      <c r="L172" s="1150" t="s">
        <v>909</v>
      </c>
      <c r="M172" s="1151"/>
      <c r="N172" s="1151"/>
      <c r="O172" s="1152"/>
      <c r="P172" s="150">
        <f>'LF-Anambra'!P56</f>
        <v>0</v>
      </c>
      <c r="Q172" s="150">
        <f>'LF-Anambra'!Q56</f>
        <v>0</v>
      </c>
      <c r="R172" s="150">
        <f>'LF-Anambra'!R56</f>
        <v>0</v>
      </c>
      <c r="S172" s="150">
        <f>'LF-Anambra'!S56</f>
        <v>0</v>
      </c>
      <c r="T172" s="150">
        <f>'LF-Anambra'!T56</f>
        <v>1</v>
      </c>
      <c r="U172" s="150">
        <f>'LF-Anambra'!U56</f>
        <v>1</v>
      </c>
      <c r="V172" s="150">
        <f>'LF-Anambra'!V56</f>
        <v>0</v>
      </c>
      <c r="W172" s="150">
        <f>'LF-Anambra'!W56</f>
        <v>0</v>
      </c>
      <c r="X172" s="880"/>
    </row>
    <row r="173" spans="1:24" ht="12.95" customHeight="1" thickBot="1">
      <c r="A173" s="885"/>
      <c r="B173" s="979"/>
      <c r="C173" s="9" t="s">
        <v>291</v>
      </c>
      <c r="D173" s="945"/>
      <c r="E173" s="946"/>
      <c r="F173" s="946"/>
      <c r="G173" s="947"/>
      <c r="H173" s="1162"/>
      <c r="I173" s="1163"/>
      <c r="J173" s="1163"/>
      <c r="K173" s="1164"/>
      <c r="L173" s="1150" t="s">
        <v>909</v>
      </c>
      <c r="M173" s="1151"/>
      <c r="N173" s="1151"/>
      <c r="O173" s="1152"/>
      <c r="P173" s="104">
        <f>'LF-Niger'!P56</f>
        <v>0</v>
      </c>
      <c r="Q173" s="104">
        <f>'LF-Niger'!Q56</f>
        <v>0</v>
      </c>
      <c r="R173" s="104">
        <f>'LF-Niger'!R56</f>
        <v>0</v>
      </c>
      <c r="S173" s="104">
        <f>'LF-Niger'!S56</f>
        <v>0</v>
      </c>
      <c r="T173" s="104">
        <f>'LF-Niger'!T56</f>
        <v>1</v>
      </c>
      <c r="U173" s="104">
        <f>'LF-Niger'!U56</f>
        <v>1</v>
      </c>
      <c r="V173" s="104">
        <f>'LF-Niger'!V56</f>
        <v>0</v>
      </c>
      <c r="W173" s="104">
        <f>'LF-Niger'!W56</f>
        <v>0</v>
      </c>
      <c r="X173" s="880"/>
    </row>
    <row r="174" spans="1:24" ht="13.5" thickBot="1">
      <c r="A174" s="885"/>
      <c r="B174" s="979"/>
      <c r="C174" s="100" t="s">
        <v>295</v>
      </c>
      <c r="D174" s="1042" t="s">
        <v>416</v>
      </c>
      <c r="E174" s="1043"/>
      <c r="F174" s="1043"/>
      <c r="G174" s="1044"/>
      <c r="H174" s="105">
        <f>'LF-Enugu'!H57</f>
        <v>0</v>
      </c>
      <c r="I174" s="105">
        <f>'LF-Enugu'!I57</f>
        <v>0</v>
      </c>
      <c r="J174" s="105">
        <f>'LF-Enugu'!J57</f>
        <v>0</v>
      </c>
      <c r="K174" s="105">
        <f>'LF-Enugu'!K57</f>
        <v>0</v>
      </c>
      <c r="L174" s="105">
        <f>'LF-Enugu'!L57</f>
        <v>5</v>
      </c>
      <c r="M174" s="105">
        <f>'LF-Enugu'!M57</f>
        <v>3</v>
      </c>
      <c r="N174" s="105">
        <f>'LF-Enugu'!N57</f>
        <v>1</v>
      </c>
      <c r="O174" s="105">
        <f>'LF-Enugu'!O57</f>
        <v>0</v>
      </c>
      <c r="P174" s="105">
        <f>'LF-Enugu'!P57</f>
        <v>8</v>
      </c>
      <c r="Q174" s="105">
        <f>'LF-Enugu'!Q57</f>
        <v>4</v>
      </c>
      <c r="R174" s="105">
        <f>'LF-Enugu'!R57</f>
        <v>2</v>
      </c>
      <c r="S174" s="105">
        <f>'LF-Enugu'!S57</f>
        <v>0</v>
      </c>
      <c r="T174" s="105">
        <f>'LF-Enugu'!T57</f>
        <v>0</v>
      </c>
      <c r="U174" s="105">
        <f>'LF-Enugu'!U57</f>
        <v>0</v>
      </c>
      <c r="V174" s="105">
        <f>'LF-Enugu'!V57</f>
        <v>0</v>
      </c>
      <c r="W174" s="105">
        <f>'LF-Enugu'!W57</f>
        <v>0</v>
      </c>
      <c r="X174" s="880"/>
    </row>
    <row r="175" spans="1:24" ht="13.5" thickBot="1">
      <c r="A175" s="885"/>
      <c r="B175" s="979"/>
      <c r="C175" s="100" t="s">
        <v>296</v>
      </c>
      <c r="D175" s="1042" t="s">
        <v>416</v>
      </c>
      <c r="E175" s="1043"/>
      <c r="F175" s="1043"/>
      <c r="G175" s="1044"/>
      <c r="H175" s="105">
        <f>'LF-Jigawa'!H57</f>
        <v>1</v>
      </c>
      <c r="I175" s="105">
        <f>'LF-Jigawa'!I57</f>
        <v>0</v>
      </c>
      <c r="J175" s="105">
        <f>'LF-Jigawa'!J57</f>
        <v>0</v>
      </c>
      <c r="K175" s="105">
        <f>'LF-Jigawa'!K57</f>
        <v>0</v>
      </c>
      <c r="L175" s="105">
        <f>'LF-Jigawa'!L57</f>
        <v>6</v>
      </c>
      <c r="M175" s="105">
        <f>'LF-Jigawa'!M57</f>
        <v>3</v>
      </c>
      <c r="N175" s="105">
        <f>'LF-Jigawa'!N57</f>
        <v>1</v>
      </c>
      <c r="O175" s="105">
        <f>'LF-Jigawa'!O57</f>
        <v>0</v>
      </c>
      <c r="P175" s="105">
        <f>'LF-Jigawa'!P57</f>
        <v>18</v>
      </c>
      <c r="Q175" s="105">
        <f>'LF-Jigawa'!Q57</f>
        <v>12</v>
      </c>
      <c r="R175" s="105">
        <f>'LF-Jigawa'!R57</f>
        <v>10</v>
      </c>
      <c r="S175" s="105">
        <f>'LF-Jigawa'!S57</f>
        <v>1</v>
      </c>
      <c r="T175" s="105">
        <f>'LF-Jigawa'!T57</f>
        <v>0</v>
      </c>
      <c r="U175" s="105">
        <f>'LF-Jigawa'!U57</f>
        <v>0</v>
      </c>
      <c r="V175" s="105">
        <f>'LF-Jigawa'!V57</f>
        <v>0</v>
      </c>
      <c r="W175" s="105">
        <f>'LF-Jigawa'!W57</f>
        <v>0</v>
      </c>
      <c r="X175" s="880"/>
    </row>
    <row r="176" spans="1:24" ht="13.5" thickBot="1">
      <c r="A176" s="885"/>
      <c r="B176" s="979"/>
      <c r="C176" s="100" t="s">
        <v>297</v>
      </c>
      <c r="D176" s="1042" t="s">
        <v>416</v>
      </c>
      <c r="E176" s="1043"/>
      <c r="F176" s="1043"/>
      <c r="G176" s="1044"/>
      <c r="H176" s="105">
        <f>'LF-Kaduna'!H57</f>
        <v>2</v>
      </c>
      <c r="I176" s="105">
        <f>'LF-Kaduna'!I57</f>
        <v>1</v>
      </c>
      <c r="J176" s="105">
        <f>'LF-Kaduna'!J57</f>
        <v>0</v>
      </c>
      <c r="K176" s="105">
        <f>'LF-Kaduna'!K57</f>
        <v>0</v>
      </c>
      <c r="L176" s="105">
        <f>'LF-Kaduna'!L57</f>
        <v>6</v>
      </c>
      <c r="M176" s="105">
        <f>'LF-Kaduna'!M57</f>
        <v>4</v>
      </c>
      <c r="N176" s="105">
        <f>'LF-Kaduna'!N57</f>
        <v>1</v>
      </c>
      <c r="O176" s="105">
        <f>'LF-Kaduna'!O57</f>
        <v>0</v>
      </c>
      <c r="P176" s="105">
        <f>'LF-Kaduna'!P57</f>
        <v>9</v>
      </c>
      <c r="Q176" s="105">
        <f>'LF-Kaduna'!Q57</f>
        <v>6</v>
      </c>
      <c r="R176" s="105">
        <f>'LF-Kaduna'!R57</f>
        <v>2</v>
      </c>
      <c r="S176" s="105">
        <f>'LF-Kaduna'!S57</f>
        <v>0</v>
      </c>
      <c r="T176" s="105">
        <f>'LF-Kaduna'!T57</f>
        <v>0</v>
      </c>
      <c r="U176" s="105">
        <f>'LF-Kaduna'!U57</f>
        <v>0</v>
      </c>
      <c r="V176" s="105">
        <f>'LF-Kaduna'!V57</f>
        <v>0</v>
      </c>
      <c r="W176" s="105">
        <f>'LF-Kaduna'!W57</f>
        <v>0</v>
      </c>
      <c r="X176" s="880"/>
    </row>
    <row r="177" spans="1:24" ht="13.5" thickBot="1">
      <c r="A177" s="885"/>
      <c r="B177" s="979"/>
      <c r="C177" s="100" t="s">
        <v>298</v>
      </c>
      <c r="D177" s="1042" t="s">
        <v>416</v>
      </c>
      <c r="E177" s="1043"/>
      <c r="F177" s="1043"/>
      <c r="G177" s="1044"/>
      <c r="H177" s="105">
        <f>'LF-Kano'!H57</f>
        <v>2</v>
      </c>
      <c r="I177" s="105">
        <f>'LF-Kano'!I57</f>
        <v>1</v>
      </c>
      <c r="J177" s="105">
        <f>'LF-Kano'!J57</f>
        <v>0</v>
      </c>
      <c r="K177" s="105">
        <f>'LF-Kano'!K57</f>
        <v>0</v>
      </c>
      <c r="L177" s="105">
        <f>'LF-Kano'!L57</f>
        <v>7</v>
      </c>
      <c r="M177" s="105">
        <f>'LF-Kano'!M57</f>
        <v>4</v>
      </c>
      <c r="N177" s="105">
        <f>'LF-Kano'!N57</f>
        <v>2</v>
      </c>
      <c r="O177" s="105">
        <f>'LF-Kano'!O57</f>
        <v>0</v>
      </c>
      <c r="P177" s="105">
        <f>'LF-Kano'!P57</f>
        <v>14</v>
      </c>
      <c r="Q177" s="105">
        <f>'LF-Kano'!Q57</f>
        <v>8</v>
      </c>
      <c r="R177" s="105">
        <f>'LF-Kano'!R57</f>
        <v>4</v>
      </c>
      <c r="S177" s="105">
        <f>'LF-Kano'!S57</f>
        <v>0</v>
      </c>
      <c r="T177" s="105">
        <f>'LF-Kano'!T57</f>
        <v>0</v>
      </c>
      <c r="U177" s="105">
        <f>'LF-Kano'!U57</f>
        <v>0</v>
      </c>
      <c r="V177" s="105">
        <f>'LF-Kano'!V57</f>
        <v>0</v>
      </c>
      <c r="W177" s="105">
        <f>'LF-Kano'!W57</f>
        <v>0</v>
      </c>
      <c r="X177" s="880"/>
    </row>
    <row r="178" spans="1:24" ht="13.5" thickBot="1">
      <c r="A178" s="885"/>
      <c r="B178" s="979"/>
      <c r="C178" s="100" t="s">
        <v>299</v>
      </c>
      <c r="D178" s="1042" t="s">
        <v>416</v>
      </c>
      <c r="E178" s="1043"/>
      <c r="F178" s="1043"/>
      <c r="G178" s="1044"/>
      <c r="H178" s="105">
        <f>'LF-Lagos'!H57</f>
        <v>5</v>
      </c>
      <c r="I178" s="105">
        <f>'LF-Lagos'!I57</f>
        <v>0</v>
      </c>
      <c r="J178" s="105">
        <f>'LF-Lagos'!J57</f>
        <v>0</v>
      </c>
      <c r="K178" s="105">
        <f>'LF-Lagos'!K57</f>
        <v>0</v>
      </c>
      <c r="L178" s="105">
        <f>'LF-Lagos'!L57</f>
        <v>5</v>
      </c>
      <c r="M178" s="105">
        <f>'LF-Lagos'!M57</f>
        <v>2</v>
      </c>
      <c r="N178" s="105">
        <f>'LF-Lagos'!N57</f>
        <v>1</v>
      </c>
      <c r="O178" s="105">
        <f>'LF-Lagos'!O57</f>
        <v>0</v>
      </c>
      <c r="P178" s="105">
        <f>'LF-Lagos'!P57</f>
        <v>11</v>
      </c>
      <c r="Q178" s="105">
        <f>'LF-Lagos'!Q57</f>
        <v>5</v>
      </c>
      <c r="R178" s="105">
        <f>'LF-Lagos'!R57</f>
        <v>3</v>
      </c>
      <c r="S178" s="105">
        <f>'LF-Lagos'!S57</f>
        <v>3</v>
      </c>
      <c r="T178" s="105">
        <f>'LF-Lagos'!T57</f>
        <v>0</v>
      </c>
      <c r="U178" s="105">
        <f>'LF-Lagos'!U57</f>
        <v>0</v>
      </c>
      <c r="V178" s="105">
        <f>'LF-Lagos'!V57</f>
        <v>0</v>
      </c>
      <c r="W178" s="105">
        <f>'LF-Lagos'!W57</f>
        <v>0</v>
      </c>
      <c r="X178" s="880"/>
    </row>
    <row r="179" spans="1:24" ht="24.75" thickBot="1">
      <c r="A179" s="885"/>
      <c r="B179" s="979"/>
      <c r="C179" s="100" t="s">
        <v>300</v>
      </c>
      <c r="D179" s="1054"/>
      <c r="E179" s="1055"/>
      <c r="F179" s="1055"/>
      <c r="G179" s="1056"/>
      <c r="H179" s="1054"/>
      <c r="I179" s="1055"/>
      <c r="J179" s="1055"/>
      <c r="K179" s="1056"/>
      <c r="L179" s="105">
        <f>'LF-Zamfara'!L57</f>
        <v>0</v>
      </c>
      <c r="M179" s="105">
        <f>'LF-Zamfara'!M57</f>
        <v>0</v>
      </c>
      <c r="N179" s="105">
        <f>'LF-Zamfara'!N57</f>
        <v>0</v>
      </c>
      <c r="O179" s="105">
        <f>'LF-Zamfara'!O57</f>
        <v>0</v>
      </c>
      <c r="P179" s="105">
        <f>'LF-Zamfara'!P57</f>
        <v>2</v>
      </c>
      <c r="Q179" s="105">
        <f>'LF-Zamfara'!Q57</f>
        <v>0</v>
      </c>
      <c r="R179" s="105">
        <f>'LF-Zamfara'!R57</f>
        <v>0</v>
      </c>
      <c r="S179" s="105">
        <f>'LF-Zamfara'!S57</f>
        <v>0</v>
      </c>
      <c r="T179" s="105">
        <f>'LF-Zamfara'!T57</f>
        <v>0</v>
      </c>
      <c r="U179" s="105">
        <f>'LF-Zamfara'!U57</f>
        <v>0</v>
      </c>
      <c r="V179" s="105">
        <f>'LF-Zamfara'!V57</f>
        <v>0</v>
      </c>
      <c r="W179" s="105">
        <f>'LF-Zamfara'!W57</f>
        <v>0</v>
      </c>
      <c r="X179" s="880"/>
    </row>
    <row r="180" spans="1:24" ht="13.5" thickBot="1">
      <c r="A180" s="885"/>
      <c r="B180" s="979"/>
      <c r="C180" s="100" t="s">
        <v>301</v>
      </c>
      <c r="D180" s="107"/>
      <c r="E180" s="108"/>
      <c r="F180" s="108"/>
      <c r="G180" s="109"/>
      <c r="H180" s="107"/>
      <c r="I180" s="108"/>
      <c r="J180" s="108"/>
      <c r="K180" s="109"/>
      <c r="L180" s="105">
        <f>'LF-Katsina'!L57</f>
        <v>0</v>
      </c>
      <c r="M180" s="105">
        <f>'LF-Katsina'!M57</f>
        <v>0</v>
      </c>
      <c r="N180" s="105">
        <f>'LF-Katsina'!N57</f>
        <v>0</v>
      </c>
      <c r="O180" s="105">
        <f>'LF-Katsina'!O57</f>
        <v>0</v>
      </c>
      <c r="P180" s="105">
        <f>'LF-Katsina'!P57</f>
        <v>2</v>
      </c>
      <c r="Q180" s="105">
        <f>'LF-Katsina'!Q57</f>
        <v>1</v>
      </c>
      <c r="R180" s="105">
        <f>'LF-Katsina'!R57</f>
        <v>0</v>
      </c>
      <c r="S180" s="105">
        <f>'LF-Katsina'!S57</f>
        <v>0</v>
      </c>
      <c r="T180" s="105">
        <f>'LF-Katsina'!T57</f>
        <v>0</v>
      </c>
      <c r="U180" s="105">
        <f>'LF-Katsina'!U57</f>
        <v>0</v>
      </c>
      <c r="V180" s="105">
        <f>'LF-Katsina'!V57</f>
        <v>0</v>
      </c>
      <c r="W180" s="105">
        <f>'LF-Katsina'!W57</f>
        <v>0</v>
      </c>
      <c r="X180" s="880"/>
    </row>
    <row r="181" spans="1:24" ht="13.5" thickBot="1">
      <c r="A181" s="885"/>
      <c r="B181" s="979"/>
      <c r="C181" s="100" t="s">
        <v>302</v>
      </c>
      <c r="D181" s="107"/>
      <c r="E181" s="108"/>
      <c r="F181" s="108"/>
      <c r="G181" s="109"/>
      <c r="H181" s="107"/>
      <c r="I181" s="108"/>
      <c r="J181" s="108"/>
      <c r="K181" s="109"/>
      <c r="L181" s="105">
        <f>'LF-Yobe'!L57</f>
        <v>0</v>
      </c>
      <c r="M181" s="105">
        <f>'LF-Yobe'!M57</f>
        <v>0</v>
      </c>
      <c r="N181" s="105">
        <f>'LF-Yobe'!N57</f>
        <v>0</v>
      </c>
      <c r="O181" s="105">
        <f>'LF-Yobe'!O57</f>
        <v>0</v>
      </c>
      <c r="P181" s="105">
        <f>'LF-Yobe'!P57</f>
        <v>11</v>
      </c>
      <c r="Q181" s="105">
        <f>'LF-Yobe'!Q57</f>
        <v>3</v>
      </c>
      <c r="R181" s="105">
        <f>'LF-Yobe'!R57</f>
        <v>1</v>
      </c>
      <c r="S181" s="105">
        <f>'LF-Yobe'!S57</f>
        <v>0</v>
      </c>
      <c r="T181" s="105">
        <f>'LF-Yobe'!T57</f>
        <v>0</v>
      </c>
      <c r="U181" s="105">
        <f>'LF-Yobe'!U57</f>
        <v>0</v>
      </c>
      <c r="V181" s="105">
        <f>'LF-Yobe'!V57</f>
        <v>0</v>
      </c>
      <c r="W181" s="105">
        <f>'LF-Yobe'!W57</f>
        <v>0</v>
      </c>
      <c r="X181" s="880"/>
    </row>
    <row r="182" spans="1:24" ht="24.75" thickBot="1">
      <c r="A182" s="885"/>
      <c r="B182" s="979"/>
      <c r="C182" s="100" t="s">
        <v>303</v>
      </c>
      <c r="D182" s="1054"/>
      <c r="E182" s="1055"/>
      <c r="F182" s="1055"/>
      <c r="G182" s="1056"/>
      <c r="H182" s="1054"/>
      <c r="I182" s="1055"/>
      <c r="J182" s="1055"/>
      <c r="K182" s="1056"/>
      <c r="L182" s="1054"/>
      <c r="M182" s="1055"/>
      <c r="N182" s="1055"/>
      <c r="O182" s="1056"/>
      <c r="P182" s="1054"/>
      <c r="Q182" s="1055"/>
      <c r="R182" s="1055"/>
      <c r="S182" s="1056"/>
      <c r="T182" s="105">
        <f>'LF-Anambra'!T57</f>
        <v>0</v>
      </c>
      <c r="U182" s="105">
        <f>'LF-Anambra'!U57</f>
        <v>0</v>
      </c>
      <c r="V182" s="105">
        <f>'LF-Anambra'!V57</f>
        <v>0</v>
      </c>
      <c r="W182" s="105">
        <f>'LF-Anambra'!W57</f>
        <v>0</v>
      </c>
      <c r="X182" s="880"/>
    </row>
    <row r="183" spans="1:24" ht="13.5" thickBot="1">
      <c r="A183" s="885"/>
      <c r="B183" s="979"/>
      <c r="C183" s="100" t="s">
        <v>304</v>
      </c>
      <c r="D183" s="107"/>
      <c r="E183" s="108"/>
      <c r="F183" s="108"/>
      <c r="G183" s="109"/>
      <c r="H183" s="107"/>
      <c r="I183" s="108"/>
      <c r="J183" s="108"/>
      <c r="K183" s="109"/>
      <c r="L183" s="107"/>
      <c r="M183" s="108"/>
      <c r="N183" s="108"/>
      <c r="O183" s="109"/>
      <c r="P183" s="227"/>
      <c r="Q183" s="228"/>
      <c r="R183" s="228"/>
      <c r="S183" s="229"/>
      <c r="T183" s="105">
        <f>'LF-Niger'!T57</f>
        <v>0</v>
      </c>
      <c r="U183" s="105">
        <f>'LF-Niger'!U57</f>
        <v>0</v>
      </c>
      <c r="V183" s="105">
        <f>'LF-Niger'!V57</f>
        <v>0</v>
      </c>
      <c r="W183" s="105">
        <f>'LF-Niger'!W57</f>
        <v>0</v>
      </c>
      <c r="X183" s="880"/>
    </row>
    <row r="184" spans="1:24" ht="13.5" thickBot="1">
      <c r="A184" s="885"/>
      <c r="B184" s="979"/>
      <c r="C184" s="922" t="s">
        <v>413</v>
      </c>
      <c r="D184" s="927" t="s">
        <v>4</v>
      </c>
      <c r="E184" s="928"/>
      <c r="F184" s="928"/>
      <c r="G184" s="928"/>
      <c r="H184" s="928"/>
      <c r="I184" s="928"/>
      <c r="J184" s="928"/>
      <c r="K184" s="928"/>
      <c r="L184" s="928"/>
      <c r="M184" s="928"/>
      <c r="N184" s="928"/>
      <c r="O184" s="928"/>
      <c r="P184" s="928"/>
      <c r="Q184" s="928"/>
      <c r="R184" s="928"/>
      <c r="S184" s="928"/>
      <c r="T184" s="928"/>
      <c r="U184" s="928"/>
      <c r="V184" s="928"/>
      <c r="W184" s="928"/>
      <c r="X184" s="880"/>
    </row>
    <row r="185" spans="1:24" ht="13.5" thickBot="1">
      <c r="A185" s="869"/>
      <c r="B185" s="1165"/>
      <c r="C185" s="923"/>
      <c r="D185" s="930" t="s">
        <v>126</v>
      </c>
      <c r="E185" s="931"/>
      <c r="F185" s="931"/>
      <c r="G185" s="931"/>
      <c r="H185" s="931"/>
      <c r="I185" s="931"/>
      <c r="J185" s="931"/>
      <c r="K185" s="931"/>
      <c r="L185" s="931"/>
      <c r="M185" s="931"/>
      <c r="N185" s="931"/>
      <c r="O185" s="931"/>
      <c r="P185" s="931"/>
      <c r="Q185" s="931"/>
      <c r="R185" s="931"/>
      <c r="S185" s="931"/>
      <c r="T185" s="931"/>
      <c r="U185" s="931"/>
      <c r="V185" s="931"/>
      <c r="W185" s="932"/>
      <c r="X185" s="881"/>
    </row>
    <row r="186" spans="1:24" ht="13.5" thickBot="1">
      <c r="A186" s="906" t="s">
        <v>7</v>
      </c>
      <c r="B186" s="908" t="s">
        <v>173</v>
      </c>
      <c r="C186" s="909"/>
      <c r="D186" s="908" t="s">
        <v>8</v>
      </c>
      <c r="E186" s="918"/>
      <c r="F186" s="918"/>
      <c r="G186" s="909"/>
      <c r="H186" s="908" t="s">
        <v>88</v>
      </c>
      <c r="I186" s="918"/>
      <c r="J186" s="918"/>
      <c r="K186" s="909"/>
      <c r="L186" s="908" t="s">
        <v>89</v>
      </c>
      <c r="M186" s="918"/>
      <c r="N186" s="918"/>
      <c r="O186" s="909"/>
      <c r="P186" s="908" t="s">
        <v>9</v>
      </c>
      <c r="Q186" s="918"/>
      <c r="R186" s="918"/>
      <c r="S186" s="909"/>
      <c r="T186" s="908" t="s">
        <v>174</v>
      </c>
      <c r="U186" s="918"/>
      <c r="V186" s="918"/>
      <c r="W186" s="918"/>
      <c r="X186" s="909"/>
    </row>
    <row r="187" spans="1:24" ht="13.5" thickBot="1">
      <c r="A187" s="907"/>
      <c r="B187" s="975">
        <f>SUM(B262+B337+B438+B560+B647)</f>
        <v>31000000</v>
      </c>
      <c r="C187" s="976"/>
      <c r="D187" s="975">
        <f>SUM(D262+D337+D438+D560+D647)</f>
        <v>2100000</v>
      </c>
      <c r="E187" s="977"/>
      <c r="F187" s="977">
        <f>SUM(F262+F337+F438+F560+F647)</f>
        <v>0</v>
      </c>
      <c r="G187" s="976"/>
      <c r="H187" s="975">
        <f>SUM(H262+H337+H438+H560+H647)</f>
        <v>13000000</v>
      </c>
      <c r="I187" s="977"/>
      <c r="J187" s="977">
        <f>SUM(J262+J337+J438+J560+J647)</f>
        <v>0</v>
      </c>
      <c r="K187" s="976"/>
      <c r="L187" s="975">
        <f>SUM(L262+L337+L438+L560+L647)</f>
        <v>11900000</v>
      </c>
      <c r="M187" s="977"/>
      <c r="N187" s="977">
        <f>SUM(N262+N337+N438+N560+N647)</f>
        <v>0</v>
      </c>
      <c r="O187" s="976"/>
      <c r="P187" s="975">
        <f>SUM(B187:O187)</f>
        <v>58000000</v>
      </c>
      <c r="Q187" s="977"/>
      <c r="R187" s="977"/>
      <c r="S187" s="976"/>
      <c r="T187" s="942">
        <f>B187/P187%</f>
        <v>53.448275862068968</v>
      </c>
      <c r="U187" s="943"/>
      <c r="V187" s="943"/>
      <c r="W187" s="943"/>
      <c r="X187" s="944"/>
    </row>
    <row r="188" spans="1:24" ht="13.5" thickBot="1">
      <c r="A188" s="906" t="s">
        <v>10</v>
      </c>
      <c r="B188" s="908" t="s">
        <v>175</v>
      </c>
      <c r="C188" s="909"/>
      <c r="D188" s="910"/>
      <c r="E188" s="911"/>
      <c r="F188" s="911"/>
      <c r="G188" s="911"/>
      <c r="H188" s="911"/>
      <c r="I188" s="911"/>
      <c r="J188" s="911"/>
      <c r="K188" s="911"/>
      <c r="L188" s="911"/>
      <c r="M188" s="911"/>
      <c r="N188" s="911"/>
      <c r="O188" s="911"/>
      <c r="P188" s="911"/>
      <c r="Q188" s="911"/>
      <c r="R188" s="911"/>
      <c r="S188" s="911"/>
      <c r="T188" s="911"/>
      <c r="U188" s="911"/>
      <c r="V188" s="911"/>
      <c r="W188" s="911"/>
      <c r="X188" s="912"/>
    </row>
    <row r="189" spans="1:24" ht="13.5" thickBot="1">
      <c r="A189" s="907"/>
      <c r="B189" s="916">
        <f>SUM(B264+B339+B440+B562+B649)</f>
        <v>0</v>
      </c>
      <c r="C189" s="917"/>
      <c r="D189" s="913"/>
      <c r="E189" s="914"/>
      <c r="F189" s="914"/>
      <c r="G189" s="914"/>
      <c r="H189" s="914"/>
      <c r="I189" s="914"/>
      <c r="J189" s="914"/>
      <c r="K189" s="914"/>
      <c r="L189" s="914"/>
      <c r="M189" s="914"/>
      <c r="N189" s="914"/>
      <c r="O189" s="914"/>
      <c r="P189" s="914"/>
      <c r="Q189" s="914"/>
      <c r="R189" s="914"/>
      <c r="S189" s="914"/>
      <c r="T189" s="914"/>
      <c r="U189" s="914"/>
      <c r="V189" s="914"/>
      <c r="W189" s="914"/>
      <c r="X189" s="915"/>
    </row>
    <row r="190" spans="1:24">
      <c r="A190" s="5"/>
      <c r="B190" s="5"/>
      <c r="C190" s="6"/>
      <c r="D190" s="5"/>
      <c r="E190" s="5"/>
      <c r="F190" s="5"/>
      <c r="G190" s="5"/>
      <c r="H190" s="5"/>
      <c r="I190" s="5"/>
      <c r="J190" s="5"/>
      <c r="K190" s="5"/>
      <c r="L190" s="5"/>
      <c r="M190" s="5"/>
      <c r="N190" s="5"/>
      <c r="O190" s="5"/>
      <c r="P190" s="5"/>
      <c r="Q190" s="5"/>
      <c r="R190" s="5"/>
      <c r="S190" s="5"/>
      <c r="T190" s="5"/>
      <c r="U190" s="5"/>
      <c r="V190" s="5"/>
      <c r="W190" s="5"/>
      <c r="X190" s="5"/>
    </row>
    <row r="191" spans="1:24" ht="13.5" thickBot="1">
      <c r="A191" s="21"/>
      <c r="B191" s="21"/>
      <c r="C191" s="22"/>
      <c r="D191" s="21"/>
      <c r="E191" s="21"/>
      <c r="F191" s="21"/>
      <c r="G191" s="21"/>
      <c r="H191" s="21"/>
      <c r="I191" s="21"/>
      <c r="J191" s="21"/>
      <c r="K191" s="21"/>
      <c r="L191" s="21"/>
      <c r="M191" s="21"/>
      <c r="N191" s="21"/>
      <c r="O191" s="21"/>
      <c r="P191" s="21"/>
      <c r="Q191" s="21"/>
      <c r="R191" s="21"/>
      <c r="S191" s="21"/>
      <c r="T191" s="21"/>
      <c r="U191" s="21"/>
      <c r="V191" s="21"/>
      <c r="W191" s="21"/>
      <c r="X191" s="21"/>
    </row>
    <row r="192" spans="1:24" ht="13.5" thickBot="1">
      <c r="A192" s="95" t="s">
        <v>11</v>
      </c>
      <c r="B192" s="97" t="s">
        <v>16</v>
      </c>
      <c r="C192" s="8"/>
      <c r="D192" s="927" t="s">
        <v>78</v>
      </c>
      <c r="E192" s="928"/>
      <c r="F192" s="928"/>
      <c r="G192" s="929"/>
      <c r="H192" s="927" t="s">
        <v>77</v>
      </c>
      <c r="I192" s="928"/>
      <c r="J192" s="928"/>
      <c r="K192" s="929"/>
      <c r="L192" s="927" t="s">
        <v>81</v>
      </c>
      <c r="M192" s="928"/>
      <c r="N192" s="928"/>
      <c r="O192" s="929"/>
      <c r="P192" s="927" t="s">
        <v>254</v>
      </c>
      <c r="Q192" s="928"/>
      <c r="R192" s="928"/>
      <c r="S192" s="929"/>
      <c r="T192" s="927" t="s">
        <v>76</v>
      </c>
      <c r="U192" s="928"/>
      <c r="V192" s="928"/>
      <c r="W192" s="929"/>
      <c r="X192" s="16" t="s">
        <v>12</v>
      </c>
    </row>
    <row r="193" spans="1:24" ht="13.5" thickBot="1">
      <c r="A193" s="868" t="s">
        <v>57</v>
      </c>
      <c r="B193" s="868" t="s">
        <v>58</v>
      </c>
      <c r="C193" s="9" t="s">
        <v>285</v>
      </c>
      <c r="D193" s="942">
        <f>'LF-Enugu'!D67:G67</f>
        <v>1</v>
      </c>
      <c r="E193" s="943"/>
      <c r="F193" s="943"/>
      <c r="G193" s="944"/>
      <c r="H193" s="942">
        <f>'LF-Enugu'!H67:K67</f>
        <v>1.5</v>
      </c>
      <c r="I193" s="943"/>
      <c r="J193" s="943"/>
      <c r="K193" s="944"/>
      <c r="L193" s="942">
        <f>'LF-Enugu'!L67:O67</f>
        <v>2.5</v>
      </c>
      <c r="M193" s="943"/>
      <c r="N193" s="943"/>
      <c r="O193" s="944"/>
      <c r="P193" s="963">
        <f>'LF-Enugu'!P67:S67</f>
        <v>2.7</v>
      </c>
      <c r="Q193" s="964"/>
      <c r="R193" s="964"/>
      <c r="S193" s="965"/>
      <c r="T193" s="963">
        <f>'LF-Enugu'!T67:W67</f>
        <v>3.5</v>
      </c>
      <c r="U193" s="964"/>
      <c r="V193" s="964"/>
      <c r="W193" s="965"/>
      <c r="X193" s="879" t="s">
        <v>97</v>
      </c>
    </row>
    <row r="194" spans="1:24" ht="13.5" thickBot="1">
      <c r="A194" s="885"/>
      <c r="B194" s="885"/>
      <c r="C194" s="9" t="s">
        <v>286</v>
      </c>
      <c r="D194" s="942">
        <f>'LF-Jigawa'!D67:G67</f>
        <v>1</v>
      </c>
      <c r="E194" s="943"/>
      <c r="F194" s="943"/>
      <c r="G194" s="944"/>
      <c r="H194" s="942">
        <f>'LF-Jigawa'!H67:K67</f>
        <v>2</v>
      </c>
      <c r="I194" s="943"/>
      <c r="J194" s="943"/>
      <c r="K194" s="944"/>
      <c r="L194" s="942">
        <f>'LF-Jigawa'!L67:O67</f>
        <v>2.5</v>
      </c>
      <c r="M194" s="943"/>
      <c r="N194" s="943"/>
      <c r="O194" s="944"/>
      <c r="P194" s="963">
        <f>'LF-Jigawa'!P67:S67</f>
        <v>3.5</v>
      </c>
      <c r="Q194" s="964"/>
      <c r="R194" s="964"/>
      <c r="S194" s="965"/>
      <c r="T194" s="963">
        <f>'LF-Jigawa'!T67:W67</f>
        <v>4.5999999999999996</v>
      </c>
      <c r="U194" s="964"/>
      <c r="V194" s="964"/>
      <c r="W194" s="965"/>
      <c r="X194" s="880"/>
    </row>
    <row r="195" spans="1:24" ht="13.5" thickBot="1">
      <c r="A195" s="885"/>
      <c r="B195" s="885"/>
      <c r="C195" s="9" t="s">
        <v>287</v>
      </c>
      <c r="D195" s="942">
        <f>'LF-Kaduna'!D67:G67</f>
        <v>1</v>
      </c>
      <c r="E195" s="943"/>
      <c r="F195" s="943"/>
      <c r="G195" s="944"/>
      <c r="H195" s="942">
        <f>'LF-Kaduna'!H67:K67</f>
        <v>2</v>
      </c>
      <c r="I195" s="943"/>
      <c r="J195" s="943"/>
      <c r="K195" s="944"/>
      <c r="L195" s="942">
        <f>'LF-Kaduna'!L67:O67</f>
        <v>3</v>
      </c>
      <c r="M195" s="943"/>
      <c r="N195" s="943"/>
      <c r="O195" s="944"/>
      <c r="P195" s="963">
        <f>'LF-Kaduna'!P67:S67</f>
        <v>2.4</v>
      </c>
      <c r="Q195" s="964"/>
      <c r="R195" s="964"/>
      <c r="S195" s="965"/>
      <c r="T195" s="963">
        <f>'LF-Kaduna'!T67:W67</f>
        <v>3.8</v>
      </c>
      <c r="U195" s="964"/>
      <c r="V195" s="964"/>
      <c r="W195" s="965"/>
      <c r="X195" s="880"/>
    </row>
    <row r="196" spans="1:24" ht="13.5" thickBot="1">
      <c r="A196" s="885"/>
      <c r="B196" s="885"/>
      <c r="C196" s="9" t="s">
        <v>288</v>
      </c>
      <c r="D196" s="942">
        <f>'LF-Kano'!D67:G67</f>
        <v>1</v>
      </c>
      <c r="E196" s="943"/>
      <c r="F196" s="943"/>
      <c r="G196" s="944"/>
      <c r="H196" s="942">
        <f>'LF-Kano'!H67:K67</f>
        <v>1.5</v>
      </c>
      <c r="I196" s="943"/>
      <c r="J196" s="943"/>
      <c r="K196" s="944"/>
      <c r="L196" s="942">
        <f>'LF-Kano'!L67:O67</f>
        <v>2.5</v>
      </c>
      <c r="M196" s="943"/>
      <c r="N196" s="943"/>
      <c r="O196" s="944"/>
      <c r="P196" s="963">
        <f>'LF-Kano'!P67:S67</f>
        <v>3.5</v>
      </c>
      <c r="Q196" s="964"/>
      <c r="R196" s="964"/>
      <c r="S196" s="965"/>
      <c r="T196" s="963">
        <f>'LF-Kano'!T67:W67</f>
        <v>4</v>
      </c>
      <c r="U196" s="964"/>
      <c r="V196" s="964"/>
      <c r="W196" s="965"/>
      <c r="X196" s="880"/>
    </row>
    <row r="197" spans="1:24" ht="13.5" thickBot="1">
      <c r="A197" s="885"/>
      <c r="B197" s="885"/>
      <c r="C197" s="9" t="s">
        <v>289</v>
      </c>
      <c r="D197" s="942">
        <f>'LF-Lagos'!D67:G67</f>
        <v>1</v>
      </c>
      <c r="E197" s="943"/>
      <c r="F197" s="943"/>
      <c r="G197" s="944"/>
      <c r="H197" s="942">
        <f>'LF-Lagos'!H67:K67</f>
        <v>3</v>
      </c>
      <c r="I197" s="943"/>
      <c r="J197" s="943"/>
      <c r="K197" s="944"/>
      <c r="L197" s="942">
        <f>'LF-Lagos'!L67:O67</f>
        <v>3</v>
      </c>
      <c r="M197" s="943"/>
      <c r="N197" s="943"/>
      <c r="O197" s="944"/>
      <c r="P197" s="963">
        <f>'LF-Lagos'!P67:S67</f>
        <v>4</v>
      </c>
      <c r="Q197" s="964"/>
      <c r="R197" s="964"/>
      <c r="S197" s="965"/>
      <c r="T197" s="963">
        <f>'LF-Lagos'!T67:W67</f>
        <v>4.5</v>
      </c>
      <c r="U197" s="964"/>
      <c r="V197" s="964"/>
      <c r="W197" s="965"/>
      <c r="X197" s="880"/>
    </row>
    <row r="198" spans="1:24" ht="13.5" thickBot="1">
      <c r="A198" s="885"/>
      <c r="B198" s="885"/>
      <c r="C198" s="9" t="s">
        <v>292</v>
      </c>
      <c r="D198" s="966" t="s">
        <v>255</v>
      </c>
      <c r="E198" s="967"/>
      <c r="F198" s="967"/>
      <c r="G198" s="968"/>
      <c r="H198" s="942">
        <f>'LF-Zamfara'!H67:K67</f>
        <v>1</v>
      </c>
      <c r="I198" s="943"/>
      <c r="J198" s="943"/>
      <c r="K198" s="944"/>
      <c r="L198" s="942">
        <f>'LF-Zamfara'!L67:O67</f>
        <v>1</v>
      </c>
      <c r="M198" s="943"/>
      <c r="N198" s="943"/>
      <c r="O198" s="944"/>
      <c r="P198" s="963">
        <f>'LF-Zamfara'!P67:S67</f>
        <v>1.4</v>
      </c>
      <c r="Q198" s="964"/>
      <c r="R198" s="964"/>
      <c r="S198" s="965"/>
      <c r="T198" s="963">
        <f>'LF-Zamfara'!T67:W67</f>
        <v>2.5</v>
      </c>
      <c r="U198" s="964"/>
      <c r="V198" s="964"/>
      <c r="W198" s="965"/>
      <c r="X198" s="880"/>
    </row>
    <row r="199" spans="1:24" ht="13.5" thickBot="1">
      <c r="A199" s="885"/>
      <c r="B199" s="885"/>
      <c r="C199" s="9" t="s">
        <v>293</v>
      </c>
      <c r="D199" s="966" t="s">
        <v>255</v>
      </c>
      <c r="E199" s="967"/>
      <c r="F199" s="967"/>
      <c r="G199" s="968"/>
      <c r="H199" s="942">
        <f>'LF-Katsina'!H67:K67</f>
        <v>1</v>
      </c>
      <c r="I199" s="943"/>
      <c r="J199" s="943"/>
      <c r="K199" s="944"/>
      <c r="L199" s="942">
        <f>'LF-Katsina'!L67:O67</f>
        <v>1.5</v>
      </c>
      <c r="M199" s="943"/>
      <c r="N199" s="943"/>
      <c r="O199" s="944"/>
      <c r="P199" s="963">
        <f>'LF-Katsina'!P67:S67</f>
        <v>1.7</v>
      </c>
      <c r="Q199" s="964"/>
      <c r="R199" s="964"/>
      <c r="S199" s="965"/>
      <c r="T199" s="963">
        <f>'LF-Katsina'!T67:W67</f>
        <v>3.3</v>
      </c>
      <c r="U199" s="964"/>
      <c r="V199" s="964"/>
      <c r="W199" s="965"/>
      <c r="X199" s="880"/>
    </row>
    <row r="200" spans="1:24" ht="13.5" thickBot="1">
      <c r="A200" s="885"/>
      <c r="B200" s="885"/>
      <c r="C200" s="9" t="s">
        <v>294</v>
      </c>
      <c r="D200" s="966" t="s">
        <v>255</v>
      </c>
      <c r="E200" s="967"/>
      <c r="F200" s="967"/>
      <c r="G200" s="968"/>
      <c r="H200" s="942">
        <f>'LF-Yobe'!H67:K67</f>
        <v>1</v>
      </c>
      <c r="I200" s="943"/>
      <c r="J200" s="943"/>
      <c r="K200" s="944"/>
      <c r="L200" s="942">
        <f>'LF-Yobe'!L67:O67</f>
        <v>1</v>
      </c>
      <c r="M200" s="943"/>
      <c r="N200" s="943"/>
      <c r="O200" s="944"/>
      <c r="P200" s="963">
        <f>'LF-Yobe'!P67:S67</f>
        <v>1.4</v>
      </c>
      <c r="Q200" s="964"/>
      <c r="R200" s="964"/>
      <c r="S200" s="965"/>
      <c r="T200" s="963">
        <f>'LF-Yobe'!T67:W67</f>
        <v>2.5</v>
      </c>
      <c r="U200" s="964"/>
      <c r="V200" s="964"/>
      <c r="W200" s="965"/>
      <c r="X200" s="880"/>
    </row>
    <row r="201" spans="1:24" ht="12.95" customHeight="1" thickBot="1">
      <c r="A201" s="885"/>
      <c r="B201" s="885"/>
      <c r="C201" s="9" t="s">
        <v>290</v>
      </c>
      <c r="D201" s="957"/>
      <c r="E201" s="958"/>
      <c r="F201" s="958"/>
      <c r="G201" s="959"/>
      <c r="H201" s="1162"/>
      <c r="I201" s="1163"/>
      <c r="J201" s="1163"/>
      <c r="K201" s="1164"/>
      <c r="L201" s="1150" t="s">
        <v>909</v>
      </c>
      <c r="M201" s="1151"/>
      <c r="N201" s="1151"/>
      <c r="O201" s="1152"/>
      <c r="P201" s="963">
        <f>'LF-Anambra'!P67:S67</f>
        <v>1.2</v>
      </c>
      <c r="Q201" s="964"/>
      <c r="R201" s="964"/>
      <c r="S201" s="965"/>
      <c r="T201" s="963">
        <f>'LF-Anambra'!T67:W67</f>
        <v>1.3</v>
      </c>
      <c r="U201" s="964"/>
      <c r="V201" s="964"/>
      <c r="W201" s="965"/>
      <c r="X201" s="880"/>
    </row>
    <row r="202" spans="1:24" ht="12.95" customHeight="1" thickBot="1">
      <c r="A202" s="885"/>
      <c r="B202" s="885"/>
      <c r="C202" s="9" t="s">
        <v>291</v>
      </c>
      <c r="D202" s="957"/>
      <c r="E202" s="958"/>
      <c r="F202" s="958"/>
      <c r="G202" s="959"/>
      <c r="H202" s="1162"/>
      <c r="I202" s="1163"/>
      <c r="J202" s="1163"/>
      <c r="K202" s="1164"/>
      <c r="L202" s="1150" t="s">
        <v>909</v>
      </c>
      <c r="M202" s="1151"/>
      <c r="N202" s="1151"/>
      <c r="O202" s="1152"/>
      <c r="P202" s="942">
        <f>'LF-Niger'!P67:S67</f>
        <v>1.1000000000000001</v>
      </c>
      <c r="Q202" s="943"/>
      <c r="R202" s="943"/>
      <c r="S202" s="944"/>
      <c r="T202" s="942">
        <f>'LF-Niger'!T67:W67</f>
        <v>1.8</v>
      </c>
      <c r="U202" s="943"/>
      <c r="V202" s="943"/>
      <c r="W202" s="944"/>
      <c r="X202" s="880"/>
    </row>
    <row r="203" spans="1:24" ht="13.5" thickBot="1">
      <c r="A203" s="885"/>
      <c r="B203" s="885"/>
      <c r="C203" s="100" t="s">
        <v>295</v>
      </c>
      <c r="D203" s="1017"/>
      <c r="E203" s="1018"/>
      <c r="F203" s="1018"/>
      <c r="G203" s="1019"/>
      <c r="H203" s="1147">
        <f>'LF-Enugu'!H68:K68</f>
        <v>2</v>
      </c>
      <c r="I203" s="1148"/>
      <c r="J203" s="1148"/>
      <c r="K203" s="1149"/>
      <c r="L203" s="1147">
        <f>'LF-Enugu'!L68:O68</f>
        <v>2</v>
      </c>
      <c r="M203" s="1148"/>
      <c r="N203" s="1148"/>
      <c r="O203" s="1149"/>
      <c r="P203" s="1147">
        <f>'LF-Enugu'!P68:S68</f>
        <v>2.5</v>
      </c>
      <c r="Q203" s="1148"/>
      <c r="R203" s="1148"/>
      <c r="S203" s="1149"/>
      <c r="T203" s="1147">
        <f>'LF-Enugu'!T68:W68</f>
        <v>0</v>
      </c>
      <c r="U203" s="1148"/>
      <c r="V203" s="1148"/>
      <c r="W203" s="1149"/>
      <c r="X203" s="880"/>
    </row>
    <row r="204" spans="1:24" ht="13.5" thickBot="1">
      <c r="A204" s="885"/>
      <c r="B204" s="885"/>
      <c r="C204" s="100" t="s">
        <v>296</v>
      </c>
      <c r="D204" s="1017"/>
      <c r="E204" s="1018"/>
      <c r="F204" s="1018"/>
      <c r="G204" s="1019"/>
      <c r="H204" s="1147">
        <f>'LF-Jigawa'!H68:K68</f>
        <v>2</v>
      </c>
      <c r="I204" s="1148"/>
      <c r="J204" s="1148"/>
      <c r="K204" s="1149"/>
      <c r="L204" s="1147">
        <f>'LF-Jigawa'!L68:O68</f>
        <v>2.7</v>
      </c>
      <c r="M204" s="1148"/>
      <c r="N204" s="1148"/>
      <c r="O204" s="1149"/>
      <c r="P204" s="1147">
        <f>'LF-Jigawa'!P68:S68</f>
        <v>3.8</v>
      </c>
      <c r="Q204" s="1148"/>
      <c r="R204" s="1148"/>
      <c r="S204" s="1149"/>
      <c r="T204" s="1147">
        <f>'LF-Jigawa'!T68:W68</f>
        <v>0</v>
      </c>
      <c r="U204" s="1148"/>
      <c r="V204" s="1148"/>
      <c r="W204" s="1149"/>
      <c r="X204" s="880"/>
    </row>
    <row r="205" spans="1:24" ht="13.5" thickBot="1">
      <c r="A205" s="885"/>
      <c r="B205" s="885"/>
      <c r="C205" s="100" t="s">
        <v>297</v>
      </c>
      <c r="D205" s="1017"/>
      <c r="E205" s="1018"/>
      <c r="F205" s="1018"/>
      <c r="G205" s="1019"/>
      <c r="H205" s="1147">
        <f>'LF-Kaduna'!H68:K68</f>
        <v>1.4</v>
      </c>
      <c r="I205" s="1148"/>
      <c r="J205" s="1148"/>
      <c r="K205" s="1149"/>
      <c r="L205" s="1147">
        <f>'LF-Kaduna'!L68:O68</f>
        <v>2.2999999999999998</v>
      </c>
      <c r="M205" s="1148"/>
      <c r="N205" s="1148"/>
      <c r="O205" s="1149"/>
      <c r="P205" s="1147">
        <f>'LF-Kaduna'!P68:S68</f>
        <v>2.5</v>
      </c>
      <c r="Q205" s="1148"/>
      <c r="R205" s="1148"/>
      <c r="S205" s="1149"/>
      <c r="T205" s="1147">
        <f>'LF-Kaduna'!T68:W68</f>
        <v>0</v>
      </c>
      <c r="U205" s="1148"/>
      <c r="V205" s="1148"/>
      <c r="W205" s="1149"/>
      <c r="X205" s="880"/>
    </row>
    <row r="206" spans="1:24" ht="13.5" thickBot="1">
      <c r="A206" s="885"/>
      <c r="B206" s="885"/>
      <c r="C206" s="100" t="s">
        <v>298</v>
      </c>
      <c r="D206" s="1017"/>
      <c r="E206" s="1018"/>
      <c r="F206" s="1018"/>
      <c r="G206" s="1019"/>
      <c r="H206" s="1147">
        <f>'LF-Kano'!H68:K68</f>
        <v>2</v>
      </c>
      <c r="I206" s="1148"/>
      <c r="J206" s="1148"/>
      <c r="K206" s="1149"/>
      <c r="L206" s="1147">
        <f>'LF-Kano'!L68:O68</f>
        <v>2.5</v>
      </c>
      <c r="M206" s="1148"/>
      <c r="N206" s="1148"/>
      <c r="O206" s="1149"/>
      <c r="P206" s="1147">
        <f>'LF-Kano'!P68:S68</f>
        <v>3.6</v>
      </c>
      <c r="Q206" s="1148"/>
      <c r="R206" s="1148"/>
      <c r="S206" s="1149"/>
      <c r="T206" s="1147">
        <f>'LF-Kano'!T68:W68</f>
        <v>0</v>
      </c>
      <c r="U206" s="1148"/>
      <c r="V206" s="1148"/>
      <c r="W206" s="1149"/>
      <c r="X206" s="880"/>
    </row>
    <row r="207" spans="1:24" ht="13.5" thickBot="1">
      <c r="A207" s="885"/>
      <c r="B207" s="885"/>
      <c r="C207" s="100" t="s">
        <v>299</v>
      </c>
      <c r="D207" s="1017"/>
      <c r="E207" s="1018"/>
      <c r="F207" s="1018"/>
      <c r="G207" s="1019"/>
      <c r="H207" s="1147">
        <f>'LF-Lagos'!H68:K68</f>
        <v>3</v>
      </c>
      <c r="I207" s="1148"/>
      <c r="J207" s="1148"/>
      <c r="K207" s="1149"/>
      <c r="L207" s="1147">
        <f>'LF-Lagos'!L68:O68</f>
        <v>3.1</v>
      </c>
      <c r="M207" s="1148"/>
      <c r="N207" s="1148"/>
      <c r="O207" s="1149"/>
      <c r="P207" s="1147">
        <f>'LF-Lagos'!P68:S68</f>
        <v>3.9</v>
      </c>
      <c r="Q207" s="1148"/>
      <c r="R207" s="1148"/>
      <c r="S207" s="1149"/>
      <c r="T207" s="1147">
        <f>'LF-Lagos'!T68:W68</f>
        <v>0</v>
      </c>
      <c r="U207" s="1148"/>
      <c r="V207" s="1148"/>
      <c r="W207" s="1149"/>
      <c r="X207" s="880"/>
    </row>
    <row r="208" spans="1:24" ht="24.75" thickBot="1">
      <c r="A208" s="885"/>
      <c r="B208" s="885"/>
      <c r="C208" s="100" t="s">
        <v>300</v>
      </c>
      <c r="D208" s="1017"/>
      <c r="E208" s="1018"/>
      <c r="F208" s="1018"/>
      <c r="G208" s="1019"/>
      <c r="H208" s="1017"/>
      <c r="I208" s="1018"/>
      <c r="J208" s="1018"/>
      <c r="K208" s="1019"/>
      <c r="L208" s="1147">
        <f>'LF-Zamfara'!L68:O68</f>
        <v>1</v>
      </c>
      <c r="M208" s="1148"/>
      <c r="N208" s="1148"/>
      <c r="O208" s="1149"/>
      <c r="P208" s="1147">
        <f>'LF-Zamfara'!P68:S68</f>
        <v>1.6</v>
      </c>
      <c r="Q208" s="1148"/>
      <c r="R208" s="1148"/>
      <c r="S208" s="1149"/>
      <c r="T208" s="1147">
        <f>'LF-Zamfara'!T68:W68</f>
        <v>0</v>
      </c>
      <c r="U208" s="1148"/>
      <c r="V208" s="1148"/>
      <c r="W208" s="1149"/>
      <c r="X208" s="880"/>
    </row>
    <row r="209" spans="1:24" ht="13.5" thickBot="1">
      <c r="A209" s="885"/>
      <c r="B209" s="885"/>
      <c r="C209" s="100" t="s">
        <v>301</v>
      </c>
      <c r="D209" s="1017"/>
      <c r="E209" s="1018"/>
      <c r="F209" s="1018"/>
      <c r="G209" s="1019"/>
      <c r="H209" s="1017"/>
      <c r="I209" s="1018"/>
      <c r="J209" s="1018"/>
      <c r="K209" s="1019"/>
      <c r="L209" s="1147">
        <f>'LF-Katsina'!L68:O68</f>
        <v>1.5</v>
      </c>
      <c r="M209" s="1148"/>
      <c r="N209" s="1148"/>
      <c r="O209" s="1149"/>
      <c r="P209" s="1147">
        <f>'LF-Katsina'!P68:S68</f>
        <v>1</v>
      </c>
      <c r="Q209" s="1148"/>
      <c r="R209" s="1148"/>
      <c r="S209" s="1149"/>
      <c r="T209" s="1147">
        <f>'LF-Katsina'!T68:W68</f>
        <v>0</v>
      </c>
      <c r="U209" s="1148"/>
      <c r="V209" s="1148"/>
      <c r="W209" s="1149"/>
      <c r="X209" s="880"/>
    </row>
    <row r="210" spans="1:24" ht="13.5" thickBot="1">
      <c r="A210" s="885"/>
      <c r="B210" s="885"/>
      <c r="C210" s="100" t="s">
        <v>302</v>
      </c>
      <c r="D210" s="1017"/>
      <c r="E210" s="1018"/>
      <c r="F210" s="1018"/>
      <c r="G210" s="1019"/>
      <c r="H210" s="1017"/>
      <c r="I210" s="1018"/>
      <c r="J210" s="1018"/>
      <c r="K210" s="1019"/>
      <c r="L210" s="1147">
        <f>'LF-Yobe'!L68:O68</f>
        <v>1</v>
      </c>
      <c r="M210" s="1148"/>
      <c r="N210" s="1148"/>
      <c r="O210" s="1149"/>
      <c r="P210" s="1147">
        <f>'LF-Yobe'!P68:S68</f>
        <v>1.8</v>
      </c>
      <c r="Q210" s="1148"/>
      <c r="R210" s="1148"/>
      <c r="S210" s="1149"/>
      <c r="T210" s="1147">
        <f>'LF-Yobe'!T68:W68</f>
        <v>0</v>
      </c>
      <c r="U210" s="1148"/>
      <c r="V210" s="1148"/>
      <c r="W210" s="1149"/>
      <c r="X210" s="880"/>
    </row>
    <row r="211" spans="1:24" ht="24.75" thickBot="1">
      <c r="A211" s="885"/>
      <c r="B211" s="885"/>
      <c r="C211" s="100" t="s">
        <v>303</v>
      </c>
      <c r="D211" s="1017"/>
      <c r="E211" s="1018"/>
      <c r="F211" s="1018"/>
      <c r="G211" s="1019"/>
      <c r="H211" s="1017"/>
      <c r="I211" s="1018"/>
      <c r="J211" s="1018"/>
      <c r="K211" s="1019"/>
      <c r="L211" s="1017"/>
      <c r="M211" s="1018"/>
      <c r="N211" s="1018"/>
      <c r="O211" s="1019"/>
      <c r="P211" s="1054"/>
      <c r="Q211" s="1055"/>
      <c r="R211" s="1055"/>
      <c r="S211" s="1056"/>
      <c r="T211" s="1147">
        <f>'LF-Anambra'!T68:W68</f>
        <v>0</v>
      </c>
      <c r="U211" s="1148"/>
      <c r="V211" s="1148"/>
      <c r="W211" s="1149"/>
      <c r="X211" s="880"/>
    </row>
    <row r="212" spans="1:24" ht="13.5" thickBot="1">
      <c r="A212" s="885"/>
      <c r="B212" s="885"/>
      <c r="C212" s="100" t="s">
        <v>304</v>
      </c>
      <c r="D212" s="1017"/>
      <c r="E212" s="1018"/>
      <c r="F212" s="1018"/>
      <c r="G212" s="1019"/>
      <c r="H212" s="1017"/>
      <c r="I212" s="1018"/>
      <c r="J212" s="1018"/>
      <c r="K212" s="1019"/>
      <c r="L212" s="1017"/>
      <c r="M212" s="1018"/>
      <c r="N212" s="1018"/>
      <c r="O212" s="1019"/>
      <c r="P212" s="1054"/>
      <c r="Q212" s="1055"/>
      <c r="R212" s="1055"/>
      <c r="S212" s="1056"/>
      <c r="T212" s="1147">
        <f>'LF-Niger'!T68:W68</f>
        <v>0</v>
      </c>
      <c r="U212" s="1148"/>
      <c r="V212" s="1148"/>
      <c r="W212" s="1149"/>
      <c r="X212" s="880"/>
    </row>
    <row r="213" spans="1:24" ht="13.5" thickBot="1">
      <c r="A213" s="885"/>
      <c r="B213" s="885"/>
      <c r="C213" s="922" t="s">
        <v>413</v>
      </c>
      <c r="D213" s="927" t="s">
        <v>4</v>
      </c>
      <c r="E213" s="928"/>
      <c r="F213" s="928"/>
      <c r="G213" s="928"/>
      <c r="H213" s="928"/>
      <c r="I213" s="928"/>
      <c r="J213" s="928"/>
      <c r="K213" s="928"/>
      <c r="L213" s="928"/>
      <c r="M213" s="928"/>
      <c r="N213" s="928"/>
      <c r="O213" s="928"/>
      <c r="P213" s="928"/>
      <c r="Q213" s="928"/>
      <c r="R213" s="928"/>
      <c r="S213" s="928"/>
      <c r="T213" s="928"/>
      <c r="U213" s="928"/>
      <c r="V213" s="928"/>
      <c r="W213" s="929"/>
      <c r="X213" s="880"/>
    </row>
    <row r="214" spans="1:24" ht="24" customHeight="1" thickBot="1">
      <c r="A214" s="885"/>
      <c r="B214" s="869"/>
      <c r="C214" s="923"/>
      <c r="D214" s="930" t="s">
        <v>120</v>
      </c>
      <c r="E214" s="931"/>
      <c r="F214" s="931"/>
      <c r="G214" s="931"/>
      <c r="H214" s="931"/>
      <c r="I214" s="931"/>
      <c r="J214" s="931"/>
      <c r="K214" s="931"/>
      <c r="L214" s="931"/>
      <c r="M214" s="931"/>
      <c r="N214" s="931"/>
      <c r="O214" s="931"/>
      <c r="P214" s="931"/>
      <c r="Q214" s="931"/>
      <c r="R214" s="931"/>
      <c r="S214" s="931"/>
      <c r="T214" s="931"/>
      <c r="U214" s="931"/>
      <c r="V214" s="931"/>
      <c r="W214" s="932"/>
      <c r="X214" s="880"/>
    </row>
    <row r="215" spans="1:24" ht="13.5" thickBot="1">
      <c r="A215" s="885"/>
      <c r="B215" s="11" t="s">
        <v>17</v>
      </c>
      <c r="C215" s="12"/>
      <c r="D215" s="927" t="s">
        <v>78</v>
      </c>
      <c r="E215" s="928"/>
      <c r="F215" s="928"/>
      <c r="G215" s="929"/>
      <c r="H215" s="927" t="s">
        <v>77</v>
      </c>
      <c r="I215" s="928"/>
      <c r="J215" s="928"/>
      <c r="K215" s="929"/>
      <c r="L215" s="927" t="s">
        <v>81</v>
      </c>
      <c r="M215" s="928"/>
      <c r="N215" s="928"/>
      <c r="O215" s="929"/>
      <c r="P215" s="927" t="s">
        <v>254</v>
      </c>
      <c r="Q215" s="928"/>
      <c r="R215" s="928"/>
      <c r="S215" s="929"/>
      <c r="T215" s="927" t="s">
        <v>76</v>
      </c>
      <c r="U215" s="928"/>
      <c r="V215" s="928"/>
      <c r="W215" s="929"/>
      <c r="X215" s="880"/>
    </row>
    <row r="216" spans="1:24" ht="13.5" thickBot="1">
      <c r="A216" s="885"/>
      <c r="B216" s="868" t="s">
        <v>59</v>
      </c>
      <c r="C216" s="9" t="s">
        <v>285</v>
      </c>
      <c r="D216" s="942">
        <f>'LF-Enugu'!D72:G72</f>
        <v>1.5</v>
      </c>
      <c r="E216" s="943"/>
      <c r="F216" s="943"/>
      <c r="G216" s="944"/>
      <c r="H216" s="942">
        <f>'LF-Enugu'!H72:K72</f>
        <v>1</v>
      </c>
      <c r="I216" s="943"/>
      <c r="J216" s="943"/>
      <c r="K216" s="944"/>
      <c r="L216" s="942">
        <f>'LF-Enugu'!L72:O72</f>
        <v>2</v>
      </c>
      <c r="M216" s="943"/>
      <c r="N216" s="943"/>
      <c r="O216" s="944"/>
      <c r="P216" s="963">
        <f>'LF-Enugu'!P72:S72</f>
        <v>2.5</v>
      </c>
      <c r="Q216" s="964"/>
      <c r="R216" s="964"/>
      <c r="S216" s="965"/>
      <c r="T216" s="963">
        <f>'LF-Enugu'!T72:W72</f>
        <v>3.5</v>
      </c>
      <c r="U216" s="964"/>
      <c r="V216" s="964"/>
      <c r="W216" s="965"/>
      <c r="X216" s="880"/>
    </row>
    <row r="217" spans="1:24" ht="13.5" thickBot="1">
      <c r="A217" s="885"/>
      <c r="B217" s="885"/>
      <c r="C217" s="9" t="s">
        <v>286</v>
      </c>
      <c r="D217" s="942">
        <f>'LF-Jigawa'!D72:G72</f>
        <v>1</v>
      </c>
      <c r="E217" s="943"/>
      <c r="F217" s="943"/>
      <c r="G217" s="944"/>
      <c r="H217" s="942">
        <f>'LF-Jigawa'!H72:K72</f>
        <v>1.5</v>
      </c>
      <c r="I217" s="943"/>
      <c r="J217" s="943"/>
      <c r="K217" s="944"/>
      <c r="L217" s="942">
        <f>'LF-Jigawa'!L72:O72</f>
        <v>2.5</v>
      </c>
      <c r="M217" s="943"/>
      <c r="N217" s="943"/>
      <c r="O217" s="944"/>
      <c r="P217" s="963">
        <f>'LF-Jigawa'!P72:S72</f>
        <v>3.5</v>
      </c>
      <c r="Q217" s="964"/>
      <c r="R217" s="964"/>
      <c r="S217" s="965"/>
      <c r="T217" s="963">
        <f>'LF-Jigawa'!T72:W72</f>
        <v>4.4000000000000004</v>
      </c>
      <c r="U217" s="964"/>
      <c r="V217" s="964"/>
      <c r="W217" s="965"/>
      <c r="X217" s="880"/>
    </row>
    <row r="218" spans="1:24" ht="13.5" thickBot="1">
      <c r="A218" s="885"/>
      <c r="B218" s="885"/>
      <c r="C218" s="9" t="s">
        <v>287</v>
      </c>
      <c r="D218" s="942">
        <f>'LF-Kaduna'!D72:G72</f>
        <v>1</v>
      </c>
      <c r="E218" s="943"/>
      <c r="F218" s="943"/>
      <c r="G218" s="944"/>
      <c r="H218" s="942">
        <f>'LF-Kaduna'!H72:K72</f>
        <v>2</v>
      </c>
      <c r="I218" s="943"/>
      <c r="J218" s="943"/>
      <c r="K218" s="944"/>
      <c r="L218" s="942">
        <f>'LF-Kaduna'!L72:O72</f>
        <v>3</v>
      </c>
      <c r="M218" s="943"/>
      <c r="N218" s="943"/>
      <c r="O218" s="944"/>
      <c r="P218" s="963">
        <f>'LF-Kaduna'!P72:S72</f>
        <v>3</v>
      </c>
      <c r="Q218" s="964"/>
      <c r="R218" s="964"/>
      <c r="S218" s="965"/>
      <c r="T218" s="963">
        <f>'LF-Kaduna'!T72:W72</f>
        <v>4</v>
      </c>
      <c r="U218" s="964"/>
      <c r="V218" s="964"/>
      <c r="W218" s="965"/>
      <c r="X218" s="880"/>
    </row>
    <row r="219" spans="1:24" ht="13.5" thickBot="1">
      <c r="A219" s="885"/>
      <c r="B219" s="885"/>
      <c r="C219" s="9" t="s">
        <v>288</v>
      </c>
      <c r="D219" s="942">
        <f>'LF-Kano'!D72:G72</f>
        <v>1</v>
      </c>
      <c r="E219" s="943"/>
      <c r="F219" s="943"/>
      <c r="G219" s="944"/>
      <c r="H219" s="942">
        <f>'LF-Kano'!H72:K72</f>
        <v>1.5</v>
      </c>
      <c r="I219" s="943"/>
      <c r="J219" s="943"/>
      <c r="K219" s="944"/>
      <c r="L219" s="942">
        <f>'LF-Kano'!L72:O72</f>
        <v>3</v>
      </c>
      <c r="M219" s="943"/>
      <c r="N219" s="943"/>
      <c r="O219" s="944"/>
      <c r="P219" s="963">
        <f>'LF-Kano'!P72:S72</f>
        <v>4</v>
      </c>
      <c r="Q219" s="964"/>
      <c r="R219" s="964"/>
      <c r="S219" s="965"/>
      <c r="T219" s="963">
        <f>'LF-Kano'!T72:W72</f>
        <v>4.5</v>
      </c>
      <c r="U219" s="964"/>
      <c r="V219" s="964"/>
      <c r="W219" s="965"/>
      <c r="X219" s="880"/>
    </row>
    <row r="220" spans="1:24" ht="13.5" thickBot="1">
      <c r="A220" s="885"/>
      <c r="B220" s="885"/>
      <c r="C220" s="9" t="s">
        <v>289</v>
      </c>
      <c r="D220" s="942">
        <f>'LF-Lagos'!D72:G72</f>
        <v>1</v>
      </c>
      <c r="E220" s="943"/>
      <c r="F220" s="943"/>
      <c r="G220" s="944"/>
      <c r="H220" s="942">
        <f>'LF-Lagos'!H72:K72</f>
        <v>2</v>
      </c>
      <c r="I220" s="943"/>
      <c r="J220" s="943"/>
      <c r="K220" s="944"/>
      <c r="L220" s="942">
        <f>'LF-Lagos'!L72:O72</f>
        <v>3</v>
      </c>
      <c r="M220" s="943"/>
      <c r="N220" s="943"/>
      <c r="O220" s="944"/>
      <c r="P220" s="963">
        <f>'LF-Lagos'!P72:S72</f>
        <v>3.5</v>
      </c>
      <c r="Q220" s="964"/>
      <c r="R220" s="964"/>
      <c r="S220" s="965"/>
      <c r="T220" s="963">
        <f>'LF-Lagos'!T72:W72</f>
        <v>4.0999999999999996</v>
      </c>
      <c r="U220" s="964"/>
      <c r="V220" s="964"/>
      <c r="W220" s="965"/>
      <c r="X220" s="880"/>
    </row>
    <row r="221" spans="1:24" ht="13.5" thickBot="1">
      <c r="A221" s="885"/>
      <c r="B221" s="885"/>
      <c r="C221" s="9" t="s">
        <v>292</v>
      </c>
      <c r="D221" s="966" t="s">
        <v>255</v>
      </c>
      <c r="E221" s="967"/>
      <c r="F221" s="967"/>
      <c r="G221" s="968"/>
      <c r="H221" s="942">
        <f>'LF-Zamfara'!H72:K72</f>
        <v>1</v>
      </c>
      <c r="I221" s="943"/>
      <c r="J221" s="943"/>
      <c r="K221" s="944"/>
      <c r="L221" s="942">
        <f>'LF-Zamfara'!L72:O72</f>
        <v>1</v>
      </c>
      <c r="M221" s="943"/>
      <c r="N221" s="943"/>
      <c r="O221" s="944"/>
      <c r="P221" s="963">
        <f>'LF-Zamfara'!P72:S72</f>
        <v>1.5</v>
      </c>
      <c r="Q221" s="964"/>
      <c r="R221" s="964"/>
      <c r="S221" s="965"/>
      <c r="T221" s="963">
        <f>'LF-Zamfara'!T72:W72</f>
        <v>2</v>
      </c>
      <c r="U221" s="964"/>
      <c r="V221" s="964"/>
      <c r="W221" s="965"/>
      <c r="X221" s="880"/>
    </row>
    <row r="222" spans="1:24" ht="13.5" thickBot="1">
      <c r="A222" s="885"/>
      <c r="B222" s="885"/>
      <c r="C222" s="9" t="s">
        <v>293</v>
      </c>
      <c r="D222" s="966" t="s">
        <v>255</v>
      </c>
      <c r="E222" s="967"/>
      <c r="F222" s="967"/>
      <c r="G222" s="968"/>
      <c r="H222" s="942">
        <f>'LF-Katsina'!H72:K72</f>
        <v>1</v>
      </c>
      <c r="I222" s="943"/>
      <c r="J222" s="943"/>
      <c r="K222" s="944"/>
      <c r="L222" s="942">
        <f>'LF-Katsina'!L72:O72</f>
        <v>1</v>
      </c>
      <c r="M222" s="943"/>
      <c r="N222" s="943"/>
      <c r="O222" s="944"/>
      <c r="P222" s="963">
        <f>'LF-Katsina'!P72:S72</f>
        <v>1.3</v>
      </c>
      <c r="Q222" s="964"/>
      <c r="R222" s="964"/>
      <c r="S222" s="965"/>
      <c r="T222" s="963">
        <f>'LF-Katsina'!T72:W72</f>
        <v>3.5</v>
      </c>
      <c r="U222" s="964"/>
      <c r="V222" s="964"/>
      <c r="W222" s="965"/>
      <c r="X222" s="880"/>
    </row>
    <row r="223" spans="1:24" ht="13.5" thickBot="1">
      <c r="A223" s="885"/>
      <c r="B223" s="885"/>
      <c r="C223" s="9" t="s">
        <v>294</v>
      </c>
      <c r="D223" s="966" t="s">
        <v>255</v>
      </c>
      <c r="E223" s="967"/>
      <c r="F223" s="967"/>
      <c r="G223" s="968"/>
      <c r="H223" s="942">
        <f>'LF-Yobe'!H72:K72</f>
        <v>1</v>
      </c>
      <c r="I223" s="943"/>
      <c r="J223" s="943"/>
      <c r="K223" s="944"/>
      <c r="L223" s="942">
        <f>'LF-Yobe'!L72:O72</f>
        <v>1</v>
      </c>
      <c r="M223" s="943"/>
      <c r="N223" s="943"/>
      <c r="O223" s="944"/>
      <c r="P223" s="942">
        <f>'LF-Yobe'!P72:S72</f>
        <v>1.4</v>
      </c>
      <c r="Q223" s="943"/>
      <c r="R223" s="943"/>
      <c r="S223" s="944"/>
      <c r="T223" s="942">
        <f>'LF-Yobe'!T72:W72</f>
        <v>3</v>
      </c>
      <c r="U223" s="943"/>
      <c r="V223" s="943"/>
      <c r="W223" s="944"/>
      <c r="X223" s="880"/>
    </row>
    <row r="224" spans="1:24" ht="12.95" customHeight="1" thickBot="1">
      <c r="A224" s="885"/>
      <c r="B224" s="885"/>
      <c r="C224" s="9" t="s">
        <v>290</v>
      </c>
      <c r="D224" s="957"/>
      <c r="E224" s="958"/>
      <c r="F224" s="958"/>
      <c r="G224" s="959"/>
      <c r="H224" s="1162"/>
      <c r="I224" s="1163"/>
      <c r="J224" s="1163"/>
      <c r="K224" s="1164"/>
      <c r="L224" s="1150" t="s">
        <v>909</v>
      </c>
      <c r="M224" s="1151"/>
      <c r="N224" s="1151"/>
      <c r="O224" s="1152"/>
      <c r="P224" s="942">
        <f>'LF-Anambra'!P72:S72</f>
        <v>2</v>
      </c>
      <c r="Q224" s="943"/>
      <c r="R224" s="943"/>
      <c r="S224" s="944"/>
      <c r="T224" s="942">
        <f>'LF-Anambra'!T72:W72</f>
        <v>2.1</v>
      </c>
      <c r="U224" s="943"/>
      <c r="V224" s="943"/>
      <c r="W224" s="944"/>
      <c r="X224" s="880"/>
    </row>
    <row r="225" spans="1:24" ht="12.95" customHeight="1" thickBot="1">
      <c r="A225" s="885"/>
      <c r="B225" s="885"/>
      <c r="C225" s="9" t="s">
        <v>291</v>
      </c>
      <c r="D225" s="957"/>
      <c r="E225" s="958"/>
      <c r="F225" s="958"/>
      <c r="G225" s="959"/>
      <c r="H225" s="1162"/>
      <c r="I225" s="1163"/>
      <c r="J225" s="1163"/>
      <c r="K225" s="1164"/>
      <c r="L225" s="1150" t="s">
        <v>909</v>
      </c>
      <c r="M225" s="1151"/>
      <c r="N225" s="1151"/>
      <c r="O225" s="1152"/>
      <c r="P225" s="942">
        <f>'LF-Niger'!P72:S72</f>
        <v>1</v>
      </c>
      <c r="Q225" s="943"/>
      <c r="R225" s="943"/>
      <c r="S225" s="944"/>
      <c r="T225" s="942">
        <f>'LF-Niger'!T72:W72</f>
        <v>1.7</v>
      </c>
      <c r="U225" s="943"/>
      <c r="V225" s="943"/>
      <c r="W225" s="944"/>
      <c r="X225" s="880"/>
    </row>
    <row r="226" spans="1:24" ht="13.5" thickBot="1">
      <c r="A226" s="885"/>
      <c r="B226" s="885"/>
      <c r="C226" s="100" t="s">
        <v>295</v>
      </c>
      <c r="D226" s="1017"/>
      <c r="E226" s="1018"/>
      <c r="F226" s="1018"/>
      <c r="G226" s="1019"/>
      <c r="H226" s="1147">
        <f>'LF-Enugu'!H73:K73</f>
        <v>0</v>
      </c>
      <c r="I226" s="1148"/>
      <c r="J226" s="1148"/>
      <c r="K226" s="1149"/>
      <c r="L226" s="1147">
        <f>'LF-Enugu'!L73:O73</f>
        <v>2.2999999999999998</v>
      </c>
      <c r="M226" s="1148"/>
      <c r="N226" s="1148"/>
      <c r="O226" s="1149"/>
      <c r="P226" s="1147">
        <f>'LF-Enugu'!P73:S73</f>
        <v>3.1</v>
      </c>
      <c r="Q226" s="1148"/>
      <c r="R226" s="1148"/>
      <c r="S226" s="1149"/>
      <c r="T226" s="1147">
        <f>'LF-Enugu'!T73:W73</f>
        <v>0</v>
      </c>
      <c r="U226" s="1148"/>
      <c r="V226" s="1148"/>
      <c r="W226" s="1149"/>
      <c r="X226" s="880"/>
    </row>
    <row r="227" spans="1:24" ht="13.5" thickBot="1">
      <c r="A227" s="885"/>
      <c r="B227" s="885"/>
      <c r="C227" s="100" t="s">
        <v>296</v>
      </c>
      <c r="D227" s="1017"/>
      <c r="E227" s="1018"/>
      <c r="F227" s="1018"/>
      <c r="G227" s="1019"/>
      <c r="H227" s="1147">
        <f>'LF-Jigawa'!H73:K73</f>
        <v>3</v>
      </c>
      <c r="I227" s="1148"/>
      <c r="J227" s="1148"/>
      <c r="K227" s="1149"/>
      <c r="L227" s="1147">
        <f>'LF-Jigawa'!L73:O73</f>
        <v>2.7</v>
      </c>
      <c r="M227" s="1148"/>
      <c r="N227" s="1148"/>
      <c r="O227" s="1149"/>
      <c r="P227" s="1147">
        <f>'LF-Jigawa'!P73:S73</f>
        <v>4.0999999999999996</v>
      </c>
      <c r="Q227" s="1148"/>
      <c r="R227" s="1148"/>
      <c r="S227" s="1149"/>
      <c r="T227" s="1147">
        <f>'LF-Jigawa'!T73:W73</f>
        <v>0</v>
      </c>
      <c r="U227" s="1148"/>
      <c r="V227" s="1148"/>
      <c r="W227" s="1149"/>
      <c r="X227" s="880"/>
    </row>
    <row r="228" spans="1:24" ht="13.5" thickBot="1">
      <c r="A228" s="885"/>
      <c r="B228" s="885"/>
      <c r="C228" s="100" t="s">
        <v>297</v>
      </c>
      <c r="D228" s="1017"/>
      <c r="E228" s="1018"/>
      <c r="F228" s="1018"/>
      <c r="G228" s="1019"/>
      <c r="H228" s="1147">
        <f>'LF-Kaduna'!H73:K73</f>
        <v>1.4</v>
      </c>
      <c r="I228" s="1148"/>
      <c r="J228" s="1148"/>
      <c r="K228" s="1149"/>
      <c r="L228" s="1147">
        <f>'LF-Kaduna'!L73:O73</f>
        <v>2.9</v>
      </c>
      <c r="M228" s="1148"/>
      <c r="N228" s="1148"/>
      <c r="O228" s="1149"/>
      <c r="P228" s="1147">
        <f>'LF-Kaduna'!P73:S73</f>
        <v>3</v>
      </c>
      <c r="Q228" s="1148"/>
      <c r="R228" s="1148"/>
      <c r="S228" s="1149"/>
      <c r="T228" s="1147">
        <f>'LF-Kaduna'!T73:W73</f>
        <v>0</v>
      </c>
      <c r="U228" s="1148"/>
      <c r="V228" s="1148"/>
      <c r="W228" s="1149"/>
      <c r="X228" s="880"/>
    </row>
    <row r="229" spans="1:24" ht="13.5" thickBot="1">
      <c r="A229" s="885"/>
      <c r="B229" s="885"/>
      <c r="C229" s="100" t="s">
        <v>298</v>
      </c>
      <c r="D229" s="1017"/>
      <c r="E229" s="1018"/>
      <c r="F229" s="1018"/>
      <c r="G229" s="1019"/>
      <c r="H229" s="1147">
        <f>'LF-Kano'!H73:K73</f>
        <v>1</v>
      </c>
      <c r="I229" s="1148"/>
      <c r="J229" s="1148"/>
      <c r="K229" s="1149"/>
      <c r="L229" s="1147">
        <f>'LF-Kano'!L73:O73</f>
        <v>3.4</v>
      </c>
      <c r="M229" s="1148"/>
      <c r="N229" s="1148"/>
      <c r="O229" s="1149"/>
      <c r="P229" s="1147">
        <f>'LF-Kano'!P73:S73</f>
        <v>3.9</v>
      </c>
      <c r="Q229" s="1148"/>
      <c r="R229" s="1148"/>
      <c r="S229" s="1149"/>
      <c r="T229" s="1147">
        <f>'LF-Kano'!T73:W73</f>
        <v>0</v>
      </c>
      <c r="U229" s="1148"/>
      <c r="V229" s="1148"/>
      <c r="W229" s="1149"/>
      <c r="X229" s="880"/>
    </row>
    <row r="230" spans="1:24" ht="13.5" thickBot="1">
      <c r="A230" s="885"/>
      <c r="B230" s="885"/>
      <c r="C230" s="100" t="s">
        <v>299</v>
      </c>
      <c r="D230" s="1017"/>
      <c r="E230" s="1018"/>
      <c r="F230" s="1018"/>
      <c r="G230" s="1019"/>
      <c r="H230" s="1147">
        <f>'LF-Lagos'!H73:K73</f>
        <v>2</v>
      </c>
      <c r="I230" s="1148"/>
      <c r="J230" s="1148"/>
      <c r="K230" s="1149"/>
      <c r="L230" s="1147">
        <f>'LF-Lagos'!L73:O73</f>
        <v>2.9</v>
      </c>
      <c r="M230" s="1148"/>
      <c r="N230" s="1148"/>
      <c r="O230" s="1149"/>
      <c r="P230" s="1147">
        <f>'LF-Lagos'!P73:S73</f>
        <v>2.7</v>
      </c>
      <c r="Q230" s="1148"/>
      <c r="R230" s="1148"/>
      <c r="S230" s="1149"/>
      <c r="T230" s="1147">
        <f>'LF-Lagos'!T73:W73</f>
        <v>0</v>
      </c>
      <c r="U230" s="1148"/>
      <c r="V230" s="1148"/>
      <c r="W230" s="1149"/>
      <c r="X230" s="880"/>
    </row>
    <row r="231" spans="1:24" ht="24.75" thickBot="1">
      <c r="A231" s="885"/>
      <c r="B231" s="885"/>
      <c r="C231" s="100" t="s">
        <v>300</v>
      </c>
      <c r="D231" s="1017"/>
      <c r="E231" s="1018"/>
      <c r="F231" s="1018"/>
      <c r="G231" s="1019"/>
      <c r="H231" s="1017"/>
      <c r="I231" s="1018"/>
      <c r="J231" s="1018"/>
      <c r="K231" s="1019"/>
      <c r="L231" s="1147">
        <f>'LF-Zamfara'!L73:O73</f>
        <v>1</v>
      </c>
      <c r="M231" s="1148"/>
      <c r="N231" s="1148"/>
      <c r="O231" s="1149"/>
      <c r="P231" s="1147">
        <f>'LF-Zamfara'!P73:S73</f>
        <v>1.2</v>
      </c>
      <c r="Q231" s="1148"/>
      <c r="R231" s="1148"/>
      <c r="S231" s="1149"/>
      <c r="T231" s="1147">
        <f>'LF-Zamfara'!T73:W73</f>
        <v>0</v>
      </c>
      <c r="U231" s="1148"/>
      <c r="V231" s="1148"/>
      <c r="W231" s="1149"/>
      <c r="X231" s="880"/>
    </row>
    <row r="232" spans="1:24" ht="13.5" thickBot="1">
      <c r="A232" s="885"/>
      <c r="B232" s="885"/>
      <c r="C232" s="100" t="s">
        <v>301</v>
      </c>
      <c r="D232" s="1017"/>
      <c r="E232" s="1018"/>
      <c r="F232" s="1018"/>
      <c r="G232" s="1019"/>
      <c r="H232" s="1017"/>
      <c r="I232" s="1018"/>
      <c r="J232" s="1018"/>
      <c r="K232" s="1019"/>
      <c r="L232" s="1147">
        <f>'LF-Katsina'!L73:O73</f>
        <v>1</v>
      </c>
      <c r="M232" s="1148"/>
      <c r="N232" s="1148"/>
      <c r="O232" s="1149"/>
      <c r="P232" s="1147">
        <f>'LF-Katsina'!P73:S73</f>
        <v>1</v>
      </c>
      <c r="Q232" s="1148"/>
      <c r="R232" s="1148"/>
      <c r="S232" s="1149"/>
      <c r="T232" s="1147">
        <f>'LF-Katsina'!T73:W73</f>
        <v>0</v>
      </c>
      <c r="U232" s="1148"/>
      <c r="V232" s="1148"/>
      <c r="W232" s="1149"/>
      <c r="X232" s="880"/>
    </row>
    <row r="233" spans="1:24" ht="13.5" thickBot="1">
      <c r="A233" s="885"/>
      <c r="B233" s="885"/>
      <c r="C233" s="100" t="s">
        <v>302</v>
      </c>
      <c r="D233" s="1017"/>
      <c r="E233" s="1018"/>
      <c r="F233" s="1018"/>
      <c r="G233" s="1019"/>
      <c r="H233" s="1017"/>
      <c r="I233" s="1018"/>
      <c r="J233" s="1018"/>
      <c r="K233" s="1019"/>
      <c r="L233" s="1147">
        <f>'LF-Yobe'!L73:O73</f>
        <v>1</v>
      </c>
      <c r="M233" s="1148"/>
      <c r="N233" s="1148"/>
      <c r="O233" s="1149"/>
      <c r="P233" s="1147">
        <f>'LF-Yobe'!P73:S73</f>
        <v>1.6</v>
      </c>
      <c r="Q233" s="1148"/>
      <c r="R233" s="1148"/>
      <c r="S233" s="1149"/>
      <c r="T233" s="1147">
        <f>'LF-Yobe'!T73:W73</f>
        <v>0</v>
      </c>
      <c r="U233" s="1148"/>
      <c r="V233" s="1148"/>
      <c r="W233" s="1149"/>
      <c r="X233" s="880"/>
    </row>
    <row r="234" spans="1:24" ht="24.75" thickBot="1">
      <c r="A234" s="885"/>
      <c r="B234" s="885"/>
      <c r="C234" s="100" t="s">
        <v>303</v>
      </c>
      <c r="D234" s="1017"/>
      <c r="E234" s="1018"/>
      <c r="F234" s="1018"/>
      <c r="G234" s="1019"/>
      <c r="H234" s="1017"/>
      <c r="I234" s="1018"/>
      <c r="J234" s="1018"/>
      <c r="K234" s="1019"/>
      <c r="L234" s="1017"/>
      <c r="M234" s="1018"/>
      <c r="N234" s="1018"/>
      <c r="O234" s="1019"/>
      <c r="P234" s="1054"/>
      <c r="Q234" s="1055"/>
      <c r="R234" s="1055"/>
      <c r="S234" s="1056"/>
      <c r="T234" s="1147">
        <f>'LF-Anambra'!T73:W73</f>
        <v>0</v>
      </c>
      <c r="U234" s="1148"/>
      <c r="V234" s="1148"/>
      <c r="W234" s="1149"/>
      <c r="X234" s="880"/>
    </row>
    <row r="235" spans="1:24" ht="13.5" thickBot="1">
      <c r="A235" s="885"/>
      <c r="B235" s="885"/>
      <c r="C235" s="100" t="s">
        <v>304</v>
      </c>
      <c r="D235" s="1017"/>
      <c r="E235" s="1018"/>
      <c r="F235" s="1018"/>
      <c r="G235" s="1019"/>
      <c r="H235" s="1017"/>
      <c r="I235" s="1018"/>
      <c r="J235" s="1018"/>
      <c r="K235" s="1019"/>
      <c r="L235" s="1017"/>
      <c r="M235" s="1018"/>
      <c r="N235" s="1018"/>
      <c r="O235" s="1019"/>
      <c r="P235" s="1054"/>
      <c r="Q235" s="1055"/>
      <c r="R235" s="1055"/>
      <c r="S235" s="1056"/>
      <c r="T235" s="1147">
        <f>'LF-Niger'!T73:W73</f>
        <v>0</v>
      </c>
      <c r="U235" s="1148"/>
      <c r="V235" s="1148"/>
      <c r="W235" s="1149"/>
      <c r="X235" s="880"/>
    </row>
    <row r="236" spans="1:24" ht="13.5" thickBot="1">
      <c r="A236" s="885"/>
      <c r="B236" s="885"/>
      <c r="C236" s="922" t="s">
        <v>413</v>
      </c>
      <c r="D236" s="927" t="s">
        <v>4</v>
      </c>
      <c r="E236" s="928"/>
      <c r="F236" s="928"/>
      <c r="G236" s="928"/>
      <c r="H236" s="928"/>
      <c r="I236" s="928"/>
      <c r="J236" s="928"/>
      <c r="K236" s="928"/>
      <c r="L236" s="928"/>
      <c r="M236" s="928"/>
      <c r="N236" s="928"/>
      <c r="O236" s="928"/>
      <c r="P236" s="928"/>
      <c r="Q236" s="928"/>
      <c r="R236" s="928"/>
      <c r="S236" s="928"/>
      <c r="T236" s="928"/>
      <c r="U236" s="928"/>
      <c r="V236" s="928"/>
      <c r="W236" s="929"/>
      <c r="X236" s="880"/>
    </row>
    <row r="237" spans="1:24" ht="13.5" thickBot="1">
      <c r="A237" s="885"/>
      <c r="B237" s="869"/>
      <c r="C237" s="923"/>
      <c r="D237" s="930" t="s">
        <v>118</v>
      </c>
      <c r="E237" s="931"/>
      <c r="F237" s="931"/>
      <c r="G237" s="931"/>
      <c r="H237" s="931"/>
      <c r="I237" s="931"/>
      <c r="J237" s="931"/>
      <c r="K237" s="931"/>
      <c r="L237" s="931"/>
      <c r="M237" s="931"/>
      <c r="N237" s="931"/>
      <c r="O237" s="931"/>
      <c r="P237" s="931"/>
      <c r="Q237" s="931"/>
      <c r="R237" s="931"/>
      <c r="S237" s="931"/>
      <c r="T237" s="931"/>
      <c r="U237" s="931"/>
      <c r="V237" s="931"/>
      <c r="W237" s="932"/>
      <c r="X237" s="880"/>
    </row>
    <row r="238" spans="1:24" ht="13.5" thickBot="1">
      <c r="A238" s="885"/>
      <c r="B238" s="11" t="s">
        <v>18</v>
      </c>
      <c r="C238" s="12"/>
      <c r="D238" s="927" t="s">
        <v>78</v>
      </c>
      <c r="E238" s="928"/>
      <c r="F238" s="928"/>
      <c r="G238" s="929"/>
      <c r="H238" s="927" t="s">
        <v>77</v>
      </c>
      <c r="I238" s="928"/>
      <c r="J238" s="928"/>
      <c r="K238" s="929"/>
      <c r="L238" s="927" t="s">
        <v>81</v>
      </c>
      <c r="M238" s="928"/>
      <c r="N238" s="928"/>
      <c r="O238" s="929"/>
      <c r="P238" s="927" t="s">
        <v>254</v>
      </c>
      <c r="Q238" s="928"/>
      <c r="R238" s="928"/>
      <c r="S238" s="929"/>
      <c r="T238" s="927" t="s">
        <v>76</v>
      </c>
      <c r="U238" s="928"/>
      <c r="V238" s="928"/>
      <c r="W238" s="929"/>
      <c r="X238" s="880"/>
    </row>
    <row r="239" spans="1:24" ht="13.5" thickBot="1">
      <c r="A239" s="885"/>
      <c r="B239" s="868" t="s">
        <v>60</v>
      </c>
      <c r="C239" s="9" t="s">
        <v>285</v>
      </c>
      <c r="D239" s="924">
        <f>'LF-Enugu'!D77:G77</f>
        <v>0</v>
      </c>
      <c r="E239" s="925"/>
      <c r="F239" s="925"/>
      <c r="G239" s="926"/>
      <c r="H239" s="924">
        <f>'LF-Enugu'!H77:K77</f>
        <v>0</v>
      </c>
      <c r="I239" s="925"/>
      <c r="J239" s="925"/>
      <c r="K239" s="926"/>
      <c r="L239" s="924">
        <f>'LF-Enugu'!L77:O77</f>
        <v>1</v>
      </c>
      <c r="M239" s="925"/>
      <c r="N239" s="925"/>
      <c r="O239" s="926"/>
      <c r="P239" s="924">
        <f>'LF-Enugu'!P77:S77</f>
        <v>2</v>
      </c>
      <c r="Q239" s="925"/>
      <c r="R239" s="925"/>
      <c r="S239" s="926"/>
      <c r="T239" s="924">
        <f>'LF-Enugu'!T77:W77</f>
        <v>10</v>
      </c>
      <c r="U239" s="925"/>
      <c r="V239" s="925"/>
      <c r="W239" s="926"/>
      <c r="X239" s="880"/>
    </row>
    <row r="240" spans="1:24" ht="13.5" thickBot="1">
      <c r="A240" s="885"/>
      <c r="B240" s="885"/>
      <c r="C240" s="9" t="s">
        <v>286</v>
      </c>
      <c r="D240" s="924">
        <f>'LF-Jigawa'!D77:G77</f>
        <v>0</v>
      </c>
      <c r="E240" s="925"/>
      <c r="F240" s="925"/>
      <c r="G240" s="926"/>
      <c r="H240" s="924">
        <f>'LF-Jigawa'!H77:K77</f>
        <v>5</v>
      </c>
      <c r="I240" s="925"/>
      <c r="J240" s="925"/>
      <c r="K240" s="926"/>
      <c r="L240" s="924">
        <f>'LF-Jigawa'!L77:O77</f>
        <v>7</v>
      </c>
      <c r="M240" s="925"/>
      <c r="N240" s="925"/>
      <c r="O240" s="926"/>
      <c r="P240" s="939">
        <f>'LF-Jigawa'!P77:S77</f>
        <v>4</v>
      </c>
      <c r="Q240" s="940"/>
      <c r="R240" s="940"/>
      <c r="S240" s="941"/>
      <c r="T240" s="939">
        <f>'LF-Jigawa'!T77:W77</f>
        <v>8</v>
      </c>
      <c r="U240" s="940"/>
      <c r="V240" s="940"/>
      <c r="W240" s="941"/>
      <c r="X240" s="880"/>
    </row>
    <row r="241" spans="1:24" ht="13.5" thickBot="1">
      <c r="A241" s="885"/>
      <c r="B241" s="885"/>
      <c r="C241" s="9" t="s">
        <v>287</v>
      </c>
      <c r="D241" s="924">
        <f>'LF-Kaduna'!D77:G77</f>
        <v>0</v>
      </c>
      <c r="E241" s="925"/>
      <c r="F241" s="925"/>
      <c r="G241" s="926"/>
      <c r="H241" s="924">
        <f>'LF-Kaduna'!H77:K77</f>
        <v>2</v>
      </c>
      <c r="I241" s="925"/>
      <c r="J241" s="925"/>
      <c r="K241" s="926"/>
      <c r="L241" s="924">
        <f>'LF-Kaduna'!L77:O77</f>
        <v>7</v>
      </c>
      <c r="M241" s="925"/>
      <c r="N241" s="925"/>
      <c r="O241" s="926"/>
      <c r="P241" s="939">
        <f>'LF-Kaduna'!P77:S77</f>
        <v>5</v>
      </c>
      <c r="Q241" s="940"/>
      <c r="R241" s="940"/>
      <c r="S241" s="941"/>
      <c r="T241" s="939">
        <f>'LF-Kaduna'!T77:W77</f>
        <v>7</v>
      </c>
      <c r="U241" s="940"/>
      <c r="V241" s="940"/>
      <c r="W241" s="941"/>
      <c r="X241" s="880"/>
    </row>
    <row r="242" spans="1:24" ht="13.5" thickBot="1">
      <c r="A242" s="885"/>
      <c r="B242" s="885"/>
      <c r="C242" s="9" t="s">
        <v>288</v>
      </c>
      <c r="D242" s="924">
        <f>'LF-Kano'!D77:G77</f>
        <v>1</v>
      </c>
      <c r="E242" s="925"/>
      <c r="F242" s="925"/>
      <c r="G242" s="926"/>
      <c r="H242" s="924">
        <f>'LF-Kano'!H77:K77</f>
        <v>1</v>
      </c>
      <c r="I242" s="925"/>
      <c r="J242" s="925"/>
      <c r="K242" s="926"/>
      <c r="L242" s="924">
        <f>'LF-Kano'!L77:O77</f>
        <v>1</v>
      </c>
      <c r="M242" s="925"/>
      <c r="N242" s="925"/>
      <c r="O242" s="926"/>
      <c r="P242" s="939">
        <f>'LF-Kano'!P77:S77</f>
        <v>2</v>
      </c>
      <c r="Q242" s="940"/>
      <c r="R242" s="940"/>
      <c r="S242" s="941"/>
      <c r="T242" s="939">
        <f>'LF-Kano'!T77:W77</f>
        <v>12</v>
      </c>
      <c r="U242" s="940"/>
      <c r="V242" s="940"/>
      <c r="W242" s="941"/>
      <c r="X242" s="880"/>
    </row>
    <row r="243" spans="1:24" ht="13.5" thickBot="1">
      <c r="A243" s="885"/>
      <c r="B243" s="885"/>
      <c r="C243" s="9" t="s">
        <v>289</v>
      </c>
      <c r="D243" s="924">
        <f>'LF-Lagos'!D77:G77</f>
        <v>0</v>
      </c>
      <c r="E243" s="925"/>
      <c r="F243" s="925"/>
      <c r="G243" s="926"/>
      <c r="H243" s="924">
        <f>'LF-Lagos'!H77:K77</f>
        <v>0</v>
      </c>
      <c r="I243" s="925"/>
      <c r="J243" s="925"/>
      <c r="K243" s="926"/>
      <c r="L243" s="924">
        <f>'LF-Lagos'!L77:O77</f>
        <v>1</v>
      </c>
      <c r="M243" s="925"/>
      <c r="N243" s="925"/>
      <c r="O243" s="926"/>
      <c r="P243" s="939">
        <f>'LF-Lagos'!P77:S77</f>
        <v>3</v>
      </c>
      <c r="Q243" s="940"/>
      <c r="R243" s="940"/>
      <c r="S243" s="941"/>
      <c r="T243" s="939">
        <f>'LF-Lagos'!T77:W77</f>
        <v>10</v>
      </c>
      <c r="U243" s="940"/>
      <c r="V243" s="940"/>
      <c r="W243" s="941"/>
      <c r="X243" s="880"/>
    </row>
    <row r="244" spans="1:24" ht="13.5" thickBot="1">
      <c r="A244" s="885"/>
      <c r="B244" s="885"/>
      <c r="C244" s="9" t="s">
        <v>292</v>
      </c>
      <c r="D244" s="966" t="s">
        <v>255</v>
      </c>
      <c r="E244" s="967"/>
      <c r="F244" s="967"/>
      <c r="G244" s="968"/>
      <c r="H244" s="924">
        <f>'LF-Zamfara'!H77:K77</f>
        <v>0</v>
      </c>
      <c r="I244" s="925"/>
      <c r="J244" s="925"/>
      <c r="K244" s="926"/>
      <c r="L244" s="924">
        <f>'LF-Zamfara'!L77:O77</f>
        <v>0</v>
      </c>
      <c r="M244" s="925"/>
      <c r="N244" s="925"/>
      <c r="O244" s="926"/>
      <c r="P244" s="939">
        <f>'LF-Zamfara'!P77:S77</f>
        <v>1</v>
      </c>
      <c r="Q244" s="940"/>
      <c r="R244" s="940"/>
      <c r="S244" s="941"/>
      <c r="T244" s="939">
        <f>'LF-Zamfara'!T77:W77</f>
        <v>2</v>
      </c>
      <c r="U244" s="940"/>
      <c r="V244" s="940"/>
      <c r="W244" s="941"/>
      <c r="X244" s="880"/>
    </row>
    <row r="245" spans="1:24" ht="13.5" thickBot="1">
      <c r="A245" s="885"/>
      <c r="B245" s="885"/>
      <c r="C245" s="9" t="s">
        <v>293</v>
      </c>
      <c r="D245" s="966" t="s">
        <v>255</v>
      </c>
      <c r="E245" s="967"/>
      <c r="F245" s="967"/>
      <c r="G245" s="968"/>
      <c r="H245" s="924">
        <f>'LF-Katsina'!H77:K77</f>
        <v>0</v>
      </c>
      <c r="I245" s="925"/>
      <c r="J245" s="925"/>
      <c r="K245" s="926"/>
      <c r="L245" s="924">
        <f>'LF-Katsina'!L77:O77</f>
        <v>0</v>
      </c>
      <c r="M245" s="925"/>
      <c r="N245" s="925"/>
      <c r="O245" s="926"/>
      <c r="P245" s="939">
        <f>'LF-Katsina'!P77:S77</f>
        <v>0</v>
      </c>
      <c r="Q245" s="940"/>
      <c r="R245" s="940"/>
      <c r="S245" s="941"/>
      <c r="T245" s="939">
        <f>'LF-Katsina'!T77:W77</f>
        <v>1</v>
      </c>
      <c r="U245" s="940"/>
      <c r="V245" s="940"/>
      <c r="W245" s="941"/>
      <c r="X245" s="880"/>
    </row>
    <row r="246" spans="1:24" ht="13.5" thickBot="1">
      <c r="A246" s="885"/>
      <c r="B246" s="885"/>
      <c r="C246" s="9" t="s">
        <v>294</v>
      </c>
      <c r="D246" s="966" t="s">
        <v>255</v>
      </c>
      <c r="E246" s="967"/>
      <c r="F246" s="967"/>
      <c r="G246" s="968"/>
      <c r="H246" s="924">
        <f>'LF-Yobe'!H77:K77</f>
        <v>0</v>
      </c>
      <c r="I246" s="925"/>
      <c r="J246" s="925"/>
      <c r="K246" s="926"/>
      <c r="L246" s="924">
        <f>'LF-Yobe'!L77:O77</f>
        <v>0</v>
      </c>
      <c r="M246" s="925"/>
      <c r="N246" s="925"/>
      <c r="O246" s="926"/>
      <c r="P246" s="939">
        <f>'LF-Yobe'!P77:S77</f>
        <v>2</v>
      </c>
      <c r="Q246" s="940"/>
      <c r="R246" s="940"/>
      <c r="S246" s="941"/>
      <c r="T246" s="939">
        <f>'LF-Yobe'!T77:W77</f>
        <v>4</v>
      </c>
      <c r="U246" s="940"/>
      <c r="V246" s="940"/>
      <c r="W246" s="941"/>
      <c r="X246" s="880"/>
    </row>
    <row r="247" spans="1:24" ht="12.95" customHeight="1" thickBot="1">
      <c r="A247" s="885"/>
      <c r="B247" s="885"/>
      <c r="C247" s="9" t="s">
        <v>290</v>
      </c>
      <c r="D247" s="933"/>
      <c r="E247" s="934"/>
      <c r="F247" s="934"/>
      <c r="G247" s="935"/>
      <c r="H247" s="1162"/>
      <c r="I247" s="1163"/>
      <c r="J247" s="1163"/>
      <c r="K247" s="1164"/>
      <c r="L247" s="1150" t="s">
        <v>909</v>
      </c>
      <c r="M247" s="1151"/>
      <c r="N247" s="1151"/>
      <c r="O247" s="1152"/>
      <c r="P247" s="924">
        <f>'LF-Anambra'!P77:S77</f>
        <v>0</v>
      </c>
      <c r="Q247" s="925"/>
      <c r="R247" s="925"/>
      <c r="S247" s="926"/>
      <c r="T247" s="924">
        <f>'LF-Anambra'!T77:W77</f>
        <v>0</v>
      </c>
      <c r="U247" s="925"/>
      <c r="V247" s="925"/>
      <c r="W247" s="926"/>
      <c r="X247" s="880"/>
    </row>
    <row r="248" spans="1:24" ht="12.95" customHeight="1" thickBot="1">
      <c r="A248" s="885"/>
      <c r="B248" s="885"/>
      <c r="C248" s="9" t="s">
        <v>291</v>
      </c>
      <c r="D248" s="933"/>
      <c r="E248" s="934"/>
      <c r="F248" s="934"/>
      <c r="G248" s="935"/>
      <c r="H248" s="1162"/>
      <c r="I248" s="1163"/>
      <c r="J248" s="1163"/>
      <c r="K248" s="1164"/>
      <c r="L248" s="1150" t="s">
        <v>909</v>
      </c>
      <c r="M248" s="1151"/>
      <c r="N248" s="1151"/>
      <c r="O248" s="1152"/>
      <c r="P248" s="924">
        <f>'LF-Niger'!P77:S77</f>
        <v>0</v>
      </c>
      <c r="Q248" s="925"/>
      <c r="R248" s="925"/>
      <c r="S248" s="926"/>
      <c r="T248" s="924">
        <f>'LF-Niger'!T77:W77</f>
        <v>0</v>
      </c>
      <c r="U248" s="925"/>
      <c r="V248" s="925"/>
      <c r="W248" s="926"/>
      <c r="X248" s="880"/>
    </row>
    <row r="249" spans="1:24" ht="13.5" thickBot="1">
      <c r="A249" s="885"/>
      <c r="B249" s="885"/>
      <c r="C249" s="100" t="s">
        <v>295</v>
      </c>
      <c r="D249" s="1011" t="s">
        <v>172</v>
      </c>
      <c r="E249" s="1012"/>
      <c r="F249" s="1012"/>
      <c r="G249" s="1013"/>
      <c r="H249" s="1011"/>
      <c r="I249" s="1012"/>
      <c r="J249" s="1012"/>
      <c r="K249" s="1013"/>
      <c r="L249" s="1140">
        <f>'LF-Enugu'!L78:O78</f>
        <v>1</v>
      </c>
      <c r="M249" s="1156"/>
      <c r="N249" s="1156"/>
      <c r="O249" s="1141"/>
      <c r="P249" s="1140">
        <f>'LF-Enugu'!P78:S78</f>
        <v>6</v>
      </c>
      <c r="Q249" s="1156"/>
      <c r="R249" s="1156"/>
      <c r="S249" s="1141"/>
      <c r="T249" s="1140">
        <f>'LF-Enugu'!T78:W78</f>
        <v>0</v>
      </c>
      <c r="U249" s="1156"/>
      <c r="V249" s="1156"/>
      <c r="W249" s="1141"/>
      <c r="X249" s="880"/>
    </row>
    <row r="250" spans="1:24" ht="13.5" thickBot="1">
      <c r="A250" s="885"/>
      <c r="B250" s="885"/>
      <c r="C250" s="100" t="s">
        <v>296</v>
      </c>
      <c r="D250" s="1011" t="s">
        <v>417</v>
      </c>
      <c r="E250" s="1012"/>
      <c r="F250" s="1012"/>
      <c r="G250" s="1013"/>
      <c r="H250" s="1054"/>
      <c r="I250" s="1055"/>
      <c r="J250" s="1055"/>
      <c r="K250" s="1056"/>
      <c r="L250" s="1140">
        <f>'LF-Jigawa'!L78:O78</f>
        <v>2</v>
      </c>
      <c r="M250" s="1156"/>
      <c r="N250" s="1156"/>
      <c r="O250" s="1141"/>
      <c r="P250" s="1140">
        <f>'LF-Jigawa'!P78:S78</f>
        <v>7</v>
      </c>
      <c r="Q250" s="1156"/>
      <c r="R250" s="1156"/>
      <c r="S250" s="1141"/>
      <c r="T250" s="1140">
        <f>'LF-Jigawa'!T78:W78</f>
        <v>0</v>
      </c>
      <c r="U250" s="1156"/>
      <c r="V250" s="1156"/>
      <c r="W250" s="1141"/>
      <c r="X250" s="880"/>
    </row>
    <row r="251" spans="1:24" ht="13.5" thickBot="1">
      <c r="A251" s="885"/>
      <c r="B251" s="885"/>
      <c r="C251" s="100" t="s">
        <v>297</v>
      </c>
      <c r="D251" s="1054"/>
      <c r="E251" s="1055"/>
      <c r="F251" s="1055"/>
      <c r="G251" s="1056"/>
      <c r="H251" s="1054"/>
      <c r="I251" s="1055"/>
      <c r="J251" s="1055"/>
      <c r="K251" s="1056"/>
      <c r="L251" s="1140">
        <f>'LF-Kaduna'!L78:O78</f>
        <v>4</v>
      </c>
      <c r="M251" s="1156"/>
      <c r="N251" s="1156"/>
      <c r="O251" s="1141"/>
      <c r="P251" s="1140">
        <f>'LF-Kaduna'!P78:S78</f>
        <v>7</v>
      </c>
      <c r="Q251" s="1156"/>
      <c r="R251" s="1156"/>
      <c r="S251" s="1141"/>
      <c r="T251" s="1140">
        <f>'LF-Kaduna'!T78:W78</f>
        <v>0</v>
      </c>
      <c r="U251" s="1156"/>
      <c r="V251" s="1156"/>
      <c r="W251" s="1141"/>
      <c r="X251" s="880"/>
    </row>
    <row r="252" spans="1:24" ht="13.5" thickBot="1">
      <c r="A252" s="885"/>
      <c r="B252" s="885"/>
      <c r="C252" s="100" t="s">
        <v>298</v>
      </c>
      <c r="D252" s="1054"/>
      <c r="E252" s="1055"/>
      <c r="F252" s="1055"/>
      <c r="G252" s="1056"/>
      <c r="H252" s="1054"/>
      <c r="I252" s="1055"/>
      <c r="J252" s="1055"/>
      <c r="K252" s="1056"/>
      <c r="L252" s="1140">
        <f>'LF-Kano'!L78:O78</f>
        <v>3</v>
      </c>
      <c r="M252" s="1156"/>
      <c r="N252" s="1156"/>
      <c r="O252" s="1141"/>
      <c r="P252" s="1140">
        <f>'LF-Kano'!P78:S78</f>
        <v>8</v>
      </c>
      <c r="Q252" s="1156"/>
      <c r="R252" s="1156"/>
      <c r="S252" s="1141"/>
      <c r="T252" s="1140">
        <f>'LF-Kano'!T78:W78</f>
        <v>0</v>
      </c>
      <c r="U252" s="1156"/>
      <c r="V252" s="1156"/>
      <c r="W252" s="1141"/>
      <c r="X252" s="880"/>
    </row>
    <row r="253" spans="1:24" ht="13.5" thickBot="1">
      <c r="A253" s="885"/>
      <c r="B253" s="885"/>
      <c r="C253" s="100" t="s">
        <v>299</v>
      </c>
      <c r="D253" s="1054"/>
      <c r="E253" s="1055"/>
      <c r="F253" s="1055"/>
      <c r="G253" s="1056"/>
      <c r="H253" s="1054"/>
      <c r="I253" s="1055"/>
      <c r="J253" s="1055"/>
      <c r="K253" s="1056"/>
      <c r="L253" s="1140">
        <f>'LF-Lagos'!L78:O78</f>
        <v>1</v>
      </c>
      <c r="M253" s="1156"/>
      <c r="N253" s="1156"/>
      <c r="O253" s="1141"/>
      <c r="P253" s="1140">
        <f>'LF-Lagos'!P78:S78</f>
        <v>6</v>
      </c>
      <c r="Q253" s="1156"/>
      <c r="R253" s="1156"/>
      <c r="S253" s="1141"/>
      <c r="T253" s="1140">
        <f>'LF-Lagos'!T78:W78</f>
        <v>0</v>
      </c>
      <c r="U253" s="1156"/>
      <c r="V253" s="1156"/>
      <c r="W253" s="1141"/>
      <c r="X253" s="880"/>
    </row>
    <row r="254" spans="1:24" ht="24.75" thickBot="1">
      <c r="A254" s="885"/>
      <c r="B254" s="885"/>
      <c r="C254" s="100" t="s">
        <v>300</v>
      </c>
      <c r="D254" s="1054"/>
      <c r="E254" s="1055"/>
      <c r="F254" s="1055"/>
      <c r="G254" s="1056"/>
      <c r="H254" s="1054"/>
      <c r="I254" s="1055"/>
      <c r="J254" s="1055"/>
      <c r="K254" s="1056"/>
      <c r="L254" s="1140">
        <f>'LF-Zamfara'!L78:O78</f>
        <v>0</v>
      </c>
      <c r="M254" s="1156"/>
      <c r="N254" s="1156"/>
      <c r="O254" s="1141"/>
      <c r="P254" s="1140">
        <f>'LF-Zamfara'!P78:S78</f>
        <v>1</v>
      </c>
      <c r="Q254" s="1156"/>
      <c r="R254" s="1156"/>
      <c r="S254" s="1141"/>
      <c r="T254" s="1140">
        <f>'LF-Zamfara'!T78:W78</f>
        <v>0</v>
      </c>
      <c r="U254" s="1156"/>
      <c r="V254" s="1156"/>
      <c r="W254" s="1141"/>
      <c r="X254" s="880"/>
    </row>
    <row r="255" spans="1:24" ht="13.5" thickBot="1">
      <c r="A255" s="885"/>
      <c r="B255" s="885"/>
      <c r="C255" s="100" t="s">
        <v>301</v>
      </c>
      <c r="D255" s="1054"/>
      <c r="E255" s="1055"/>
      <c r="F255" s="1055"/>
      <c r="G255" s="1056"/>
      <c r="H255" s="1054"/>
      <c r="I255" s="1055"/>
      <c r="J255" s="1055"/>
      <c r="K255" s="1056"/>
      <c r="L255" s="1140">
        <f>'LF-Katsina'!L78:O78</f>
        <v>0</v>
      </c>
      <c r="M255" s="1156"/>
      <c r="N255" s="1156"/>
      <c r="O255" s="1141"/>
      <c r="P255" s="1140">
        <f>'LF-Katsina'!P78:S78</f>
        <v>0</v>
      </c>
      <c r="Q255" s="1156"/>
      <c r="R255" s="1156"/>
      <c r="S255" s="1141"/>
      <c r="T255" s="1140">
        <f>'LF-Katsina'!T78:W78</f>
        <v>0</v>
      </c>
      <c r="U255" s="1156"/>
      <c r="V255" s="1156"/>
      <c r="W255" s="1141"/>
      <c r="X255" s="880"/>
    </row>
    <row r="256" spans="1:24" ht="13.5" thickBot="1">
      <c r="A256" s="885"/>
      <c r="B256" s="885"/>
      <c r="C256" s="100" t="s">
        <v>302</v>
      </c>
      <c r="D256" s="1054"/>
      <c r="E256" s="1055"/>
      <c r="F256" s="1055"/>
      <c r="G256" s="1056"/>
      <c r="H256" s="1054"/>
      <c r="I256" s="1055"/>
      <c r="J256" s="1055"/>
      <c r="K256" s="1056"/>
      <c r="L256" s="1140">
        <f>'LF-Yobe'!L78:O78</f>
        <v>0</v>
      </c>
      <c r="M256" s="1156"/>
      <c r="N256" s="1156"/>
      <c r="O256" s="1141"/>
      <c r="P256" s="1140">
        <f>'LF-Yobe'!P78:S78</f>
        <v>3</v>
      </c>
      <c r="Q256" s="1156"/>
      <c r="R256" s="1156"/>
      <c r="S256" s="1141"/>
      <c r="T256" s="1140">
        <f>'LF-Yobe'!T78:W78</f>
        <v>0</v>
      </c>
      <c r="U256" s="1156"/>
      <c r="V256" s="1156"/>
      <c r="W256" s="1141"/>
      <c r="X256" s="880"/>
    </row>
    <row r="257" spans="1:24" ht="24.75" thickBot="1">
      <c r="A257" s="885"/>
      <c r="B257" s="885"/>
      <c r="C257" s="100" t="s">
        <v>303</v>
      </c>
      <c r="D257" s="1054"/>
      <c r="E257" s="1055"/>
      <c r="F257" s="1055"/>
      <c r="G257" s="1056"/>
      <c r="H257" s="1054"/>
      <c r="I257" s="1055"/>
      <c r="J257" s="1055"/>
      <c r="K257" s="1056"/>
      <c r="L257" s="1054"/>
      <c r="M257" s="1055"/>
      <c r="N257" s="1055"/>
      <c r="O257" s="1056"/>
      <c r="P257" s="1054"/>
      <c r="Q257" s="1055"/>
      <c r="R257" s="1055"/>
      <c r="S257" s="1056"/>
      <c r="T257" s="1140">
        <f>'LF-Anambra'!T78:W78</f>
        <v>0</v>
      </c>
      <c r="U257" s="1156"/>
      <c r="V257" s="1156"/>
      <c r="W257" s="1141"/>
      <c r="X257" s="880"/>
    </row>
    <row r="258" spans="1:24" ht="13.5" thickBot="1">
      <c r="A258" s="885"/>
      <c r="B258" s="885"/>
      <c r="C258" s="100" t="s">
        <v>304</v>
      </c>
      <c r="D258" s="1054"/>
      <c r="E258" s="1055"/>
      <c r="F258" s="1055"/>
      <c r="G258" s="1056"/>
      <c r="H258" s="1054"/>
      <c r="I258" s="1055"/>
      <c r="J258" s="1055"/>
      <c r="K258" s="1056"/>
      <c r="L258" s="1054"/>
      <c r="M258" s="1055"/>
      <c r="N258" s="1055"/>
      <c r="O258" s="1056"/>
      <c r="P258" s="1054"/>
      <c r="Q258" s="1055"/>
      <c r="R258" s="1055"/>
      <c r="S258" s="1056"/>
      <c r="T258" s="1140">
        <f>'LF-Niger'!T78:W78</f>
        <v>0</v>
      </c>
      <c r="U258" s="1156"/>
      <c r="V258" s="1156"/>
      <c r="W258" s="1141"/>
      <c r="X258" s="880"/>
    </row>
    <row r="259" spans="1:24" ht="13.5" thickBot="1">
      <c r="A259" s="7" t="s">
        <v>13</v>
      </c>
      <c r="B259" s="885"/>
      <c r="C259" s="922" t="s">
        <v>413</v>
      </c>
      <c r="D259" s="927" t="s">
        <v>4</v>
      </c>
      <c r="E259" s="928"/>
      <c r="F259" s="928"/>
      <c r="G259" s="928"/>
      <c r="H259" s="928"/>
      <c r="I259" s="928"/>
      <c r="J259" s="928"/>
      <c r="K259" s="928"/>
      <c r="L259" s="928"/>
      <c r="M259" s="928"/>
      <c r="N259" s="928"/>
      <c r="O259" s="928"/>
      <c r="P259" s="928"/>
      <c r="Q259" s="928"/>
      <c r="R259" s="928"/>
      <c r="S259" s="928"/>
      <c r="T259" s="928"/>
      <c r="U259" s="928"/>
      <c r="V259" s="928"/>
      <c r="W259" s="929"/>
      <c r="X259" s="550" t="s">
        <v>14</v>
      </c>
    </row>
    <row r="260" spans="1:24" ht="13.5" thickBot="1">
      <c r="A260" s="25" t="s">
        <v>75</v>
      </c>
      <c r="B260" s="869"/>
      <c r="C260" s="923"/>
      <c r="D260" s="930" t="s">
        <v>119</v>
      </c>
      <c r="E260" s="931"/>
      <c r="F260" s="931"/>
      <c r="G260" s="931"/>
      <c r="H260" s="931"/>
      <c r="I260" s="931"/>
      <c r="J260" s="931"/>
      <c r="K260" s="931"/>
      <c r="L260" s="931"/>
      <c r="M260" s="931"/>
      <c r="N260" s="931"/>
      <c r="O260" s="931"/>
      <c r="P260" s="931"/>
      <c r="Q260" s="931"/>
      <c r="R260" s="931"/>
      <c r="S260" s="931"/>
      <c r="T260" s="931"/>
      <c r="U260" s="931"/>
      <c r="V260" s="931"/>
      <c r="W260" s="932"/>
      <c r="X260" s="18" t="s">
        <v>92</v>
      </c>
    </row>
    <row r="261" spans="1:24" ht="13.5" thickBot="1">
      <c r="A261" s="906" t="s">
        <v>7</v>
      </c>
      <c r="B261" s="908" t="s">
        <v>173</v>
      </c>
      <c r="C261" s="909"/>
      <c r="D261" s="908" t="s">
        <v>8</v>
      </c>
      <c r="E261" s="918"/>
      <c r="F261" s="918"/>
      <c r="G261" s="909"/>
      <c r="H261" s="908" t="s">
        <v>88</v>
      </c>
      <c r="I261" s="918"/>
      <c r="J261" s="918"/>
      <c r="K261" s="909"/>
      <c r="L261" s="908" t="s">
        <v>89</v>
      </c>
      <c r="M261" s="918"/>
      <c r="N261" s="918"/>
      <c r="O261" s="909"/>
      <c r="P261" s="908" t="s">
        <v>9</v>
      </c>
      <c r="Q261" s="918"/>
      <c r="R261" s="918"/>
      <c r="S261" s="909"/>
      <c r="T261" s="908" t="s">
        <v>174</v>
      </c>
      <c r="U261" s="918"/>
      <c r="V261" s="918"/>
      <c r="W261" s="918"/>
      <c r="X261" s="909"/>
    </row>
    <row r="262" spans="1:24" ht="13.5" thickBot="1">
      <c r="A262" s="907"/>
      <c r="B262" s="919">
        <v>6200000</v>
      </c>
      <c r="C262" s="920"/>
      <c r="D262" s="919">
        <v>900000</v>
      </c>
      <c r="E262" s="921"/>
      <c r="F262" s="921"/>
      <c r="G262" s="920"/>
      <c r="H262" s="919">
        <v>1800000</v>
      </c>
      <c r="I262" s="921"/>
      <c r="J262" s="921"/>
      <c r="K262" s="920"/>
      <c r="L262" s="919">
        <v>3300000</v>
      </c>
      <c r="M262" s="921"/>
      <c r="N262" s="921"/>
      <c r="O262" s="920"/>
      <c r="P262" s="919">
        <f>SUM(B262:O262)</f>
        <v>12200000</v>
      </c>
      <c r="Q262" s="921"/>
      <c r="R262" s="921"/>
      <c r="S262" s="920"/>
      <c r="T262" s="942">
        <f>B262/P262%</f>
        <v>50.819672131147541</v>
      </c>
      <c r="U262" s="943"/>
      <c r="V262" s="943"/>
      <c r="W262" s="943"/>
      <c r="X262" s="944"/>
    </row>
    <row r="263" spans="1:24" ht="13.5" thickBot="1">
      <c r="A263" s="906" t="s">
        <v>10</v>
      </c>
      <c r="B263" s="908" t="s">
        <v>175</v>
      </c>
      <c r="C263" s="909"/>
      <c r="D263" s="910"/>
      <c r="E263" s="911"/>
      <c r="F263" s="911"/>
      <c r="G263" s="911"/>
      <c r="H263" s="911"/>
      <c r="I263" s="911"/>
      <c r="J263" s="911"/>
      <c r="K263" s="911"/>
      <c r="L263" s="911"/>
      <c r="M263" s="911"/>
      <c r="N263" s="911"/>
      <c r="O263" s="911"/>
      <c r="P263" s="911"/>
      <c r="Q263" s="911"/>
      <c r="R263" s="911"/>
      <c r="S263" s="911"/>
      <c r="T263" s="911"/>
      <c r="U263" s="911"/>
      <c r="V263" s="911"/>
      <c r="W263" s="911"/>
      <c r="X263" s="912"/>
    </row>
    <row r="264" spans="1:24" ht="13.5" thickBot="1">
      <c r="A264" s="907"/>
      <c r="B264" s="916"/>
      <c r="C264" s="917"/>
      <c r="D264" s="913"/>
      <c r="E264" s="914"/>
      <c r="F264" s="914"/>
      <c r="G264" s="914"/>
      <c r="H264" s="914"/>
      <c r="I264" s="914"/>
      <c r="J264" s="914"/>
      <c r="K264" s="914"/>
      <c r="L264" s="914"/>
      <c r="M264" s="914"/>
      <c r="N264" s="914"/>
      <c r="O264" s="914"/>
      <c r="P264" s="914"/>
      <c r="Q264" s="914"/>
      <c r="R264" s="914"/>
      <c r="S264" s="914"/>
      <c r="T264" s="914"/>
      <c r="U264" s="914"/>
      <c r="V264" s="914"/>
      <c r="W264" s="914"/>
      <c r="X264" s="915"/>
    </row>
    <row r="265" spans="1:24">
      <c r="A265" s="5"/>
      <c r="B265" s="5"/>
      <c r="C265" s="6"/>
      <c r="D265" s="5"/>
      <c r="E265" s="5"/>
      <c r="F265" s="5"/>
      <c r="G265" s="5"/>
      <c r="H265" s="5"/>
      <c r="I265" s="5"/>
      <c r="J265" s="5"/>
      <c r="K265" s="5"/>
      <c r="L265" s="5"/>
      <c r="M265" s="5"/>
      <c r="N265" s="5"/>
      <c r="O265" s="5"/>
      <c r="P265" s="5"/>
      <c r="Q265" s="5"/>
      <c r="R265" s="5"/>
      <c r="S265" s="5"/>
      <c r="T265" s="5"/>
      <c r="U265" s="5"/>
      <c r="V265" s="5"/>
      <c r="W265" s="5"/>
      <c r="X265" s="5"/>
    </row>
    <row r="266" spans="1:24" ht="13.5" thickBot="1">
      <c r="A266" s="5"/>
      <c r="B266" s="5"/>
      <c r="C266" s="6"/>
      <c r="D266" s="5"/>
      <c r="E266" s="5"/>
      <c r="F266" s="5"/>
      <c r="G266" s="5"/>
      <c r="H266" s="5"/>
      <c r="I266" s="5"/>
      <c r="J266" s="5"/>
      <c r="K266" s="5"/>
      <c r="L266" s="5"/>
      <c r="M266" s="5"/>
      <c r="N266" s="5"/>
      <c r="O266" s="5"/>
      <c r="P266" s="5"/>
      <c r="Q266" s="5"/>
      <c r="R266" s="5"/>
      <c r="S266" s="5"/>
      <c r="T266" s="5"/>
      <c r="U266" s="5"/>
      <c r="V266" s="5"/>
      <c r="W266" s="5"/>
      <c r="X266" s="5"/>
    </row>
    <row r="267" spans="1:24" ht="13.5" thickBot="1">
      <c r="A267" s="95" t="s">
        <v>15</v>
      </c>
      <c r="B267" s="97" t="s">
        <v>19</v>
      </c>
      <c r="C267" s="8"/>
      <c r="D267" s="927" t="s">
        <v>78</v>
      </c>
      <c r="E267" s="928"/>
      <c r="F267" s="928"/>
      <c r="G267" s="929"/>
      <c r="H267" s="927" t="s">
        <v>77</v>
      </c>
      <c r="I267" s="928"/>
      <c r="J267" s="928"/>
      <c r="K267" s="929"/>
      <c r="L267" s="927" t="s">
        <v>81</v>
      </c>
      <c r="M267" s="928"/>
      <c r="N267" s="928"/>
      <c r="O267" s="929"/>
      <c r="P267" s="927" t="s">
        <v>254</v>
      </c>
      <c r="Q267" s="928"/>
      <c r="R267" s="928"/>
      <c r="S267" s="929"/>
      <c r="T267" s="927" t="s">
        <v>76</v>
      </c>
      <c r="U267" s="928"/>
      <c r="V267" s="928"/>
      <c r="W267" s="929"/>
      <c r="X267" s="16" t="s">
        <v>6</v>
      </c>
    </row>
    <row r="268" spans="1:24" ht="13.5" thickBot="1">
      <c r="A268" s="868" t="s">
        <v>61</v>
      </c>
      <c r="B268" s="868" t="s">
        <v>62</v>
      </c>
      <c r="C268" s="9" t="s">
        <v>285</v>
      </c>
      <c r="D268" s="942">
        <f>'LF-Enugu'!D88:G88</f>
        <v>1</v>
      </c>
      <c r="E268" s="943"/>
      <c r="F268" s="943"/>
      <c r="G268" s="944"/>
      <c r="H268" s="942">
        <f>'LF-Enugu'!H88:K88</f>
        <v>1.5</v>
      </c>
      <c r="I268" s="943"/>
      <c r="J268" s="943"/>
      <c r="K268" s="944"/>
      <c r="L268" s="942">
        <f>'LF-Enugu'!L88:O88</f>
        <v>2</v>
      </c>
      <c r="M268" s="943"/>
      <c r="N268" s="943"/>
      <c r="O268" s="944"/>
      <c r="P268" s="963">
        <f>'LF-Enugu'!P88:S88</f>
        <v>2.7</v>
      </c>
      <c r="Q268" s="964"/>
      <c r="R268" s="964"/>
      <c r="S268" s="965"/>
      <c r="T268" s="963">
        <f>'LF-Enugu'!T88:W88</f>
        <v>3</v>
      </c>
      <c r="U268" s="964"/>
      <c r="V268" s="964"/>
      <c r="W268" s="965"/>
      <c r="X268" s="879" t="s">
        <v>94</v>
      </c>
    </row>
    <row r="269" spans="1:24" ht="13.5" thickBot="1">
      <c r="A269" s="885"/>
      <c r="B269" s="885"/>
      <c r="C269" s="9" t="s">
        <v>286</v>
      </c>
      <c r="D269" s="942">
        <f>'LF-Jigawa'!D88:G88</f>
        <v>1</v>
      </c>
      <c r="E269" s="943"/>
      <c r="F269" s="943"/>
      <c r="G269" s="944"/>
      <c r="H269" s="942">
        <f>'LF-Jigawa'!H88:K88</f>
        <v>1.5</v>
      </c>
      <c r="I269" s="943"/>
      <c r="J269" s="943"/>
      <c r="K269" s="944"/>
      <c r="L269" s="942">
        <f>'LF-Jigawa'!L88:O88</f>
        <v>2.5</v>
      </c>
      <c r="M269" s="943"/>
      <c r="N269" s="943"/>
      <c r="O269" s="944"/>
      <c r="P269" s="963">
        <f>'LF-Jigawa'!P88:S88</f>
        <v>3.5</v>
      </c>
      <c r="Q269" s="964"/>
      <c r="R269" s="964"/>
      <c r="S269" s="965"/>
      <c r="T269" s="963">
        <f>'LF-Jigawa'!T88:W88</f>
        <v>4.5999999999999996</v>
      </c>
      <c r="U269" s="964"/>
      <c r="V269" s="964"/>
      <c r="W269" s="965"/>
      <c r="X269" s="880"/>
    </row>
    <row r="270" spans="1:24" ht="13.5" thickBot="1">
      <c r="A270" s="885"/>
      <c r="B270" s="885"/>
      <c r="C270" s="9" t="s">
        <v>287</v>
      </c>
      <c r="D270" s="942">
        <f>'LF-Kaduna'!D88:G88</f>
        <v>1</v>
      </c>
      <c r="E270" s="943"/>
      <c r="F270" s="943"/>
      <c r="G270" s="944"/>
      <c r="H270" s="942">
        <f>'LF-Kaduna'!H88:K88</f>
        <v>1.5</v>
      </c>
      <c r="I270" s="943"/>
      <c r="J270" s="943"/>
      <c r="K270" s="944"/>
      <c r="L270" s="942">
        <f>'LF-Kaduna'!L88:O88</f>
        <v>2</v>
      </c>
      <c r="M270" s="943"/>
      <c r="N270" s="943"/>
      <c r="O270" s="944"/>
      <c r="P270" s="963">
        <f>'LF-Kaduna'!P88:S88</f>
        <v>2.5</v>
      </c>
      <c r="Q270" s="964"/>
      <c r="R270" s="964"/>
      <c r="S270" s="965"/>
      <c r="T270" s="963">
        <f>'LF-Kaduna'!T88:W88</f>
        <v>3</v>
      </c>
      <c r="U270" s="964"/>
      <c r="V270" s="964"/>
      <c r="W270" s="965"/>
      <c r="X270" s="880"/>
    </row>
    <row r="271" spans="1:24" ht="13.5" thickBot="1">
      <c r="A271" s="885"/>
      <c r="B271" s="885"/>
      <c r="C271" s="9" t="s">
        <v>288</v>
      </c>
      <c r="D271" s="942">
        <f>'LF-Kano'!D88:G88</f>
        <v>1</v>
      </c>
      <c r="E271" s="943"/>
      <c r="F271" s="943"/>
      <c r="G271" s="944"/>
      <c r="H271" s="942">
        <f>'LF-Kano'!H88:K88</f>
        <v>2</v>
      </c>
      <c r="I271" s="943"/>
      <c r="J271" s="943"/>
      <c r="K271" s="944"/>
      <c r="L271" s="942">
        <f>'LF-Kano'!L88:O88</f>
        <v>2.5</v>
      </c>
      <c r="M271" s="943"/>
      <c r="N271" s="943"/>
      <c r="O271" s="944"/>
      <c r="P271" s="963">
        <f>'LF-Kano'!P88:S88</f>
        <v>3.5</v>
      </c>
      <c r="Q271" s="964"/>
      <c r="R271" s="964"/>
      <c r="S271" s="965"/>
      <c r="T271" s="963">
        <f>'LF-Kano'!T88:W88</f>
        <v>4</v>
      </c>
      <c r="U271" s="964"/>
      <c r="V271" s="964"/>
      <c r="W271" s="965"/>
      <c r="X271" s="880"/>
    </row>
    <row r="272" spans="1:24" ht="13.5" thickBot="1">
      <c r="A272" s="885"/>
      <c r="B272" s="885"/>
      <c r="C272" s="9" t="s">
        <v>289</v>
      </c>
      <c r="D272" s="942">
        <f>'LF-Lagos'!D88:G88</f>
        <v>1</v>
      </c>
      <c r="E272" s="943"/>
      <c r="F272" s="943"/>
      <c r="G272" s="944"/>
      <c r="H272" s="942">
        <f>'LF-Lagos'!H88:K88</f>
        <v>2</v>
      </c>
      <c r="I272" s="943"/>
      <c r="J272" s="943"/>
      <c r="K272" s="944"/>
      <c r="L272" s="942">
        <f>'LF-Lagos'!L88:O88</f>
        <v>3</v>
      </c>
      <c r="M272" s="943"/>
      <c r="N272" s="943"/>
      <c r="O272" s="944"/>
      <c r="P272" s="963">
        <f>'LF-Lagos'!P88:S88</f>
        <v>3.5</v>
      </c>
      <c r="Q272" s="964"/>
      <c r="R272" s="964"/>
      <c r="S272" s="965"/>
      <c r="T272" s="963">
        <f>'LF-Lagos'!T88:W88</f>
        <v>4.0999999999999996</v>
      </c>
      <c r="U272" s="964"/>
      <c r="V272" s="964"/>
      <c r="W272" s="965"/>
      <c r="X272" s="880"/>
    </row>
    <row r="273" spans="1:24" ht="13.5" thickBot="1">
      <c r="A273" s="885"/>
      <c r="B273" s="885"/>
      <c r="C273" s="9" t="s">
        <v>292</v>
      </c>
      <c r="D273" s="966" t="s">
        <v>255</v>
      </c>
      <c r="E273" s="967"/>
      <c r="F273" s="967"/>
      <c r="G273" s="968"/>
      <c r="H273" s="942">
        <f>'LF-Zamfara'!H88:K88</f>
        <v>1</v>
      </c>
      <c r="I273" s="943"/>
      <c r="J273" s="943"/>
      <c r="K273" s="944"/>
      <c r="L273" s="942">
        <f>'LF-Zamfara'!L88:O88</f>
        <v>1</v>
      </c>
      <c r="M273" s="943"/>
      <c r="N273" s="943"/>
      <c r="O273" s="944"/>
      <c r="P273" s="963">
        <f>'LF-Zamfara'!P88:S88</f>
        <v>1.3</v>
      </c>
      <c r="Q273" s="964"/>
      <c r="R273" s="964"/>
      <c r="S273" s="965"/>
      <c r="T273" s="963">
        <f>'LF-Zamfara'!T88:W88</f>
        <v>3</v>
      </c>
      <c r="U273" s="964"/>
      <c r="V273" s="964"/>
      <c r="W273" s="965"/>
      <c r="X273" s="880"/>
    </row>
    <row r="274" spans="1:24" ht="13.5" thickBot="1">
      <c r="A274" s="885"/>
      <c r="B274" s="885"/>
      <c r="C274" s="9" t="s">
        <v>293</v>
      </c>
      <c r="D274" s="966" t="s">
        <v>255</v>
      </c>
      <c r="E274" s="967"/>
      <c r="F274" s="967"/>
      <c r="G274" s="968"/>
      <c r="H274" s="942">
        <f>'LF-Katsina'!H88:K88</f>
        <v>1</v>
      </c>
      <c r="I274" s="943"/>
      <c r="J274" s="943"/>
      <c r="K274" s="944"/>
      <c r="L274" s="942">
        <f>'LF-Katsina'!L88:O88</f>
        <v>1</v>
      </c>
      <c r="M274" s="943"/>
      <c r="N274" s="943"/>
      <c r="O274" s="944"/>
      <c r="P274" s="963">
        <f>'LF-Katsina'!P88:S88</f>
        <v>1.5</v>
      </c>
      <c r="Q274" s="964"/>
      <c r="R274" s="964"/>
      <c r="S274" s="965"/>
      <c r="T274" s="963">
        <f>'LF-Katsina'!T88:W88</f>
        <v>4</v>
      </c>
      <c r="U274" s="964"/>
      <c r="V274" s="964"/>
      <c r="W274" s="965"/>
      <c r="X274" s="880"/>
    </row>
    <row r="275" spans="1:24" ht="13.5" thickBot="1">
      <c r="A275" s="885"/>
      <c r="B275" s="885"/>
      <c r="C275" s="9" t="s">
        <v>294</v>
      </c>
      <c r="D275" s="966" t="s">
        <v>255</v>
      </c>
      <c r="E275" s="967"/>
      <c r="F275" s="967"/>
      <c r="G275" s="968"/>
      <c r="H275" s="942">
        <f>'LF-Yobe'!H88:K88</f>
        <v>1</v>
      </c>
      <c r="I275" s="943"/>
      <c r="J275" s="943"/>
      <c r="K275" s="944"/>
      <c r="L275" s="942">
        <f>'LF-Yobe'!L88:O88</f>
        <v>1</v>
      </c>
      <c r="M275" s="943"/>
      <c r="N275" s="943"/>
      <c r="O275" s="944"/>
      <c r="P275" s="942">
        <f>'LF-Yobe'!P88:S88</f>
        <v>1.5</v>
      </c>
      <c r="Q275" s="943"/>
      <c r="R275" s="943"/>
      <c r="S275" s="944"/>
      <c r="T275" s="942">
        <f>'LF-Yobe'!T88:W88</f>
        <v>3</v>
      </c>
      <c r="U275" s="943"/>
      <c r="V275" s="943"/>
      <c r="W275" s="944"/>
      <c r="X275" s="880"/>
    </row>
    <row r="276" spans="1:24" ht="12.95" customHeight="1" thickBot="1">
      <c r="A276" s="885"/>
      <c r="B276" s="885"/>
      <c r="C276" s="9" t="s">
        <v>290</v>
      </c>
      <c r="D276" s="957"/>
      <c r="E276" s="958"/>
      <c r="F276" s="958"/>
      <c r="G276" s="959"/>
      <c r="H276" s="1162"/>
      <c r="I276" s="1163"/>
      <c r="J276" s="1163"/>
      <c r="K276" s="1164"/>
      <c r="L276" s="1150" t="s">
        <v>909</v>
      </c>
      <c r="M276" s="1151"/>
      <c r="N276" s="1151"/>
      <c r="O276" s="1152"/>
      <c r="P276" s="942">
        <f>'LF-Anambra'!P88:S88</f>
        <v>1</v>
      </c>
      <c r="Q276" s="943"/>
      <c r="R276" s="943"/>
      <c r="S276" s="944"/>
      <c r="T276" s="942">
        <f>'LF-Anambra'!T88:W88</f>
        <v>1.1000000000000001</v>
      </c>
      <c r="U276" s="943"/>
      <c r="V276" s="943"/>
      <c r="W276" s="944"/>
      <c r="X276" s="880"/>
    </row>
    <row r="277" spans="1:24" ht="12.95" customHeight="1" thickBot="1">
      <c r="A277" s="885"/>
      <c r="B277" s="885"/>
      <c r="C277" s="9" t="s">
        <v>291</v>
      </c>
      <c r="D277" s="957"/>
      <c r="E277" s="958"/>
      <c r="F277" s="958"/>
      <c r="G277" s="959"/>
      <c r="H277" s="1162"/>
      <c r="I277" s="1163"/>
      <c r="J277" s="1163"/>
      <c r="K277" s="1164"/>
      <c r="L277" s="1150" t="s">
        <v>909</v>
      </c>
      <c r="M277" s="1151"/>
      <c r="N277" s="1151"/>
      <c r="O277" s="1152"/>
      <c r="P277" s="942">
        <f>'LF-Niger'!P88:S88</f>
        <v>1.1000000000000001</v>
      </c>
      <c r="Q277" s="943"/>
      <c r="R277" s="943"/>
      <c r="S277" s="944"/>
      <c r="T277" s="942">
        <f>'LF-Niger'!T88:W88</f>
        <v>1.8</v>
      </c>
      <c r="U277" s="943"/>
      <c r="V277" s="943"/>
      <c r="W277" s="944"/>
      <c r="X277" s="880"/>
    </row>
    <row r="278" spans="1:24" ht="13.5" thickBot="1">
      <c r="A278" s="885"/>
      <c r="B278" s="885"/>
      <c r="C278" s="100" t="s">
        <v>295</v>
      </c>
      <c r="D278" s="1017"/>
      <c r="E278" s="1018"/>
      <c r="F278" s="1018"/>
      <c r="G278" s="1019"/>
      <c r="H278" s="1147">
        <f>'LF-Enugu'!H89:K89</f>
        <v>0</v>
      </c>
      <c r="I278" s="1148"/>
      <c r="J278" s="1148"/>
      <c r="K278" s="1149"/>
      <c r="L278" s="1147">
        <f>'LF-Enugu'!L89:O89</f>
        <v>1.3</v>
      </c>
      <c r="M278" s="1148"/>
      <c r="N278" s="1148"/>
      <c r="O278" s="1149"/>
      <c r="P278" s="1147">
        <f>'LF-Enugu'!P89:S89</f>
        <v>3.2</v>
      </c>
      <c r="Q278" s="1148"/>
      <c r="R278" s="1148"/>
      <c r="S278" s="1149"/>
      <c r="T278" s="1147">
        <f>'LF-Enugu'!T89:W89</f>
        <v>0</v>
      </c>
      <c r="U278" s="1148"/>
      <c r="V278" s="1148"/>
      <c r="W278" s="1149"/>
      <c r="X278" s="880"/>
    </row>
    <row r="279" spans="1:24" ht="13.5" thickBot="1">
      <c r="A279" s="885"/>
      <c r="B279" s="885"/>
      <c r="C279" s="100" t="s">
        <v>296</v>
      </c>
      <c r="D279" s="1017"/>
      <c r="E279" s="1018"/>
      <c r="F279" s="1018"/>
      <c r="G279" s="1019"/>
      <c r="H279" s="1147">
        <f>'LF-Jigawa'!H89:K89</f>
        <v>2</v>
      </c>
      <c r="I279" s="1148"/>
      <c r="J279" s="1148"/>
      <c r="K279" s="1149"/>
      <c r="L279" s="1147">
        <f>'LF-Jigawa'!L89:O89</f>
        <v>2.8</v>
      </c>
      <c r="M279" s="1148"/>
      <c r="N279" s="1148"/>
      <c r="O279" s="1149"/>
      <c r="P279" s="1147">
        <f>'LF-Jigawa'!P89:S89</f>
        <v>4.0999999999999996</v>
      </c>
      <c r="Q279" s="1148"/>
      <c r="R279" s="1148"/>
      <c r="S279" s="1149"/>
      <c r="T279" s="1147">
        <f>'LF-Jigawa'!T89:W89</f>
        <v>0</v>
      </c>
      <c r="U279" s="1148"/>
      <c r="V279" s="1148"/>
      <c r="W279" s="1149"/>
      <c r="X279" s="880"/>
    </row>
    <row r="280" spans="1:24" ht="13.5" thickBot="1">
      <c r="A280" s="885"/>
      <c r="B280" s="885"/>
      <c r="C280" s="100" t="s">
        <v>297</v>
      </c>
      <c r="D280" s="1017"/>
      <c r="E280" s="1018"/>
      <c r="F280" s="1018"/>
      <c r="G280" s="1019"/>
      <c r="H280" s="1147">
        <f>'LF-Kaduna'!H89:K89</f>
        <v>1</v>
      </c>
      <c r="I280" s="1148"/>
      <c r="J280" s="1148"/>
      <c r="K280" s="1149"/>
      <c r="L280" s="1147">
        <f>'LF-Kaduna'!L89:O89</f>
        <v>2.5</v>
      </c>
      <c r="M280" s="1148"/>
      <c r="N280" s="1148"/>
      <c r="O280" s="1149"/>
      <c r="P280" s="1147">
        <f>'LF-Kaduna'!P89:S89</f>
        <v>2</v>
      </c>
      <c r="Q280" s="1148"/>
      <c r="R280" s="1148"/>
      <c r="S280" s="1149"/>
      <c r="T280" s="1147">
        <f>'LF-Kaduna'!T89:W89</f>
        <v>0</v>
      </c>
      <c r="U280" s="1148"/>
      <c r="V280" s="1148"/>
      <c r="W280" s="1149"/>
      <c r="X280" s="880"/>
    </row>
    <row r="281" spans="1:24" ht="13.5" thickBot="1">
      <c r="A281" s="885"/>
      <c r="B281" s="885"/>
      <c r="C281" s="100" t="s">
        <v>298</v>
      </c>
      <c r="D281" s="1017"/>
      <c r="E281" s="1018"/>
      <c r="F281" s="1018"/>
      <c r="G281" s="1019"/>
      <c r="H281" s="1147">
        <f>'LF-Kano'!H89:K89</f>
        <v>2</v>
      </c>
      <c r="I281" s="1148"/>
      <c r="J281" s="1148"/>
      <c r="K281" s="1149"/>
      <c r="L281" s="1147">
        <f>'LF-Kano'!L89:O89</f>
        <v>3</v>
      </c>
      <c r="M281" s="1148"/>
      <c r="N281" s="1148"/>
      <c r="O281" s="1149"/>
      <c r="P281" s="1147">
        <f>'LF-Kano'!P89:S89</f>
        <v>3.8</v>
      </c>
      <c r="Q281" s="1148"/>
      <c r="R281" s="1148"/>
      <c r="S281" s="1149"/>
      <c r="T281" s="1147">
        <f>'LF-Kano'!T89:W89</f>
        <v>0</v>
      </c>
      <c r="U281" s="1148"/>
      <c r="V281" s="1148"/>
      <c r="W281" s="1149"/>
      <c r="X281" s="880"/>
    </row>
    <row r="282" spans="1:24" ht="13.5" thickBot="1">
      <c r="A282" s="885"/>
      <c r="B282" s="885"/>
      <c r="C282" s="100" t="s">
        <v>299</v>
      </c>
      <c r="D282" s="1017"/>
      <c r="E282" s="1018"/>
      <c r="F282" s="1018"/>
      <c r="G282" s="1019"/>
      <c r="H282" s="1147">
        <f>'LF-Lagos'!H89:K89</f>
        <v>1</v>
      </c>
      <c r="I282" s="1148"/>
      <c r="J282" s="1148"/>
      <c r="K282" s="1149"/>
      <c r="L282" s="1147">
        <f>'LF-Lagos'!L89:O89</f>
        <v>2.9</v>
      </c>
      <c r="M282" s="1148"/>
      <c r="N282" s="1148"/>
      <c r="O282" s="1149"/>
      <c r="P282" s="1147">
        <f>'LF-Lagos'!P89:S89</f>
        <v>3.1</v>
      </c>
      <c r="Q282" s="1148"/>
      <c r="R282" s="1148"/>
      <c r="S282" s="1149"/>
      <c r="T282" s="1147">
        <f>'LF-Lagos'!T89:W89</f>
        <v>0</v>
      </c>
      <c r="U282" s="1148"/>
      <c r="V282" s="1148"/>
      <c r="W282" s="1149"/>
      <c r="X282" s="880"/>
    </row>
    <row r="283" spans="1:24" ht="24.75" thickBot="1">
      <c r="A283" s="885"/>
      <c r="B283" s="885"/>
      <c r="C283" s="100" t="s">
        <v>300</v>
      </c>
      <c r="D283" s="1017"/>
      <c r="E283" s="1018"/>
      <c r="F283" s="1018"/>
      <c r="G283" s="1019"/>
      <c r="H283" s="1017"/>
      <c r="I283" s="1018"/>
      <c r="J283" s="1018"/>
      <c r="K283" s="1019"/>
      <c r="L283" s="1147">
        <f>'LF-Zamfara'!L89:O89</f>
        <v>1</v>
      </c>
      <c r="M283" s="1148"/>
      <c r="N283" s="1148"/>
      <c r="O283" s="1149"/>
      <c r="P283" s="1147">
        <f>'LF-Zamfara'!P89:S89</f>
        <v>1.8</v>
      </c>
      <c r="Q283" s="1148"/>
      <c r="R283" s="1148"/>
      <c r="S283" s="1149"/>
      <c r="T283" s="1147">
        <f>'LF-Zamfara'!T89:W89</f>
        <v>0</v>
      </c>
      <c r="U283" s="1148"/>
      <c r="V283" s="1148"/>
      <c r="W283" s="1149"/>
      <c r="X283" s="880"/>
    </row>
    <row r="284" spans="1:24" ht="13.5" thickBot="1">
      <c r="A284" s="885"/>
      <c r="B284" s="885"/>
      <c r="C284" s="100" t="s">
        <v>301</v>
      </c>
      <c r="D284" s="1017"/>
      <c r="E284" s="1018"/>
      <c r="F284" s="1018"/>
      <c r="G284" s="1019"/>
      <c r="H284" s="1017"/>
      <c r="I284" s="1018"/>
      <c r="J284" s="1018"/>
      <c r="K284" s="1019"/>
      <c r="L284" s="1147">
        <f>'LF-Katsina'!L89:O89</f>
        <v>1</v>
      </c>
      <c r="M284" s="1148"/>
      <c r="N284" s="1148"/>
      <c r="O284" s="1149"/>
      <c r="P284" s="1147">
        <f>'LF-Katsina'!P89:S89</f>
        <v>1.1000000000000001</v>
      </c>
      <c r="Q284" s="1148"/>
      <c r="R284" s="1148"/>
      <c r="S284" s="1149"/>
      <c r="T284" s="1147">
        <f>'LF-Katsina'!T89:W89</f>
        <v>0</v>
      </c>
      <c r="U284" s="1148"/>
      <c r="V284" s="1148"/>
      <c r="W284" s="1149"/>
      <c r="X284" s="880"/>
    </row>
    <row r="285" spans="1:24" ht="13.5" thickBot="1">
      <c r="A285" s="885"/>
      <c r="B285" s="885"/>
      <c r="C285" s="100" t="s">
        <v>302</v>
      </c>
      <c r="D285" s="1017"/>
      <c r="E285" s="1018"/>
      <c r="F285" s="1018"/>
      <c r="G285" s="1019"/>
      <c r="H285" s="1017"/>
      <c r="I285" s="1018"/>
      <c r="J285" s="1018"/>
      <c r="K285" s="1019"/>
      <c r="L285" s="1147">
        <f>'LF-Yobe'!L89:O89</f>
        <v>1</v>
      </c>
      <c r="M285" s="1148"/>
      <c r="N285" s="1148"/>
      <c r="O285" s="1149"/>
      <c r="P285" s="1147">
        <f>'LF-Yobe'!P89:S89</f>
        <v>2.1</v>
      </c>
      <c r="Q285" s="1148"/>
      <c r="R285" s="1148"/>
      <c r="S285" s="1149"/>
      <c r="T285" s="1147">
        <f>'LF-Yobe'!T89:W89</f>
        <v>0</v>
      </c>
      <c r="U285" s="1148"/>
      <c r="V285" s="1148"/>
      <c r="W285" s="1149"/>
      <c r="X285" s="880"/>
    </row>
    <row r="286" spans="1:24" ht="24.75" thickBot="1">
      <c r="A286" s="885"/>
      <c r="B286" s="885"/>
      <c r="C286" s="100" t="s">
        <v>303</v>
      </c>
      <c r="D286" s="1017"/>
      <c r="E286" s="1018"/>
      <c r="F286" s="1018"/>
      <c r="G286" s="1019"/>
      <c r="H286" s="1017"/>
      <c r="I286" s="1018"/>
      <c r="J286" s="1018"/>
      <c r="K286" s="1019"/>
      <c r="L286" s="1017"/>
      <c r="M286" s="1018"/>
      <c r="N286" s="1018"/>
      <c r="O286" s="1019"/>
      <c r="P286" s="1054"/>
      <c r="Q286" s="1055"/>
      <c r="R286" s="1055"/>
      <c r="S286" s="1056"/>
      <c r="T286" s="1147">
        <f>'LF-Anambra'!T89:W89</f>
        <v>0</v>
      </c>
      <c r="U286" s="1148"/>
      <c r="V286" s="1148"/>
      <c r="W286" s="1149"/>
      <c r="X286" s="880"/>
    </row>
    <row r="287" spans="1:24" ht="13.5" thickBot="1">
      <c r="A287" s="885"/>
      <c r="B287" s="885"/>
      <c r="C287" s="100" t="s">
        <v>304</v>
      </c>
      <c r="D287" s="1017"/>
      <c r="E287" s="1018"/>
      <c r="F287" s="1018"/>
      <c r="G287" s="1019"/>
      <c r="H287" s="1017"/>
      <c r="I287" s="1018"/>
      <c r="J287" s="1018"/>
      <c r="K287" s="1019"/>
      <c r="L287" s="1017"/>
      <c r="M287" s="1018"/>
      <c r="N287" s="1018"/>
      <c r="O287" s="1019"/>
      <c r="P287" s="1054"/>
      <c r="Q287" s="1055"/>
      <c r="R287" s="1055"/>
      <c r="S287" s="1056"/>
      <c r="T287" s="1147">
        <f>'LF-Niger'!T89:W89</f>
        <v>0</v>
      </c>
      <c r="U287" s="1148"/>
      <c r="V287" s="1148"/>
      <c r="W287" s="1149"/>
      <c r="X287" s="880"/>
    </row>
    <row r="288" spans="1:24" ht="13.5" thickBot="1">
      <c r="A288" s="885"/>
      <c r="B288" s="885"/>
      <c r="C288" s="922" t="s">
        <v>413</v>
      </c>
      <c r="D288" s="927" t="s">
        <v>4</v>
      </c>
      <c r="E288" s="928"/>
      <c r="F288" s="928"/>
      <c r="G288" s="928"/>
      <c r="H288" s="928"/>
      <c r="I288" s="928"/>
      <c r="J288" s="928"/>
      <c r="K288" s="928"/>
      <c r="L288" s="928"/>
      <c r="M288" s="928"/>
      <c r="N288" s="928"/>
      <c r="O288" s="928"/>
      <c r="P288" s="928"/>
      <c r="Q288" s="928"/>
      <c r="R288" s="928"/>
      <c r="S288" s="928"/>
      <c r="T288" s="928"/>
      <c r="U288" s="928"/>
      <c r="V288" s="928"/>
      <c r="W288" s="929"/>
      <c r="X288" s="880"/>
    </row>
    <row r="289" spans="1:24" ht="24" customHeight="1" thickBot="1">
      <c r="A289" s="885"/>
      <c r="B289" s="869"/>
      <c r="C289" s="923"/>
      <c r="D289" s="930" t="s">
        <v>120</v>
      </c>
      <c r="E289" s="931"/>
      <c r="F289" s="931"/>
      <c r="G289" s="931"/>
      <c r="H289" s="931"/>
      <c r="I289" s="931"/>
      <c r="J289" s="931"/>
      <c r="K289" s="931"/>
      <c r="L289" s="931"/>
      <c r="M289" s="931"/>
      <c r="N289" s="931"/>
      <c r="O289" s="931"/>
      <c r="P289" s="931"/>
      <c r="Q289" s="931"/>
      <c r="R289" s="931"/>
      <c r="S289" s="931"/>
      <c r="T289" s="931"/>
      <c r="U289" s="931"/>
      <c r="V289" s="931"/>
      <c r="W289" s="932"/>
      <c r="X289" s="880"/>
    </row>
    <row r="290" spans="1:24" ht="13.5" thickBot="1">
      <c r="A290" s="885"/>
      <c r="B290" s="11" t="s">
        <v>20</v>
      </c>
      <c r="C290" s="12"/>
      <c r="D290" s="927" t="s">
        <v>78</v>
      </c>
      <c r="E290" s="928"/>
      <c r="F290" s="928"/>
      <c r="G290" s="929"/>
      <c r="H290" s="927" t="s">
        <v>77</v>
      </c>
      <c r="I290" s="928"/>
      <c r="J290" s="928"/>
      <c r="K290" s="929"/>
      <c r="L290" s="927" t="s">
        <v>81</v>
      </c>
      <c r="M290" s="928"/>
      <c r="N290" s="928"/>
      <c r="O290" s="929"/>
      <c r="P290" s="927" t="s">
        <v>254</v>
      </c>
      <c r="Q290" s="928"/>
      <c r="R290" s="928"/>
      <c r="S290" s="929"/>
      <c r="T290" s="927" t="s">
        <v>76</v>
      </c>
      <c r="U290" s="928"/>
      <c r="V290" s="928"/>
      <c r="W290" s="929"/>
      <c r="X290" s="880"/>
    </row>
    <row r="291" spans="1:24" ht="13.5" thickBot="1">
      <c r="A291" s="885"/>
      <c r="B291" s="868" t="s">
        <v>59</v>
      </c>
      <c r="C291" s="9" t="s">
        <v>285</v>
      </c>
      <c r="D291" s="942">
        <f>'LF-Enugu'!D93:G93</f>
        <v>1</v>
      </c>
      <c r="E291" s="943"/>
      <c r="F291" s="943"/>
      <c r="G291" s="944"/>
      <c r="H291" s="942">
        <f>'LF-Enugu'!H93:K93</f>
        <v>1.2</v>
      </c>
      <c r="I291" s="943"/>
      <c r="J291" s="943"/>
      <c r="K291" s="944"/>
      <c r="L291" s="942">
        <f>'LF-Enugu'!L93:O93</f>
        <v>2</v>
      </c>
      <c r="M291" s="943"/>
      <c r="N291" s="943"/>
      <c r="O291" s="944"/>
      <c r="P291" s="942">
        <f>'LF-Enugu'!P93:S93</f>
        <v>3</v>
      </c>
      <c r="Q291" s="943"/>
      <c r="R291" s="943"/>
      <c r="S291" s="944"/>
      <c r="T291" s="942">
        <f>'LF-Enugu'!T93:W93</f>
        <v>3.6</v>
      </c>
      <c r="U291" s="943"/>
      <c r="V291" s="943"/>
      <c r="W291" s="944"/>
      <c r="X291" s="880"/>
    </row>
    <row r="292" spans="1:24" ht="13.5" thickBot="1">
      <c r="A292" s="885"/>
      <c r="B292" s="885"/>
      <c r="C292" s="9" t="s">
        <v>286</v>
      </c>
      <c r="D292" s="942">
        <f>'LF-Jigawa'!D93:G93</f>
        <v>1</v>
      </c>
      <c r="E292" s="943"/>
      <c r="F292" s="943"/>
      <c r="G292" s="944"/>
      <c r="H292" s="942">
        <f>'LF-Jigawa'!H93:K93</f>
        <v>1.5</v>
      </c>
      <c r="I292" s="943"/>
      <c r="J292" s="943"/>
      <c r="K292" s="944"/>
      <c r="L292" s="942">
        <f>'LF-Jigawa'!L93:O93</f>
        <v>2.5</v>
      </c>
      <c r="M292" s="943"/>
      <c r="N292" s="943"/>
      <c r="O292" s="944"/>
      <c r="P292" s="942">
        <f>'LF-Jigawa'!P93:S93</f>
        <v>3.5</v>
      </c>
      <c r="Q292" s="943"/>
      <c r="R292" s="943"/>
      <c r="S292" s="944"/>
      <c r="T292" s="942">
        <f>'LF-Jigawa'!T93:W93</f>
        <v>4.2</v>
      </c>
      <c r="U292" s="943"/>
      <c r="V292" s="943"/>
      <c r="W292" s="944"/>
      <c r="X292" s="880"/>
    </row>
    <row r="293" spans="1:24" ht="13.5" thickBot="1">
      <c r="A293" s="885"/>
      <c r="B293" s="885"/>
      <c r="C293" s="9" t="s">
        <v>287</v>
      </c>
      <c r="D293" s="942">
        <f>'LF-Kaduna'!D93:G93</f>
        <v>1</v>
      </c>
      <c r="E293" s="943"/>
      <c r="F293" s="943"/>
      <c r="G293" s="944"/>
      <c r="H293" s="942">
        <f>'LF-Kaduna'!H93:K93</f>
        <v>1.5</v>
      </c>
      <c r="I293" s="943"/>
      <c r="J293" s="943"/>
      <c r="K293" s="944"/>
      <c r="L293" s="942">
        <f>'LF-Kaduna'!L93:O93</f>
        <v>2</v>
      </c>
      <c r="M293" s="943"/>
      <c r="N293" s="943"/>
      <c r="O293" s="944"/>
      <c r="P293" s="963">
        <f>'LF-Kaduna'!P93:S93</f>
        <v>2.5</v>
      </c>
      <c r="Q293" s="964"/>
      <c r="R293" s="964"/>
      <c r="S293" s="965"/>
      <c r="T293" s="963">
        <f>'LF-Kaduna'!T93:W93</f>
        <v>3.2</v>
      </c>
      <c r="U293" s="964"/>
      <c r="V293" s="964"/>
      <c r="W293" s="965"/>
      <c r="X293" s="880"/>
    </row>
    <row r="294" spans="1:24" ht="13.5" thickBot="1">
      <c r="A294" s="885"/>
      <c r="B294" s="885"/>
      <c r="C294" s="9" t="s">
        <v>288</v>
      </c>
      <c r="D294" s="942">
        <f>'LF-Kano'!D93:G93</f>
        <v>1</v>
      </c>
      <c r="E294" s="943"/>
      <c r="F294" s="943"/>
      <c r="G294" s="944"/>
      <c r="H294" s="942">
        <f>'LF-Kano'!H93:K93</f>
        <v>2</v>
      </c>
      <c r="I294" s="943"/>
      <c r="J294" s="943"/>
      <c r="K294" s="944"/>
      <c r="L294" s="942">
        <f>'LF-Kano'!L93:O93</f>
        <v>3</v>
      </c>
      <c r="M294" s="943"/>
      <c r="N294" s="943"/>
      <c r="O294" s="944"/>
      <c r="P294" s="963">
        <f>'LF-Kano'!P93:S93</f>
        <v>4</v>
      </c>
      <c r="Q294" s="964"/>
      <c r="R294" s="964"/>
      <c r="S294" s="965"/>
      <c r="T294" s="963">
        <f>'LF-Kano'!T93:W93</f>
        <v>4.5</v>
      </c>
      <c r="U294" s="964"/>
      <c r="V294" s="964"/>
      <c r="W294" s="965"/>
      <c r="X294" s="880"/>
    </row>
    <row r="295" spans="1:24" ht="13.5" thickBot="1">
      <c r="A295" s="885"/>
      <c r="B295" s="885"/>
      <c r="C295" s="9" t="s">
        <v>289</v>
      </c>
      <c r="D295" s="942">
        <f>'LF-Lagos'!D93:G93</f>
        <v>1</v>
      </c>
      <c r="E295" s="943"/>
      <c r="F295" s="943"/>
      <c r="G295" s="944"/>
      <c r="H295" s="942">
        <f>'LF-Lagos'!H93:K93</f>
        <v>2</v>
      </c>
      <c r="I295" s="943"/>
      <c r="J295" s="943"/>
      <c r="K295" s="944"/>
      <c r="L295" s="942">
        <f>'LF-Lagos'!L93:O93</f>
        <v>3</v>
      </c>
      <c r="M295" s="943"/>
      <c r="N295" s="943"/>
      <c r="O295" s="944"/>
      <c r="P295" s="963">
        <f>'LF-Lagos'!P93:S93</f>
        <v>3.5</v>
      </c>
      <c r="Q295" s="964"/>
      <c r="R295" s="964"/>
      <c r="S295" s="965"/>
      <c r="T295" s="963">
        <f>'LF-Lagos'!T93:W93</f>
        <v>4.3</v>
      </c>
      <c r="U295" s="964"/>
      <c r="V295" s="964"/>
      <c r="W295" s="965"/>
      <c r="X295" s="880"/>
    </row>
    <row r="296" spans="1:24" ht="13.5" thickBot="1">
      <c r="A296" s="885"/>
      <c r="B296" s="885"/>
      <c r="C296" s="9" t="s">
        <v>292</v>
      </c>
      <c r="D296" s="966" t="s">
        <v>255</v>
      </c>
      <c r="E296" s="967"/>
      <c r="F296" s="967"/>
      <c r="G296" s="968"/>
      <c r="H296" s="942">
        <f>'LF-Zamfara'!H93:K93</f>
        <v>1</v>
      </c>
      <c r="I296" s="943"/>
      <c r="J296" s="943"/>
      <c r="K296" s="944"/>
      <c r="L296" s="942">
        <f>'LF-Zamfara'!L93:O93</f>
        <v>1</v>
      </c>
      <c r="M296" s="943"/>
      <c r="N296" s="943"/>
      <c r="O296" s="944"/>
      <c r="P296" s="963">
        <f>'LF-Zamfara'!P93:S93</f>
        <v>1.3</v>
      </c>
      <c r="Q296" s="964"/>
      <c r="R296" s="964"/>
      <c r="S296" s="965"/>
      <c r="T296" s="963">
        <f>'LF-Zamfara'!T93:W93</f>
        <v>2.2999999999999998</v>
      </c>
      <c r="U296" s="964"/>
      <c r="V296" s="964"/>
      <c r="W296" s="965"/>
      <c r="X296" s="880"/>
    </row>
    <row r="297" spans="1:24" ht="13.5" thickBot="1">
      <c r="A297" s="885"/>
      <c r="B297" s="885"/>
      <c r="C297" s="9" t="s">
        <v>293</v>
      </c>
      <c r="D297" s="966" t="s">
        <v>255</v>
      </c>
      <c r="E297" s="967"/>
      <c r="F297" s="967"/>
      <c r="G297" s="968"/>
      <c r="H297" s="942">
        <f>'LF-Katsina'!H93:K93</f>
        <v>1</v>
      </c>
      <c r="I297" s="943"/>
      <c r="J297" s="943"/>
      <c r="K297" s="944"/>
      <c r="L297" s="942">
        <f>'LF-Katsina'!L93:O93</f>
        <v>1</v>
      </c>
      <c r="M297" s="943"/>
      <c r="N297" s="943"/>
      <c r="O297" s="944"/>
      <c r="P297" s="963">
        <f>'LF-Katsina'!P93:S93</f>
        <v>1.2</v>
      </c>
      <c r="Q297" s="964"/>
      <c r="R297" s="964"/>
      <c r="S297" s="965"/>
      <c r="T297" s="963">
        <f>'LF-Katsina'!T93:W93</f>
        <v>3.5</v>
      </c>
      <c r="U297" s="964"/>
      <c r="V297" s="964"/>
      <c r="W297" s="965"/>
      <c r="X297" s="880"/>
    </row>
    <row r="298" spans="1:24" ht="13.5" thickBot="1">
      <c r="A298" s="885"/>
      <c r="B298" s="885"/>
      <c r="C298" s="9" t="s">
        <v>294</v>
      </c>
      <c r="D298" s="966" t="s">
        <v>255</v>
      </c>
      <c r="E298" s="967"/>
      <c r="F298" s="967"/>
      <c r="G298" s="968"/>
      <c r="H298" s="942">
        <f>'LF-Yobe'!H93:K93</f>
        <v>1</v>
      </c>
      <c r="I298" s="943"/>
      <c r="J298" s="943"/>
      <c r="K298" s="944"/>
      <c r="L298" s="942">
        <f>'LF-Yobe'!L93:O93</f>
        <v>1</v>
      </c>
      <c r="M298" s="943"/>
      <c r="N298" s="943"/>
      <c r="O298" s="944"/>
      <c r="P298" s="942">
        <f>'LF-Yobe'!P93:S93</f>
        <v>1.4</v>
      </c>
      <c r="Q298" s="943"/>
      <c r="R298" s="943"/>
      <c r="S298" s="944"/>
      <c r="T298" s="942">
        <f>'LF-Yobe'!T93:W93</f>
        <v>3.5</v>
      </c>
      <c r="U298" s="943"/>
      <c r="V298" s="943"/>
      <c r="W298" s="944"/>
      <c r="X298" s="880"/>
    </row>
    <row r="299" spans="1:24" ht="12.95" customHeight="1" thickBot="1">
      <c r="A299" s="885"/>
      <c r="B299" s="885"/>
      <c r="C299" s="9" t="s">
        <v>290</v>
      </c>
      <c r="D299" s="957"/>
      <c r="E299" s="958"/>
      <c r="F299" s="958"/>
      <c r="G299" s="959"/>
      <c r="H299" s="1162"/>
      <c r="I299" s="1163"/>
      <c r="J299" s="1163"/>
      <c r="K299" s="1164"/>
      <c r="L299" s="1150" t="s">
        <v>909</v>
      </c>
      <c r="M299" s="1151"/>
      <c r="N299" s="1151"/>
      <c r="O299" s="1152"/>
      <c r="P299" s="942">
        <f>'LF-Anambra'!P93:S93</f>
        <v>1</v>
      </c>
      <c r="Q299" s="943"/>
      <c r="R299" s="943"/>
      <c r="S299" s="944"/>
      <c r="T299" s="942">
        <f>'LF-Anambra'!T93:W93</f>
        <v>1.1000000000000001</v>
      </c>
      <c r="U299" s="943"/>
      <c r="V299" s="943"/>
      <c r="W299" s="944"/>
      <c r="X299" s="880"/>
    </row>
    <row r="300" spans="1:24" ht="12.95" customHeight="1" thickBot="1">
      <c r="A300" s="885"/>
      <c r="B300" s="885"/>
      <c r="C300" s="9" t="s">
        <v>291</v>
      </c>
      <c r="D300" s="957"/>
      <c r="E300" s="958"/>
      <c r="F300" s="958"/>
      <c r="G300" s="959"/>
      <c r="H300" s="1162"/>
      <c r="I300" s="1163"/>
      <c r="J300" s="1163"/>
      <c r="K300" s="1164"/>
      <c r="L300" s="1150" t="s">
        <v>909</v>
      </c>
      <c r="M300" s="1151"/>
      <c r="N300" s="1151"/>
      <c r="O300" s="1152"/>
      <c r="P300" s="942">
        <f>'LF-Niger'!P93:S93</f>
        <v>1</v>
      </c>
      <c r="Q300" s="943"/>
      <c r="R300" s="943"/>
      <c r="S300" s="944"/>
      <c r="T300" s="942">
        <f>'LF-Niger'!T93:W93</f>
        <v>1.7</v>
      </c>
      <c r="U300" s="943"/>
      <c r="V300" s="943"/>
      <c r="W300" s="944"/>
      <c r="X300" s="880"/>
    </row>
    <row r="301" spans="1:24" ht="13.5" thickBot="1">
      <c r="A301" s="885"/>
      <c r="B301" s="885"/>
      <c r="C301" s="100" t="s">
        <v>295</v>
      </c>
      <c r="D301" s="1017"/>
      <c r="E301" s="1018"/>
      <c r="F301" s="1018"/>
      <c r="G301" s="1019"/>
      <c r="H301" s="1147">
        <f>'LF-Enugu'!H94:K94</f>
        <v>0</v>
      </c>
      <c r="I301" s="1148"/>
      <c r="J301" s="1148"/>
      <c r="K301" s="1149"/>
      <c r="L301" s="1147">
        <f>'LF-Enugu'!L94:O94</f>
        <v>2.8</v>
      </c>
      <c r="M301" s="1148"/>
      <c r="N301" s="1148"/>
      <c r="O301" s="1149"/>
      <c r="P301" s="1147">
        <f>'LF-Enugu'!P94:S94</f>
        <v>2.9</v>
      </c>
      <c r="Q301" s="1148"/>
      <c r="R301" s="1148"/>
      <c r="S301" s="1149"/>
      <c r="T301" s="1147">
        <f>'LF-Enugu'!T94:W94</f>
        <v>0</v>
      </c>
      <c r="U301" s="1148"/>
      <c r="V301" s="1148"/>
      <c r="W301" s="1149"/>
      <c r="X301" s="880"/>
    </row>
    <row r="302" spans="1:24" ht="13.5" thickBot="1">
      <c r="A302" s="885"/>
      <c r="B302" s="885"/>
      <c r="C302" s="100" t="s">
        <v>296</v>
      </c>
      <c r="D302" s="1017"/>
      <c r="E302" s="1018"/>
      <c r="F302" s="1018"/>
      <c r="G302" s="1019"/>
      <c r="H302" s="1147">
        <f>'LF-Jigawa'!H94:K94</f>
        <v>1.5</v>
      </c>
      <c r="I302" s="1148"/>
      <c r="J302" s="1148"/>
      <c r="K302" s="1149"/>
      <c r="L302" s="1147">
        <f>'LF-Jigawa'!L94:O94</f>
        <v>3.2</v>
      </c>
      <c r="M302" s="1148"/>
      <c r="N302" s="1148"/>
      <c r="O302" s="1149"/>
      <c r="P302" s="1147">
        <f>'LF-Jigawa'!P94:S94</f>
        <v>3.8</v>
      </c>
      <c r="Q302" s="1148"/>
      <c r="R302" s="1148"/>
      <c r="S302" s="1149"/>
      <c r="T302" s="1147">
        <f>'LF-Jigawa'!T94:W94</f>
        <v>0</v>
      </c>
      <c r="U302" s="1148"/>
      <c r="V302" s="1148"/>
      <c r="W302" s="1149"/>
      <c r="X302" s="880"/>
    </row>
    <row r="303" spans="1:24" ht="13.5" thickBot="1">
      <c r="A303" s="885"/>
      <c r="B303" s="885"/>
      <c r="C303" s="100" t="s">
        <v>297</v>
      </c>
      <c r="D303" s="1017"/>
      <c r="E303" s="1018"/>
      <c r="F303" s="1018"/>
      <c r="G303" s="1019"/>
      <c r="H303" s="1147">
        <f>'LF-Kaduna'!H94:K94</f>
        <v>1</v>
      </c>
      <c r="I303" s="1148"/>
      <c r="J303" s="1148"/>
      <c r="K303" s="1149"/>
      <c r="L303" s="1147">
        <f>'LF-Kaduna'!L94:O94</f>
        <v>2</v>
      </c>
      <c r="M303" s="1148"/>
      <c r="N303" s="1148"/>
      <c r="O303" s="1149"/>
      <c r="P303" s="1147">
        <f>'LF-Kaduna'!P94:S94</f>
        <v>2.6</v>
      </c>
      <c r="Q303" s="1148"/>
      <c r="R303" s="1148"/>
      <c r="S303" s="1149"/>
      <c r="T303" s="1147">
        <f>'LF-Kaduna'!T94:W94</f>
        <v>0</v>
      </c>
      <c r="U303" s="1148"/>
      <c r="V303" s="1148"/>
      <c r="W303" s="1149"/>
      <c r="X303" s="880"/>
    </row>
    <row r="304" spans="1:24" ht="13.5" thickBot="1">
      <c r="A304" s="885"/>
      <c r="B304" s="885"/>
      <c r="C304" s="100" t="s">
        <v>298</v>
      </c>
      <c r="D304" s="1017"/>
      <c r="E304" s="1018"/>
      <c r="F304" s="1018"/>
      <c r="G304" s="1019"/>
      <c r="H304" s="1147">
        <f>'LF-Kano'!H94:K94</f>
        <v>1</v>
      </c>
      <c r="I304" s="1148"/>
      <c r="J304" s="1148"/>
      <c r="K304" s="1149"/>
      <c r="L304" s="1147">
        <f>'LF-Kano'!L94:O94</f>
        <v>3.6</v>
      </c>
      <c r="M304" s="1148"/>
      <c r="N304" s="1148"/>
      <c r="O304" s="1149"/>
      <c r="P304" s="1147">
        <f>'LF-Kano'!P94:S94</f>
        <v>4</v>
      </c>
      <c r="Q304" s="1148"/>
      <c r="R304" s="1148"/>
      <c r="S304" s="1149"/>
      <c r="T304" s="1147">
        <f>'LF-Kano'!T94:W94</f>
        <v>0</v>
      </c>
      <c r="U304" s="1148"/>
      <c r="V304" s="1148"/>
      <c r="W304" s="1149"/>
      <c r="X304" s="880"/>
    </row>
    <row r="305" spans="1:24" ht="13.5" thickBot="1">
      <c r="A305" s="885"/>
      <c r="B305" s="885"/>
      <c r="C305" s="100" t="s">
        <v>299</v>
      </c>
      <c r="D305" s="1017"/>
      <c r="E305" s="1018"/>
      <c r="F305" s="1018"/>
      <c r="G305" s="1019"/>
      <c r="H305" s="1147">
        <f>'LF-Lagos'!H94:K94</f>
        <v>1</v>
      </c>
      <c r="I305" s="1148"/>
      <c r="J305" s="1148"/>
      <c r="K305" s="1149"/>
      <c r="L305" s="1147">
        <f>'LF-Lagos'!L94:O94</f>
        <v>2.9</v>
      </c>
      <c r="M305" s="1148"/>
      <c r="N305" s="1148"/>
      <c r="O305" s="1149"/>
      <c r="P305" s="1147">
        <f>'LF-Lagos'!P94:S94</f>
        <v>3.5</v>
      </c>
      <c r="Q305" s="1148"/>
      <c r="R305" s="1148"/>
      <c r="S305" s="1149"/>
      <c r="T305" s="1147">
        <f>'LF-Lagos'!T94:W94</f>
        <v>0</v>
      </c>
      <c r="U305" s="1148"/>
      <c r="V305" s="1148"/>
      <c r="W305" s="1149"/>
      <c r="X305" s="880"/>
    </row>
    <row r="306" spans="1:24" ht="24.75" thickBot="1">
      <c r="A306" s="885"/>
      <c r="B306" s="885"/>
      <c r="C306" s="100" t="s">
        <v>300</v>
      </c>
      <c r="D306" s="1017"/>
      <c r="E306" s="1018"/>
      <c r="F306" s="1018"/>
      <c r="G306" s="1019"/>
      <c r="H306" s="1017"/>
      <c r="I306" s="1018"/>
      <c r="J306" s="1018"/>
      <c r="K306" s="1019"/>
      <c r="L306" s="1147">
        <f>'LF-Zamfara'!L94:O94</f>
        <v>1</v>
      </c>
      <c r="M306" s="1148"/>
      <c r="N306" s="1148"/>
      <c r="O306" s="1149"/>
      <c r="P306" s="1147">
        <f>'LF-Zamfara'!P94:S94</f>
        <v>3.2</v>
      </c>
      <c r="Q306" s="1148"/>
      <c r="R306" s="1148"/>
      <c r="S306" s="1149"/>
      <c r="T306" s="1147">
        <f>'LF-Zamfara'!T94:W94</f>
        <v>0</v>
      </c>
      <c r="U306" s="1148"/>
      <c r="V306" s="1148"/>
      <c r="W306" s="1149"/>
      <c r="X306" s="880"/>
    </row>
    <row r="307" spans="1:24" ht="13.5" thickBot="1">
      <c r="A307" s="885"/>
      <c r="B307" s="885"/>
      <c r="C307" s="100" t="s">
        <v>301</v>
      </c>
      <c r="D307" s="1017"/>
      <c r="E307" s="1018"/>
      <c r="F307" s="1018"/>
      <c r="G307" s="1019"/>
      <c r="H307" s="1017"/>
      <c r="I307" s="1018"/>
      <c r="J307" s="1018"/>
      <c r="K307" s="1019"/>
      <c r="L307" s="1147">
        <f>'LF-Katsina'!L94:O94</f>
        <v>1</v>
      </c>
      <c r="M307" s="1148"/>
      <c r="N307" s="1148"/>
      <c r="O307" s="1149"/>
      <c r="P307" s="1147">
        <f>'LF-Katsina'!P94:S94</f>
        <v>1</v>
      </c>
      <c r="Q307" s="1148"/>
      <c r="R307" s="1148"/>
      <c r="S307" s="1149"/>
      <c r="T307" s="1147">
        <f>'LF-Katsina'!T94:W94</f>
        <v>0</v>
      </c>
      <c r="U307" s="1148"/>
      <c r="V307" s="1148"/>
      <c r="W307" s="1149"/>
      <c r="X307" s="880"/>
    </row>
    <row r="308" spans="1:24" ht="13.5" thickBot="1">
      <c r="A308" s="885"/>
      <c r="B308" s="885"/>
      <c r="C308" s="100" t="s">
        <v>302</v>
      </c>
      <c r="D308" s="1017"/>
      <c r="E308" s="1018"/>
      <c r="F308" s="1018"/>
      <c r="G308" s="1019"/>
      <c r="H308" s="1017"/>
      <c r="I308" s="1018"/>
      <c r="J308" s="1018"/>
      <c r="K308" s="1019"/>
      <c r="L308" s="1147">
        <f>'LF-Yobe'!L94:O94</f>
        <v>1</v>
      </c>
      <c r="M308" s="1148"/>
      <c r="N308" s="1148"/>
      <c r="O308" s="1149"/>
      <c r="P308" s="1147">
        <f>'LF-Yobe'!P94:S94</f>
        <v>3.8</v>
      </c>
      <c r="Q308" s="1148"/>
      <c r="R308" s="1148"/>
      <c r="S308" s="1149"/>
      <c r="T308" s="1147">
        <f>'LF-Yobe'!T94:W94</f>
        <v>0</v>
      </c>
      <c r="U308" s="1148"/>
      <c r="V308" s="1148"/>
      <c r="W308" s="1149"/>
      <c r="X308" s="880"/>
    </row>
    <row r="309" spans="1:24" ht="24.75" thickBot="1">
      <c r="A309" s="885"/>
      <c r="B309" s="885"/>
      <c r="C309" s="100" t="s">
        <v>303</v>
      </c>
      <c r="D309" s="1017"/>
      <c r="E309" s="1018"/>
      <c r="F309" s="1018"/>
      <c r="G309" s="1019"/>
      <c r="H309" s="1017"/>
      <c r="I309" s="1018"/>
      <c r="J309" s="1018"/>
      <c r="K309" s="1019"/>
      <c r="L309" s="1017"/>
      <c r="M309" s="1018"/>
      <c r="N309" s="1018"/>
      <c r="O309" s="1019"/>
      <c r="P309" s="1054"/>
      <c r="Q309" s="1055"/>
      <c r="R309" s="1055"/>
      <c r="S309" s="1056"/>
      <c r="T309" s="1147">
        <f>'LF-Anambra'!T94:W94</f>
        <v>0</v>
      </c>
      <c r="U309" s="1148"/>
      <c r="V309" s="1148"/>
      <c r="W309" s="1149"/>
      <c r="X309" s="880"/>
    </row>
    <row r="310" spans="1:24" ht="13.5" thickBot="1">
      <c r="A310" s="885"/>
      <c r="B310" s="885"/>
      <c r="C310" s="100" t="s">
        <v>304</v>
      </c>
      <c r="D310" s="1017"/>
      <c r="E310" s="1018"/>
      <c r="F310" s="1018"/>
      <c r="G310" s="1019"/>
      <c r="H310" s="1017"/>
      <c r="I310" s="1018"/>
      <c r="J310" s="1018"/>
      <c r="K310" s="1019"/>
      <c r="L310" s="1017"/>
      <c r="M310" s="1018"/>
      <c r="N310" s="1018"/>
      <c r="O310" s="1019"/>
      <c r="P310" s="1054"/>
      <c r="Q310" s="1055"/>
      <c r="R310" s="1055"/>
      <c r="S310" s="1056"/>
      <c r="T310" s="1147">
        <f>'LF-Niger'!T94:W94</f>
        <v>0</v>
      </c>
      <c r="U310" s="1148"/>
      <c r="V310" s="1148"/>
      <c r="W310" s="1149"/>
      <c r="X310" s="880"/>
    </row>
    <row r="311" spans="1:24" ht="13.5" thickBot="1">
      <c r="A311" s="885"/>
      <c r="B311" s="885"/>
      <c r="C311" s="922" t="s">
        <v>413</v>
      </c>
      <c r="D311" s="927" t="s">
        <v>4</v>
      </c>
      <c r="E311" s="928"/>
      <c r="F311" s="928"/>
      <c r="G311" s="928"/>
      <c r="H311" s="928"/>
      <c r="I311" s="928"/>
      <c r="J311" s="928"/>
      <c r="K311" s="928"/>
      <c r="L311" s="928"/>
      <c r="M311" s="928"/>
      <c r="N311" s="928"/>
      <c r="O311" s="928"/>
      <c r="P311" s="928"/>
      <c r="Q311" s="928"/>
      <c r="R311" s="928"/>
      <c r="S311" s="928"/>
      <c r="T311" s="928"/>
      <c r="U311" s="928"/>
      <c r="V311" s="928"/>
      <c r="W311" s="929"/>
      <c r="X311" s="880"/>
    </row>
    <row r="312" spans="1:24" ht="13.5" thickBot="1">
      <c r="A312" s="885"/>
      <c r="B312" s="869"/>
      <c r="C312" s="923"/>
      <c r="D312" s="930" t="s">
        <v>118</v>
      </c>
      <c r="E312" s="931"/>
      <c r="F312" s="931"/>
      <c r="G312" s="931"/>
      <c r="H312" s="931"/>
      <c r="I312" s="931"/>
      <c r="J312" s="931"/>
      <c r="K312" s="931"/>
      <c r="L312" s="931"/>
      <c r="M312" s="931"/>
      <c r="N312" s="931"/>
      <c r="O312" s="931"/>
      <c r="P312" s="931"/>
      <c r="Q312" s="931"/>
      <c r="R312" s="931"/>
      <c r="S312" s="931"/>
      <c r="T312" s="931"/>
      <c r="U312" s="931"/>
      <c r="V312" s="931"/>
      <c r="W312" s="932"/>
      <c r="X312" s="880"/>
    </row>
    <row r="313" spans="1:24" ht="13.5" thickBot="1">
      <c r="A313" s="885"/>
      <c r="B313" s="11" t="s">
        <v>21</v>
      </c>
      <c r="C313" s="12"/>
      <c r="D313" s="927" t="s">
        <v>78</v>
      </c>
      <c r="E313" s="928"/>
      <c r="F313" s="928"/>
      <c r="G313" s="929"/>
      <c r="H313" s="927" t="s">
        <v>77</v>
      </c>
      <c r="I313" s="928"/>
      <c r="J313" s="928"/>
      <c r="K313" s="929"/>
      <c r="L313" s="927" t="s">
        <v>81</v>
      </c>
      <c r="M313" s="928"/>
      <c r="N313" s="928"/>
      <c r="O313" s="929"/>
      <c r="P313" s="927" t="s">
        <v>254</v>
      </c>
      <c r="Q313" s="928"/>
      <c r="R313" s="928"/>
      <c r="S313" s="929"/>
      <c r="T313" s="927" t="s">
        <v>76</v>
      </c>
      <c r="U313" s="928"/>
      <c r="V313" s="928"/>
      <c r="W313" s="929"/>
      <c r="X313" s="880"/>
    </row>
    <row r="314" spans="1:24" ht="13.5" thickBot="1">
      <c r="A314" s="885"/>
      <c r="B314" s="868" t="s">
        <v>63</v>
      </c>
      <c r="C314" s="9" t="s">
        <v>285</v>
      </c>
      <c r="D314" s="924">
        <f>'LF-Enugu'!D98:G98</f>
        <v>0</v>
      </c>
      <c r="E314" s="925"/>
      <c r="F314" s="925"/>
      <c r="G314" s="926"/>
      <c r="H314" s="924">
        <f>'LF-Enugu'!H98:K98</f>
        <v>0</v>
      </c>
      <c r="I314" s="925"/>
      <c r="J314" s="925"/>
      <c r="K314" s="926"/>
      <c r="L314" s="924">
        <f>'LF-Enugu'!L98:O98</f>
        <v>2</v>
      </c>
      <c r="M314" s="925"/>
      <c r="N314" s="925"/>
      <c r="O314" s="926"/>
      <c r="P314" s="924">
        <f>'LF-Enugu'!P98:S98</f>
        <v>4</v>
      </c>
      <c r="Q314" s="925"/>
      <c r="R314" s="925"/>
      <c r="S314" s="926"/>
      <c r="T314" s="924">
        <f>'LF-Enugu'!T98:W98</f>
        <v>10</v>
      </c>
      <c r="U314" s="925"/>
      <c r="V314" s="925"/>
      <c r="W314" s="926"/>
      <c r="X314" s="880"/>
    </row>
    <row r="315" spans="1:24" ht="13.5" thickBot="1">
      <c r="A315" s="885"/>
      <c r="B315" s="885"/>
      <c r="C315" s="9" t="s">
        <v>286</v>
      </c>
      <c r="D315" s="924">
        <f>'LF-Jigawa'!D98:G98</f>
        <v>0</v>
      </c>
      <c r="E315" s="925"/>
      <c r="F315" s="925"/>
      <c r="G315" s="926"/>
      <c r="H315" s="924">
        <f>'LF-Jigawa'!H98:K98</f>
        <v>2</v>
      </c>
      <c r="I315" s="925"/>
      <c r="J315" s="925"/>
      <c r="K315" s="926"/>
      <c r="L315" s="924">
        <f>'LF-Jigawa'!L98:O98</f>
        <v>4</v>
      </c>
      <c r="M315" s="925"/>
      <c r="N315" s="925"/>
      <c r="O315" s="926"/>
      <c r="P315" s="939">
        <f>'LF-Jigawa'!P98:S98</f>
        <v>6</v>
      </c>
      <c r="Q315" s="940"/>
      <c r="R315" s="940"/>
      <c r="S315" s="941"/>
      <c r="T315" s="939">
        <f>'LF-Jigawa'!T98:W98</f>
        <v>9</v>
      </c>
      <c r="U315" s="940"/>
      <c r="V315" s="940"/>
      <c r="W315" s="941"/>
      <c r="X315" s="880"/>
    </row>
    <row r="316" spans="1:24" ht="13.5" thickBot="1">
      <c r="A316" s="885"/>
      <c r="B316" s="885"/>
      <c r="C316" s="9" t="s">
        <v>287</v>
      </c>
      <c r="D316" s="924">
        <f>'LF-Kaduna'!D98:G98</f>
        <v>0</v>
      </c>
      <c r="E316" s="925"/>
      <c r="F316" s="925"/>
      <c r="G316" s="926"/>
      <c r="H316" s="924">
        <f>'LF-Kaduna'!H98:K98</f>
        <v>2</v>
      </c>
      <c r="I316" s="925"/>
      <c r="J316" s="925"/>
      <c r="K316" s="926"/>
      <c r="L316" s="924">
        <f>'LF-Kaduna'!L98:O98</f>
        <v>3</v>
      </c>
      <c r="M316" s="925"/>
      <c r="N316" s="925"/>
      <c r="O316" s="926"/>
      <c r="P316" s="939">
        <f>'LF-Kaduna'!P98:S98</f>
        <v>5</v>
      </c>
      <c r="Q316" s="940"/>
      <c r="R316" s="940"/>
      <c r="S316" s="941"/>
      <c r="T316" s="939">
        <f>'LF-Kaduna'!T98:W98</f>
        <v>7</v>
      </c>
      <c r="U316" s="940"/>
      <c r="V316" s="940"/>
      <c r="W316" s="941"/>
      <c r="X316" s="880"/>
    </row>
    <row r="317" spans="1:24" ht="13.5" thickBot="1">
      <c r="A317" s="885"/>
      <c r="B317" s="885"/>
      <c r="C317" s="9" t="s">
        <v>288</v>
      </c>
      <c r="D317" s="924">
        <f>'LF-Kano'!D98:G98</f>
        <v>0</v>
      </c>
      <c r="E317" s="925"/>
      <c r="F317" s="925"/>
      <c r="G317" s="926"/>
      <c r="H317" s="924">
        <f>'LF-Kano'!H98:K98</f>
        <v>2</v>
      </c>
      <c r="I317" s="925"/>
      <c r="J317" s="925"/>
      <c r="K317" s="926"/>
      <c r="L317" s="924">
        <f>'LF-Kano'!L98:O98</f>
        <v>3</v>
      </c>
      <c r="M317" s="925"/>
      <c r="N317" s="925"/>
      <c r="O317" s="926"/>
      <c r="P317" s="939">
        <f>'LF-Kano'!P98:S98</f>
        <v>5</v>
      </c>
      <c r="Q317" s="940"/>
      <c r="R317" s="940"/>
      <c r="S317" s="941"/>
      <c r="T317" s="939">
        <f>'LF-Kano'!T98:W98</f>
        <v>10</v>
      </c>
      <c r="U317" s="940"/>
      <c r="V317" s="940"/>
      <c r="W317" s="941"/>
      <c r="X317" s="880"/>
    </row>
    <row r="318" spans="1:24" ht="13.5" thickBot="1">
      <c r="A318" s="885"/>
      <c r="B318" s="885"/>
      <c r="C318" s="9" t="s">
        <v>289</v>
      </c>
      <c r="D318" s="924">
        <f>'LF-Lagos'!D98:G98</f>
        <v>0</v>
      </c>
      <c r="E318" s="925"/>
      <c r="F318" s="925"/>
      <c r="G318" s="926"/>
      <c r="H318" s="924">
        <f>'LF-Lagos'!H98:K98</f>
        <v>1</v>
      </c>
      <c r="I318" s="925"/>
      <c r="J318" s="925"/>
      <c r="K318" s="926"/>
      <c r="L318" s="924">
        <f>'LF-Lagos'!L98:O98</f>
        <v>2</v>
      </c>
      <c r="M318" s="925"/>
      <c r="N318" s="925"/>
      <c r="O318" s="926"/>
      <c r="P318" s="939">
        <f>'LF-Lagos'!P98:S98</f>
        <v>3</v>
      </c>
      <c r="Q318" s="940"/>
      <c r="R318" s="940"/>
      <c r="S318" s="941"/>
      <c r="T318" s="939">
        <f>'LF-Lagos'!T98:W98</f>
        <v>12</v>
      </c>
      <c r="U318" s="940"/>
      <c r="V318" s="940"/>
      <c r="W318" s="941"/>
      <c r="X318" s="880"/>
    </row>
    <row r="319" spans="1:24" ht="13.5" thickBot="1">
      <c r="A319" s="885"/>
      <c r="B319" s="885"/>
      <c r="C319" s="9" t="s">
        <v>292</v>
      </c>
      <c r="D319" s="966" t="s">
        <v>255</v>
      </c>
      <c r="E319" s="967"/>
      <c r="F319" s="967"/>
      <c r="G319" s="968"/>
      <c r="H319" s="924">
        <f>'LF-Zamfara'!H98:K98</f>
        <v>0</v>
      </c>
      <c r="I319" s="925"/>
      <c r="J319" s="925"/>
      <c r="K319" s="926"/>
      <c r="L319" s="924">
        <f>'LF-Zamfara'!L98:O98</f>
        <v>0</v>
      </c>
      <c r="M319" s="925"/>
      <c r="N319" s="925"/>
      <c r="O319" s="926"/>
      <c r="P319" s="939">
        <f>'LF-Zamfara'!P98:S98</f>
        <v>1</v>
      </c>
      <c r="Q319" s="940"/>
      <c r="R319" s="940"/>
      <c r="S319" s="941"/>
      <c r="T319" s="939">
        <f>'LF-Zamfara'!T98:W98</f>
        <v>2</v>
      </c>
      <c r="U319" s="940"/>
      <c r="V319" s="940"/>
      <c r="W319" s="941"/>
      <c r="X319" s="880"/>
    </row>
    <row r="320" spans="1:24" ht="13.5" thickBot="1">
      <c r="A320" s="885"/>
      <c r="B320" s="885"/>
      <c r="C320" s="9" t="s">
        <v>293</v>
      </c>
      <c r="D320" s="966" t="s">
        <v>255</v>
      </c>
      <c r="E320" s="967"/>
      <c r="F320" s="967"/>
      <c r="G320" s="968"/>
      <c r="H320" s="924">
        <f>'LF-Katsina'!H98:K98</f>
        <v>0</v>
      </c>
      <c r="I320" s="925"/>
      <c r="J320" s="925"/>
      <c r="K320" s="926"/>
      <c r="L320" s="939">
        <f>'LF-Katsina'!L98:O98</f>
        <v>0</v>
      </c>
      <c r="M320" s="940"/>
      <c r="N320" s="940"/>
      <c r="O320" s="941"/>
      <c r="P320" s="939">
        <f>'LF-Katsina'!P98:S98</f>
        <v>0</v>
      </c>
      <c r="Q320" s="940"/>
      <c r="R320" s="940"/>
      <c r="S320" s="941"/>
      <c r="T320" s="939">
        <f>'LF-Katsina'!T98:W98</f>
        <v>1</v>
      </c>
      <c r="U320" s="940"/>
      <c r="V320" s="940"/>
      <c r="W320" s="941"/>
      <c r="X320" s="880"/>
    </row>
    <row r="321" spans="1:24" ht="13.5" thickBot="1">
      <c r="A321" s="885"/>
      <c r="B321" s="885"/>
      <c r="C321" s="9" t="s">
        <v>294</v>
      </c>
      <c r="D321" s="966" t="s">
        <v>255</v>
      </c>
      <c r="E321" s="967"/>
      <c r="F321" s="967"/>
      <c r="G321" s="968"/>
      <c r="H321" s="924">
        <f>'LF-Yobe'!H98:K98</f>
        <v>0</v>
      </c>
      <c r="I321" s="925"/>
      <c r="J321" s="925"/>
      <c r="K321" s="926"/>
      <c r="L321" s="924">
        <f>'LF-Yobe'!L98:O98</f>
        <v>0</v>
      </c>
      <c r="M321" s="925"/>
      <c r="N321" s="925"/>
      <c r="O321" s="926"/>
      <c r="P321" s="924">
        <f>'LF-Yobe'!P98:S98</f>
        <v>1</v>
      </c>
      <c r="Q321" s="925"/>
      <c r="R321" s="925"/>
      <c r="S321" s="926"/>
      <c r="T321" s="924">
        <f>'LF-Yobe'!T98:W98</f>
        <v>3</v>
      </c>
      <c r="U321" s="925"/>
      <c r="V321" s="925"/>
      <c r="W321" s="926"/>
      <c r="X321" s="880"/>
    </row>
    <row r="322" spans="1:24" ht="12.95" customHeight="1" thickBot="1">
      <c r="A322" s="885"/>
      <c r="B322" s="885"/>
      <c r="C322" s="9" t="s">
        <v>290</v>
      </c>
      <c r="D322" s="933"/>
      <c r="E322" s="934"/>
      <c r="F322" s="934"/>
      <c r="G322" s="935"/>
      <c r="H322" s="1162"/>
      <c r="I322" s="1163"/>
      <c r="J322" s="1163"/>
      <c r="K322" s="1164"/>
      <c r="L322" s="1150" t="s">
        <v>909</v>
      </c>
      <c r="M322" s="1151"/>
      <c r="N322" s="1151"/>
      <c r="O322" s="1152"/>
      <c r="P322" s="924">
        <f>'LF-Anambra'!P98:S98</f>
        <v>0</v>
      </c>
      <c r="Q322" s="925"/>
      <c r="R322" s="925"/>
      <c r="S322" s="926"/>
      <c r="T322" s="924">
        <f>'LF-Anambra'!T98:W98</f>
        <v>0</v>
      </c>
      <c r="U322" s="925"/>
      <c r="V322" s="925"/>
      <c r="W322" s="926"/>
      <c r="X322" s="880"/>
    </row>
    <row r="323" spans="1:24" ht="12.95" customHeight="1" thickBot="1">
      <c r="A323" s="885"/>
      <c r="B323" s="885"/>
      <c r="C323" s="9" t="s">
        <v>291</v>
      </c>
      <c r="D323" s="933"/>
      <c r="E323" s="934"/>
      <c r="F323" s="934"/>
      <c r="G323" s="935"/>
      <c r="H323" s="1162"/>
      <c r="I323" s="1163"/>
      <c r="J323" s="1163"/>
      <c r="K323" s="1164"/>
      <c r="L323" s="1150" t="s">
        <v>909</v>
      </c>
      <c r="M323" s="1151"/>
      <c r="N323" s="1151"/>
      <c r="O323" s="1152"/>
      <c r="P323" s="924">
        <f>'LF-Niger'!P98:S98</f>
        <v>0</v>
      </c>
      <c r="Q323" s="925"/>
      <c r="R323" s="925"/>
      <c r="S323" s="926"/>
      <c r="T323" s="924">
        <f>'LF-Niger'!T98:W98</f>
        <v>0</v>
      </c>
      <c r="U323" s="925"/>
      <c r="V323" s="925"/>
      <c r="W323" s="926"/>
      <c r="X323" s="880"/>
    </row>
    <row r="324" spans="1:24" ht="13.5" thickBot="1">
      <c r="A324" s="885"/>
      <c r="B324" s="885"/>
      <c r="C324" s="100" t="s">
        <v>295</v>
      </c>
      <c r="D324" s="1011" t="s">
        <v>172</v>
      </c>
      <c r="E324" s="1012"/>
      <c r="F324" s="1012"/>
      <c r="G324" s="1013"/>
      <c r="H324" s="1054"/>
      <c r="I324" s="1055"/>
      <c r="J324" s="1055"/>
      <c r="K324" s="1056"/>
      <c r="L324" s="1140">
        <f>'LF-Enugu'!L99:O99</f>
        <v>3</v>
      </c>
      <c r="M324" s="1156"/>
      <c r="N324" s="1156"/>
      <c r="O324" s="1141"/>
      <c r="P324" s="1140">
        <f>'LF-Enugu'!P99:S99</f>
        <v>6</v>
      </c>
      <c r="Q324" s="1156"/>
      <c r="R324" s="1156"/>
      <c r="S324" s="1141"/>
      <c r="T324" s="1140">
        <f>'LF-Enugu'!T99:W99</f>
        <v>0</v>
      </c>
      <c r="U324" s="1156"/>
      <c r="V324" s="1156"/>
      <c r="W324" s="1141"/>
      <c r="X324" s="880"/>
    </row>
    <row r="325" spans="1:24" ht="13.5" thickBot="1">
      <c r="A325" s="885"/>
      <c r="B325" s="885"/>
      <c r="C325" s="100" t="s">
        <v>296</v>
      </c>
      <c r="D325" s="1011" t="s">
        <v>417</v>
      </c>
      <c r="E325" s="1012"/>
      <c r="F325" s="1012"/>
      <c r="G325" s="1013"/>
      <c r="H325" s="1054"/>
      <c r="I325" s="1055"/>
      <c r="J325" s="1055"/>
      <c r="K325" s="1056"/>
      <c r="L325" s="1140">
        <f>'LF-Jigawa'!L99:O99</f>
        <v>2</v>
      </c>
      <c r="M325" s="1156"/>
      <c r="N325" s="1156"/>
      <c r="O325" s="1141"/>
      <c r="P325" s="1140">
        <f>'LF-Jigawa'!P99:S99</f>
        <v>6</v>
      </c>
      <c r="Q325" s="1156"/>
      <c r="R325" s="1156"/>
      <c r="S325" s="1141"/>
      <c r="T325" s="1140">
        <f>'LF-Jigawa'!T99:W99</f>
        <v>0</v>
      </c>
      <c r="U325" s="1156"/>
      <c r="V325" s="1156"/>
      <c r="W325" s="1141"/>
      <c r="X325" s="880"/>
    </row>
    <row r="326" spans="1:24" ht="13.5" thickBot="1">
      <c r="A326" s="885"/>
      <c r="B326" s="885"/>
      <c r="C326" s="100" t="s">
        <v>297</v>
      </c>
      <c r="D326" s="1054"/>
      <c r="E326" s="1055"/>
      <c r="F326" s="1055"/>
      <c r="G326" s="1056"/>
      <c r="H326" s="1054"/>
      <c r="I326" s="1055"/>
      <c r="J326" s="1055"/>
      <c r="K326" s="1056"/>
      <c r="L326" s="1140">
        <f>'LF-Kaduna'!L99:O99</f>
        <v>5</v>
      </c>
      <c r="M326" s="1156"/>
      <c r="N326" s="1156"/>
      <c r="O326" s="1141"/>
      <c r="P326" s="1140">
        <f>'LF-Kaduna'!P99:S99</f>
        <v>9</v>
      </c>
      <c r="Q326" s="1156"/>
      <c r="R326" s="1156"/>
      <c r="S326" s="1141"/>
      <c r="T326" s="1140">
        <f>'LF-Kaduna'!T99:W99</f>
        <v>0</v>
      </c>
      <c r="U326" s="1156"/>
      <c r="V326" s="1156"/>
      <c r="W326" s="1141"/>
      <c r="X326" s="880"/>
    </row>
    <row r="327" spans="1:24" ht="13.5" thickBot="1">
      <c r="A327" s="885"/>
      <c r="B327" s="885"/>
      <c r="C327" s="100" t="s">
        <v>298</v>
      </c>
      <c r="D327" s="1054"/>
      <c r="E327" s="1055"/>
      <c r="F327" s="1055"/>
      <c r="G327" s="1056"/>
      <c r="H327" s="1054"/>
      <c r="I327" s="1055"/>
      <c r="J327" s="1055"/>
      <c r="K327" s="1056"/>
      <c r="L327" s="1140">
        <f>'LF-Kano'!L99:O99</f>
        <v>4</v>
      </c>
      <c r="M327" s="1156"/>
      <c r="N327" s="1156"/>
      <c r="O327" s="1141"/>
      <c r="P327" s="1140">
        <f>'LF-Kano'!P99:S99</f>
        <v>8</v>
      </c>
      <c r="Q327" s="1156"/>
      <c r="R327" s="1156"/>
      <c r="S327" s="1141"/>
      <c r="T327" s="1140">
        <f>'LF-Kano'!T99:W99</f>
        <v>0</v>
      </c>
      <c r="U327" s="1156"/>
      <c r="V327" s="1156"/>
      <c r="W327" s="1141"/>
      <c r="X327" s="880"/>
    </row>
    <row r="328" spans="1:24" ht="13.5" thickBot="1">
      <c r="A328" s="885"/>
      <c r="B328" s="885"/>
      <c r="C328" s="100" t="s">
        <v>299</v>
      </c>
      <c r="D328" s="1054"/>
      <c r="E328" s="1055"/>
      <c r="F328" s="1055"/>
      <c r="G328" s="1056"/>
      <c r="H328" s="1054"/>
      <c r="I328" s="1055"/>
      <c r="J328" s="1055"/>
      <c r="K328" s="1056"/>
      <c r="L328" s="1140">
        <f>'LF-Lagos'!L99:O99</f>
        <v>2</v>
      </c>
      <c r="M328" s="1156"/>
      <c r="N328" s="1156"/>
      <c r="O328" s="1141"/>
      <c r="P328" s="1140">
        <f>'LF-Lagos'!P99:S99</f>
        <v>7</v>
      </c>
      <c r="Q328" s="1156"/>
      <c r="R328" s="1156"/>
      <c r="S328" s="1141"/>
      <c r="T328" s="1140">
        <f>'LF-Lagos'!T99:W99</f>
        <v>0</v>
      </c>
      <c r="U328" s="1156"/>
      <c r="V328" s="1156"/>
      <c r="W328" s="1141"/>
      <c r="X328" s="880"/>
    </row>
    <row r="329" spans="1:24" ht="24.75" thickBot="1">
      <c r="A329" s="885"/>
      <c r="B329" s="885"/>
      <c r="C329" s="100" t="s">
        <v>300</v>
      </c>
      <c r="D329" s="1054"/>
      <c r="E329" s="1055"/>
      <c r="F329" s="1055"/>
      <c r="G329" s="1056"/>
      <c r="H329" s="1054"/>
      <c r="I329" s="1055"/>
      <c r="J329" s="1055"/>
      <c r="K329" s="1056"/>
      <c r="L329" s="1140">
        <f>'LF-Zamfara'!L99:O99</f>
        <v>0</v>
      </c>
      <c r="M329" s="1156"/>
      <c r="N329" s="1156"/>
      <c r="O329" s="1141"/>
      <c r="P329" s="1140">
        <f>'LF-Zamfara'!P99:S99</f>
        <v>0</v>
      </c>
      <c r="Q329" s="1156"/>
      <c r="R329" s="1156"/>
      <c r="S329" s="1141"/>
      <c r="T329" s="1140">
        <f>'LF-Zamfara'!T99:W99</f>
        <v>0</v>
      </c>
      <c r="U329" s="1156"/>
      <c r="V329" s="1156"/>
      <c r="W329" s="1141"/>
      <c r="X329" s="880"/>
    </row>
    <row r="330" spans="1:24" ht="13.5" thickBot="1">
      <c r="A330" s="885"/>
      <c r="B330" s="885"/>
      <c r="C330" s="100" t="s">
        <v>301</v>
      </c>
      <c r="D330" s="1054"/>
      <c r="E330" s="1055"/>
      <c r="F330" s="1055"/>
      <c r="G330" s="1056"/>
      <c r="H330" s="1054"/>
      <c r="I330" s="1055"/>
      <c r="J330" s="1055"/>
      <c r="K330" s="1056"/>
      <c r="L330" s="1140">
        <f>'LF-Katsina'!L99:O99</f>
        <v>0</v>
      </c>
      <c r="M330" s="1156"/>
      <c r="N330" s="1156"/>
      <c r="O330" s="1141"/>
      <c r="P330" s="1140">
        <f>'LF-Katsina'!P99:S99</f>
        <v>0</v>
      </c>
      <c r="Q330" s="1156"/>
      <c r="R330" s="1156"/>
      <c r="S330" s="1141"/>
      <c r="T330" s="1140">
        <f>'LF-Katsina'!T99:W99</f>
        <v>0</v>
      </c>
      <c r="U330" s="1156"/>
      <c r="V330" s="1156"/>
      <c r="W330" s="1141"/>
      <c r="X330" s="880"/>
    </row>
    <row r="331" spans="1:24" ht="13.5" thickBot="1">
      <c r="A331" s="885"/>
      <c r="B331" s="885"/>
      <c r="C331" s="100" t="s">
        <v>302</v>
      </c>
      <c r="D331" s="1054"/>
      <c r="E331" s="1055"/>
      <c r="F331" s="1055"/>
      <c r="G331" s="1056"/>
      <c r="H331" s="1054"/>
      <c r="I331" s="1055"/>
      <c r="J331" s="1055"/>
      <c r="K331" s="1056"/>
      <c r="L331" s="1140">
        <f>'LF-Yobe'!L99:O99</f>
        <v>0</v>
      </c>
      <c r="M331" s="1156"/>
      <c r="N331" s="1156"/>
      <c r="O331" s="1141"/>
      <c r="P331" s="1140">
        <f>'LF-Yobe'!P99:S99</f>
        <v>3</v>
      </c>
      <c r="Q331" s="1156"/>
      <c r="R331" s="1156"/>
      <c r="S331" s="1141"/>
      <c r="T331" s="1140">
        <f>'LF-Yobe'!T99:W99</f>
        <v>0</v>
      </c>
      <c r="U331" s="1156"/>
      <c r="V331" s="1156"/>
      <c r="W331" s="1141"/>
      <c r="X331" s="880"/>
    </row>
    <row r="332" spans="1:24" ht="24.75" thickBot="1">
      <c r="A332" s="885"/>
      <c r="B332" s="885"/>
      <c r="C332" s="100" t="s">
        <v>303</v>
      </c>
      <c r="D332" s="1054"/>
      <c r="E332" s="1055"/>
      <c r="F332" s="1055"/>
      <c r="G332" s="1056"/>
      <c r="H332" s="1054"/>
      <c r="I332" s="1055"/>
      <c r="J332" s="1055"/>
      <c r="K332" s="1056"/>
      <c r="L332" s="1054"/>
      <c r="M332" s="1055"/>
      <c r="N332" s="1055"/>
      <c r="O332" s="1056"/>
      <c r="P332" s="1054"/>
      <c r="Q332" s="1055"/>
      <c r="R332" s="1055"/>
      <c r="S332" s="1056"/>
      <c r="T332" s="1140">
        <f>'LF-Anambra'!T99:W99</f>
        <v>0</v>
      </c>
      <c r="U332" s="1156"/>
      <c r="V332" s="1156"/>
      <c r="W332" s="1141"/>
      <c r="X332" s="880"/>
    </row>
    <row r="333" spans="1:24" ht="13.5" thickBot="1">
      <c r="A333" s="885"/>
      <c r="B333" s="885"/>
      <c r="C333" s="100" t="s">
        <v>304</v>
      </c>
      <c r="D333" s="1054"/>
      <c r="E333" s="1055"/>
      <c r="F333" s="1055"/>
      <c r="G333" s="1056"/>
      <c r="H333" s="1054"/>
      <c r="I333" s="1055"/>
      <c r="J333" s="1055"/>
      <c r="K333" s="1056"/>
      <c r="L333" s="1054"/>
      <c r="M333" s="1055"/>
      <c r="N333" s="1055"/>
      <c r="O333" s="1056"/>
      <c r="P333" s="1054"/>
      <c r="Q333" s="1055"/>
      <c r="R333" s="1055"/>
      <c r="S333" s="1056"/>
      <c r="T333" s="1140">
        <f>'LF-Niger'!T99:W99</f>
        <v>0</v>
      </c>
      <c r="U333" s="1156"/>
      <c r="V333" s="1156"/>
      <c r="W333" s="1141"/>
      <c r="X333" s="880"/>
    </row>
    <row r="334" spans="1:24" ht="13.5" thickBot="1">
      <c r="A334" s="7" t="s">
        <v>13</v>
      </c>
      <c r="B334" s="885"/>
      <c r="C334" s="922" t="s">
        <v>413</v>
      </c>
      <c r="D334" s="927" t="s">
        <v>4</v>
      </c>
      <c r="E334" s="928"/>
      <c r="F334" s="928"/>
      <c r="G334" s="928"/>
      <c r="H334" s="928"/>
      <c r="I334" s="928"/>
      <c r="J334" s="928"/>
      <c r="K334" s="928"/>
      <c r="L334" s="928"/>
      <c r="M334" s="928"/>
      <c r="N334" s="928"/>
      <c r="O334" s="928"/>
      <c r="P334" s="928"/>
      <c r="Q334" s="928"/>
      <c r="R334" s="928"/>
      <c r="S334" s="928"/>
      <c r="T334" s="928"/>
      <c r="U334" s="928"/>
      <c r="V334" s="928"/>
      <c r="W334" s="929"/>
      <c r="X334" s="550" t="s">
        <v>14</v>
      </c>
    </row>
    <row r="335" spans="1:24" ht="13.5" thickBot="1">
      <c r="A335" s="25" t="s">
        <v>75</v>
      </c>
      <c r="B335" s="869"/>
      <c r="C335" s="923"/>
      <c r="D335" s="930" t="s">
        <v>119</v>
      </c>
      <c r="E335" s="931"/>
      <c r="F335" s="931"/>
      <c r="G335" s="931"/>
      <c r="H335" s="931"/>
      <c r="I335" s="931"/>
      <c r="J335" s="931"/>
      <c r="K335" s="931"/>
      <c r="L335" s="931"/>
      <c r="M335" s="931"/>
      <c r="N335" s="931"/>
      <c r="O335" s="931"/>
      <c r="P335" s="931"/>
      <c r="Q335" s="931"/>
      <c r="R335" s="931"/>
      <c r="S335" s="931"/>
      <c r="T335" s="931"/>
      <c r="U335" s="931"/>
      <c r="V335" s="931"/>
      <c r="W335" s="932"/>
      <c r="X335" s="18" t="s">
        <v>93</v>
      </c>
    </row>
    <row r="336" spans="1:24" ht="13.5" thickBot="1">
      <c r="A336" s="906" t="s">
        <v>7</v>
      </c>
      <c r="B336" s="908" t="s">
        <v>173</v>
      </c>
      <c r="C336" s="909"/>
      <c r="D336" s="908" t="s">
        <v>8</v>
      </c>
      <c r="E336" s="918"/>
      <c r="F336" s="918"/>
      <c r="G336" s="909"/>
      <c r="H336" s="908" t="s">
        <v>88</v>
      </c>
      <c r="I336" s="918"/>
      <c r="J336" s="918"/>
      <c r="K336" s="909"/>
      <c r="L336" s="908" t="s">
        <v>89</v>
      </c>
      <c r="M336" s="918"/>
      <c r="N336" s="918"/>
      <c r="O336" s="909"/>
      <c r="P336" s="908" t="s">
        <v>9</v>
      </c>
      <c r="Q336" s="918"/>
      <c r="R336" s="918"/>
      <c r="S336" s="909"/>
      <c r="T336" s="908" t="s">
        <v>174</v>
      </c>
      <c r="U336" s="918"/>
      <c r="V336" s="918"/>
      <c r="W336" s="918"/>
      <c r="X336" s="909"/>
    </row>
    <row r="337" spans="1:24" ht="13.5" thickBot="1">
      <c r="A337" s="907"/>
      <c r="B337" s="919">
        <v>6200000</v>
      </c>
      <c r="C337" s="920"/>
      <c r="D337" s="919">
        <v>1200000</v>
      </c>
      <c r="E337" s="921"/>
      <c r="F337" s="921"/>
      <c r="G337" s="920"/>
      <c r="H337" s="919">
        <v>2500000</v>
      </c>
      <c r="I337" s="921"/>
      <c r="J337" s="921"/>
      <c r="K337" s="920"/>
      <c r="L337" s="919">
        <v>2800000</v>
      </c>
      <c r="M337" s="921"/>
      <c r="N337" s="921"/>
      <c r="O337" s="920"/>
      <c r="P337" s="919">
        <f>SUM(B337:O337)</f>
        <v>12700000</v>
      </c>
      <c r="Q337" s="921"/>
      <c r="R337" s="921"/>
      <c r="S337" s="920"/>
      <c r="T337" s="942">
        <f>B337/P337%</f>
        <v>48.818897637795274</v>
      </c>
      <c r="U337" s="943"/>
      <c r="V337" s="943"/>
      <c r="W337" s="943"/>
      <c r="X337" s="944"/>
    </row>
    <row r="338" spans="1:24" ht="13.5" thickBot="1">
      <c r="A338" s="906" t="s">
        <v>10</v>
      </c>
      <c r="B338" s="908" t="s">
        <v>175</v>
      </c>
      <c r="C338" s="909"/>
      <c r="D338" s="910"/>
      <c r="E338" s="911"/>
      <c r="F338" s="911"/>
      <c r="G338" s="911"/>
      <c r="H338" s="911"/>
      <c r="I338" s="911"/>
      <c r="J338" s="911"/>
      <c r="K338" s="911"/>
      <c r="L338" s="911"/>
      <c r="M338" s="911"/>
      <c r="N338" s="911"/>
      <c r="O338" s="911"/>
      <c r="P338" s="911"/>
      <c r="Q338" s="911"/>
      <c r="R338" s="911"/>
      <c r="S338" s="911"/>
      <c r="T338" s="911"/>
      <c r="U338" s="911"/>
      <c r="V338" s="911"/>
      <c r="W338" s="911"/>
      <c r="X338" s="912"/>
    </row>
    <row r="339" spans="1:24" ht="13.5" thickBot="1">
      <c r="A339" s="907"/>
      <c r="B339" s="916"/>
      <c r="C339" s="917"/>
      <c r="D339" s="913"/>
      <c r="E339" s="914"/>
      <c r="F339" s="914"/>
      <c r="G339" s="914"/>
      <c r="H339" s="914"/>
      <c r="I339" s="914"/>
      <c r="J339" s="914"/>
      <c r="K339" s="914"/>
      <c r="L339" s="914"/>
      <c r="M339" s="914"/>
      <c r="N339" s="914"/>
      <c r="O339" s="914"/>
      <c r="P339" s="914"/>
      <c r="Q339" s="914"/>
      <c r="R339" s="914"/>
      <c r="S339" s="914"/>
      <c r="T339" s="914"/>
      <c r="U339" s="914"/>
      <c r="V339" s="914"/>
      <c r="W339" s="914"/>
      <c r="X339" s="915"/>
    </row>
    <row r="341" spans="1:24" ht="13.5" thickBot="1"/>
    <row r="342" spans="1:24" ht="13.5" thickBot="1">
      <c r="A342" s="95" t="s">
        <v>26</v>
      </c>
      <c r="B342" s="97" t="s">
        <v>29</v>
      </c>
      <c r="C342" s="8"/>
      <c r="D342" s="927" t="s">
        <v>78</v>
      </c>
      <c r="E342" s="928"/>
      <c r="F342" s="928"/>
      <c r="G342" s="929"/>
      <c r="H342" s="927" t="s">
        <v>77</v>
      </c>
      <c r="I342" s="928"/>
      <c r="J342" s="928"/>
      <c r="K342" s="929"/>
      <c r="L342" s="927" t="s">
        <v>81</v>
      </c>
      <c r="M342" s="928"/>
      <c r="N342" s="928"/>
      <c r="O342" s="929"/>
      <c r="P342" s="927" t="s">
        <v>254</v>
      </c>
      <c r="Q342" s="928"/>
      <c r="R342" s="928"/>
      <c r="S342" s="929"/>
      <c r="T342" s="927" t="s">
        <v>76</v>
      </c>
      <c r="U342" s="928"/>
      <c r="V342" s="928"/>
      <c r="W342" s="929"/>
      <c r="X342" s="16" t="s">
        <v>12</v>
      </c>
    </row>
    <row r="343" spans="1:24" ht="56.1" customHeight="1" thickBot="1">
      <c r="A343" s="868" t="s">
        <v>64</v>
      </c>
      <c r="B343" s="868" t="s">
        <v>156</v>
      </c>
      <c r="C343" s="9"/>
      <c r="D343" s="17" t="s">
        <v>101</v>
      </c>
      <c r="E343" s="17" t="s">
        <v>104</v>
      </c>
      <c r="F343" s="17" t="s">
        <v>102</v>
      </c>
      <c r="G343" s="17" t="s">
        <v>103</v>
      </c>
      <c r="H343" s="17" t="s">
        <v>101</v>
      </c>
      <c r="I343" s="17" t="s">
        <v>104</v>
      </c>
      <c r="J343" s="17" t="s">
        <v>102</v>
      </c>
      <c r="K343" s="17" t="s">
        <v>103</v>
      </c>
      <c r="L343" s="17" t="s">
        <v>101</v>
      </c>
      <c r="M343" s="17" t="s">
        <v>104</v>
      </c>
      <c r="N343" s="17" t="s">
        <v>102</v>
      </c>
      <c r="O343" s="17" t="s">
        <v>103</v>
      </c>
      <c r="P343" s="17" t="s">
        <v>101</v>
      </c>
      <c r="Q343" s="17" t="s">
        <v>104</v>
      </c>
      <c r="R343" s="17" t="s">
        <v>102</v>
      </c>
      <c r="S343" s="17" t="s">
        <v>103</v>
      </c>
      <c r="T343" s="17" t="s">
        <v>101</v>
      </c>
      <c r="U343" s="17" t="s">
        <v>104</v>
      </c>
      <c r="V343" s="17" t="s">
        <v>102</v>
      </c>
      <c r="W343" s="17" t="s">
        <v>103</v>
      </c>
      <c r="X343" s="879" t="s">
        <v>98</v>
      </c>
    </row>
    <row r="344" spans="1:24" ht="13.5" thickBot="1">
      <c r="A344" s="885"/>
      <c r="B344" s="885"/>
      <c r="C344" s="9" t="s">
        <v>285</v>
      </c>
      <c r="D344" s="104">
        <f>'LF-Enugu'!D110</f>
        <v>0</v>
      </c>
      <c r="E344" s="104">
        <f>'LF-Enugu'!E110</f>
        <v>0</v>
      </c>
      <c r="F344" s="104">
        <f>'LF-Enugu'!F110</f>
        <v>0</v>
      </c>
      <c r="G344" s="104">
        <f>'LF-Enugu'!G110</f>
        <v>0</v>
      </c>
      <c r="H344" s="104">
        <f>'LF-Enugu'!H110</f>
        <v>3</v>
      </c>
      <c r="I344" s="104">
        <f>'LF-Enugu'!I110</f>
        <v>2</v>
      </c>
      <c r="J344" s="104">
        <f>'LF-Enugu'!J110</f>
        <v>1</v>
      </c>
      <c r="K344" s="104">
        <f>'LF-Enugu'!K110</f>
        <v>0</v>
      </c>
      <c r="L344" s="104">
        <f>'LF-Enugu'!L110</f>
        <v>5</v>
      </c>
      <c r="M344" s="104">
        <f>'LF-Enugu'!M110</f>
        <v>4</v>
      </c>
      <c r="N344" s="104">
        <f>'LF-Enugu'!N110</f>
        <v>3</v>
      </c>
      <c r="O344" s="104">
        <f>'LF-Enugu'!O110</f>
        <v>1</v>
      </c>
      <c r="P344" s="104">
        <f>'LF-Enugu'!P110</f>
        <v>8</v>
      </c>
      <c r="Q344" s="104">
        <f>'LF-Enugu'!Q110</f>
        <v>6</v>
      </c>
      <c r="R344" s="104">
        <f>'LF-Enugu'!R110</f>
        <v>5</v>
      </c>
      <c r="S344" s="104">
        <f>'LF-Enugu'!S110</f>
        <v>3</v>
      </c>
      <c r="T344" s="104">
        <f>'LF-Enugu'!T110</f>
        <v>10</v>
      </c>
      <c r="U344" s="104">
        <f>'LF-Enugu'!U110</f>
        <v>8</v>
      </c>
      <c r="V344" s="104">
        <f>'LF-Enugu'!V110</f>
        <v>5</v>
      </c>
      <c r="W344" s="104">
        <f>'LF-Enugu'!W110</f>
        <v>3</v>
      </c>
      <c r="X344" s="880"/>
    </row>
    <row r="345" spans="1:24" ht="13.5" thickBot="1">
      <c r="A345" s="885"/>
      <c r="B345" s="93" t="s">
        <v>151</v>
      </c>
      <c r="C345" s="9" t="s">
        <v>286</v>
      </c>
      <c r="D345" s="104">
        <f>'LF-Jigawa'!D110</f>
        <v>0</v>
      </c>
      <c r="E345" s="104">
        <f>'LF-Jigawa'!E110</f>
        <v>0</v>
      </c>
      <c r="F345" s="104">
        <f>'LF-Jigawa'!F110</f>
        <v>0</v>
      </c>
      <c r="G345" s="104">
        <f>'LF-Jigawa'!G110</f>
        <v>0</v>
      </c>
      <c r="H345" s="104">
        <f>'LF-Jigawa'!H110</f>
        <v>15</v>
      </c>
      <c r="I345" s="104">
        <f>'LF-Jigawa'!I110</f>
        <v>5</v>
      </c>
      <c r="J345" s="104">
        <f>'LF-Jigawa'!J110</f>
        <v>2</v>
      </c>
      <c r="K345" s="104">
        <f>'LF-Jigawa'!K110</f>
        <v>1</v>
      </c>
      <c r="L345" s="150">
        <f>'LF-Jigawa'!L110</f>
        <v>20</v>
      </c>
      <c r="M345" s="150">
        <f>'LF-Jigawa'!M110</f>
        <v>7</v>
      </c>
      <c r="N345" s="104">
        <f>'LF-Jigawa'!N110</f>
        <v>4</v>
      </c>
      <c r="O345" s="104">
        <f>'LF-Jigawa'!O110</f>
        <v>2</v>
      </c>
      <c r="P345" s="150">
        <f>'LF-Jigawa'!P110</f>
        <v>8</v>
      </c>
      <c r="Q345" s="150">
        <f>'LF-Jigawa'!Q110</f>
        <v>6</v>
      </c>
      <c r="R345" s="150">
        <f>'LF-Jigawa'!R110</f>
        <v>4</v>
      </c>
      <c r="S345" s="150">
        <f>'LF-Jigawa'!S110</f>
        <v>1</v>
      </c>
      <c r="T345" s="150">
        <f>'LF-Jigawa'!T110</f>
        <v>9</v>
      </c>
      <c r="U345" s="150">
        <f>'LF-Jigawa'!U110</f>
        <v>8</v>
      </c>
      <c r="V345" s="150">
        <f>'LF-Jigawa'!V110</f>
        <v>5</v>
      </c>
      <c r="W345" s="150">
        <f>'LF-Jigawa'!W110</f>
        <v>2</v>
      </c>
      <c r="X345" s="880"/>
    </row>
    <row r="346" spans="1:24" ht="13.5" thickBot="1">
      <c r="A346" s="885"/>
      <c r="B346" s="93" t="s">
        <v>150</v>
      </c>
      <c r="C346" s="9" t="s">
        <v>287</v>
      </c>
      <c r="D346" s="104">
        <f>'LF-Kaduna'!D110</f>
        <v>2</v>
      </c>
      <c r="E346" s="104">
        <f>'LF-Kaduna'!E110</f>
        <v>0</v>
      </c>
      <c r="F346" s="104">
        <f>'LF-Kaduna'!F110</f>
        <v>0</v>
      </c>
      <c r="G346" s="104">
        <f>'LF-Kaduna'!G110</f>
        <v>0</v>
      </c>
      <c r="H346" s="104">
        <f>'LF-Kaduna'!H110</f>
        <v>3</v>
      </c>
      <c r="I346" s="104">
        <f>'LF-Kaduna'!I110</f>
        <v>2</v>
      </c>
      <c r="J346" s="104">
        <f>'LF-Kaduna'!J110</f>
        <v>1</v>
      </c>
      <c r="K346" s="104">
        <f>'LF-Kaduna'!K110</f>
        <v>0</v>
      </c>
      <c r="L346" s="150">
        <f>'LF-Kaduna'!L110</f>
        <v>5</v>
      </c>
      <c r="M346" s="150">
        <f>'LF-Kaduna'!M110</f>
        <v>4</v>
      </c>
      <c r="N346" s="104">
        <f>'LF-Kaduna'!N110</f>
        <v>3</v>
      </c>
      <c r="O346" s="104">
        <f>'LF-Kaduna'!O110</f>
        <v>1</v>
      </c>
      <c r="P346" s="150">
        <f>'LF-Kaduna'!P110</f>
        <v>8</v>
      </c>
      <c r="Q346" s="150">
        <f>'LF-Kaduna'!Q110</f>
        <v>6</v>
      </c>
      <c r="R346" s="150">
        <f>'LF-Kaduna'!R110</f>
        <v>5</v>
      </c>
      <c r="S346" s="150">
        <f>'LF-Kaduna'!S110</f>
        <v>3</v>
      </c>
      <c r="T346" s="150">
        <f>'LF-Kaduna'!T110</f>
        <v>10</v>
      </c>
      <c r="U346" s="150">
        <f>'LF-Kaduna'!U110</f>
        <v>8</v>
      </c>
      <c r="V346" s="150">
        <f>'LF-Kaduna'!V110</f>
        <v>7</v>
      </c>
      <c r="W346" s="150">
        <f>'LF-Kaduna'!W110</f>
        <v>2</v>
      </c>
      <c r="X346" s="880"/>
    </row>
    <row r="347" spans="1:24" ht="24.75" thickBot="1">
      <c r="A347" s="885"/>
      <c r="B347" s="93" t="s">
        <v>149</v>
      </c>
      <c r="C347" s="9" t="s">
        <v>288</v>
      </c>
      <c r="D347" s="104">
        <f>'LF-Kano'!D110</f>
        <v>0</v>
      </c>
      <c r="E347" s="104">
        <f>'LF-Kano'!E110</f>
        <v>0</v>
      </c>
      <c r="F347" s="104">
        <f>'LF-Kano'!F110</f>
        <v>0</v>
      </c>
      <c r="G347" s="104">
        <f>'LF-Kano'!G110</f>
        <v>0</v>
      </c>
      <c r="H347" s="104">
        <f>'LF-Kano'!H110</f>
        <v>4</v>
      </c>
      <c r="I347" s="104">
        <f>'LF-Kano'!I110</f>
        <v>2</v>
      </c>
      <c r="J347" s="104">
        <f>'LF-Kano'!J110</f>
        <v>2</v>
      </c>
      <c r="K347" s="104">
        <f>'LF-Kano'!K110</f>
        <v>1</v>
      </c>
      <c r="L347" s="150">
        <f>'LF-Kano'!L110</f>
        <v>8</v>
      </c>
      <c r="M347" s="150">
        <f>'LF-Kano'!M110</f>
        <v>4</v>
      </c>
      <c r="N347" s="104">
        <f>'LF-Kano'!N110</f>
        <v>4</v>
      </c>
      <c r="O347" s="104">
        <f>'LF-Kano'!O110</f>
        <v>1</v>
      </c>
      <c r="P347" s="150">
        <f>'LF-Kano'!P110</f>
        <v>9</v>
      </c>
      <c r="Q347" s="150">
        <f>'LF-Kano'!Q110</f>
        <v>5</v>
      </c>
      <c r="R347" s="150">
        <f>'LF-Kano'!R110</f>
        <v>5</v>
      </c>
      <c r="S347" s="150">
        <f>'LF-Kano'!S110</f>
        <v>3</v>
      </c>
      <c r="T347" s="150">
        <f>'LF-Kano'!T110</f>
        <v>12</v>
      </c>
      <c r="U347" s="150">
        <f>'LF-Kano'!U110</f>
        <v>10</v>
      </c>
      <c r="V347" s="150">
        <f>'LF-Kano'!V110</f>
        <v>8</v>
      </c>
      <c r="W347" s="150">
        <f>'LF-Kano'!W110</f>
        <v>5</v>
      </c>
      <c r="X347" s="880"/>
    </row>
    <row r="348" spans="1:24" ht="13.5" thickBot="1">
      <c r="A348" s="885"/>
      <c r="B348" s="93"/>
      <c r="C348" s="9" t="s">
        <v>289</v>
      </c>
      <c r="D348" s="104">
        <f>'LF-Lagos'!D110</f>
        <v>0</v>
      </c>
      <c r="E348" s="104">
        <f>'LF-Lagos'!E110</f>
        <v>0</v>
      </c>
      <c r="F348" s="104">
        <f>'LF-Lagos'!F110</f>
        <v>0</v>
      </c>
      <c r="G348" s="104">
        <f>'LF-Lagos'!G110</f>
        <v>0</v>
      </c>
      <c r="H348" s="104">
        <f>'LF-Lagos'!H110</f>
        <v>3</v>
      </c>
      <c r="I348" s="104">
        <f>'LF-Lagos'!I110</f>
        <v>2</v>
      </c>
      <c r="J348" s="104">
        <f>'LF-Lagos'!J110</f>
        <v>1</v>
      </c>
      <c r="K348" s="104">
        <f>'LF-Lagos'!K110</f>
        <v>1</v>
      </c>
      <c r="L348" s="150">
        <f>'LF-Lagos'!L110</f>
        <v>5</v>
      </c>
      <c r="M348" s="150">
        <f>'LF-Lagos'!M110</f>
        <v>4</v>
      </c>
      <c r="N348" s="104">
        <f>'LF-Lagos'!N110</f>
        <v>3</v>
      </c>
      <c r="O348" s="104">
        <f>'LF-Lagos'!O110</f>
        <v>3</v>
      </c>
      <c r="P348" s="150">
        <f>'LF-Lagos'!P110</f>
        <v>6</v>
      </c>
      <c r="Q348" s="150">
        <f>'LF-Lagos'!Q110</f>
        <v>5</v>
      </c>
      <c r="R348" s="150">
        <f>'LF-Lagos'!R110</f>
        <v>4</v>
      </c>
      <c r="S348" s="150">
        <f>'LF-Lagos'!S110</f>
        <v>4</v>
      </c>
      <c r="T348" s="150">
        <f>'LF-Lagos'!T110</f>
        <v>7</v>
      </c>
      <c r="U348" s="150">
        <f>'LF-Lagos'!U110</f>
        <v>7</v>
      </c>
      <c r="V348" s="150">
        <f>'LF-Lagos'!V110</f>
        <v>7</v>
      </c>
      <c r="W348" s="150">
        <f>'LF-Lagos'!W110</f>
        <v>3</v>
      </c>
      <c r="X348" s="880"/>
    </row>
    <row r="349" spans="1:24" ht="13.5" thickBot="1">
      <c r="A349" s="885"/>
      <c r="B349" s="93"/>
      <c r="C349" s="9" t="s">
        <v>292</v>
      </c>
      <c r="D349" s="1051" t="s">
        <v>255</v>
      </c>
      <c r="E349" s="1052"/>
      <c r="F349" s="1052"/>
      <c r="G349" s="1053"/>
      <c r="H349" s="104">
        <f>'LF-Zamfara'!H110</f>
        <v>2</v>
      </c>
      <c r="I349" s="104">
        <f>'LF-Zamfara'!I110</f>
        <v>0</v>
      </c>
      <c r="J349" s="104">
        <f>'LF-Zamfara'!J110</f>
        <v>0</v>
      </c>
      <c r="K349" s="104">
        <f>'LF-Zamfara'!K110</f>
        <v>0</v>
      </c>
      <c r="L349" s="150">
        <f>'LF-Zamfara'!L110</f>
        <v>2</v>
      </c>
      <c r="M349" s="150">
        <f>'LF-Zamfara'!M110</f>
        <v>0</v>
      </c>
      <c r="N349" s="104">
        <f>'LF-Zamfara'!N110</f>
        <v>0</v>
      </c>
      <c r="O349" s="104">
        <f>'LF-Zamfara'!O110</f>
        <v>0</v>
      </c>
      <c r="P349" s="150">
        <f>'LF-Zamfara'!P110</f>
        <v>4</v>
      </c>
      <c r="Q349" s="150">
        <f>'LF-Zamfara'!Q110</f>
        <v>2</v>
      </c>
      <c r="R349" s="150">
        <f>'LF-Zamfara'!R110</f>
        <v>2</v>
      </c>
      <c r="S349" s="150">
        <f>'LF-Zamfara'!S110</f>
        <v>1</v>
      </c>
      <c r="T349" s="150">
        <f>'LF-Zamfara'!T110</f>
        <v>10</v>
      </c>
      <c r="U349" s="150">
        <f>'LF-Zamfara'!U110</f>
        <v>10</v>
      </c>
      <c r="V349" s="150">
        <f>'LF-Zamfara'!V110</f>
        <v>5</v>
      </c>
      <c r="W349" s="150">
        <f>'LF-Zamfara'!W110</f>
        <v>2</v>
      </c>
      <c r="X349" s="880"/>
    </row>
    <row r="350" spans="1:24" ht="13.5" thickBot="1">
      <c r="A350" s="885"/>
      <c r="B350" s="93"/>
      <c r="C350" s="9" t="s">
        <v>293</v>
      </c>
      <c r="D350" s="1051" t="s">
        <v>255</v>
      </c>
      <c r="E350" s="1052"/>
      <c r="F350" s="1052"/>
      <c r="G350" s="1053"/>
      <c r="H350" s="104">
        <f>'LF-Katsina'!H110</f>
        <v>0</v>
      </c>
      <c r="I350" s="104">
        <f>'LF-Katsina'!I110</f>
        <v>0</v>
      </c>
      <c r="J350" s="104">
        <f>'LF-Katsina'!J110</f>
        <v>0</v>
      </c>
      <c r="K350" s="104">
        <f>'LF-Katsina'!K110</f>
        <v>0</v>
      </c>
      <c r="L350" s="150">
        <f>'LF-Katsina'!L110</f>
        <v>3</v>
      </c>
      <c r="M350" s="150">
        <f>'LF-Katsina'!M110</f>
        <v>2</v>
      </c>
      <c r="N350" s="104">
        <f>'LF-Katsina'!N110</f>
        <v>0</v>
      </c>
      <c r="O350" s="104">
        <f>'LF-Katsina'!O110</f>
        <v>0</v>
      </c>
      <c r="P350" s="150">
        <f>'LF-Katsina'!P110</f>
        <v>4</v>
      </c>
      <c r="Q350" s="150">
        <f>'LF-Katsina'!Q110</f>
        <v>2</v>
      </c>
      <c r="R350" s="150">
        <f>'LF-Katsina'!R110</f>
        <v>1</v>
      </c>
      <c r="S350" s="150">
        <f>'LF-Katsina'!S110</f>
        <v>0</v>
      </c>
      <c r="T350" s="150">
        <f>'LF-Katsina'!T110</f>
        <v>8</v>
      </c>
      <c r="U350" s="150">
        <f>'LF-Katsina'!U110</f>
        <v>6</v>
      </c>
      <c r="V350" s="150">
        <f>'LF-Katsina'!V110</f>
        <v>4</v>
      </c>
      <c r="W350" s="150">
        <f>'LF-Katsina'!W110</f>
        <v>1</v>
      </c>
      <c r="X350" s="880"/>
    </row>
    <row r="351" spans="1:24" ht="13.5" thickBot="1">
      <c r="A351" s="885"/>
      <c r="B351" s="93"/>
      <c r="C351" s="9" t="s">
        <v>294</v>
      </c>
      <c r="D351" s="1051" t="s">
        <v>255</v>
      </c>
      <c r="E351" s="1052"/>
      <c r="F351" s="1052"/>
      <c r="G351" s="1053"/>
      <c r="H351" s="104">
        <f>'LF-Yobe'!H110</f>
        <v>0</v>
      </c>
      <c r="I351" s="104">
        <f>'LF-Yobe'!I110</f>
        <v>0</v>
      </c>
      <c r="J351" s="104">
        <f>'LF-Yobe'!J110</f>
        <v>0</v>
      </c>
      <c r="K351" s="104">
        <f>'LF-Yobe'!K110</f>
        <v>0</v>
      </c>
      <c r="L351" s="104">
        <f>'LF-Yobe'!L110</f>
        <v>0</v>
      </c>
      <c r="M351" s="104">
        <f>'LF-Yobe'!M110</f>
        <v>0</v>
      </c>
      <c r="N351" s="104">
        <f>'LF-Yobe'!N110</f>
        <v>0</v>
      </c>
      <c r="O351" s="104">
        <f>'LF-Yobe'!O110</f>
        <v>0</v>
      </c>
      <c r="P351" s="150">
        <f>'LF-Yobe'!P110</f>
        <v>4</v>
      </c>
      <c r="Q351" s="150">
        <f>'LF-Yobe'!Q110</f>
        <v>2</v>
      </c>
      <c r="R351" s="150">
        <f>'LF-Yobe'!R110</f>
        <v>0</v>
      </c>
      <c r="S351" s="150">
        <f>'LF-Yobe'!S110</f>
        <v>0</v>
      </c>
      <c r="T351" s="150">
        <f>'LF-Yobe'!T110</f>
        <v>9</v>
      </c>
      <c r="U351" s="150">
        <f>'LF-Yobe'!U110</f>
        <v>8</v>
      </c>
      <c r="V351" s="150">
        <f>'LF-Yobe'!V110</f>
        <v>3</v>
      </c>
      <c r="W351" s="150">
        <f>'LF-Yobe'!W110</f>
        <v>2</v>
      </c>
      <c r="X351" s="880"/>
    </row>
    <row r="352" spans="1:24" ht="12.95" customHeight="1" thickBot="1">
      <c r="A352" s="885"/>
      <c r="B352" s="93"/>
      <c r="C352" s="9" t="s">
        <v>290</v>
      </c>
      <c r="D352" s="945"/>
      <c r="E352" s="946"/>
      <c r="F352" s="946"/>
      <c r="G352" s="947"/>
      <c r="H352" s="1162"/>
      <c r="I352" s="1163"/>
      <c r="J352" s="1163"/>
      <c r="K352" s="1164"/>
      <c r="L352" s="1150" t="s">
        <v>909</v>
      </c>
      <c r="M352" s="1151"/>
      <c r="N352" s="1151"/>
      <c r="O352" s="1152"/>
      <c r="P352" s="104">
        <f>'LF-Anambra'!P110</f>
        <v>0</v>
      </c>
      <c r="Q352" s="104">
        <f>'LF-Anambra'!Q110</f>
        <v>0</v>
      </c>
      <c r="R352" s="104">
        <f>'LF-Anambra'!R110</f>
        <v>0</v>
      </c>
      <c r="S352" s="104">
        <f>'LF-Anambra'!S110</f>
        <v>0</v>
      </c>
      <c r="T352" s="104">
        <f>'LF-Anambra'!T110</f>
        <v>5</v>
      </c>
      <c r="U352" s="104">
        <f>'LF-Anambra'!U110</f>
        <v>4</v>
      </c>
      <c r="V352" s="104">
        <f>'LF-Anambra'!V110</f>
        <v>2</v>
      </c>
      <c r="W352" s="104">
        <f>'LF-Anambra'!W110</f>
        <v>0</v>
      </c>
      <c r="X352" s="880"/>
    </row>
    <row r="353" spans="1:24" ht="12.95" customHeight="1" thickBot="1">
      <c r="A353" s="885"/>
      <c r="B353" s="93"/>
      <c r="C353" s="9" t="s">
        <v>291</v>
      </c>
      <c r="D353" s="945"/>
      <c r="E353" s="946"/>
      <c r="F353" s="946"/>
      <c r="G353" s="947"/>
      <c r="H353" s="1162"/>
      <c r="I353" s="1163"/>
      <c r="J353" s="1163"/>
      <c r="K353" s="1164"/>
      <c r="L353" s="1150" t="s">
        <v>909</v>
      </c>
      <c r="M353" s="1151"/>
      <c r="N353" s="1151"/>
      <c r="O353" s="1152"/>
      <c r="P353" s="104">
        <f>'LF-Niger'!P110</f>
        <v>4</v>
      </c>
      <c r="Q353" s="104">
        <f>'LF-Niger'!Q110</f>
        <v>0</v>
      </c>
      <c r="R353" s="104">
        <f>'LF-Niger'!R110</f>
        <v>0</v>
      </c>
      <c r="S353" s="104">
        <f>'LF-Niger'!S110</f>
        <v>0</v>
      </c>
      <c r="T353" s="104">
        <f>'LF-Niger'!T110</f>
        <v>4</v>
      </c>
      <c r="U353" s="104">
        <f>'LF-Niger'!U110</f>
        <v>1</v>
      </c>
      <c r="V353" s="104">
        <f>'LF-Niger'!V110</f>
        <v>1</v>
      </c>
      <c r="W353" s="104">
        <f>'LF-Niger'!W110</f>
        <v>0</v>
      </c>
      <c r="X353" s="880"/>
    </row>
    <row r="354" spans="1:24" ht="13.5" thickBot="1">
      <c r="A354" s="885"/>
      <c r="C354" s="100" t="s">
        <v>295</v>
      </c>
      <c r="D354" s="1042" t="s">
        <v>416</v>
      </c>
      <c r="E354" s="1043"/>
      <c r="F354" s="1043"/>
      <c r="G354" s="1044"/>
      <c r="H354" s="105">
        <f>'LF-Enugu'!H111</f>
        <v>0</v>
      </c>
      <c r="I354" s="105">
        <f>'LF-Enugu'!I111</f>
        <v>0</v>
      </c>
      <c r="J354" s="105">
        <f>'LF-Enugu'!J111</f>
        <v>0</v>
      </c>
      <c r="K354" s="105">
        <f>'LF-Enugu'!K111</f>
        <v>0</v>
      </c>
      <c r="L354" s="105">
        <f>'LF-Enugu'!L111</f>
        <v>5</v>
      </c>
      <c r="M354" s="105">
        <f>'LF-Enugu'!M111</f>
        <v>4</v>
      </c>
      <c r="N354" s="105">
        <f>'LF-Enugu'!N111</f>
        <v>2</v>
      </c>
      <c r="O354" s="105">
        <f>'LF-Enugu'!O111</f>
        <v>2</v>
      </c>
      <c r="P354" s="105">
        <f>'LF-Enugu'!P111</f>
        <v>11</v>
      </c>
      <c r="Q354" s="105">
        <f>'LF-Enugu'!Q111</f>
        <v>11</v>
      </c>
      <c r="R354" s="105">
        <f>'LF-Enugu'!R111</f>
        <v>10</v>
      </c>
      <c r="S354" s="105">
        <f>'LF-Enugu'!S111</f>
        <v>6</v>
      </c>
      <c r="T354" s="105">
        <f>'LF-Enugu'!T111</f>
        <v>0</v>
      </c>
      <c r="U354" s="105">
        <f>'LF-Enugu'!U111</f>
        <v>0</v>
      </c>
      <c r="V354" s="105">
        <f>'LF-Enugu'!V111</f>
        <v>0</v>
      </c>
      <c r="W354" s="105">
        <f>'LF-Enugu'!W111</f>
        <v>0</v>
      </c>
      <c r="X354" s="880"/>
    </row>
    <row r="355" spans="1:24" ht="13.5" thickBot="1">
      <c r="A355" s="885"/>
      <c r="B355" s="93"/>
      <c r="C355" s="100" t="s">
        <v>296</v>
      </c>
      <c r="D355" s="1042" t="s">
        <v>416</v>
      </c>
      <c r="E355" s="1043"/>
      <c r="F355" s="1043"/>
      <c r="G355" s="1044"/>
      <c r="H355" s="105">
        <f>'LF-Jigawa'!H111</f>
        <v>2</v>
      </c>
      <c r="I355" s="105">
        <f>'LF-Jigawa'!I111</f>
        <v>2</v>
      </c>
      <c r="J355" s="105">
        <f>'LF-Jigawa'!J111</f>
        <v>2</v>
      </c>
      <c r="K355" s="105">
        <f>'LF-Jigawa'!K111</f>
        <v>2</v>
      </c>
      <c r="L355" s="105">
        <f>'LF-Jigawa'!L111</f>
        <v>6</v>
      </c>
      <c r="M355" s="105">
        <f>'LF-Jigawa'!M111</f>
        <v>5</v>
      </c>
      <c r="N355" s="105">
        <f>'LF-Jigawa'!N111</f>
        <v>3</v>
      </c>
      <c r="O355" s="105">
        <f>'LF-Jigawa'!O111</f>
        <v>0</v>
      </c>
      <c r="P355" s="105">
        <f>'LF-Jigawa'!P111</f>
        <v>7</v>
      </c>
      <c r="Q355" s="105">
        <f>'LF-Jigawa'!Q111</f>
        <v>6</v>
      </c>
      <c r="R355" s="105">
        <f>'LF-Jigawa'!R111</f>
        <v>6</v>
      </c>
      <c r="S355" s="105">
        <f>'LF-Jigawa'!S111</f>
        <v>2</v>
      </c>
      <c r="T355" s="105">
        <f>'LF-Jigawa'!T111</f>
        <v>0</v>
      </c>
      <c r="U355" s="105">
        <f>'LF-Jigawa'!U111</f>
        <v>0</v>
      </c>
      <c r="V355" s="105">
        <f>'LF-Jigawa'!V111</f>
        <v>0</v>
      </c>
      <c r="W355" s="105">
        <f>'LF-Jigawa'!W111</f>
        <v>0</v>
      </c>
      <c r="X355" s="880"/>
    </row>
    <row r="356" spans="1:24" ht="13.5" thickBot="1">
      <c r="A356" s="885"/>
      <c r="B356" s="93"/>
      <c r="C356" s="100" t="s">
        <v>297</v>
      </c>
      <c r="D356" s="1042" t="s">
        <v>416</v>
      </c>
      <c r="E356" s="1043"/>
      <c r="F356" s="1043"/>
      <c r="G356" s="1044"/>
      <c r="H356" s="105">
        <f>'LF-Kaduna'!H111</f>
        <v>3</v>
      </c>
      <c r="I356" s="105">
        <f>'LF-Kaduna'!I111</f>
        <v>2</v>
      </c>
      <c r="J356" s="105">
        <f>'LF-Kaduna'!J111</f>
        <v>1</v>
      </c>
      <c r="K356" s="105">
        <f>'LF-Kaduna'!K111</f>
        <v>0</v>
      </c>
      <c r="L356" s="105">
        <f>'LF-Kaduna'!L111</f>
        <v>5</v>
      </c>
      <c r="M356" s="105">
        <f>'LF-Kaduna'!M111</f>
        <v>5</v>
      </c>
      <c r="N356" s="105">
        <f>'LF-Kaduna'!N111</f>
        <v>5</v>
      </c>
      <c r="O356" s="105">
        <f>'LF-Kaduna'!O111</f>
        <v>5</v>
      </c>
      <c r="P356" s="105">
        <f>'LF-Kaduna'!P111</f>
        <v>7</v>
      </c>
      <c r="Q356" s="105">
        <f>'LF-Kaduna'!Q111</f>
        <v>1</v>
      </c>
      <c r="R356" s="105">
        <f>'LF-Kaduna'!R111</f>
        <v>0</v>
      </c>
      <c r="S356" s="105">
        <f>'LF-Kaduna'!S111</f>
        <v>0</v>
      </c>
      <c r="T356" s="105">
        <f>'LF-Kaduna'!T111</f>
        <v>0</v>
      </c>
      <c r="U356" s="105">
        <f>'LF-Kaduna'!U111</f>
        <v>0</v>
      </c>
      <c r="V356" s="105">
        <f>'LF-Kaduna'!V111</f>
        <v>0</v>
      </c>
      <c r="W356" s="105">
        <f>'LF-Kaduna'!W111</f>
        <v>0</v>
      </c>
      <c r="X356" s="880"/>
    </row>
    <row r="357" spans="1:24" ht="13.5" thickBot="1">
      <c r="A357" s="885"/>
      <c r="B357" s="93"/>
      <c r="C357" s="100" t="s">
        <v>298</v>
      </c>
      <c r="D357" s="1042" t="s">
        <v>416</v>
      </c>
      <c r="E357" s="1043"/>
      <c r="F357" s="1043"/>
      <c r="G357" s="1044"/>
      <c r="H357" s="105">
        <f>'LF-Kano'!H111</f>
        <v>3</v>
      </c>
      <c r="I357" s="105">
        <f>'LF-Kano'!I111</f>
        <v>2</v>
      </c>
      <c r="J357" s="105">
        <f>'LF-Kano'!J111</f>
        <v>2</v>
      </c>
      <c r="K357" s="105">
        <f>'LF-Kano'!K111</f>
        <v>1</v>
      </c>
      <c r="L357" s="105">
        <f>'LF-Kano'!L111</f>
        <v>6</v>
      </c>
      <c r="M357" s="105">
        <f>'LF-Kano'!M111</f>
        <v>3</v>
      </c>
      <c r="N357" s="105">
        <f>'LF-Kano'!N111</f>
        <v>3</v>
      </c>
      <c r="O357" s="105">
        <f>'LF-Kano'!O111</f>
        <v>0</v>
      </c>
      <c r="P357" s="105">
        <f>'LF-Kano'!P111</f>
        <v>9</v>
      </c>
      <c r="Q357" s="105">
        <f>'LF-Kano'!Q111</f>
        <v>8</v>
      </c>
      <c r="R357" s="105">
        <f>'LF-Kano'!R111</f>
        <v>6</v>
      </c>
      <c r="S357" s="105">
        <f>'LF-Kano'!S111</f>
        <v>1</v>
      </c>
      <c r="T357" s="105">
        <f>'LF-Kano'!T111</f>
        <v>0</v>
      </c>
      <c r="U357" s="105">
        <f>'LF-Kano'!U111</f>
        <v>0</v>
      </c>
      <c r="V357" s="105">
        <f>'LF-Kano'!V111</f>
        <v>0</v>
      </c>
      <c r="W357" s="105">
        <f>'LF-Kano'!W111</f>
        <v>0</v>
      </c>
      <c r="X357" s="880"/>
    </row>
    <row r="358" spans="1:24" ht="13.5" thickBot="1">
      <c r="A358" s="885"/>
      <c r="B358" s="93"/>
      <c r="C358" s="100" t="s">
        <v>299</v>
      </c>
      <c r="D358" s="1042" t="s">
        <v>416</v>
      </c>
      <c r="E358" s="1043"/>
      <c r="F358" s="1043"/>
      <c r="G358" s="1044"/>
      <c r="H358" s="105">
        <f>'LF-Lagos'!H111</f>
        <v>3</v>
      </c>
      <c r="I358" s="105">
        <f>'LF-Lagos'!I111</f>
        <v>1</v>
      </c>
      <c r="J358" s="105">
        <f>'LF-Lagos'!J111</f>
        <v>1</v>
      </c>
      <c r="K358" s="105">
        <f>'LF-Lagos'!K111</f>
        <v>1</v>
      </c>
      <c r="L358" s="105">
        <f>'LF-Lagos'!L111</f>
        <v>5</v>
      </c>
      <c r="M358" s="105">
        <f>'LF-Lagos'!M111</f>
        <v>5</v>
      </c>
      <c r="N358" s="105">
        <f>'LF-Lagos'!N111</f>
        <v>3</v>
      </c>
      <c r="O358" s="105">
        <f>'LF-Lagos'!O111</f>
        <v>3</v>
      </c>
      <c r="P358" s="105">
        <f>'LF-Lagos'!P111</f>
        <v>7</v>
      </c>
      <c r="Q358" s="105">
        <f>'LF-Lagos'!Q111</f>
        <v>5</v>
      </c>
      <c r="R358" s="105">
        <f>'LF-Lagos'!R111</f>
        <v>4</v>
      </c>
      <c r="S358" s="105">
        <f>'LF-Lagos'!S111</f>
        <v>0</v>
      </c>
      <c r="T358" s="105">
        <f>'LF-Lagos'!T111</f>
        <v>0</v>
      </c>
      <c r="U358" s="105">
        <f>'LF-Lagos'!U111</f>
        <v>0</v>
      </c>
      <c r="V358" s="105">
        <f>'LF-Lagos'!V111</f>
        <v>0</v>
      </c>
      <c r="W358" s="105">
        <f>'LF-Lagos'!W111</f>
        <v>0</v>
      </c>
      <c r="X358" s="880"/>
    </row>
    <row r="359" spans="1:24" ht="24.75" thickBot="1">
      <c r="A359" s="885"/>
      <c r="B359" s="93"/>
      <c r="C359" s="100" t="s">
        <v>300</v>
      </c>
      <c r="D359" s="1054"/>
      <c r="E359" s="1055"/>
      <c r="F359" s="1055"/>
      <c r="G359" s="1056"/>
      <c r="H359" s="1054"/>
      <c r="I359" s="1055"/>
      <c r="J359" s="1055"/>
      <c r="K359" s="1056"/>
      <c r="L359" s="105">
        <f>'LF-Zamfara'!L111</f>
        <v>2</v>
      </c>
      <c r="M359" s="105">
        <f>'LF-Zamfara'!M111</f>
        <v>0</v>
      </c>
      <c r="N359" s="105">
        <f>'LF-Zamfara'!N111</f>
        <v>0</v>
      </c>
      <c r="O359" s="105">
        <f>'LF-Zamfara'!O111</f>
        <v>0</v>
      </c>
      <c r="P359" s="105">
        <f>'LF-Zamfara'!P111</f>
        <v>6</v>
      </c>
      <c r="Q359" s="105">
        <f>'LF-Zamfara'!Q111</f>
        <v>3</v>
      </c>
      <c r="R359" s="105">
        <f>'LF-Zamfara'!R111</f>
        <v>1</v>
      </c>
      <c r="S359" s="105">
        <f>'LF-Zamfara'!S111</f>
        <v>0</v>
      </c>
      <c r="T359" s="105">
        <f>'LF-Zamfara'!T111</f>
        <v>0</v>
      </c>
      <c r="U359" s="105">
        <f>'LF-Zamfara'!U111</f>
        <v>0</v>
      </c>
      <c r="V359" s="105">
        <f>'LF-Zamfara'!V111</f>
        <v>0</v>
      </c>
      <c r="W359" s="105">
        <f>'LF-Zamfara'!W111</f>
        <v>0</v>
      </c>
      <c r="X359" s="880"/>
    </row>
    <row r="360" spans="1:24" ht="13.5" thickBot="1">
      <c r="A360" s="885"/>
      <c r="B360" s="93"/>
      <c r="C360" s="100" t="s">
        <v>301</v>
      </c>
      <c r="D360" s="107"/>
      <c r="E360" s="108"/>
      <c r="F360" s="108"/>
      <c r="G360" s="109"/>
      <c r="H360" s="107"/>
      <c r="I360" s="108"/>
      <c r="J360" s="108"/>
      <c r="K360" s="109"/>
      <c r="L360" s="105">
        <f>'LF-Katsina'!L111</f>
        <v>0</v>
      </c>
      <c r="M360" s="105">
        <f>'LF-Katsina'!M111</f>
        <v>0</v>
      </c>
      <c r="N360" s="105">
        <f>'LF-Katsina'!N111</f>
        <v>0</v>
      </c>
      <c r="O360" s="105">
        <f>'LF-Katsina'!O111</f>
        <v>0</v>
      </c>
      <c r="P360" s="105">
        <f>'LF-Katsina'!P111</f>
        <v>9</v>
      </c>
      <c r="Q360" s="105">
        <f>'LF-Katsina'!Q111</f>
        <v>4</v>
      </c>
      <c r="R360" s="105">
        <f>'LF-Katsina'!R111</f>
        <v>0</v>
      </c>
      <c r="S360" s="105">
        <f>'LF-Katsina'!S111</f>
        <v>0</v>
      </c>
      <c r="T360" s="105">
        <f>'LF-Katsina'!T111</f>
        <v>0</v>
      </c>
      <c r="U360" s="105">
        <f>'LF-Katsina'!U111</f>
        <v>0</v>
      </c>
      <c r="V360" s="105">
        <f>'LF-Katsina'!V111</f>
        <v>0</v>
      </c>
      <c r="W360" s="105">
        <f>'LF-Katsina'!W111</f>
        <v>0</v>
      </c>
      <c r="X360" s="880"/>
    </row>
    <row r="361" spans="1:24" ht="13.5" thickBot="1">
      <c r="A361" s="885"/>
      <c r="B361" s="93"/>
      <c r="C361" s="100" t="s">
        <v>302</v>
      </c>
      <c r="D361" s="107"/>
      <c r="E361" s="108"/>
      <c r="F361" s="108"/>
      <c r="G361" s="109"/>
      <c r="H361" s="107"/>
      <c r="I361" s="108"/>
      <c r="J361" s="108"/>
      <c r="K361" s="109"/>
      <c r="L361" s="105">
        <f>'LF-Yobe'!L111</f>
        <v>0</v>
      </c>
      <c r="M361" s="105">
        <f>'LF-Yobe'!M111</f>
        <v>0</v>
      </c>
      <c r="N361" s="105">
        <f>'LF-Yobe'!N111</f>
        <v>0</v>
      </c>
      <c r="O361" s="105">
        <f>'LF-Yobe'!O111</f>
        <v>0</v>
      </c>
      <c r="P361" s="105">
        <f>'LF-Yobe'!P111</f>
        <v>10</v>
      </c>
      <c r="Q361" s="105">
        <f>'LF-Yobe'!Q111</f>
        <v>8</v>
      </c>
      <c r="R361" s="105">
        <f>'LF-Yobe'!R111</f>
        <v>3</v>
      </c>
      <c r="S361" s="105">
        <f>'LF-Yobe'!S111</f>
        <v>1</v>
      </c>
      <c r="T361" s="105">
        <f>'LF-Yobe'!T111</f>
        <v>0</v>
      </c>
      <c r="U361" s="105">
        <f>'LF-Yobe'!U111</f>
        <v>0</v>
      </c>
      <c r="V361" s="105">
        <f>'LF-Yobe'!V111</f>
        <v>0</v>
      </c>
      <c r="W361" s="105">
        <f>'LF-Yobe'!W111</f>
        <v>0</v>
      </c>
      <c r="X361" s="880"/>
    </row>
    <row r="362" spans="1:24" ht="24.75" thickBot="1">
      <c r="A362" s="885"/>
      <c r="B362" s="93"/>
      <c r="C362" s="100" t="s">
        <v>303</v>
      </c>
      <c r="D362" s="1054"/>
      <c r="E362" s="1055"/>
      <c r="F362" s="1055"/>
      <c r="G362" s="1056"/>
      <c r="H362" s="1054"/>
      <c r="I362" s="1055"/>
      <c r="J362" s="1055"/>
      <c r="K362" s="1056"/>
      <c r="L362" s="1054"/>
      <c r="M362" s="1055"/>
      <c r="N362" s="1055"/>
      <c r="O362" s="1056"/>
      <c r="P362" s="1054"/>
      <c r="Q362" s="1055"/>
      <c r="R362" s="1055"/>
      <c r="S362" s="1056"/>
      <c r="T362" s="105">
        <f>'LF-Anambra'!T111</f>
        <v>0</v>
      </c>
      <c r="U362" s="105">
        <f>'LF-Anambra'!U111</f>
        <v>0</v>
      </c>
      <c r="V362" s="105">
        <f>'LF-Anambra'!V111</f>
        <v>0</v>
      </c>
      <c r="W362" s="105">
        <f>'LF-Anambra'!W111</f>
        <v>0</v>
      </c>
      <c r="X362" s="880"/>
    </row>
    <row r="363" spans="1:24" ht="13.5" thickBot="1">
      <c r="A363" s="885"/>
      <c r="B363" s="93"/>
      <c r="C363" s="100" t="s">
        <v>304</v>
      </c>
      <c r="D363" s="107"/>
      <c r="E363" s="108"/>
      <c r="F363" s="108"/>
      <c r="G363" s="109"/>
      <c r="H363" s="107"/>
      <c r="I363" s="108"/>
      <c r="J363" s="108"/>
      <c r="K363" s="109"/>
      <c r="L363" s="107"/>
      <c r="M363" s="108"/>
      <c r="N363" s="108"/>
      <c r="O363" s="109"/>
      <c r="P363" s="1054"/>
      <c r="Q363" s="1055"/>
      <c r="R363" s="1055"/>
      <c r="S363" s="1056"/>
      <c r="T363" s="105">
        <f>'LF-Niger'!T111</f>
        <v>0</v>
      </c>
      <c r="U363" s="105">
        <f>'LF-Niger'!U111</f>
        <v>0</v>
      </c>
      <c r="V363" s="105">
        <f>'LF-Niger'!V111</f>
        <v>0</v>
      </c>
      <c r="W363" s="105">
        <f>'LF-Niger'!W111</f>
        <v>0</v>
      </c>
      <c r="X363" s="880"/>
    </row>
    <row r="364" spans="1:24" ht="13.5" thickBot="1">
      <c r="A364" s="885"/>
      <c r="C364" s="922" t="s">
        <v>413</v>
      </c>
      <c r="D364" s="927" t="s">
        <v>4</v>
      </c>
      <c r="E364" s="928"/>
      <c r="F364" s="928"/>
      <c r="G364" s="928"/>
      <c r="H364" s="928"/>
      <c r="I364" s="928"/>
      <c r="J364" s="928"/>
      <c r="K364" s="928"/>
      <c r="L364" s="928"/>
      <c r="M364" s="928"/>
      <c r="N364" s="928"/>
      <c r="O364" s="928"/>
      <c r="P364" s="928"/>
      <c r="Q364" s="928"/>
      <c r="R364" s="928"/>
      <c r="S364" s="928"/>
      <c r="T364" s="928"/>
      <c r="U364" s="928"/>
      <c r="V364" s="928"/>
      <c r="W364" s="929"/>
      <c r="X364" s="880"/>
    </row>
    <row r="365" spans="1:24" ht="13.5" thickBot="1">
      <c r="A365" s="885"/>
      <c r="B365" s="94"/>
      <c r="C365" s="923"/>
      <c r="D365" s="930" t="s">
        <v>420</v>
      </c>
      <c r="E365" s="931"/>
      <c r="F365" s="931"/>
      <c r="G365" s="931"/>
      <c r="H365" s="931"/>
      <c r="I365" s="931"/>
      <c r="J365" s="931"/>
      <c r="K365" s="931"/>
      <c r="L365" s="931"/>
      <c r="M365" s="931"/>
      <c r="N365" s="931"/>
      <c r="O365" s="931"/>
      <c r="P365" s="931"/>
      <c r="Q365" s="931"/>
      <c r="R365" s="931"/>
      <c r="S365" s="931"/>
      <c r="T365" s="931"/>
      <c r="U365" s="931"/>
      <c r="V365" s="931"/>
      <c r="W365" s="932"/>
      <c r="X365" s="880"/>
    </row>
    <row r="366" spans="1:24" ht="13.5" thickBot="1">
      <c r="A366" s="885"/>
      <c r="B366" s="11" t="s">
        <v>30</v>
      </c>
      <c r="C366" s="12"/>
      <c r="D366" s="927" t="s">
        <v>78</v>
      </c>
      <c r="E366" s="928"/>
      <c r="F366" s="928"/>
      <c r="G366" s="929"/>
      <c r="H366" s="927" t="s">
        <v>77</v>
      </c>
      <c r="I366" s="928"/>
      <c r="J366" s="928"/>
      <c r="K366" s="929"/>
      <c r="L366" s="927" t="s">
        <v>81</v>
      </c>
      <c r="M366" s="928"/>
      <c r="N366" s="928"/>
      <c r="O366" s="929"/>
      <c r="P366" s="927" t="s">
        <v>254</v>
      </c>
      <c r="Q366" s="928"/>
      <c r="R366" s="928"/>
      <c r="S366" s="929"/>
      <c r="T366" s="927" t="s">
        <v>76</v>
      </c>
      <c r="U366" s="928"/>
      <c r="V366" s="928"/>
      <c r="W366" s="929"/>
      <c r="X366" s="880"/>
    </row>
    <row r="367" spans="1:24" ht="44.1" customHeight="1" thickBot="1">
      <c r="A367" s="885"/>
      <c r="B367" s="868" t="s">
        <v>157</v>
      </c>
      <c r="C367" s="23"/>
      <c r="D367" s="17" t="s">
        <v>101</v>
      </c>
      <c r="E367" s="17" t="s">
        <v>104</v>
      </c>
      <c r="F367" s="17" t="s">
        <v>102</v>
      </c>
      <c r="G367" s="17" t="s">
        <v>103</v>
      </c>
      <c r="H367" s="17" t="s">
        <v>101</v>
      </c>
      <c r="I367" s="17" t="s">
        <v>104</v>
      </c>
      <c r="J367" s="17" t="s">
        <v>102</v>
      </c>
      <c r="K367" s="17" t="s">
        <v>103</v>
      </c>
      <c r="L367" s="17" t="s">
        <v>101</v>
      </c>
      <c r="M367" s="17" t="s">
        <v>104</v>
      </c>
      <c r="N367" s="17" t="s">
        <v>102</v>
      </c>
      <c r="O367" s="17" t="s">
        <v>103</v>
      </c>
      <c r="P367" s="17" t="s">
        <v>101</v>
      </c>
      <c r="Q367" s="17" t="s">
        <v>104</v>
      </c>
      <c r="R367" s="17" t="s">
        <v>102</v>
      </c>
      <c r="S367" s="17" t="s">
        <v>103</v>
      </c>
      <c r="T367" s="17" t="s">
        <v>101</v>
      </c>
      <c r="U367" s="17" t="s">
        <v>104</v>
      </c>
      <c r="V367" s="17" t="s">
        <v>102</v>
      </c>
      <c r="W367" s="17" t="s">
        <v>103</v>
      </c>
      <c r="X367" s="880"/>
    </row>
    <row r="368" spans="1:24" ht="13.5" thickBot="1">
      <c r="A368" s="885"/>
      <c r="B368" s="885"/>
      <c r="C368" s="9" t="s">
        <v>285</v>
      </c>
      <c r="D368" s="104">
        <f>'LF-Enugu'!D116</f>
        <v>0</v>
      </c>
      <c r="E368" s="104">
        <f>'LF-Enugu'!E116</f>
        <v>0</v>
      </c>
      <c r="F368" s="104">
        <f>'LF-Enugu'!F116</f>
        <v>0</v>
      </c>
      <c r="G368" s="104">
        <f>'LF-Enugu'!G116</f>
        <v>0</v>
      </c>
      <c r="H368" s="104">
        <f>'LF-Enugu'!H116</f>
        <v>3</v>
      </c>
      <c r="I368" s="104">
        <f>'LF-Enugu'!I116</f>
        <v>2</v>
      </c>
      <c r="J368" s="104">
        <f>'LF-Enugu'!J116</f>
        <v>1</v>
      </c>
      <c r="K368" s="104">
        <f>'LF-Enugu'!K116</f>
        <v>0</v>
      </c>
      <c r="L368" s="104">
        <f>'LF-Enugu'!L116</f>
        <v>5</v>
      </c>
      <c r="M368" s="104">
        <f>'LF-Enugu'!M116</f>
        <v>4</v>
      </c>
      <c r="N368" s="104">
        <f>'LF-Enugu'!N116</f>
        <v>3</v>
      </c>
      <c r="O368" s="104">
        <f>'LF-Enugu'!O116</f>
        <v>1</v>
      </c>
      <c r="P368" s="104">
        <f>'LF-Enugu'!P116</f>
        <v>8</v>
      </c>
      <c r="Q368" s="104">
        <f>'LF-Enugu'!Q116</f>
        <v>6</v>
      </c>
      <c r="R368" s="104">
        <f>'LF-Enugu'!R116</f>
        <v>5</v>
      </c>
      <c r="S368" s="104">
        <f>'LF-Enugu'!S116</f>
        <v>3</v>
      </c>
      <c r="T368" s="104">
        <f>'LF-Enugu'!T116</f>
        <v>10</v>
      </c>
      <c r="U368" s="104">
        <f>'LF-Enugu'!U116</f>
        <v>8</v>
      </c>
      <c r="V368" s="104">
        <f>'LF-Enugu'!V116</f>
        <v>5</v>
      </c>
      <c r="W368" s="104">
        <f>'LF-Enugu'!W116</f>
        <v>5</v>
      </c>
      <c r="X368" s="880"/>
    </row>
    <row r="369" spans="1:24" ht="13.5" thickBot="1">
      <c r="A369" s="885"/>
      <c r="B369" s="93" t="s">
        <v>151</v>
      </c>
      <c r="C369" s="9" t="s">
        <v>286</v>
      </c>
      <c r="D369" s="104">
        <f>'LF-Jigawa'!D116</f>
        <v>0</v>
      </c>
      <c r="E369" s="104">
        <f>'LF-Jigawa'!E116</f>
        <v>0</v>
      </c>
      <c r="F369" s="104">
        <f>'LF-Jigawa'!F116</f>
        <v>0</v>
      </c>
      <c r="G369" s="104">
        <f>'LF-Jigawa'!G116</f>
        <v>0</v>
      </c>
      <c r="H369" s="104">
        <f>'LF-Jigawa'!H116</f>
        <v>3</v>
      </c>
      <c r="I369" s="104">
        <f>'LF-Jigawa'!I116</f>
        <v>2</v>
      </c>
      <c r="J369" s="104">
        <f>'LF-Jigawa'!J116</f>
        <v>1</v>
      </c>
      <c r="K369" s="104">
        <f>'LF-Jigawa'!K116</f>
        <v>0</v>
      </c>
      <c r="L369" s="104">
        <f>'LF-Jigawa'!L116</f>
        <v>5</v>
      </c>
      <c r="M369" s="104">
        <f>'LF-Jigawa'!M116</f>
        <v>4</v>
      </c>
      <c r="N369" s="104">
        <f>'LF-Jigawa'!N116</f>
        <v>3</v>
      </c>
      <c r="O369" s="104">
        <f>'LF-Jigawa'!O116</f>
        <v>2</v>
      </c>
      <c r="P369" s="104">
        <f>'LF-Jigawa'!P116</f>
        <v>8</v>
      </c>
      <c r="Q369" s="104">
        <f>'LF-Jigawa'!Q116</f>
        <v>6</v>
      </c>
      <c r="R369" s="104">
        <f>'LF-Jigawa'!R116</f>
        <v>5</v>
      </c>
      <c r="S369" s="104">
        <f>'LF-Jigawa'!S116</f>
        <v>4</v>
      </c>
      <c r="T369" s="104">
        <f>'LF-Jigawa'!T116</f>
        <v>8</v>
      </c>
      <c r="U369" s="104">
        <f>'LF-Jigawa'!U116</f>
        <v>7</v>
      </c>
      <c r="V369" s="104">
        <f>'LF-Jigawa'!V116</f>
        <v>6</v>
      </c>
      <c r="W369" s="104">
        <f>'LF-Jigawa'!W116</f>
        <v>5</v>
      </c>
      <c r="X369" s="880"/>
    </row>
    <row r="370" spans="1:24" ht="13.5" thickBot="1">
      <c r="A370" s="885"/>
      <c r="B370" s="93" t="s">
        <v>150</v>
      </c>
      <c r="C370" s="9" t="s">
        <v>287</v>
      </c>
      <c r="D370" s="104">
        <f>'LF-Kaduna'!D116</f>
        <v>2</v>
      </c>
      <c r="E370" s="104">
        <f>'LF-Kaduna'!E116</f>
        <v>0</v>
      </c>
      <c r="F370" s="104">
        <f>'LF-Kaduna'!F116</f>
        <v>0</v>
      </c>
      <c r="G370" s="104">
        <f>'LF-Kaduna'!G116</f>
        <v>0</v>
      </c>
      <c r="H370" s="104">
        <f>'LF-Kaduna'!H116</f>
        <v>3</v>
      </c>
      <c r="I370" s="104">
        <f>'LF-Kaduna'!I116</f>
        <v>2</v>
      </c>
      <c r="J370" s="104">
        <f>'LF-Kaduna'!J116</f>
        <v>2</v>
      </c>
      <c r="K370" s="104">
        <f>'LF-Kaduna'!K116</f>
        <v>0</v>
      </c>
      <c r="L370" s="104">
        <f>'LF-Kaduna'!L116</f>
        <v>5</v>
      </c>
      <c r="M370" s="104">
        <f>'LF-Kaduna'!M116</f>
        <v>4</v>
      </c>
      <c r="N370" s="104">
        <f>'LF-Kaduna'!N116</f>
        <v>3</v>
      </c>
      <c r="O370" s="104">
        <f>'LF-Kaduna'!O116</f>
        <v>2</v>
      </c>
      <c r="P370" s="104">
        <f>'LF-Kaduna'!P116</f>
        <v>8</v>
      </c>
      <c r="Q370" s="104">
        <f>'LF-Kaduna'!Q116</f>
        <v>6</v>
      </c>
      <c r="R370" s="104">
        <f>'LF-Kaduna'!R116</f>
        <v>5</v>
      </c>
      <c r="S370" s="104">
        <f>'LF-Kaduna'!S116</f>
        <v>3</v>
      </c>
      <c r="T370" s="104">
        <f>'LF-Kaduna'!T116</f>
        <v>10</v>
      </c>
      <c r="U370" s="104">
        <f>'LF-Kaduna'!U116</f>
        <v>8</v>
      </c>
      <c r="V370" s="104">
        <f>'LF-Kaduna'!V116</f>
        <v>7</v>
      </c>
      <c r="W370" s="104">
        <f>'LF-Kaduna'!W116</f>
        <v>5</v>
      </c>
      <c r="X370" s="880"/>
    </row>
    <row r="371" spans="1:24" ht="13.5" thickBot="1">
      <c r="A371" s="885"/>
      <c r="B371" s="93" t="s">
        <v>152</v>
      </c>
      <c r="C371" s="9" t="s">
        <v>288</v>
      </c>
      <c r="D371" s="104">
        <f>'LF-Kano'!D116</f>
        <v>0</v>
      </c>
      <c r="E371" s="104">
        <f>'LF-Kano'!E116</f>
        <v>0</v>
      </c>
      <c r="F371" s="104">
        <f>'LF-Kano'!F116</f>
        <v>0</v>
      </c>
      <c r="G371" s="104">
        <f>'LF-Kano'!G116</f>
        <v>0</v>
      </c>
      <c r="H371" s="104">
        <f>'LF-Kano'!H116</f>
        <v>2</v>
      </c>
      <c r="I371" s="104">
        <f>'LF-Kano'!I116</f>
        <v>2</v>
      </c>
      <c r="J371" s="104">
        <f>'LF-Kano'!J116</f>
        <v>2</v>
      </c>
      <c r="K371" s="104">
        <f>'LF-Kano'!K116</f>
        <v>1</v>
      </c>
      <c r="L371" s="104">
        <f>'LF-Kano'!L116</f>
        <v>5</v>
      </c>
      <c r="M371" s="104">
        <f>'LF-Kano'!M116</f>
        <v>5</v>
      </c>
      <c r="N371" s="104">
        <f>'LF-Kano'!N116</f>
        <v>3</v>
      </c>
      <c r="O371" s="104">
        <f>'LF-Kano'!O116</f>
        <v>1</v>
      </c>
      <c r="P371" s="150">
        <f>'LF-Kano'!P116</f>
        <v>7</v>
      </c>
      <c r="Q371" s="150">
        <f>'LF-Kano'!Q116</f>
        <v>7</v>
      </c>
      <c r="R371" s="150">
        <f>'LF-Kano'!R116</f>
        <v>5</v>
      </c>
      <c r="S371" s="150">
        <f>'LF-Kano'!S116</f>
        <v>2</v>
      </c>
      <c r="T371" s="150">
        <f>'LF-Kano'!T116</f>
        <v>10</v>
      </c>
      <c r="U371" s="150">
        <f>'LF-Kano'!U116</f>
        <v>9</v>
      </c>
      <c r="V371" s="150">
        <f>'LF-Kano'!V116</f>
        <v>6</v>
      </c>
      <c r="W371" s="150">
        <f>'LF-Kano'!W116</f>
        <v>3</v>
      </c>
      <c r="X371" s="880"/>
    </row>
    <row r="372" spans="1:24" ht="13.5" thickBot="1">
      <c r="A372" s="885"/>
      <c r="B372" s="93"/>
      <c r="C372" s="9" t="s">
        <v>289</v>
      </c>
      <c r="D372" s="104">
        <f>'LF-Lagos'!D116</f>
        <v>0</v>
      </c>
      <c r="E372" s="104">
        <f>'LF-Lagos'!E116</f>
        <v>0</v>
      </c>
      <c r="F372" s="104">
        <f>'LF-Lagos'!F116</f>
        <v>0</v>
      </c>
      <c r="G372" s="104">
        <f>'LF-Lagos'!G116</f>
        <v>0</v>
      </c>
      <c r="H372" s="104">
        <f>'LF-Lagos'!H116</f>
        <v>3</v>
      </c>
      <c r="I372" s="104">
        <f>'LF-Lagos'!I116</f>
        <v>2</v>
      </c>
      <c r="J372" s="104">
        <f>'LF-Lagos'!J116</f>
        <v>1</v>
      </c>
      <c r="K372" s="104">
        <f>'LF-Lagos'!K116</f>
        <v>1</v>
      </c>
      <c r="L372" s="104">
        <f>'LF-Lagos'!L116</f>
        <v>5</v>
      </c>
      <c r="M372" s="104">
        <f>'LF-Lagos'!M116</f>
        <v>4</v>
      </c>
      <c r="N372" s="104">
        <f>'LF-Lagos'!N116</f>
        <v>3</v>
      </c>
      <c r="O372" s="104">
        <f>'LF-Lagos'!O116</f>
        <v>2</v>
      </c>
      <c r="P372" s="150">
        <f>'LF-Lagos'!P116</f>
        <v>7</v>
      </c>
      <c r="Q372" s="150">
        <f>'LF-Lagos'!Q116</f>
        <v>5</v>
      </c>
      <c r="R372" s="150">
        <f>'LF-Lagos'!R116</f>
        <v>4</v>
      </c>
      <c r="S372" s="150">
        <f>'LF-Lagos'!S116</f>
        <v>3</v>
      </c>
      <c r="T372" s="150">
        <f>'LF-Lagos'!T116</f>
        <v>8</v>
      </c>
      <c r="U372" s="150">
        <f>'LF-Lagos'!U116</f>
        <v>7</v>
      </c>
      <c r="V372" s="150">
        <f>'LF-Lagos'!V116</f>
        <v>6</v>
      </c>
      <c r="W372" s="150">
        <f>'LF-Lagos'!W116</f>
        <v>4</v>
      </c>
      <c r="X372" s="880"/>
    </row>
    <row r="373" spans="1:24" ht="13.5" thickBot="1">
      <c r="A373" s="885"/>
      <c r="B373" s="93"/>
      <c r="C373" s="9" t="s">
        <v>292</v>
      </c>
      <c r="D373" s="1051" t="s">
        <v>255</v>
      </c>
      <c r="E373" s="1052"/>
      <c r="F373" s="1052"/>
      <c r="G373" s="1053"/>
      <c r="H373" s="104">
        <f>'LF-Zamfara'!H116</f>
        <v>1</v>
      </c>
      <c r="I373" s="104">
        <f>'LF-Zamfara'!I116</f>
        <v>0</v>
      </c>
      <c r="J373" s="104">
        <f>'LF-Zamfara'!J116</f>
        <v>0</v>
      </c>
      <c r="K373" s="104">
        <f>'LF-Zamfara'!K116</f>
        <v>0</v>
      </c>
      <c r="L373" s="150">
        <f>'LF-Zamfara'!L116</f>
        <v>1</v>
      </c>
      <c r="M373" s="150">
        <f>'LF-Zamfara'!M116</f>
        <v>0</v>
      </c>
      <c r="N373" s="104">
        <f>'LF-Zamfara'!N116</f>
        <v>0</v>
      </c>
      <c r="O373" s="104">
        <f>'LF-Zamfara'!O116</f>
        <v>0</v>
      </c>
      <c r="P373" s="150">
        <f>'LF-Zamfara'!P116</f>
        <v>2</v>
      </c>
      <c r="Q373" s="150">
        <f>'LF-Zamfara'!Q116</f>
        <v>1</v>
      </c>
      <c r="R373" s="150">
        <f>'LF-Zamfara'!R116</f>
        <v>1</v>
      </c>
      <c r="S373" s="150">
        <f>'LF-Zamfara'!S116</f>
        <v>0</v>
      </c>
      <c r="T373" s="150">
        <f>'LF-Zamfara'!T116</f>
        <v>8</v>
      </c>
      <c r="U373" s="150">
        <f>'LF-Zamfara'!U116</f>
        <v>7</v>
      </c>
      <c r="V373" s="150">
        <f>'LF-Zamfara'!V116</f>
        <v>4</v>
      </c>
      <c r="W373" s="150">
        <f>'LF-Zamfara'!W116</f>
        <v>1</v>
      </c>
      <c r="X373" s="880"/>
    </row>
    <row r="374" spans="1:24" ht="13.5" thickBot="1">
      <c r="A374" s="885"/>
      <c r="B374" s="93"/>
      <c r="C374" s="9" t="s">
        <v>293</v>
      </c>
      <c r="D374" s="1051" t="s">
        <v>255</v>
      </c>
      <c r="E374" s="1052"/>
      <c r="F374" s="1052"/>
      <c r="G374" s="1053"/>
      <c r="H374" s="104">
        <f>'LF-Katsina'!H116</f>
        <v>0</v>
      </c>
      <c r="I374" s="104">
        <f>'LF-Katsina'!I116</f>
        <v>0</v>
      </c>
      <c r="J374" s="104">
        <f>'LF-Katsina'!J116</f>
        <v>0</v>
      </c>
      <c r="K374" s="104">
        <f>'LF-Katsina'!K116</f>
        <v>0</v>
      </c>
      <c r="L374" s="150">
        <f>'LF-Katsina'!L116</f>
        <v>3</v>
      </c>
      <c r="M374" s="150">
        <f>'LF-Katsina'!M116</f>
        <v>2</v>
      </c>
      <c r="N374" s="104">
        <f>'LF-Katsina'!N116</f>
        <v>0</v>
      </c>
      <c r="O374" s="104">
        <f>'LF-Katsina'!O116</f>
        <v>0</v>
      </c>
      <c r="P374" s="150">
        <f>'LF-Katsina'!P116</f>
        <v>3</v>
      </c>
      <c r="Q374" s="150">
        <f>'LF-Katsina'!Q116</f>
        <v>2</v>
      </c>
      <c r="R374" s="150">
        <f>'LF-Katsina'!R116</f>
        <v>0</v>
      </c>
      <c r="S374" s="150">
        <f>'LF-Katsina'!S116</f>
        <v>0</v>
      </c>
      <c r="T374" s="150">
        <f>'LF-Katsina'!T116</f>
        <v>7</v>
      </c>
      <c r="U374" s="150">
        <f>'LF-Katsina'!U116</f>
        <v>5</v>
      </c>
      <c r="V374" s="150">
        <f>'LF-Katsina'!V116</f>
        <v>4</v>
      </c>
      <c r="W374" s="150">
        <f>'LF-Katsina'!W116</f>
        <v>1</v>
      </c>
      <c r="X374" s="880"/>
    </row>
    <row r="375" spans="1:24" ht="13.5" thickBot="1">
      <c r="A375" s="885"/>
      <c r="B375" s="93"/>
      <c r="C375" s="9" t="s">
        <v>294</v>
      </c>
      <c r="D375" s="1051" t="s">
        <v>255</v>
      </c>
      <c r="E375" s="1052"/>
      <c r="F375" s="1052"/>
      <c r="G375" s="1053"/>
      <c r="H375" s="104">
        <f>'LF-Yobe'!H116</f>
        <v>0</v>
      </c>
      <c r="I375" s="104">
        <f>'LF-Yobe'!I116</f>
        <v>0</v>
      </c>
      <c r="J375" s="104">
        <f>'LF-Yobe'!J116</f>
        <v>0</v>
      </c>
      <c r="K375" s="104">
        <f>'LF-Yobe'!K116</f>
        <v>0</v>
      </c>
      <c r="L375" s="104">
        <f>'LF-Yobe'!L116</f>
        <v>0</v>
      </c>
      <c r="M375" s="104">
        <f>'LF-Yobe'!M116</f>
        <v>0</v>
      </c>
      <c r="N375" s="104">
        <f>'LF-Yobe'!N116</f>
        <v>0</v>
      </c>
      <c r="O375" s="104">
        <f>'LF-Yobe'!O116</f>
        <v>0</v>
      </c>
      <c r="P375" s="150">
        <f>'LF-Yobe'!P116</f>
        <v>2</v>
      </c>
      <c r="Q375" s="150">
        <f>'LF-Yobe'!Q116</f>
        <v>1</v>
      </c>
      <c r="R375" s="150">
        <f>'LF-Yobe'!R116</f>
        <v>0</v>
      </c>
      <c r="S375" s="150">
        <f>'LF-Yobe'!S116</f>
        <v>0</v>
      </c>
      <c r="T375" s="150">
        <f>'LF-Yobe'!T116</f>
        <v>8</v>
      </c>
      <c r="U375" s="150">
        <f>'LF-Yobe'!U116</f>
        <v>6</v>
      </c>
      <c r="V375" s="150">
        <f>'LF-Yobe'!V116</f>
        <v>1</v>
      </c>
      <c r="W375" s="150">
        <f>'LF-Yobe'!W116</f>
        <v>1</v>
      </c>
      <c r="X375" s="880"/>
    </row>
    <row r="376" spans="1:24" ht="12.95" customHeight="1" thickBot="1">
      <c r="A376" s="885"/>
      <c r="B376" s="93"/>
      <c r="C376" s="9" t="s">
        <v>290</v>
      </c>
      <c r="D376" s="1166"/>
      <c r="E376" s="1167"/>
      <c r="F376" s="1167"/>
      <c r="G376" s="1168"/>
      <c r="H376" s="1162"/>
      <c r="I376" s="1163"/>
      <c r="J376" s="1163"/>
      <c r="K376" s="1164"/>
      <c r="L376" s="1150" t="s">
        <v>909</v>
      </c>
      <c r="M376" s="1151"/>
      <c r="N376" s="1151"/>
      <c r="O376" s="1152"/>
      <c r="P376" s="104">
        <f>'LF-Anambra'!P116</f>
        <v>4</v>
      </c>
      <c r="Q376" s="104">
        <f>'LF-Anambra'!Q116</f>
        <v>3</v>
      </c>
      <c r="R376" s="104">
        <f>'LF-Anambra'!R116</f>
        <v>2</v>
      </c>
      <c r="S376" s="104">
        <f>'LF-Anambra'!S116</f>
        <v>0</v>
      </c>
      <c r="T376" s="104">
        <f>'LF-Anambra'!T116</f>
        <v>5</v>
      </c>
      <c r="U376" s="104">
        <f>'LF-Anambra'!U116</f>
        <v>4</v>
      </c>
      <c r="V376" s="104">
        <f>'LF-Anambra'!V116</f>
        <v>3</v>
      </c>
      <c r="W376" s="104">
        <f>'LF-Anambra'!W116</f>
        <v>0</v>
      </c>
      <c r="X376" s="880"/>
    </row>
    <row r="377" spans="1:24" ht="12.95" customHeight="1" thickBot="1">
      <c r="A377" s="885"/>
      <c r="B377" s="93"/>
      <c r="C377" s="9" t="s">
        <v>291</v>
      </c>
      <c r="D377" s="1166"/>
      <c r="E377" s="1167"/>
      <c r="F377" s="1167"/>
      <c r="G377" s="1168"/>
      <c r="H377" s="1162"/>
      <c r="I377" s="1163"/>
      <c r="J377" s="1163"/>
      <c r="K377" s="1164"/>
      <c r="L377" s="1150" t="s">
        <v>909</v>
      </c>
      <c r="M377" s="1151"/>
      <c r="N377" s="1151"/>
      <c r="O377" s="1152"/>
      <c r="P377" s="104">
        <f>'LF-Niger'!P116</f>
        <v>2</v>
      </c>
      <c r="Q377" s="104">
        <f>'LF-Niger'!Q116</f>
        <v>1</v>
      </c>
      <c r="R377" s="104">
        <f>'LF-Niger'!R116</f>
        <v>0</v>
      </c>
      <c r="S377" s="104">
        <f>'LF-Niger'!S116</f>
        <v>0</v>
      </c>
      <c r="T377" s="104">
        <f>'LF-Niger'!T116</f>
        <v>4</v>
      </c>
      <c r="U377" s="104">
        <f>'LF-Niger'!U116</f>
        <v>3</v>
      </c>
      <c r="V377" s="104">
        <f>'LF-Niger'!V116</f>
        <v>1</v>
      </c>
      <c r="W377" s="104">
        <f>'LF-Niger'!W116</f>
        <v>0</v>
      </c>
      <c r="X377" s="880"/>
    </row>
    <row r="378" spans="1:24" ht="13.5" thickBot="1">
      <c r="A378" s="885"/>
      <c r="B378" s="93"/>
      <c r="C378" s="100" t="s">
        <v>295</v>
      </c>
      <c r="D378" s="1003" t="s">
        <v>172</v>
      </c>
      <c r="E378" s="1004"/>
      <c r="F378" s="1004"/>
      <c r="G378" s="1005"/>
      <c r="H378" s="1054"/>
      <c r="I378" s="1055"/>
      <c r="J378" s="1055"/>
      <c r="K378" s="1056"/>
      <c r="L378" s="105">
        <f>'LF-Enugu'!L117</f>
        <v>5</v>
      </c>
      <c r="M378" s="105">
        <f>'LF-Enugu'!M117</f>
        <v>4</v>
      </c>
      <c r="N378" s="105">
        <f>'LF-Enugu'!N117</f>
        <v>3</v>
      </c>
      <c r="O378" s="105">
        <f>'LF-Enugu'!O117</f>
        <v>0</v>
      </c>
      <c r="P378" s="105">
        <f>'LF-Enugu'!P117</f>
        <v>7</v>
      </c>
      <c r="Q378" s="105">
        <f>'LF-Enugu'!Q117</f>
        <v>1</v>
      </c>
      <c r="R378" s="105">
        <f>'LF-Enugu'!R117</f>
        <v>1</v>
      </c>
      <c r="S378" s="105">
        <f>'LF-Enugu'!S117</f>
        <v>0</v>
      </c>
      <c r="T378" s="105">
        <f>'LF-Enugu'!T117</f>
        <v>0</v>
      </c>
      <c r="U378" s="105">
        <f>'LF-Enugu'!U117</f>
        <v>0</v>
      </c>
      <c r="V378" s="105">
        <f>'LF-Enugu'!V117</f>
        <v>0</v>
      </c>
      <c r="W378" s="105">
        <f>'LF-Enugu'!W117</f>
        <v>0</v>
      </c>
      <c r="X378" s="880"/>
    </row>
    <row r="379" spans="1:24" ht="13.5" thickBot="1">
      <c r="A379" s="885"/>
      <c r="B379" s="93"/>
      <c r="C379" s="100" t="s">
        <v>296</v>
      </c>
      <c r="D379" s="1003" t="s">
        <v>417</v>
      </c>
      <c r="E379" s="1004"/>
      <c r="F379" s="1004"/>
      <c r="G379" s="1005"/>
      <c r="H379" s="1054"/>
      <c r="I379" s="1055"/>
      <c r="J379" s="1055"/>
      <c r="K379" s="1056"/>
      <c r="L379" s="105">
        <f>'LF-Jigawa'!L117</f>
        <v>7</v>
      </c>
      <c r="M379" s="105">
        <f>'LF-Jigawa'!M117</f>
        <v>6</v>
      </c>
      <c r="N379" s="105">
        <f>'LF-Jigawa'!N117</f>
        <v>4</v>
      </c>
      <c r="O379" s="105">
        <f>'LF-Jigawa'!O117</f>
        <v>0</v>
      </c>
      <c r="P379" s="105">
        <f>'LF-Jigawa'!P117</f>
        <v>8</v>
      </c>
      <c r="Q379" s="105">
        <f>'LF-Jigawa'!Q117</f>
        <v>4</v>
      </c>
      <c r="R379" s="105">
        <f>'LF-Jigawa'!R117</f>
        <v>1</v>
      </c>
      <c r="S379" s="105">
        <f>'LF-Jigawa'!S117</f>
        <v>0</v>
      </c>
      <c r="T379" s="105">
        <f>'LF-Jigawa'!T117</f>
        <v>0</v>
      </c>
      <c r="U379" s="105">
        <f>'LF-Jigawa'!U117</f>
        <v>0</v>
      </c>
      <c r="V379" s="105">
        <f>'LF-Jigawa'!V117</f>
        <v>0</v>
      </c>
      <c r="W379" s="105">
        <f>'LF-Jigawa'!W117</f>
        <v>0</v>
      </c>
      <c r="X379" s="880"/>
    </row>
    <row r="380" spans="1:24" ht="13.5" thickBot="1">
      <c r="A380" s="885"/>
      <c r="B380" s="93"/>
      <c r="C380" s="100" t="s">
        <v>297</v>
      </c>
      <c r="D380" s="1054"/>
      <c r="E380" s="1055"/>
      <c r="F380" s="1055"/>
      <c r="G380" s="1056"/>
      <c r="H380" s="1054"/>
      <c r="I380" s="1055"/>
      <c r="J380" s="1055"/>
      <c r="K380" s="1056"/>
      <c r="L380" s="105">
        <f>'LF-Kaduna'!L117</f>
        <v>4</v>
      </c>
      <c r="M380" s="105">
        <f>'LF-Kaduna'!M117</f>
        <v>4</v>
      </c>
      <c r="N380" s="105">
        <f>'LF-Kaduna'!N117</f>
        <v>4</v>
      </c>
      <c r="O380" s="105">
        <f>'LF-Kaduna'!O117</f>
        <v>4</v>
      </c>
      <c r="P380" s="105">
        <f>'LF-Kaduna'!P117</f>
        <v>7</v>
      </c>
      <c r="Q380" s="105">
        <f>'LF-Kaduna'!Q117</f>
        <v>6</v>
      </c>
      <c r="R380" s="105">
        <f>'LF-Kaduna'!R117</f>
        <v>6</v>
      </c>
      <c r="S380" s="105">
        <f>'LF-Kaduna'!S117</f>
        <v>6</v>
      </c>
      <c r="T380" s="105">
        <f>'LF-Kaduna'!T117</f>
        <v>0</v>
      </c>
      <c r="U380" s="105">
        <f>'LF-Kaduna'!U117</f>
        <v>0</v>
      </c>
      <c r="V380" s="105">
        <f>'LF-Kaduna'!V117</f>
        <v>0</v>
      </c>
      <c r="W380" s="105">
        <f>'LF-Kaduna'!W117</f>
        <v>0</v>
      </c>
      <c r="X380" s="880"/>
    </row>
    <row r="381" spans="1:24" ht="13.5" thickBot="1">
      <c r="A381" s="885"/>
      <c r="B381" s="93"/>
      <c r="C381" s="100" t="s">
        <v>298</v>
      </c>
      <c r="D381" s="1054"/>
      <c r="E381" s="1055"/>
      <c r="F381" s="1055"/>
      <c r="G381" s="1056"/>
      <c r="H381" s="1054"/>
      <c r="I381" s="1055"/>
      <c r="J381" s="1055"/>
      <c r="K381" s="1056"/>
      <c r="L381" s="105">
        <f>'LF-Kano'!L117</f>
        <v>3</v>
      </c>
      <c r="M381" s="105">
        <f>'LF-Kano'!M117</f>
        <v>3</v>
      </c>
      <c r="N381" s="105">
        <f>'LF-Kano'!N117</f>
        <v>3</v>
      </c>
      <c r="O381" s="105">
        <f>'LF-Kano'!O117</f>
        <v>0</v>
      </c>
      <c r="P381" s="105">
        <f>'LF-Kano'!P117</f>
        <v>6</v>
      </c>
      <c r="Q381" s="105">
        <f>'LF-Kano'!Q117</f>
        <v>6</v>
      </c>
      <c r="R381" s="105">
        <f>'LF-Kano'!R117</f>
        <v>5</v>
      </c>
      <c r="S381" s="105">
        <f>'LF-Kano'!S117</f>
        <v>2</v>
      </c>
      <c r="T381" s="105">
        <f>'LF-Kano'!T117</f>
        <v>0</v>
      </c>
      <c r="U381" s="105">
        <f>'LF-Kano'!U117</f>
        <v>0</v>
      </c>
      <c r="V381" s="105">
        <f>'LF-Kano'!V117</f>
        <v>0</v>
      </c>
      <c r="W381" s="105">
        <f>'LF-Kano'!W117</f>
        <v>0</v>
      </c>
      <c r="X381" s="880"/>
    </row>
    <row r="382" spans="1:24" ht="13.5" thickBot="1">
      <c r="A382" s="885"/>
      <c r="B382" s="93"/>
      <c r="C382" s="100" t="s">
        <v>299</v>
      </c>
      <c r="D382" s="1054"/>
      <c r="E382" s="1055"/>
      <c r="F382" s="1055"/>
      <c r="G382" s="1056"/>
      <c r="H382" s="1054"/>
      <c r="I382" s="1055"/>
      <c r="J382" s="1055"/>
      <c r="K382" s="1056"/>
      <c r="L382" s="105">
        <f>'LF-Lagos'!L117</f>
        <v>4</v>
      </c>
      <c r="M382" s="105">
        <f>'LF-Lagos'!M117</f>
        <v>4</v>
      </c>
      <c r="N382" s="105">
        <f>'LF-Lagos'!N117</f>
        <v>3</v>
      </c>
      <c r="O382" s="105">
        <f>'LF-Lagos'!O117</f>
        <v>3</v>
      </c>
      <c r="P382" s="105">
        <f>'LF-Lagos'!P117</f>
        <v>9</v>
      </c>
      <c r="Q382" s="105">
        <f>'LF-Lagos'!Q117</f>
        <v>6</v>
      </c>
      <c r="R382" s="105">
        <f>'LF-Lagos'!R117</f>
        <v>5</v>
      </c>
      <c r="S382" s="105">
        <f>'LF-Lagos'!S117</f>
        <v>0</v>
      </c>
      <c r="T382" s="105">
        <f>'LF-Lagos'!T117</f>
        <v>0</v>
      </c>
      <c r="U382" s="105">
        <f>'LF-Lagos'!U117</f>
        <v>0</v>
      </c>
      <c r="V382" s="105">
        <f>'LF-Lagos'!V117</f>
        <v>0</v>
      </c>
      <c r="W382" s="105">
        <f>'LF-Lagos'!W117</f>
        <v>0</v>
      </c>
      <c r="X382" s="880"/>
    </row>
    <row r="383" spans="1:24" ht="24.75" thickBot="1">
      <c r="A383" s="885"/>
      <c r="B383" s="93"/>
      <c r="C383" s="100" t="s">
        <v>300</v>
      </c>
      <c r="D383" s="1054"/>
      <c r="E383" s="1055"/>
      <c r="F383" s="1055"/>
      <c r="G383" s="1056"/>
      <c r="H383" s="1054"/>
      <c r="I383" s="1055"/>
      <c r="J383" s="1055"/>
      <c r="K383" s="1056"/>
      <c r="L383" s="105">
        <f>'LF-Zamfara'!L117</f>
        <v>1</v>
      </c>
      <c r="M383" s="105">
        <f>'LF-Zamfara'!M117</f>
        <v>0</v>
      </c>
      <c r="N383" s="105">
        <f>'LF-Zamfara'!N117</f>
        <v>0</v>
      </c>
      <c r="O383" s="105">
        <f>'LF-Zamfara'!O117</f>
        <v>0</v>
      </c>
      <c r="P383" s="105">
        <f>'LF-Zamfara'!P117</f>
        <v>0</v>
      </c>
      <c r="Q383" s="105">
        <f>'LF-Zamfara'!Q117</f>
        <v>0</v>
      </c>
      <c r="R383" s="105">
        <f>'LF-Zamfara'!R117</f>
        <v>0</v>
      </c>
      <c r="S383" s="105">
        <f>'LF-Zamfara'!S117</f>
        <v>0</v>
      </c>
      <c r="T383" s="105">
        <f>'LF-Zamfara'!T117</f>
        <v>0</v>
      </c>
      <c r="U383" s="105">
        <f>'LF-Zamfara'!U117</f>
        <v>0</v>
      </c>
      <c r="V383" s="105">
        <f>'LF-Zamfara'!V117</f>
        <v>0</v>
      </c>
      <c r="W383" s="105">
        <f>'LF-Zamfara'!W117</f>
        <v>0</v>
      </c>
      <c r="X383" s="880"/>
    </row>
    <row r="384" spans="1:24" ht="13.5" thickBot="1">
      <c r="A384" s="885"/>
      <c r="B384" s="93"/>
      <c r="C384" s="100" t="s">
        <v>301</v>
      </c>
      <c r="D384" s="1054"/>
      <c r="E384" s="1055"/>
      <c r="F384" s="1055"/>
      <c r="G384" s="1056"/>
      <c r="H384" s="1054"/>
      <c r="I384" s="1055"/>
      <c r="J384" s="1055"/>
      <c r="K384" s="1056"/>
      <c r="L384" s="105">
        <f>'LF-Katsina'!L117</f>
        <v>0</v>
      </c>
      <c r="M384" s="105">
        <f>'LF-Katsina'!M117</f>
        <v>0</v>
      </c>
      <c r="N384" s="105">
        <f>'LF-Katsina'!N117</f>
        <v>0</v>
      </c>
      <c r="O384" s="105">
        <f>'LF-Katsina'!O117</f>
        <v>0</v>
      </c>
      <c r="P384" s="105">
        <f>'LF-Katsina'!P117</f>
        <v>2</v>
      </c>
      <c r="Q384" s="105">
        <f>'LF-Katsina'!Q117</f>
        <v>2</v>
      </c>
      <c r="R384" s="105">
        <f>'LF-Katsina'!R117</f>
        <v>2</v>
      </c>
      <c r="S384" s="105">
        <f>'LF-Katsina'!S117</f>
        <v>0</v>
      </c>
      <c r="T384" s="105">
        <f>'LF-Katsina'!T117</f>
        <v>0</v>
      </c>
      <c r="U384" s="105">
        <f>'LF-Katsina'!U117</f>
        <v>0</v>
      </c>
      <c r="V384" s="105">
        <f>'LF-Katsina'!V117</f>
        <v>0</v>
      </c>
      <c r="W384" s="105">
        <f>'LF-Katsina'!W117</f>
        <v>0</v>
      </c>
      <c r="X384" s="880"/>
    </row>
    <row r="385" spans="1:24" ht="13.5" thickBot="1">
      <c r="A385" s="885"/>
      <c r="B385" s="93"/>
      <c r="C385" s="100" t="s">
        <v>302</v>
      </c>
      <c r="D385" s="1054"/>
      <c r="E385" s="1055"/>
      <c r="F385" s="1055"/>
      <c r="G385" s="1056"/>
      <c r="H385" s="1054"/>
      <c r="I385" s="1055"/>
      <c r="J385" s="1055"/>
      <c r="K385" s="1056"/>
      <c r="L385" s="105">
        <f>'LF-Yobe'!L117</f>
        <v>0</v>
      </c>
      <c r="M385" s="105">
        <f>'LF-Yobe'!M117</f>
        <v>0</v>
      </c>
      <c r="N385" s="105">
        <f>'LF-Yobe'!N117</f>
        <v>0</v>
      </c>
      <c r="O385" s="105">
        <f>'LF-Yobe'!O117</f>
        <v>0</v>
      </c>
      <c r="P385" s="105">
        <f>'LF-Yobe'!P117</f>
        <v>5</v>
      </c>
      <c r="Q385" s="105">
        <f>'LF-Yobe'!Q117</f>
        <v>2</v>
      </c>
      <c r="R385" s="105">
        <f>'LF-Yobe'!R117</f>
        <v>0</v>
      </c>
      <c r="S385" s="105">
        <f>'LF-Yobe'!S117</f>
        <v>0</v>
      </c>
      <c r="T385" s="105">
        <f>'LF-Yobe'!T117</f>
        <v>0</v>
      </c>
      <c r="U385" s="105">
        <f>'LF-Yobe'!U117</f>
        <v>0</v>
      </c>
      <c r="V385" s="105">
        <f>'LF-Yobe'!V117</f>
        <v>0</v>
      </c>
      <c r="W385" s="105">
        <f>'LF-Yobe'!W117</f>
        <v>0</v>
      </c>
      <c r="X385" s="880"/>
    </row>
    <row r="386" spans="1:24" ht="24.75" thickBot="1">
      <c r="A386" s="885"/>
      <c r="B386" s="93"/>
      <c r="C386" s="100" t="s">
        <v>303</v>
      </c>
      <c r="D386" s="1054"/>
      <c r="E386" s="1055"/>
      <c r="F386" s="1055"/>
      <c r="G386" s="1056"/>
      <c r="H386" s="1054"/>
      <c r="I386" s="1055"/>
      <c r="J386" s="1055"/>
      <c r="K386" s="1056"/>
      <c r="L386" s="1054"/>
      <c r="M386" s="1055"/>
      <c r="N386" s="1055"/>
      <c r="O386" s="1056"/>
      <c r="P386" s="1054"/>
      <c r="Q386" s="1055"/>
      <c r="R386" s="1055"/>
      <c r="S386" s="1056"/>
      <c r="T386" s="105">
        <f>'LF-Anambra'!T117</f>
        <v>0</v>
      </c>
      <c r="U386" s="105">
        <f>'LF-Anambra'!U117</f>
        <v>0</v>
      </c>
      <c r="V386" s="105">
        <f>'LF-Anambra'!V117</f>
        <v>0</v>
      </c>
      <c r="W386" s="105">
        <f>'LF-Anambra'!W117</f>
        <v>0</v>
      </c>
      <c r="X386" s="880"/>
    </row>
    <row r="387" spans="1:24" ht="13.5" thickBot="1">
      <c r="A387" s="885"/>
      <c r="B387" s="93"/>
      <c r="C387" s="100" t="s">
        <v>304</v>
      </c>
      <c r="D387" s="1054"/>
      <c r="E387" s="1055"/>
      <c r="F387" s="1055"/>
      <c r="G387" s="1056"/>
      <c r="H387" s="1054"/>
      <c r="I387" s="1055"/>
      <c r="J387" s="1055"/>
      <c r="K387" s="1056"/>
      <c r="L387" s="1054"/>
      <c r="M387" s="1055"/>
      <c r="N387" s="1055"/>
      <c r="O387" s="1056"/>
      <c r="P387" s="1054"/>
      <c r="Q387" s="1055"/>
      <c r="R387" s="1055"/>
      <c r="S387" s="1056"/>
      <c r="T387" s="105">
        <f>'LF-Niger'!T117</f>
        <v>0</v>
      </c>
      <c r="U387" s="105">
        <f>'LF-Niger'!U117</f>
        <v>0</v>
      </c>
      <c r="V387" s="105">
        <f>'LF-Niger'!V117</f>
        <v>0</v>
      </c>
      <c r="W387" s="105">
        <f>'LF-Niger'!W117</f>
        <v>0</v>
      </c>
      <c r="X387" s="880"/>
    </row>
    <row r="388" spans="1:24" ht="13.5" thickBot="1">
      <c r="A388" s="885"/>
      <c r="B388" s="93"/>
      <c r="C388" s="922" t="s">
        <v>413</v>
      </c>
      <c r="D388" s="927" t="s">
        <v>4</v>
      </c>
      <c r="E388" s="928"/>
      <c r="F388" s="928"/>
      <c r="G388" s="928"/>
      <c r="H388" s="928"/>
      <c r="I388" s="928"/>
      <c r="J388" s="928"/>
      <c r="K388" s="928"/>
      <c r="L388" s="928"/>
      <c r="M388" s="928"/>
      <c r="N388" s="928"/>
      <c r="O388" s="928"/>
      <c r="P388" s="928"/>
      <c r="Q388" s="928"/>
      <c r="R388" s="928"/>
      <c r="S388" s="928"/>
      <c r="T388" s="928"/>
      <c r="U388" s="928"/>
      <c r="V388" s="928"/>
      <c r="W388" s="929"/>
      <c r="X388" s="880"/>
    </row>
    <row r="389" spans="1:24" ht="13.5" thickBot="1">
      <c r="A389" s="885"/>
      <c r="B389" s="94"/>
      <c r="C389" s="923"/>
      <c r="D389" s="930" t="s">
        <v>420</v>
      </c>
      <c r="E389" s="931"/>
      <c r="F389" s="931"/>
      <c r="G389" s="931"/>
      <c r="H389" s="931"/>
      <c r="I389" s="931"/>
      <c r="J389" s="931"/>
      <c r="K389" s="931"/>
      <c r="L389" s="931"/>
      <c r="M389" s="931"/>
      <c r="N389" s="931"/>
      <c r="O389" s="931"/>
      <c r="P389" s="931"/>
      <c r="Q389" s="931"/>
      <c r="R389" s="931"/>
      <c r="S389" s="931"/>
      <c r="T389" s="931"/>
      <c r="U389" s="931"/>
      <c r="V389" s="931"/>
      <c r="W389" s="932"/>
      <c r="X389" s="880"/>
    </row>
    <row r="390" spans="1:24" ht="13.5" thickBot="1">
      <c r="A390" s="885"/>
      <c r="B390" s="92" t="s">
        <v>31</v>
      </c>
      <c r="C390" s="12"/>
      <c r="D390" s="927" t="s">
        <v>78</v>
      </c>
      <c r="E390" s="928"/>
      <c r="F390" s="928"/>
      <c r="G390" s="929"/>
      <c r="H390" s="927" t="s">
        <v>77</v>
      </c>
      <c r="I390" s="928"/>
      <c r="J390" s="928"/>
      <c r="K390" s="929"/>
      <c r="L390" s="927" t="s">
        <v>81</v>
      </c>
      <c r="M390" s="928"/>
      <c r="N390" s="928"/>
      <c r="O390" s="929"/>
      <c r="P390" s="927" t="s">
        <v>254</v>
      </c>
      <c r="Q390" s="928"/>
      <c r="R390" s="928"/>
      <c r="S390" s="929"/>
      <c r="T390" s="927" t="s">
        <v>76</v>
      </c>
      <c r="U390" s="928"/>
      <c r="V390" s="928"/>
      <c r="W390" s="929"/>
      <c r="X390" s="880"/>
    </row>
    <row r="391" spans="1:24" ht="18" customHeight="1" thickBot="1">
      <c r="A391" s="971"/>
      <c r="B391" s="868" t="s">
        <v>421</v>
      </c>
      <c r="C391" s="23"/>
      <c r="D391" s="955" t="s">
        <v>418</v>
      </c>
      <c r="E391" s="956"/>
      <c r="F391" s="955" t="s">
        <v>419</v>
      </c>
      <c r="G391" s="956"/>
      <c r="H391" s="955" t="s">
        <v>418</v>
      </c>
      <c r="I391" s="956"/>
      <c r="J391" s="955" t="s">
        <v>419</v>
      </c>
      <c r="K391" s="956"/>
      <c r="L391" s="955" t="s">
        <v>418</v>
      </c>
      <c r="M391" s="956"/>
      <c r="N391" s="955" t="s">
        <v>419</v>
      </c>
      <c r="O391" s="956"/>
      <c r="P391" s="955" t="s">
        <v>418</v>
      </c>
      <c r="Q391" s="956"/>
      <c r="R391" s="955" t="s">
        <v>419</v>
      </c>
      <c r="S391" s="956"/>
      <c r="T391" s="955" t="s">
        <v>418</v>
      </c>
      <c r="U391" s="956"/>
      <c r="V391" s="955" t="s">
        <v>419</v>
      </c>
      <c r="W391" s="956"/>
      <c r="X391" s="880"/>
    </row>
    <row r="392" spans="1:24" ht="13.5" thickBot="1">
      <c r="A392" s="971"/>
      <c r="B392" s="885"/>
      <c r="C392" s="9" t="s">
        <v>285</v>
      </c>
      <c r="D392" s="933" t="s">
        <v>172</v>
      </c>
      <c r="E392" s="934"/>
      <c r="F392" s="934"/>
      <c r="G392" s="935"/>
      <c r="H392" s="966" t="s">
        <v>248</v>
      </c>
      <c r="I392" s="967"/>
      <c r="J392" s="967"/>
      <c r="K392" s="968"/>
      <c r="L392" s="954">
        <f>'LF-Enugu'!L122:M122</f>
        <v>60</v>
      </c>
      <c r="M392" s="953"/>
      <c r="N392" s="954">
        <f>'LF-Enugu'!N122:O122</f>
        <v>50</v>
      </c>
      <c r="O392" s="953"/>
      <c r="P392" s="954">
        <f>'LF-Enugu'!P122:Q122</f>
        <v>70</v>
      </c>
      <c r="Q392" s="953"/>
      <c r="R392" s="954">
        <f>'LF-Enugu'!R122:S122</f>
        <v>55</v>
      </c>
      <c r="S392" s="953"/>
      <c r="T392" s="954">
        <f>'LF-Enugu'!T122:U122</f>
        <v>70</v>
      </c>
      <c r="U392" s="953"/>
      <c r="V392" s="954">
        <f>'LF-Enugu'!V122:W122</f>
        <v>80</v>
      </c>
      <c r="W392" s="953"/>
      <c r="X392" s="880"/>
    </row>
    <row r="393" spans="1:24" ht="13.5" thickBot="1">
      <c r="A393" s="971"/>
      <c r="B393" s="885"/>
      <c r="C393" s="9" t="s">
        <v>286</v>
      </c>
      <c r="D393" s="957"/>
      <c r="E393" s="958"/>
      <c r="F393" s="958"/>
      <c r="G393" s="959"/>
      <c r="H393" s="966" t="s">
        <v>248</v>
      </c>
      <c r="I393" s="967"/>
      <c r="J393" s="967"/>
      <c r="K393" s="968"/>
      <c r="L393" s="954">
        <f>'LF-Jigawa'!L122:M122</f>
        <v>69</v>
      </c>
      <c r="M393" s="953"/>
      <c r="N393" s="954">
        <f>'LF-Jigawa'!N122:O122</f>
        <v>48</v>
      </c>
      <c r="O393" s="953"/>
      <c r="P393" s="954">
        <f>'LF-Jigawa'!P122:Q122</f>
        <v>75</v>
      </c>
      <c r="Q393" s="953"/>
      <c r="R393" s="954">
        <f>'LF-Jigawa'!R122:S122</f>
        <v>49</v>
      </c>
      <c r="S393" s="953"/>
      <c r="T393" s="954">
        <f>'LF-Jigawa'!T122:U122</f>
        <v>75</v>
      </c>
      <c r="U393" s="953"/>
      <c r="V393" s="954">
        <f>'LF-Jigawa'!V122:W122</f>
        <v>75</v>
      </c>
      <c r="W393" s="953"/>
      <c r="X393" s="880"/>
    </row>
    <row r="394" spans="1:24" ht="13.5" thickBot="1">
      <c r="A394" s="971"/>
      <c r="B394" s="885"/>
      <c r="C394" s="9" t="s">
        <v>287</v>
      </c>
      <c r="D394" s="957"/>
      <c r="E394" s="958"/>
      <c r="F394" s="958"/>
      <c r="G394" s="959"/>
      <c r="H394" s="966" t="s">
        <v>248</v>
      </c>
      <c r="I394" s="967"/>
      <c r="J394" s="967"/>
      <c r="K394" s="968"/>
      <c r="L394" s="954">
        <f>'LF-Kaduna'!L122:M122</f>
        <v>50</v>
      </c>
      <c r="M394" s="953"/>
      <c r="N394" s="954">
        <f>'LF-Kaduna'!N122:O122</f>
        <v>10</v>
      </c>
      <c r="O394" s="953"/>
      <c r="P394" s="954">
        <f>'LF-Kaduna'!P122:Q122</f>
        <v>70</v>
      </c>
      <c r="Q394" s="953"/>
      <c r="R394" s="954">
        <f>'LF-Kaduna'!R122:S122</f>
        <v>15</v>
      </c>
      <c r="S394" s="953"/>
      <c r="T394" s="954">
        <f>'LF-Kaduna'!T122:U122</f>
        <v>80</v>
      </c>
      <c r="U394" s="953"/>
      <c r="V394" s="954">
        <f>'LF-Kaduna'!V122:W122</f>
        <v>40</v>
      </c>
      <c r="W394" s="953"/>
      <c r="X394" s="880"/>
    </row>
    <row r="395" spans="1:24" ht="13.5" thickBot="1">
      <c r="A395" s="971"/>
      <c r="B395" s="93" t="s">
        <v>179</v>
      </c>
      <c r="C395" s="9" t="s">
        <v>288</v>
      </c>
      <c r="D395" s="957"/>
      <c r="E395" s="958"/>
      <c r="F395" s="958"/>
      <c r="G395" s="959"/>
      <c r="H395" s="966" t="s">
        <v>248</v>
      </c>
      <c r="I395" s="967"/>
      <c r="J395" s="967"/>
      <c r="K395" s="968"/>
      <c r="L395" s="954">
        <f>'LF-Kano'!L122:M122</f>
        <v>50</v>
      </c>
      <c r="M395" s="953"/>
      <c r="N395" s="954">
        <f>'LF-Kano'!N122:O122</f>
        <v>55</v>
      </c>
      <c r="O395" s="953"/>
      <c r="P395" s="954">
        <f>'LF-Kano'!P122:Q122</f>
        <v>70</v>
      </c>
      <c r="Q395" s="953"/>
      <c r="R395" s="954">
        <f>'LF-Kano'!R122:S122</f>
        <v>60</v>
      </c>
      <c r="S395" s="953"/>
      <c r="T395" s="954">
        <f>'LF-Kano'!T122:U122</f>
        <v>80</v>
      </c>
      <c r="U395" s="953"/>
      <c r="V395" s="954">
        <f>'LF-Kano'!V122:W122</f>
        <v>85</v>
      </c>
      <c r="W395" s="953"/>
      <c r="X395" s="880"/>
    </row>
    <row r="396" spans="1:24" ht="13.5" thickBot="1">
      <c r="A396" s="971"/>
      <c r="B396" s="93"/>
      <c r="C396" s="9" t="s">
        <v>289</v>
      </c>
      <c r="D396" s="957"/>
      <c r="E396" s="958"/>
      <c r="F396" s="958"/>
      <c r="G396" s="959"/>
      <c r="H396" s="966" t="s">
        <v>248</v>
      </c>
      <c r="I396" s="967"/>
      <c r="J396" s="967"/>
      <c r="K396" s="968"/>
      <c r="L396" s="954">
        <f>'LF-Lagos'!L122:M122</f>
        <v>20</v>
      </c>
      <c r="M396" s="953"/>
      <c r="N396" s="954">
        <f>'LF-Lagos'!N122:O122</f>
        <v>20</v>
      </c>
      <c r="O396" s="953"/>
      <c r="P396" s="954">
        <f>'LF-Lagos'!P122:Q122</f>
        <v>30</v>
      </c>
      <c r="Q396" s="953"/>
      <c r="R396" s="954">
        <f>'LF-Lagos'!R122:S122</f>
        <v>20</v>
      </c>
      <c r="S396" s="953"/>
      <c r="T396" s="954">
        <f>'LF-Lagos'!T122:U122</f>
        <v>80</v>
      </c>
      <c r="U396" s="953"/>
      <c r="V396" s="954">
        <f>'LF-Lagos'!V122:W122</f>
        <v>65</v>
      </c>
      <c r="W396" s="953"/>
      <c r="X396" s="880"/>
    </row>
    <row r="397" spans="1:24" ht="13.5" thickBot="1">
      <c r="A397" s="971"/>
      <c r="B397" s="93"/>
      <c r="C397" s="9" t="s">
        <v>292</v>
      </c>
      <c r="D397" s="957"/>
      <c r="E397" s="958"/>
      <c r="F397" s="958"/>
      <c r="G397" s="959"/>
      <c r="H397" s="966" t="s">
        <v>248</v>
      </c>
      <c r="I397" s="967"/>
      <c r="J397" s="967"/>
      <c r="K397" s="968"/>
      <c r="L397" s="954">
        <f>'LF-Zamfara'!L122:M122</f>
        <v>20</v>
      </c>
      <c r="M397" s="953"/>
      <c r="N397" s="954">
        <f>'LF-Zamfara'!N122:O122</f>
        <v>5</v>
      </c>
      <c r="O397" s="953"/>
      <c r="P397" s="954">
        <f>'LF-Zamfara'!P122:Q122</f>
        <v>25</v>
      </c>
      <c r="Q397" s="953"/>
      <c r="R397" s="954">
        <f>'LF-Zamfara'!R122:S122</f>
        <v>10</v>
      </c>
      <c r="S397" s="953"/>
      <c r="T397" s="954">
        <f>'LF-Zamfara'!T122:U122</f>
        <v>75</v>
      </c>
      <c r="U397" s="953"/>
      <c r="V397" s="954">
        <f>'LF-Zamfara'!V122:W122</f>
        <v>40</v>
      </c>
      <c r="W397" s="953"/>
      <c r="X397" s="880"/>
    </row>
    <row r="398" spans="1:24" ht="13.5" thickBot="1">
      <c r="A398" s="971"/>
      <c r="B398" s="93"/>
      <c r="C398" s="9" t="s">
        <v>293</v>
      </c>
      <c r="D398" s="957"/>
      <c r="E398" s="958"/>
      <c r="F398" s="958"/>
      <c r="G398" s="959"/>
      <c r="H398" s="966" t="s">
        <v>248</v>
      </c>
      <c r="I398" s="967"/>
      <c r="J398" s="967"/>
      <c r="K398" s="968"/>
      <c r="L398" s="954">
        <f>'LF-Katsina'!L122:M122</f>
        <v>25</v>
      </c>
      <c r="M398" s="953"/>
      <c r="N398" s="954">
        <f>'LF-Katsina'!N122:O122</f>
        <v>32</v>
      </c>
      <c r="O398" s="953"/>
      <c r="P398" s="954">
        <f>'LF-Katsina'!P122:Q122</f>
        <v>50</v>
      </c>
      <c r="Q398" s="953"/>
      <c r="R398" s="954">
        <f>'LF-Katsina'!R122:S122</f>
        <v>45</v>
      </c>
      <c r="S398" s="953"/>
      <c r="T398" s="954">
        <f>'LF-Katsina'!T122:U122</f>
        <v>75</v>
      </c>
      <c r="U398" s="953"/>
      <c r="V398" s="954">
        <f>'LF-Katsina'!V122:W122</f>
        <v>65</v>
      </c>
      <c r="W398" s="953"/>
      <c r="X398" s="880"/>
    </row>
    <row r="399" spans="1:24" ht="13.5" thickBot="1">
      <c r="A399" s="971"/>
      <c r="B399" s="93"/>
      <c r="C399" s="9" t="s">
        <v>294</v>
      </c>
      <c r="D399" s="957"/>
      <c r="E399" s="958"/>
      <c r="F399" s="958"/>
      <c r="G399" s="959"/>
      <c r="H399" s="966" t="s">
        <v>248</v>
      </c>
      <c r="I399" s="967"/>
      <c r="J399" s="967"/>
      <c r="K399" s="968"/>
      <c r="L399" s="951">
        <f>'LF-Yobe'!L122:M122</f>
        <v>40</v>
      </c>
      <c r="M399" s="952"/>
      <c r="N399" s="951">
        <f>'LF-Yobe'!N122:O122</f>
        <v>25</v>
      </c>
      <c r="O399" s="952"/>
      <c r="P399" s="951">
        <f>'LF-Yobe'!P122:Q122</f>
        <v>50</v>
      </c>
      <c r="Q399" s="952"/>
      <c r="R399" s="951">
        <f>'LF-Yobe'!R122:S122</f>
        <v>30</v>
      </c>
      <c r="S399" s="952"/>
      <c r="T399" s="951">
        <f>'LF-Yobe'!T122:U122</f>
        <v>75</v>
      </c>
      <c r="U399" s="952"/>
      <c r="V399" s="951">
        <f>'LF-Yobe'!V122:W122</f>
        <v>45</v>
      </c>
      <c r="W399" s="952"/>
      <c r="X399" s="880"/>
    </row>
    <row r="400" spans="1:24" ht="12.95" customHeight="1" thickBot="1">
      <c r="A400" s="971"/>
      <c r="B400" s="93"/>
      <c r="C400" s="9" t="s">
        <v>290</v>
      </c>
      <c r="D400" s="957"/>
      <c r="E400" s="958"/>
      <c r="F400" s="958"/>
      <c r="G400" s="959"/>
      <c r="H400" s="1162"/>
      <c r="I400" s="1163"/>
      <c r="J400" s="1163"/>
      <c r="K400" s="1164"/>
      <c r="L400" s="1150" t="s">
        <v>909</v>
      </c>
      <c r="M400" s="1151"/>
      <c r="N400" s="1151"/>
      <c r="O400" s="1152"/>
      <c r="P400" s="951">
        <f>'LF-Anambra'!P122:Q122</f>
        <v>48</v>
      </c>
      <c r="Q400" s="952"/>
      <c r="R400" s="951">
        <f>'LF-Anambra'!R122:S122</f>
        <v>70</v>
      </c>
      <c r="S400" s="952"/>
      <c r="T400" s="951">
        <f>'LF-Anambra'!T122:U122</f>
        <v>58</v>
      </c>
      <c r="U400" s="952"/>
      <c r="V400" s="951">
        <f>'LF-Anambra'!V122:W122</f>
        <v>75</v>
      </c>
      <c r="W400" s="952"/>
      <c r="X400" s="880"/>
    </row>
    <row r="401" spans="1:24" ht="12.95" customHeight="1" thickBot="1">
      <c r="A401" s="971"/>
      <c r="B401" s="93"/>
      <c r="C401" s="9" t="s">
        <v>291</v>
      </c>
      <c r="D401" s="957"/>
      <c r="E401" s="958"/>
      <c r="F401" s="958"/>
      <c r="G401" s="959"/>
      <c r="H401" s="1162"/>
      <c r="I401" s="1163"/>
      <c r="J401" s="1163"/>
      <c r="K401" s="1164"/>
      <c r="L401" s="1150" t="s">
        <v>909</v>
      </c>
      <c r="M401" s="1151"/>
      <c r="N401" s="1151"/>
      <c r="O401" s="1152"/>
      <c r="P401" s="951">
        <f>'LF-Niger'!P122:Q122</f>
        <v>40</v>
      </c>
      <c r="Q401" s="952"/>
      <c r="R401" s="951">
        <f>'LF-Niger'!R122:S122</f>
        <v>73</v>
      </c>
      <c r="S401" s="952"/>
      <c r="T401" s="951">
        <f>'LF-Niger'!T122:U122</f>
        <v>60</v>
      </c>
      <c r="U401" s="952"/>
      <c r="V401" s="951">
        <f>'LF-Niger'!V122:W122</f>
        <v>82</v>
      </c>
      <c r="W401" s="952"/>
      <c r="X401" s="880"/>
    </row>
    <row r="402" spans="1:24" ht="13.5" thickBot="1">
      <c r="A402" s="971"/>
      <c r="B402" s="93"/>
      <c r="C402" s="100" t="s">
        <v>295</v>
      </c>
      <c r="D402" s="1017"/>
      <c r="E402" s="1018"/>
      <c r="F402" s="1018"/>
      <c r="G402" s="1019"/>
      <c r="H402" s="1017"/>
      <c r="I402" s="1018"/>
      <c r="J402" s="1018"/>
      <c r="K402" s="1019"/>
      <c r="L402" s="1017"/>
      <c r="M402" s="1018"/>
      <c r="N402" s="1018"/>
      <c r="O402" s="1019"/>
      <c r="P402" s="1169">
        <f>'LF-Enugu'!P123:Q123</f>
        <v>76</v>
      </c>
      <c r="Q402" s="1170"/>
      <c r="R402" s="1169">
        <f>'LF-Enugu'!R123:S123</f>
        <v>60</v>
      </c>
      <c r="S402" s="1170"/>
      <c r="T402" s="1169">
        <f>'LF-Enugu'!T123:U123</f>
        <v>0</v>
      </c>
      <c r="U402" s="1170"/>
      <c r="V402" s="1169">
        <f>'LF-Enugu'!V123:W123</f>
        <v>0</v>
      </c>
      <c r="W402" s="1170"/>
      <c r="X402" s="880"/>
    </row>
    <row r="403" spans="1:24" ht="13.5" thickBot="1">
      <c r="A403" s="971"/>
      <c r="B403" s="93"/>
      <c r="C403" s="100" t="s">
        <v>296</v>
      </c>
      <c r="D403" s="1017"/>
      <c r="E403" s="1018"/>
      <c r="F403" s="1018"/>
      <c r="G403" s="1019"/>
      <c r="H403" s="1017"/>
      <c r="I403" s="1018"/>
      <c r="J403" s="1018"/>
      <c r="K403" s="1019"/>
      <c r="L403" s="1017"/>
      <c r="M403" s="1018"/>
      <c r="N403" s="1018"/>
      <c r="O403" s="1019"/>
      <c r="P403" s="1169">
        <f>'LF-Jigawa'!P123:Q123</f>
        <v>83</v>
      </c>
      <c r="Q403" s="1170"/>
      <c r="R403" s="1169">
        <f>'LF-Jigawa'!R123:S123</f>
        <v>79</v>
      </c>
      <c r="S403" s="1170"/>
      <c r="T403" s="1169">
        <f>'LF-Jigawa'!T123:U123</f>
        <v>0</v>
      </c>
      <c r="U403" s="1170"/>
      <c r="V403" s="1169">
        <f>'LF-Jigawa'!V123:W123</f>
        <v>0</v>
      </c>
      <c r="W403" s="1170"/>
      <c r="X403" s="880"/>
    </row>
    <row r="404" spans="1:24" ht="13.5" thickBot="1">
      <c r="A404" s="971"/>
      <c r="B404" s="93"/>
      <c r="C404" s="100" t="s">
        <v>297</v>
      </c>
      <c r="D404" s="1017"/>
      <c r="E404" s="1018"/>
      <c r="F404" s="1018"/>
      <c r="G404" s="1019"/>
      <c r="H404" s="1017"/>
      <c r="I404" s="1018"/>
      <c r="J404" s="1018"/>
      <c r="K404" s="1019"/>
      <c r="L404" s="1017"/>
      <c r="M404" s="1018"/>
      <c r="N404" s="1018"/>
      <c r="O404" s="1019"/>
      <c r="P404" s="1169">
        <f>'LF-Kaduna'!P123:Q123</f>
        <v>85</v>
      </c>
      <c r="Q404" s="1170"/>
      <c r="R404" s="1169">
        <f>'LF-Kaduna'!R123:S123</f>
        <v>15</v>
      </c>
      <c r="S404" s="1170"/>
      <c r="T404" s="1169">
        <f>'LF-Kaduna'!T123:U123</f>
        <v>0</v>
      </c>
      <c r="U404" s="1170"/>
      <c r="V404" s="1169">
        <f>'LF-Kaduna'!V123:W123</f>
        <v>0</v>
      </c>
      <c r="W404" s="1170"/>
      <c r="X404" s="880"/>
    </row>
    <row r="405" spans="1:24" ht="13.5" thickBot="1">
      <c r="A405" s="971"/>
      <c r="B405" s="93"/>
      <c r="C405" s="100" t="s">
        <v>298</v>
      </c>
      <c r="D405" s="1017"/>
      <c r="E405" s="1018"/>
      <c r="F405" s="1018"/>
      <c r="G405" s="1019"/>
      <c r="H405" s="1017"/>
      <c r="I405" s="1018"/>
      <c r="J405" s="1018"/>
      <c r="K405" s="1019"/>
      <c r="L405" s="1017"/>
      <c r="M405" s="1018"/>
      <c r="N405" s="1018"/>
      <c r="O405" s="1019"/>
      <c r="P405" s="1169">
        <f>'LF-Kano'!P123:Q123</f>
        <v>66</v>
      </c>
      <c r="Q405" s="1170"/>
      <c r="R405" s="1169">
        <f>'LF-Kano'!R123:S123</f>
        <v>86</v>
      </c>
      <c r="S405" s="1170"/>
      <c r="T405" s="1169">
        <f>'LF-Kano'!T123:U123</f>
        <v>0</v>
      </c>
      <c r="U405" s="1170"/>
      <c r="V405" s="1169">
        <f>'LF-Kano'!V123:W123</f>
        <v>0</v>
      </c>
      <c r="W405" s="1170"/>
      <c r="X405" s="880"/>
    </row>
    <row r="406" spans="1:24" ht="13.5" thickBot="1">
      <c r="A406" s="971"/>
      <c r="B406" s="93"/>
      <c r="C406" s="100" t="s">
        <v>299</v>
      </c>
      <c r="D406" s="1017"/>
      <c r="E406" s="1018"/>
      <c r="F406" s="1018"/>
      <c r="G406" s="1019"/>
      <c r="H406" s="1017"/>
      <c r="I406" s="1018"/>
      <c r="J406" s="1018"/>
      <c r="K406" s="1019"/>
      <c r="L406" s="1017"/>
      <c r="M406" s="1018"/>
      <c r="N406" s="1018"/>
      <c r="O406" s="1019"/>
      <c r="P406" s="1169">
        <f>'LF-Lagos'!P123:Q123</f>
        <v>70</v>
      </c>
      <c r="Q406" s="1170"/>
      <c r="R406" s="1169">
        <f>'LF-Lagos'!R123:S123</f>
        <v>59</v>
      </c>
      <c r="S406" s="1170"/>
      <c r="T406" s="1169">
        <f>'LF-Lagos'!T123:U123</f>
        <v>0</v>
      </c>
      <c r="U406" s="1170"/>
      <c r="V406" s="1169">
        <f>'LF-Lagos'!V123:W123</f>
        <v>0</v>
      </c>
      <c r="W406" s="1170"/>
      <c r="X406" s="880"/>
    </row>
    <row r="407" spans="1:24" ht="24.75" thickBot="1">
      <c r="A407" s="971"/>
      <c r="B407" s="93"/>
      <c r="C407" s="100" t="s">
        <v>300</v>
      </c>
      <c r="D407" s="1017"/>
      <c r="E407" s="1018"/>
      <c r="F407" s="1018"/>
      <c r="G407" s="1019"/>
      <c r="H407" s="1017"/>
      <c r="I407" s="1018"/>
      <c r="J407" s="1018"/>
      <c r="K407" s="1019"/>
      <c r="L407" s="1017"/>
      <c r="M407" s="1018"/>
      <c r="N407" s="1018"/>
      <c r="O407" s="1019"/>
      <c r="P407" s="1169">
        <f>'LF-Zamfara'!P123:Q123</f>
        <v>30</v>
      </c>
      <c r="Q407" s="1170"/>
      <c r="R407" s="1169">
        <f>'LF-Zamfara'!R123:S123</f>
        <v>10</v>
      </c>
      <c r="S407" s="1170"/>
      <c r="T407" s="1169">
        <f>'LF-Zamfara'!T123:U123</f>
        <v>0</v>
      </c>
      <c r="U407" s="1170"/>
      <c r="V407" s="1169">
        <f>'LF-Zamfara'!V123:W123</f>
        <v>0</v>
      </c>
      <c r="W407" s="1170"/>
      <c r="X407" s="880"/>
    </row>
    <row r="408" spans="1:24" ht="13.5" thickBot="1">
      <c r="A408" s="971"/>
      <c r="B408" s="93"/>
      <c r="C408" s="100" t="s">
        <v>301</v>
      </c>
      <c r="D408" s="1017"/>
      <c r="E408" s="1018"/>
      <c r="F408" s="1018"/>
      <c r="G408" s="1019"/>
      <c r="H408" s="1017"/>
      <c r="I408" s="1018"/>
      <c r="J408" s="1018"/>
      <c r="K408" s="1019"/>
      <c r="L408" s="1017"/>
      <c r="M408" s="1018"/>
      <c r="N408" s="1018"/>
      <c r="O408" s="1019"/>
      <c r="P408" s="1169">
        <f>'LF-Katsina'!P123:Q123</f>
        <v>40</v>
      </c>
      <c r="Q408" s="1170"/>
      <c r="R408" s="1169">
        <f>'LF-Katsina'!R123:S123</f>
        <v>40</v>
      </c>
      <c r="S408" s="1170"/>
      <c r="T408" s="1169">
        <f>'LF-Katsina'!T123:U123</f>
        <v>0</v>
      </c>
      <c r="U408" s="1170"/>
      <c r="V408" s="1169">
        <f>'LF-Katsina'!V123:W123</f>
        <v>0</v>
      </c>
      <c r="W408" s="1170"/>
      <c r="X408" s="880"/>
    </row>
    <row r="409" spans="1:24" ht="13.5" thickBot="1">
      <c r="A409" s="971"/>
      <c r="B409" s="93"/>
      <c r="C409" s="100" t="s">
        <v>302</v>
      </c>
      <c r="D409" s="1017"/>
      <c r="E409" s="1018"/>
      <c r="F409" s="1018"/>
      <c r="G409" s="1019"/>
      <c r="H409" s="1017"/>
      <c r="I409" s="1018"/>
      <c r="J409" s="1018"/>
      <c r="K409" s="1019"/>
      <c r="L409" s="1017"/>
      <c r="M409" s="1018"/>
      <c r="N409" s="1018"/>
      <c r="O409" s="1019"/>
      <c r="P409" s="1169">
        <f>'LF-Yobe'!P123:Q123</f>
        <v>58</v>
      </c>
      <c r="Q409" s="1170"/>
      <c r="R409" s="1169">
        <f>'LF-Yobe'!R123:S123</f>
        <v>32</v>
      </c>
      <c r="S409" s="1170"/>
      <c r="T409" s="1169">
        <f>'LF-Yobe'!T123:U123</f>
        <v>0</v>
      </c>
      <c r="U409" s="1170"/>
      <c r="V409" s="1169">
        <f>'LF-Yobe'!V123:W123</f>
        <v>0</v>
      </c>
      <c r="W409" s="1170"/>
      <c r="X409" s="880"/>
    </row>
    <row r="410" spans="1:24" ht="24.75" thickBot="1">
      <c r="A410" s="971"/>
      <c r="B410" s="93"/>
      <c r="C410" s="100" t="s">
        <v>303</v>
      </c>
      <c r="D410" s="1017"/>
      <c r="E410" s="1018"/>
      <c r="F410" s="1018"/>
      <c r="G410" s="1019"/>
      <c r="H410" s="1017"/>
      <c r="I410" s="1018"/>
      <c r="J410" s="1018"/>
      <c r="K410" s="1019"/>
      <c r="L410" s="1017"/>
      <c r="M410" s="1018"/>
      <c r="N410" s="1018"/>
      <c r="O410" s="1019"/>
      <c r="P410" s="1054"/>
      <c r="Q410" s="1055"/>
      <c r="R410" s="1055"/>
      <c r="S410" s="1056"/>
      <c r="T410" s="1169">
        <f>'LF-Anambra'!T123:U123</f>
        <v>0</v>
      </c>
      <c r="U410" s="1170"/>
      <c r="V410" s="1169">
        <f>'LF-Anambra'!V123:W123</f>
        <v>0</v>
      </c>
      <c r="W410" s="1170"/>
      <c r="X410" s="880"/>
    </row>
    <row r="411" spans="1:24" ht="13.5" thickBot="1">
      <c r="A411" s="971"/>
      <c r="B411" s="93"/>
      <c r="C411" s="100" t="s">
        <v>304</v>
      </c>
      <c r="D411" s="1017"/>
      <c r="E411" s="1018"/>
      <c r="F411" s="1018"/>
      <c r="G411" s="1019"/>
      <c r="H411" s="1017"/>
      <c r="I411" s="1018"/>
      <c r="J411" s="1018"/>
      <c r="K411" s="1019"/>
      <c r="L411" s="1017"/>
      <c r="M411" s="1018"/>
      <c r="N411" s="1018"/>
      <c r="O411" s="1019"/>
      <c r="P411" s="1054"/>
      <c r="Q411" s="1055"/>
      <c r="R411" s="1055"/>
      <c r="S411" s="1056"/>
      <c r="T411" s="1169">
        <f>'LF-Niger'!T123:U123</f>
        <v>0</v>
      </c>
      <c r="U411" s="1170"/>
      <c r="V411" s="1169">
        <f>'LF-Niger'!V123:W123</f>
        <v>0</v>
      </c>
      <c r="W411" s="1170"/>
      <c r="X411" s="880"/>
    </row>
    <row r="412" spans="1:24" ht="13.5" thickBot="1">
      <c r="A412" s="971"/>
      <c r="B412" s="885"/>
      <c r="C412" s="922" t="s">
        <v>413</v>
      </c>
      <c r="D412" s="927" t="s">
        <v>4</v>
      </c>
      <c r="E412" s="928"/>
      <c r="F412" s="928"/>
      <c r="G412" s="928"/>
      <c r="H412" s="928"/>
      <c r="I412" s="928"/>
      <c r="J412" s="928"/>
      <c r="K412" s="928"/>
      <c r="L412" s="928"/>
      <c r="M412" s="928"/>
      <c r="N412" s="928"/>
      <c r="O412" s="928"/>
      <c r="P412" s="928"/>
      <c r="Q412" s="928"/>
      <c r="R412" s="928"/>
      <c r="S412" s="928"/>
      <c r="T412" s="928"/>
      <c r="U412" s="928"/>
      <c r="V412" s="928"/>
      <c r="W412" s="929"/>
      <c r="X412" s="880"/>
    </row>
    <row r="413" spans="1:24" ht="24" customHeight="1" thickBot="1">
      <c r="A413" s="971"/>
      <c r="B413" s="869"/>
      <c r="C413" s="923"/>
      <c r="D413" s="930" t="s">
        <v>121</v>
      </c>
      <c r="E413" s="931"/>
      <c r="F413" s="931"/>
      <c r="G413" s="931"/>
      <c r="H413" s="931"/>
      <c r="I413" s="931"/>
      <c r="J413" s="931"/>
      <c r="K413" s="931"/>
      <c r="L413" s="931"/>
      <c r="M413" s="931"/>
      <c r="N413" s="931"/>
      <c r="O413" s="931"/>
      <c r="P413" s="931"/>
      <c r="Q413" s="931"/>
      <c r="R413" s="931"/>
      <c r="S413" s="931"/>
      <c r="T413" s="931"/>
      <c r="U413" s="931"/>
      <c r="V413" s="931"/>
      <c r="W413" s="932"/>
      <c r="X413" s="880"/>
    </row>
    <row r="414" spans="1:24" ht="13.5" thickBot="1">
      <c r="A414" s="885"/>
      <c r="B414" s="11" t="s">
        <v>40</v>
      </c>
      <c r="C414" s="12"/>
      <c r="D414" s="927" t="s">
        <v>78</v>
      </c>
      <c r="E414" s="928"/>
      <c r="F414" s="928"/>
      <c r="G414" s="929"/>
      <c r="H414" s="927" t="s">
        <v>77</v>
      </c>
      <c r="I414" s="928"/>
      <c r="J414" s="928"/>
      <c r="K414" s="929"/>
      <c r="L414" s="927" t="s">
        <v>81</v>
      </c>
      <c r="M414" s="928"/>
      <c r="N414" s="928"/>
      <c r="O414" s="929"/>
      <c r="P414" s="927" t="s">
        <v>254</v>
      </c>
      <c r="Q414" s="928"/>
      <c r="R414" s="928"/>
      <c r="S414" s="929"/>
      <c r="T414" s="927" t="s">
        <v>76</v>
      </c>
      <c r="U414" s="928"/>
      <c r="V414" s="928"/>
      <c r="W414" s="929"/>
      <c r="X414" s="880"/>
    </row>
    <row r="415" spans="1:24" ht="13.5" thickBot="1">
      <c r="A415" s="885"/>
      <c r="B415" s="868" t="s">
        <v>644</v>
      </c>
      <c r="C415" s="9" t="s">
        <v>285</v>
      </c>
      <c r="D415" s="1171" t="s">
        <v>171</v>
      </c>
      <c r="E415" s="1172"/>
      <c r="F415" s="1172"/>
      <c r="G415" s="1173"/>
      <c r="H415" s="1048" t="s">
        <v>248</v>
      </c>
      <c r="I415" s="1049"/>
      <c r="J415" s="1049"/>
      <c r="K415" s="1050"/>
      <c r="L415" s="942">
        <f>'LF-Enugu'!L127:O127</f>
        <v>3.9</v>
      </c>
      <c r="M415" s="943"/>
      <c r="N415" s="943"/>
      <c r="O415" s="944"/>
      <c r="P415" s="942">
        <f>'LF-Enugu'!P127:S127</f>
        <v>4.2</v>
      </c>
      <c r="Q415" s="943"/>
      <c r="R415" s="943"/>
      <c r="S415" s="944"/>
      <c r="T415" s="942">
        <f>'LF-Enugu'!T127:W127</f>
        <v>3.9</v>
      </c>
      <c r="U415" s="943"/>
      <c r="V415" s="943"/>
      <c r="W415" s="944"/>
      <c r="X415" s="880"/>
    </row>
    <row r="416" spans="1:24" ht="13.5" thickBot="1">
      <c r="A416" s="885"/>
      <c r="B416" s="885"/>
      <c r="C416" s="9" t="s">
        <v>286</v>
      </c>
      <c r="D416" s="957"/>
      <c r="E416" s="958"/>
      <c r="F416" s="958"/>
      <c r="G416" s="959"/>
      <c r="H416" s="1048" t="s">
        <v>248</v>
      </c>
      <c r="I416" s="1049"/>
      <c r="J416" s="1049"/>
      <c r="K416" s="1050"/>
      <c r="L416" s="942">
        <f>'LF-Jigawa'!L127:O127</f>
        <v>3.6</v>
      </c>
      <c r="M416" s="943"/>
      <c r="N416" s="943"/>
      <c r="O416" s="944"/>
      <c r="P416" s="963">
        <f>'LF-Jigawa'!P127:S127</f>
        <v>3.8</v>
      </c>
      <c r="Q416" s="964"/>
      <c r="R416" s="964"/>
      <c r="S416" s="965"/>
      <c r="T416" s="963">
        <f>'LF-Jigawa'!T127:W127</f>
        <v>4.2</v>
      </c>
      <c r="U416" s="964"/>
      <c r="V416" s="964"/>
      <c r="W416" s="965"/>
      <c r="X416" s="880"/>
    </row>
    <row r="417" spans="1:24" ht="13.5" thickBot="1">
      <c r="A417" s="885"/>
      <c r="B417" s="885"/>
      <c r="C417" s="9" t="s">
        <v>287</v>
      </c>
      <c r="D417" s="957"/>
      <c r="E417" s="958"/>
      <c r="F417" s="958"/>
      <c r="G417" s="959"/>
      <c r="H417" s="1048" t="s">
        <v>248</v>
      </c>
      <c r="I417" s="1049"/>
      <c r="J417" s="1049"/>
      <c r="K417" s="1050"/>
      <c r="L417" s="942">
        <f>'LF-Kaduna'!L127:O127</f>
        <v>3.5</v>
      </c>
      <c r="M417" s="943"/>
      <c r="N417" s="943"/>
      <c r="O417" s="944"/>
      <c r="P417" s="963">
        <f>'LF-Kaduna'!P127:S127</f>
        <v>3.6</v>
      </c>
      <c r="Q417" s="964"/>
      <c r="R417" s="964"/>
      <c r="S417" s="965"/>
      <c r="T417" s="963">
        <f>'LF-Kaduna'!T127:W127</f>
        <v>4</v>
      </c>
      <c r="U417" s="964"/>
      <c r="V417" s="964"/>
      <c r="W417" s="965"/>
      <c r="X417" s="880"/>
    </row>
    <row r="418" spans="1:24" ht="13.5" thickBot="1">
      <c r="A418" s="885"/>
      <c r="B418" s="885"/>
      <c r="C418" s="9" t="s">
        <v>288</v>
      </c>
      <c r="D418" s="957"/>
      <c r="E418" s="958"/>
      <c r="F418" s="958"/>
      <c r="G418" s="959"/>
      <c r="H418" s="1048" t="s">
        <v>248</v>
      </c>
      <c r="I418" s="1049"/>
      <c r="J418" s="1049"/>
      <c r="K418" s="1050"/>
      <c r="L418" s="942">
        <f>'LF-Kano'!L127:O127</f>
        <v>3</v>
      </c>
      <c r="M418" s="943"/>
      <c r="N418" s="943"/>
      <c r="O418" s="944"/>
      <c r="P418" s="963">
        <f>'LF-Kano'!P127:S127</f>
        <v>3.5</v>
      </c>
      <c r="Q418" s="964"/>
      <c r="R418" s="964"/>
      <c r="S418" s="965"/>
      <c r="T418" s="963">
        <f>'LF-Kano'!T127:W127</f>
        <v>4</v>
      </c>
      <c r="U418" s="964"/>
      <c r="V418" s="964"/>
      <c r="W418" s="965"/>
      <c r="X418" s="880"/>
    </row>
    <row r="419" spans="1:24" ht="13.5" thickBot="1">
      <c r="A419" s="885"/>
      <c r="B419" s="885"/>
      <c r="C419" s="9" t="s">
        <v>289</v>
      </c>
      <c r="D419" s="957"/>
      <c r="E419" s="958"/>
      <c r="F419" s="958"/>
      <c r="G419" s="959"/>
      <c r="H419" s="1048" t="s">
        <v>248</v>
      </c>
      <c r="I419" s="1049"/>
      <c r="J419" s="1049"/>
      <c r="K419" s="1050"/>
      <c r="L419" s="942">
        <f>'LF-Lagos'!L127:O127</f>
        <v>3.4</v>
      </c>
      <c r="M419" s="943"/>
      <c r="N419" s="943"/>
      <c r="O419" s="944"/>
      <c r="P419" s="963">
        <f>'LF-Lagos'!P127:S127</f>
        <v>3.8</v>
      </c>
      <c r="Q419" s="964"/>
      <c r="R419" s="964"/>
      <c r="S419" s="965"/>
      <c r="T419" s="963">
        <f>'LF-Lagos'!T127:W127</f>
        <v>4.4000000000000004</v>
      </c>
      <c r="U419" s="964"/>
      <c r="V419" s="964"/>
      <c r="W419" s="965"/>
      <c r="X419" s="880"/>
    </row>
    <row r="420" spans="1:24" ht="13.5" thickBot="1">
      <c r="A420" s="885"/>
      <c r="B420" s="885"/>
      <c r="C420" s="9" t="s">
        <v>292</v>
      </c>
      <c r="D420" s="957"/>
      <c r="E420" s="958"/>
      <c r="F420" s="958"/>
      <c r="G420" s="959"/>
      <c r="H420" s="1048" t="s">
        <v>248</v>
      </c>
      <c r="I420" s="1049"/>
      <c r="J420" s="1049"/>
      <c r="K420" s="1050"/>
      <c r="L420" s="942">
        <f>'LF-Zamfara'!L127:O127</f>
        <v>2</v>
      </c>
      <c r="M420" s="943"/>
      <c r="N420" s="943"/>
      <c r="O420" s="944"/>
      <c r="P420" s="963">
        <f>'LF-Zamfara'!P127:S127</f>
        <v>2.2999999999999998</v>
      </c>
      <c r="Q420" s="964"/>
      <c r="R420" s="964"/>
      <c r="S420" s="965"/>
      <c r="T420" s="963">
        <f>'LF-Zamfara'!T127:W127</f>
        <v>3</v>
      </c>
      <c r="U420" s="964"/>
      <c r="V420" s="964"/>
      <c r="W420" s="965"/>
      <c r="X420" s="880"/>
    </row>
    <row r="421" spans="1:24" ht="13.5" thickBot="1">
      <c r="A421" s="885"/>
      <c r="B421" s="885"/>
      <c r="C421" s="9" t="s">
        <v>293</v>
      </c>
      <c r="D421" s="957"/>
      <c r="E421" s="958"/>
      <c r="F421" s="958"/>
      <c r="G421" s="959"/>
      <c r="H421" s="1048" t="s">
        <v>248</v>
      </c>
      <c r="I421" s="1049"/>
      <c r="J421" s="1049"/>
      <c r="K421" s="1050"/>
      <c r="L421" s="942">
        <f>'LF-Katsina'!L127:O127</f>
        <v>2.2000000000000002</v>
      </c>
      <c r="M421" s="943"/>
      <c r="N421" s="943"/>
      <c r="O421" s="944"/>
      <c r="P421" s="963">
        <f>'LF-Katsina'!P127:S127</f>
        <v>2.5</v>
      </c>
      <c r="Q421" s="964"/>
      <c r="R421" s="964"/>
      <c r="S421" s="965"/>
      <c r="T421" s="963">
        <f>'LF-Katsina'!T127:W127</f>
        <v>4</v>
      </c>
      <c r="U421" s="964"/>
      <c r="V421" s="964"/>
      <c r="W421" s="965"/>
      <c r="X421" s="880"/>
    </row>
    <row r="422" spans="1:24" ht="13.5" thickBot="1">
      <c r="A422" s="885"/>
      <c r="B422" s="885"/>
      <c r="C422" s="9" t="s">
        <v>294</v>
      </c>
      <c r="D422" s="957"/>
      <c r="E422" s="958"/>
      <c r="F422" s="958"/>
      <c r="G422" s="959"/>
      <c r="H422" s="1048" t="s">
        <v>248</v>
      </c>
      <c r="I422" s="1049"/>
      <c r="J422" s="1049"/>
      <c r="K422" s="1050"/>
      <c r="L422" s="942">
        <f>'LF-Yobe'!L127:O127</f>
        <v>1.9</v>
      </c>
      <c r="M422" s="943"/>
      <c r="N422" s="943"/>
      <c r="O422" s="944"/>
      <c r="P422" s="942">
        <f>'LF-Yobe'!P127:S127</f>
        <v>2.2000000000000002</v>
      </c>
      <c r="Q422" s="943"/>
      <c r="R422" s="943"/>
      <c r="S422" s="944"/>
      <c r="T422" s="942">
        <f>'LF-Yobe'!T127:W127</f>
        <v>2.5</v>
      </c>
      <c r="U422" s="943"/>
      <c r="V422" s="943"/>
      <c r="W422" s="944"/>
      <c r="X422" s="880"/>
    </row>
    <row r="423" spans="1:24" ht="12.95" customHeight="1" thickBot="1">
      <c r="A423" s="885"/>
      <c r="B423" s="885"/>
      <c r="C423" s="9" t="s">
        <v>290</v>
      </c>
      <c r="D423" s="957"/>
      <c r="E423" s="958"/>
      <c r="F423" s="958"/>
      <c r="G423" s="959"/>
      <c r="H423" s="1162"/>
      <c r="I423" s="1163"/>
      <c r="J423" s="1163"/>
      <c r="K423" s="1164"/>
      <c r="L423" s="1150" t="s">
        <v>909</v>
      </c>
      <c r="M423" s="1151"/>
      <c r="N423" s="1151"/>
      <c r="O423" s="1152"/>
      <c r="P423" s="942">
        <f>'LF-Anambra'!P127:S127</f>
        <v>2.9</v>
      </c>
      <c r="Q423" s="943"/>
      <c r="R423" s="943"/>
      <c r="S423" s="944"/>
      <c r="T423" s="942">
        <f>'LF-Anambra'!T127:W127</f>
        <v>3.5</v>
      </c>
      <c r="U423" s="943"/>
      <c r="V423" s="943"/>
      <c r="W423" s="944"/>
      <c r="X423" s="880"/>
    </row>
    <row r="424" spans="1:24" ht="12.95" customHeight="1" thickBot="1">
      <c r="A424" s="885"/>
      <c r="B424" s="885"/>
      <c r="C424" s="9" t="s">
        <v>291</v>
      </c>
      <c r="D424" s="957"/>
      <c r="E424" s="958"/>
      <c r="F424" s="958"/>
      <c r="G424" s="959"/>
      <c r="H424" s="1162"/>
      <c r="I424" s="1163"/>
      <c r="J424" s="1163"/>
      <c r="K424" s="1164"/>
      <c r="L424" s="1150" t="s">
        <v>909</v>
      </c>
      <c r="M424" s="1151"/>
      <c r="N424" s="1151"/>
      <c r="O424" s="1152"/>
      <c r="P424" s="942">
        <f>'LF-Niger'!P127:S127</f>
        <v>2.7</v>
      </c>
      <c r="Q424" s="943"/>
      <c r="R424" s="943"/>
      <c r="S424" s="944"/>
      <c r="T424" s="942">
        <f>'LF-Niger'!T127:W127</f>
        <v>2.9</v>
      </c>
      <c r="U424" s="943"/>
      <c r="V424" s="943"/>
      <c r="W424" s="944"/>
      <c r="X424" s="880"/>
    </row>
    <row r="425" spans="1:24" ht="13.5" thickBot="1">
      <c r="A425" s="885"/>
      <c r="B425" s="885"/>
      <c r="C425" s="100" t="s">
        <v>295</v>
      </c>
      <c r="D425" s="1017"/>
      <c r="E425" s="1018"/>
      <c r="F425" s="1018"/>
      <c r="G425" s="1019"/>
      <c r="H425" s="1017"/>
      <c r="I425" s="1018"/>
      <c r="J425" s="1018"/>
      <c r="K425" s="1019"/>
      <c r="L425" s="1017"/>
      <c r="M425" s="1018"/>
      <c r="N425" s="1018"/>
      <c r="O425" s="1019"/>
      <c r="P425" s="1147">
        <f>'LF-Enugu'!P128:S128</f>
        <v>4.0999999999999996</v>
      </c>
      <c r="Q425" s="1148"/>
      <c r="R425" s="1148"/>
      <c r="S425" s="1149"/>
      <c r="T425" s="1147">
        <f>'LF-Enugu'!T128:W128</f>
        <v>0</v>
      </c>
      <c r="U425" s="1148"/>
      <c r="V425" s="1148"/>
      <c r="W425" s="1149"/>
      <c r="X425" s="880"/>
    </row>
    <row r="426" spans="1:24" ht="13.5" thickBot="1">
      <c r="A426" s="885"/>
      <c r="B426" s="885"/>
      <c r="C426" s="100" t="s">
        <v>296</v>
      </c>
      <c r="D426" s="1017"/>
      <c r="E426" s="1018"/>
      <c r="F426" s="1018"/>
      <c r="G426" s="1019"/>
      <c r="H426" s="1017"/>
      <c r="I426" s="1018"/>
      <c r="J426" s="1018"/>
      <c r="K426" s="1019"/>
      <c r="L426" s="1017"/>
      <c r="M426" s="1018"/>
      <c r="N426" s="1018"/>
      <c r="O426" s="1019"/>
      <c r="P426" s="1147">
        <f>'LF-Jigawa'!P128:S128</f>
        <v>3.6</v>
      </c>
      <c r="Q426" s="1148"/>
      <c r="R426" s="1148"/>
      <c r="S426" s="1149"/>
      <c r="T426" s="1147">
        <f>'LF-Jigawa'!T128:W128</f>
        <v>0</v>
      </c>
      <c r="U426" s="1148"/>
      <c r="V426" s="1148"/>
      <c r="W426" s="1149"/>
      <c r="X426" s="880"/>
    </row>
    <row r="427" spans="1:24" ht="13.5" thickBot="1">
      <c r="A427" s="885"/>
      <c r="B427" s="885"/>
      <c r="C427" s="100" t="s">
        <v>297</v>
      </c>
      <c r="D427" s="1017"/>
      <c r="E427" s="1018"/>
      <c r="F427" s="1018"/>
      <c r="G427" s="1019"/>
      <c r="H427" s="1017"/>
      <c r="I427" s="1018"/>
      <c r="J427" s="1018"/>
      <c r="K427" s="1019"/>
      <c r="L427" s="1017"/>
      <c r="M427" s="1018"/>
      <c r="N427" s="1018"/>
      <c r="O427" s="1019"/>
      <c r="P427" s="1147">
        <f>'LF-Kaduna'!P128:S128</f>
        <v>3.5</v>
      </c>
      <c r="Q427" s="1148"/>
      <c r="R427" s="1148"/>
      <c r="S427" s="1149"/>
      <c r="T427" s="1147">
        <f>'LF-Kaduna'!T128:W128</f>
        <v>0</v>
      </c>
      <c r="U427" s="1148"/>
      <c r="V427" s="1148"/>
      <c r="W427" s="1149"/>
      <c r="X427" s="880"/>
    </row>
    <row r="428" spans="1:24" ht="13.5" thickBot="1">
      <c r="A428" s="885"/>
      <c r="B428" s="885"/>
      <c r="C428" s="100" t="s">
        <v>298</v>
      </c>
      <c r="D428" s="1017"/>
      <c r="E428" s="1018"/>
      <c r="F428" s="1018"/>
      <c r="G428" s="1019"/>
      <c r="H428" s="1017"/>
      <c r="I428" s="1018"/>
      <c r="J428" s="1018"/>
      <c r="K428" s="1019"/>
      <c r="L428" s="1017"/>
      <c r="M428" s="1018"/>
      <c r="N428" s="1018"/>
      <c r="O428" s="1019"/>
      <c r="P428" s="1147">
        <f>'LF-Kano'!P128:S128</f>
        <v>3.6</v>
      </c>
      <c r="Q428" s="1148"/>
      <c r="R428" s="1148"/>
      <c r="S428" s="1149"/>
      <c r="T428" s="1147">
        <f>'LF-Kano'!T128:W128</f>
        <v>0</v>
      </c>
      <c r="U428" s="1148"/>
      <c r="V428" s="1148"/>
      <c r="W428" s="1149"/>
      <c r="X428" s="880"/>
    </row>
    <row r="429" spans="1:24" ht="13.5" thickBot="1">
      <c r="A429" s="885"/>
      <c r="B429" s="885"/>
      <c r="C429" s="100" t="s">
        <v>299</v>
      </c>
      <c r="D429" s="1017"/>
      <c r="E429" s="1018"/>
      <c r="F429" s="1018"/>
      <c r="G429" s="1019"/>
      <c r="H429" s="1017"/>
      <c r="I429" s="1018"/>
      <c r="J429" s="1018"/>
      <c r="K429" s="1019"/>
      <c r="L429" s="1017"/>
      <c r="M429" s="1018"/>
      <c r="N429" s="1018"/>
      <c r="O429" s="1019"/>
      <c r="P429" s="1147">
        <f>'LF-Lagos'!P128:S128</f>
        <v>3.8</v>
      </c>
      <c r="Q429" s="1148"/>
      <c r="R429" s="1148"/>
      <c r="S429" s="1149"/>
      <c r="T429" s="1147">
        <f>'LF-Lagos'!T128:W128</f>
        <v>0</v>
      </c>
      <c r="U429" s="1148"/>
      <c r="V429" s="1148"/>
      <c r="W429" s="1149"/>
      <c r="X429" s="880"/>
    </row>
    <row r="430" spans="1:24" ht="24.75" thickBot="1">
      <c r="A430" s="885"/>
      <c r="B430" s="885"/>
      <c r="C430" s="100" t="s">
        <v>300</v>
      </c>
      <c r="D430" s="1017"/>
      <c r="E430" s="1018"/>
      <c r="F430" s="1018"/>
      <c r="G430" s="1019"/>
      <c r="H430" s="1017"/>
      <c r="I430" s="1018"/>
      <c r="J430" s="1018"/>
      <c r="K430" s="1019"/>
      <c r="L430" s="1017"/>
      <c r="M430" s="1018"/>
      <c r="N430" s="1018"/>
      <c r="O430" s="1019"/>
      <c r="P430" s="1147">
        <f>'LF-Zamfara'!P128:S128</f>
        <v>2.8</v>
      </c>
      <c r="Q430" s="1148"/>
      <c r="R430" s="1148"/>
      <c r="S430" s="1149"/>
      <c r="T430" s="1147">
        <f>'LF-Zamfara'!T128:W128</f>
        <v>0</v>
      </c>
      <c r="U430" s="1148"/>
      <c r="V430" s="1148"/>
      <c r="W430" s="1149"/>
      <c r="X430" s="880"/>
    </row>
    <row r="431" spans="1:24" ht="13.5" thickBot="1">
      <c r="A431" s="885"/>
      <c r="B431" s="885"/>
      <c r="C431" s="100" t="s">
        <v>301</v>
      </c>
      <c r="D431" s="1017"/>
      <c r="E431" s="1018"/>
      <c r="F431" s="1018"/>
      <c r="G431" s="1019"/>
      <c r="H431" s="1017"/>
      <c r="I431" s="1018"/>
      <c r="J431" s="1018"/>
      <c r="K431" s="1019"/>
      <c r="L431" s="1017"/>
      <c r="M431" s="1018"/>
      <c r="N431" s="1018"/>
      <c r="O431" s="1019"/>
      <c r="P431" s="1147">
        <f>'LF-Katsina'!P128:S128</f>
        <v>2.2999999999999998</v>
      </c>
      <c r="Q431" s="1148"/>
      <c r="R431" s="1148"/>
      <c r="S431" s="1149"/>
      <c r="T431" s="1147">
        <f>'LF-Katsina'!T128:W128</f>
        <v>0</v>
      </c>
      <c r="U431" s="1148"/>
      <c r="V431" s="1148"/>
      <c r="W431" s="1149"/>
      <c r="X431" s="880"/>
    </row>
    <row r="432" spans="1:24" ht="13.5" thickBot="1">
      <c r="A432" s="885"/>
      <c r="B432" s="885"/>
      <c r="C432" s="100" t="s">
        <v>302</v>
      </c>
      <c r="D432" s="1017"/>
      <c r="E432" s="1018"/>
      <c r="F432" s="1018"/>
      <c r="G432" s="1019"/>
      <c r="H432" s="1017"/>
      <c r="I432" s="1018"/>
      <c r="J432" s="1018"/>
      <c r="K432" s="1019"/>
      <c r="L432" s="1017"/>
      <c r="M432" s="1018"/>
      <c r="N432" s="1018"/>
      <c r="O432" s="1019"/>
      <c r="P432" s="1147">
        <f>'LF-Yobe'!P128:S128</f>
        <v>2.4</v>
      </c>
      <c r="Q432" s="1148"/>
      <c r="R432" s="1148"/>
      <c r="S432" s="1149"/>
      <c r="T432" s="1147">
        <f>'LF-Yobe'!T128:W128</f>
        <v>0</v>
      </c>
      <c r="U432" s="1148"/>
      <c r="V432" s="1148"/>
      <c r="W432" s="1149"/>
      <c r="X432" s="880"/>
    </row>
    <row r="433" spans="1:24" ht="24.75" thickBot="1">
      <c r="A433" s="885"/>
      <c r="B433" s="885"/>
      <c r="C433" s="100" t="s">
        <v>303</v>
      </c>
      <c r="D433" s="1017"/>
      <c r="E433" s="1018"/>
      <c r="F433" s="1018"/>
      <c r="G433" s="1019"/>
      <c r="H433" s="1017"/>
      <c r="I433" s="1018"/>
      <c r="J433" s="1018"/>
      <c r="K433" s="1019"/>
      <c r="L433" s="1017"/>
      <c r="M433" s="1018"/>
      <c r="N433" s="1018"/>
      <c r="O433" s="1019"/>
      <c r="P433" s="1054"/>
      <c r="Q433" s="1055"/>
      <c r="R433" s="1055"/>
      <c r="S433" s="1056"/>
      <c r="T433" s="1147">
        <f>'LF-Anambra'!T128:W128</f>
        <v>0</v>
      </c>
      <c r="U433" s="1148"/>
      <c r="V433" s="1148"/>
      <c r="W433" s="1149"/>
      <c r="X433" s="880"/>
    </row>
    <row r="434" spans="1:24" ht="13.5" thickBot="1">
      <c r="A434" s="885"/>
      <c r="B434" s="885"/>
      <c r="C434" s="100" t="s">
        <v>304</v>
      </c>
      <c r="D434" s="1017"/>
      <c r="E434" s="1018"/>
      <c r="F434" s="1018"/>
      <c r="G434" s="1019"/>
      <c r="H434" s="1017"/>
      <c r="I434" s="1018"/>
      <c r="J434" s="1018"/>
      <c r="K434" s="1019"/>
      <c r="L434" s="1017"/>
      <c r="M434" s="1018"/>
      <c r="N434" s="1018"/>
      <c r="O434" s="1019"/>
      <c r="P434" s="1054"/>
      <c r="Q434" s="1055"/>
      <c r="R434" s="1055"/>
      <c r="S434" s="1056"/>
      <c r="T434" s="1147">
        <f>'LF-Niger'!T128:W128</f>
        <v>0</v>
      </c>
      <c r="U434" s="1148"/>
      <c r="V434" s="1148"/>
      <c r="W434" s="1149"/>
      <c r="X434" s="880"/>
    </row>
    <row r="435" spans="1:24" ht="13.5" thickBot="1">
      <c r="A435" s="7" t="s">
        <v>13</v>
      </c>
      <c r="B435" s="885"/>
      <c r="C435" s="922" t="s">
        <v>413</v>
      </c>
      <c r="D435" s="927" t="s">
        <v>4</v>
      </c>
      <c r="E435" s="928"/>
      <c r="F435" s="928"/>
      <c r="G435" s="928"/>
      <c r="H435" s="928"/>
      <c r="I435" s="928"/>
      <c r="J435" s="928"/>
      <c r="K435" s="928"/>
      <c r="L435" s="928"/>
      <c r="M435" s="928"/>
      <c r="N435" s="928"/>
      <c r="O435" s="928"/>
      <c r="P435" s="928"/>
      <c r="Q435" s="928"/>
      <c r="R435" s="928"/>
      <c r="S435" s="928"/>
      <c r="T435" s="928"/>
      <c r="U435" s="928"/>
      <c r="V435" s="928"/>
      <c r="W435" s="929"/>
      <c r="X435" s="550" t="s">
        <v>14</v>
      </c>
    </row>
    <row r="436" spans="1:24" ht="13.5" thickBot="1">
      <c r="A436" s="25" t="s">
        <v>75</v>
      </c>
      <c r="B436" s="869"/>
      <c r="C436" s="923"/>
      <c r="D436" s="930" t="s">
        <v>122</v>
      </c>
      <c r="E436" s="931"/>
      <c r="F436" s="931"/>
      <c r="G436" s="931"/>
      <c r="H436" s="931"/>
      <c r="I436" s="931"/>
      <c r="J436" s="931"/>
      <c r="K436" s="931"/>
      <c r="L436" s="931"/>
      <c r="M436" s="931"/>
      <c r="N436" s="931"/>
      <c r="O436" s="931"/>
      <c r="P436" s="931"/>
      <c r="Q436" s="931"/>
      <c r="R436" s="931"/>
      <c r="S436" s="931"/>
      <c r="T436" s="931"/>
      <c r="U436" s="931"/>
      <c r="V436" s="931"/>
      <c r="W436" s="932"/>
      <c r="X436" s="18" t="s">
        <v>92</v>
      </c>
    </row>
    <row r="437" spans="1:24" ht="13.5" thickBot="1">
      <c r="A437" s="906" t="s">
        <v>7</v>
      </c>
      <c r="B437" s="908" t="s">
        <v>173</v>
      </c>
      <c r="C437" s="909"/>
      <c r="D437" s="908" t="s">
        <v>8</v>
      </c>
      <c r="E437" s="918"/>
      <c r="F437" s="918"/>
      <c r="G437" s="909"/>
      <c r="H437" s="908" t="s">
        <v>88</v>
      </c>
      <c r="I437" s="918"/>
      <c r="J437" s="918"/>
      <c r="K437" s="909"/>
      <c r="L437" s="908" t="s">
        <v>89</v>
      </c>
      <c r="M437" s="918"/>
      <c r="N437" s="918"/>
      <c r="O437" s="909"/>
      <c r="P437" s="908" t="s">
        <v>9</v>
      </c>
      <c r="Q437" s="918"/>
      <c r="R437" s="918"/>
      <c r="S437" s="909"/>
      <c r="T437" s="908" t="s">
        <v>174</v>
      </c>
      <c r="U437" s="918"/>
      <c r="V437" s="918"/>
      <c r="W437" s="918"/>
      <c r="X437" s="909"/>
    </row>
    <row r="438" spans="1:24" ht="13.5" thickBot="1">
      <c r="A438" s="907"/>
      <c r="B438" s="919">
        <v>4200000</v>
      </c>
      <c r="C438" s="920"/>
      <c r="D438" s="919">
        <v>0</v>
      </c>
      <c r="E438" s="921"/>
      <c r="F438" s="921"/>
      <c r="G438" s="920"/>
      <c r="H438" s="919">
        <v>3200000</v>
      </c>
      <c r="I438" s="921"/>
      <c r="J438" s="921"/>
      <c r="K438" s="920"/>
      <c r="L438" s="919">
        <v>0</v>
      </c>
      <c r="M438" s="921"/>
      <c r="N438" s="921"/>
      <c r="O438" s="920"/>
      <c r="P438" s="919">
        <f>SUM(B438:O438)</f>
        <v>7400000</v>
      </c>
      <c r="Q438" s="921"/>
      <c r="R438" s="921"/>
      <c r="S438" s="920"/>
      <c r="T438" s="942">
        <f>B438/P438%</f>
        <v>56.756756756756758</v>
      </c>
      <c r="U438" s="943"/>
      <c r="V438" s="943"/>
      <c r="W438" s="943"/>
      <c r="X438" s="944"/>
    </row>
    <row r="439" spans="1:24" ht="13.5" thickBot="1">
      <c r="A439" s="906" t="s">
        <v>10</v>
      </c>
      <c r="B439" s="908" t="s">
        <v>175</v>
      </c>
      <c r="C439" s="909"/>
      <c r="D439" s="910"/>
      <c r="E439" s="911"/>
      <c r="F439" s="911"/>
      <c r="G439" s="911"/>
      <c r="H439" s="911"/>
      <c r="I439" s="911"/>
      <c r="J439" s="911"/>
      <c r="K439" s="911"/>
      <c r="L439" s="911"/>
      <c r="M439" s="911"/>
      <c r="N439" s="911"/>
      <c r="O439" s="911"/>
      <c r="P439" s="911"/>
      <c r="Q439" s="911"/>
      <c r="R439" s="911"/>
      <c r="S439" s="911"/>
      <c r="T439" s="911"/>
      <c r="U439" s="911"/>
      <c r="V439" s="911"/>
      <c r="W439" s="911"/>
      <c r="X439" s="912"/>
    </row>
    <row r="440" spans="1:24" ht="13.5" thickBot="1">
      <c r="A440" s="907"/>
      <c r="B440" s="916"/>
      <c r="C440" s="917"/>
      <c r="D440" s="913"/>
      <c r="E440" s="914"/>
      <c r="F440" s="914"/>
      <c r="G440" s="914"/>
      <c r="H440" s="914"/>
      <c r="I440" s="914"/>
      <c r="J440" s="914"/>
      <c r="K440" s="914"/>
      <c r="L440" s="914"/>
      <c r="M440" s="914"/>
      <c r="N440" s="914"/>
      <c r="O440" s="914"/>
      <c r="P440" s="914"/>
      <c r="Q440" s="914"/>
      <c r="R440" s="914"/>
      <c r="S440" s="914"/>
      <c r="T440" s="914"/>
      <c r="U440" s="914"/>
      <c r="V440" s="914"/>
      <c r="W440" s="914"/>
      <c r="X440" s="915"/>
    </row>
    <row r="441" spans="1:24">
      <c r="A441" s="5"/>
      <c r="B441" s="5"/>
      <c r="C441" s="6"/>
      <c r="D441" s="5"/>
      <c r="E441" s="5"/>
      <c r="F441" s="5"/>
      <c r="G441" s="5"/>
      <c r="H441" s="5"/>
      <c r="I441" s="5"/>
      <c r="J441" s="5"/>
      <c r="K441" s="5"/>
      <c r="L441" s="5"/>
      <c r="M441" s="5"/>
      <c r="N441" s="5"/>
      <c r="O441" s="5"/>
      <c r="P441" s="5"/>
      <c r="Q441" s="5"/>
      <c r="R441" s="5"/>
      <c r="S441" s="5"/>
      <c r="T441" s="5"/>
      <c r="U441" s="5"/>
      <c r="V441" s="5"/>
      <c r="W441" s="5"/>
      <c r="X441" s="5"/>
    </row>
    <row r="442" spans="1:24" ht="13.5" thickBot="1">
      <c r="A442" s="5"/>
      <c r="B442" s="5"/>
      <c r="C442" s="6"/>
      <c r="D442" s="5"/>
      <c r="E442" s="5"/>
      <c r="F442" s="5"/>
      <c r="G442" s="5"/>
      <c r="H442" s="5"/>
      <c r="I442" s="5"/>
      <c r="J442" s="5"/>
      <c r="K442" s="5"/>
      <c r="L442" s="5"/>
      <c r="M442" s="5"/>
      <c r="N442" s="5"/>
      <c r="O442" s="5"/>
      <c r="P442" s="5"/>
      <c r="Q442" s="5"/>
      <c r="R442" s="5"/>
      <c r="S442" s="5"/>
      <c r="T442" s="5"/>
      <c r="U442" s="5"/>
      <c r="V442" s="5"/>
      <c r="W442" s="5"/>
      <c r="X442" s="5"/>
    </row>
    <row r="443" spans="1:24" ht="13.5" thickBot="1">
      <c r="A443" s="95" t="s">
        <v>28</v>
      </c>
      <c r="B443" s="97" t="s">
        <v>32</v>
      </c>
      <c r="C443" s="8"/>
      <c r="D443" s="927" t="s">
        <v>78</v>
      </c>
      <c r="E443" s="928"/>
      <c r="F443" s="928"/>
      <c r="G443" s="929"/>
      <c r="H443" s="927" t="s">
        <v>77</v>
      </c>
      <c r="I443" s="928"/>
      <c r="J443" s="928"/>
      <c r="K443" s="929"/>
      <c r="L443" s="927" t="s">
        <v>81</v>
      </c>
      <c r="M443" s="928"/>
      <c r="N443" s="928"/>
      <c r="O443" s="929"/>
      <c r="P443" s="927" t="s">
        <v>254</v>
      </c>
      <c r="Q443" s="928"/>
      <c r="R443" s="928"/>
      <c r="S443" s="929"/>
      <c r="T443" s="927" t="s">
        <v>76</v>
      </c>
      <c r="U443" s="928"/>
      <c r="V443" s="928"/>
      <c r="W443" s="929"/>
      <c r="X443" s="16" t="s">
        <v>6</v>
      </c>
    </row>
    <row r="444" spans="1:24" ht="13.5" thickBot="1">
      <c r="A444" s="868" t="s">
        <v>65</v>
      </c>
      <c r="B444" s="868" t="s">
        <v>66</v>
      </c>
      <c r="C444" s="9" t="s">
        <v>285</v>
      </c>
      <c r="D444" s="942">
        <f>'LF-Enugu'!D138:G138</f>
        <v>1</v>
      </c>
      <c r="E444" s="943"/>
      <c r="F444" s="943"/>
      <c r="G444" s="944"/>
      <c r="H444" s="942">
        <f>'LF-Enugu'!H138:K138</f>
        <v>2</v>
      </c>
      <c r="I444" s="943"/>
      <c r="J444" s="943"/>
      <c r="K444" s="944"/>
      <c r="L444" s="942">
        <f>'LF-Enugu'!L138:O138</f>
        <v>2</v>
      </c>
      <c r="M444" s="943"/>
      <c r="N444" s="943"/>
      <c r="O444" s="944"/>
      <c r="P444" s="963">
        <f>'LF-Enugu'!P138:S138</f>
        <v>3</v>
      </c>
      <c r="Q444" s="964"/>
      <c r="R444" s="964"/>
      <c r="S444" s="965"/>
      <c r="T444" s="963">
        <f>'LF-Enugu'!T138:W138</f>
        <v>3.5</v>
      </c>
      <c r="U444" s="964"/>
      <c r="V444" s="964"/>
      <c r="W444" s="965"/>
      <c r="X444" s="879" t="s">
        <v>91</v>
      </c>
    </row>
    <row r="445" spans="1:24" ht="13.5" thickBot="1">
      <c r="A445" s="885"/>
      <c r="B445" s="885"/>
      <c r="C445" s="9" t="s">
        <v>286</v>
      </c>
      <c r="D445" s="942">
        <f>'LF-Jigawa'!D138:G138</f>
        <v>1</v>
      </c>
      <c r="E445" s="943"/>
      <c r="F445" s="943"/>
      <c r="G445" s="944"/>
      <c r="H445" s="942">
        <f>'LF-Jigawa'!H138:K138</f>
        <v>1.5</v>
      </c>
      <c r="I445" s="943"/>
      <c r="J445" s="943"/>
      <c r="K445" s="944"/>
      <c r="L445" s="942">
        <f>'LF-Jigawa'!L138:O138</f>
        <v>2.5</v>
      </c>
      <c r="M445" s="943"/>
      <c r="N445" s="943"/>
      <c r="O445" s="944"/>
      <c r="P445" s="963">
        <f>'LF-Jigawa'!P138:S138</f>
        <v>2.8</v>
      </c>
      <c r="Q445" s="964"/>
      <c r="R445" s="964"/>
      <c r="S445" s="965"/>
      <c r="T445" s="963">
        <f>'LF-Jigawa'!T138:W138</f>
        <v>3.6</v>
      </c>
      <c r="U445" s="964"/>
      <c r="V445" s="964"/>
      <c r="W445" s="965"/>
      <c r="X445" s="880"/>
    </row>
    <row r="446" spans="1:24" ht="13.5" thickBot="1">
      <c r="A446" s="885"/>
      <c r="B446" s="885"/>
      <c r="C446" s="9" t="s">
        <v>287</v>
      </c>
      <c r="D446" s="942">
        <f>'LF-Kaduna'!D138:G138</f>
        <v>1</v>
      </c>
      <c r="E446" s="943"/>
      <c r="F446" s="943"/>
      <c r="G446" s="944"/>
      <c r="H446" s="942">
        <f>'LF-Kaduna'!H138:K138</f>
        <v>1</v>
      </c>
      <c r="I446" s="943"/>
      <c r="J446" s="943"/>
      <c r="K446" s="944"/>
      <c r="L446" s="942">
        <f>'LF-Kaduna'!L138:O138</f>
        <v>2</v>
      </c>
      <c r="M446" s="943"/>
      <c r="N446" s="943"/>
      <c r="O446" s="944"/>
      <c r="P446" s="963">
        <f>'LF-Kaduna'!P138:S138</f>
        <v>2.1</v>
      </c>
      <c r="Q446" s="964"/>
      <c r="R446" s="964"/>
      <c r="S446" s="965"/>
      <c r="T446" s="963">
        <f>'LF-Kaduna'!T138:W138</f>
        <v>3.5</v>
      </c>
      <c r="U446" s="964"/>
      <c r="V446" s="964"/>
      <c r="W446" s="965"/>
      <c r="X446" s="880"/>
    </row>
    <row r="447" spans="1:24" ht="13.5" thickBot="1">
      <c r="A447" s="885"/>
      <c r="B447" s="885"/>
      <c r="C447" s="9" t="s">
        <v>288</v>
      </c>
      <c r="D447" s="942">
        <f>'LF-Kano'!D138:G138</f>
        <v>2</v>
      </c>
      <c r="E447" s="943"/>
      <c r="F447" s="943"/>
      <c r="G447" s="944"/>
      <c r="H447" s="942">
        <f>'LF-Kano'!H138:K138</f>
        <v>2</v>
      </c>
      <c r="I447" s="943"/>
      <c r="J447" s="943"/>
      <c r="K447" s="944"/>
      <c r="L447" s="942">
        <f>'LF-Kano'!L138:O138</f>
        <v>2.5</v>
      </c>
      <c r="M447" s="943"/>
      <c r="N447" s="943"/>
      <c r="O447" s="944"/>
      <c r="P447" s="963">
        <f>'LF-Kano'!P138:S138</f>
        <v>2.5</v>
      </c>
      <c r="Q447" s="964"/>
      <c r="R447" s="964"/>
      <c r="S447" s="965"/>
      <c r="T447" s="963">
        <f>'LF-Kano'!T138:W138</f>
        <v>3</v>
      </c>
      <c r="U447" s="964"/>
      <c r="V447" s="964"/>
      <c r="W447" s="965"/>
      <c r="X447" s="880"/>
    </row>
    <row r="448" spans="1:24" ht="13.5" thickBot="1">
      <c r="A448" s="885"/>
      <c r="B448" s="885"/>
      <c r="C448" s="9" t="s">
        <v>289</v>
      </c>
      <c r="D448" s="942">
        <f>'LF-Lagos'!D138:G138</f>
        <v>1</v>
      </c>
      <c r="E448" s="943"/>
      <c r="F448" s="943"/>
      <c r="G448" s="944"/>
      <c r="H448" s="942">
        <f>'LF-Lagos'!H138:K138</f>
        <v>3</v>
      </c>
      <c r="I448" s="943"/>
      <c r="J448" s="943"/>
      <c r="K448" s="944"/>
      <c r="L448" s="942">
        <f>'LF-Lagos'!L138:O138</f>
        <v>3.5</v>
      </c>
      <c r="M448" s="943"/>
      <c r="N448" s="943"/>
      <c r="O448" s="944"/>
      <c r="P448" s="963">
        <f>'LF-Lagos'!P138:S138</f>
        <v>3.5</v>
      </c>
      <c r="Q448" s="964"/>
      <c r="R448" s="964"/>
      <c r="S448" s="965"/>
      <c r="T448" s="963">
        <f>'LF-Lagos'!T138:W138</f>
        <v>4</v>
      </c>
      <c r="U448" s="964"/>
      <c r="V448" s="964"/>
      <c r="W448" s="965"/>
      <c r="X448" s="880"/>
    </row>
    <row r="449" spans="1:24" ht="13.5" thickBot="1">
      <c r="A449" s="885"/>
      <c r="B449" s="885"/>
      <c r="C449" s="9" t="s">
        <v>292</v>
      </c>
      <c r="D449" s="966" t="s">
        <v>255</v>
      </c>
      <c r="E449" s="967"/>
      <c r="F449" s="967"/>
      <c r="G449" s="968"/>
      <c r="H449" s="942">
        <f>'LF-Zamfara'!H138:K138</f>
        <v>1</v>
      </c>
      <c r="I449" s="943"/>
      <c r="J449" s="943"/>
      <c r="K449" s="944"/>
      <c r="L449" s="942">
        <f>'LF-Zamfara'!L138:O138</f>
        <v>1</v>
      </c>
      <c r="M449" s="943"/>
      <c r="N449" s="943"/>
      <c r="O449" s="944"/>
      <c r="P449" s="963">
        <f>'LF-Zamfara'!P138:S138</f>
        <v>1.3</v>
      </c>
      <c r="Q449" s="964"/>
      <c r="R449" s="964"/>
      <c r="S449" s="965"/>
      <c r="T449" s="963">
        <f>'LF-Zamfara'!T138:W138</f>
        <v>3</v>
      </c>
      <c r="U449" s="964"/>
      <c r="V449" s="964"/>
      <c r="W449" s="965"/>
      <c r="X449" s="880"/>
    </row>
    <row r="450" spans="1:24" ht="13.5" thickBot="1">
      <c r="A450" s="885"/>
      <c r="B450" s="885"/>
      <c r="C450" s="9" t="s">
        <v>293</v>
      </c>
      <c r="D450" s="966" t="s">
        <v>255</v>
      </c>
      <c r="E450" s="967"/>
      <c r="F450" s="967"/>
      <c r="G450" s="968"/>
      <c r="H450" s="942">
        <f>'LF-Katsina'!H138:K138</f>
        <v>2.5</v>
      </c>
      <c r="I450" s="943"/>
      <c r="J450" s="943"/>
      <c r="K450" s="944"/>
      <c r="L450" s="942">
        <f>'LF-Katsina'!L138:O138</f>
        <v>2.5</v>
      </c>
      <c r="M450" s="943"/>
      <c r="N450" s="943"/>
      <c r="O450" s="944"/>
      <c r="P450" s="963">
        <f>'LF-Katsina'!P138:S138</f>
        <v>2.7</v>
      </c>
      <c r="Q450" s="964"/>
      <c r="R450" s="964"/>
      <c r="S450" s="965"/>
      <c r="T450" s="963">
        <f>'LF-Katsina'!T138:W138</f>
        <v>4.2</v>
      </c>
      <c r="U450" s="964"/>
      <c r="V450" s="964"/>
      <c r="W450" s="965"/>
      <c r="X450" s="880"/>
    </row>
    <row r="451" spans="1:24" ht="13.5" thickBot="1">
      <c r="A451" s="885"/>
      <c r="B451" s="885"/>
      <c r="C451" s="9" t="s">
        <v>294</v>
      </c>
      <c r="D451" s="966" t="s">
        <v>255</v>
      </c>
      <c r="E451" s="967"/>
      <c r="F451" s="967"/>
      <c r="G451" s="968"/>
      <c r="H451" s="942">
        <f>'LF-Yobe'!H138:K138</f>
        <v>1</v>
      </c>
      <c r="I451" s="943"/>
      <c r="J451" s="943"/>
      <c r="K451" s="944"/>
      <c r="L451" s="942">
        <f>'LF-Yobe'!L138:O138</f>
        <v>1</v>
      </c>
      <c r="M451" s="943"/>
      <c r="N451" s="943"/>
      <c r="O451" s="944"/>
      <c r="P451" s="963">
        <f>'LF-Yobe'!P138:S138</f>
        <v>1.5</v>
      </c>
      <c r="Q451" s="964"/>
      <c r="R451" s="964"/>
      <c r="S451" s="965"/>
      <c r="T451" s="963">
        <f>'LF-Yobe'!T138:W138</f>
        <v>3</v>
      </c>
      <c r="U451" s="964"/>
      <c r="V451" s="964"/>
      <c r="W451" s="965"/>
      <c r="X451" s="880"/>
    </row>
    <row r="452" spans="1:24" ht="12.95" customHeight="1" thickBot="1">
      <c r="A452" s="885"/>
      <c r="B452" s="885"/>
      <c r="C452" s="9" t="s">
        <v>290</v>
      </c>
      <c r="D452" s="957"/>
      <c r="E452" s="958"/>
      <c r="F452" s="958"/>
      <c r="G452" s="959"/>
      <c r="H452" s="1162"/>
      <c r="I452" s="1163"/>
      <c r="J452" s="1163"/>
      <c r="K452" s="1164"/>
      <c r="L452" s="1150" t="s">
        <v>910</v>
      </c>
      <c r="M452" s="1151"/>
      <c r="N452" s="1151"/>
      <c r="O452" s="1152"/>
      <c r="P452" s="942">
        <f>'LF-Anambra'!P138:S138</f>
        <v>1</v>
      </c>
      <c r="Q452" s="943"/>
      <c r="R452" s="943"/>
      <c r="S452" s="944"/>
      <c r="T452" s="942">
        <f>'LF-Anambra'!T138:W138</f>
        <v>1.6</v>
      </c>
      <c r="U452" s="943"/>
      <c r="V452" s="943"/>
      <c r="W452" s="944"/>
      <c r="X452" s="880"/>
    </row>
    <row r="453" spans="1:24" ht="12.95" customHeight="1" thickBot="1">
      <c r="A453" s="885"/>
      <c r="B453" s="885"/>
      <c r="C453" s="9" t="s">
        <v>291</v>
      </c>
      <c r="D453" s="957"/>
      <c r="E453" s="958"/>
      <c r="F453" s="958"/>
      <c r="G453" s="959"/>
      <c r="H453" s="1162"/>
      <c r="I453" s="1163"/>
      <c r="J453" s="1163"/>
      <c r="K453" s="1164"/>
      <c r="L453" s="1150" t="s">
        <v>910</v>
      </c>
      <c r="M453" s="1151"/>
      <c r="N453" s="1151"/>
      <c r="O453" s="1152"/>
      <c r="P453" s="942">
        <f>'LF-Niger'!P138:S138</f>
        <v>1.5</v>
      </c>
      <c r="Q453" s="943"/>
      <c r="R453" s="943"/>
      <c r="S453" s="944"/>
      <c r="T453" s="942">
        <f>'LF-Niger'!T138:W138</f>
        <v>2.5</v>
      </c>
      <c r="U453" s="943"/>
      <c r="V453" s="943"/>
      <c r="W453" s="944"/>
      <c r="X453" s="880"/>
    </row>
    <row r="454" spans="1:24" ht="13.5" thickBot="1">
      <c r="A454" s="885"/>
      <c r="B454" s="885"/>
      <c r="C454" s="100" t="s">
        <v>295</v>
      </c>
      <c r="D454" s="1017"/>
      <c r="E454" s="1018"/>
      <c r="F454" s="1018"/>
      <c r="G454" s="1019"/>
      <c r="H454" s="1147">
        <f>'LF-Enugu'!H139:K139</f>
        <v>1.5</v>
      </c>
      <c r="I454" s="1148"/>
      <c r="J454" s="1148"/>
      <c r="K454" s="1149"/>
      <c r="L454" s="1147">
        <f>'LF-Enugu'!L139:O139</f>
        <v>2.7</v>
      </c>
      <c r="M454" s="1148"/>
      <c r="N454" s="1148"/>
      <c r="O454" s="1149"/>
      <c r="P454" s="1147">
        <f>'LF-Enugu'!P139:S139</f>
        <v>2.8</v>
      </c>
      <c r="Q454" s="1148"/>
      <c r="R454" s="1148"/>
      <c r="S454" s="1149"/>
      <c r="T454" s="1147">
        <f>'LF-Enugu'!T139:W139</f>
        <v>0</v>
      </c>
      <c r="U454" s="1148"/>
      <c r="V454" s="1148"/>
      <c r="W454" s="1149"/>
      <c r="X454" s="880"/>
    </row>
    <row r="455" spans="1:24" ht="13.5" thickBot="1">
      <c r="A455" s="885"/>
      <c r="B455" s="885"/>
      <c r="C455" s="100" t="s">
        <v>296</v>
      </c>
      <c r="D455" s="1017"/>
      <c r="E455" s="1018"/>
      <c r="F455" s="1018"/>
      <c r="G455" s="1019"/>
      <c r="H455" s="1147">
        <f>'LF-Jigawa'!H139:K139</f>
        <v>1.6</v>
      </c>
      <c r="I455" s="1148"/>
      <c r="J455" s="1148"/>
      <c r="K455" s="1149"/>
      <c r="L455" s="1147">
        <f>'LF-Jigawa'!L139:O139</f>
        <v>2.2999999999999998</v>
      </c>
      <c r="M455" s="1148"/>
      <c r="N455" s="1148"/>
      <c r="O455" s="1149"/>
      <c r="P455" s="1147">
        <f>'LF-Jigawa'!P139:S139</f>
        <v>2.8</v>
      </c>
      <c r="Q455" s="1148"/>
      <c r="R455" s="1148"/>
      <c r="S455" s="1149"/>
      <c r="T455" s="1147">
        <f>'LF-Jigawa'!T139:W139</f>
        <v>0</v>
      </c>
      <c r="U455" s="1148"/>
      <c r="V455" s="1148"/>
      <c r="W455" s="1149"/>
      <c r="X455" s="880"/>
    </row>
    <row r="456" spans="1:24" ht="13.5" thickBot="1">
      <c r="A456" s="885"/>
      <c r="B456" s="885"/>
      <c r="C456" s="100" t="s">
        <v>297</v>
      </c>
      <c r="D456" s="1017"/>
      <c r="E456" s="1018"/>
      <c r="F456" s="1018"/>
      <c r="G456" s="1019"/>
      <c r="H456" s="1147">
        <f>'LF-Kaduna'!H139:K139</f>
        <v>1.5</v>
      </c>
      <c r="I456" s="1148"/>
      <c r="J456" s="1148"/>
      <c r="K456" s="1149"/>
      <c r="L456" s="1147">
        <f>'LF-Kaduna'!L139:O139</f>
        <v>2</v>
      </c>
      <c r="M456" s="1148"/>
      <c r="N456" s="1148"/>
      <c r="O456" s="1149"/>
      <c r="P456" s="1147">
        <f>'LF-Kaduna'!P139:S139</f>
        <v>2.8</v>
      </c>
      <c r="Q456" s="1148"/>
      <c r="R456" s="1148"/>
      <c r="S456" s="1149"/>
      <c r="T456" s="1147">
        <f>'LF-Kaduna'!T139:W139</f>
        <v>0</v>
      </c>
      <c r="U456" s="1148"/>
      <c r="V456" s="1148"/>
      <c r="W456" s="1149"/>
      <c r="X456" s="880"/>
    </row>
    <row r="457" spans="1:24" ht="13.5" thickBot="1">
      <c r="A457" s="885"/>
      <c r="B457" s="885"/>
      <c r="C457" s="100" t="s">
        <v>298</v>
      </c>
      <c r="D457" s="1017"/>
      <c r="E457" s="1018"/>
      <c r="F457" s="1018"/>
      <c r="G457" s="1019"/>
      <c r="H457" s="1147">
        <f>'LF-Kano'!H139:K139</f>
        <v>2</v>
      </c>
      <c r="I457" s="1148"/>
      <c r="J457" s="1148"/>
      <c r="K457" s="1149"/>
      <c r="L457" s="1147">
        <f>'LF-Kano'!L139:O139</f>
        <v>3.3</v>
      </c>
      <c r="M457" s="1148"/>
      <c r="N457" s="1148"/>
      <c r="O457" s="1149"/>
      <c r="P457" s="1147">
        <f>'LF-Kano'!P139:S139</f>
        <v>2.8</v>
      </c>
      <c r="Q457" s="1148"/>
      <c r="R457" s="1148"/>
      <c r="S457" s="1149"/>
      <c r="T457" s="1147">
        <f>'LF-Kano'!T139:W139</f>
        <v>0</v>
      </c>
      <c r="U457" s="1148"/>
      <c r="V457" s="1148"/>
      <c r="W457" s="1149"/>
      <c r="X457" s="880"/>
    </row>
    <row r="458" spans="1:24" ht="13.5" thickBot="1">
      <c r="A458" s="885"/>
      <c r="B458" s="885"/>
      <c r="C458" s="100" t="s">
        <v>299</v>
      </c>
      <c r="D458" s="1017"/>
      <c r="E458" s="1018"/>
      <c r="F458" s="1018"/>
      <c r="G458" s="1019"/>
      <c r="H458" s="1147">
        <f>'LF-Lagos'!H139:K139</f>
        <v>3</v>
      </c>
      <c r="I458" s="1148"/>
      <c r="J458" s="1148"/>
      <c r="K458" s="1149"/>
      <c r="L458" s="1147">
        <f>'LF-Lagos'!L139:O139</f>
        <v>3</v>
      </c>
      <c r="M458" s="1148"/>
      <c r="N458" s="1148"/>
      <c r="O458" s="1149"/>
      <c r="P458" s="1147">
        <f>'LF-Lagos'!P139:S139</f>
        <v>4</v>
      </c>
      <c r="Q458" s="1148"/>
      <c r="R458" s="1148"/>
      <c r="S458" s="1149"/>
      <c r="T458" s="1147">
        <f>'LF-Lagos'!T139:W139</f>
        <v>0</v>
      </c>
      <c r="U458" s="1148"/>
      <c r="V458" s="1148"/>
      <c r="W458" s="1149"/>
      <c r="X458" s="880"/>
    </row>
    <row r="459" spans="1:24" ht="24.75" thickBot="1">
      <c r="A459" s="885"/>
      <c r="B459" s="885"/>
      <c r="C459" s="100" t="s">
        <v>300</v>
      </c>
      <c r="D459" s="1017"/>
      <c r="E459" s="1018"/>
      <c r="F459" s="1018"/>
      <c r="G459" s="1019"/>
      <c r="H459" s="1017"/>
      <c r="I459" s="1018"/>
      <c r="J459" s="1018"/>
      <c r="K459" s="1019"/>
      <c r="L459" s="1147">
        <f>'LF-Zamfara'!L139:O139</f>
        <v>1</v>
      </c>
      <c r="M459" s="1148"/>
      <c r="N459" s="1148"/>
      <c r="O459" s="1149"/>
      <c r="P459" s="1147">
        <f>'LF-Zamfara'!P139:S139</f>
        <v>3</v>
      </c>
      <c r="Q459" s="1148"/>
      <c r="R459" s="1148"/>
      <c r="S459" s="1149"/>
      <c r="T459" s="1147">
        <f>'LF-Zamfara'!T139:W139</f>
        <v>0</v>
      </c>
      <c r="U459" s="1148"/>
      <c r="V459" s="1148"/>
      <c r="W459" s="1149"/>
      <c r="X459" s="880"/>
    </row>
    <row r="460" spans="1:24" ht="13.5" thickBot="1">
      <c r="A460" s="885"/>
      <c r="B460" s="885"/>
      <c r="C460" s="100" t="s">
        <v>301</v>
      </c>
      <c r="D460" s="1017"/>
      <c r="E460" s="1018"/>
      <c r="F460" s="1018"/>
      <c r="G460" s="1019"/>
      <c r="H460" s="1017"/>
      <c r="I460" s="1018"/>
      <c r="J460" s="1018"/>
      <c r="K460" s="1019"/>
      <c r="L460" s="1147">
        <f>'LF-Katsina'!L139:O139</f>
        <v>2.5</v>
      </c>
      <c r="M460" s="1148"/>
      <c r="N460" s="1148"/>
      <c r="O460" s="1149"/>
      <c r="P460" s="1147">
        <f>'LF-Katsina'!P139:S139</f>
        <v>2.8</v>
      </c>
      <c r="Q460" s="1148"/>
      <c r="R460" s="1148"/>
      <c r="S460" s="1149"/>
      <c r="T460" s="1147">
        <f>'LF-Katsina'!T139:W139</f>
        <v>0</v>
      </c>
      <c r="U460" s="1148"/>
      <c r="V460" s="1148"/>
      <c r="W460" s="1149"/>
      <c r="X460" s="880"/>
    </row>
    <row r="461" spans="1:24" ht="13.5" thickBot="1">
      <c r="A461" s="885"/>
      <c r="B461" s="885"/>
      <c r="C461" s="100" t="s">
        <v>302</v>
      </c>
      <c r="D461" s="1017"/>
      <c r="E461" s="1018"/>
      <c r="F461" s="1018"/>
      <c r="G461" s="1019"/>
      <c r="H461" s="1017"/>
      <c r="I461" s="1018"/>
      <c r="J461" s="1018"/>
      <c r="K461" s="1019"/>
      <c r="L461" s="1147">
        <f>'LF-Yobe'!L139:O139</f>
        <v>1</v>
      </c>
      <c r="M461" s="1148"/>
      <c r="N461" s="1148"/>
      <c r="O461" s="1149"/>
      <c r="P461" s="1147">
        <f>'LF-Yobe'!P139:S139</f>
        <v>2.2999999999999998</v>
      </c>
      <c r="Q461" s="1148"/>
      <c r="R461" s="1148"/>
      <c r="S461" s="1149"/>
      <c r="T461" s="1147">
        <f>'LF-Yobe'!T139:W139</f>
        <v>0</v>
      </c>
      <c r="U461" s="1148"/>
      <c r="V461" s="1148"/>
      <c r="W461" s="1149"/>
      <c r="X461" s="880"/>
    </row>
    <row r="462" spans="1:24" ht="24.75" thickBot="1">
      <c r="A462" s="885"/>
      <c r="B462" s="885"/>
      <c r="C462" s="100" t="s">
        <v>303</v>
      </c>
      <c r="D462" s="1017"/>
      <c r="E462" s="1018"/>
      <c r="F462" s="1018"/>
      <c r="G462" s="1019"/>
      <c r="H462" s="1017"/>
      <c r="I462" s="1018"/>
      <c r="J462" s="1018"/>
      <c r="K462" s="1019"/>
      <c r="L462" s="1017"/>
      <c r="M462" s="1018"/>
      <c r="N462" s="1018"/>
      <c r="O462" s="1019"/>
      <c r="P462" s="1054"/>
      <c r="Q462" s="1055"/>
      <c r="R462" s="1055"/>
      <c r="S462" s="1056"/>
      <c r="T462" s="1147">
        <f>'LF-Anambra'!T139:W139</f>
        <v>0</v>
      </c>
      <c r="U462" s="1148"/>
      <c r="V462" s="1148"/>
      <c r="W462" s="1149"/>
      <c r="X462" s="880"/>
    </row>
    <row r="463" spans="1:24" ht="13.5" thickBot="1">
      <c r="A463" s="885"/>
      <c r="B463" s="885"/>
      <c r="C463" s="100" t="s">
        <v>304</v>
      </c>
      <c r="D463" s="1017"/>
      <c r="E463" s="1018"/>
      <c r="F463" s="1018"/>
      <c r="G463" s="1019"/>
      <c r="H463" s="1017"/>
      <c r="I463" s="1018"/>
      <c r="J463" s="1018"/>
      <c r="K463" s="1019"/>
      <c r="L463" s="1017"/>
      <c r="M463" s="1018"/>
      <c r="N463" s="1018"/>
      <c r="O463" s="1019"/>
      <c r="P463" s="1054"/>
      <c r="Q463" s="1055"/>
      <c r="R463" s="1055"/>
      <c r="S463" s="1056"/>
      <c r="T463" s="1147">
        <f>'LF-Niger'!T139:W139</f>
        <v>0</v>
      </c>
      <c r="U463" s="1148"/>
      <c r="V463" s="1148"/>
      <c r="W463" s="1149"/>
      <c r="X463" s="880"/>
    </row>
    <row r="464" spans="1:24" ht="13.5" thickBot="1">
      <c r="A464" s="885"/>
      <c r="B464" s="885"/>
      <c r="C464" s="922" t="s">
        <v>413</v>
      </c>
      <c r="D464" s="927" t="s">
        <v>4</v>
      </c>
      <c r="E464" s="928"/>
      <c r="F464" s="928"/>
      <c r="G464" s="928"/>
      <c r="H464" s="928"/>
      <c r="I464" s="928"/>
      <c r="J464" s="928"/>
      <c r="K464" s="928"/>
      <c r="L464" s="928"/>
      <c r="M464" s="928"/>
      <c r="N464" s="928"/>
      <c r="O464" s="928"/>
      <c r="P464" s="928"/>
      <c r="Q464" s="928"/>
      <c r="R464" s="928"/>
      <c r="S464" s="928"/>
      <c r="T464" s="928"/>
      <c r="U464" s="928"/>
      <c r="V464" s="928"/>
      <c r="W464" s="929"/>
      <c r="X464" s="880"/>
    </row>
    <row r="465" spans="1:24" ht="13.5" thickBot="1">
      <c r="A465" s="885"/>
      <c r="B465" s="869"/>
      <c r="C465" s="923"/>
      <c r="D465" s="930" t="s">
        <v>123</v>
      </c>
      <c r="E465" s="931"/>
      <c r="F465" s="931"/>
      <c r="G465" s="931"/>
      <c r="H465" s="931"/>
      <c r="I465" s="931"/>
      <c r="J465" s="931"/>
      <c r="K465" s="931"/>
      <c r="L465" s="931"/>
      <c r="M465" s="931"/>
      <c r="N465" s="931"/>
      <c r="O465" s="931"/>
      <c r="P465" s="931"/>
      <c r="Q465" s="931"/>
      <c r="R465" s="931"/>
      <c r="S465" s="931"/>
      <c r="T465" s="931"/>
      <c r="U465" s="931"/>
      <c r="V465" s="931"/>
      <c r="W465" s="932"/>
      <c r="X465" s="880"/>
    </row>
    <row r="466" spans="1:24" ht="13.5" thickBot="1">
      <c r="A466" s="885"/>
      <c r="B466" s="11" t="s">
        <v>33</v>
      </c>
      <c r="C466" s="12"/>
      <c r="D466" s="927" t="s">
        <v>78</v>
      </c>
      <c r="E466" s="928"/>
      <c r="F466" s="928"/>
      <c r="G466" s="929"/>
      <c r="H466" s="927" t="s">
        <v>77</v>
      </c>
      <c r="I466" s="928"/>
      <c r="J466" s="928"/>
      <c r="K466" s="929"/>
      <c r="L466" s="927" t="s">
        <v>81</v>
      </c>
      <c r="M466" s="928"/>
      <c r="N466" s="928"/>
      <c r="O466" s="929"/>
      <c r="P466" s="927" t="s">
        <v>254</v>
      </c>
      <c r="Q466" s="928"/>
      <c r="R466" s="928"/>
      <c r="S466" s="929"/>
      <c r="T466" s="927" t="s">
        <v>76</v>
      </c>
      <c r="U466" s="928"/>
      <c r="V466" s="928"/>
      <c r="W466" s="929"/>
      <c r="X466" s="880"/>
    </row>
    <row r="467" spans="1:24" ht="13.5" thickBot="1">
      <c r="A467" s="885"/>
      <c r="B467" s="868" t="s">
        <v>67</v>
      </c>
      <c r="C467" s="9" t="s">
        <v>285</v>
      </c>
      <c r="D467" s="942">
        <f>'LF-Enugu'!D143:G143</f>
        <v>1</v>
      </c>
      <c r="E467" s="943"/>
      <c r="F467" s="943"/>
      <c r="G467" s="944"/>
      <c r="H467" s="942">
        <f>'LF-Enugu'!H143:K143</f>
        <v>2</v>
      </c>
      <c r="I467" s="943"/>
      <c r="J467" s="943"/>
      <c r="K467" s="944"/>
      <c r="L467" s="942">
        <f>'LF-Enugu'!L143:O143</f>
        <v>2.5</v>
      </c>
      <c r="M467" s="943"/>
      <c r="N467" s="943"/>
      <c r="O467" s="944"/>
      <c r="P467" s="942">
        <f>'LF-Enugu'!P143:S143</f>
        <v>3.5</v>
      </c>
      <c r="Q467" s="943"/>
      <c r="R467" s="943"/>
      <c r="S467" s="944"/>
      <c r="T467" s="942">
        <f>'LF-Enugu'!T143:W143</f>
        <v>4</v>
      </c>
      <c r="U467" s="943"/>
      <c r="V467" s="943"/>
      <c r="W467" s="944"/>
      <c r="X467" s="880"/>
    </row>
    <row r="468" spans="1:24" ht="13.5" thickBot="1">
      <c r="A468" s="885"/>
      <c r="B468" s="885"/>
      <c r="C468" s="9" t="s">
        <v>286</v>
      </c>
      <c r="D468" s="942">
        <f>'LF-Jigawa'!D143:G143</f>
        <v>1</v>
      </c>
      <c r="E468" s="943"/>
      <c r="F468" s="943"/>
      <c r="G468" s="944"/>
      <c r="H468" s="942">
        <f>'LF-Jigawa'!H143:K143</f>
        <v>2</v>
      </c>
      <c r="I468" s="943"/>
      <c r="J468" s="943"/>
      <c r="K468" s="944"/>
      <c r="L468" s="942">
        <f>'LF-Jigawa'!L143:O143</f>
        <v>3</v>
      </c>
      <c r="M468" s="943"/>
      <c r="N468" s="943"/>
      <c r="O468" s="944"/>
      <c r="P468" s="963">
        <f>'LF-Jigawa'!P143:S143</f>
        <v>3.2</v>
      </c>
      <c r="Q468" s="964"/>
      <c r="R468" s="964"/>
      <c r="S468" s="965"/>
      <c r="T468" s="963">
        <f>'LF-Jigawa'!T143:W143</f>
        <v>4.5</v>
      </c>
      <c r="U468" s="964"/>
      <c r="V468" s="964"/>
      <c r="W468" s="965"/>
      <c r="X468" s="880"/>
    </row>
    <row r="469" spans="1:24" ht="13.5" thickBot="1">
      <c r="A469" s="885"/>
      <c r="B469" s="885"/>
      <c r="C469" s="9" t="s">
        <v>287</v>
      </c>
      <c r="D469" s="942">
        <f>'LF-Kaduna'!D143:G143</f>
        <v>1</v>
      </c>
      <c r="E469" s="943"/>
      <c r="F469" s="943"/>
      <c r="G469" s="944"/>
      <c r="H469" s="942">
        <f>'LF-Kaduna'!H143:K143</f>
        <v>1</v>
      </c>
      <c r="I469" s="943"/>
      <c r="J469" s="943"/>
      <c r="K469" s="944"/>
      <c r="L469" s="942">
        <f>'LF-Kaduna'!L143:O143</f>
        <v>2</v>
      </c>
      <c r="M469" s="943"/>
      <c r="N469" s="943"/>
      <c r="O469" s="944"/>
      <c r="P469" s="963">
        <f>'LF-Kaduna'!P143:S143</f>
        <v>2.1</v>
      </c>
      <c r="Q469" s="964"/>
      <c r="R469" s="964"/>
      <c r="S469" s="965"/>
      <c r="T469" s="963">
        <f>'LF-Kaduna'!T143:W143</f>
        <v>4.5</v>
      </c>
      <c r="U469" s="964"/>
      <c r="V469" s="964"/>
      <c r="W469" s="965"/>
      <c r="X469" s="880"/>
    </row>
    <row r="470" spans="1:24" ht="13.5" thickBot="1">
      <c r="A470" s="885"/>
      <c r="B470" s="885"/>
      <c r="C470" s="9" t="s">
        <v>288</v>
      </c>
      <c r="D470" s="942">
        <f>'LF-Kano'!D143:G143</f>
        <v>2</v>
      </c>
      <c r="E470" s="943"/>
      <c r="F470" s="943"/>
      <c r="G470" s="944"/>
      <c r="H470" s="942">
        <f>'LF-Kano'!H143:K143</f>
        <v>2</v>
      </c>
      <c r="I470" s="943"/>
      <c r="J470" s="943"/>
      <c r="K470" s="944"/>
      <c r="L470" s="942">
        <f>'LF-Kano'!L143:O143</f>
        <v>3</v>
      </c>
      <c r="M470" s="943"/>
      <c r="N470" s="943"/>
      <c r="O470" s="944"/>
      <c r="P470" s="963">
        <f>'LF-Kano'!P143:S143</f>
        <v>3</v>
      </c>
      <c r="Q470" s="964"/>
      <c r="R470" s="964"/>
      <c r="S470" s="965"/>
      <c r="T470" s="963">
        <f>'LF-Kano'!T143:W143</f>
        <v>4.5</v>
      </c>
      <c r="U470" s="964"/>
      <c r="V470" s="964"/>
      <c r="W470" s="965"/>
      <c r="X470" s="880"/>
    </row>
    <row r="471" spans="1:24" ht="13.5" thickBot="1">
      <c r="A471" s="885"/>
      <c r="B471" s="885"/>
      <c r="C471" s="9" t="s">
        <v>289</v>
      </c>
      <c r="D471" s="942">
        <f>'LF-Lagos'!D143:G143</f>
        <v>1</v>
      </c>
      <c r="E471" s="943"/>
      <c r="F471" s="943"/>
      <c r="G471" s="944"/>
      <c r="H471" s="942">
        <f>'LF-Lagos'!H143:K143</f>
        <v>2</v>
      </c>
      <c r="I471" s="943"/>
      <c r="J471" s="943"/>
      <c r="K471" s="944"/>
      <c r="L471" s="942">
        <f>'LF-Lagos'!L143:O143</f>
        <v>3</v>
      </c>
      <c r="M471" s="943"/>
      <c r="N471" s="943"/>
      <c r="O471" s="944"/>
      <c r="P471" s="963">
        <f>'LF-Lagos'!P143:S143</f>
        <v>3.8</v>
      </c>
      <c r="Q471" s="964"/>
      <c r="R471" s="964"/>
      <c r="S471" s="965"/>
      <c r="T471" s="963">
        <f>'LF-Lagos'!T143:W143</f>
        <v>3.5</v>
      </c>
      <c r="U471" s="964"/>
      <c r="V471" s="964"/>
      <c r="W471" s="965"/>
      <c r="X471" s="880"/>
    </row>
    <row r="472" spans="1:24" ht="13.5" thickBot="1">
      <c r="A472" s="885"/>
      <c r="B472" s="885"/>
      <c r="C472" s="9" t="s">
        <v>292</v>
      </c>
      <c r="D472" s="966" t="s">
        <v>255</v>
      </c>
      <c r="E472" s="967"/>
      <c r="F472" s="967"/>
      <c r="G472" s="968"/>
      <c r="H472" s="942">
        <f>'LF-Zamfara'!H143:K143</f>
        <v>2</v>
      </c>
      <c r="I472" s="943"/>
      <c r="J472" s="943"/>
      <c r="K472" s="944"/>
      <c r="L472" s="942">
        <f>'LF-Zamfara'!L143:O143</f>
        <v>2</v>
      </c>
      <c r="M472" s="943"/>
      <c r="N472" s="943"/>
      <c r="O472" s="944"/>
      <c r="P472" s="963">
        <f>'LF-Zamfara'!P143:S143</f>
        <v>2.4</v>
      </c>
      <c r="Q472" s="964"/>
      <c r="R472" s="964"/>
      <c r="S472" s="965"/>
      <c r="T472" s="963">
        <f>'LF-Zamfara'!T143:W143</f>
        <v>3.5</v>
      </c>
      <c r="U472" s="964"/>
      <c r="V472" s="964"/>
      <c r="W472" s="965"/>
      <c r="X472" s="880"/>
    </row>
    <row r="473" spans="1:24" ht="13.5" thickBot="1">
      <c r="A473" s="885"/>
      <c r="B473" s="885"/>
      <c r="C473" s="9" t="s">
        <v>293</v>
      </c>
      <c r="D473" s="966" t="s">
        <v>255</v>
      </c>
      <c r="E473" s="967"/>
      <c r="F473" s="967"/>
      <c r="G473" s="968"/>
      <c r="H473" s="963">
        <f>'LF-Katsina'!H143:K143</f>
        <v>3.7</v>
      </c>
      <c r="I473" s="964"/>
      <c r="J473" s="964"/>
      <c r="K473" s="965"/>
      <c r="L473" s="963">
        <f>'LF-Katsina'!L143:O143</f>
        <v>3.7</v>
      </c>
      <c r="M473" s="964"/>
      <c r="N473" s="964"/>
      <c r="O473" s="965"/>
      <c r="P473" s="963">
        <f>'LF-Katsina'!P143:S143</f>
        <v>4</v>
      </c>
      <c r="Q473" s="964"/>
      <c r="R473" s="964"/>
      <c r="S473" s="965"/>
      <c r="T473" s="963">
        <f>'LF-Katsina'!T143:W143</f>
        <v>4.8</v>
      </c>
      <c r="U473" s="964"/>
      <c r="V473" s="964"/>
      <c r="W473" s="965"/>
      <c r="X473" s="880"/>
    </row>
    <row r="474" spans="1:24" ht="13.5" thickBot="1">
      <c r="A474" s="885"/>
      <c r="B474" s="885"/>
      <c r="C474" s="9" t="s">
        <v>294</v>
      </c>
      <c r="D474" s="966" t="s">
        <v>255</v>
      </c>
      <c r="E474" s="967"/>
      <c r="F474" s="967"/>
      <c r="G474" s="968"/>
      <c r="H474" s="942">
        <f>'LF-Yobe'!H143:K143</f>
        <v>1.7</v>
      </c>
      <c r="I474" s="943"/>
      <c r="J474" s="943"/>
      <c r="K474" s="944"/>
      <c r="L474" s="942">
        <f>'LF-Yobe'!L143:O143</f>
        <v>1.7</v>
      </c>
      <c r="M474" s="943"/>
      <c r="N474" s="943"/>
      <c r="O474" s="944"/>
      <c r="P474" s="942">
        <f>'LF-Yobe'!P143:S143</f>
        <v>2</v>
      </c>
      <c r="Q474" s="943"/>
      <c r="R474" s="943"/>
      <c r="S474" s="944"/>
      <c r="T474" s="942">
        <f>'LF-Yobe'!T143:W143</f>
        <v>3.2</v>
      </c>
      <c r="U474" s="943"/>
      <c r="V474" s="943"/>
      <c r="W474" s="944"/>
      <c r="X474" s="880"/>
    </row>
    <row r="475" spans="1:24" ht="12.95" customHeight="1" thickBot="1">
      <c r="A475" s="885"/>
      <c r="B475" s="885"/>
      <c r="C475" s="9" t="s">
        <v>290</v>
      </c>
      <c r="D475" s="957"/>
      <c r="E475" s="958"/>
      <c r="F475" s="958"/>
      <c r="G475" s="959"/>
      <c r="H475" s="1162"/>
      <c r="I475" s="1163"/>
      <c r="J475" s="1163"/>
      <c r="K475" s="1164"/>
      <c r="L475" s="1150" t="s">
        <v>910</v>
      </c>
      <c r="M475" s="1151"/>
      <c r="N475" s="1151"/>
      <c r="O475" s="1152"/>
      <c r="P475" s="942">
        <f>'LF-Anambra'!P143:S143</f>
        <v>1.8</v>
      </c>
      <c r="Q475" s="943"/>
      <c r="R475" s="943"/>
      <c r="S475" s="944"/>
      <c r="T475" s="942">
        <f>'LF-Anambra'!T143:W143</f>
        <v>2.4</v>
      </c>
      <c r="U475" s="943"/>
      <c r="V475" s="943"/>
      <c r="W475" s="944"/>
      <c r="X475" s="880"/>
    </row>
    <row r="476" spans="1:24" ht="12.95" customHeight="1" thickBot="1">
      <c r="A476" s="885"/>
      <c r="B476" s="885"/>
      <c r="C476" s="9" t="s">
        <v>291</v>
      </c>
      <c r="D476" s="957"/>
      <c r="E476" s="958"/>
      <c r="F476" s="958"/>
      <c r="G476" s="959"/>
      <c r="H476" s="1162"/>
      <c r="I476" s="1163"/>
      <c r="J476" s="1163"/>
      <c r="K476" s="1164"/>
      <c r="L476" s="1150" t="s">
        <v>910</v>
      </c>
      <c r="M476" s="1151"/>
      <c r="N476" s="1151"/>
      <c r="O476" s="1152"/>
      <c r="P476" s="942">
        <f>'LF-Niger'!P143:S143</f>
        <v>1.8</v>
      </c>
      <c r="Q476" s="943"/>
      <c r="R476" s="943"/>
      <c r="S476" s="944"/>
      <c r="T476" s="942">
        <f>'LF-Niger'!T143:W143</f>
        <v>3.5</v>
      </c>
      <c r="U476" s="943"/>
      <c r="V476" s="943"/>
      <c r="W476" s="944"/>
      <c r="X476" s="880"/>
    </row>
    <row r="477" spans="1:24" ht="13.5" thickBot="1">
      <c r="A477" s="885"/>
      <c r="B477" s="885"/>
      <c r="C477" s="100" t="s">
        <v>295</v>
      </c>
      <c r="D477" s="1017"/>
      <c r="E477" s="1018"/>
      <c r="F477" s="1018"/>
      <c r="G477" s="1019"/>
      <c r="H477" s="1147">
        <f>'LF-Enugu'!H144:K144</f>
        <v>1.5</v>
      </c>
      <c r="I477" s="1148"/>
      <c r="J477" s="1148"/>
      <c r="K477" s="1149"/>
      <c r="L477" s="1147">
        <f>'LF-Enugu'!L144:O144</f>
        <v>3.3</v>
      </c>
      <c r="M477" s="1148"/>
      <c r="N477" s="1148"/>
      <c r="O477" s="1149"/>
      <c r="P477" s="1147">
        <f>'LF-Enugu'!P144:S144</f>
        <v>4.3</v>
      </c>
      <c r="Q477" s="1148"/>
      <c r="R477" s="1148"/>
      <c r="S477" s="1149"/>
      <c r="T477" s="1147">
        <f>'LF-Enugu'!T144:W144</f>
        <v>0</v>
      </c>
      <c r="U477" s="1148"/>
      <c r="V477" s="1148"/>
      <c r="W477" s="1149"/>
      <c r="X477" s="880"/>
    </row>
    <row r="478" spans="1:24" ht="13.5" thickBot="1">
      <c r="A478" s="885"/>
      <c r="B478" s="885"/>
      <c r="C478" s="100" t="s">
        <v>296</v>
      </c>
      <c r="D478" s="1017"/>
      <c r="E478" s="1018"/>
      <c r="F478" s="1018"/>
      <c r="G478" s="1019"/>
      <c r="H478" s="1147">
        <f>'LF-Jigawa'!H144:K144</f>
        <v>2.8</v>
      </c>
      <c r="I478" s="1148"/>
      <c r="J478" s="1148"/>
      <c r="K478" s="1149"/>
      <c r="L478" s="1147">
        <f>'LF-Jigawa'!L144:O144</f>
        <v>2</v>
      </c>
      <c r="M478" s="1148"/>
      <c r="N478" s="1148"/>
      <c r="O478" s="1149"/>
      <c r="P478" s="1147">
        <f>'LF-Jigawa'!P144:S144</f>
        <v>4.5</v>
      </c>
      <c r="Q478" s="1148"/>
      <c r="R478" s="1148"/>
      <c r="S478" s="1149"/>
      <c r="T478" s="1147">
        <f>'LF-Jigawa'!T144:W144</f>
        <v>0</v>
      </c>
      <c r="U478" s="1148"/>
      <c r="V478" s="1148"/>
      <c r="W478" s="1149"/>
      <c r="X478" s="880"/>
    </row>
    <row r="479" spans="1:24" ht="13.5" thickBot="1">
      <c r="A479" s="885"/>
      <c r="B479" s="885"/>
      <c r="C479" s="100" t="s">
        <v>297</v>
      </c>
      <c r="D479" s="1017"/>
      <c r="E479" s="1018"/>
      <c r="F479" s="1018"/>
      <c r="G479" s="1019"/>
      <c r="H479" s="1147">
        <f>'LF-Kaduna'!H144:K144</f>
        <v>1</v>
      </c>
      <c r="I479" s="1148"/>
      <c r="J479" s="1148"/>
      <c r="K479" s="1149"/>
      <c r="L479" s="1147">
        <f>'LF-Kaduna'!L144:O144</f>
        <v>2</v>
      </c>
      <c r="M479" s="1148"/>
      <c r="N479" s="1148"/>
      <c r="O479" s="1149"/>
      <c r="P479" s="1147">
        <f>'LF-Kaduna'!P144:S144</f>
        <v>4.3</v>
      </c>
      <c r="Q479" s="1148"/>
      <c r="R479" s="1148"/>
      <c r="S479" s="1149"/>
      <c r="T479" s="1147">
        <f>'LF-Kaduna'!T144:W144</f>
        <v>0</v>
      </c>
      <c r="U479" s="1148"/>
      <c r="V479" s="1148"/>
      <c r="W479" s="1149"/>
      <c r="X479" s="880"/>
    </row>
    <row r="480" spans="1:24" ht="13.5" thickBot="1">
      <c r="A480" s="885"/>
      <c r="B480" s="885"/>
      <c r="C480" s="100" t="s">
        <v>298</v>
      </c>
      <c r="D480" s="1017"/>
      <c r="E480" s="1018"/>
      <c r="F480" s="1018"/>
      <c r="G480" s="1019"/>
      <c r="H480" s="1147">
        <f>'LF-Kano'!H144:K144</f>
        <v>1</v>
      </c>
      <c r="I480" s="1148"/>
      <c r="J480" s="1148"/>
      <c r="K480" s="1149"/>
      <c r="L480" s="1147">
        <f>'LF-Kano'!L144:O144</f>
        <v>2.7</v>
      </c>
      <c r="M480" s="1148"/>
      <c r="N480" s="1148"/>
      <c r="O480" s="1149"/>
      <c r="P480" s="1147">
        <f>'LF-Kano'!P144:S144</f>
        <v>4.3</v>
      </c>
      <c r="Q480" s="1148"/>
      <c r="R480" s="1148"/>
      <c r="S480" s="1149"/>
      <c r="T480" s="1147">
        <f>'LF-Kano'!T144:W144</f>
        <v>0</v>
      </c>
      <c r="U480" s="1148"/>
      <c r="V480" s="1148"/>
      <c r="W480" s="1149"/>
      <c r="X480" s="880"/>
    </row>
    <row r="481" spans="1:24" ht="13.5" thickBot="1">
      <c r="A481" s="885"/>
      <c r="B481" s="885"/>
      <c r="C481" s="100" t="s">
        <v>299</v>
      </c>
      <c r="D481" s="1017"/>
      <c r="E481" s="1018"/>
      <c r="F481" s="1018"/>
      <c r="G481" s="1019"/>
      <c r="H481" s="1147">
        <f>'LF-Lagos'!H144:K144</f>
        <v>3</v>
      </c>
      <c r="I481" s="1148"/>
      <c r="J481" s="1148"/>
      <c r="K481" s="1149"/>
      <c r="L481" s="1147">
        <f>'LF-Lagos'!L144:O144</f>
        <v>3.3</v>
      </c>
      <c r="M481" s="1148"/>
      <c r="N481" s="1148"/>
      <c r="O481" s="1149"/>
      <c r="P481" s="1147">
        <f>'LF-Lagos'!P144:S144</f>
        <v>3.3</v>
      </c>
      <c r="Q481" s="1148"/>
      <c r="R481" s="1148"/>
      <c r="S481" s="1149"/>
      <c r="T481" s="1147">
        <f>'LF-Lagos'!T144:W144</f>
        <v>0</v>
      </c>
      <c r="U481" s="1148"/>
      <c r="V481" s="1148"/>
      <c r="W481" s="1149"/>
      <c r="X481" s="880"/>
    </row>
    <row r="482" spans="1:24" ht="24.75" thickBot="1">
      <c r="A482" s="885"/>
      <c r="B482" s="885"/>
      <c r="C482" s="100" t="s">
        <v>300</v>
      </c>
      <c r="D482" s="1017"/>
      <c r="E482" s="1018"/>
      <c r="F482" s="1018"/>
      <c r="G482" s="1019"/>
      <c r="H482" s="1017"/>
      <c r="I482" s="1018"/>
      <c r="J482" s="1018"/>
      <c r="K482" s="1019"/>
      <c r="L482" s="1147">
        <f>'LF-Zamfara'!L144:O144</f>
        <v>2</v>
      </c>
      <c r="M482" s="1148"/>
      <c r="N482" s="1148"/>
      <c r="O482" s="1149"/>
      <c r="P482" s="1147">
        <f>'LF-Zamfara'!P144:S144</f>
        <v>3.3</v>
      </c>
      <c r="Q482" s="1148"/>
      <c r="R482" s="1148"/>
      <c r="S482" s="1149"/>
      <c r="T482" s="1147">
        <f>'LF-Zamfara'!T144:W144</f>
        <v>0</v>
      </c>
      <c r="U482" s="1148"/>
      <c r="V482" s="1148"/>
      <c r="W482" s="1149"/>
      <c r="X482" s="880"/>
    </row>
    <row r="483" spans="1:24" ht="13.5" thickBot="1">
      <c r="A483" s="885"/>
      <c r="B483" s="885"/>
      <c r="C483" s="100" t="s">
        <v>301</v>
      </c>
      <c r="D483" s="1017"/>
      <c r="E483" s="1018"/>
      <c r="F483" s="1018"/>
      <c r="G483" s="1019"/>
      <c r="H483" s="1017"/>
      <c r="I483" s="1018"/>
      <c r="J483" s="1018"/>
      <c r="K483" s="1019"/>
      <c r="L483" s="1147">
        <f>'LF-Katsina'!L144:O144</f>
        <v>3.7</v>
      </c>
      <c r="M483" s="1148"/>
      <c r="N483" s="1148"/>
      <c r="O483" s="1149"/>
      <c r="P483" s="1147">
        <f>'LF-Katsina'!P144:S144</f>
        <v>3.5</v>
      </c>
      <c r="Q483" s="1148"/>
      <c r="R483" s="1148"/>
      <c r="S483" s="1149"/>
      <c r="T483" s="1147">
        <f>'LF-Katsina'!T144:W144</f>
        <v>0</v>
      </c>
      <c r="U483" s="1148"/>
      <c r="V483" s="1148"/>
      <c r="W483" s="1149"/>
      <c r="X483" s="880"/>
    </row>
    <row r="484" spans="1:24" ht="13.5" thickBot="1">
      <c r="A484" s="885"/>
      <c r="B484" s="885"/>
      <c r="C484" s="100" t="s">
        <v>302</v>
      </c>
      <c r="D484" s="1017"/>
      <c r="E484" s="1018"/>
      <c r="F484" s="1018"/>
      <c r="G484" s="1019"/>
      <c r="H484" s="1017"/>
      <c r="I484" s="1018"/>
      <c r="J484" s="1018"/>
      <c r="K484" s="1019"/>
      <c r="L484" s="1147">
        <f>'LF-Yobe'!L144:O144</f>
        <v>1.7</v>
      </c>
      <c r="M484" s="1148"/>
      <c r="N484" s="1148"/>
      <c r="O484" s="1149"/>
      <c r="P484" s="1147">
        <f>'LF-Yobe'!P144:S144</f>
        <v>2.2999999999999998</v>
      </c>
      <c r="Q484" s="1148"/>
      <c r="R484" s="1148"/>
      <c r="S484" s="1149"/>
      <c r="T484" s="1147">
        <f>'LF-Yobe'!T144:W144</f>
        <v>0</v>
      </c>
      <c r="U484" s="1148"/>
      <c r="V484" s="1148"/>
      <c r="W484" s="1149"/>
      <c r="X484" s="880"/>
    </row>
    <row r="485" spans="1:24" ht="24.75" thickBot="1">
      <c r="A485" s="885"/>
      <c r="B485" s="885"/>
      <c r="C485" s="100" t="s">
        <v>303</v>
      </c>
      <c r="D485" s="1017"/>
      <c r="E485" s="1018"/>
      <c r="F485" s="1018"/>
      <c r="G485" s="1019"/>
      <c r="H485" s="1017"/>
      <c r="I485" s="1018"/>
      <c r="J485" s="1018"/>
      <c r="K485" s="1019"/>
      <c r="L485" s="1017"/>
      <c r="M485" s="1018"/>
      <c r="N485" s="1018"/>
      <c r="O485" s="1019"/>
      <c r="P485" s="1054"/>
      <c r="Q485" s="1055"/>
      <c r="R485" s="1055"/>
      <c r="S485" s="1056"/>
      <c r="T485" s="1147">
        <f>'LF-Anambra'!T144:W144</f>
        <v>0</v>
      </c>
      <c r="U485" s="1148"/>
      <c r="V485" s="1148"/>
      <c r="W485" s="1149"/>
      <c r="X485" s="880"/>
    </row>
    <row r="486" spans="1:24" ht="13.5" thickBot="1">
      <c r="A486" s="885"/>
      <c r="B486" s="885"/>
      <c r="C486" s="100" t="s">
        <v>304</v>
      </c>
      <c r="D486" s="1017"/>
      <c r="E486" s="1018"/>
      <c r="F486" s="1018"/>
      <c r="G486" s="1019"/>
      <c r="H486" s="1017"/>
      <c r="I486" s="1018"/>
      <c r="J486" s="1018"/>
      <c r="K486" s="1019"/>
      <c r="L486" s="1017"/>
      <c r="M486" s="1018"/>
      <c r="N486" s="1018"/>
      <c r="O486" s="1019"/>
      <c r="P486" s="1054"/>
      <c r="Q486" s="1055"/>
      <c r="R486" s="1055"/>
      <c r="S486" s="1056"/>
      <c r="T486" s="1147">
        <f>'LF-Niger'!T144:W144</f>
        <v>0</v>
      </c>
      <c r="U486" s="1148"/>
      <c r="V486" s="1148"/>
      <c r="W486" s="1149"/>
      <c r="X486" s="880"/>
    </row>
    <row r="487" spans="1:24" ht="13.5" thickBot="1">
      <c r="A487" s="885"/>
      <c r="B487" s="885"/>
      <c r="C487" s="922" t="s">
        <v>413</v>
      </c>
      <c r="D487" s="927" t="s">
        <v>4</v>
      </c>
      <c r="E487" s="928"/>
      <c r="F487" s="928"/>
      <c r="G487" s="928"/>
      <c r="H487" s="928"/>
      <c r="I487" s="928"/>
      <c r="J487" s="928"/>
      <c r="K487" s="928"/>
      <c r="L487" s="928"/>
      <c r="M487" s="928"/>
      <c r="N487" s="928"/>
      <c r="O487" s="928"/>
      <c r="P487" s="928"/>
      <c r="Q487" s="928"/>
      <c r="R487" s="928"/>
      <c r="S487" s="928"/>
      <c r="T487" s="928"/>
      <c r="U487" s="928"/>
      <c r="V487" s="928"/>
      <c r="W487" s="929"/>
      <c r="X487" s="880"/>
    </row>
    <row r="488" spans="1:24" ht="13.5" thickBot="1">
      <c r="A488" s="885"/>
      <c r="B488" s="869"/>
      <c r="C488" s="923"/>
      <c r="D488" s="930" t="s">
        <v>123</v>
      </c>
      <c r="E488" s="931"/>
      <c r="F488" s="931"/>
      <c r="G488" s="931"/>
      <c r="H488" s="931"/>
      <c r="I488" s="931"/>
      <c r="J488" s="931"/>
      <c r="K488" s="931"/>
      <c r="L488" s="931"/>
      <c r="M488" s="931"/>
      <c r="N488" s="931"/>
      <c r="O488" s="931"/>
      <c r="P488" s="931"/>
      <c r="Q488" s="931"/>
      <c r="R488" s="931"/>
      <c r="S488" s="931"/>
      <c r="T488" s="931"/>
      <c r="U488" s="931"/>
      <c r="V488" s="931"/>
      <c r="W488" s="932"/>
      <c r="X488" s="880"/>
    </row>
    <row r="489" spans="1:24" ht="13.5" thickBot="1">
      <c r="A489" s="885"/>
      <c r="B489" s="11" t="s">
        <v>34</v>
      </c>
      <c r="C489" s="12"/>
      <c r="D489" s="927" t="s">
        <v>78</v>
      </c>
      <c r="E489" s="928"/>
      <c r="F489" s="928"/>
      <c r="G489" s="929"/>
      <c r="H489" s="927" t="s">
        <v>77</v>
      </c>
      <c r="I489" s="928"/>
      <c r="J489" s="928"/>
      <c r="K489" s="929"/>
      <c r="L489" s="927" t="s">
        <v>81</v>
      </c>
      <c r="M489" s="928"/>
      <c r="N489" s="928"/>
      <c r="O489" s="929"/>
      <c r="P489" s="927" t="s">
        <v>254</v>
      </c>
      <c r="Q489" s="928"/>
      <c r="R489" s="928"/>
      <c r="S489" s="929"/>
      <c r="T489" s="927" t="s">
        <v>76</v>
      </c>
      <c r="U489" s="928"/>
      <c r="V489" s="928"/>
      <c r="W489" s="929"/>
      <c r="X489" s="880"/>
    </row>
    <row r="490" spans="1:24" ht="13.5" thickBot="1">
      <c r="A490" s="885"/>
      <c r="B490" s="868" t="s">
        <v>68</v>
      </c>
      <c r="C490" s="9" t="s">
        <v>285</v>
      </c>
      <c r="D490" s="942">
        <f>'LF-Enugu'!D148:G148</f>
        <v>1</v>
      </c>
      <c r="E490" s="943"/>
      <c r="F490" s="943"/>
      <c r="G490" s="944"/>
      <c r="H490" s="942">
        <f>'LF-Enugu'!H148:K148</f>
        <v>1</v>
      </c>
      <c r="I490" s="943"/>
      <c r="J490" s="943"/>
      <c r="K490" s="944"/>
      <c r="L490" s="942">
        <f>'LF-Enugu'!L148:O148</f>
        <v>2</v>
      </c>
      <c r="M490" s="943"/>
      <c r="N490" s="943"/>
      <c r="O490" s="944"/>
      <c r="P490" s="942">
        <f>'LF-Enugu'!P148:S148</f>
        <v>2.5</v>
      </c>
      <c r="Q490" s="943"/>
      <c r="R490" s="943"/>
      <c r="S490" s="944"/>
      <c r="T490" s="942">
        <f>'LF-Enugu'!T148:W148</f>
        <v>3</v>
      </c>
      <c r="U490" s="943"/>
      <c r="V490" s="943"/>
      <c r="W490" s="944"/>
      <c r="X490" s="880"/>
    </row>
    <row r="491" spans="1:24" ht="13.5" thickBot="1">
      <c r="A491" s="885"/>
      <c r="B491" s="885"/>
      <c r="C491" s="9" t="s">
        <v>286</v>
      </c>
      <c r="D491" s="942">
        <f>'LF-Jigawa'!D148:G148</f>
        <v>1</v>
      </c>
      <c r="E491" s="943"/>
      <c r="F491" s="943"/>
      <c r="G491" s="944"/>
      <c r="H491" s="942">
        <f>'LF-Jigawa'!H148:K148</f>
        <v>2</v>
      </c>
      <c r="I491" s="943"/>
      <c r="J491" s="943"/>
      <c r="K491" s="944"/>
      <c r="L491" s="942">
        <f>'LF-Jigawa'!L148:O148</f>
        <v>3</v>
      </c>
      <c r="M491" s="943"/>
      <c r="N491" s="943"/>
      <c r="O491" s="944"/>
      <c r="P491" s="963">
        <f>'LF-Jigawa'!P148:S148</f>
        <v>3</v>
      </c>
      <c r="Q491" s="964"/>
      <c r="R491" s="964"/>
      <c r="S491" s="965"/>
      <c r="T491" s="963">
        <f>'LF-Jigawa'!T148:W148</f>
        <v>3.6</v>
      </c>
      <c r="U491" s="964"/>
      <c r="V491" s="964"/>
      <c r="W491" s="965"/>
      <c r="X491" s="880"/>
    </row>
    <row r="492" spans="1:24" ht="13.5" thickBot="1">
      <c r="A492" s="885"/>
      <c r="B492" s="885"/>
      <c r="C492" s="9" t="s">
        <v>287</v>
      </c>
      <c r="D492" s="942">
        <f>'LF-Kaduna'!D148:G148</f>
        <v>1</v>
      </c>
      <c r="E492" s="943"/>
      <c r="F492" s="943"/>
      <c r="G492" s="944"/>
      <c r="H492" s="942">
        <f>'LF-Kaduna'!H148:K148</f>
        <v>1</v>
      </c>
      <c r="I492" s="943"/>
      <c r="J492" s="943"/>
      <c r="K492" s="944"/>
      <c r="L492" s="942">
        <f>'LF-Kaduna'!L148:O148</f>
        <v>2</v>
      </c>
      <c r="M492" s="943"/>
      <c r="N492" s="943"/>
      <c r="O492" s="944"/>
      <c r="P492" s="963">
        <f>'LF-Kaduna'!P148:S148</f>
        <v>2.5</v>
      </c>
      <c r="Q492" s="964"/>
      <c r="R492" s="964"/>
      <c r="S492" s="965"/>
      <c r="T492" s="963">
        <f>'LF-Kaduna'!T148:W148</f>
        <v>2.8</v>
      </c>
      <c r="U492" s="964"/>
      <c r="V492" s="964"/>
      <c r="W492" s="965"/>
      <c r="X492" s="880"/>
    </row>
    <row r="493" spans="1:24" ht="13.5" thickBot="1">
      <c r="A493" s="885"/>
      <c r="B493" s="885"/>
      <c r="C493" s="9" t="s">
        <v>288</v>
      </c>
      <c r="D493" s="942">
        <f>'LF-Kano'!D148:G148</f>
        <v>1</v>
      </c>
      <c r="E493" s="943"/>
      <c r="F493" s="943"/>
      <c r="G493" s="944"/>
      <c r="H493" s="942">
        <f>'LF-Kano'!H148:K148</f>
        <v>1</v>
      </c>
      <c r="I493" s="943"/>
      <c r="J493" s="943"/>
      <c r="K493" s="944"/>
      <c r="L493" s="942">
        <f>'LF-Kano'!L148:O148</f>
        <v>2</v>
      </c>
      <c r="M493" s="943"/>
      <c r="N493" s="943"/>
      <c r="O493" s="944"/>
      <c r="P493" s="963">
        <f>'LF-Kano'!P148:S148</f>
        <v>2.5</v>
      </c>
      <c r="Q493" s="964"/>
      <c r="R493" s="964"/>
      <c r="S493" s="965"/>
      <c r="T493" s="963">
        <f>'LF-Kano'!T148:W148</f>
        <v>3</v>
      </c>
      <c r="U493" s="964"/>
      <c r="V493" s="964"/>
      <c r="W493" s="965"/>
      <c r="X493" s="880"/>
    </row>
    <row r="494" spans="1:24" ht="13.5" thickBot="1">
      <c r="A494" s="885"/>
      <c r="B494" s="885"/>
      <c r="C494" s="9" t="s">
        <v>289</v>
      </c>
      <c r="D494" s="942">
        <f>'LF-Lagos'!D148:G148</f>
        <v>2</v>
      </c>
      <c r="E494" s="943"/>
      <c r="F494" s="943"/>
      <c r="G494" s="944"/>
      <c r="H494" s="942">
        <f>'LF-Lagos'!H148:K148</f>
        <v>2</v>
      </c>
      <c r="I494" s="943"/>
      <c r="J494" s="943"/>
      <c r="K494" s="944"/>
      <c r="L494" s="942">
        <f>'LF-Lagos'!L148:O148</f>
        <v>3</v>
      </c>
      <c r="M494" s="943"/>
      <c r="N494" s="943"/>
      <c r="O494" s="944"/>
      <c r="P494" s="963">
        <f>'LF-Lagos'!P148:S148</f>
        <v>3.2</v>
      </c>
      <c r="Q494" s="964"/>
      <c r="R494" s="964"/>
      <c r="S494" s="965"/>
      <c r="T494" s="963">
        <f>'LF-Lagos'!T148:W148</f>
        <v>3.3</v>
      </c>
      <c r="U494" s="964"/>
      <c r="V494" s="964"/>
      <c r="W494" s="965"/>
      <c r="X494" s="880"/>
    </row>
    <row r="495" spans="1:24" ht="13.5" thickBot="1">
      <c r="A495" s="885"/>
      <c r="B495" s="885"/>
      <c r="C495" s="9" t="s">
        <v>292</v>
      </c>
      <c r="D495" s="966" t="s">
        <v>255</v>
      </c>
      <c r="E495" s="967"/>
      <c r="F495" s="967"/>
      <c r="G495" s="968"/>
      <c r="H495" s="942">
        <f>'LF-Zamfara'!H148:K148</f>
        <v>1</v>
      </c>
      <c r="I495" s="943"/>
      <c r="J495" s="943"/>
      <c r="K495" s="944"/>
      <c r="L495" s="942">
        <f>'LF-Zamfara'!L148:O148</f>
        <v>1</v>
      </c>
      <c r="M495" s="943"/>
      <c r="N495" s="943"/>
      <c r="O495" s="944"/>
      <c r="P495" s="963">
        <f>'LF-Zamfara'!P148:S148</f>
        <v>1.3</v>
      </c>
      <c r="Q495" s="964"/>
      <c r="R495" s="964"/>
      <c r="S495" s="965"/>
      <c r="T495" s="963">
        <f>'LF-Zamfara'!T148:W148</f>
        <v>2.5</v>
      </c>
      <c r="U495" s="964"/>
      <c r="V495" s="964"/>
      <c r="W495" s="965"/>
      <c r="X495" s="880"/>
    </row>
    <row r="496" spans="1:24" ht="13.5" thickBot="1">
      <c r="A496" s="885"/>
      <c r="B496" s="885"/>
      <c r="C496" s="9" t="s">
        <v>293</v>
      </c>
      <c r="D496" s="966" t="s">
        <v>255</v>
      </c>
      <c r="E496" s="967"/>
      <c r="F496" s="967"/>
      <c r="G496" s="968"/>
      <c r="H496" s="942">
        <f>'LF-Katsina'!H148:K148</f>
        <v>2</v>
      </c>
      <c r="I496" s="943"/>
      <c r="J496" s="943"/>
      <c r="K496" s="944"/>
      <c r="L496" s="942">
        <f>'LF-Katsina'!L148:O148</f>
        <v>2</v>
      </c>
      <c r="M496" s="943"/>
      <c r="N496" s="943"/>
      <c r="O496" s="944"/>
      <c r="P496" s="942">
        <f>'LF-Katsina'!P148:S148</f>
        <v>2.5</v>
      </c>
      <c r="Q496" s="943"/>
      <c r="R496" s="943"/>
      <c r="S496" s="944"/>
      <c r="T496" s="942">
        <f>'LF-Katsina'!T148:W148</f>
        <v>4.0999999999999996</v>
      </c>
      <c r="U496" s="943"/>
      <c r="V496" s="943"/>
      <c r="W496" s="944"/>
      <c r="X496" s="880"/>
    </row>
    <row r="497" spans="1:24" ht="13.5" thickBot="1">
      <c r="A497" s="885"/>
      <c r="B497" s="885"/>
      <c r="C497" s="9" t="s">
        <v>294</v>
      </c>
      <c r="D497" s="966" t="s">
        <v>255</v>
      </c>
      <c r="E497" s="967"/>
      <c r="F497" s="967"/>
      <c r="G497" s="968"/>
      <c r="H497" s="942">
        <f>'LF-Yobe'!H148:K148</f>
        <v>1.8</v>
      </c>
      <c r="I497" s="943"/>
      <c r="J497" s="943"/>
      <c r="K497" s="944"/>
      <c r="L497" s="942">
        <f>'LF-Yobe'!L148:O148</f>
        <v>1.8</v>
      </c>
      <c r="M497" s="943"/>
      <c r="N497" s="943"/>
      <c r="O497" s="944"/>
      <c r="P497" s="942">
        <f>'LF-Yobe'!P148:S148</f>
        <v>2.1</v>
      </c>
      <c r="Q497" s="943"/>
      <c r="R497" s="943"/>
      <c r="S497" s="944"/>
      <c r="T497" s="942">
        <f>'LF-Yobe'!T148:W148</f>
        <v>3</v>
      </c>
      <c r="U497" s="943"/>
      <c r="V497" s="943"/>
      <c r="W497" s="944"/>
      <c r="X497" s="880"/>
    </row>
    <row r="498" spans="1:24" ht="12.95" customHeight="1" thickBot="1">
      <c r="A498" s="885"/>
      <c r="B498" s="885"/>
      <c r="C498" s="9" t="s">
        <v>290</v>
      </c>
      <c r="D498" s="957"/>
      <c r="E498" s="958"/>
      <c r="F498" s="958"/>
      <c r="G498" s="959"/>
      <c r="H498" s="1162"/>
      <c r="I498" s="1163"/>
      <c r="J498" s="1163"/>
      <c r="K498" s="1164"/>
      <c r="L498" s="1150" t="s">
        <v>910</v>
      </c>
      <c r="M498" s="1151"/>
      <c r="N498" s="1151"/>
      <c r="O498" s="1152"/>
      <c r="P498" s="942">
        <f>'LF-Anambra'!P148:S148</f>
        <v>1.1000000000000001</v>
      </c>
      <c r="Q498" s="943"/>
      <c r="R498" s="943"/>
      <c r="S498" s="944"/>
      <c r="T498" s="942">
        <f>'LF-Anambra'!T148:W148</f>
        <v>1.7</v>
      </c>
      <c r="U498" s="943"/>
      <c r="V498" s="943"/>
      <c r="W498" s="944"/>
      <c r="X498" s="880"/>
    </row>
    <row r="499" spans="1:24" ht="12.95" customHeight="1" thickBot="1">
      <c r="A499" s="885"/>
      <c r="B499" s="885"/>
      <c r="C499" s="9" t="s">
        <v>291</v>
      </c>
      <c r="D499" s="957"/>
      <c r="E499" s="958"/>
      <c r="F499" s="958"/>
      <c r="G499" s="959"/>
      <c r="H499" s="1162"/>
      <c r="I499" s="1163"/>
      <c r="J499" s="1163"/>
      <c r="K499" s="1164"/>
      <c r="L499" s="1150" t="s">
        <v>910</v>
      </c>
      <c r="M499" s="1151"/>
      <c r="N499" s="1151"/>
      <c r="O499" s="1152"/>
      <c r="P499" s="942">
        <f>'LF-Niger'!P148:S148</f>
        <v>1.1000000000000001</v>
      </c>
      <c r="Q499" s="943"/>
      <c r="R499" s="943"/>
      <c r="S499" s="944"/>
      <c r="T499" s="942">
        <f>'LF-Niger'!T148:W148</f>
        <v>2</v>
      </c>
      <c r="U499" s="943"/>
      <c r="V499" s="943"/>
      <c r="W499" s="944"/>
      <c r="X499" s="880"/>
    </row>
    <row r="500" spans="1:24" ht="13.5" thickBot="1">
      <c r="A500" s="885"/>
      <c r="B500" s="885"/>
      <c r="C500" s="100" t="s">
        <v>295</v>
      </c>
      <c r="D500" s="1017"/>
      <c r="E500" s="1018"/>
      <c r="F500" s="1018"/>
      <c r="G500" s="1019"/>
      <c r="H500" s="1147">
        <f>'LF-Enugu'!H149:K149</f>
        <v>2.5</v>
      </c>
      <c r="I500" s="1148"/>
      <c r="J500" s="1148"/>
      <c r="K500" s="1149"/>
      <c r="L500" s="1147">
        <f>'LF-Enugu'!L149:O149</f>
        <v>2.2999999999999998</v>
      </c>
      <c r="M500" s="1148"/>
      <c r="N500" s="1148"/>
      <c r="O500" s="1149"/>
      <c r="P500" s="1147">
        <f>'LF-Enugu'!P149:S149</f>
        <v>3</v>
      </c>
      <c r="Q500" s="1148"/>
      <c r="R500" s="1148"/>
      <c r="S500" s="1149"/>
      <c r="T500" s="1147">
        <f>'LF-Enugu'!T149:W149</f>
        <v>0</v>
      </c>
      <c r="U500" s="1148"/>
      <c r="V500" s="1148"/>
      <c r="W500" s="1149"/>
      <c r="X500" s="880"/>
    </row>
    <row r="501" spans="1:24" ht="13.5" thickBot="1">
      <c r="A501" s="885"/>
      <c r="B501" s="885"/>
      <c r="C501" s="100" t="s">
        <v>296</v>
      </c>
      <c r="D501" s="1017"/>
      <c r="E501" s="1018"/>
      <c r="F501" s="1018"/>
      <c r="G501" s="1019"/>
      <c r="H501" s="1147">
        <f>'LF-Jigawa'!H149:K149</f>
        <v>2</v>
      </c>
      <c r="I501" s="1148"/>
      <c r="J501" s="1148"/>
      <c r="K501" s="1149"/>
      <c r="L501" s="1147">
        <f>'LF-Jigawa'!L149:O149</f>
        <v>2.2000000000000002</v>
      </c>
      <c r="M501" s="1148"/>
      <c r="N501" s="1148"/>
      <c r="O501" s="1149"/>
      <c r="P501" s="1147">
        <f>'LF-Jigawa'!P149:S149</f>
        <v>3</v>
      </c>
      <c r="Q501" s="1148"/>
      <c r="R501" s="1148"/>
      <c r="S501" s="1149"/>
      <c r="T501" s="1147">
        <f>'LF-Jigawa'!T149:W149</f>
        <v>0</v>
      </c>
      <c r="U501" s="1148"/>
      <c r="V501" s="1148"/>
      <c r="W501" s="1149"/>
      <c r="X501" s="880"/>
    </row>
    <row r="502" spans="1:24" ht="13.5" thickBot="1">
      <c r="A502" s="885"/>
      <c r="B502" s="885"/>
      <c r="C502" s="100" t="s">
        <v>297</v>
      </c>
      <c r="D502" s="1017"/>
      <c r="E502" s="1018"/>
      <c r="F502" s="1018"/>
      <c r="G502" s="1019"/>
      <c r="H502" s="1147">
        <f>'LF-Kaduna'!H149:K149</f>
        <v>1</v>
      </c>
      <c r="I502" s="1148"/>
      <c r="J502" s="1148"/>
      <c r="K502" s="1149"/>
      <c r="L502" s="1147">
        <f>'LF-Kaduna'!L149:O149</f>
        <v>2.2999999999999998</v>
      </c>
      <c r="M502" s="1148"/>
      <c r="N502" s="1148"/>
      <c r="O502" s="1149"/>
      <c r="P502" s="1147">
        <f>'LF-Kaduna'!P149:S149</f>
        <v>2.6</v>
      </c>
      <c r="Q502" s="1148"/>
      <c r="R502" s="1148"/>
      <c r="S502" s="1149"/>
      <c r="T502" s="1147">
        <f>'LF-Kaduna'!T149:W149</f>
        <v>0</v>
      </c>
      <c r="U502" s="1148"/>
      <c r="V502" s="1148"/>
      <c r="W502" s="1149"/>
      <c r="X502" s="880"/>
    </row>
    <row r="503" spans="1:24" ht="13.5" thickBot="1">
      <c r="A503" s="885"/>
      <c r="B503" s="885"/>
      <c r="C503" s="100" t="s">
        <v>298</v>
      </c>
      <c r="D503" s="1017"/>
      <c r="E503" s="1018"/>
      <c r="F503" s="1018"/>
      <c r="G503" s="1019"/>
      <c r="H503" s="1147">
        <f>'LF-Kano'!H149:K149</f>
        <v>2</v>
      </c>
      <c r="I503" s="1148"/>
      <c r="J503" s="1148"/>
      <c r="K503" s="1149"/>
      <c r="L503" s="1147">
        <f>'LF-Kano'!L149:O149</f>
        <v>1.6</v>
      </c>
      <c r="M503" s="1148"/>
      <c r="N503" s="1148"/>
      <c r="O503" s="1149"/>
      <c r="P503" s="1147">
        <f>'LF-Kano'!P149:S149</f>
        <v>2.6</v>
      </c>
      <c r="Q503" s="1148"/>
      <c r="R503" s="1148"/>
      <c r="S503" s="1149"/>
      <c r="T503" s="1147">
        <f>'LF-Kano'!T149:W149</f>
        <v>0</v>
      </c>
      <c r="U503" s="1148"/>
      <c r="V503" s="1148"/>
      <c r="W503" s="1149"/>
      <c r="X503" s="880"/>
    </row>
    <row r="504" spans="1:24" ht="13.5" thickBot="1">
      <c r="A504" s="885"/>
      <c r="B504" s="885"/>
      <c r="C504" s="100" t="s">
        <v>299</v>
      </c>
      <c r="D504" s="1017"/>
      <c r="E504" s="1018"/>
      <c r="F504" s="1018"/>
      <c r="G504" s="1019"/>
      <c r="H504" s="1147">
        <f>'LF-Lagos'!H149:K149</f>
        <v>3</v>
      </c>
      <c r="I504" s="1148"/>
      <c r="J504" s="1148"/>
      <c r="K504" s="1149"/>
      <c r="L504" s="1147">
        <f>'LF-Lagos'!L149:O149</f>
        <v>2.7</v>
      </c>
      <c r="M504" s="1148"/>
      <c r="N504" s="1148"/>
      <c r="O504" s="1149"/>
      <c r="P504" s="1147">
        <f>'LF-Lagos'!P149:S149</f>
        <v>3</v>
      </c>
      <c r="Q504" s="1148"/>
      <c r="R504" s="1148"/>
      <c r="S504" s="1149"/>
      <c r="T504" s="1147">
        <f>'LF-Lagos'!T149:W149</f>
        <v>0</v>
      </c>
      <c r="U504" s="1148"/>
      <c r="V504" s="1148"/>
      <c r="W504" s="1149"/>
      <c r="X504" s="880"/>
    </row>
    <row r="505" spans="1:24" ht="24.75" thickBot="1">
      <c r="A505" s="885"/>
      <c r="B505" s="885"/>
      <c r="C505" s="100" t="s">
        <v>300</v>
      </c>
      <c r="D505" s="1017"/>
      <c r="E505" s="1018"/>
      <c r="F505" s="1018"/>
      <c r="G505" s="1019"/>
      <c r="H505" s="1017"/>
      <c r="I505" s="1018"/>
      <c r="J505" s="1018"/>
      <c r="K505" s="1019"/>
      <c r="L505" s="1147">
        <f>'LF-Zamfara'!L149:O149</f>
        <v>1</v>
      </c>
      <c r="M505" s="1148"/>
      <c r="N505" s="1148"/>
      <c r="O505" s="1149"/>
      <c r="P505" s="1147">
        <f>'LF-Zamfara'!P149:S149</f>
        <v>2.6</v>
      </c>
      <c r="Q505" s="1148"/>
      <c r="R505" s="1148"/>
      <c r="S505" s="1149"/>
      <c r="T505" s="1147">
        <f>'LF-Zamfara'!T149:W149</f>
        <v>0</v>
      </c>
      <c r="U505" s="1148"/>
      <c r="V505" s="1148"/>
      <c r="W505" s="1149"/>
      <c r="X505" s="880"/>
    </row>
    <row r="506" spans="1:24" ht="13.5" thickBot="1">
      <c r="A506" s="885"/>
      <c r="B506" s="885"/>
      <c r="C506" s="100" t="s">
        <v>301</v>
      </c>
      <c r="D506" s="1017"/>
      <c r="E506" s="1018"/>
      <c r="F506" s="1018"/>
      <c r="G506" s="1019"/>
      <c r="H506" s="1017"/>
      <c r="I506" s="1018"/>
      <c r="J506" s="1018"/>
      <c r="K506" s="1019"/>
      <c r="L506" s="1147">
        <f>'LF-Katsina'!L149:O149</f>
        <v>2</v>
      </c>
      <c r="M506" s="1148"/>
      <c r="N506" s="1148"/>
      <c r="O506" s="1149"/>
      <c r="P506" s="1147">
        <f>'LF-Katsina'!P149:S149</f>
        <v>2.4</v>
      </c>
      <c r="Q506" s="1148"/>
      <c r="R506" s="1148"/>
      <c r="S506" s="1149"/>
      <c r="T506" s="1147">
        <f>'LF-Katsina'!T149:W149</f>
        <v>0</v>
      </c>
      <c r="U506" s="1148"/>
      <c r="V506" s="1148"/>
      <c r="W506" s="1149"/>
      <c r="X506" s="880"/>
    </row>
    <row r="507" spans="1:24" ht="13.5" thickBot="1">
      <c r="A507" s="885"/>
      <c r="B507" s="885"/>
      <c r="C507" s="100" t="s">
        <v>302</v>
      </c>
      <c r="D507" s="1017"/>
      <c r="E507" s="1018"/>
      <c r="F507" s="1018"/>
      <c r="G507" s="1019"/>
      <c r="H507" s="1017"/>
      <c r="I507" s="1018"/>
      <c r="J507" s="1018"/>
      <c r="K507" s="1019"/>
      <c r="L507" s="1147">
        <f>'LF-Yobe'!L149:O149</f>
        <v>1.8</v>
      </c>
      <c r="M507" s="1148"/>
      <c r="N507" s="1148"/>
      <c r="O507" s="1149"/>
      <c r="P507" s="1147">
        <f>'LF-Yobe'!P149:S149</f>
        <v>2</v>
      </c>
      <c r="Q507" s="1148"/>
      <c r="R507" s="1148"/>
      <c r="S507" s="1149"/>
      <c r="T507" s="1147">
        <f>'LF-Yobe'!T149:W149</f>
        <v>0</v>
      </c>
      <c r="U507" s="1148"/>
      <c r="V507" s="1148"/>
      <c r="W507" s="1149"/>
      <c r="X507" s="880"/>
    </row>
    <row r="508" spans="1:24" ht="24.75" thickBot="1">
      <c r="A508" s="885"/>
      <c r="B508" s="885"/>
      <c r="C508" s="100" t="s">
        <v>303</v>
      </c>
      <c r="D508" s="1017"/>
      <c r="E508" s="1018"/>
      <c r="F508" s="1018"/>
      <c r="G508" s="1019"/>
      <c r="H508" s="1017"/>
      <c r="I508" s="1018"/>
      <c r="J508" s="1018"/>
      <c r="K508" s="1019"/>
      <c r="L508" s="1017"/>
      <c r="M508" s="1018"/>
      <c r="N508" s="1018"/>
      <c r="O508" s="1019"/>
      <c r="P508" s="1054"/>
      <c r="Q508" s="1055"/>
      <c r="R508" s="1055"/>
      <c r="S508" s="1056"/>
      <c r="T508" s="1147">
        <f>'LF-Anambra'!T149:W149</f>
        <v>0</v>
      </c>
      <c r="U508" s="1148"/>
      <c r="V508" s="1148"/>
      <c r="W508" s="1149"/>
      <c r="X508" s="880"/>
    </row>
    <row r="509" spans="1:24" ht="13.5" thickBot="1">
      <c r="A509" s="885"/>
      <c r="B509" s="885"/>
      <c r="C509" s="100" t="s">
        <v>304</v>
      </c>
      <c r="D509" s="1017"/>
      <c r="E509" s="1018"/>
      <c r="F509" s="1018"/>
      <c r="G509" s="1019"/>
      <c r="H509" s="1017"/>
      <c r="I509" s="1018"/>
      <c r="J509" s="1018"/>
      <c r="K509" s="1019"/>
      <c r="L509" s="1017"/>
      <c r="M509" s="1018"/>
      <c r="N509" s="1018"/>
      <c r="O509" s="1019"/>
      <c r="P509" s="1054"/>
      <c r="Q509" s="1055"/>
      <c r="R509" s="1055"/>
      <c r="S509" s="1056"/>
      <c r="T509" s="1147">
        <f>'LF-Niger'!T149:W149</f>
        <v>0</v>
      </c>
      <c r="U509" s="1148"/>
      <c r="V509" s="1148"/>
      <c r="W509" s="1149"/>
      <c r="X509" s="880"/>
    </row>
    <row r="510" spans="1:24" ht="13.5" thickBot="1">
      <c r="A510" s="885"/>
      <c r="B510" s="885"/>
      <c r="C510" s="922" t="s">
        <v>413</v>
      </c>
      <c r="D510" s="927" t="s">
        <v>4</v>
      </c>
      <c r="E510" s="928"/>
      <c r="F510" s="928"/>
      <c r="G510" s="928"/>
      <c r="H510" s="928"/>
      <c r="I510" s="928"/>
      <c r="J510" s="928"/>
      <c r="K510" s="928"/>
      <c r="L510" s="928"/>
      <c r="M510" s="928"/>
      <c r="N510" s="928"/>
      <c r="O510" s="928"/>
      <c r="P510" s="928"/>
      <c r="Q510" s="928"/>
      <c r="R510" s="928"/>
      <c r="S510" s="928"/>
      <c r="T510" s="928"/>
      <c r="U510" s="928"/>
      <c r="V510" s="928"/>
      <c r="W510" s="929"/>
      <c r="X510" s="880"/>
    </row>
    <row r="511" spans="1:24" ht="13.5" thickBot="1">
      <c r="A511" s="885"/>
      <c r="B511" s="869"/>
      <c r="C511" s="923"/>
      <c r="D511" s="930" t="s">
        <v>123</v>
      </c>
      <c r="E511" s="931"/>
      <c r="F511" s="931"/>
      <c r="G511" s="931"/>
      <c r="H511" s="931"/>
      <c r="I511" s="931"/>
      <c r="J511" s="931"/>
      <c r="K511" s="931"/>
      <c r="L511" s="931"/>
      <c r="M511" s="931"/>
      <c r="N511" s="931"/>
      <c r="O511" s="931"/>
      <c r="P511" s="931"/>
      <c r="Q511" s="931"/>
      <c r="R511" s="931"/>
      <c r="S511" s="931"/>
      <c r="T511" s="931"/>
      <c r="U511" s="931"/>
      <c r="V511" s="931"/>
      <c r="W511" s="932"/>
      <c r="X511" s="880"/>
    </row>
    <row r="512" spans="1:24" ht="13.5" thickBot="1">
      <c r="A512" s="885"/>
      <c r="B512" s="11" t="s">
        <v>41</v>
      </c>
      <c r="C512" s="12"/>
      <c r="D512" s="927" t="s">
        <v>78</v>
      </c>
      <c r="E512" s="928"/>
      <c r="F512" s="928"/>
      <c r="G512" s="929"/>
      <c r="H512" s="927" t="s">
        <v>77</v>
      </c>
      <c r="I512" s="928"/>
      <c r="J512" s="928"/>
      <c r="K512" s="929"/>
      <c r="L512" s="927" t="s">
        <v>81</v>
      </c>
      <c r="M512" s="928"/>
      <c r="N512" s="928"/>
      <c r="O512" s="929"/>
      <c r="P512" s="927" t="s">
        <v>254</v>
      </c>
      <c r="Q512" s="928"/>
      <c r="R512" s="928"/>
      <c r="S512" s="929"/>
      <c r="T512" s="927" t="s">
        <v>76</v>
      </c>
      <c r="U512" s="928"/>
      <c r="V512" s="928"/>
      <c r="W512" s="929"/>
      <c r="X512" s="880"/>
    </row>
    <row r="513" spans="1:24" ht="13.5" thickBot="1">
      <c r="A513" s="885"/>
      <c r="B513" s="868" t="s">
        <v>69</v>
      </c>
      <c r="C513" s="9" t="s">
        <v>285</v>
      </c>
      <c r="D513" s="942">
        <f>'LF-Enugu'!D153:G153</f>
        <v>1</v>
      </c>
      <c r="E513" s="943"/>
      <c r="F513" s="943"/>
      <c r="G513" s="944"/>
      <c r="H513" s="942">
        <f>'LF-Enugu'!H153:K153</f>
        <v>1</v>
      </c>
      <c r="I513" s="943"/>
      <c r="J513" s="943"/>
      <c r="K513" s="944"/>
      <c r="L513" s="942">
        <f>'LF-Enugu'!L153:O153</f>
        <v>2</v>
      </c>
      <c r="M513" s="943"/>
      <c r="N513" s="943"/>
      <c r="O513" s="944"/>
      <c r="P513" s="963">
        <f>'LF-Enugu'!P153:S153</f>
        <v>2.2000000000000002</v>
      </c>
      <c r="Q513" s="964"/>
      <c r="R513" s="964"/>
      <c r="S513" s="965"/>
      <c r="T513" s="963">
        <f>'LF-Enugu'!T153:W153</f>
        <v>2.9</v>
      </c>
      <c r="U513" s="964"/>
      <c r="V513" s="964"/>
      <c r="W513" s="965"/>
      <c r="X513" s="880"/>
    </row>
    <row r="514" spans="1:24" ht="13.5" thickBot="1">
      <c r="A514" s="885"/>
      <c r="B514" s="885"/>
      <c r="C514" s="9" t="s">
        <v>286</v>
      </c>
      <c r="D514" s="942">
        <f>'LF-Jigawa'!D153:G153</f>
        <v>1</v>
      </c>
      <c r="E514" s="943"/>
      <c r="F514" s="943"/>
      <c r="G514" s="944"/>
      <c r="H514" s="942">
        <f>'LF-Jigawa'!H153:K153</f>
        <v>2</v>
      </c>
      <c r="I514" s="943"/>
      <c r="J514" s="943"/>
      <c r="K514" s="944"/>
      <c r="L514" s="942">
        <f>'LF-Jigawa'!L153:O153</f>
        <v>3</v>
      </c>
      <c r="M514" s="943"/>
      <c r="N514" s="943"/>
      <c r="O514" s="944"/>
      <c r="P514" s="963">
        <f>'LF-Jigawa'!P153:S153</f>
        <v>3.2</v>
      </c>
      <c r="Q514" s="964"/>
      <c r="R514" s="964"/>
      <c r="S514" s="965"/>
      <c r="T514" s="963">
        <f>'LF-Jigawa'!T153:W153</f>
        <v>4.2</v>
      </c>
      <c r="U514" s="964"/>
      <c r="V514" s="964"/>
      <c r="W514" s="965"/>
      <c r="X514" s="880"/>
    </row>
    <row r="515" spans="1:24" ht="13.5" thickBot="1">
      <c r="A515" s="885"/>
      <c r="B515" s="885"/>
      <c r="C515" s="9" t="s">
        <v>287</v>
      </c>
      <c r="D515" s="942">
        <f>'LF-Kaduna'!D153:G153</f>
        <v>1</v>
      </c>
      <c r="E515" s="943"/>
      <c r="F515" s="943"/>
      <c r="G515" s="944"/>
      <c r="H515" s="942">
        <f>'LF-Kaduna'!H153:K153</f>
        <v>1</v>
      </c>
      <c r="I515" s="943"/>
      <c r="J515" s="943"/>
      <c r="K515" s="944"/>
      <c r="L515" s="942">
        <f>'LF-Kaduna'!L153:O153</f>
        <v>2</v>
      </c>
      <c r="M515" s="943"/>
      <c r="N515" s="943"/>
      <c r="O515" s="944"/>
      <c r="P515" s="963">
        <f>'LF-Kaduna'!P153:S153</f>
        <v>2.2999999999999998</v>
      </c>
      <c r="Q515" s="964"/>
      <c r="R515" s="964"/>
      <c r="S515" s="965"/>
      <c r="T515" s="963">
        <f>'LF-Kaduna'!T153:W153</f>
        <v>3</v>
      </c>
      <c r="U515" s="964"/>
      <c r="V515" s="964"/>
      <c r="W515" s="965"/>
      <c r="X515" s="880"/>
    </row>
    <row r="516" spans="1:24" ht="13.5" thickBot="1">
      <c r="A516" s="885"/>
      <c r="B516" s="885"/>
      <c r="C516" s="9" t="s">
        <v>288</v>
      </c>
      <c r="D516" s="942">
        <f>'LF-Kano'!D153:G153</f>
        <v>1</v>
      </c>
      <c r="E516" s="943"/>
      <c r="F516" s="943"/>
      <c r="G516" s="944"/>
      <c r="H516" s="942">
        <f>'LF-Kano'!H153:K153</f>
        <v>2</v>
      </c>
      <c r="I516" s="943"/>
      <c r="J516" s="943"/>
      <c r="K516" s="944"/>
      <c r="L516" s="942">
        <f>'LF-Kano'!L153:O153</f>
        <v>3</v>
      </c>
      <c r="M516" s="943"/>
      <c r="N516" s="943"/>
      <c r="O516" s="944"/>
      <c r="P516" s="963">
        <f>'LF-Kano'!P153:S153</f>
        <v>3.1</v>
      </c>
      <c r="Q516" s="964"/>
      <c r="R516" s="964"/>
      <c r="S516" s="965"/>
      <c r="T516" s="963">
        <f>'LF-Kano'!T153:W153</f>
        <v>3.5</v>
      </c>
      <c r="U516" s="964"/>
      <c r="V516" s="964"/>
      <c r="W516" s="965"/>
      <c r="X516" s="880"/>
    </row>
    <row r="517" spans="1:24" ht="13.5" thickBot="1">
      <c r="A517" s="885"/>
      <c r="B517" s="885"/>
      <c r="C517" s="9" t="s">
        <v>289</v>
      </c>
      <c r="D517" s="942">
        <f>'LF-Lagos'!D153:G153</f>
        <v>2</v>
      </c>
      <c r="E517" s="943"/>
      <c r="F517" s="943"/>
      <c r="G517" s="944"/>
      <c r="H517" s="942">
        <f>'LF-Lagos'!H153:K153</f>
        <v>2</v>
      </c>
      <c r="I517" s="943"/>
      <c r="J517" s="943"/>
      <c r="K517" s="944"/>
      <c r="L517" s="942">
        <f>'LF-Lagos'!L153:O153</f>
        <v>3</v>
      </c>
      <c r="M517" s="943"/>
      <c r="N517" s="943"/>
      <c r="O517" s="944"/>
      <c r="P517" s="963">
        <f>'LF-Lagos'!P153:S153</f>
        <v>3</v>
      </c>
      <c r="Q517" s="964"/>
      <c r="R517" s="964"/>
      <c r="S517" s="965"/>
      <c r="T517" s="963">
        <f>'LF-Lagos'!T153:W153</f>
        <v>3.3</v>
      </c>
      <c r="U517" s="964"/>
      <c r="V517" s="964"/>
      <c r="W517" s="965"/>
      <c r="X517" s="880"/>
    </row>
    <row r="518" spans="1:24" ht="13.5" thickBot="1">
      <c r="A518" s="885"/>
      <c r="B518" s="885"/>
      <c r="C518" s="9" t="s">
        <v>292</v>
      </c>
      <c r="D518" s="966" t="s">
        <v>255</v>
      </c>
      <c r="E518" s="967"/>
      <c r="F518" s="967"/>
      <c r="G518" s="968"/>
      <c r="H518" s="942">
        <f>'LF-Zamfara'!H153:K153</f>
        <v>1</v>
      </c>
      <c r="I518" s="943"/>
      <c r="J518" s="943"/>
      <c r="K518" s="944"/>
      <c r="L518" s="942">
        <f>'LF-Zamfara'!L153:O153</f>
        <v>1</v>
      </c>
      <c r="M518" s="943"/>
      <c r="N518" s="943"/>
      <c r="O518" s="944"/>
      <c r="P518" s="963">
        <f>'LF-Zamfara'!P153:S153</f>
        <v>1.3</v>
      </c>
      <c r="Q518" s="964"/>
      <c r="R518" s="964"/>
      <c r="S518" s="965"/>
      <c r="T518" s="963">
        <f>'LF-Zamfara'!T153:W153</f>
        <v>2.7</v>
      </c>
      <c r="U518" s="964"/>
      <c r="V518" s="964"/>
      <c r="W518" s="965"/>
      <c r="X518" s="880"/>
    </row>
    <row r="519" spans="1:24" ht="13.5" thickBot="1">
      <c r="A519" s="885"/>
      <c r="B519" s="885"/>
      <c r="C519" s="9" t="s">
        <v>293</v>
      </c>
      <c r="D519" s="966" t="s">
        <v>255</v>
      </c>
      <c r="E519" s="967"/>
      <c r="F519" s="967"/>
      <c r="G519" s="968"/>
      <c r="H519" s="942">
        <f>'LF-Katsina'!H153:K153</f>
        <v>2.2999999999999998</v>
      </c>
      <c r="I519" s="943"/>
      <c r="J519" s="943"/>
      <c r="K519" s="944"/>
      <c r="L519" s="942">
        <f>'LF-Katsina'!L153:O153</f>
        <v>2.2999999999999998</v>
      </c>
      <c r="M519" s="943"/>
      <c r="N519" s="943"/>
      <c r="O519" s="944"/>
      <c r="P519" s="963">
        <f>'LF-Katsina'!P153:S153</f>
        <v>2.5</v>
      </c>
      <c r="Q519" s="964"/>
      <c r="R519" s="964"/>
      <c r="S519" s="965"/>
      <c r="T519" s="963">
        <f>'LF-Katsina'!T153:W153</f>
        <v>3.6</v>
      </c>
      <c r="U519" s="964"/>
      <c r="V519" s="964"/>
      <c r="W519" s="965"/>
      <c r="X519" s="880"/>
    </row>
    <row r="520" spans="1:24" ht="13.5" thickBot="1">
      <c r="A520" s="885"/>
      <c r="B520" s="885"/>
      <c r="C520" s="9" t="s">
        <v>294</v>
      </c>
      <c r="D520" s="966" t="s">
        <v>255</v>
      </c>
      <c r="E520" s="967"/>
      <c r="F520" s="967"/>
      <c r="G520" s="968"/>
      <c r="H520" s="942">
        <f>'LF-Yobe'!H153:K153</f>
        <v>1.9</v>
      </c>
      <c r="I520" s="943"/>
      <c r="J520" s="943"/>
      <c r="K520" s="944"/>
      <c r="L520" s="942">
        <f>'LF-Yobe'!L153:O153</f>
        <v>1.9</v>
      </c>
      <c r="M520" s="943"/>
      <c r="N520" s="943"/>
      <c r="O520" s="944"/>
      <c r="P520" s="963">
        <f>'LF-Yobe'!P153:S153</f>
        <v>2.1</v>
      </c>
      <c r="Q520" s="964"/>
      <c r="R520" s="964"/>
      <c r="S520" s="965"/>
      <c r="T520" s="963">
        <f>'LF-Yobe'!T153:W153</f>
        <v>3.2</v>
      </c>
      <c r="U520" s="964"/>
      <c r="V520" s="964"/>
      <c r="W520" s="965"/>
      <c r="X520" s="880"/>
    </row>
    <row r="521" spans="1:24" ht="12.95" customHeight="1" thickBot="1">
      <c r="A521" s="885"/>
      <c r="B521" s="885"/>
      <c r="C521" s="9" t="s">
        <v>290</v>
      </c>
      <c r="D521" s="957"/>
      <c r="E521" s="958"/>
      <c r="F521" s="958"/>
      <c r="G521" s="959"/>
      <c r="H521" s="1162"/>
      <c r="I521" s="1163"/>
      <c r="J521" s="1163"/>
      <c r="K521" s="1164"/>
      <c r="L521" s="1150" t="s">
        <v>910</v>
      </c>
      <c r="M521" s="1151"/>
      <c r="N521" s="1151"/>
      <c r="O521" s="1152"/>
      <c r="P521" s="942">
        <f>'LF-Anambra'!P153:S153</f>
        <v>1.2</v>
      </c>
      <c r="Q521" s="943"/>
      <c r="R521" s="943"/>
      <c r="S521" s="944"/>
      <c r="T521" s="942">
        <f>'LF-Anambra'!T153:W153</f>
        <v>1.6</v>
      </c>
      <c r="U521" s="943"/>
      <c r="V521" s="943"/>
      <c r="W521" s="944"/>
      <c r="X521" s="880"/>
    </row>
    <row r="522" spans="1:24" ht="12.95" customHeight="1" thickBot="1">
      <c r="A522" s="885"/>
      <c r="B522" s="885"/>
      <c r="C522" s="9" t="s">
        <v>291</v>
      </c>
      <c r="D522" s="957"/>
      <c r="E522" s="958"/>
      <c r="F522" s="958"/>
      <c r="G522" s="959"/>
      <c r="H522" s="1162"/>
      <c r="I522" s="1163"/>
      <c r="J522" s="1163"/>
      <c r="K522" s="1164"/>
      <c r="L522" s="1150" t="s">
        <v>910</v>
      </c>
      <c r="M522" s="1151"/>
      <c r="N522" s="1151"/>
      <c r="O522" s="1152"/>
      <c r="P522" s="942">
        <f>'LF-Niger'!P153:S153</f>
        <v>1.3</v>
      </c>
      <c r="Q522" s="943"/>
      <c r="R522" s="943"/>
      <c r="S522" s="944"/>
      <c r="T522" s="942">
        <f>'LF-Niger'!T153:W153</f>
        <v>2</v>
      </c>
      <c r="U522" s="943"/>
      <c r="V522" s="943"/>
      <c r="W522" s="944"/>
      <c r="X522" s="880"/>
    </row>
    <row r="523" spans="1:24" ht="13.5" thickBot="1">
      <c r="A523" s="885"/>
      <c r="B523" s="885"/>
      <c r="C523" s="100" t="s">
        <v>295</v>
      </c>
      <c r="D523" s="1017"/>
      <c r="E523" s="1018"/>
      <c r="F523" s="1018"/>
      <c r="G523" s="1019"/>
      <c r="H523" s="1147">
        <f>'LF-Enugu'!H154:K154</f>
        <v>2</v>
      </c>
      <c r="I523" s="1148"/>
      <c r="J523" s="1148"/>
      <c r="K523" s="1149"/>
      <c r="L523" s="1147">
        <f>'LF-Enugu'!L154:O154</f>
        <v>1.6</v>
      </c>
      <c r="M523" s="1148"/>
      <c r="N523" s="1148"/>
      <c r="O523" s="1149"/>
      <c r="P523" s="1147">
        <f>'LF-Enugu'!P154:S154</f>
        <v>2.9</v>
      </c>
      <c r="Q523" s="1148"/>
      <c r="R523" s="1148"/>
      <c r="S523" s="1149"/>
      <c r="T523" s="1147">
        <f>'LF-Enugu'!T154:W154</f>
        <v>0</v>
      </c>
      <c r="U523" s="1148"/>
      <c r="V523" s="1148"/>
      <c r="W523" s="1149"/>
      <c r="X523" s="880"/>
    </row>
    <row r="524" spans="1:24" ht="13.5" thickBot="1">
      <c r="A524" s="885"/>
      <c r="B524" s="885"/>
      <c r="C524" s="100" t="s">
        <v>296</v>
      </c>
      <c r="D524" s="1017"/>
      <c r="E524" s="1018"/>
      <c r="F524" s="1018"/>
      <c r="G524" s="1019"/>
      <c r="H524" s="1147">
        <f>'LF-Jigawa'!H154:K154</f>
        <v>1.7</v>
      </c>
      <c r="I524" s="1148"/>
      <c r="J524" s="1148"/>
      <c r="K524" s="1149"/>
      <c r="L524" s="1147">
        <f>'LF-Jigawa'!L154:O154</f>
        <v>2.4</v>
      </c>
      <c r="M524" s="1148"/>
      <c r="N524" s="1148"/>
      <c r="O524" s="1149"/>
      <c r="P524" s="1147">
        <f>'LF-Jigawa'!P154:S154</f>
        <v>4</v>
      </c>
      <c r="Q524" s="1148"/>
      <c r="R524" s="1148"/>
      <c r="S524" s="1149"/>
      <c r="T524" s="1147">
        <f>'LF-Jigawa'!T154:W154</f>
        <v>0</v>
      </c>
      <c r="U524" s="1148"/>
      <c r="V524" s="1148"/>
      <c r="W524" s="1149"/>
      <c r="X524" s="880"/>
    </row>
    <row r="525" spans="1:24" ht="13.5" thickBot="1">
      <c r="A525" s="885"/>
      <c r="B525" s="885"/>
      <c r="C525" s="100" t="s">
        <v>297</v>
      </c>
      <c r="D525" s="1017"/>
      <c r="E525" s="1018"/>
      <c r="F525" s="1018"/>
      <c r="G525" s="1019"/>
      <c r="H525" s="1147">
        <f>'LF-Kaduna'!H154:K154</f>
        <v>1</v>
      </c>
      <c r="I525" s="1148"/>
      <c r="J525" s="1148"/>
      <c r="K525" s="1149"/>
      <c r="L525" s="1147">
        <f>'LF-Kaduna'!L154:O154</f>
        <v>2</v>
      </c>
      <c r="M525" s="1148"/>
      <c r="N525" s="1148"/>
      <c r="O525" s="1149"/>
      <c r="P525" s="1147">
        <f>'LF-Kaduna'!P154:S154</f>
        <v>3.1</v>
      </c>
      <c r="Q525" s="1148"/>
      <c r="R525" s="1148"/>
      <c r="S525" s="1149"/>
      <c r="T525" s="1147">
        <f>'LF-Kaduna'!T154:W154</f>
        <v>0</v>
      </c>
      <c r="U525" s="1148"/>
      <c r="V525" s="1148"/>
      <c r="W525" s="1149"/>
      <c r="X525" s="880"/>
    </row>
    <row r="526" spans="1:24" ht="13.5" thickBot="1">
      <c r="A526" s="885"/>
      <c r="B526" s="885"/>
      <c r="C526" s="100" t="s">
        <v>298</v>
      </c>
      <c r="D526" s="1017"/>
      <c r="E526" s="1018"/>
      <c r="F526" s="1018"/>
      <c r="G526" s="1019"/>
      <c r="H526" s="1147">
        <f>'LF-Kano'!H154:K154</f>
        <v>2</v>
      </c>
      <c r="I526" s="1148"/>
      <c r="J526" s="1148"/>
      <c r="K526" s="1149"/>
      <c r="L526" s="1147">
        <f>'LF-Kano'!L154:O154</f>
        <v>2</v>
      </c>
      <c r="M526" s="1148"/>
      <c r="N526" s="1148"/>
      <c r="O526" s="1149"/>
      <c r="P526" s="1147">
        <f>'LF-Kano'!P154:S154</f>
        <v>2.4</v>
      </c>
      <c r="Q526" s="1148"/>
      <c r="R526" s="1148"/>
      <c r="S526" s="1149"/>
      <c r="T526" s="1147">
        <f>'LF-Kano'!T154:W154</f>
        <v>0</v>
      </c>
      <c r="U526" s="1148"/>
      <c r="V526" s="1148"/>
      <c r="W526" s="1149"/>
      <c r="X526" s="880"/>
    </row>
    <row r="527" spans="1:24" ht="13.5" thickBot="1">
      <c r="A527" s="885"/>
      <c r="B527" s="885"/>
      <c r="C527" s="100" t="s">
        <v>299</v>
      </c>
      <c r="D527" s="1017"/>
      <c r="E527" s="1018"/>
      <c r="F527" s="1018"/>
      <c r="G527" s="1019"/>
      <c r="H527" s="1147">
        <f>'LF-Lagos'!H154:K154</f>
        <v>2</v>
      </c>
      <c r="I527" s="1148"/>
      <c r="J527" s="1148"/>
      <c r="K527" s="1149"/>
      <c r="L527" s="1147">
        <f>'LF-Lagos'!L154:O154</f>
        <v>2.6</v>
      </c>
      <c r="M527" s="1148"/>
      <c r="N527" s="1148"/>
      <c r="O527" s="1149"/>
      <c r="P527" s="1147">
        <f>'LF-Lagos'!P154:S154</f>
        <v>2.9</v>
      </c>
      <c r="Q527" s="1148"/>
      <c r="R527" s="1148"/>
      <c r="S527" s="1149"/>
      <c r="T527" s="1147">
        <f>'LF-Lagos'!T154:W154</f>
        <v>0</v>
      </c>
      <c r="U527" s="1148"/>
      <c r="V527" s="1148"/>
      <c r="W527" s="1149"/>
      <c r="X527" s="880"/>
    </row>
    <row r="528" spans="1:24" ht="24.75" thickBot="1">
      <c r="A528" s="885"/>
      <c r="B528" s="885"/>
      <c r="C528" s="100" t="s">
        <v>300</v>
      </c>
      <c r="D528" s="1017"/>
      <c r="E528" s="1018"/>
      <c r="F528" s="1018"/>
      <c r="G528" s="1019"/>
      <c r="H528" s="1017"/>
      <c r="I528" s="1018"/>
      <c r="J528" s="1018"/>
      <c r="K528" s="1019"/>
      <c r="L528" s="1147">
        <f>'LF-Zamfara'!L154:O154</f>
        <v>1</v>
      </c>
      <c r="M528" s="1148"/>
      <c r="N528" s="1148"/>
      <c r="O528" s="1149"/>
      <c r="P528" s="1147">
        <f>'LF-Zamfara'!P154:S154</f>
        <v>2.5</v>
      </c>
      <c r="Q528" s="1148"/>
      <c r="R528" s="1148"/>
      <c r="S528" s="1149"/>
      <c r="T528" s="1147">
        <f>'LF-Zamfara'!T154:W154</f>
        <v>0</v>
      </c>
      <c r="U528" s="1148"/>
      <c r="V528" s="1148"/>
      <c r="W528" s="1149"/>
      <c r="X528" s="880"/>
    </row>
    <row r="529" spans="1:24" ht="13.5" thickBot="1">
      <c r="A529" s="885"/>
      <c r="B529" s="885"/>
      <c r="C529" s="100" t="s">
        <v>301</v>
      </c>
      <c r="D529" s="1017"/>
      <c r="E529" s="1018"/>
      <c r="F529" s="1018"/>
      <c r="G529" s="1019"/>
      <c r="H529" s="1017"/>
      <c r="I529" s="1018"/>
      <c r="J529" s="1018"/>
      <c r="K529" s="1019"/>
      <c r="L529" s="1147">
        <f>'LF-Katsina'!L154:O154</f>
        <v>2.2999999999999998</v>
      </c>
      <c r="M529" s="1148"/>
      <c r="N529" s="1148"/>
      <c r="O529" s="1149"/>
      <c r="P529" s="1147">
        <f>'LF-Katsina'!P154:S154</f>
        <v>1.8</v>
      </c>
      <c r="Q529" s="1148"/>
      <c r="R529" s="1148"/>
      <c r="S529" s="1149"/>
      <c r="T529" s="1147">
        <f>'LF-Katsina'!T154:W154</f>
        <v>0</v>
      </c>
      <c r="U529" s="1148"/>
      <c r="V529" s="1148"/>
      <c r="W529" s="1149"/>
      <c r="X529" s="880"/>
    </row>
    <row r="530" spans="1:24" ht="13.5" thickBot="1">
      <c r="A530" s="885"/>
      <c r="B530" s="885"/>
      <c r="C530" s="100" t="s">
        <v>302</v>
      </c>
      <c r="D530" s="1017"/>
      <c r="E530" s="1018"/>
      <c r="F530" s="1018"/>
      <c r="G530" s="1019"/>
      <c r="H530" s="1017"/>
      <c r="I530" s="1018"/>
      <c r="J530" s="1018"/>
      <c r="K530" s="1019"/>
      <c r="L530" s="1147">
        <f>'LF-Yobe'!L154:O154</f>
        <v>1.9</v>
      </c>
      <c r="M530" s="1148"/>
      <c r="N530" s="1148"/>
      <c r="O530" s="1149"/>
      <c r="P530" s="1147">
        <f>'LF-Yobe'!P154:S154</f>
        <v>2.4</v>
      </c>
      <c r="Q530" s="1148"/>
      <c r="R530" s="1148"/>
      <c r="S530" s="1149"/>
      <c r="T530" s="1147">
        <f>'LF-Yobe'!T154:W154</f>
        <v>0</v>
      </c>
      <c r="U530" s="1148"/>
      <c r="V530" s="1148"/>
      <c r="W530" s="1149"/>
      <c r="X530" s="880"/>
    </row>
    <row r="531" spans="1:24" ht="24.75" thickBot="1">
      <c r="A531" s="885"/>
      <c r="B531" s="885"/>
      <c r="C531" s="100" t="s">
        <v>303</v>
      </c>
      <c r="D531" s="1017"/>
      <c r="E531" s="1018"/>
      <c r="F531" s="1018"/>
      <c r="G531" s="1019"/>
      <c r="H531" s="1017"/>
      <c r="I531" s="1018"/>
      <c r="J531" s="1018"/>
      <c r="K531" s="1019"/>
      <c r="L531" s="1017"/>
      <c r="M531" s="1018"/>
      <c r="N531" s="1018"/>
      <c r="O531" s="1019"/>
      <c r="P531" s="1054"/>
      <c r="Q531" s="1055"/>
      <c r="R531" s="1055"/>
      <c r="S531" s="1056"/>
      <c r="T531" s="1147">
        <f>'LF-Anambra'!T154:W154</f>
        <v>0</v>
      </c>
      <c r="U531" s="1148"/>
      <c r="V531" s="1148"/>
      <c r="W531" s="1149"/>
      <c r="X531" s="880"/>
    </row>
    <row r="532" spans="1:24" ht="13.5" thickBot="1">
      <c r="A532" s="885"/>
      <c r="B532" s="885"/>
      <c r="C532" s="100" t="s">
        <v>304</v>
      </c>
      <c r="D532" s="1017"/>
      <c r="E532" s="1018"/>
      <c r="F532" s="1018"/>
      <c r="G532" s="1019"/>
      <c r="H532" s="1017"/>
      <c r="I532" s="1018"/>
      <c r="J532" s="1018"/>
      <c r="K532" s="1019"/>
      <c r="L532" s="1017"/>
      <c r="M532" s="1018"/>
      <c r="N532" s="1018"/>
      <c r="O532" s="1019"/>
      <c r="P532" s="1054"/>
      <c r="Q532" s="1055"/>
      <c r="R532" s="1055"/>
      <c r="S532" s="1056"/>
      <c r="T532" s="1147">
        <f>'LF-Niger'!T154:W154</f>
        <v>0</v>
      </c>
      <c r="U532" s="1148"/>
      <c r="V532" s="1148"/>
      <c r="W532" s="1149"/>
      <c r="X532" s="880"/>
    </row>
    <row r="533" spans="1:24" ht="13.5" thickBot="1">
      <c r="A533" s="885"/>
      <c r="B533" s="885"/>
      <c r="C533" s="922" t="s">
        <v>413</v>
      </c>
      <c r="D533" s="927" t="s">
        <v>4</v>
      </c>
      <c r="E533" s="928"/>
      <c r="F533" s="928"/>
      <c r="G533" s="928"/>
      <c r="H533" s="928"/>
      <c r="I533" s="928"/>
      <c r="J533" s="928"/>
      <c r="K533" s="928"/>
      <c r="L533" s="928"/>
      <c r="M533" s="928"/>
      <c r="N533" s="928"/>
      <c r="O533" s="928"/>
      <c r="P533" s="928"/>
      <c r="Q533" s="928"/>
      <c r="R533" s="928"/>
      <c r="S533" s="928"/>
      <c r="T533" s="928"/>
      <c r="U533" s="928"/>
      <c r="V533" s="928"/>
      <c r="W533" s="929"/>
      <c r="X533" s="880"/>
    </row>
    <row r="534" spans="1:24" ht="13.5" thickBot="1">
      <c r="A534" s="885"/>
      <c r="B534" s="869"/>
      <c r="C534" s="923"/>
      <c r="D534" s="930" t="s">
        <v>123</v>
      </c>
      <c r="E534" s="931"/>
      <c r="F534" s="931"/>
      <c r="G534" s="931"/>
      <c r="H534" s="931"/>
      <c r="I534" s="931"/>
      <c r="J534" s="931"/>
      <c r="K534" s="931"/>
      <c r="L534" s="931"/>
      <c r="M534" s="931"/>
      <c r="N534" s="931"/>
      <c r="O534" s="931"/>
      <c r="P534" s="931"/>
      <c r="Q534" s="931"/>
      <c r="R534" s="931"/>
      <c r="S534" s="931"/>
      <c r="T534" s="931"/>
      <c r="U534" s="931"/>
      <c r="V534" s="931"/>
      <c r="W534" s="932"/>
      <c r="X534" s="880"/>
    </row>
    <row r="535" spans="1:24" ht="13.5" thickBot="1">
      <c r="A535" s="885"/>
      <c r="B535" s="11" t="s">
        <v>42</v>
      </c>
      <c r="C535" s="28"/>
      <c r="D535" s="927" t="s">
        <v>78</v>
      </c>
      <c r="E535" s="928"/>
      <c r="F535" s="928"/>
      <c r="G535" s="929"/>
      <c r="H535" s="927" t="s">
        <v>77</v>
      </c>
      <c r="I535" s="928"/>
      <c r="J535" s="928"/>
      <c r="K535" s="929"/>
      <c r="L535" s="927" t="s">
        <v>81</v>
      </c>
      <c r="M535" s="928"/>
      <c r="N535" s="928"/>
      <c r="O535" s="929"/>
      <c r="P535" s="927" t="s">
        <v>254</v>
      </c>
      <c r="Q535" s="928"/>
      <c r="R535" s="928"/>
      <c r="S535" s="929"/>
      <c r="T535" s="927" t="s">
        <v>76</v>
      </c>
      <c r="U535" s="928"/>
      <c r="V535" s="928"/>
      <c r="W535" s="929"/>
      <c r="X535" s="880"/>
    </row>
    <row r="536" spans="1:24" ht="18.95" customHeight="1" thickBot="1">
      <c r="A536" s="885"/>
      <c r="B536" s="868" t="s">
        <v>180</v>
      </c>
      <c r="C536" s="26"/>
      <c r="D536" s="955" t="s">
        <v>99</v>
      </c>
      <c r="E536" s="956"/>
      <c r="F536" s="955" t="s">
        <v>100</v>
      </c>
      <c r="G536" s="956"/>
      <c r="H536" s="955" t="s">
        <v>99</v>
      </c>
      <c r="I536" s="956"/>
      <c r="J536" s="955" t="s">
        <v>100</v>
      </c>
      <c r="K536" s="956"/>
      <c r="L536" s="955" t="s">
        <v>99</v>
      </c>
      <c r="M536" s="956"/>
      <c r="N536" s="955" t="s">
        <v>100</v>
      </c>
      <c r="O536" s="956"/>
      <c r="P536" s="955" t="s">
        <v>99</v>
      </c>
      <c r="Q536" s="956"/>
      <c r="R536" s="955" t="s">
        <v>100</v>
      </c>
      <c r="S536" s="956"/>
      <c r="T536" s="955" t="s">
        <v>99</v>
      </c>
      <c r="U536" s="956"/>
      <c r="V536" s="955" t="s">
        <v>100</v>
      </c>
      <c r="W536" s="956"/>
      <c r="X536" s="880"/>
    </row>
    <row r="537" spans="1:24" ht="13.5" thickBot="1">
      <c r="A537" s="885"/>
      <c r="B537" s="885"/>
      <c r="C537" s="9" t="s">
        <v>285</v>
      </c>
      <c r="D537" s="951">
        <f>'LF-Enugu'!D159:E159</f>
        <v>0</v>
      </c>
      <c r="E537" s="952"/>
      <c r="F537" s="951">
        <f>'LF-Enugu'!F159:G159</f>
        <v>0</v>
      </c>
      <c r="G537" s="952"/>
      <c r="H537" s="951">
        <f>'LF-Enugu'!H159:I159</f>
        <v>0</v>
      </c>
      <c r="I537" s="952"/>
      <c r="J537" s="951">
        <f>'LF-Enugu'!J159:K159</f>
        <v>1</v>
      </c>
      <c r="K537" s="952"/>
      <c r="L537" s="951">
        <f>'LF-Enugu'!L159:M159</f>
        <v>2</v>
      </c>
      <c r="M537" s="952"/>
      <c r="N537" s="951">
        <f>'LF-Enugu'!N159:O159</f>
        <v>1</v>
      </c>
      <c r="O537" s="952"/>
      <c r="P537" s="954">
        <f>'LF-Enugu'!P159:Q159</f>
        <v>5</v>
      </c>
      <c r="Q537" s="953"/>
      <c r="R537" s="954">
        <f>'LF-Enugu'!R159:S159</f>
        <v>2</v>
      </c>
      <c r="S537" s="953"/>
      <c r="T537" s="954">
        <f>'LF-Enugu'!T159:U159</f>
        <v>10</v>
      </c>
      <c r="U537" s="953"/>
      <c r="V537" s="954">
        <f>'LF-Enugu'!V159:W159</f>
        <v>5</v>
      </c>
      <c r="W537" s="953"/>
      <c r="X537" s="880"/>
    </row>
    <row r="538" spans="1:24" ht="13.5" thickBot="1">
      <c r="A538" s="885"/>
      <c r="B538" s="885"/>
      <c r="C538" s="9" t="s">
        <v>286</v>
      </c>
      <c r="D538" s="951">
        <f>'LF-Jigawa'!D159:E159</f>
        <v>0</v>
      </c>
      <c r="E538" s="952"/>
      <c r="F538" s="951">
        <f>'LF-Jigawa'!F159:G159</f>
        <v>0</v>
      </c>
      <c r="G538" s="952"/>
      <c r="H538" s="951">
        <f>'LF-Jigawa'!H159:I159</f>
        <v>2</v>
      </c>
      <c r="I538" s="952"/>
      <c r="J538" s="951">
        <f>'LF-Jigawa'!J159:K159</f>
        <v>1</v>
      </c>
      <c r="K538" s="952"/>
      <c r="L538" s="951">
        <f>'LF-Jigawa'!L159:M159</f>
        <v>4</v>
      </c>
      <c r="M538" s="952"/>
      <c r="N538" s="951">
        <f>'LF-Jigawa'!N159:O159</f>
        <v>1</v>
      </c>
      <c r="O538" s="952"/>
      <c r="P538" s="954">
        <f>'LF-Jigawa'!P159:Q159</f>
        <v>6</v>
      </c>
      <c r="Q538" s="953"/>
      <c r="R538" s="954">
        <f>'LF-Jigawa'!R159:S159</f>
        <v>3</v>
      </c>
      <c r="S538" s="953"/>
      <c r="T538" s="954">
        <f>'LF-Jigawa'!T159:U159</f>
        <v>12</v>
      </c>
      <c r="U538" s="953"/>
      <c r="V538" s="954">
        <f>'LF-Jigawa'!V159:W159</f>
        <v>6</v>
      </c>
      <c r="W538" s="953"/>
      <c r="X538" s="880"/>
    </row>
    <row r="539" spans="1:24" ht="13.5" thickBot="1">
      <c r="A539" s="885"/>
      <c r="B539" s="885" t="s">
        <v>178</v>
      </c>
      <c r="C539" s="9" t="s">
        <v>287</v>
      </c>
      <c r="D539" s="951">
        <f>'LF-Kaduna'!D159:E159</f>
        <v>0</v>
      </c>
      <c r="E539" s="952"/>
      <c r="F539" s="951">
        <f>'LF-Kaduna'!F159:G159</f>
        <v>0</v>
      </c>
      <c r="G539" s="952"/>
      <c r="H539" s="951">
        <f>'LF-Kaduna'!H159:I159</f>
        <v>4</v>
      </c>
      <c r="I539" s="952"/>
      <c r="J539" s="951">
        <f>'LF-Kaduna'!J159:K159</f>
        <v>1</v>
      </c>
      <c r="K539" s="952"/>
      <c r="L539" s="954">
        <f>'LF-Kaduna'!L159:M159</f>
        <v>5</v>
      </c>
      <c r="M539" s="953"/>
      <c r="N539" s="954">
        <f>'LF-Kaduna'!N159:O159</f>
        <v>1</v>
      </c>
      <c r="O539" s="953"/>
      <c r="P539" s="954">
        <f>'LF-Kaduna'!P159:Q159</f>
        <v>8</v>
      </c>
      <c r="Q539" s="953"/>
      <c r="R539" s="954">
        <f>'LF-Kaduna'!R159:S159</f>
        <v>3</v>
      </c>
      <c r="S539" s="953"/>
      <c r="T539" s="954">
        <f>'LF-Kaduna'!T159:U159</f>
        <v>10</v>
      </c>
      <c r="U539" s="953"/>
      <c r="V539" s="954">
        <f>'LF-Kaduna'!V159:W159</f>
        <v>4</v>
      </c>
      <c r="W539" s="953"/>
      <c r="X539" s="880"/>
    </row>
    <row r="540" spans="1:24" ht="13.5" thickBot="1">
      <c r="A540" s="885"/>
      <c r="B540" s="885"/>
      <c r="C540" s="9" t="s">
        <v>288</v>
      </c>
      <c r="D540" s="951">
        <f>'LF-Kano'!D159:E159</f>
        <v>0</v>
      </c>
      <c r="E540" s="952"/>
      <c r="F540" s="951">
        <f>'LF-Kano'!F159:G159</f>
        <v>0</v>
      </c>
      <c r="G540" s="952"/>
      <c r="H540" s="951">
        <f>'LF-Kano'!H159:I159</f>
        <v>6</v>
      </c>
      <c r="I540" s="952"/>
      <c r="J540" s="951">
        <f>'LF-Kano'!J159:K159</f>
        <v>1</v>
      </c>
      <c r="K540" s="952"/>
      <c r="L540" s="954">
        <f>'LF-Kano'!L159:M159</f>
        <v>10</v>
      </c>
      <c r="M540" s="953"/>
      <c r="N540" s="954">
        <f>'LF-Kano'!N159:O159</f>
        <v>2</v>
      </c>
      <c r="O540" s="953"/>
      <c r="P540" s="951">
        <f>'LF-Kano'!P159:Q159</f>
        <v>10</v>
      </c>
      <c r="Q540" s="952"/>
      <c r="R540" s="951">
        <f>'LF-Kano'!R159:S159</f>
        <v>2</v>
      </c>
      <c r="S540" s="952"/>
      <c r="T540" s="954">
        <f>'LF-Kano'!T159:U159</f>
        <v>12</v>
      </c>
      <c r="U540" s="953"/>
      <c r="V540" s="951">
        <f>'LF-Kano'!V159:W159</f>
        <v>6</v>
      </c>
      <c r="W540" s="952"/>
      <c r="X540" s="880"/>
    </row>
    <row r="541" spans="1:24" ht="13.5" thickBot="1">
      <c r="A541" s="885"/>
      <c r="B541" s="885"/>
      <c r="C541" s="9" t="s">
        <v>289</v>
      </c>
      <c r="D541" s="951">
        <f>'LF-Lagos'!D159:E159</f>
        <v>0</v>
      </c>
      <c r="E541" s="952"/>
      <c r="F541" s="951">
        <f>'LF-Lagos'!F159:G159</f>
        <v>0</v>
      </c>
      <c r="G541" s="952"/>
      <c r="H541" s="951">
        <f>'LF-Lagos'!H159:I159</f>
        <v>2</v>
      </c>
      <c r="I541" s="952"/>
      <c r="J541" s="951">
        <f>'LF-Lagos'!J159:K159</f>
        <v>3</v>
      </c>
      <c r="K541" s="952"/>
      <c r="L541" s="954">
        <f>'LF-Lagos'!L159:M159</f>
        <v>3</v>
      </c>
      <c r="M541" s="953"/>
      <c r="N541" s="954">
        <f>'LF-Lagos'!N159:O159</f>
        <v>4</v>
      </c>
      <c r="O541" s="953"/>
      <c r="P541" s="951">
        <f>'LF-Lagos'!P159:Q159</f>
        <v>6</v>
      </c>
      <c r="Q541" s="952"/>
      <c r="R541" s="951">
        <f>'LF-Lagos'!R159:S159</f>
        <v>6</v>
      </c>
      <c r="S541" s="952"/>
      <c r="T541" s="951">
        <f>'LF-Lagos'!T159:U159</f>
        <v>8</v>
      </c>
      <c r="U541" s="952"/>
      <c r="V541" s="951">
        <f>'LF-Lagos'!V159:W159</f>
        <v>11</v>
      </c>
      <c r="W541" s="952"/>
      <c r="X541" s="880"/>
    </row>
    <row r="542" spans="1:24" ht="13.5" thickBot="1">
      <c r="A542" s="885"/>
      <c r="B542" s="885"/>
      <c r="C542" s="9" t="s">
        <v>292</v>
      </c>
      <c r="D542" s="966" t="s">
        <v>255</v>
      </c>
      <c r="E542" s="967"/>
      <c r="F542" s="967"/>
      <c r="G542" s="968"/>
      <c r="H542" s="951">
        <f>'LF-Zamfara'!H159:I159</f>
        <v>0</v>
      </c>
      <c r="I542" s="952"/>
      <c r="J542" s="951">
        <f>'LF-Zamfara'!J159:K159</f>
        <v>0</v>
      </c>
      <c r="K542" s="952"/>
      <c r="L542" s="954">
        <f>'LF-Zamfara'!L159:M159</f>
        <v>2</v>
      </c>
      <c r="M542" s="953"/>
      <c r="N542" s="954">
        <f>'LF-Zamfara'!N159:O159</f>
        <v>1</v>
      </c>
      <c r="O542" s="953"/>
      <c r="P542" s="951">
        <f>'LF-Zamfara'!P159:Q159</f>
        <v>3</v>
      </c>
      <c r="Q542" s="952"/>
      <c r="R542" s="951">
        <f>'LF-Zamfara'!R159:S159</f>
        <v>1</v>
      </c>
      <c r="S542" s="952"/>
      <c r="T542" s="951">
        <f>'LF-Zamfara'!T159:U159</f>
        <v>5</v>
      </c>
      <c r="U542" s="952"/>
      <c r="V542" s="951">
        <f>'LF-Zamfara'!V159:W159</f>
        <v>2</v>
      </c>
      <c r="W542" s="952"/>
      <c r="X542" s="880"/>
    </row>
    <row r="543" spans="1:24" ht="13.5" thickBot="1">
      <c r="A543" s="885"/>
      <c r="B543" s="885"/>
      <c r="C543" s="9" t="s">
        <v>293</v>
      </c>
      <c r="D543" s="966" t="s">
        <v>255</v>
      </c>
      <c r="E543" s="967"/>
      <c r="F543" s="967"/>
      <c r="G543" s="968"/>
      <c r="H543" s="951">
        <f>'LF-Katsina'!H159:I159</f>
        <v>0</v>
      </c>
      <c r="I543" s="952"/>
      <c r="J543" s="951">
        <f>'LF-Katsina'!J159:K159</f>
        <v>0</v>
      </c>
      <c r="K543" s="952"/>
      <c r="L543" s="954">
        <f>'LF-Katsina'!L159:M159</f>
        <v>3</v>
      </c>
      <c r="M543" s="953"/>
      <c r="N543" s="954">
        <f>'LF-Katsina'!N159:O159</f>
        <v>1</v>
      </c>
      <c r="O543" s="953"/>
      <c r="P543" s="951">
        <f>'LF-Katsina'!P159:Q159</f>
        <v>4</v>
      </c>
      <c r="Q543" s="952"/>
      <c r="R543" s="951">
        <f>'LF-Katsina'!R159:S159</f>
        <v>1</v>
      </c>
      <c r="S543" s="952"/>
      <c r="T543" s="951">
        <f>'LF-Katsina'!T159:U159</f>
        <v>5</v>
      </c>
      <c r="U543" s="952"/>
      <c r="V543" s="954">
        <f>'LF-Katsina'!V159:W159</f>
        <v>2</v>
      </c>
      <c r="W543" s="953"/>
      <c r="X543" s="880"/>
    </row>
    <row r="544" spans="1:24" ht="13.5" thickBot="1">
      <c r="A544" s="885"/>
      <c r="B544" s="885"/>
      <c r="C544" s="9" t="s">
        <v>294</v>
      </c>
      <c r="D544" s="966" t="s">
        <v>255</v>
      </c>
      <c r="E544" s="967"/>
      <c r="F544" s="967"/>
      <c r="G544" s="968"/>
      <c r="H544" s="951">
        <f>'LF-Yobe'!H159:I159</f>
        <v>0</v>
      </c>
      <c r="I544" s="952"/>
      <c r="J544" s="951">
        <f>'LF-Yobe'!J159:K159</f>
        <v>0</v>
      </c>
      <c r="K544" s="952"/>
      <c r="L544" s="954">
        <f>'LF-Yobe'!L159:M159</f>
        <v>0</v>
      </c>
      <c r="M544" s="953"/>
      <c r="N544" s="954">
        <f>'LF-Yobe'!N159:O159</f>
        <v>0</v>
      </c>
      <c r="O544" s="953"/>
      <c r="P544" s="951">
        <f>'LF-Yobe'!P159:Q159</f>
        <v>2</v>
      </c>
      <c r="Q544" s="952"/>
      <c r="R544" s="951">
        <f>'LF-Yobe'!R159:S159</f>
        <v>1</v>
      </c>
      <c r="S544" s="952"/>
      <c r="T544" s="951">
        <f>'LF-Yobe'!T159:U159</f>
        <v>4</v>
      </c>
      <c r="U544" s="952"/>
      <c r="V544" s="951">
        <f>'LF-Yobe'!V159:W159</f>
        <v>2</v>
      </c>
      <c r="W544" s="952"/>
      <c r="X544" s="880"/>
    </row>
    <row r="545" spans="1:24" ht="12.95" customHeight="1" thickBot="1">
      <c r="A545" s="885"/>
      <c r="B545" s="885"/>
      <c r="C545" s="9" t="s">
        <v>290</v>
      </c>
      <c r="D545" s="933"/>
      <c r="E545" s="934"/>
      <c r="F545" s="934"/>
      <c r="G545" s="935"/>
      <c r="H545" s="1162"/>
      <c r="I545" s="1163"/>
      <c r="J545" s="1163"/>
      <c r="K545" s="1164"/>
      <c r="L545" s="1150" t="s">
        <v>910</v>
      </c>
      <c r="M545" s="1151"/>
      <c r="N545" s="1151"/>
      <c r="O545" s="1152"/>
      <c r="P545" s="951">
        <f>'LF-Anambra'!P159:Q159</f>
        <v>0</v>
      </c>
      <c r="Q545" s="952"/>
      <c r="R545" s="951">
        <f>'LF-Anambra'!R159:S159</f>
        <v>0</v>
      </c>
      <c r="S545" s="952"/>
      <c r="T545" s="951">
        <f>'LF-Anambra'!T159:U159</f>
        <v>2</v>
      </c>
      <c r="U545" s="952"/>
      <c r="V545" s="951">
        <f>'LF-Anambra'!V159:W159</f>
        <v>1</v>
      </c>
      <c r="W545" s="952"/>
      <c r="X545" s="880"/>
    </row>
    <row r="546" spans="1:24" ht="12.95" customHeight="1" thickBot="1">
      <c r="A546" s="885"/>
      <c r="B546" s="885"/>
      <c r="C546" s="9" t="s">
        <v>291</v>
      </c>
      <c r="D546" s="933"/>
      <c r="E546" s="934"/>
      <c r="F546" s="934"/>
      <c r="G546" s="935"/>
      <c r="H546" s="1162"/>
      <c r="I546" s="1163"/>
      <c r="J546" s="1163"/>
      <c r="K546" s="1164"/>
      <c r="L546" s="1150" t="s">
        <v>910</v>
      </c>
      <c r="M546" s="1151"/>
      <c r="N546" s="1151"/>
      <c r="O546" s="1152"/>
      <c r="P546" s="951">
        <f>'LF-Niger'!P159:Q159</f>
        <v>2</v>
      </c>
      <c r="Q546" s="952"/>
      <c r="R546" s="951">
        <f>'LF-Niger'!R159:S159</f>
        <v>0</v>
      </c>
      <c r="S546" s="952"/>
      <c r="T546" s="951">
        <f>'LF-Niger'!T159:U159</f>
        <v>5</v>
      </c>
      <c r="U546" s="952"/>
      <c r="V546" s="951">
        <f>'LF-Niger'!V159:W159</f>
        <v>0</v>
      </c>
      <c r="W546" s="952"/>
      <c r="X546" s="880"/>
    </row>
    <row r="547" spans="1:24" ht="13.5" thickBot="1">
      <c r="A547" s="885"/>
      <c r="B547" s="885"/>
      <c r="C547" s="100" t="s">
        <v>295</v>
      </c>
      <c r="D547" s="1011" t="s">
        <v>172</v>
      </c>
      <c r="E547" s="1012"/>
      <c r="F547" s="1012"/>
      <c r="G547" s="1013"/>
      <c r="H547" s="1054"/>
      <c r="I547" s="1055"/>
      <c r="J547" s="1055"/>
      <c r="K547" s="1056"/>
      <c r="L547" s="1169">
        <f>'LF-Enugu'!L160:M160</f>
        <v>4</v>
      </c>
      <c r="M547" s="1170"/>
      <c r="N547" s="1169">
        <f>'LF-Enugu'!N160:O160</f>
        <v>2</v>
      </c>
      <c r="O547" s="1170"/>
      <c r="P547" s="1169">
        <f>'LF-Enugu'!P160:Q160</f>
        <v>8</v>
      </c>
      <c r="Q547" s="1170"/>
      <c r="R547" s="1169">
        <f>'LF-Enugu'!R160:S160</f>
        <v>5</v>
      </c>
      <c r="S547" s="1170"/>
      <c r="T547" s="1169">
        <f>'LF-Enugu'!T160:U160</f>
        <v>0</v>
      </c>
      <c r="U547" s="1170"/>
      <c r="V547" s="1169">
        <f>'LF-Enugu'!V160:W160</f>
        <v>0</v>
      </c>
      <c r="W547" s="1170"/>
      <c r="X547" s="880"/>
    </row>
    <row r="548" spans="1:24" ht="13.5" thickBot="1">
      <c r="A548" s="885"/>
      <c r="B548" s="885"/>
      <c r="C548" s="100" t="s">
        <v>296</v>
      </c>
      <c r="D548" s="1011" t="s">
        <v>417</v>
      </c>
      <c r="E548" s="1012"/>
      <c r="F548" s="1012"/>
      <c r="G548" s="1013"/>
      <c r="H548" s="1054"/>
      <c r="I548" s="1055"/>
      <c r="J548" s="1055"/>
      <c r="K548" s="1056"/>
      <c r="L548" s="1169">
        <f>'LF-Jigawa'!L160:M160</f>
        <v>5</v>
      </c>
      <c r="M548" s="1170"/>
      <c r="N548" s="1169">
        <f>'LF-Jigawa'!N160:O160</f>
        <v>3</v>
      </c>
      <c r="O548" s="1170"/>
      <c r="P548" s="1169">
        <f>'LF-Jigawa'!P160:Q160</f>
        <v>9</v>
      </c>
      <c r="Q548" s="1170"/>
      <c r="R548" s="1169">
        <f>'LF-Jigawa'!R160:S160</f>
        <v>4</v>
      </c>
      <c r="S548" s="1170"/>
      <c r="T548" s="1169">
        <f>'LF-Jigawa'!T160:U160</f>
        <v>0</v>
      </c>
      <c r="U548" s="1170"/>
      <c r="V548" s="1169">
        <f>'LF-Jigawa'!V160:W160</f>
        <v>0</v>
      </c>
      <c r="W548" s="1170"/>
      <c r="X548" s="880"/>
    </row>
    <row r="549" spans="1:24" ht="13.5" thickBot="1">
      <c r="A549" s="885"/>
      <c r="B549" s="885"/>
      <c r="C549" s="100" t="s">
        <v>297</v>
      </c>
      <c r="D549" s="1054"/>
      <c r="E549" s="1055"/>
      <c r="F549" s="1055"/>
      <c r="G549" s="1056"/>
      <c r="H549" s="1054"/>
      <c r="I549" s="1055"/>
      <c r="J549" s="1055"/>
      <c r="K549" s="1056"/>
      <c r="L549" s="1169">
        <f>'LF-Kaduna'!L160:M160</f>
        <v>6</v>
      </c>
      <c r="M549" s="1170"/>
      <c r="N549" s="1169">
        <f>'LF-Kaduna'!N160:O160</f>
        <v>2</v>
      </c>
      <c r="O549" s="1170"/>
      <c r="P549" s="1169">
        <f>'LF-Kaduna'!P160:Q160</f>
        <v>4</v>
      </c>
      <c r="Q549" s="1170"/>
      <c r="R549" s="1169">
        <f>'LF-Kaduna'!R160:S160</f>
        <v>2</v>
      </c>
      <c r="S549" s="1170"/>
      <c r="T549" s="1169">
        <f>'LF-Kaduna'!T160:U160</f>
        <v>0</v>
      </c>
      <c r="U549" s="1170"/>
      <c r="V549" s="1169">
        <f>'LF-Kaduna'!V160:W160</f>
        <v>0</v>
      </c>
      <c r="W549" s="1170"/>
      <c r="X549" s="880"/>
    </row>
    <row r="550" spans="1:24" ht="13.5" thickBot="1">
      <c r="A550" s="885"/>
      <c r="B550" s="885"/>
      <c r="C550" s="100" t="s">
        <v>298</v>
      </c>
      <c r="D550" s="1054"/>
      <c r="E550" s="1055"/>
      <c r="F550" s="1055"/>
      <c r="G550" s="1056"/>
      <c r="H550" s="1054"/>
      <c r="I550" s="1055"/>
      <c r="J550" s="1055"/>
      <c r="K550" s="1056"/>
      <c r="L550" s="1169">
        <f>'LF-Kano'!L160:M160</f>
        <v>7</v>
      </c>
      <c r="M550" s="1170"/>
      <c r="N550" s="1169">
        <f>'LF-Kano'!N160:O160</f>
        <v>1</v>
      </c>
      <c r="O550" s="1170"/>
      <c r="P550" s="1169">
        <f>'LF-Kano'!P160:Q160</f>
        <v>10</v>
      </c>
      <c r="Q550" s="1170"/>
      <c r="R550" s="1169">
        <f>'LF-Kano'!R160:S160</f>
        <v>2</v>
      </c>
      <c r="S550" s="1170"/>
      <c r="T550" s="1169">
        <f>'LF-Kano'!T160:U160</f>
        <v>0</v>
      </c>
      <c r="U550" s="1170"/>
      <c r="V550" s="1169">
        <f>'LF-Kano'!V160:W160</f>
        <v>0</v>
      </c>
      <c r="W550" s="1170"/>
      <c r="X550" s="880"/>
    </row>
    <row r="551" spans="1:24" ht="13.5" thickBot="1">
      <c r="A551" s="885"/>
      <c r="B551" s="885"/>
      <c r="C551" s="100" t="s">
        <v>299</v>
      </c>
      <c r="D551" s="1054"/>
      <c r="E551" s="1055"/>
      <c r="F551" s="1055"/>
      <c r="G551" s="1056"/>
      <c r="H551" s="1054"/>
      <c r="I551" s="1055"/>
      <c r="J551" s="1055"/>
      <c r="K551" s="1056"/>
      <c r="L551" s="1169">
        <f>'LF-Lagos'!L160:M160</f>
        <v>4</v>
      </c>
      <c r="M551" s="1170"/>
      <c r="N551" s="1169">
        <f>'LF-Lagos'!N160:O160</f>
        <v>6</v>
      </c>
      <c r="O551" s="1170"/>
      <c r="P551" s="1169">
        <f>'LF-Lagos'!P160:Q160</f>
        <v>8</v>
      </c>
      <c r="Q551" s="1170"/>
      <c r="R551" s="1169">
        <f>'LF-Lagos'!R160:S160</f>
        <v>10</v>
      </c>
      <c r="S551" s="1170"/>
      <c r="T551" s="1169">
        <f>'LF-Lagos'!T160:U160</f>
        <v>0</v>
      </c>
      <c r="U551" s="1170"/>
      <c r="V551" s="1169">
        <f>'LF-Lagos'!V160:W160</f>
        <v>0</v>
      </c>
      <c r="W551" s="1170"/>
      <c r="X551" s="880"/>
    </row>
    <row r="552" spans="1:24" ht="24.75" thickBot="1">
      <c r="A552" s="885"/>
      <c r="B552" s="885"/>
      <c r="C552" s="100" t="s">
        <v>300</v>
      </c>
      <c r="D552" s="1054"/>
      <c r="E552" s="1055"/>
      <c r="F552" s="1055"/>
      <c r="G552" s="1056"/>
      <c r="H552" s="1054"/>
      <c r="I552" s="1055"/>
      <c r="J552" s="1055"/>
      <c r="K552" s="1056"/>
      <c r="L552" s="1169">
        <f>'LF-Zamfara'!L160:M160</f>
        <v>2</v>
      </c>
      <c r="M552" s="1170"/>
      <c r="N552" s="1169">
        <f>'LF-Zamfara'!N160:O160</f>
        <v>1</v>
      </c>
      <c r="O552" s="1170"/>
      <c r="P552" s="1169">
        <f>'LF-Zamfara'!P160:Q160</f>
        <v>4</v>
      </c>
      <c r="Q552" s="1170"/>
      <c r="R552" s="1169">
        <f>'LF-Zamfara'!R160:S160</f>
        <v>2</v>
      </c>
      <c r="S552" s="1170"/>
      <c r="T552" s="1169">
        <f>'LF-Zamfara'!T160:U160</f>
        <v>0</v>
      </c>
      <c r="U552" s="1170"/>
      <c r="V552" s="1169">
        <f>'LF-Zamfara'!V160:W160</f>
        <v>0</v>
      </c>
      <c r="W552" s="1170"/>
      <c r="X552" s="880"/>
    </row>
    <row r="553" spans="1:24" ht="13.5" thickBot="1">
      <c r="A553" s="885"/>
      <c r="B553" s="885"/>
      <c r="C553" s="100" t="s">
        <v>301</v>
      </c>
      <c r="D553" s="1054"/>
      <c r="E553" s="1055"/>
      <c r="F553" s="1055"/>
      <c r="G553" s="1056"/>
      <c r="H553" s="1054"/>
      <c r="I553" s="1055"/>
      <c r="J553" s="1055"/>
      <c r="K553" s="1056"/>
      <c r="L553" s="1169">
        <f>'LF-Katsina'!L160:M160</f>
        <v>0</v>
      </c>
      <c r="M553" s="1170"/>
      <c r="N553" s="1169">
        <f>'LF-Katsina'!N160:O160</f>
        <v>0</v>
      </c>
      <c r="O553" s="1170"/>
      <c r="P553" s="1169">
        <f>'LF-Katsina'!P160:Q160</f>
        <v>2</v>
      </c>
      <c r="Q553" s="1170"/>
      <c r="R553" s="1169">
        <f>'LF-Katsina'!R160:S160</f>
        <v>2</v>
      </c>
      <c r="S553" s="1170"/>
      <c r="T553" s="1169">
        <f>'LF-Katsina'!T160:U160</f>
        <v>0</v>
      </c>
      <c r="U553" s="1170"/>
      <c r="V553" s="1169">
        <f>'LF-Katsina'!V160:W160</f>
        <v>0</v>
      </c>
      <c r="W553" s="1170"/>
      <c r="X553" s="880"/>
    </row>
    <row r="554" spans="1:24" ht="13.5" thickBot="1">
      <c r="A554" s="885"/>
      <c r="B554" s="885"/>
      <c r="C554" s="100" t="s">
        <v>302</v>
      </c>
      <c r="D554" s="1054"/>
      <c r="E554" s="1055"/>
      <c r="F554" s="1055"/>
      <c r="G554" s="1056"/>
      <c r="H554" s="1054"/>
      <c r="I554" s="1055"/>
      <c r="J554" s="1055"/>
      <c r="K554" s="1056"/>
      <c r="L554" s="1169">
        <f>'LF-Yobe'!L160:M160</f>
        <v>0</v>
      </c>
      <c r="M554" s="1170"/>
      <c r="N554" s="1169">
        <f>'LF-Yobe'!N160:O160</f>
        <v>0</v>
      </c>
      <c r="O554" s="1170"/>
      <c r="P554" s="1169">
        <f>'LF-Yobe'!P160:Q160</f>
        <v>3</v>
      </c>
      <c r="Q554" s="1170"/>
      <c r="R554" s="1169">
        <f>'LF-Yobe'!R160:S160</f>
        <v>1</v>
      </c>
      <c r="S554" s="1170"/>
      <c r="T554" s="1169">
        <f>'LF-Yobe'!T160:U160</f>
        <v>0</v>
      </c>
      <c r="U554" s="1170"/>
      <c r="V554" s="1169">
        <f>'LF-Yobe'!V160:W160</f>
        <v>0</v>
      </c>
      <c r="W554" s="1170"/>
      <c r="X554" s="880"/>
    </row>
    <row r="555" spans="1:24" ht="24.75" thickBot="1">
      <c r="A555" s="885"/>
      <c r="B555" s="885"/>
      <c r="C555" s="100" t="s">
        <v>303</v>
      </c>
      <c r="D555" s="1054"/>
      <c r="E555" s="1055"/>
      <c r="F555" s="1055"/>
      <c r="G555" s="1056"/>
      <c r="H555" s="1054"/>
      <c r="I555" s="1055"/>
      <c r="J555" s="1055"/>
      <c r="K555" s="1056"/>
      <c r="L555" s="1054"/>
      <c r="M555" s="1055"/>
      <c r="N555" s="1055"/>
      <c r="O555" s="1056"/>
      <c r="P555" s="1054"/>
      <c r="Q555" s="1055"/>
      <c r="R555" s="1055"/>
      <c r="S555" s="1056"/>
      <c r="T555" s="1169">
        <f>'LF-Anambra'!T160:U160</f>
        <v>0</v>
      </c>
      <c r="U555" s="1170"/>
      <c r="V555" s="1169">
        <f>'LF-Anambra'!V160:W160</f>
        <v>0</v>
      </c>
      <c r="W555" s="1170"/>
      <c r="X555" s="880"/>
    </row>
    <row r="556" spans="1:24" ht="13.5" thickBot="1">
      <c r="A556" s="885"/>
      <c r="B556" s="885"/>
      <c r="C556" s="100" t="s">
        <v>304</v>
      </c>
      <c r="D556" s="1054"/>
      <c r="E556" s="1055"/>
      <c r="F556" s="1055"/>
      <c r="G556" s="1056"/>
      <c r="H556" s="1054"/>
      <c r="I556" s="1055"/>
      <c r="J556" s="1055"/>
      <c r="K556" s="1056"/>
      <c r="L556" s="1054"/>
      <c r="M556" s="1055"/>
      <c r="N556" s="1055"/>
      <c r="O556" s="1056"/>
      <c r="P556" s="1054"/>
      <c r="Q556" s="1055"/>
      <c r="R556" s="1055"/>
      <c r="S556" s="1056"/>
      <c r="T556" s="1169">
        <f>'LF-Niger'!T160:U160</f>
        <v>0</v>
      </c>
      <c r="U556" s="1170"/>
      <c r="V556" s="1169">
        <f>'LF-Niger'!V160:W160</f>
        <v>0</v>
      </c>
      <c r="W556" s="1170"/>
      <c r="X556" s="880"/>
    </row>
    <row r="557" spans="1:24" ht="13.5" thickBot="1">
      <c r="A557" s="7" t="s">
        <v>13</v>
      </c>
      <c r="B557" s="885"/>
      <c r="C557" s="922" t="s">
        <v>413</v>
      </c>
      <c r="D557" s="927" t="s">
        <v>4</v>
      </c>
      <c r="E557" s="928"/>
      <c r="F557" s="928"/>
      <c r="G557" s="928"/>
      <c r="H557" s="928"/>
      <c r="I557" s="928"/>
      <c r="J557" s="928"/>
      <c r="K557" s="928"/>
      <c r="L557" s="928"/>
      <c r="M557" s="928"/>
      <c r="N557" s="928"/>
      <c r="O557" s="928"/>
      <c r="P557" s="928"/>
      <c r="Q557" s="928"/>
      <c r="R557" s="928"/>
      <c r="S557" s="928"/>
      <c r="T557" s="928"/>
      <c r="U557" s="928"/>
      <c r="V557" s="928"/>
      <c r="W557" s="929"/>
      <c r="X557" s="550" t="s">
        <v>14</v>
      </c>
    </row>
    <row r="558" spans="1:24" ht="13.5" thickBot="1">
      <c r="A558" s="25" t="s">
        <v>74</v>
      </c>
      <c r="B558" s="869"/>
      <c r="C558" s="923"/>
      <c r="D558" s="930" t="s">
        <v>124</v>
      </c>
      <c r="E558" s="931"/>
      <c r="F558" s="931"/>
      <c r="G558" s="931"/>
      <c r="H558" s="931"/>
      <c r="I558" s="931"/>
      <c r="J558" s="931"/>
      <c r="K558" s="931"/>
      <c r="L558" s="931"/>
      <c r="M558" s="931"/>
      <c r="N558" s="931"/>
      <c r="O558" s="931"/>
      <c r="P558" s="931"/>
      <c r="Q558" s="931"/>
      <c r="R558" s="931"/>
      <c r="S558" s="931"/>
      <c r="T558" s="931"/>
      <c r="U558" s="931"/>
      <c r="V558" s="931"/>
      <c r="W558" s="932"/>
      <c r="X558" s="18" t="s">
        <v>93</v>
      </c>
    </row>
    <row r="559" spans="1:24" ht="13.5" thickBot="1">
      <c r="A559" s="906" t="s">
        <v>7</v>
      </c>
      <c r="B559" s="908" t="s">
        <v>173</v>
      </c>
      <c r="C559" s="909"/>
      <c r="D559" s="908" t="s">
        <v>8</v>
      </c>
      <c r="E559" s="918"/>
      <c r="F559" s="918"/>
      <c r="G559" s="909"/>
      <c r="H559" s="908" t="s">
        <v>88</v>
      </c>
      <c r="I559" s="918"/>
      <c r="J559" s="918"/>
      <c r="K559" s="909"/>
      <c r="L559" s="908" t="s">
        <v>89</v>
      </c>
      <c r="M559" s="918"/>
      <c r="N559" s="918"/>
      <c r="O559" s="909"/>
      <c r="P559" s="908" t="s">
        <v>9</v>
      </c>
      <c r="Q559" s="918"/>
      <c r="R559" s="918"/>
      <c r="S559" s="909"/>
      <c r="T559" s="908" t="s">
        <v>174</v>
      </c>
      <c r="U559" s="918"/>
      <c r="V559" s="918"/>
      <c r="W559" s="918"/>
      <c r="X559" s="909"/>
    </row>
    <row r="560" spans="1:24" ht="13.5" thickBot="1">
      <c r="A560" s="907"/>
      <c r="B560" s="919">
        <v>10300000</v>
      </c>
      <c r="C560" s="920"/>
      <c r="D560" s="919">
        <v>0</v>
      </c>
      <c r="E560" s="921"/>
      <c r="F560" s="921"/>
      <c r="G560" s="920"/>
      <c r="H560" s="919">
        <v>5500000</v>
      </c>
      <c r="I560" s="921"/>
      <c r="J560" s="921"/>
      <c r="K560" s="920"/>
      <c r="L560" s="919">
        <v>3100000</v>
      </c>
      <c r="M560" s="921"/>
      <c r="N560" s="921"/>
      <c r="O560" s="920"/>
      <c r="P560" s="919">
        <f>SUM(B560:O560)</f>
        <v>18900000</v>
      </c>
      <c r="Q560" s="921"/>
      <c r="R560" s="921"/>
      <c r="S560" s="920"/>
      <c r="T560" s="942">
        <f>B560/P560%</f>
        <v>54.4973544973545</v>
      </c>
      <c r="U560" s="943"/>
      <c r="V560" s="943"/>
      <c r="W560" s="943"/>
      <c r="X560" s="944"/>
    </row>
    <row r="561" spans="1:24" ht="13.5" thickBot="1">
      <c r="A561" s="906" t="s">
        <v>10</v>
      </c>
      <c r="B561" s="908" t="s">
        <v>175</v>
      </c>
      <c r="C561" s="909"/>
      <c r="D561" s="910"/>
      <c r="E561" s="911"/>
      <c r="F561" s="911"/>
      <c r="G561" s="911"/>
      <c r="H561" s="911"/>
      <c r="I561" s="911"/>
      <c r="J561" s="911"/>
      <c r="K561" s="911"/>
      <c r="L561" s="911"/>
      <c r="M561" s="911"/>
      <c r="N561" s="911"/>
      <c r="O561" s="911"/>
      <c r="P561" s="911"/>
      <c r="Q561" s="911"/>
      <c r="R561" s="911"/>
      <c r="S561" s="911"/>
      <c r="T561" s="911"/>
      <c r="U561" s="911"/>
      <c r="V561" s="911"/>
      <c r="W561" s="911"/>
      <c r="X561" s="912"/>
    </row>
    <row r="562" spans="1:24" ht="13.5" thickBot="1">
      <c r="A562" s="907"/>
      <c r="B562" s="916"/>
      <c r="C562" s="917"/>
      <c r="D562" s="913"/>
      <c r="E562" s="914"/>
      <c r="F562" s="914"/>
      <c r="G562" s="914"/>
      <c r="H562" s="914"/>
      <c r="I562" s="914"/>
      <c r="J562" s="914"/>
      <c r="K562" s="914"/>
      <c r="L562" s="914"/>
      <c r="M562" s="914"/>
      <c r="N562" s="914"/>
      <c r="O562" s="914"/>
      <c r="P562" s="914"/>
      <c r="Q562" s="914"/>
      <c r="R562" s="914"/>
      <c r="S562" s="914"/>
      <c r="T562" s="914"/>
      <c r="U562" s="914"/>
      <c r="V562" s="914"/>
      <c r="W562" s="914"/>
      <c r="X562" s="915"/>
    </row>
    <row r="564" spans="1:24" ht="13.5" thickBot="1"/>
    <row r="565" spans="1:24" ht="13.5" thickBot="1">
      <c r="A565" s="95" t="s">
        <v>27</v>
      </c>
      <c r="B565" s="97" t="s">
        <v>35</v>
      </c>
      <c r="C565" s="8"/>
      <c r="D565" s="927" t="s">
        <v>78</v>
      </c>
      <c r="E565" s="928"/>
      <c r="F565" s="928"/>
      <c r="G565" s="929"/>
      <c r="H565" s="927" t="s">
        <v>77</v>
      </c>
      <c r="I565" s="928"/>
      <c r="J565" s="928"/>
      <c r="K565" s="929"/>
      <c r="L565" s="927" t="s">
        <v>81</v>
      </c>
      <c r="M565" s="928"/>
      <c r="N565" s="928"/>
      <c r="O565" s="929"/>
      <c r="P565" s="927" t="s">
        <v>254</v>
      </c>
      <c r="Q565" s="928"/>
      <c r="R565" s="928"/>
      <c r="S565" s="929"/>
      <c r="T565" s="927" t="s">
        <v>76</v>
      </c>
      <c r="U565" s="928"/>
      <c r="V565" s="928"/>
      <c r="W565" s="929"/>
      <c r="X565" s="16" t="s">
        <v>12</v>
      </c>
    </row>
    <row r="566" spans="1:24" ht="12.95" customHeight="1" thickBot="1">
      <c r="A566" s="868" t="s">
        <v>70</v>
      </c>
      <c r="B566" s="868" t="s">
        <v>609</v>
      </c>
      <c r="C566" s="9" t="s">
        <v>285</v>
      </c>
      <c r="D566" s="924">
        <f>'LF-Enugu'!D171:G171</f>
        <v>0</v>
      </c>
      <c r="E566" s="925"/>
      <c r="F566" s="925"/>
      <c r="G566" s="926"/>
      <c r="H566" s="924">
        <f>'LF-Enugu'!H171:K171</f>
        <v>2</v>
      </c>
      <c r="I566" s="925"/>
      <c r="J566" s="925"/>
      <c r="K566" s="926"/>
      <c r="L566" s="924">
        <f>'LF-Enugu'!L171:O171</f>
        <v>3</v>
      </c>
      <c r="M566" s="925"/>
      <c r="N566" s="925"/>
      <c r="O566" s="926"/>
      <c r="P566" s="939">
        <f>'LF-Enugu'!P171:S171</f>
        <v>4</v>
      </c>
      <c r="Q566" s="940"/>
      <c r="R566" s="940"/>
      <c r="S566" s="941"/>
      <c r="T566" s="68">
        <f>'LF-Enugu'!T171</f>
        <v>10</v>
      </c>
      <c r="U566" s="68">
        <f>'LF-Enugu'!U171</f>
        <v>6</v>
      </c>
      <c r="V566" s="68">
        <f>'LF-Enugu'!V171</f>
        <v>3</v>
      </c>
      <c r="W566" s="68">
        <f>'LF-Enugu'!W171</f>
        <v>1</v>
      </c>
      <c r="X566" s="879" t="s">
        <v>90</v>
      </c>
    </row>
    <row r="567" spans="1:24" ht="12.95" customHeight="1" thickBot="1">
      <c r="A567" s="885"/>
      <c r="B567" s="885"/>
      <c r="C567" s="9" t="s">
        <v>286</v>
      </c>
      <c r="D567" s="924">
        <f>'LF-Jigawa'!D171:G171</f>
        <v>0</v>
      </c>
      <c r="E567" s="925"/>
      <c r="F567" s="925"/>
      <c r="G567" s="926"/>
      <c r="H567" s="924">
        <f>'LF-Jigawa'!H171:K171</f>
        <v>5</v>
      </c>
      <c r="I567" s="925"/>
      <c r="J567" s="925"/>
      <c r="K567" s="926"/>
      <c r="L567" s="924">
        <f>'LF-Jigawa'!L171:O171</f>
        <v>8</v>
      </c>
      <c r="M567" s="925"/>
      <c r="N567" s="925"/>
      <c r="O567" s="926"/>
      <c r="P567" s="939">
        <f>'LF-Jigawa'!P171:S171</f>
        <v>11</v>
      </c>
      <c r="Q567" s="940"/>
      <c r="R567" s="940"/>
      <c r="S567" s="941"/>
      <c r="T567" s="68">
        <f>'LF-Jigawa'!T171</f>
        <v>25</v>
      </c>
      <c r="U567" s="68">
        <f>'LF-Jigawa'!U171</f>
        <v>10</v>
      </c>
      <c r="V567" s="68">
        <f>'LF-Jigawa'!V171</f>
        <v>8</v>
      </c>
      <c r="W567" s="68">
        <f>'LF-Jigawa'!W171</f>
        <v>8</v>
      </c>
      <c r="X567" s="880"/>
    </row>
    <row r="568" spans="1:24" ht="12.95" customHeight="1" thickBot="1">
      <c r="A568" s="885"/>
      <c r="B568" s="885"/>
      <c r="C568" s="9" t="s">
        <v>287</v>
      </c>
      <c r="D568" s="924">
        <f>'LF-Kaduna'!D171:G171</f>
        <v>3</v>
      </c>
      <c r="E568" s="925"/>
      <c r="F568" s="925"/>
      <c r="G568" s="926"/>
      <c r="H568" s="924">
        <f>'LF-Kaduna'!H171:K171</f>
        <v>5</v>
      </c>
      <c r="I568" s="925"/>
      <c r="J568" s="925"/>
      <c r="K568" s="926"/>
      <c r="L568" s="924">
        <f>'LF-Kaduna'!L171:O171</f>
        <v>10</v>
      </c>
      <c r="M568" s="925"/>
      <c r="N568" s="925"/>
      <c r="O568" s="926"/>
      <c r="P568" s="939">
        <f>'LF-Kaduna'!P171:S171</f>
        <v>10</v>
      </c>
      <c r="Q568" s="940"/>
      <c r="R568" s="940"/>
      <c r="S568" s="941"/>
      <c r="T568" s="68">
        <f>'LF-Kaduna'!T171</f>
        <v>14</v>
      </c>
      <c r="U568" s="68">
        <f>'LF-Kaduna'!U171</f>
        <v>7</v>
      </c>
      <c r="V568" s="68">
        <f>'LF-Kaduna'!V171</f>
        <v>4</v>
      </c>
      <c r="W568" s="68">
        <f>'LF-Kaduna'!W171</f>
        <v>3</v>
      </c>
      <c r="X568" s="880"/>
    </row>
    <row r="569" spans="1:24" ht="12.95" customHeight="1" thickBot="1">
      <c r="A569" s="885"/>
      <c r="B569" s="885"/>
      <c r="C569" s="9" t="s">
        <v>288</v>
      </c>
      <c r="D569" s="924">
        <f>'LF-Kano'!D171:G171</f>
        <v>0</v>
      </c>
      <c r="E569" s="925"/>
      <c r="F569" s="925"/>
      <c r="G569" s="926"/>
      <c r="H569" s="924">
        <f>'LF-Kano'!H171:K171</f>
        <v>3</v>
      </c>
      <c r="I569" s="925"/>
      <c r="J569" s="925"/>
      <c r="K569" s="926"/>
      <c r="L569" s="924">
        <f>'LF-Kano'!L171:O171</f>
        <v>6</v>
      </c>
      <c r="M569" s="925"/>
      <c r="N569" s="925"/>
      <c r="O569" s="926"/>
      <c r="P569" s="939">
        <f>'LF-Kano'!P171:S171</f>
        <v>10</v>
      </c>
      <c r="Q569" s="940"/>
      <c r="R569" s="940"/>
      <c r="S569" s="941"/>
      <c r="T569" s="68">
        <f>'LF-Kano'!T171</f>
        <v>24</v>
      </c>
      <c r="U569" s="68">
        <f>'LF-Kano'!U171</f>
        <v>10</v>
      </c>
      <c r="V569" s="68">
        <f>'LF-Kano'!V171</f>
        <v>7</v>
      </c>
      <c r="W569" s="68">
        <f>'LF-Kano'!W171</f>
        <v>7</v>
      </c>
      <c r="X569" s="880"/>
    </row>
    <row r="570" spans="1:24" ht="12.95" customHeight="1" thickBot="1">
      <c r="A570" s="885"/>
      <c r="B570" s="885"/>
      <c r="C570" s="9" t="s">
        <v>289</v>
      </c>
      <c r="D570" s="924">
        <f>'LF-Lagos'!D171:G171</f>
        <v>2</v>
      </c>
      <c r="E570" s="925"/>
      <c r="F570" s="925"/>
      <c r="G570" s="926"/>
      <c r="H570" s="924">
        <f>'LF-Lagos'!H171:K171</f>
        <v>5</v>
      </c>
      <c r="I570" s="925"/>
      <c r="J570" s="925"/>
      <c r="K570" s="926"/>
      <c r="L570" s="924">
        <f>'LF-Lagos'!L171:O171</f>
        <v>6</v>
      </c>
      <c r="M570" s="925"/>
      <c r="N570" s="925"/>
      <c r="O570" s="926"/>
      <c r="P570" s="939">
        <f>'LF-Lagos'!P171:S171</f>
        <v>11</v>
      </c>
      <c r="Q570" s="940"/>
      <c r="R570" s="940"/>
      <c r="S570" s="941"/>
      <c r="T570" s="68">
        <f>'LF-Lagos'!T171</f>
        <v>9</v>
      </c>
      <c r="U570" s="68">
        <f>'LF-Lagos'!U171</f>
        <v>8</v>
      </c>
      <c r="V570" s="68">
        <f>'LF-Lagos'!V171</f>
        <v>8</v>
      </c>
      <c r="W570" s="68">
        <f>'LF-Lagos'!W171</f>
        <v>7</v>
      </c>
      <c r="X570" s="880"/>
    </row>
    <row r="571" spans="1:24" ht="12.95" customHeight="1" thickBot="1">
      <c r="A571" s="885"/>
      <c r="B571" s="885"/>
      <c r="C571" s="9" t="s">
        <v>292</v>
      </c>
      <c r="D571" s="945"/>
      <c r="E571" s="946"/>
      <c r="F571" s="946"/>
      <c r="G571" s="947"/>
      <c r="H571" s="924">
        <f>'LF-Zamfara'!H171:K171</f>
        <v>0</v>
      </c>
      <c r="I571" s="925"/>
      <c r="J571" s="925"/>
      <c r="K571" s="926"/>
      <c r="L571" s="924">
        <f>'LF-Zamfara'!L171:O171</f>
        <v>2</v>
      </c>
      <c r="M571" s="925"/>
      <c r="N571" s="925"/>
      <c r="O571" s="926"/>
      <c r="P571" s="939">
        <f>'LF-Zamfara'!P171:S171</f>
        <v>4</v>
      </c>
      <c r="Q571" s="940"/>
      <c r="R571" s="940"/>
      <c r="S571" s="941"/>
      <c r="T571" s="68">
        <f>'LF-Zamfara'!T171</f>
        <v>6</v>
      </c>
      <c r="U571" s="68">
        <f>'LF-Zamfara'!U171</f>
        <v>3</v>
      </c>
      <c r="V571" s="68">
        <f>'LF-Zamfara'!V171</f>
        <v>1</v>
      </c>
      <c r="W571" s="68">
        <f>'LF-Zamfara'!W171</f>
        <v>1</v>
      </c>
      <c r="X571" s="880"/>
    </row>
    <row r="572" spans="1:24" ht="12.95" customHeight="1" thickBot="1">
      <c r="A572" s="885"/>
      <c r="B572" s="885"/>
      <c r="C572" s="9" t="s">
        <v>293</v>
      </c>
      <c r="D572" s="945"/>
      <c r="E572" s="946"/>
      <c r="F572" s="946"/>
      <c r="G572" s="947"/>
      <c r="H572" s="924">
        <f>'LF-Katsina'!H171:K171</f>
        <v>0</v>
      </c>
      <c r="I572" s="925"/>
      <c r="J572" s="925"/>
      <c r="K572" s="926"/>
      <c r="L572" s="924">
        <f>'LF-Katsina'!L171:O171</f>
        <v>1</v>
      </c>
      <c r="M572" s="925"/>
      <c r="N572" s="925"/>
      <c r="O572" s="926"/>
      <c r="P572" s="939">
        <f>'LF-Katsina'!P171:S171</f>
        <v>3</v>
      </c>
      <c r="Q572" s="940"/>
      <c r="R572" s="940"/>
      <c r="S572" s="941"/>
      <c r="T572" s="68">
        <f>'LF-Katsina'!T171</f>
        <v>10</v>
      </c>
      <c r="U572" s="68">
        <f>'LF-Katsina'!U171</f>
        <v>5</v>
      </c>
      <c r="V572" s="68">
        <f>'LF-Katsina'!V171</f>
        <v>5</v>
      </c>
      <c r="W572" s="68">
        <f>'LF-Katsina'!W171</f>
        <v>5</v>
      </c>
      <c r="X572" s="880"/>
    </row>
    <row r="573" spans="1:24" ht="12.95" customHeight="1" thickBot="1">
      <c r="A573" s="885"/>
      <c r="B573" s="885"/>
      <c r="C573" s="9" t="s">
        <v>294</v>
      </c>
      <c r="D573" s="945"/>
      <c r="E573" s="946"/>
      <c r="F573" s="946"/>
      <c r="G573" s="947"/>
      <c r="H573" s="924">
        <f>'LF-Yobe'!H171:K171</f>
        <v>0</v>
      </c>
      <c r="I573" s="925"/>
      <c r="J573" s="925"/>
      <c r="K573" s="926"/>
      <c r="L573" s="924">
        <f>'LF-Yobe'!L171:O171</f>
        <v>1</v>
      </c>
      <c r="M573" s="925"/>
      <c r="N573" s="925"/>
      <c r="O573" s="926"/>
      <c r="P573" s="939">
        <f>'LF-Yobe'!P171:S171</f>
        <v>1</v>
      </c>
      <c r="Q573" s="940"/>
      <c r="R573" s="940"/>
      <c r="S573" s="941"/>
      <c r="T573" s="68">
        <f>'LF-Yobe'!T171</f>
        <v>8</v>
      </c>
      <c r="U573" s="68">
        <f>'LF-Yobe'!U171</f>
        <v>4</v>
      </c>
      <c r="V573" s="68">
        <f>'LF-Yobe'!V171</f>
        <v>4</v>
      </c>
      <c r="W573" s="68">
        <f>'LF-Yobe'!W171</f>
        <v>1</v>
      </c>
      <c r="X573" s="880"/>
    </row>
    <row r="574" spans="1:24" ht="12.95" customHeight="1" thickBot="1">
      <c r="A574" s="885"/>
      <c r="B574" s="885"/>
      <c r="C574" s="9" t="s">
        <v>290</v>
      </c>
      <c r="D574" s="945"/>
      <c r="E574" s="946"/>
      <c r="F574" s="946"/>
      <c r="G574" s="947"/>
      <c r="H574" s="1162"/>
      <c r="I574" s="1163"/>
      <c r="J574" s="1163"/>
      <c r="K574" s="1164"/>
      <c r="L574" s="1057" t="s">
        <v>443</v>
      </c>
      <c r="M574" s="1058"/>
      <c r="N574" s="1058"/>
      <c r="O574" s="1059"/>
      <c r="P574" s="68">
        <f>'LF-Anambra'!P171</f>
        <v>0</v>
      </c>
      <c r="Q574" s="68">
        <f>'LF-Anambra'!Q171</f>
        <v>0</v>
      </c>
      <c r="R574" s="68">
        <f>'LF-Anambra'!R171</f>
        <v>0</v>
      </c>
      <c r="S574" s="68">
        <f>'LF-Anambra'!S171</f>
        <v>0</v>
      </c>
      <c r="T574" s="68">
        <f>'LF-Anambra'!T171</f>
        <v>6</v>
      </c>
      <c r="U574" s="68">
        <f>'LF-Anambra'!U171</f>
        <v>2</v>
      </c>
      <c r="V574" s="68">
        <f>'LF-Anambra'!V171</f>
        <v>1</v>
      </c>
      <c r="W574" s="68">
        <f>'LF-Anambra'!W171</f>
        <v>0</v>
      </c>
      <c r="X574" s="880"/>
    </row>
    <row r="575" spans="1:24" ht="12.95" customHeight="1" thickBot="1">
      <c r="A575" s="885"/>
      <c r="B575" s="885"/>
      <c r="C575" s="9" t="s">
        <v>291</v>
      </c>
      <c r="D575" s="945"/>
      <c r="E575" s="946"/>
      <c r="F575" s="946"/>
      <c r="G575" s="947"/>
      <c r="H575" s="1162"/>
      <c r="I575" s="1163"/>
      <c r="J575" s="1163"/>
      <c r="K575" s="1164"/>
      <c r="L575" s="1057" t="s">
        <v>443</v>
      </c>
      <c r="M575" s="1058"/>
      <c r="N575" s="1058"/>
      <c r="O575" s="1059"/>
      <c r="P575" s="68">
        <f>'LF-Niger'!P171</f>
        <v>0</v>
      </c>
      <c r="Q575" s="68">
        <f>'LF-Niger'!Q171</f>
        <v>0</v>
      </c>
      <c r="R575" s="68">
        <f>'LF-Niger'!R171</f>
        <v>0</v>
      </c>
      <c r="S575" s="68">
        <f>'LF-Niger'!S171</f>
        <v>0</v>
      </c>
      <c r="T575" s="68">
        <f>'LF-Niger'!T171</f>
        <v>7</v>
      </c>
      <c r="U575" s="68">
        <f>'LF-Niger'!U171</f>
        <v>7</v>
      </c>
      <c r="V575" s="68">
        <f>'LF-Niger'!V171</f>
        <v>7</v>
      </c>
      <c r="W575" s="68">
        <f>'LF-Niger'!W171</f>
        <v>4</v>
      </c>
      <c r="X575" s="880"/>
    </row>
    <row r="576" spans="1:24" ht="13.5" thickBot="1">
      <c r="A576" s="885"/>
      <c r="B576" s="885"/>
      <c r="C576" s="9" t="s">
        <v>436</v>
      </c>
      <c r="D576" s="1174">
        <v>0</v>
      </c>
      <c r="E576" s="1175"/>
      <c r="F576" s="1175"/>
      <c r="G576" s="1176"/>
      <c r="H576" s="1174">
        <v>10</v>
      </c>
      <c r="I576" s="1175"/>
      <c r="J576" s="1175"/>
      <c r="K576" s="1176"/>
      <c r="L576" s="1174">
        <v>15</v>
      </c>
      <c r="M576" s="1175"/>
      <c r="N576" s="1175"/>
      <c r="O576" s="1176"/>
      <c r="P576" s="1174">
        <v>20</v>
      </c>
      <c r="Q576" s="1175"/>
      <c r="R576" s="1175"/>
      <c r="S576" s="1176"/>
      <c r="T576" s="551">
        <v>30</v>
      </c>
      <c r="U576" s="551">
        <v>20</v>
      </c>
      <c r="V576" s="551">
        <v>10</v>
      </c>
      <c r="W576" s="551">
        <v>10</v>
      </c>
      <c r="X576" s="880"/>
    </row>
    <row r="577" spans="1:24" ht="13.5" thickBot="1">
      <c r="A577" s="885"/>
      <c r="B577" s="885"/>
      <c r="C577" s="9" t="s">
        <v>641</v>
      </c>
      <c r="D577" s="1174">
        <v>0</v>
      </c>
      <c r="E577" s="1175"/>
      <c r="F577" s="1175"/>
      <c r="G577" s="1176"/>
      <c r="H577" s="1174">
        <v>0</v>
      </c>
      <c r="I577" s="1175"/>
      <c r="J577" s="1175"/>
      <c r="K577" s="1176"/>
      <c r="L577" s="1174">
        <v>0</v>
      </c>
      <c r="M577" s="1175"/>
      <c r="N577" s="1175"/>
      <c r="O577" s="1176"/>
      <c r="P577" s="1174">
        <v>10</v>
      </c>
      <c r="Q577" s="1175"/>
      <c r="R577" s="1175"/>
      <c r="S577" s="1176"/>
      <c r="T577" s="551">
        <v>20</v>
      </c>
      <c r="U577" s="551">
        <v>15</v>
      </c>
      <c r="V577" s="551">
        <v>5</v>
      </c>
      <c r="W577" s="551">
        <v>5</v>
      </c>
      <c r="X577" s="880"/>
    </row>
    <row r="578" spans="1:24" ht="13.5" thickBot="1">
      <c r="A578" s="885"/>
      <c r="B578" s="885"/>
      <c r="C578" s="100" t="s">
        <v>295</v>
      </c>
      <c r="D578" s="1054"/>
      <c r="E578" s="1055"/>
      <c r="F578" s="1055"/>
      <c r="G578" s="1056"/>
      <c r="H578" s="1140">
        <f>'LF-Enugu'!H172:K172</f>
        <v>0</v>
      </c>
      <c r="I578" s="1156"/>
      <c r="J578" s="1156"/>
      <c r="K578" s="1141"/>
      <c r="L578" s="1140">
        <f>'LF-Enugu'!L172:O172</f>
        <v>3</v>
      </c>
      <c r="M578" s="1156"/>
      <c r="N578" s="1156"/>
      <c r="O578" s="1141"/>
      <c r="P578" s="186">
        <f>'LF-Enugu'!P172</f>
        <v>10</v>
      </c>
      <c r="Q578" s="186">
        <f>'LF-Enugu'!Q172</f>
        <v>10</v>
      </c>
      <c r="R578" s="186">
        <f>'LF-Enugu'!R172</f>
        <v>8</v>
      </c>
      <c r="S578" s="186">
        <f>'LF-Enugu'!S172</f>
        <v>5</v>
      </c>
      <c r="T578" s="186">
        <f>'LF-Enugu'!T172</f>
        <v>0</v>
      </c>
      <c r="U578" s="186">
        <f>'LF-Enugu'!U172</f>
        <v>0</v>
      </c>
      <c r="V578" s="186">
        <f>'LF-Enugu'!V172</f>
        <v>0</v>
      </c>
      <c r="W578" s="186">
        <f>'LF-Enugu'!W172</f>
        <v>0</v>
      </c>
      <c r="X578" s="880"/>
    </row>
    <row r="579" spans="1:24" ht="13.5" thickBot="1">
      <c r="A579" s="885"/>
      <c r="B579" s="885"/>
      <c r="C579" s="100" t="s">
        <v>296</v>
      </c>
      <c r="D579" s="1054"/>
      <c r="E579" s="1055"/>
      <c r="F579" s="1055"/>
      <c r="G579" s="1056"/>
      <c r="H579" s="1140">
        <f>'LF-Jigawa'!H172:K172</f>
        <v>1</v>
      </c>
      <c r="I579" s="1156"/>
      <c r="J579" s="1156"/>
      <c r="K579" s="1141"/>
      <c r="L579" s="1140">
        <f>'LF-Jigawa'!L172:O172</f>
        <v>10</v>
      </c>
      <c r="M579" s="1156"/>
      <c r="N579" s="1156"/>
      <c r="O579" s="1141"/>
      <c r="P579" s="186">
        <f>'LF-Jigawa'!P172</f>
        <v>18</v>
      </c>
      <c r="Q579" s="186">
        <f>'LF-Jigawa'!Q172</f>
        <v>5</v>
      </c>
      <c r="R579" s="186">
        <f>'LF-Jigawa'!R172</f>
        <v>5</v>
      </c>
      <c r="S579" s="186">
        <f>'LF-Jigawa'!S172</f>
        <v>7</v>
      </c>
      <c r="T579" s="186">
        <f>'LF-Jigawa'!T172</f>
        <v>0</v>
      </c>
      <c r="U579" s="186">
        <f>'LF-Jigawa'!U172</f>
        <v>0</v>
      </c>
      <c r="V579" s="186">
        <f>'LF-Jigawa'!V172</f>
        <v>0</v>
      </c>
      <c r="W579" s="186">
        <f>'LF-Jigawa'!W172</f>
        <v>0</v>
      </c>
      <c r="X579" s="880"/>
    </row>
    <row r="580" spans="1:24" ht="13.5" thickBot="1">
      <c r="A580" s="885"/>
      <c r="B580" s="885"/>
      <c r="C580" s="100" t="s">
        <v>297</v>
      </c>
      <c r="D580" s="1054"/>
      <c r="E580" s="1055"/>
      <c r="F580" s="1055"/>
      <c r="G580" s="1056"/>
      <c r="H580" s="1140">
        <f>'LF-Kaduna'!H172:K172</f>
        <v>7</v>
      </c>
      <c r="I580" s="1156"/>
      <c r="J580" s="1156"/>
      <c r="K580" s="1141"/>
      <c r="L580" s="1140">
        <f>'LF-Kaduna'!L172:O172</f>
        <v>8</v>
      </c>
      <c r="M580" s="1156"/>
      <c r="N580" s="1156"/>
      <c r="O580" s="1141"/>
      <c r="P580" s="186">
        <f>'LF-Kaduna'!P172</f>
        <v>12</v>
      </c>
      <c r="Q580" s="186">
        <f>'LF-Kaduna'!Q172</f>
        <v>4</v>
      </c>
      <c r="R580" s="186">
        <f>'LF-Kaduna'!R172</f>
        <v>4</v>
      </c>
      <c r="S580" s="186">
        <f>'LF-Kaduna'!S172</f>
        <v>2</v>
      </c>
      <c r="T580" s="186">
        <f>'LF-Kaduna'!T172</f>
        <v>0</v>
      </c>
      <c r="U580" s="186">
        <f>'LF-Kaduna'!U172</f>
        <v>0</v>
      </c>
      <c r="V580" s="186">
        <f>'LF-Kaduna'!V172</f>
        <v>0</v>
      </c>
      <c r="W580" s="186">
        <f>'LF-Kaduna'!W172</f>
        <v>0</v>
      </c>
      <c r="X580" s="880"/>
    </row>
    <row r="581" spans="1:24" ht="13.5" thickBot="1">
      <c r="A581" s="885"/>
      <c r="B581" s="885"/>
      <c r="C581" s="100" t="s">
        <v>298</v>
      </c>
      <c r="D581" s="1054"/>
      <c r="E581" s="1055"/>
      <c r="F581" s="1055"/>
      <c r="G581" s="1056"/>
      <c r="H581" s="1140">
        <f>'LF-Kano'!H172:K172</f>
        <v>3</v>
      </c>
      <c r="I581" s="1156"/>
      <c r="J581" s="1156"/>
      <c r="K581" s="1141"/>
      <c r="L581" s="1140">
        <f>'LF-Kano'!L172:O172</f>
        <v>8</v>
      </c>
      <c r="M581" s="1156"/>
      <c r="N581" s="1156"/>
      <c r="O581" s="1141"/>
      <c r="P581" s="186">
        <f>'LF-Kano'!P172</f>
        <v>13</v>
      </c>
      <c r="Q581" s="186">
        <f>'LF-Kano'!Q172</f>
        <v>5</v>
      </c>
      <c r="R581" s="186">
        <f>'LF-Kano'!R172</f>
        <v>3</v>
      </c>
      <c r="S581" s="186">
        <f>'LF-Kano'!S172</f>
        <v>5</v>
      </c>
      <c r="T581" s="186">
        <f>'LF-Kano'!T172</f>
        <v>0</v>
      </c>
      <c r="U581" s="186">
        <f>'LF-Kano'!U172</f>
        <v>0</v>
      </c>
      <c r="V581" s="186">
        <f>'LF-Kano'!V172</f>
        <v>0</v>
      </c>
      <c r="W581" s="186">
        <f>'LF-Kano'!W172</f>
        <v>0</v>
      </c>
      <c r="X581" s="880"/>
    </row>
    <row r="582" spans="1:24" ht="13.5" thickBot="1">
      <c r="A582" s="885"/>
      <c r="B582" s="885"/>
      <c r="C582" s="100" t="s">
        <v>299</v>
      </c>
      <c r="D582" s="1054"/>
      <c r="E582" s="1055"/>
      <c r="F582" s="1055"/>
      <c r="G582" s="1056"/>
      <c r="H582" s="1140">
        <f>'LF-Lagos'!H172:K172</f>
        <v>5</v>
      </c>
      <c r="I582" s="1156"/>
      <c r="J582" s="1156"/>
      <c r="K582" s="1141"/>
      <c r="L582" s="1140">
        <f>'LF-Lagos'!L172:O172</f>
        <v>8</v>
      </c>
      <c r="M582" s="1156"/>
      <c r="N582" s="1156"/>
      <c r="O582" s="1141"/>
      <c r="P582" s="186">
        <f>'LF-Lagos'!P172</f>
        <v>9</v>
      </c>
      <c r="Q582" s="186">
        <f>'LF-Lagos'!Q172</f>
        <v>6</v>
      </c>
      <c r="R582" s="186">
        <f>'LF-Lagos'!R172</f>
        <v>6</v>
      </c>
      <c r="S582" s="186">
        <f>'LF-Lagos'!S172</f>
        <v>6</v>
      </c>
      <c r="T582" s="186">
        <f>'LF-Lagos'!T172</f>
        <v>0</v>
      </c>
      <c r="U582" s="186">
        <f>'LF-Lagos'!U172</f>
        <v>0</v>
      </c>
      <c r="V582" s="186">
        <f>'LF-Lagos'!V172</f>
        <v>0</v>
      </c>
      <c r="W582" s="186">
        <f>'LF-Lagos'!W172</f>
        <v>0</v>
      </c>
      <c r="X582" s="880"/>
    </row>
    <row r="583" spans="1:24" ht="24.75" thickBot="1">
      <c r="A583" s="885"/>
      <c r="B583" s="885"/>
      <c r="C583" s="100" t="s">
        <v>300</v>
      </c>
      <c r="D583" s="1054"/>
      <c r="E583" s="1055"/>
      <c r="F583" s="1055"/>
      <c r="G583" s="1056"/>
      <c r="H583" s="1054"/>
      <c r="I583" s="1055"/>
      <c r="J583" s="1055"/>
      <c r="K583" s="1056"/>
      <c r="L583" s="1140">
        <f>'LF-Zamfara'!L172:O172</f>
        <v>2</v>
      </c>
      <c r="M583" s="1156"/>
      <c r="N583" s="1156"/>
      <c r="O583" s="1141"/>
      <c r="P583" s="186">
        <f>'LF-Zamfara'!P172</f>
        <v>2</v>
      </c>
      <c r="Q583" s="186">
        <f>'LF-Zamfara'!Q172</f>
        <v>1</v>
      </c>
      <c r="R583" s="186">
        <f>'LF-Zamfara'!R172</f>
        <v>1</v>
      </c>
      <c r="S583" s="186">
        <f>'LF-Zamfara'!S172</f>
        <v>0</v>
      </c>
      <c r="T583" s="186">
        <f>'LF-Zamfara'!T172</f>
        <v>0</v>
      </c>
      <c r="U583" s="186">
        <f>'LF-Zamfara'!U172</f>
        <v>0</v>
      </c>
      <c r="V583" s="186">
        <f>'LF-Zamfara'!V172</f>
        <v>0</v>
      </c>
      <c r="W583" s="186">
        <f>'LF-Zamfara'!W172</f>
        <v>0</v>
      </c>
      <c r="X583" s="880"/>
    </row>
    <row r="584" spans="1:24" ht="13.5" thickBot="1">
      <c r="A584" s="885"/>
      <c r="B584" s="885"/>
      <c r="C584" s="100" t="s">
        <v>301</v>
      </c>
      <c r="D584" s="1054"/>
      <c r="E584" s="1055"/>
      <c r="F584" s="1055"/>
      <c r="G584" s="1056"/>
      <c r="H584" s="1054"/>
      <c r="I584" s="1055"/>
      <c r="J584" s="1055"/>
      <c r="K584" s="1056"/>
      <c r="L584" s="1140">
        <f>'LF-Katsina'!L172:O172</f>
        <v>1</v>
      </c>
      <c r="M584" s="1156"/>
      <c r="N584" s="1156"/>
      <c r="O584" s="1141"/>
      <c r="P584" s="186">
        <f>'LF-Katsina'!P172</f>
        <v>3</v>
      </c>
      <c r="Q584" s="186">
        <f>'LF-Katsina'!Q172</f>
        <v>2</v>
      </c>
      <c r="R584" s="186">
        <f>'LF-Katsina'!R172</f>
        <v>1</v>
      </c>
      <c r="S584" s="186">
        <f>'LF-Katsina'!S172</f>
        <v>0</v>
      </c>
      <c r="T584" s="186">
        <f>'LF-Katsina'!T172</f>
        <v>0</v>
      </c>
      <c r="U584" s="186">
        <f>'LF-Katsina'!U172</f>
        <v>0</v>
      </c>
      <c r="V584" s="186">
        <f>'LF-Katsina'!V172</f>
        <v>0</v>
      </c>
      <c r="W584" s="186">
        <f>'LF-Katsina'!W172</f>
        <v>0</v>
      </c>
      <c r="X584" s="880"/>
    </row>
    <row r="585" spans="1:24" ht="13.5" thickBot="1">
      <c r="A585" s="885"/>
      <c r="B585" s="885"/>
      <c r="C585" s="100" t="s">
        <v>302</v>
      </c>
      <c r="D585" s="1054"/>
      <c r="E585" s="1055"/>
      <c r="F585" s="1055"/>
      <c r="G585" s="1056"/>
      <c r="H585" s="1054"/>
      <c r="I585" s="1055"/>
      <c r="J585" s="1055"/>
      <c r="K585" s="1056"/>
      <c r="L585" s="1140">
        <f>'LF-Yobe'!L172:O172</f>
        <v>1</v>
      </c>
      <c r="M585" s="1156"/>
      <c r="N585" s="1156"/>
      <c r="O585" s="1141"/>
      <c r="P585" s="186">
        <f>'LF-Yobe'!P172</f>
        <v>1</v>
      </c>
      <c r="Q585" s="186">
        <f>'LF-Yobe'!Q172</f>
        <v>0</v>
      </c>
      <c r="R585" s="186">
        <f>'LF-Yobe'!R172</f>
        <v>1</v>
      </c>
      <c r="S585" s="186">
        <f>'LF-Yobe'!S172</f>
        <v>0</v>
      </c>
      <c r="T585" s="186">
        <f>'LF-Yobe'!T172</f>
        <v>0</v>
      </c>
      <c r="U585" s="186">
        <f>'LF-Yobe'!U172</f>
        <v>0</v>
      </c>
      <c r="V585" s="186">
        <f>'LF-Yobe'!V172</f>
        <v>0</v>
      </c>
      <c r="W585" s="186">
        <f>'LF-Yobe'!W172</f>
        <v>0</v>
      </c>
      <c r="X585" s="880"/>
    </row>
    <row r="586" spans="1:24" ht="24.75" thickBot="1">
      <c r="A586" s="885"/>
      <c r="B586" s="885"/>
      <c r="C586" s="100" t="s">
        <v>303</v>
      </c>
      <c r="D586" s="1054"/>
      <c r="E586" s="1055"/>
      <c r="F586" s="1055"/>
      <c r="G586" s="1056"/>
      <c r="H586" s="1054"/>
      <c r="I586" s="1055"/>
      <c r="J586" s="1055"/>
      <c r="K586" s="1056"/>
      <c r="L586" s="1054"/>
      <c r="M586" s="1055"/>
      <c r="N586" s="1055"/>
      <c r="O586" s="1056"/>
      <c r="P586" s="1054"/>
      <c r="Q586" s="1055"/>
      <c r="R586" s="1055"/>
      <c r="S586" s="1056"/>
      <c r="T586" s="186">
        <f>'LF-Anambra'!T172</f>
        <v>0</v>
      </c>
      <c r="U586" s="186">
        <f>'LF-Anambra'!U172</f>
        <v>0</v>
      </c>
      <c r="V586" s="186">
        <f>'LF-Anambra'!V172</f>
        <v>0</v>
      </c>
      <c r="W586" s="186">
        <f>'LF-Anambra'!W172</f>
        <v>0</v>
      </c>
      <c r="X586" s="880"/>
    </row>
    <row r="587" spans="1:24" ht="13.5" thickBot="1">
      <c r="A587" s="885"/>
      <c r="B587" s="885"/>
      <c r="C587" s="100" t="s">
        <v>304</v>
      </c>
      <c r="D587" s="1054"/>
      <c r="E587" s="1055"/>
      <c r="F587" s="1055"/>
      <c r="G587" s="1056"/>
      <c r="H587" s="1054"/>
      <c r="I587" s="1055"/>
      <c r="J587" s="1055"/>
      <c r="K587" s="1056"/>
      <c r="L587" s="1054"/>
      <c r="M587" s="1055"/>
      <c r="N587" s="1055"/>
      <c r="O587" s="1056"/>
      <c r="P587" s="1054"/>
      <c r="Q587" s="1055"/>
      <c r="R587" s="1055"/>
      <c r="S587" s="1056"/>
      <c r="T587" s="186">
        <f>'LF-Niger'!T172</f>
        <v>0</v>
      </c>
      <c r="U587" s="186">
        <f>'LF-Niger'!U172</f>
        <v>0</v>
      </c>
      <c r="V587" s="186">
        <f>'LF-Niger'!V172</f>
        <v>0</v>
      </c>
      <c r="W587" s="186">
        <f>'LF-Niger'!W172</f>
        <v>0</v>
      </c>
      <c r="X587" s="880"/>
    </row>
    <row r="588" spans="1:24" ht="13.5" thickBot="1">
      <c r="A588" s="885"/>
      <c r="B588" s="885"/>
      <c r="C588" s="100" t="s">
        <v>435</v>
      </c>
      <c r="D588" s="1054"/>
      <c r="E588" s="1055"/>
      <c r="F588" s="1055"/>
      <c r="G588" s="1056"/>
      <c r="H588" s="1177">
        <v>10</v>
      </c>
      <c r="I588" s="1178"/>
      <c r="J588" s="1178"/>
      <c r="K588" s="1179"/>
      <c r="L588" s="1177">
        <v>13</v>
      </c>
      <c r="M588" s="1178"/>
      <c r="N588" s="1178"/>
      <c r="O588" s="1179"/>
      <c r="P588" s="552">
        <v>24</v>
      </c>
      <c r="Q588" s="552">
        <v>18</v>
      </c>
      <c r="R588" s="552">
        <v>8</v>
      </c>
      <c r="S588" s="552">
        <v>7</v>
      </c>
      <c r="T588" s="106">
        <f>'Nat-Intl Replication Diary'!Q9</f>
        <v>42</v>
      </c>
      <c r="U588" s="106">
        <f>'Nat-Intl Replication Diary'!Q10</f>
        <v>31</v>
      </c>
      <c r="V588" s="106">
        <f>'Nat-Intl Replication Diary'!Q11</f>
        <v>22</v>
      </c>
      <c r="W588" s="106">
        <f>'Nat-Intl Replication Diary'!Q12</f>
        <v>15</v>
      </c>
      <c r="X588" s="880"/>
    </row>
    <row r="589" spans="1:24" ht="13.5" thickBot="1">
      <c r="A589" s="885"/>
      <c r="B589" s="885"/>
      <c r="C589" s="100" t="s">
        <v>642</v>
      </c>
      <c r="D589" s="1054"/>
      <c r="E589" s="1055"/>
      <c r="F589" s="1055"/>
      <c r="G589" s="1056"/>
      <c r="H589" s="1177">
        <v>0</v>
      </c>
      <c r="I589" s="1178"/>
      <c r="J589" s="1178"/>
      <c r="K589" s="1179"/>
      <c r="L589" s="1177">
        <v>0</v>
      </c>
      <c r="M589" s="1178"/>
      <c r="N589" s="1178"/>
      <c r="O589" s="1179"/>
      <c r="P589" s="552">
        <v>18</v>
      </c>
      <c r="Q589" s="552">
        <v>11</v>
      </c>
      <c r="R589" s="552">
        <v>4</v>
      </c>
      <c r="S589" s="552">
        <v>4</v>
      </c>
      <c r="T589" s="106">
        <f>'Nat-Intl Replication Diary'!R9</f>
        <v>42</v>
      </c>
      <c r="U589" s="106">
        <f>'Nat-Intl Replication Diary'!R10</f>
        <v>22</v>
      </c>
      <c r="V589" s="106">
        <f>'Nat-Intl Replication Diary'!R11</f>
        <v>10</v>
      </c>
      <c r="W589" s="106">
        <f>'Nat-Intl Replication Diary'!R12</f>
        <v>6</v>
      </c>
      <c r="X589" s="880"/>
    </row>
    <row r="590" spans="1:24" ht="13.5" thickBot="1">
      <c r="A590" s="885"/>
      <c r="B590" s="885"/>
      <c r="C590" s="922" t="s">
        <v>413</v>
      </c>
      <c r="D590" s="927" t="s">
        <v>4</v>
      </c>
      <c r="E590" s="928"/>
      <c r="F590" s="928"/>
      <c r="G590" s="928"/>
      <c r="H590" s="928"/>
      <c r="I590" s="928"/>
      <c r="J590" s="928"/>
      <c r="K590" s="928"/>
      <c r="L590" s="928"/>
      <c r="M590" s="928"/>
      <c r="N590" s="928"/>
      <c r="O590" s="928"/>
      <c r="P590" s="928"/>
      <c r="Q590" s="928"/>
      <c r="R590" s="928"/>
      <c r="S590" s="928"/>
      <c r="T590" s="928"/>
      <c r="U590" s="928"/>
      <c r="V590" s="928"/>
      <c r="W590" s="929"/>
      <c r="X590" s="880"/>
    </row>
    <row r="591" spans="1:24" ht="13.5" thickBot="1">
      <c r="A591" s="885"/>
      <c r="B591" s="869"/>
      <c r="C591" s="923"/>
      <c r="D591" s="930" t="s">
        <v>125</v>
      </c>
      <c r="E591" s="931"/>
      <c r="F591" s="931"/>
      <c r="G591" s="931"/>
      <c r="H591" s="931"/>
      <c r="I591" s="931"/>
      <c r="J591" s="931"/>
      <c r="K591" s="931"/>
      <c r="L591" s="931"/>
      <c r="M591" s="931"/>
      <c r="N591" s="931"/>
      <c r="O591" s="931"/>
      <c r="P591" s="931"/>
      <c r="Q591" s="931"/>
      <c r="R591" s="931"/>
      <c r="S591" s="931"/>
      <c r="T591" s="931"/>
      <c r="U591" s="931"/>
      <c r="V591" s="931"/>
      <c r="W591" s="932"/>
      <c r="X591" s="880"/>
    </row>
    <row r="592" spans="1:24" ht="13.5" thickBot="1">
      <c r="A592" s="885"/>
      <c r="B592" s="11" t="s">
        <v>36</v>
      </c>
      <c r="C592" s="12"/>
      <c r="D592" s="927" t="s">
        <v>78</v>
      </c>
      <c r="E592" s="928"/>
      <c r="F592" s="928"/>
      <c r="G592" s="929"/>
      <c r="H592" s="927" t="s">
        <v>77</v>
      </c>
      <c r="I592" s="928"/>
      <c r="J592" s="928"/>
      <c r="K592" s="929"/>
      <c r="L592" s="927" t="s">
        <v>81</v>
      </c>
      <c r="M592" s="928"/>
      <c r="N592" s="928"/>
      <c r="O592" s="929"/>
      <c r="P592" s="927" t="s">
        <v>254</v>
      </c>
      <c r="Q592" s="928"/>
      <c r="R592" s="928"/>
      <c r="S592" s="929"/>
      <c r="T592" s="927" t="s">
        <v>76</v>
      </c>
      <c r="U592" s="928"/>
      <c r="V592" s="928"/>
      <c r="W592" s="929"/>
      <c r="X592" s="880"/>
    </row>
    <row r="593" spans="1:24" ht="13.5" thickBot="1">
      <c r="A593" s="885"/>
      <c r="B593" s="868" t="s">
        <v>601</v>
      </c>
      <c r="C593" s="9" t="s">
        <v>285</v>
      </c>
      <c r="D593" s="924">
        <f>'LF-Enugu'!D177:G177</f>
        <v>0</v>
      </c>
      <c r="E593" s="925"/>
      <c r="F593" s="925"/>
      <c r="G593" s="926"/>
      <c r="H593" s="924">
        <f>'LF-Enugu'!H177:K177</f>
        <v>1</v>
      </c>
      <c r="I593" s="925"/>
      <c r="J593" s="925"/>
      <c r="K593" s="926"/>
      <c r="L593" s="939">
        <f>'LF-Enugu'!L177:O177</f>
        <v>1</v>
      </c>
      <c r="M593" s="940"/>
      <c r="N593" s="940"/>
      <c r="O593" s="941"/>
      <c r="P593" s="939">
        <f>'LF-Enugu'!P177:S177</f>
        <v>2</v>
      </c>
      <c r="Q593" s="940"/>
      <c r="R593" s="940"/>
      <c r="S593" s="941"/>
      <c r="T593" s="68">
        <f>'LF-Enugu'!T177</f>
        <v>6</v>
      </c>
      <c r="U593" s="68">
        <f>'LF-Enugu'!U177</f>
        <v>4</v>
      </c>
      <c r="V593" s="68">
        <f>'LF-Enugu'!V177</f>
        <v>3</v>
      </c>
      <c r="W593" s="68">
        <f>'LF-Enugu'!W177</f>
        <v>1</v>
      </c>
      <c r="X593" s="880"/>
    </row>
    <row r="594" spans="1:24" ht="13.5" thickBot="1">
      <c r="A594" s="885"/>
      <c r="B594" s="885"/>
      <c r="C594" s="9" t="s">
        <v>286</v>
      </c>
      <c r="D594" s="924">
        <f>'LF-Jigawa'!D177:G177</f>
        <v>0</v>
      </c>
      <c r="E594" s="925"/>
      <c r="F594" s="925"/>
      <c r="G594" s="926"/>
      <c r="H594" s="924">
        <f>'LF-Jigawa'!H177:K177</f>
        <v>1</v>
      </c>
      <c r="I594" s="925"/>
      <c r="J594" s="925"/>
      <c r="K594" s="926"/>
      <c r="L594" s="939">
        <f>'LF-Jigawa'!L177:O177</f>
        <v>4</v>
      </c>
      <c r="M594" s="940"/>
      <c r="N594" s="940"/>
      <c r="O594" s="941"/>
      <c r="P594" s="939">
        <f>'LF-Jigawa'!P177:S177</f>
        <v>2</v>
      </c>
      <c r="Q594" s="940"/>
      <c r="R594" s="940"/>
      <c r="S594" s="941"/>
      <c r="T594" s="68">
        <f>'LF-Jigawa'!T177</f>
        <v>8</v>
      </c>
      <c r="U594" s="68">
        <f>'LF-Jigawa'!U177</f>
        <v>6</v>
      </c>
      <c r="V594" s="68">
        <f>'LF-Jigawa'!V177</f>
        <v>3</v>
      </c>
      <c r="W594" s="68">
        <f>'LF-Jigawa'!W177</f>
        <v>2</v>
      </c>
      <c r="X594" s="880"/>
    </row>
    <row r="595" spans="1:24" ht="13.5" thickBot="1">
      <c r="A595" s="885"/>
      <c r="B595" s="885"/>
      <c r="C595" s="9" t="s">
        <v>287</v>
      </c>
      <c r="D595" s="924">
        <f>'LF-Kaduna'!D177:G177</f>
        <v>0</v>
      </c>
      <c r="E595" s="925"/>
      <c r="F595" s="925"/>
      <c r="G595" s="926"/>
      <c r="H595" s="924">
        <f>'LF-Kaduna'!H177:K177</f>
        <v>2</v>
      </c>
      <c r="I595" s="925"/>
      <c r="J595" s="925"/>
      <c r="K595" s="926"/>
      <c r="L595" s="939">
        <f>'LF-Kaduna'!L177:O177</f>
        <v>5</v>
      </c>
      <c r="M595" s="940"/>
      <c r="N595" s="940"/>
      <c r="O595" s="941"/>
      <c r="P595" s="939">
        <f>'LF-Kaduna'!P177:S177</f>
        <v>5</v>
      </c>
      <c r="Q595" s="940"/>
      <c r="R595" s="940"/>
      <c r="S595" s="941"/>
      <c r="T595" s="68">
        <f>'LF-Kaduna'!T177</f>
        <v>8</v>
      </c>
      <c r="U595" s="68">
        <f>'LF-Kaduna'!U177</f>
        <v>4</v>
      </c>
      <c r="V595" s="68">
        <f>'LF-Kaduna'!V177</f>
        <v>2</v>
      </c>
      <c r="W595" s="68">
        <f>'LF-Kaduna'!W177</f>
        <v>1</v>
      </c>
      <c r="X595" s="880"/>
    </row>
    <row r="596" spans="1:24" ht="13.5" thickBot="1">
      <c r="A596" s="885"/>
      <c r="B596" s="885"/>
      <c r="C596" s="9" t="s">
        <v>288</v>
      </c>
      <c r="D596" s="924">
        <f>'LF-Kano'!D177:G177</f>
        <v>0</v>
      </c>
      <c r="E596" s="925"/>
      <c r="F596" s="925"/>
      <c r="G596" s="926"/>
      <c r="H596" s="924">
        <f>'LF-Kano'!H177:K177</f>
        <v>5</v>
      </c>
      <c r="I596" s="925"/>
      <c r="J596" s="925"/>
      <c r="K596" s="926"/>
      <c r="L596" s="939">
        <f>'LF-Kano'!L177:O177</f>
        <v>10</v>
      </c>
      <c r="M596" s="940"/>
      <c r="N596" s="940"/>
      <c r="O596" s="941"/>
      <c r="P596" s="939">
        <f>'LF-Kano'!P177:S177</f>
        <v>8</v>
      </c>
      <c r="Q596" s="940"/>
      <c r="R596" s="940"/>
      <c r="S596" s="941"/>
      <c r="T596" s="68">
        <f>'LF-Kano'!T177</f>
        <v>13</v>
      </c>
      <c r="U596" s="68">
        <f>'LF-Kano'!U177</f>
        <v>7</v>
      </c>
      <c r="V596" s="68">
        <f>'LF-Kano'!V177</f>
        <v>6</v>
      </c>
      <c r="W596" s="68">
        <f>'LF-Kano'!W177</f>
        <v>2</v>
      </c>
      <c r="X596" s="880"/>
    </row>
    <row r="597" spans="1:24" ht="13.5" thickBot="1">
      <c r="A597" s="885"/>
      <c r="B597" s="885"/>
      <c r="C597" s="9" t="s">
        <v>289</v>
      </c>
      <c r="D597" s="924">
        <f>'LF-Lagos'!D177:G177</f>
        <v>2</v>
      </c>
      <c r="E597" s="925"/>
      <c r="F597" s="925"/>
      <c r="G597" s="926"/>
      <c r="H597" s="924">
        <f>'LF-Lagos'!H177:K177</f>
        <v>5</v>
      </c>
      <c r="I597" s="925"/>
      <c r="J597" s="925"/>
      <c r="K597" s="926"/>
      <c r="L597" s="939">
        <f>'LF-Lagos'!L177:O177</f>
        <v>8</v>
      </c>
      <c r="M597" s="940"/>
      <c r="N597" s="940"/>
      <c r="O597" s="941"/>
      <c r="P597" s="939">
        <f>'LF-Lagos'!P177:S177</f>
        <v>4</v>
      </c>
      <c r="Q597" s="940"/>
      <c r="R597" s="940"/>
      <c r="S597" s="941"/>
      <c r="T597" s="68">
        <f>'LF-Lagos'!T177</f>
        <v>9</v>
      </c>
      <c r="U597" s="68">
        <f>'LF-Lagos'!U177</f>
        <v>8</v>
      </c>
      <c r="V597" s="68">
        <f>'LF-Lagos'!V177</f>
        <v>6</v>
      </c>
      <c r="W597" s="68">
        <f>'LF-Lagos'!W177</f>
        <v>2</v>
      </c>
      <c r="X597" s="880"/>
    </row>
    <row r="598" spans="1:24" ht="12.95" customHeight="1" thickBot="1">
      <c r="A598" s="885"/>
      <c r="B598" s="885"/>
      <c r="C598" s="9" t="s">
        <v>292</v>
      </c>
      <c r="D598" s="1166"/>
      <c r="E598" s="1167"/>
      <c r="F598" s="1167"/>
      <c r="G598" s="1168"/>
      <c r="H598" s="924">
        <f>'LF-Zamfara'!H177:K177</f>
        <v>0</v>
      </c>
      <c r="I598" s="925"/>
      <c r="J598" s="925"/>
      <c r="K598" s="926"/>
      <c r="L598" s="939">
        <f>'LF-Zamfara'!L177:O177</f>
        <v>1</v>
      </c>
      <c r="M598" s="940"/>
      <c r="N598" s="940"/>
      <c r="O598" s="941"/>
      <c r="P598" s="939">
        <f>'LF-Zamfara'!P177:S177</f>
        <v>2</v>
      </c>
      <c r="Q598" s="940"/>
      <c r="R598" s="940"/>
      <c r="S598" s="941"/>
      <c r="T598" s="68">
        <f>'LF-Zamfara'!T177</f>
        <v>5</v>
      </c>
      <c r="U598" s="68">
        <f>'LF-Zamfara'!U177</f>
        <v>2</v>
      </c>
      <c r="V598" s="68">
        <f>'LF-Zamfara'!V177</f>
        <v>0</v>
      </c>
      <c r="W598" s="68">
        <f>'LF-Zamfara'!W177</f>
        <v>0</v>
      </c>
      <c r="X598" s="880"/>
    </row>
    <row r="599" spans="1:24" ht="12.95" customHeight="1" thickBot="1">
      <c r="A599" s="885"/>
      <c r="B599" s="885"/>
      <c r="C599" s="9" t="s">
        <v>293</v>
      </c>
      <c r="D599" s="1166"/>
      <c r="E599" s="1167"/>
      <c r="F599" s="1167"/>
      <c r="G599" s="1168"/>
      <c r="H599" s="924">
        <f>'LF-Katsina'!H177:K177</f>
        <v>0</v>
      </c>
      <c r="I599" s="925"/>
      <c r="J599" s="925"/>
      <c r="K599" s="926"/>
      <c r="L599" s="939">
        <f>'LF-Katsina'!L177:O177</f>
        <v>0</v>
      </c>
      <c r="M599" s="940"/>
      <c r="N599" s="940"/>
      <c r="O599" s="941"/>
      <c r="P599" s="939">
        <f>'LF-Katsina'!P177:S177</f>
        <v>0</v>
      </c>
      <c r="Q599" s="940"/>
      <c r="R599" s="940"/>
      <c r="S599" s="941"/>
      <c r="T599" s="68">
        <f>'LF-Katsina'!T177</f>
        <v>6</v>
      </c>
      <c r="U599" s="68">
        <f>'LF-Katsina'!U177</f>
        <v>4</v>
      </c>
      <c r="V599" s="68">
        <f>'LF-Katsina'!V177</f>
        <v>3</v>
      </c>
      <c r="W599" s="68">
        <f>'LF-Katsina'!W177</f>
        <v>3</v>
      </c>
      <c r="X599" s="880"/>
    </row>
    <row r="600" spans="1:24" ht="12.95" customHeight="1" thickBot="1">
      <c r="A600" s="885"/>
      <c r="B600" s="885"/>
      <c r="C600" s="9" t="s">
        <v>294</v>
      </c>
      <c r="D600" s="1166"/>
      <c r="E600" s="1167"/>
      <c r="F600" s="1167"/>
      <c r="G600" s="1168"/>
      <c r="H600" s="924">
        <f>'LF-Yobe'!H177:K177</f>
        <v>0</v>
      </c>
      <c r="I600" s="925"/>
      <c r="J600" s="925"/>
      <c r="K600" s="926"/>
      <c r="L600" s="924">
        <f>'LF-Yobe'!L177:O177</f>
        <v>0</v>
      </c>
      <c r="M600" s="925"/>
      <c r="N600" s="925"/>
      <c r="O600" s="926"/>
      <c r="P600" s="939">
        <f>'LF-Yobe'!P177:S177</f>
        <v>0</v>
      </c>
      <c r="Q600" s="940"/>
      <c r="R600" s="940"/>
      <c r="S600" s="941"/>
      <c r="T600" s="68">
        <f>'LF-Yobe'!T177</f>
        <v>4</v>
      </c>
      <c r="U600" s="68">
        <f>'LF-Yobe'!U177</f>
        <v>3</v>
      </c>
      <c r="V600" s="68">
        <f>'LF-Yobe'!V177</f>
        <v>2</v>
      </c>
      <c r="W600" s="68">
        <f>'LF-Yobe'!W177</f>
        <v>1</v>
      </c>
      <c r="X600" s="880"/>
    </row>
    <row r="601" spans="1:24" ht="12.95" customHeight="1" thickBot="1">
      <c r="A601" s="885"/>
      <c r="B601" s="885"/>
      <c r="C601" s="9" t="s">
        <v>290</v>
      </c>
      <c r="D601" s="1166"/>
      <c r="E601" s="1167"/>
      <c r="F601" s="1167"/>
      <c r="G601" s="1168"/>
      <c r="H601" s="1162"/>
      <c r="I601" s="1163"/>
      <c r="J601" s="1163"/>
      <c r="K601" s="1164"/>
      <c r="L601" s="1057" t="s">
        <v>443</v>
      </c>
      <c r="M601" s="1058"/>
      <c r="N601" s="1058"/>
      <c r="O601" s="1059"/>
      <c r="P601" s="68">
        <f>'LF-Anambra'!P177</f>
        <v>0</v>
      </c>
      <c r="Q601" s="68">
        <f>'LF-Anambra'!Q177</f>
        <v>0</v>
      </c>
      <c r="R601" s="68">
        <f>'LF-Anambra'!R177</f>
        <v>0</v>
      </c>
      <c r="S601" s="68">
        <f>'LF-Anambra'!S177</f>
        <v>0</v>
      </c>
      <c r="T601" s="68">
        <f>'LF-Anambra'!T177</f>
        <v>4</v>
      </c>
      <c r="U601" s="68">
        <f>'LF-Anambra'!U177</f>
        <v>1</v>
      </c>
      <c r="V601" s="68">
        <f>'LF-Anambra'!V177</f>
        <v>0</v>
      </c>
      <c r="W601" s="68">
        <f>'LF-Anambra'!W177</f>
        <v>0</v>
      </c>
      <c r="X601" s="880"/>
    </row>
    <row r="602" spans="1:24" ht="12.95" customHeight="1" thickBot="1">
      <c r="A602" s="885"/>
      <c r="B602" s="885"/>
      <c r="C602" s="9" t="s">
        <v>291</v>
      </c>
      <c r="D602" s="1166"/>
      <c r="E602" s="1167"/>
      <c r="F602" s="1167"/>
      <c r="G602" s="1168"/>
      <c r="H602" s="1162"/>
      <c r="I602" s="1163"/>
      <c r="J602" s="1163"/>
      <c r="K602" s="1164"/>
      <c r="L602" s="1057" t="s">
        <v>443</v>
      </c>
      <c r="M602" s="1058"/>
      <c r="N602" s="1058"/>
      <c r="O602" s="1059"/>
      <c r="P602" s="68">
        <f>'LF-Niger'!P177</f>
        <v>0</v>
      </c>
      <c r="Q602" s="68">
        <f>'LF-Niger'!Q177</f>
        <v>0</v>
      </c>
      <c r="R602" s="68">
        <f>'LF-Niger'!R177</f>
        <v>0</v>
      </c>
      <c r="S602" s="68">
        <f>'LF-Niger'!S177</f>
        <v>0</v>
      </c>
      <c r="T602" s="68">
        <f>'LF-Niger'!T177</f>
        <v>2</v>
      </c>
      <c r="U602" s="68">
        <f>'LF-Niger'!U177</f>
        <v>2</v>
      </c>
      <c r="V602" s="68">
        <f>'LF-Niger'!V177</f>
        <v>2</v>
      </c>
      <c r="W602" s="68">
        <f>'LF-Niger'!W177</f>
        <v>1</v>
      </c>
      <c r="X602" s="880"/>
    </row>
    <row r="603" spans="1:24" ht="13.5" thickBot="1">
      <c r="A603" s="885"/>
      <c r="B603" s="885"/>
      <c r="C603" s="9" t="s">
        <v>436</v>
      </c>
      <c r="D603" s="1174">
        <v>0</v>
      </c>
      <c r="E603" s="1175"/>
      <c r="F603" s="1175"/>
      <c r="G603" s="1176"/>
      <c r="H603" s="1174">
        <v>0</v>
      </c>
      <c r="I603" s="1175"/>
      <c r="J603" s="1175"/>
      <c r="K603" s="1176"/>
      <c r="L603" s="1174">
        <v>5</v>
      </c>
      <c r="M603" s="1175"/>
      <c r="N603" s="1175"/>
      <c r="O603" s="1176"/>
      <c r="P603" s="1174">
        <v>10</v>
      </c>
      <c r="Q603" s="1175"/>
      <c r="R603" s="1175"/>
      <c r="S603" s="1176"/>
      <c r="T603" s="551">
        <v>15</v>
      </c>
      <c r="U603" s="551">
        <v>10</v>
      </c>
      <c r="V603" s="551">
        <v>5</v>
      </c>
      <c r="W603" s="551">
        <v>3</v>
      </c>
      <c r="X603" s="880"/>
    </row>
    <row r="604" spans="1:24" ht="13.5" thickBot="1">
      <c r="A604" s="885"/>
      <c r="B604" s="885"/>
      <c r="C604" s="9" t="s">
        <v>641</v>
      </c>
      <c r="D604" s="1174">
        <v>0</v>
      </c>
      <c r="E604" s="1175"/>
      <c r="F604" s="1175"/>
      <c r="G604" s="1176"/>
      <c r="H604" s="1174">
        <v>0</v>
      </c>
      <c r="I604" s="1175"/>
      <c r="J604" s="1175"/>
      <c r="K604" s="1176"/>
      <c r="L604" s="1174">
        <v>0</v>
      </c>
      <c r="M604" s="1175"/>
      <c r="N604" s="1175"/>
      <c r="O604" s="1176"/>
      <c r="P604" s="1174">
        <v>5</v>
      </c>
      <c r="Q604" s="1175"/>
      <c r="R604" s="1175"/>
      <c r="S604" s="1176"/>
      <c r="T604" s="551">
        <v>10</v>
      </c>
      <c r="U604" s="551">
        <v>5</v>
      </c>
      <c r="V604" s="551">
        <v>3</v>
      </c>
      <c r="W604" s="551">
        <v>1</v>
      </c>
      <c r="X604" s="880"/>
    </row>
    <row r="605" spans="1:24" ht="12.95" customHeight="1" thickBot="1">
      <c r="A605" s="885"/>
      <c r="B605" s="885"/>
      <c r="C605" s="100" t="s">
        <v>295</v>
      </c>
      <c r="D605" s="1054"/>
      <c r="E605" s="1055"/>
      <c r="F605" s="1055"/>
      <c r="G605" s="1056"/>
      <c r="H605" s="1054"/>
      <c r="I605" s="1055"/>
      <c r="J605" s="1055"/>
      <c r="K605" s="1056"/>
      <c r="L605" s="1140">
        <f>'LF-Enugu'!L178:O178</f>
        <v>1</v>
      </c>
      <c r="M605" s="1156"/>
      <c r="N605" s="1156"/>
      <c r="O605" s="1141"/>
      <c r="P605" s="186">
        <f>'LF-Enugu'!P178</f>
        <v>6</v>
      </c>
      <c r="Q605" s="186">
        <f>'LF-Enugu'!Q178</f>
        <v>2</v>
      </c>
      <c r="R605" s="186">
        <f>'LF-Enugu'!R178</f>
        <v>2</v>
      </c>
      <c r="S605" s="186">
        <f>'LF-Enugu'!S178</f>
        <v>1</v>
      </c>
      <c r="T605" s="186">
        <f>'LF-Enugu'!T178</f>
        <v>0</v>
      </c>
      <c r="U605" s="186">
        <f>'LF-Enugu'!U178</f>
        <v>0</v>
      </c>
      <c r="V605" s="186">
        <f>'LF-Enugu'!V178</f>
        <v>0</v>
      </c>
      <c r="W605" s="186">
        <f>'LF-Enugu'!W178</f>
        <v>0</v>
      </c>
      <c r="X605" s="880"/>
    </row>
    <row r="606" spans="1:24" ht="12.95" customHeight="1" thickBot="1">
      <c r="A606" s="885"/>
      <c r="B606" s="885"/>
      <c r="C606" s="100" t="s">
        <v>296</v>
      </c>
      <c r="D606" s="1054"/>
      <c r="E606" s="1055"/>
      <c r="F606" s="1055"/>
      <c r="G606" s="1056"/>
      <c r="H606" s="1054"/>
      <c r="I606" s="1055"/>
      <c r="J606" s="1055"/>
      <c r="K606" s="1056"/>
      <c r="L606" s="1140">
        <f>'LF-Jigawa'!L178:O178</f>
        <v>0</v>
      </c>
      <c r="M606" s="1156"/>
      <c r="N606" s="1156"/>
      <c r="O606" s="1141"/>
      <c r="P606" s="186">
        <f>'LF-Jigawa'!P178</f>
        <v>4</v>
      </c>
      <c r="Q606" s="186">
        <f>'LF-Jigawa'!Q178</f>
        <v>2</v>
      </c>
      <c r="R606" s="186">
        <f>'LF-Jigawa'!R178</f>
        <v>1</v>
      </c>
      <c r="S606" s="186">
        <f>'LF-Jigawa'!S178</f>
        <v>1</v>
      </c>
      <c r="T606" s="186">
        <f>'LF-Jigawa'!T178</f>
        <v>0</v>
      </c>
      <c r="U606" s="186">
        <f>'LF-Jigawa'!U178</f>
        <v>0</v>
      </c>
      <c r="V606" s="186">
        <f>'LF-Jigawa'!V178</f>
        <v>0</v>
      </c>
      <c r="W606" s="186">
        <f>'LF-Jigawa'!W178</f>
        <v>0</v>
      </c>
      <c r="X606" s="880"/>
    </row>
    <row r="607" spans="1:24" ht="13.5" thickBot="1">
      <c r="A607" s="885"/>
      <c r="B607" s="885"/>
      <c r="C607" s="100" t="s">
        <v>297</v>
      </c>
      <c r="D607" s="1054"/>
      <c r="E607" s="1055"/>
      <c r="F607" s="1055"/>
      <c r="G607" s="1056"/>
      <c r="H607" s="1054"/>
      <c r="I607" s="1055"/>
      <c r="J607" s="1055"/>
      <c r="K607" s="1056"/>
      <c r="L607" s="1140">
        <f>'LF-Kaduna'!L178:O178</f>
        <v>4</v>
      </c>
      <c r="M607" s="1156"/>
      <c r="N607" s="1156"/>
      <c r="O607" s="1141"/>
      <c r="P607" s="186">
        <f>'LF-Kaduna'!P178</f>
        <v>6</v>
      </c>
      <c r="Q607" s="186">
        <f>'LF-Kaduna'!Q178</f>
        <v>2</v>
      </c>
      <c r="R607" s="186">
        <f>'LF-Kaduna'!R178</f>
        <v>2</v>
      </c>
      <c r="S607" s="186">
        <f>'LF-Kaduna'!S178</f>
        <v>1</v>
      </c>
      <c r="T607" s="186">
        <f>'LF-Kaduna'!T178</f>
        <v>0</v>
      </c>
      <c r="U607" s="186">
        <f>'LF-Kaduna'!U178</f>
        <v>0</v>
      </c>
      <c r="V607" s="186">
        <f>'LF-Kaduna'!V178</f>
        <v>0</v>
      </c>
      <c r="W607" s="186">
        <f>'LF-Kaduna'!W178</f>
        <v>0</v>
      </c>
      <c r="X607" s="880"/>
    </row>
    <row r="608" spans="1:24" ht="13.5" thickBot="1">
      <c r="A608" s="885"/>
      <c r="B608" s="885"/>
      <c r="C608" s="100" t="s">
        <v>298</v>
      </c>
      <c r="D608" s="1054"/>
      <c r="E608" s="1055"/>
      <c r="F608" s="1055"/>
      <c r="G608" s="1056"/>
      <c r="H608" s="1054"/>
      <c r="I608" s="1055"/>
      <c r="J608" s="1055"/>
      <c r="K608" s="1056"/>
      <c r="L608" s="1140">
        <f>'LF-Kano'!L178:O178</f>
        <v>5</v>
      </c>
      <c r="M608" s="1156"/>
      <c r="N608" s="1156"/>
      <c r="O608" s="1141"/>
      <c r="P608" s="186">
        <f>'LF-Kano'!P178</f>
        <v>8</v>
      </c>
      <c r="Q608" s="186">
        <f>'LF-Kano'!Q178</f>
        <v>4</v>
      </c>
      <c r="R608" s="186">
        <f>'LF-Kano'!R178</f>
        <v>3</v>
      </c>
      <c r="S608" s="186">
        <f>'LF-Kano'!S178</f>
        <v>1</v>
      </c>
      <c r="T608" s="186">
        <f>'LF-Kano'!T178</f>
        <v>0</v>
      </c>
      <c r="U608" s="186">
        <f>'LF-Kano'!U178</f>
        <v>0</v>
      </c>
      <c r="V608" s="186">
        <f>'LF-Kano'!V178</f>
        <v>0</v>
      </c>
      <c r="W608" s="186">
        <f>'LF-Kano'!W178</f>
        <v>0</v>
      </c>
      <c r="X608" s="880"/>
    </row>
    <row r="609" spans="1:24" ht="13.5" thickBot="1">
      <c r="A609" s="885"/>
      <c r="B609" s="885"/>
      <c r="C609" s="100" t="s">
        <v>299</v>
      </c>
      <c r="D609" s="1054"/>
      <c r="E609" s="1055"/>
      <c r="F609" s="1055"/>
      <c r="G609" s="1056"/>
      <c r="H609" s="1054"/>
      <c r="I609" s="1055"/>
      <c r="J609" s="1055"/>
      <c r="K609" s="1056"/>
      <c r="L609" s="1140">
        <f>'LF-Lagos'!L178:O178</f>
        <v>2</v>
      </c>
      <c r="M609" s="1156"/>
      <c r="N609" s="1156"/>
      <c r="O609" s="1141"/>
      <c r="P609" s="186">
        <f>'LF-Lagos'!P178</f>
        <v>6</v>
      </c>
      <c r="Q609" s="186">
        <f>'LF-Lagos'!Q178</f>
        <v>5</v>
      </c>
      <c r="R609" s="186">
        <f>'LF-Lagos'!R178</f>
        <v>4</v>
      </c>
      <c r="S609" s="186">
        <f>'LF-Lagos'!S178</f>
        <v>2</v>
      </c>
      <c r="T609" s="186">
        <f>'LF-Lagos'!T178</f>
        <v>0</v>
      </c>
      <c r="U609" s="186">
        <f>'LF-Lagos'!U178</f>
        <v>0</v>
      </c>
      <c r="V609" s="186">
        <f>'LF-Lagos'!V178</f>
        <v>0</v>
      </c>
      <c r="W609" s="186">
        <f>'LF-Lagos'!W178</f>
        <v>0</v>
      </c>
      <c r="X609" s="880"/>
    </row>
    <row r="610" spans="1:24" ht="24.75" thickBot="1">
      <c r="A610" s="885"/>
      <c r="B610" s="885"/>
      <c r="C610" s="100" t="s">
        <v>300</v>
      </c>
      <c r="D610" s="1054"/>
      <c r="E610" s="1055"/>
      <c r="F610" s="1055"/>
      <c r="G610" s="1056"/>
      <c r="H610" s="1054"/>
      <c r="I610" s="1055"/>
      <c r="J610" s="1055"/>
      <c r="K610" s="1056"/>
      <c r="L610" s="1140">
        <f>'LF-Zamfara'!L178:O178</f>
        <v>1</v>
      </c>
      <c r="M610" s="1156"/>
      <c r="N610" s="1156"/>
      <c r="O610" s="1141"/>
      <c r="P610" s="186">
        <f>'LF-Zamfara'!P178</f>
        <v>2</v>
      </c>
      <c r="Q610" s="186">
        <f>'LF-Zamfara'!Q178</f>
        <v>2</v>
      </c>
      <c r="R610" s="186">
        <f>'LF-Zamfara'!R178</f>
        <v>0</v>
      </c>
      <c r="S610" s="186">
        <f>'LF-Zamfara'!S178</f>
        <v>0</v>
      </c>
      <c r="T610" s="186">
        <f>'LF-Zamfara'!T178</f>
        <v>0</v>
      </c>
      <c r="U610" s="186">
        <f>'LF-Zamfara'!U178</f>
        <v>0</v>
      </c>
      <c r="V610" s="186">
        <f>'LF-Zamfara'!V178</f>
        <v>0</v>
      </c>
      <c r="W610" s="186">
        <f>'LF-Zamfara'!W178</f>
        <v>0</v>
      </c>
      <c r="X610" s="880"/>
    </row>
    <row r="611" spans="1:24" ht="13.5" thickBot="1">
      <c r="A611" s="885"/>
      <c r="B611" s="885"/>
      <c r="C611" s="100" t="s">
        <v>301</v>
      </c>
      <c r="D611" s="1054"/>
      <c r="E611" s="1055"/>
      <c r="F611" s="1055"/>
      <c r="G611" s="1056"/>
      <c r="H611" s="1054"/>
      <c r="I611" s="1055"/>
      <c r="J611" s="1055"/>
      <c r="K611" s="1056"/>
      <c r="L611" s="1140">
        <f>'LF-Katsina'!L178:O178</f>
        <v>0</v>
      </c>
      <c r="M611" s="1156"/>
      <c r="N611" s="1156"/>
      <c r="O611" s="1141"/>
      <c r="P611" s="186">
        <f>'LF-Katsina'!P178</f>
        <v>2</v>
      </c>
      <c r="Q611" s="186">
        <f>'LF-Katsina'!Q178</f>
        <v>1</v>
      </c>
      <c r="R611" s="186">
        <f>'LF-Katsina'!R178</f>
        <v>0</v>
      </c>
      <c r="S611" s="186">
        <f>'LF-Katsina'!S178</f>
        <v>0</v>
      </c>
      <c r="T611" s="186">
        <f>'LF-Katsina'!T178</f>
        <v>0</v>
      </c>
      <c r="U611" s="186">
        <f>'LF-Katsina'!U178</f>
        <v>0</v>
      </c>
      <c r="V611" s="186">
        <f>'LF-Katsina'!V178</f>
        <v>0</v>
      </c>
      <c r="W611" s="186">
        <f>'LF-Katsina'!W178</f>
        <v>0</v>
      </c>
      <c r="X611" s="880"/>
    </row>
    <row r="612" spans="1:24" ht="13.5" thickBot="1">
      <c r="A612" s="885"/>
      <c r="B612" s="885"/>
      <c r="C612" s="100" t="s">
        <v>302</v>
      </c>
      <c r="D612" s="1054"/>
      <c r="E612" s="1055"/>
      <c r="F612" s="1055"/>
      <c r="G612" s="1056"/>
      <c r="H612" s="1054"/>
      <c r="I612" s="1055"/>
      <c r="J612" s="1055"/>
      <c r="K612" s="1056"/>
      <c r="L612" s="1140">
        <f>'LF-Yobe'!L178:O178</f>
        <v>0</v>
      </c>
      <c r="M612" s="1156"/>
      <c r="N612" s="1156"/>
      <c r="O612" s="1141"/>
      <c r="P612" s="186">
        <f>'LF-Yobe'!P178</f>
        <v>1</v>
      </c>
      <c r="Q612" s="186">
        <f>'LF-Yobe'!Q178</f>
        <v>1</v>
      </c>
      <c r="R612" s="186">
        <f>'LF-Yobe'!R178</f>
        <v>0</v>
      </c>
      <c r="S612" s="186">
        <f>'LF-Yobe'!S178</f>
        <v>0</v>
      </c>
      <c r="T612" s="186">
        <f>'LF-Yobe'!T178</f>
        <v>0</v>
      </c>
      <c r="U612" s="186">
        <f>'LF-Yobe'!U178</f>
        <v>0</v>
      </c>
      <c r="V612" s="186">
        <f>'LF-Yobe'!V178</f>
        <v>0</v>
      </c>
      <c r="W612" s="186">
        <f>'LF-Yobe'!W178</f>
        <v>0</v>
      </c>
      <c r="X612" s="880"/>
    </row>
    <row r="613" spans="1:24" ht="24.75" thickBot="1">
      <c r="A613" s="885"/>
      <c r="B613" s="885"/>
      <c r="C613" s="100" t="s">
        <v>303</v>
      </c>
      <c r="D613" s="1054"/>
      <c r="E613" s="1055"/>
      <c r="F613" s="1055"/>
      <c r="G613" s="1056"/>
      <c r="H613" s="1054"/>
      <c r="I613" s="1055"/>
      <c r="J613" s="1055"/>
      <c r="K613" s="1056"/>
      <c r="L613" s="1054"/>
      <c r="M613" s="1055"/>
      <c r="N613" s="1055"/>
      <c r="O613" s="1056"/>
      <c r="P613" s="1054"/>
      <c r="Q613" s="1055"/>
      <c r="R613" s="1055"/>
      <c r="S613" s="1056"/>
      <c r="T613" s="186">
        <f>'LF-Anambra'!T178</f>
        <v>0</v>
      </c>
      <c r="U613" s="186">
        <f>'LF-Anambra'!U178</f>
        <v>0</v>
      </c>
      <c r="V613" s="186">
        <f>'LF-Anambra'!V178</f>
        <v>0</v>
      </c>
      <c r="W613" s="186">
        <f>'LF-Anambra'!W178</f>
        <v>0</v>
      </c>
      <c r="X613" s="880"/>
    </row>
    <row r="614" spans="1:24" ht="13.5" thickBot="1">
      <c r="A614" s="885"/>
      <c r="B614" s="885"/>
      <c r="C614" s="100" t="s">
        <v>304</v>
      </c>
      <c r="D614" s="1054"/>
      <c r="E614" s="1055"/>
      <c r="F614" s="1055"/>
      <c r="G614" s="1056"/>
      <c r="H614" s="1054"/>
      <c r="I614" s="1055"/>
      <c r="J614" s="1055"/>
      <c r="K614" s="1056"/>
      <c r="L614" s="1054"/>
      <c r="M614" s="1055"/>
      <c r="N614" s="1055"/>
      <c r="O614" s="1056"/>
      <c r="P614" s="1054"/>
      <c r="Q614" s="1055"/>
      <c r="R614" s="1055"/>
      <c r="S614" s="1056"/>
      <c r="T614" s="186">
        <f>'LF-Niger'!T178</f>
        <v>0</v>
      </c>
      <c r="U614" s="186">
        <f>'LF-Niger'!U178</f>
        <v>0</v>
      </c>
      <c r="V614" s="186">
        <f>'LF-Niger'!V178</f>
        <v>0</v>
      </c>
      <c r="W614" s="186">
        <f>'LF-Niger'!W178</f>
        <v>0</v>
      </c>
      <c r="X614" s="880"/>
    </row>
    <row r="615" spans="1:24" ht="13.5" thickBot="1">
      <c r="A615" s="885"/>
      <c r="B615" s="885"/>
      <c r="C615" s="100" t="s">
        <v>435</v>
      </c>
      <c r="D615" s="1054"/>
      <c r="E615" s="1055"/>
      <c r="F615" s="1055"/>
      <c r="G615" s="1056"/>
      <c r="H615" s="1054"/>
      <c r="I615" s="1055"/>
      <c r="J615" s="1055"/>
      <c r="K615" s="1056"/>
      <c r="L615" s="1177">
        <v>8</v>
      </c>
      <c r="M615" s="1178"/>
      <c r="N615" s="1178"/>
      <c r="O615" s="1179"/>
      <c r="P615" s="552">
        <v>10</v>
      </c>
      <c r="Q615" s="552">
        <v>9</v>
      </c>
      <c r="R615" s="552">
        <v>3</v>
      </c>
      <c r="S615" s="552">
        <v>2</v>
      </c>
      <c r="T615" s="106">
        <f>'Nat-Intl Replication Diary'!Q110</f>
        <v>16</v>
      </c>
      <c r="U615" s="106">
        <f>'Nat-Intl Replication Diary'!Q111</f>
        <v>15</v>
      </c>
      <c r="V615" s="106">
        <f>'Nat-Intl Replication Diary'!Q112</f>
        <v>7</v>
      </c>
      <c r="W615" s="106">
        <f>'Nat-Intl Replication Diary'!Q113</f>
        <v>4</v>
      </c>
      <c r="X615" s="880"/>
    </row>
    <row r="616" spans="1:24" ht="13.5" thickBot="1">
      <c r="A616" s="885"/>
      <c r="B616" s="885"/>
      <c r="C616" s="100" t="s">
        <v>642</v>
      </c>
      <c r="D616" s="1054"/>
      <c r="E616" s="1055"/>
      <c r="F616" s="1055"/>
      <c r="G616" s="1056"/>
      <c r="H616" s="1054"/>
      <c r="I616" s="1055"/>
      <c r="J616" s="1055"/>
      <c r="K616" s="1056"/>
      <c r="L616" s="1177">
        <v>0</v>
      </c>
      <c r="M616" s="1178"/>
      <c r="N616" s="1178"/>
      <c r="O616" s="1179"/>
      <c r="P616" s="552">
        <v>7</v>
      </c>
      <c r="Q616" s="552">
        <v>6</v>
      </c>
      <c r="R616" s="552">
        <v>2</v>
      </c>
      <c r="S616" s="552">
        <v>0</v>
      </c>
      <c r="T616" s="106">
        <f>'Nat-Intl Replication Diary'!R110</f>
        <v>16</v>
      </c>
      <c r="U616" s="106">
        <f>'Nat-Intl Replication Diary'!R111</f>
        <v>15</v>
      </c>
      <c r="V616" s="106">
        <f>'Nat-Intl Replication Diary'!R112</f>
        <v>10</v>
      </c>
      <c r="W616" s="106">
        <f>'Nat-Intl Replication Diary'!R113</f>
        <v>1</v>
      </c>
      <c r="X616" s="880"/>
    </row>
    <row r="617" spans="1:24" ht="13.5" thickBot="1">
      <c r="A617" s="885"/>
      <c r="B617" s="885"/>
      <c r="C617" s="922" t="s">
        <v>413</v>
      </c>
      <c r="D617" s="927" t="s">
        <v>4</v>
      </c>
      <c r="E617" s="928"/>
      <c r="F617" s="928"/>
      <c r="G617" s="928"/>
      <c r="H617" s="928"/>
      <c r="I617" s="928"/>
      <c r="J617" s="928"/>
      <c r="K617" s="928"/>
      <c r="L617" s="928"/>
      <c r="M617" s="928"/>
      <c r="N617" s="928"/>
      <c r="O617" s="928"/>
      <c r="P617" s="928"/>
      <c r="Q617" s="928"/>
      <c r="R617" s="928"/>
      <c r="S617" s="928"/>
      <c r="T617" s="928"/>
      <c r="U617" s="928"/>
      <c r="V617" s="928"/>
      <c r="W617" s="929"/>
      <c r="X617" s="880"/>
    </row>
    <row r="618" spans="1:24" ht="13.5" thickBot="1">
      <c r="A618" s="885"/>
      <c r="B618" s="869"/>
      <c r="C618" s="923"/>
      <c r="D618" s="930" t="s">
        <v>125</v>
      </c>
      <c r="E618" s="931"/>
      <c r="F618" s="931"/>
      <c r="G618" s="931"/>
      <c r="H618" s="931"/>
      <c r="I618" s="931"/>
      <c r="J618" s="931"/>
      <c r="K618" s="931"/>
      <c r="L618" s="931"/>
      <c r="M618" s="931"/>
      <c r="N618" s="931"/>
      <c r="O618" s="931"/>
      <c r="P618" s="931"/>
      <c r="Q618" s="931"/>
      <c r="R618" s="931"/>
      <c r="S618" s="931"/>
      <c r="T618" s="931"/>
      <c r="U618" s="931"/>
      <c r="V618" s="931"/>
      <c r="W618" s="932"/>
      <c r="X618" s="880"/>
    </row>
    <row r="619" spans="1:24" ht="13.5" thickBot="1">
      <c r="A619" s="885"/>
      <c r="B619" s="11" t="s">
        <v>600</v>
      </c>
      <c r="C619" s="12"/>
      <c r="D619" s="927" t="s">
        <v>78</v>
      </c>
      <c r="E619" s="928"/>
      <c r="F619" s="928"/>
      <c r="G619" s="929"/>
      <c r="H619" s="927" t="s">
        <v>77</v>
      </c>
      <c r="I619" s="928"/>
      <c r="J619" s="928"/>
      <c r="K619" s="929"/>
      <c r="L619" s="927" t="s">
        <v>81</v>
      </c>
      <c r="M619" s="928"/>
      <c r="N619" s="928"/>
      <c r="O619" s="929"/>
      <c r="P619" s="927" t="s">
        <v>254</v>
      </c>
      <c r="Q619" s="928"/>
      <c r="R619" s="928"/>
      <c r="S619" s="929"/>
      <c r="T619" s="927" t="s">
        <v>76</v>
      </c>
      <c r="U619" s="928"/>
      <c r="V619" s="928"/>
      <c r="W619" s="929"/>
      <c r="X619" s="880"/>
    </row>
    <row r="620" spans="1:24" ht="12.95" customHeight="1" thickBot="1">
      <c r="A620" s="885"/>
      <c r="B620" s="868" t="s">
        <v>647</v>
      </c>
      <c r="C620" s="9" t="s">
        <v>285</v>
      </c>
      <c r="D620" s="1166"/>
      <c r="E620" s="1167"/>
      <c r="F620" s="1167"/>
      <c r="G620" s="1168"/>
      <c r="H620" s="1162"/>
      <c r="I620" s="1163"/>
      <c r="J620" s="1163"/>
      <c r="K620" s="1164"/>
      <c r="L620" s="1057" t="s">
        <v>443</v>
      </c>
      <c r="M620" s="1058"/>
      <c r="N620" s="1058"/>
      <c r="O620" s="1059"/>
      <c r="P620" s="68">
        <f>'LF-Enugu'!P183</f>
        <v>4</v>
      </c>
      <c r="Q620" s="68">
        <f>'LF-Enugu'!Q183</f>
        <v>4</v>
      </c>
      <c r="R620" s="68">
        <f>'LF-Enugu'!R183</f>
        <v>1</v>
      </c>
      <c r="S620" s="68">
        <f>'LF-Enugu'!S183</f>
        <v>0</v>
      </c>
      <c r="T620" s="68">
        <f>'LF-Enugu'!T183</f>
        <v>6</v>
      </c>
      <c r="U620" s="68">
        <f>'LF-Enugu'!U183</f>
        <v>5</v>
      </c>
      <c r="V620" s="68">
        <f>'LF-Enugu'!V183</f>
        <v>3</v>
      </c>
      <c r="W620" s="68">
        <f>'LF-Enugu'!W183</f>
        <v>1</v>
      </c>
      <c r="X620" s="880"/>
    </row>
    <row r="621" spans="1:24" ht="12.95" customHeight="1" thickBot="1">
      <c r="A621" s="885"/>
      <c r="B621" s="885"/>
      <c r="C621" s="9" t="s">
        <v>286</v>
      </c>
      <c r="D621" s="1166"/>
      <c r="E621" s="1167"/>
      <c r="F621" s="1167"/>
      <c r="G621" s="1168"/>
      <c r="H621" s="1162"/>
      <c r="I621" s="1163"/>
      <c r="J621" s="1163"/>
      <c r="K621" s="1164"/>
      <c r="L621" s="1057" t="s">
        <v>443</v>
      </c>
      <c r="M621" s="1058"/>
      <c r="N621" s="1058"/>
      <c r="O621" s="1059"/>
      <c r="P621" s="68">
        <f>'LF-Jigawa'!P183</f>
        <v>2</v>
      </c>
      <c r="Q621" s="68">
        <f>'LF-Jigawa'!Q183</f>
        <v>1</v>
      </c>
      <c r="R621" s="68">
        <f>'LF-Jigawa'!R183</f>
        <v>1</v>
      </c>
      <c r="S621" s="68">
        <f>'LF-Jigawa'!S183</f>
        <v>0</v>
      </c>
      <c r="T621" s="68">
        <f>'LF-Jigawa'!T183</f>
        <v>6</v>
      </c>
      <c r="U621" s="68">
        <f>'LF-Jigawa'!U183</f>
        <v>3</v>
      </c>
      <c r="V621" s="68">
        <f>'LF-Jigawa'!V183</f>
        <v>2</v>
      </c>
      <c r="W621" s="68">
        <f>'LF-Jigawa'!W183</f>
        <v>1</v>
      </c>
      <c r="X621" s="880"/>
    </row>
    <row r="622" spans="1:24" ht="12.95" customHeight="1" thickBot="1">
      <c r="A622" s="885"/>
      <c r="B622" s="885"/>
      <c r="C622" s="9" t="s">
        <v>287</v>
      </c>
      <c r="D622" s="1166"/>
      <c r="E622" s="1167"/>
      <c r="F622" s="1167"/>
      <c r="G622" s="1168"/>
      <c r="H622" s="1162"/>
      <c r="I622" s="1163"/>
      <c r="J622" s="1163"/>
      <c r="K622" s="1164"/>
      <c r="L622" s="1057" t="s">
        <v>443</v>
      </c>
      <c r="M622" s="1058"/>
      <c r="N622" s="1058"/>
      <c r="O622" s="1059"/>
      <c r="P622" s="68">
        <f>'LF-Kaduna'!P183</f>
        <v>5</v>
      </c>
      <c r="Q622" s="68">
        <f>'LF-Kaduna'!Q183</f>
        <v>4</v>
      </c>
      <c r="R622" s="68">
        <f>'LF-Kaduna'!R183</f>
        <v>2</v>
      </c>
      <c r="S622" s="68">
        <f>'LF-Kaduna'!S183</f>
        <v>0</v>
      </c>
      <c r="T622" s="68">
        <f>'LF-Kaduna'!T183</f>
        <v>6</v>
      </c>
      <c r="U622" s="68">
        <f>'LF-Kaduna'!U183</f>
        <v>6</v>
      </c>
      <c r="V622" s="68">
        <f>'LF-Kaduna'!V183</f>
        <v>4</v>
      </c>
      <c r="W622" s="68">
        <f>'LF-Kaduna'!W183</f>
        <v>1</v>
      </c>
      <c r="X622" s="880"/>
    </row>
    <row r="623" spans="1:24" ht="12.95" customHeight="1" thickBot="1">
      <c r="A623" s="885"/>
      <c r="B623" s="885"/>
      <c r="C623" s="9" t="s">
        <v>288</v>
      </c>
      <c r="D623" s="1166"/>
      <c r="E623" s="1167"/>
      <c r="F623" s="1167"/>
      <c r="G623" s="1168"/>
      <c r="H623" s="1162"/>
      <c r="I623" s="1163"/>
      <c r="J623" s="1163"/>
      <c r="K623" s="1164"/>
      <c r="L623" s="1057" t="s">
        <v>443</v>
      </c>
      <c r="M623" s="1058"/>
      <c r="N623" s="1058"/>
      <c r="O623" s="1059"/>
      <c r="P623" s="68">
        <f>'LF-Kano'!P183</f>
        <v>4</v>
      </c>
      <c r="Q623" s="68">
        <f>'LF-Kano'!Q183</f>
        <v>2</v>
      </c>
      <c r="R623" s="68">
        <f>'LF-Kano'!R183</f>
        <v>1</v>
      </c>
      <c r="S623" s="68">
        <f>'LF-Kano'!S183</f>
        <v>1</v>
      </c>
      <c r="T623" s="68">
        <f>'LF-Kano'!T183</f>
        <v>8</v>
      </c>
      <c r="U623" s="68">
        <f>'LF-Kano'!U183</f>
        <v>3</v>
      </c>
      <c r="V623" s="68">
        <f>'LF-Kano'!V183</f>
        <v>1</v>
      </c>
      <c r="W623" s="68">
        <f>'LF-Kano'!W183</f>
        <v>1</v>
      </c>
      <c r="X623" s="880"/>
    </row>
    <row r="624" spans="1:24" ht="12.95" customHeight="1" thickBot="1">
      <c r="A624" s="885"/>
      <c r="B624" s="885"/>
      <c r="C624" s="9" t="s">
        <v>289</v>
      </c>
      <c r="D624" s="1166"/>
      <c r="E624" s="1167"/>
      <c r="F624" s="1167"/>
      <c r="G624" s="1168"/>
      <c r="H624" s="1162"/>
      <c r="I624" s="1163"/>
      <c r="J624" s="1163"/>
      <c r="K624" s="1164"/>
      <c r="L624" s="1057" t="s">
        <v>443</v>
      </c>
      <c r="M624" s="1058"/>
      <c r="N624" s="1058"/>
      <c r="O624" s="1059"/>
      <c r="P624" s="68">
        <f>'LF-Lagos'!P183</f>
        <v>3</v>
      </c>
      <c r="Q624" s="68">
        <f>'LF-Lagos'!Q183</f>
        <v>2</v>
      </c>
      <c r="R624" s="68">
        <f>'LF-Lagos'!R183</f>
        <v>1</v>
      </c>
      <c r="S624" s="68">
        <f>'LF-Lagos'!S183</f>
        <v>0</v>
      </c>
      <c r="T624" s="68">
        <f>'LF-Lagos'!T183</f>
        <v>9</v>
      </c>
      <c r="U624" s="68">
        <f>'LF-Lagos'!U183</f>
        <v>5</v>
      </c>
      <c r="V624" s="68">
        <f>'LF-Lagos'!V183</f>
        <v>2</v>
      </c>
      <c r="W624" s="68">
        <f>'LF-Lagos'!W183</f>
        <v>0</v>
      </c>
      <c r="X624" s="880"/>
    </row>
    <row r="625" spans="1:24" ht="12.95" customHeight="1" thickBot="1">
      <c r="A625" s="885"/>
      <c r="B625" s="885"/>
      <c r="C625" s="9" t="s">
        <v>292</v>
      </c>
      <c r="D625" s="1166"/>
      <c r="E625" s="1167"/>
      <c r="F625" s="1167"/>
      <c r="G625" s="1168"/>
      <c r="H625" s="1162"/>
      <c r="I625" s="1163"/>
      <c r="J625" s="1163"/>
      <c r="K625" s="1164"/>
      <c r="L625" s="1057" t="s">
        <v>443</v>
      </c>
      <c r="M625" s="1058"/>
      <c r="N625" s="1058"/>
      <c r="O625" s="1059"/>
      <c r="P625" s="68">
        <f>'LF-Zamfara'!P183</f>
        <v>1</v>
      </c>
      <c r="Q625" s="68">
        <f>'LF-Zamfara'!Q183</f>
        <v>1</v>
      </c>
      <c r="R625" s="68">
        <f>'LF-Zamfara'!R183</f>
        <v>0</v>
      </c>
      <c r="S625" s="68">
        <f>'LF-Zamfara'!S183</f>
        <v>0</v>
      </c>
      <c r="T625" s="68">
        <f>'LF-Zamfara'!T183</f>
        <v>3</v>
      </c>
      <c r="U625" s="68">
        <f>'LF-Zamfara'!U183</f>
        <v>2</v>
      </c>
      <c r="V625" s="68">
        <f>'LF-Zamfara'!V183</f>
        <v>0</v>
      </c>
      <c r="W625" s="68">
        <f>'LF-Zamfara'!W183</f>
        <v>0</v>
      </c>
      <c r="X625" s="880"/>
    </row>
    <row r="626" spans="1:24" ht="12.95" customHeight="1" thickBot="1">
      <c r="A626" s="885"/>
      <c r="B626" s="885"/>
      <c r="C626" s="9" t="s">
        <v>293</v>
      </c>
      <c r="D626" s="1166"/>
      <c r="E626" s="1167"/>
      <c r="F626" s="1167"/>
      <c r="G626" s="1168"/>
      <c r="H626" s="1162"/>
      <c r="I626" s="1163"/>
      <c r="J626" s="1163"/>
      <c r="K626" s="1164"/>
      <c r="L626" s="1057" t="s">
        <v>443</v>
      </c>
      <c r="M626" s="1058"/>
      <c r="N626" s="1058"/>
      <c r="O626" s="1059"/>
      <c r="P626" s="68">
        <f>'LF-Katsina'!P183</f>
        <v>2</v>
      </c>
      <c r="Q626" s="68">
        <f>'LF-Katsina'!Q183</f>
        <v>0</v>
      </c>
      <c r="R626" s="68">
        <f>'LF-Katsina'!R183</f>
        <v>0</v>
      </c>
      <c r="S626" s="68">
        <f>'LF-Katsina'!S183</f>
        <v>0</v>
      </c>
      <c r="T626" s="68">
        <f>'LF-Katsina'!T183</f>
        <v>3</v>
      </c>
      <c r="U626" s="68">
        <f>'LF-Katsina'!U183</f>
        <v>2</v>
      </c>
      <c r="V626" s="68">
        <f>'LF-Katsina'!V183</f>
        <v>1</v>
      </c>
      <c r="W626" s="68">
        <f>'LF-Katsina'!W183</f>
        <v>0</v>
      </c>
      <c r="X626" s="880"/>
    </row>
    <row r="627" spans="1:24" ht="12.95" customHeight="1" thickBot="1">
      <c r="A627" s="885"/>
      <c r="B627" s="885"/>
      <c r="C627" s="9" t="s">
        <v>294</v>
      </c>
      <c r="D627" s="1166"/>
      <c r="E627" s="1167"/>
      <c r="F627" s="1167"/>
      <c r="G627" s="1168"/>
      <c r="H627" s="1162"/>
      <c r="I627" s="1163"/>
      <c r="J627" s="1163"/>
      <c r="K627" s="1164"/>
      <c r="L627" s="1057" t="s">
        <v>443</v>
      </c>
      <c r="M627" s="1058"/>
      <c r="N627" s="1058"/>
      <c r="O627" s="1059"/>
      <c r="P627" s="68">
        <f>'LF-Yobe'!P183</f>
        <v>1</v>
      </c>
      <c r="Q627" s="68">
        <f>'LF-Yobe'!Q183</f>
        <v>0</v>
      </c>
      <c r="R627" s="68">
        <f>'LF-Yobe'!R183</f>
        <v>0</v>
      </c>
      <c r="S627" s="68">
        <f>'LF-Yobe'!S183</f>
        <v>0</v>
      </c>
      <c r="T627" s="68">
        <f>'LF-Yobe'!T183</f>
        <v>2</v>
      </c>
      <c r="U627" s="68">
        <f>'LF-Yobe'!U183</f>
        <v>2</v>
      </c>
      <c r="V627" s="68">
        <f>'LF-Yobe'!V183</f>
        <v>1</v>
      </c>
      <c r="W627" s="68">
        <f>'LF-Yobe'!W183</f>
        <v>0</v>
      </c>
      <c r="X627" s="880"/>
    </row>
    <row r="628" spans="1:24" ht="12.95" customHeight="1" thickBot="1">
      <c r="A628" s="885"/>
      <c r="B628" s="885"/>
      <c r="C628" s="9" t="s">
        <v>290</v>
      </c>
      <c r="D628" s="1166"/>
      <c r="E628" s="1167"/>
      <c r="F628" s="1167"/>
      <c r="G628" s="1168"/>
      <c r="H628" s="1162"/>
      <c r="I628" s="1163"/>
      <c r="J628" s="1163"/>
      <c r="K628" s="1164"/>
      <c r="L628" s="1057" t="s">
        <v>443</v>
      </c>
      <c r="M628" s="1058"/>
      <c r="N628" s="1058"/>
      <c r="O628" s="1059"/>
      <c r="P628" s="185">
        <f>'LF-Anambra'!P183</f>
        <v>0</v>
      </c>
      <c r="Q628" s="185">
        <f>'LF-Anambra'!Q183</f>
        <v>0</v>
      </c>
      <c r="R628" s="185">
        <f>'LF-Anambra'!R183</f>
        <v>0</v>
      </c>
      <c r="S628" s="185">
        <f>'LF-Anambra'!S183</f>
        <v>0</v>
      </c>
      <c r="T628" s="185">
        <f>'LF-Anambra'!T183</f>
        <v>4</v>
      </c>
      <c r="U628" s="185">
        <f>'LF-Anambra'!U183</f>
        <v>1</v>
      </c>
      <c r="V628" s="185">
        <f>'LF-Anambra'!V183</f>
        <v>0</v>
      </c>
      <c r="W628" s="185">
        <f>'LF-Anambra'!W183</f>
        <v>0</v>
      </c>
      <c r="X628" s="880"/>
    </row>
    <row r="629" spans="1:24" ht="12.95" customHeight="1" thickBot="1">
      <c r="A629" s="885"/>
      <c r="B629" s="885"/>
      <c r="C629" s="9" t="s">
        <v>291</v>
      </c>
      <c r="D629" s="1166"/>
      <c r="E629" s="1167"/>
      <c r="F629" s="1167"/>
      <c r="G629" s="1168"/>
      <c r="H629" s="1162"/>
      <c r="I629" s="1163"/>
      <c r="J629" s="1163"/>
      <c r="K629" s="1164"/>
      <c r="L629" s="1057" t="s">
        <v>443</v>
      </c>
      <c r="M629" s="1058"/>
      <c r="N629" s="1058"/>
      <c r="O629" s="1059"/>
      <c r="P629" s="185">
        <f>'LF-Niger'!P183</f>
        <v>0</v>
      </c>
      <c r="Q629" s="185">
        <f>'LF-Niger'!Q183</f>
        <v>0</v>
      </c>
      <c r="R629" s="185">
        <f>'LF-Niger'!R183</f>
        <v>0</v>
      </c>
      <c r="S629" s="185">
        <f>'LF-Niger'!S183</f>
        <v>0</v>
      </c>
      <c r="T629" s="185">
        <f>'LF-Niger'!T183</f>
        <v>1</v>
      </c>
      <c r="U629" s="185">
        <f>'LF-Niger'!U183</f>
        <v>1</v>
      </c>
      <c r="V629" s="185">
        <f>'LF-Niger'!V183</f>
        <v>1</v>
      </c>
      <c r="W629" s="185">
        <f>'LF-Niger'!W183</f>
        <v>1</v>
      </c>
      <c r="X629" s="880"/>
    </row>
    <row r="630" spans="1:24" ht="13.5" thickBot="1">
      <c r="A630" s="885"/>
      <c r="B630" s="885"/>
      <c r="C630" s="9" t="s">
        <v>436</v>
      </c>
      <c r="D630" s="1166"/>
      <c r="E630" s="1167"/>
      <c r="F630" s="1167"/>
      <c r="G630" s="1168"/>
      <c r="H630" s="1162"/>
      <c r="I630" s="1163"/>
      <c r="J630" s="1163"/>
      <c r="K630" s="1164"/>
      <c r="L630" s="1057" t="s">
        <v>443</v>
      </c>
      <c r="M630" s="1058"/>
      <c r="N630" s="1058"/>
      <c r="O630" s="1059"/>
      <c r="P630" s="551">
        <v>10</v>
      </c>
      <c r="Q630" s="551">
        <v>8</v>
      </c>
      <c r="R630" s="551">
        <v>3</v>
      </c>
      <c r="S630" s="551">
        <v>1</v>
      </c>
      <c r="T630" s="551">
        <v>15</v>
      </c>
      <c r="U630" s="551">
        <v>10</v>
      </c>
      <c r="V630" s="551">
        <v>5</v>
      </c>
      <c r="W630" s="551">
        <v>2</v>
      </c>
      <c r="X630" s="880"/>
    </row>
    <row r="631" spans="1:24" ht="13.5" thickBot="1">
      <c r="A631" s="885"/>
      <c r="B631" s="885"/>
      <c r="C631" s="9" t="s">
        <v>641</v>
      </c>
      <c r="D631" s="1166"/>
      <c r="E631" s="1167"/>
      <c r="F631" s="1167"/>
      <c r="G631" s="1168"/>
      <c r="H631" s="1162"/>
      <c r="I631" s="1163"/>
      <c r="J631" s="1163"/>
      <c r="K631" s="1164"/>
      <c r="L631" s="1057" t="s">
        <v>443</v>
      </c>
      <c r="M631" s="1058"/>
      <c r="N631" s="1058"/>
      <c r="O631" s="1059"/>
      <c r="P631" s="551">
        <v>7</v>
      </c>
      <c r="Q631" s="551">
        <v>7</v>
      </c>
      <c r="R631" s="551">
        <v>1</v>
      </c>
      <c r="S631" s="551">
        <v>0</v>
      </c>
      <c r="T631" s="551">
        <v>10</v>
      </c>
      <c r="U631" s="551">
        <v>10</v>
      </c>
      <c r="V631" s="551">
        <v>3</v>
      </c>
      <c r="W631" s="551">
        <v>1</v>
      </c>
      <c r="X631" s="880"/>
    </row>
    <row r="632" spans="1:24" ht="12.95" customHeight="1" thickBot="1">
      <c r="A632" s="885"/>
      <c r="B632" s="885"/>
      <c r="C632" s="100" t="s">
        <v>295</v>
      </c>
      <c r="D632" s="1054"/>
      <c r="E632" s="1055"/>
      <c r="F632" s="1055"/>
      <c r="G632" s="1056"/>
      <c r="H632" s="1054"/>
      <c r="I632" s="1055"/>
      <c r="J632" s="1055"/>
      <c r="K632" s="1056"/>
      <c r="L632" s="1054"/>
      <c r="M632" s="1055"/>
      <c r="N632" s="1055"/>
      <c r="O632" s="1056"/>
      <c r="P632" s="1054"/>
      <c r="Q632" s="1055"/>
      <c r="R632" s="1055"/>
      <c r="S632" s="1056"/>
      <c r="T632" s="186">
        <f>'LF-Enugu'!T184</f>
        <v>0</v>
      </c>
      <c r="U632" s="186">
        <f>'LF-Enugu'!U184</f>
        <v>0</v>
      </c>
      <c r="V632" s="186">
        <f>'LF-Enugu'!V184</f>
        <v>0</v>
      </c>
      <c r="W632" s="186">
        <f>'LF-Enugu'!W184</f>
        <v>0</v>
      </c>
      <c r="X632" s="880"/>
    </row>
    <row r="633" spans="1:24" ht="12.95" customHeight="1" thickBot="1">
      <c r="A633" s="885"/>
      <c r="B633" s="885"/>
      <c r="C633" s="100" t="s">
        <v>296</v>
      </c>
      <c r="D633" s="1054"/>
      <c r="E633" s="1055"/>
      <c r="F633" s="1055"/>
      <c r="G633" s="1056"/>
      <c r="H633" s="1054"/>
      <c r="I633" s="1055"/>
      <c r="J633" s="1055"/>
      <c r="K633" s="1056"/>
      <c r="L633" s="1054"/>
      <c r="M633" s="1055"/>
      <c r="N633" s="1055"/>
      <c r="O633" s="1056"/>
      <c r="P633" s="1054"/>
      <c r="Q633" s="1055"/>
      <c r="R633" s="1055"/>
      <c r="S633" s="1056"/>
      <c r="T633" s="186">
        <f>'LF-Jigawa'!T184</f>
        <v>0</v>
      </c>
      <c r="U633" s="186">
        <f>'LF-Jigawa'!U184</f>
        <v>0</v>
      </c>
      <c r="V633" s="186">
        <f>'LF-Jigawa'!V184</f>
        <v>0</v>
      </c>
      <c r="W633" s="186">
        <f>'LF-Jigawa'!W184</f>
        <v>0</v>
      </c>
      <c r="X633" s="880"/>
    </row>
    <row r="634" spans="1:24" ht="13.5" thickBot="1">
      <c r="A634" s="885"/>
      <c r="B634" s="885"/>
      <c r="C634" s="100" t="s">
        <v>297</v>
      </c>
      <c r="D634" s="1054"/>
      <c r="E634" s="1055"/>
      <c r="F634" s="1055"/>
      <c r="G634" s="1056"/>
      <c r="H634" s="1054"/>
      <c r="I634" s="1055"/>
      <c r="J634" s="1055"/>
      <c r="K634" s="1056"/>
      <c r="L634" s="1054"/>
      <c r="M634" s="1055"/>
      <c r="N634" s="1055"/>
      <c r="O634" s="1056"/>
      <c r="P634" s="1054"/>
      <c r="Q634" s="1055"/>
      <c r="R634" s="1055"/>
      <c r="S634" s="1056"/>
      <c r="T634" s="186">
        <f>'LF-Kaduna'!T184</f>
        <v>0</v>
      </c>
      <c r="U634" s="186">
        <f>'LF-Kaduna'!U184</f>
        <v>0</v>
      </c>
      <c r="V634" s="186">
        <f>'LF-Kaduna'!V184</f>
        <v>0</v>
      </c>
      <c r="W634" s="186">
        <f>'LF-Kaduna'!W184</f>
        <v>0</v>
      </c>
      <c r="X634" s="880"/>
    </row>
    <row r="635" spans="1:24" ht="13.5" thickBot="1">
      <c r="A635" s="885"/>
      <c r="B635" s="885"/>
      <c r="C635" s="100" t="s">
        <v>298</v>
      </c>
      <c r="D635" s="1054"/>
      <c r="E635" s="1055"/>
      <c r="F635" s="1055"/>
      <c r="G635" s="1056"/>
      <c r="H635" s="1054"/>
      <c r="I635" s="1055"/>
      <c r="J635" s="1055"/>
      <c r="K635" s="1056"/>
      <c r="L635" s="1054"/>
      <c r="M635" s="1055"/>
      <c r="N635" s="1055"/>
      <c r="O635" s="1056"/>
      <c r="P635" s="1054"/>
      <c r="Q635" s="1055"/>
      <c r="R635" s="1055"/>
      <c r="S635" s="1056"/>
      <c r="T635" s="186">
        <f>'LF-Kano'!T184</f>
        <v>0</v>
      </c>
      <c r="U635" s="186">
        <f>'LF-Kano'!U184</f>
        <v>0</v>
      </c>
      <c r="V635" s="186">
        <f>'LF-Kano'!V184</f>
        <v>0</v>
      </c>
      <c r="W635" s="186">
        <f>'LF-Kano'!W184</f>
        <v>0</v>
      </c>
      <c r="X635" s="880"/>
    </row>
    <row r="636" spans="1:24" ht="13.5" thickBot="1">
      <c r="A636" s="885"/>
      <c r="B636" s="885"/>
      <c r="C636" s="100" t="s">
        <v>299</v>
      </c>
      <c r="D636" s="1054"/>
      <c r="E636" s="1055"/>
      <c r="F636" s="1055"/>
      <c r="G636" s="1056"/>
      <c r="H636" s="1054"/>
      <c r="I636" s="1055"/>
      <c r="J636" s="1055"/>
      <c r="K636" s="1056"/>
      <c r="L636" s="1054"/>
      <c r="M636" s="1055"/>
      <c r="N636" s="1055"/>
      <c r="O636" s="1056"/>
      <c r="P636" s="1054"/>
      <c r="Q636" s="1055"/>
      <c r="R636" s="1055"/>
      <c r="S636" s="1056"/>
      <c r="T636" s="186">
        <f>'LF-Lagos'!T184</f>
        <v>0</v>
      </c>
      <c r="U636" s="186">
        <f>'LF-Lagos'!U184</f>
        <v>0</v>
      </c>
      <c r="V636" s="186">
        <f>'LF-Lagos'!V184</f>
        <v>0</v>
      </c>
      <c r="W636" s="186">
        <f>'LF-Lagos'!W184</f>
        <v>0</v>
      </c>
      <c r="X636" s="880"/>
    </row>
    <row r="637" spans="1:24" ht="24.75" thickBot="1">
      <c r="A637" s="885"/>
      <c r="B637" s="885"/>
      <c r="C637" s="100" t="s">
        <v>300</v>
      </c>
      <c r="D637" s="1054"/>
      <c r="E637" s="1055"/>
      <c r="F637" s="1055"/>
      <c r="G637" s="1056"/>
      <c r="H637" s="1054"/>
      <c r="I637" s="1055"/>
      <c r="J637" s="1055"/>
      <c r="K637" s="1056"/>
      <c r="L637" s="1054"/>
      <c r="M637" s="1055"/>
      <c r="N637" s="1055"/>
      <c r="O637" s="1056"/>
      <c r="P637" s="1054"/>
      <c r="Q637" s="1055"/>
      <c r="R637" s="1055"/>
      <c r="S637" s="1056"/>
      <c r="T637" s="186">
        <f>'LF-Zamfara'!T184</f>
        <v>0</v>
      </c>
      <c r="U637" s="186">
        <f>'LF-Zamfara'!U184</f>
        <v>0</v>
      </c>
      <c r="V637" s="186">
        <f>'LF-Zamfara'!V184</f>
        <v>0</v>
      </c>
      <c r="W637" s="186">
        <f>'LF-Zamfara'!W184</f>
        <v>0</v>
      </c>
      <c r="X637" s="880"/>
    </row>
    <row r="638" spans="1:24" ht="13.5" thickBot="1">
      <c r="A638" s="885"/>
      <c r="B638" s="885"/>
      <c r="C638" s="100" t="s">
        <v>301</v>
      </c>
      <c r="D638" s="1054"/>
      <c r="E638" s="1055"/>
      <c r="F638" s="1055"/>
      <c r="G638" s="1056"/>
      <c r="H638" s="1054"/>
      <c r="I638" s="1055"/>
      <c r="J638" s="1055"/>
      <c r="K638" s="1056"/>
      <c r="L638" s="1054"/>
      <c r="M638" s="1055"/>
      <c r="N638" s="1055"/>
      <c r="O638" s="1056"/>
      <c r="P638" s="1054"/>
      <c r="Q638" s="1055"/>
      <c r="R638" s="1055"/>
      <c r="S638" s="1056"/>
      <c r="T638" s="186">
        <f>'LF-Katsina'!T184</f>
        <v>0</v>
      </c>
      <c r="U638" s="186">
        <f>'LF-Katsina'!U184</f>
        <v>0</v>
      </c>
      <c r="V638" s="186">
        <f>'LF-Katsina'!V184</f>
        <v>0</v>
      </c>
      <c r="W638" s="186">
        <f>'LF-Katsina'!W184</f>
        <v>0</v>
      </c>
      <c r="X638" s="880"/>
    </row>
    <row r="639" spans="1:24" ht="13.5" thickBot="1">
      <c r="A639" s="885"/>
      <c r="B639" s="885"/>
      <c r="C639" s="100" t="s">
        <v>302</v>
      </c>
      <c r="D639" s="1054"/>
      <c r="E639" s="1055"/>
      <c r="F639" s="1055"/>
      <c r="G639" s="1056"/>
      <c r="H639" s="1054"/>
      <c r="I639" s="1055"/>
      <c r="J639" s="1055"/>
      <c r="K639" s="1056"/>
      <c r="L639" s="1054"/>
      <c r="M639" s="1055"/>
      <c r="N639" s="1055"/>
      <c r="O639" s="1056"/>
      <c r="P639" s="1054"/>
      <c r="Q639" s="1055"/>
      <c r="R639" s="1055"/>
      <c r="S639" s="1056"/>
      <c r="T639" s="186">
        <f>'LF-Yobe'!T184</f>
        <v>0</v>
      </c>
      <c r="U639" s="186">
        <f>'LF-Yobe'!U184</f>
        <v>0</v>
      </c>
      <c r="V639" s="186">
        <f>'LF-Yobe'!V184</f>
        <v>0</v>
      </c>
      <c r="W639" s="186">
        <f>'LF-Yobe'!W184</f>
        <v>0</v>
      </c>
      <c r="X639" s="880"/>
    </row>
    <row r="640" spans="1:24" ht="24.75" thickBot="1">
      <c r="A640" s="885"/>
      <c r="B640" s="885"/>
      <c r="C640" s="100" t="s">
        <v>303</v>
      </c>
      <c r="D640" s="1054"/>
      <c r="E640" s="1055"/>
      <c r="F640" s="1055"/>
      <c r="G640" s="1056"/>
      <c r="H640" s="1054"/>
      <c r="I640" s="1055"/>
      <c r="J640" s="1055"/>
      <c r="K640" s="1056"/>
      <c r="L640" s="1054"/>
      <c r="M640" s="1055"/>
      <c r="N640" s="1055"/>
      <c r="O640" s="1056"/>
      <c r="P640" s="1054"/>
      <c r="Q640" s="1055"/>
      <c r="R640" s="1055"/>
      <c r="S640" s="1056"/>
      <c r="T640" s="186">
        <f>'LF-Anambra'!T184</f>
        <v>0</v>
      </c>
      <c r="U640" s="186">
        <f>'LF-Anambra'!U184</f>
        <v>0</v>
      </c>
      <c r="V640" s="186">
        <f>'LF-Anambra'!V184</f>
        <v>0</v>
      </c>
      <c r="W640" s="186">
        <f>'LF-Anambra'!W184</f>
        <v>0</v>
      </c>
      <c r="X640" s="880"/>
    </row>
    <row r="641" spans="1:24" ht="13.5" thickBot="1">
      <c r="A641" s="885"/>
      <c r="B641" s="885"/>
      <c r="C641" s="100" t="s">
        <v>304</v>
      </c>
      <c r="D641" s="1054"/>
      <c r="E641" s="1055"/>
      <c r="F641" s="1055"/>
      <c r="G641" s="1056"/>
      <c r="H641" s="1054"/>
      <c r="I641" s="1055"/>
      <c r="J641" s="1055"/>
      <c r="K641" s="1056"/>
      <c r="L641" s="1054"/>
      <c r="M641" s="1055"/>
      <c r="N641" s="1055"/>
      <c r="O641" s="1056"/>
      <c r="P641" s="1054"/>
      <c r="Q641" s="1055"/>
      <c r="R641" s="1055"/>
      <c r="S641" s="1056"/>
      <c r="T641" s="186">
        <f>'LF-Niger'!T184</f>
        <v>0</v>
      </c>
      <c r="U641" s="186">
        <f>'LF-Niger'!U184</f>
        <v>0</v>
      </c>
      <c r="V641" s="186">
        <f>'LF-Niger'!V184</f>
        <v>0</v>
      </c>
      <c r="W641" s="186">
        <f>'LF-Niger'!W184</f>
        <v>0</v>
      </c>
      <c r="X641" s="880"/>
    </row>
    <row r="642" spans="1:24" ht="13.5" thickBot="1">
      <c r="A642" s="885"/>
      <c r="B642" s="885"/>
      <c r="C642" s="100" t="s">
        <v>435</v>
      </c>
      <c r="D642" s="1054"/>
      <c r="E642" s="1055"/>
      <c r="F642" s="1055"/>
      <c r="G642" s="1056"/>
      <c r="H642" s="1054"/>
      <c r="I642" s="1055"/>
      <c r="J642" s="1055"/>
      <c r="K642" s="1056"/>
      <c r="L642" s="1054"/>
      <c r="M642" s="1055"/>
      <c r="N642" s="1055"/>
      <c r="O642" s="1056"/>
      <c r="P642" s="1054"/>
      <c r="Q642" s="1055"/>
      <c r="R642" s="1055"/>
      <c r="S642" s="1056"/>
      <c r="T642" s="106">
        <f>'Nat-Intl Replication Diary'!Q118</f>
        <v>11</v>
      </c>
      <c r="U642" s="106">
        <f>'Nat-Intl Replication Diary'!Q119</f>
        <v>9</v>
      </c>
      <c r="V642" s="106">
        <f>'Nat-Intl Replication Diary'!Q120</f>
        <v>7</v>
      </c>
      <c r="W642" s="106">
        <f>'Nat-Intl Replication Diary'!Q121</f>
        <v>3</v>
      </c>
      <c r="X642" s="880"/>
    </row>
    <row r="643" spans="1:24" ht="13.5" thickBot="1">
      <c r="A643" s="885"/>
      <c r="B643" s="885"/>
      <c r="C643" s="100" t="s">
        <v>642</v>
      </c>
      <c r="D643" s="1054"/>
      <c r="E643" s="1055"/>
      <c r="F643" s="1055"/>
      <c r="G643" s="1056"/>
      <c r="H643" s="1054"/>
      <c r="I643" s="1055"/>
      <c r="J643" s="1055"/>
      <c r="K643" s="1056"/>
      <c r="L643" s="1054"/>
      <c r="M643" s="1055"/>
      <c r="N643" s="1055"/>
      <c r="O643" s="1056"/>
      <c r="P643" s="1054"/>
      <c r="Q643" s="1055"/>
      <c r="R643" s="1055"/>
      <c r="S643" s="1056"/>
      <c r="T643" s="106">
        <f>'Nat-Intl Replication Diary'!R118</f>
        <v>9</v>
      </c>
      <c r="U643" s="106">
        <f>'Nat-Intl Replication Diary'!R119</f>
        <v>9</v>
      </c>
      <c r="V643" s="106">
        <f>'Nat-Intl Replication Diary'!R120</f>
        <v>11</v>
      </c>
      <c r="W643" s="106">
        <f>'Nat-Intl Replication Diary'!R121</f>
        <v>3</v>
      </c>
      <c r="X643" s="881"/>
    </row>
    <row r="644" spans="1:24" ht="13.5" thickBot="1">
      <c r="A644" s="230" t="s">
        <v>13</v>
      </c>
      <c r="B644" s="885"/>
      <c r="C644" s="922" t="s">
        <v>413</v>
      </c>
      <c r="D644" s="927" t="s">
        <v>4</v>
      </c>
      <c r="E644" s="928"/>
      <c r="F644" s="928"/>
      <c r="G644" s="928"/>
      <c r="H644" s="928"/>
      <c r="I644" s="928"/>
      <c r="J644" s="928"/>
      <c r="K644" s="928"/>
      <c r="L644" s="928"/>
      <c r="M644" s="928"/>
      <c r="N644" s="928"/>
      <c r="O644" s="928"/>
      <c r="P644" s="928"/>
      <c r="Q644" s="928"/>
      <c r="R644" s="928"/>
      <c r="S644" s="928"/>
      <c r="T644" s="928"/>
      <c r="U644" s="928"/>
      <c r="V644" s="928"/>
      <c r="W644" s="929"/>
      <c r="X644" s="550" t="s">
        <v>14</v>
      </c>
    </row>
    <row r="645" spans="1:24" ht="13.5" thickBot="1">
      <c r="A645" s="25" t="s">
        <v>73</v>
      </c>
      <c r="B645" s="869"/>
      <c r="C645" s="923"/>
      <c r="D645" s="930" t="s">
        <v>125</v>
      </c>
      <c r="E645" s="931"/>
      <c r="F645" s="931"/>
      <c r="G645" s="931"/>
      <c r="H645" s="931"/>
      <c r="I645" s="931"/>
      <c r="J645" s="931"/>
      <c r="K645" s="931"/>
      <c r="L645" s="931"/>
      <c r="M645" s="931"/>
      <c r="N645" s="931"/>
      <c r="O645" s="931"/>
      <c r="P645" s="931"/>
      <c r="Q645" s="931"/>
      <c r="R645" s="931"/>
      <c r="S645" s="931"/>
      <c r="T645" s="931"/>
      <c r="U645" s="931"/>
      <c r="V645" s="931"/>
      <c r="W645" s="932"/>
      <c r="X645" s="18" t="s">
        <v>92</v>
      </c>
    </row>
    <row r="646" spans="1:24" ht="13.5" thickBot="1">
      <c r="A646" s="906" t="s">
        <v>7</v>
      </c>
      <c r="B646" s="908" t="s">
        <v>173</v>
      </c>
      <c r="C646" s="909"/>
      <c r="D646" s="908" t="s">
        <v>8</v>
      </c>
      <c r="E646" s="918"/>
      <c r="F646" s="918"/>
      <c r="G646" s="909"/>
      <c r="H646" s="908" t="s">
        <v>88</v>
      </c>
      <c r="I646" s="918"/>
      <c r="J646" s="918"/>
      <c r="K646" s="909"/>
      <c r="L646" s="908" t="s">
        <v>89</v>
      </c>
      <c r="M646" s="918"/>
      <c r="N646" s="918"/>
      <c r="O646" s="909"/>
      <c r="P646" s="908" t="s">
        <v>9</v>
      </c>
      <c r="Q646" s="918"/>
      <c r="R646" s="918"/>
      <c r="S646" s="909"/>
      <c r="T646" s="908" t="s">
        <v>174</v>
      </c>
      <c r="U646" s="918"/>
      <c r="V646" s="918"/>
      <c r="W646" s="918"/>
      <c r="X646" s="909"/>
    </row>
    <row r="647" spans="1:24" ht="13.5" thickBot="1">
      <c r="A647" s="907"/>
      <c r="B647" s="919">
        <v>4100000</v>
      </c>
      <c r="C647" s="920"/>
      <c r="D647" s="919">
        <v>0</v>
      </c>
      <c r="E647" s="921"/>
      <c r="F647" s="921"/>
      <c r="G647" s="920"/>
      <c r="H647" s="919">
        <v>0</v>
      </c>
      <c r="I647" s="921"/>
      <c r="J647" s="921"/>
      <c r="K647" s="920"/>
      <c r="L647" s="919">
        <v>2700000</v>
      </c>
      <c r="M647" s="921"/>
      <c r="N647" s="921"/>
      <c r="O647" s="920"/>
      <c r="P647" s="919">
        <f>SUM(B647:O647)</f>
        <v>6800000</v>
      </c>
      <c r="Q647" s="921"/>
      <c r="R647" s="921"/>
      <c r="S647" s="920"/>
      <c r="T647" s="942">
        <f>B647/P647%</f>
        <v>60.294117647058826</v>
      </c>
      <c r="U647" s="943"/>
      <c r="V647" s="943"/>
      <c r="W647" s="943"/>
      <c r="X647" s="944"/>
    </row>
    <row r="648" spans="1:24" ht="13.5" thickBot="1">
      <c r="A648" s="906" t="s">
        <v>10</v>
      </c>
      <c r="B648" s="908" t="s">
        <v>175</v>
      </c>
      <c r="C648" s="909"/>
      <c r="D648" s="910"/>
      <c r="E648" s="911"/>
      <c r="F648" s="911"/>
      <c r="G648" s="911"/>
      <c r="H648" s="911"/>
      <c r="I648" s="911"/>
      <c r="J648" s="911"/>
      <c r="K648" s="911"/>
      <c r="L648" s="911"/>
      <c r="M648" s="911"/>
      <c r="N648" s="911"/>
      <c r="O648" s="911"/>
      <c r="P648" s="911"/>
      <c r="Q648" s="911"/>
      <c r="R648" s="911"/>
      <c r="S648" s="911"/>
      <c r="T648" s="911"/>
      <c r="U648" s="911"/>
      <c r="V648" s="911"/>
      <c r="W648" s="911"/>
      <c r="X648" s="912"/>
    </row>
    <row r="649" spans="1:24" ht="13.5" thickBot="1">
      <c r="A649" s="907"/>
      <c r="B649" s="916"/>
      <c r="C649" s="917"/>
      <c r="D649" s="913"/>
      <c r="E649" s="914"/>
      <c r="F649" s="914"/>
      <c r="G649" s="914"/>
      <c r="H649" s="914"/>
      <c r="I649" s="914"/>
      <c r="J649" s="914"/>
      <c r="K649" s="914"/>
      <c r="L649" s="914"/>
      <c r="M649" s="914"/>
      <c r="N649" s="914"/>
      <c r="O649" s="914"/>
      <c r="P649" s="914"/>
      <c r="Q649" s="914"/>
      <c r="R649" s="914"/>
      <c r="S649" s="914"/>
      <c r="T649" s="914"/>
      <c r="U649" s="914"/>
      <c r="V649" s="914"/>
      <c r="W649" s="914"/>
      <c r="X649" s="915"/>
    </row>
  </sheetData>
  <sheetProtection password="CF55" sheet="1" objects="1" scenarios="1" selectLockedCells="1" selectUnlockedCells="1"/>
  <mergeCells count="2660">
    <mergeCell ref="X566:X643"/>
    <mergeCell ref="C644:C645"/>
    <mergeCell ref="D644:W644"/>
    <mergeCell ref="D645:W645"/>
    <mergeCell ref="A566:A643"/>
    <mergeCell ref="L77:O77"/>
    <mergeCell ref="L78:O78"/>
    <mergeCell ref="L172:O172"/>
    <mergeCell ref="L173:O173"/>
    <mergeCell ref="P182:S182"/>
    <mergeCell ref="P87:S87"/>
    <mergeCell ref="P88:S88"/>
    <mergeCell ref="L352:O352"/>
    <mergeCell ref="L353:O353"/>
    <mergeCell ref="L376:O376"/>
    <mergeCell ref="L377:O377"/>
    <mergeCell ref="L400:O400"/>
    <mergeCell ref="L401:O401"/>
    <mergeCell ref="L545:O545"/>
    <mergeCell ref="L546:O546"/>
    <mergeCell ref="P555:S555"/>
    <mergeCell ref="P556:S556"/>
    <mergeCell ref="P410:S410"/>
    <mergeCell ref="P411:S411"/>
    <mergeCell ref="P386:S386"/>
    <mergeCell ref="P387:S387"/>
    <mergeCell ref="P362:S362"/>
    <mergeCell ref="P363:S363"/>
    <mergeCell ref="D640:G640"/>
    <mergeCell ref="H640:K640"/>
    <mergeCell ref="L640:O640"/>
    <mergeCell ref="P640:S640"/>
    <mergeCell ref="T427:W427"/>
    <mergeCell ref="H422:K422"/>
    <mergeCell ref="L422:O422"/>
    <mergeCell ref="P450:S450"/>
    <mergeCell ref="T450:W450"/>
    <mergeCell ref="P430:S430"/>
    <mergeCell ref="D431:G431"/>
    <mergeCell ref="H431:K431"/>
    <mergeCell ref="P434:S434"/>
    <mergeCell ref="T434:W434"/>
    <mergeCell ref="D432:G432"/>
    <mergeCell ref="H432:K432"/>
    <mergeCell ref="L447:O447"/>
    <mergeCell ref="H642:K642"/>
    <mergeCell ref="L642:O642"/>
    <mergeCell ref="P642:S642"/>
    <mergeCell ref="D643:G643"/>
    <mergeCell ref="H643:K643"/>
    <mergeCell ref="L643:O643"/>
    <mergeCell ref="P643:S643"/>
    <mergeCell ref="D635:G635"/>
    <mergeCell ref="H635:K635"/>
    <mergeCell ref="L635:O635"/>
    <mergeCell ref="P635:S635"/>
    <mergeCell ref="D636:G636"/>
    <mergeCell ref="H636:K636"/>
    <mergeCell ref="L636:O636"/>
    <mergeCell ref="P636:S636"/>
    <mergeCell ref="D637:G637"/>
    <mergeCell ref="H637:K637"/>
    <mergeCell ref="L637:O637"/>
    <mergeCell ref="P637:S637"/>
    <mergeCell ref="B620:B645"/>
    <mergeCell ref="D620:G620"/>
    <mergeCell ref="H620:K620"/>
    <mergeCell ref="L620:O620"/>
    <mergeCell ref="D621:G621"/>
    <mergeCell ref="H621:K621"/>
    <mergeCell ref="L621:O621"/>
    <mergeCell ref="D622:G622"/>
    <mergeCell ref="H622:K622"/>
    <mergeCell ref="L622:O622"/>
    <mergeCell ref="D623:G623"/>
    <mergeCell ref="H623:K623"/>
    <mergeCell ref="L623:O623"/>
    <mergeCell ref="D624:G624"/>
    <mergeCell ref="H624:K624"/>
    <mergeCell ref="L624:O624"/>
    <mergeCell ref="T444:W444"/>
    <mergeCell ref="D631:G631"/>
    <mergeCell ref="H631:K631"/>
    <mergeCell ref="L631:O631"/>
    <mergeCell ref="D632:G632"/>
    <mergeCell ref="H632:K632"/>
    <mergeCell ref="L632:O632"/>
    <mergeCell ref="P632:S632"/>
    <mergeCell ref="D633:G633"/>
    <mergeCell ref="H633:K633"/>
    <mergeCell ref="L633:O633"/>
    <mergeCell ref="P633:S633"/>
    <mergeCell ref="D634:G634"/>
    <mergeCell ref="H634:K634"/>
    <mergeCell ref="L634:O634"/>
    <mergeCell ref="P634:S634"/>
    <mergeCell ref="B467:B488"/>
    <mergeCell ref="H444:K444"/>
    <mergeCell ref="H466:K466"/>
    <mergeCell ref="H467:K467"/>
    <mergeCell ref="L538:M538"/>
    <mergeCell ref="N537:O537"/>
    <mergeCell ref="P537:Q537"/>
    <mergeCell ref="L537:M537"/>
    <mergeCell ref="T538:U538"/>
    <mergeCell ref="H513:K513"/>
    <mergeCell ref="H535:K535"/>
    <mergeCell ref="T491:W491"/>
    <mergeCell ref="D449:G449"/>
    <mergeCell ref="H449:K449"/>
    <mergeCell ref="L449:O449"/>
    <mergeCell ref="P449:S449"/>
    <mergeCell ref="T449:W449"/>
    <mergeCell ref="D451:G451"/>
    <mergeCell ref="F536:G536"/>
    <mergeCell ref="D475:G475"/>
    <mergeCell ref="D452:G452"/>
    <mergeCell ref="L458:O458"/>
    <mergeCell ref="P458:S458"/>
    <mergeCell ref="D473:G473"/>
    <mergeCell ref="H473:K473"/>
    <mergeCell ref="L473:O473"/>
    <mergeCell ref="P473:S473"/>
    <mergeCell ref="D493:G493"/>
    <mergeCell ref="P472:S472"/>
    <mergeCell ref="D450:G450"/>
    <mergeCell ref="H450:K450"/>
    <mergeCell ref="L450:O450"/>
    <mergeCell ref="B438:C438"/>
    <mergeCell ref="B439:C439"/>
    <mergeCell ref="T437:X437"/>
    <mergeCell ref="T438:X438"/>
    <mergeCell ref="C334:C335"/>
    <mergeCell ref="C464:C465"/>
    <mergeCell ref="D491:G491"/>
    <mergeCell ref="H491:K491"/>
    <mergeCell ref="L491:O491"/>
    <mergeCell ref="P491:S491"/>
    <mergeCell ref="P536:Q536"/>
    <mergeCell ref="R536:S536"/>
    <mergeCell ref="H493:K493"/>
    <mergeCell ref="D536:E536"/>
    <mergeCell ref="P493:S493"/>
    <mergeCell ref="D497:G497"/>
    <mergeCell ref="H497:K497"/>
    <mergeCell ref="J536:K536"/>
    <mergeCell ref="L497:O497"/>
    <mergeCell ref="P497:S497"/>
    <mergeCell ref="D498:G498"/>
    <mergeCell ref="H495:K495"/>
    <mergeCell ref="L495:O495"/>
    <mergeCell ref="P426:S426"/>
    <mergeCell ref="D427:G427"/>
    <mergeCell ref="H489:K489"/>
    <mergeCell ref="C364:C365"/>
    <mergeCell ref="H390:K390"/>
    <mergeCell ref="C388:C389"/>
    <mergeCell ref="H492:K492"/>
    <mergeCell ref="L492:O492"/>
    <mergeCell ref="L443:O443"/>
    <mergeCell ref="B440:C440"/>
    <mergeCell ref="H437:K437"/>
    <mergeCell ref="H547:K547"/>
    <mergeCell ref="D465:W465"/>
    <mergeCell ref="L490:O490"/>
    <mergeCell ref="L536:M536"/>
    <mergeCell ref="N536:O536"/>
    <mergeCell ref="P512:S512"/>
    <mergeCell ref="D492:G492"/>
    <mergeCell ref="H484:K484"/>
    <mergeCell ref="L484:O484"/>
    <mergeCell ref="P484:S484"/>
    <mergeCell ref="T484:W484"/>
    <mergeCell ref="H490:K490"/>
    <mergeCell ref="D489:G489"/>
    <mergeCell ref="D485:G485"/>
    <mergeCell ref="H485:K485"/>
    <mergeCell ref="R540:S540"/>
    <mergeCell ref="H540:I540"/>
    <mergeCell ref="B444:B465"/>
    <mergeCell ref="P538:Q538"/>
    <mergeCell ref="R538:S538"/>
    <mergeCell ref="N538:O538"/>
    <mergeCell ref="L438:O438"/>
    <mergeCell ref="D447:G447"/>
    <mergeCell ref="H447:K447"/>
    <mergeCell ref="V536:W536"/>
    <mergeCell ref="T536:U536"/>
    <mergeCell ref="B437:C437"/>
    <mergeCell ref="H451:K451"/>
    <mergeCell ref="L451:O451"/>
    <mergeCell ref="T453:W453"/>
    <mergeCell ref="D642:G642"/>
    <mergeCell ref="T541:U541"/>
    <mergeCell ref="V541:W541"/>
    <mergeCell ref="C590:C591"/>
    <mergeCell ref="L593:O593"/>
    <mergeCell ref="D591:W591"/>
    <mergeCell ref="D480:G480"/>
    <mergeCell ref="H480:K480"/>
    <mergeCell ref="L480:O480"/>
    <mergeCell ref="P480:S480"/>
    <mergeCell ref="T480:W480"/>
    <mergeCell ref="D484:G484"/>
    <mergeCell ref="P460:S460"/>
    <mergeCell ref="T460:W460"/>
    <mergeCell ref="H452:K452"/>
    <mergeCell ref="L452:O452"/>
    <mergeCell ref="P452:S452"/>
    <mergeCell ref="T452:W452"/>
    <mergeCell ref="D453:G453"/>
    <mergeCell ref="C533:C534"/>
    <mergeCell ref="P489:S489"/>
    <mergeCell ref="L535:O535"/>
    <mergeCell ref="C510:C511"/>
    <mergeCell ref="D510:W510"/>
    <mergeCell ref="H536:I536"/>
    <mergeCell ref="T559:X559"/>
    <mergeCell ref="T560:X560"/>
    <mergeCell ref="P545:Q545"/>
    <mergeCell ref="R545:S545"/>
    <mergeCell ref="T545:U545"/>
    <mergeCell ref="P469:S469"/>
    <mergeCell ref="D471:G471"/>
    <mergeCell ref="T471:W471"/>
    <mergeCell ref="H472:K472"/>
    <mergeCell ref="F540:G540"/>
    <mergeCell ref="N548:O548"/>
    <mergeCell ref="P548:Q548"/>
    <mergeCell ref="T548:U548"/>
    <mergeCell ref="T544:U544"/>
    <mergeCell ref="V544:W544"/>
    <mergeCell ref="D619:G619"/>
    <mergeCell ref="H619:K619"/>
    <mergeCell ref="L619:O619"/>
    <mergeCell ref="P619:S619"/>
    <mergeCell ref="T619:W619"/>
    <mergeCell ref="D641:G641"/>
    <mergeCell ref="H641:K641"/>
    <mergeCell ref="L641:O641"/>
    <mergeCell ref="P641:S641"/>
    <mergeCell ref="T490:W490"/>
    <mergeCell ref="T473:W473"/>
    <mergeCell ref="L475:O475"/>
    <mergeCell ref="P475:S475"/>
    <mergeCell ref="T475:W475"/>
    <mergeCell ref="D638:G638"/>
    <mergeCell ref="H638:K638"/>
    <mergeCell ref="L638:O638"/>
    <mergeCell ref="P638:S638"/>
    <mergeCell ref="D639:G639"/>
    <mergeCell ref="H639:K639"/>
    <mergeCell ref="L639:O639"/>
    <mergeCell ref="P639:S639"/>
    <mergeCell ref="T481:W481"/>
    <mergeCell ref="H475:K475"/>
    <mergeCell ref="B649:C649"/>
    <mergeCell ref="T647:X647"/>
    <mergeCell ref="T537:U537"/>
    <mergeCell ref="V537:W537"/>
    <mergeCell ref="B536:B538"/>
    <mergeCell ref="D625:G625"/>
    <mergeCell ref="H625:K625"/>
    <mergeCell ref="L625:O625"/>
    <mergeCell ref="D626:G626"/>
    <mergeCell ref="H626:K626"/>
    <mergeCell ref="L626:O626"/>
    <mergeCell ref="D627:G627"/>
    <mergeCell ref="H627:K627"/>
    <mergeCell ref="L627:O627"/>
    <mergeCell ref="D628:G628"/>
    <mergeCell ref="H628:K628"/>
    <mergeCell ref="L628:O628"/>
    <mergeCell ref="D629:G629"/>
    <mergeCell ref="H629:K629"/>
    <mergeCell ref="L629:O629"/>
    <mergeCell ref="P646:S646"/>
    <mergeCell ref="B559:C559"/>
    <mergeCell ref="B560:C560"/>
    <mergeCell ref="D630:G630"/>
    <mergeCell ref="H630:K630"/>
    <mergeCell ref="L630:O630"/>
    <mergeCell ref="B648:C648"/>
    <mergeCell ref="X444:X556"/>
    <mergeCell ref="B562:C562"/>
    <mergeCell ref="L565:O565"/>
    <mergeCell ref="L566:O566"/>
    <mergeCell ref="P593:S593"/>
    <mergeCell ref="D138:W138"/>
    <mergeCell ref="D117:G117"/>
    <mergeCell ref="T187:X187"/>
    <mergeCell ref="P647:S647"/>
    <mergeCell ref="P592:S592"/>
    <mergeCell ref="P438:S438"/>
    <mergeCell ref="R402:S402"/>
    <mergeCell ref="P415:S415"/>
    <mergeCell ref="P437:S437"/>
    <mergeCell ref="P402:Q402"/>
    <mergeCell ref="P492:S492"/>
    <mergeCell ref="P559:S559"/>
    <mergeCell ref="D464:W464"/>
    <mergeCell ref="C412:C413"/>
    <mergeCell ref="P162:S162"/>
    <mergeCell ref="P186:S186"/>
    <mergeCell ref="T337:X337"/>
    <mergeCell ref="L313:O313"/>
    <mergeCell ref="L196:O196"/>
    <mergeCell ref="T215:W215"/>
    <mergeCell ref="D569:G569"/>
    <mergeCell ref="H569:K569"/>
    <mergeCell ref="H559:K559"/>
    <mergeCell ref="D559:G559"/>
    <mergeCell ref="H551:K551"/>
    <mergeCell ref="N541:O541"/>
    <mergeCell ref="L559:O559"/>
    <mergeCell ref="D560:G560"/>
    <mergeCell ref="P565:S565"/>
    <mergeCell ref="D561:X562"/>
    <mergeCell ref="T565:W565"/>
    <mergeCell ref="L543:M543"/>
    <mergeCell ref="H647:K647"/>
    <mergeCell ref="D593:G593"/>
    <mergeCell ref="B647:C647"/>
    <mergeCell ref="D617:W617"/>
    <mergeCell ref="D618:W618"/>
    <mergeCell ref="L646:O646"/>
    <mergeCell ref="L647:O647"/>
    <mergeCell ref="D572:G572"/>
    <mergeCell ref="B513:B534"/>
    <mergeCell ref="D490:G490"/>
    <mergeCell ref="P443:S443"/>
    <mergeCell ref="L575:O575"/>
    <mergeCell ref="D573:G573"/>
    <mergeCell ref="H573:K573"/>
    <mergeCell ref="B490:B511"/>
    <mergeCell ref="D570:G570"/>
    <mergeCell ref="H570:K570"/>
    <mergeCell ref="L570:O570"/>
    <mergeCell ref="H479:K479"/>
    <mergeCell ref="L479:O479"/>
    <mergeCell ref="P479:S479"/>
    <mergeCell ref="T479:W479"/>
    <mergeCell ref="L513:O513"/>
    <mergeCell ref="B646:C646"/>
    <mergeCell ref="P541:Q541"/>
    <mergeCell ref="R541:S541"/>
    <mergeCell ref="T646:X646"/>
    <mergeCell ref="R537:S537"/>
    <mergeCell ref="H543:I543"/>
    <mergeCell ref="D488:W488"/>
    <mergeCell ref="P466:S466"/>
    <mergeCell ref="D469:G469"/>
    <mergeCell ref="B338:C338"/>
    <mergeCell ref="B339:C339"/>
    <mergeCell ref="D388:W388"/>
    <mergeCell ref="D389:W389"/>
    <mergeCell ref="L337:O337"/>
    <mergeCell ref="T366:W366"/>
    <mergeCell ref="L366:O366"/>
    <mergeCell ref="D357:G357"/>
    <mergeCell ref="D338:X339"/>
    <mergeCell ref="T428:W428"/>
    <mergeCell ref="D448:G448"/>
    <mergeCell ref="H448:K448"/>
    <mergeCell ref="L448:O448"/>
    <mergeCell ref="V400:W400"/>
    <mergeCell ref="T400:U400"/>
    <mergeCell ref="R400:S400"/>
    <mergeCell ref="P420:S420"/>
    <mergeCell ref="D397:G397"/>
    <mergeCell ref="B412:B413"/>
    <mergeCell ref="D416:G416"/>
    <mergeCell ref="H416:K416"/>
    <mergeCell ref="L416:O416"/>
    <mergeCell ref="B415:B436"/>
    <mergeCell ref="P448:S448"/>
    <mergeCell ref="B391:B394"/>
    <mergeCell ref="P421:S421"/>
    <mergeCell ref="T391:U391"/>
    <mergeCell ref="V391:W391"/>
    <mergeCell ref="C435:C436"/>
    <mergeCell ref="D422:G422"/>
    <mergeCell ref="D418:G418"/>
    <mergeCell ref="H418:K418"/>
    <mergeCell ref="T246:W246"/>
    <mergeCell ref="P423:S423"/>
    <mergeCell ref="H426:K426"/>
    <mergeCell ref="L426:O426"/>
    <mergeCell ref="P391:Q391"/>
    <mergeCell ref="T392:U392"/>
    <mergeCell ref="P342:S342"/>
    <mergeCell ref="T342:W342"/>
    <mergeCell ref="C487:C488"/>
    <mergeCell ref="D487:W487"/>
    <mergeCell ref="T192:W192"/>
    <mergeCell ref="P192:S192"/>
    <mergeCell ref="P193:S193"/>
    <mergeCell ref="T231:W231"/>
    <mergeCell ref="T234:W234"/>
    <mergeCell ref="D192:G192"/>
    <mergeCell ref="L193:O193"/>
    <mergeCell ref="D244:G244"/>
    <mergeCell ref="L244:O244"/>
    <mergeCell ref="L246:O246"/>
    <mergeCell ref="L245:O245"/>
    <mergeCell ref="P246:S246"/>
    <mergeCell ref="T390:W390"/>
    <mergeCell ref="L239:O239"/>
    <mergeCell ref="D222:G222"/>
    <mergeCell ref="T216:W216"/>
    <mergeCell ref="D426:G426"/>
    <mergeCell ref="L421:O421"/>
    <mergeCell ref="D421:G421"/>
    <mergeCell ref="V392:W392"/>
    <mergeCell ref="B336:C336"/>
    <mergeCell ref="B337:C337"/>
    <mergeCell ref="X22:X90"/>
    <mergeCell ref="T267:W267"/>
    <mergeCell ref="T238:W238"/>
    <mergeCell ref="T239:W239"/>
    <mergeCell ref="T314:W314"/>
    <mergeCell ref="T186:X186"/>
    <mergeCell ref="D364:W364"/>
    <mergeCell ref="D239:G239"/>
    <mergeCell ref="L238:O238"/>
    <mergeCell ref="D291:G291"/>
    <mergeCell ref="P261:S261"/>
    <mergeCell ref="H415:K415"/>
    <mergeCell ref="P414:S414"/>
    <mergeCell ref="D335:W335"/>
    <mergeCell ref="L414:O414"/>
    <mergeCell ref="H262:K262"/>
    <mergeCell ref="L291:O291"/>
    <mergeCell ref="L261:O261"/>
    <mergeCell ref="L262:O262"/>
    <mergeCell ref="D261:G261"/>
    <mergeCell ref="P392:Q392"/>
    <mergeCell ref="L267:O267"/>
    <mergeCell ref="L293:O293"/>
    <mergeCell ref="H294:K294"/>
    <mergeCell ref="P248:S248"/>
    <mergeCell ref="T248:W248"/>
    <mergeCell ref="L392:M392"/>
    <mergeCell ref="N392:O392"/>
    <mergeCell ref="T313:W313"/>
    <mergeCell ref="T193:W193"/>
    <mergeCell ref="R392:S392"/>
    <mergeCell ref="T414:W414"/>
    <mergeCell ref="L187:O187"/>
    <mergeCell ref="L192:O192"/>
    <mergeCell ref="L215:O215"/>
    <mergeCell ref="H192:K192"/>
    <mergeCell ref="D194:G194"/>
    <mergeCell ref="H194:K194"/>
    <mergeCell ref="D195:G195"/>
    <mergeCell ref="D200:G200"/>
    <mergeCell ref="H200:K200"/>
    <mergeCell ref="L200:O200"/>
    <mergeCell ref="L201:O201"/>
    <mergeCell ref="H195:K195"/>
    <mergeCell ref="L195:O195"/>
    <mergeCell ref="T201:W201"/>
    <mergeCell ref="D198:G198"/>
    <mergeCell ref="H198:K198"/>
    <mergeCell ref="L198:O198"/>
    <mergeCell ref="P198:S198"/>
    <mergeCell ref="P187:S187"/>
    <mergeCell ref="H199:K199"/>
    <mergeCell ref="P200:S200"/>
    <mergeCell ref="T200:W200"/>
    <mergeCell ref="D197:G197"/>
    <mergeCell ref="H197:K197"/>
    <mergeCell ref="L197:O197"/>
    <mergeCell ref="L199:O199"/>
    <mergeCell ref="T198:W198"/>
    <mergeCell ref="P199:S199"/>
    <mergeCell ref="H203:K203"/>
    <mergeCell ref="L203:O203"/>
    <mergeCell ref="P203:S203"/>
    <mergeCell ref="H201:K201"/>
    <mergeCell ref="D21:G21"/>
    <mergeCell ref="D215:G215"/>
    <mergeCell ref="H140:K140"/>
    <mergeCell ref="H193:K193"/>
    <mergeCell ref="L22:O22"/>
    <mergeCell ref="L220:O220"/>
    <mergeCell ref="L32:O32"/>
    <mergeCell ref="L44:O44"/>
    <mergeCell ref="L320:O320"/>
    <mergeCell ref="H247:K247"/>
    <mergeCell ref="L247:O247"/>
    <mergeCell ref="H296:K296"/>
    <mergeCell ref="L296:O296"/>
    <mergeCell ref="D288:W288"/>
    <mergeCell ref="P293:S293"/>
    <mergeCell ref="L290:O290"/>
    <mergeCell ref="H272:K272"/>
    <mergeCell ref="D186:G186"/>
    <mergeCell ref="L140:O140"/>
    <mergeCell ref="P238:S238"/>
    <mergeCell ref="D193:G193"/>
    <mergeCell ref="P220:S220"/>
    <mergeCell ref="L162:O162"/>
    <mergeCell ref="T139:W139"/>
    <mergeCell ref="D237:W237"/>
    <mergeCell ref="L216:O216"/>
    <mergeCell ref="D246:G246"/>
    <mergeCell ref="H246:K246"/>
    <mergeCell ref="T310:W310"/>
    <mergeCell ref="T244:W244"/>
    <mergeCell ref="D259:W259"/>
    <mergeCell ref="H222:K222"/>
    <mergeCell ref="T99:W99"/>
    <mergeCell ref="L186:O186"/>
    <mergeCell ref="L102:O102"/>
    <mergeCell ref="P102:S102"/>
    <mergeCell ref="L98:O98"/>
    <mergeCell ref="P31:S31"/>
    <mergeCell ref="T31:W31"/>
    <mergeCell ref="T121:W121"/>
    <mergeCell ref="H119:K119"/>
    <mergeCell ref="L119:O119"/>
    <mergeCell ref="P119:S119"/>
    <mergeCell ref="D137:W137"/>
    <mergeCell ref="D145:G145"/>
    <mergeCell ref="P100:S100"/>
    <mergeCell ref="P98:S98"/>
    <mergeCell ref="D97:G97"/>
    <mergeCell ref="T98:W98"/>
    <mergeCell ref="D98:G98"/>
    <mergeCell ref="H98:K98"/>
    <mergeCell ref="D34:G34"/>
    <mergeCell ref="T94:W94"/>
    <mergeCell ref="T52:W52"/>
    <mergeCell ref="D53:G53"/>
    <mergeCell ref="H53:K53"/>
    <mergeCell ref="L53:O53"/>
    <mergeCell ref="P53:S53"/>
    <mergeCell ref="T53:W53"/>
    <mergeCell ref="T140:W140"/>
    <mergeCell ref="T122:W122"/>
    <mergeCell ref="L93:O93"/>
    <mergeCell ref="D162:G162"/>
    <mergeCell ref="P139:S139"/>
    <mergeCell ref="T93:W93"/>
    <mergeCell ref="T118:W118"/>
    <mergeCell ref="T162:W162"/>
    <mergeCell ref="H186:K186"/>
    <mergeCell ref="P239:S239"/>
    <mergeCell ref="L29:O29"/>
    <mergeCell ref="P29:S29"/>
    <mergeCell ref="T29:W29"/>
    <mergeCell ref="P140:S140"/>
    <mergeCell ref="P122:S122"/>
    <mergeCell ref="P145:S145"/>
    <mergeCell ref="T97:W97"/>
    <mergeCell ref="D90:W90"/>
    <mergeCell ref="D115:W115"/>
    <mergeCell ref="H238:K238"/>
    <mergeCell ref="H239:K239"/>
    <mergeCell ref="D187:G187"/>
    <mergeCell ref="H29:K29"/>
    <mergeCell ref="L117:O117"/>
    <mergeCell ref="L139:O139"/>
    <mergeCell ref="H162:K162"/>
    <mergeCell ref="H187:K187"/>
    <mergeCell ref="D188:X189"/>
    <mergeCell ref="D236:W236"/>
    <mergeCell ref="T119:W119"/>
    <mergeCell ref="D121:G121"/>
    <mergeCell ref="H121:K121"/>
    <mergeCell ref="H139:K139"/>
    <mergeCell ref="X193:X258"/>
    <mergeCell ref="D66:W66"/>
    <mergeCell ref="P216:S216"/>
    <mergeCell ref="D213:W213"/>
    <mergeCell ref="D161:W161"/>
    <mergeCell ref="D79:G79"/>
    <mergeCell ref="H50:K50"/>
    <mergeCell ref="L50:O50"/>
    <mergeCell ref="P50:S50"/>
    <mergeCell ref="T50:W50"/>
    <mergeCell ref="D51:G51"/>
    <mergeCell ref="H51:K51"/>
    <mergeCell ref="L51:O51"/>
    <mergeCell ref="L25:O25"/>
    <mergeCell ref="P25:S25"/>
    <mergeCell ref="T25:W25"/>
    <mergeCell ref="D31:G31"/>
    <mergeCell ref="H31:K31"/>
    <mergeCell ref="L31:O31"/>
    <mergeCell ref="P33:S33"/>
    <mergeCell ref="T33:W33"/>
    <mergeCell ref="T44:W44"/>
    <mergeCell ref="L41:O41"/>
    <mergeCell ref="L45:O45"/>
    <mergeCell ref="H57:K57"/>
    <mergeCell ref="L57:O57"/>
    <mergeCell ref="P57:S57"/>
    <mergeCell ref="T57:W57"/>
    <mergeCell ref="D58:G58"/>
    <mergeCell ref="H58:K58"/>
    <mergeCell ref="L58:O58"/>
    <mergeCell ref="P58:S58"/>
    <mergeCell ref="T58:W58"/>
    <mergeCell ref="D59:G59"/>
    <mergeCell ref="D139:G139"/>
    <mergeCell ref="D140:G140"/>
    <mergeCell ref="T22:W22"/>
    <mergeCell ref="P44:S44"/>
    <mergeCell ref="P45:S45"/>
    <mergeCell ref="P27:S27"/>
    <mergeCell ref="T27:W27"/>
    <mergeCell ref="D30:G30"/>
    <mergeCell ref="H30:K30"/>
    <mergeCell ref="L30:O30"/>
    <mergeCell ref="T30:W30"/>
    <mergeCell ref="L33:O33"/>
    <mergeCell ref="H34:K34"/>
    <mergeCell ref="H45:K45"/>
    <mergeCell ref="D33:G33"/>
    <mergeCell ref="D36:G36"/>
    <mergeCell ref="H36:K36"/>
    <mergeCell ref="L36:O36"/>
    <mergeCell ref="P28:S28"/>
    <mergeCell ref="T28:W28"/>
    <mergeCell ref="T35:W35"/>
    <mergeCell ref="D29:G29"/>
    <mergeCell ref="T32:W32"/>
    <mergeCell ref="P32:S32"/>
    <mergeCell ref="D32:G32"/>
    <mergeCell ref="H32:K32"/>
    <mergeCell ref="H44:K44"/>
    <mergeCell ref="H35:K35"/>
    <mergeCell ref="L35:O35"/>
    <mergeCell ref="P36:S36"/>
    <mergeCell ref="T36:W36"/>
    <mergeCell ref="D35:G35"/>
    <mergeCell ref="P35:S35"/>
    <mergeCell ref="P30:S30"/>
    <mergeCell ref="A22:A90"/>
    <mergeCell ref="B22:B43"/>
    <mergeCell ref="C42:C43"/>
    <mergeCell ref="D42:W42"/>
    <mergeCell ref="B68:B69"/>
    <mergeCell ref="B45:B66"/>
    <mergeCell ref="C65:C66"/>
    <mergeCell ref="C89:C90"/>
    <mergeCell ref="D44:G44"/>
    <mergeCell ref="D45:G45"/>
    <mergeCell ref="T21:W21"/>
    <mergeCell ref="D99:G99"/>
    <mergeCell ref="H99:K99"/>
    <mergeCell ref="L99:O99"/>
    <mergeCell ref="L27:O27"/>
    <mergeCell ref="T96:W96"/>
    <mergeCell ref="P97:S97"/>
    <mergeCell ref="D43:W43"/>
    <mergeCell ref="L67:O67"/>
    <mergeCell ref="H22:K22"/>
    <mergeCell ref="L21:O21"/>
    <mergeCell ref="D37:G37"/>
    <mergeCell ref="H37:K37"/>
    <mergeCell ref="L37:O37"/>
    <mergeCell ref="P37:S37"/>
    <mergeCell ref="T37:W37"/>
    <mergeCell ref="D28:G28"/>
    <mergeCell ref="B89:B90"/>
    <mergeCell ref="H40:K40"/>
    <mergeCell ref="L40:O40"/>
    <mergeCell ref="P40:S40"/>
    <mergeCell ref="T40:W40"/>
    <mergeCell ref="C213:C214"/>
    <mergeCell ref="C236:C237"/>
    <mergeCell ref="T23:W23"/>
    <mergeCell ref="D26:G26"/>
    <mergeCell ref="H26:K26"/>
    <mergeCell ref="L26:O26"/>
    <mergeCell ref="P26:S26"/>
    <mergeCell ref="D89:W89"/>
    <mergeCell ref="T41:W41"/>
    <mergeCell ref="H38:K38"/>
    <mergeCell ref="L38:O38"/>
    <mergeCell ref="P38:S38"/>
    <mergeCell ref="L23:O23"/>
    <mergeCell ref="P23:S23"/>
    <mergeCell ref="D48:G48"/>
    <mergeCell ref="H48:K48"/>
    <mergeCell ref="L48:O48"/>
    <mergeCell ref="P48:S48"/>
    <mergeCell ref="D39:G39"/>
    <mergeCell ref="H39:K39"/>
    <mergeCell ref="L39:O39"/>
    <mergeCell ref="P39:S39"/>
    <mergeCell ref="T45:W45"/>
    <mergeCell ref="P67:S67"/>
    <mergeCell ref="D27:G27"/>
    <mergeCell ref="L28:O28"/>
    <mergeCell ref="L34:O34"/>
    <mergeCell ref="P34:S34"/>
    <mergeCell ref="H25:K25"/>
    <mergeCell ref="H33:K33"/>
    <mergeCell ref="T26:W26"/>
    <mergeCell ref="P94:S94"/>
    <mergeCell ref="A5:A18"/>
    <mergeCell ref="B5:B8"/>
    <mergeCell ref="B15:B18"/>
    <mergeCell ref="X4:X18"/>
    <mergeCell ref="B10:B13"/>
    <mergeCell ref="C12:C13"/>
    <mergeCell ref="D4:G4"/>
    <mergeCell ref="P4:S4"/>
    <mergeCell ref="D7:W7"/>
    <mergeCell ref="C7:C8"/>
    <mergeCell ref="B263:C263"/>
    <mergeCell ref="B140:B161"/>
    <mergeCell ref="B117:B138"/>
    <mergeCell ref="B188:C188"/>
    <mergeCell ref="B189:C189"/>
    <mergeCell ref="B163:B164"/>
    <mergeCell ref="C259:C260"/>
    <mergeCell ref="C184:C185"/>
    <mergeCell ref="A186:A187"/>
    <mergeCell ref="A94:A185"/>
    <mergeCell ref="B94:B115"/>
    <mergeCell ref="A188:A189"/>
    <mergeCell ref="B186:C186"/>
    <mergeCell ref="B187:C187"/>
    <mergeCell ref="C114:C115"/>
    <mergeCell ref="A263:A264"/>
    <mergeCell ref="B193:B214"/>
    <mergeCell ref="B216:B237"/>
    <mergeCell ref="B239:B260"/>
    <mergeCell ref="A193:A258"/>
    <mergeCell ref="A261:A262"/>
    <mergeCell ref="B261:C261"/>
    <mergeCell ref="D18:W18"/>
    <mergeCell ref="T14:W14"/>
    <mergeCell ref="D11:W11"/>
    <mergeCell ref="D16:W16"/>
    <mergeCell ref="D9:G9"/>
    <mergeCell ref="H27:K27"/>
    <mergeCell ref="H21:K21"/>
    <mergeCell ref="D22:G22"/>
    <mergeCell ref="D93:G93"/>
    <mergeCell ref="P21:S21"/>
    <mergeCell ref="P22:S22"/>
    <mergeCell ref="H28:K28"/>
    <mergeCell ref="C17:C18"/>
    <mergeCell ref="D40:G40"/>
    <mergeCell ref="L9:O9"/>
    <mergeCell ref="L14:O14"/>
    <mergeCell ref="D12:W12"/>
    <mergeCell ref="D15:W15"/>
    <mergeCell ref="D24:G24"/>
    <mergeCell ref="H24:K24"/>
    <mergeCell ref="L24:O24"/>
    <mergeCell ref="P24:S24"/>
    <mergeCell ref="D23:G23"/>
    <mergeCell ref="H23:K23"/>
    <mergeCell ref="T24:W24"/>
    <mergeCell ref="D25:G25"/>
    <mergeCell ref="T38:W38"/>
    <mergeCell ref="T39:W39"/>
    <mergeCell ref="D38:G38"/>
    <mergeCell ref="D41:G41"/>
    <mergeCell ref="H41:K41"/>
    <mergeCell ref="T34:W34"/>
    <mergeCell ref="H4:K4"/>
    <mergeCell ref="D13:W13"/>
    <mergeCell ref="H14:K14"/>
    <mergeCell ref="T9:W9"/>
    <mergeCell ref="D14:G14"/>
    <mergeCell ref="X94:X185"/>
    <mergeCell ref="D114:W114"/>
    <mergeCell ref="D184:W184"/>
    <mergeCell ref="D185:W185"/>
    <mergeCell ref="L116:O116"/>
    <mergeCell ref="T4:W4"/>
    <mergeCell ref="P9:S9"/>
    <mergeCell ref="D10:W10"/>
    <mergeCell ref="D6:W6"/>
    <mergeCell ref="L4:O4"/>
    <mergeCell ref="D17:W17"/>
    <mergeCell ref="P14:S14"/>
    <mergeCell ref="D5:W5"/>
    <mergeCell ref="D8:W8"/>
    <mergeCell ref="D50:G50"/>
    <mergeCell ref="H9:K9"/>
    <mergeCell ref="D74:G74"/>
    <mergeCell ref="D77:G77"/>
    <mergeCell ref="H77:K77"/>
    <mergeCell ref="D120:G120"/>
    <mergeCell ref="H120:K120"/>
    <mergeCell ref="L120:O120"/>
    <mergeCell ref="T120:W120"/>
    <mergeCell ref="L118:O118"/>
    <mergeCell ref="P118:S118"/>
    <mergeCell ref="P120:S120"/>
    <mergeCell ref="P41:S41"/>
    <mergeCell ref="A343:A434"/>
    <mergeCell ref="D437:G437"/>
    <mergeCell ref="D438:G438"/>
    <mergeCell ref="D414:G414"/>
    <mergeCell ref="D391:E391"/>
    <mergeCell ref="B367:B368"/>
    <mergeCell ref="P424:S424"/>
    <mergeCell ref="T424:W424"/>
    <mergeCell ref="D425:G425"/>
    <mergeCell ref="H425:K425"/>
    <mergeCell ref="T425:W425"/>
    <mergeCell ref="L425:O425"/>
    <mergeCell ref="T422:W422"/>
    <mergeCell ref="D423:G423"/>
    <mergeCell ref="H423:K423"/>
    <mergeCell ref="C288:C289"/>
    <mergeCell ref="T423:W423"/>
    <mergeCell ref="L390:O390"/>
    <mergeCell ref="L415:O415"/>
    <mergeCell ref="H414:K414"/>
    <mergeCell ref="D402:G402"/>
    <mergeCell ref="F391:G391"/>
    <mergeCell ref="B343:B344"/>
    <mergeCell ref="A268:A333"/>
    <mergeCell ref="D268:G268"/>
    <mergeCell ref="B314:B335"/>
    <mergeCell ref="B268:B289"/>
    <mergeCell ref="C311:C312"/>
    <mergeCell ref="A338:A339"/>
    <mergeCell ref="A336:A337"/>
    <mergeCell ref="B291:B312"/>
    <mergeCell ref="H438:K438"/>
    <mergeCell ref="A439:A440"/>
    <mergeCell ref="D439:X440"/>
    <mergeCell ref="A648:A649"/>
    <mergeCell ref="D648:X649"/>
    <mergeCell ref="B566:B591"/>
    <mergeCell ref="D443:G443"/>
    <mergeCell ref="D444:G444"/>
    <mergeCell ref="A561:A562"/>
    <mergeCell ref="A444:A556"/>
    <mergeCell ref="H537:I537"/>
    <mergeCell ref="H391:I391"/>
    <mergeCell ref="J391:K391"/>
    <mergeCell ref="H378:K378"/>
    <mergeCell ref="D512:G512"/>
    <mergeCell ref="H424:K424"/>
    <mergeCell ref="D537:E537"/>
    <mergeCell ref="D535:G535"/>
    <mergeCell ref="H420:K420"/>
    <mergeCell ref="H397:K397"/>
    <mergeCell ref="L437:O437"/>
    <mergeCell ref="H402:K402"/>
    <mergeCell ref="L423:O423"/>
    <mergeCell ref="L402:O402"/>
    <mergeCell ref="L419:O419"/>
    <mergeCell ref="H428:K428"/>
    <mergeCell ref="L424:O424"/>
    <mergeCell ref="L427:O427"/>
    <mergeCell ref="L420:O420"/>
    <mergeCell ref="H417:K417"/>
    <mergeCell ref="V538:W538"/>
    <mergeCell ref="A437:A438"/>
    <mergeCell ref="A559:A560"/>
    <mergeCell ref="A646:A647"/>
    <mergeCell ref="B593:B618"/>
    <mergeCell ref="D646:G646"/>
    <mergeCell ref="D647:G647"/>
    <mergeCell ref="H646:K646"/>
    <mergeCell ref="D566:G566"/>
    <mergeCell ref="H572:K572"/>
    <mergeCell ref="H578:K578"/>
    <mergeCell ref="D580:G580"/>
    <mergeCell ref="H580:K580"/>
    <mergeCell ref="D565:G565"/>
    <mergeCell ref="F537:G537"/>
    <mergeCell ref="H566:K566"/>
    <mergeCell ref="H560:K560"/>
    <mergeCell ref="H565:K565"/>
    <mergeCell ref="C557:C558"/>
    <mergeCell ref="D557:W557"/>
    <mergeCell ref="L580:O580"/>
    <mergeCell ref="L574:O574"/>
    <mergeCell ref="D575:G575"/>
    <mergeCell ref="H575:K575"/>
    <mergeCell ref="L572:O572"/>
    <mergeCell ref="B561:C561"/>
    <mergeCell ref="L573:O573"/>
    <mergeCell ref="P573:S573"/>
    <mergeCell ref="P566:S566"/>
    <mergeCell ref="C617:C618"/>
    <mergeCell ref="J537:K537"/>
    <mergeCell ref="P560:S560"/>
    <mergeCell ref="L560:O560"/>
    <mergeCell ref="D558:W558"/>
    <mergeCell ref="P540:Q540"/>
    <mergeCell ref="P419:S419"/>
    <mergeCell ref="P416:S416"/>
    <mergeCell ref="D123:G123"/>
    <mergeCell ref="T243:W243"/>
    <mergeCell ref="P197:S197"/>
    <mergeCell ref="T197:W197"/>
    <mergeCell ref="P96:S96"/>
    <mergeCell ref="D102:G102"/>
    <mergeCell ref="H102:K102"/>
    <mergeCell ref="D415:G415"/>
    <mergeCell ref="L444:O444"/>
    <mergeCell ref="H443:K443"/>
    <mergeCell ref="T418:W418"/>
    <mergeCell ref="D419:G419"/>
    <mergeCell ref="H419:K419"/>
    <mergeCell ref="H392:K392"/>
    <mergeCell ref="D378:G378"/>
    <mergeCell ref="D417:G417"/>
    <mergeCell ref="L417:O417"/>
    <mergeCell ref="P417:S417"/>
    <mergeCell ref="T417:W417"/>
    <mergeCell ref="L194:O194"/>
    <mergeCell ref="P194:S194"/>
    <mergeCell ref="T194:W194"/>
    <mergeCell ref="T196:W196"/>
    <mergeCell ref="T195:W195"/>
    <mergeCell ref="P244:S244"/>
    <mergeCell ref="D245:G245"/>
    <mergeCell ref="H245:K245"/>
    <mergeCell ref="D216:G216"/>
    <mergeCell ref="T397:U397"/>
    <mergeCell ref="L294:O294"/>
    <mergeCell ref="P390:S390"/>
    <mergeCell ref="D334:W334"/>
    <mergeCell ref="P336:S336"/>
    <mergeCell ref="D316:G316"/>
    <mergeCell ref="H342:K342"/>
    <mergeCell ref="D413:W413"/>
    <mergeCell ref="D281:G281"/>
    <mergeCell ref="P196:S196"/>
    <mergeCell ref="D201:G201"/>
    <mergeCell ref="T209:W209"/>
    <mergeCell ref="D202:G202"/>
    <mergeCell ref="H202:K202"/>
    <mergeCell ref="L202:O202"/>
    <mergeCell ref="P202:S202"/>
    <mergeCell ref="T202:W202"/>
    <mergeCell ref="D208:G208"/>
    <mergeCell ref="H208:K208"/>
    <mergeCell ref="L208:O208"/>
    <mergeCell ref="P208:S208"/>
    <mergeCell ref="T208:W208"/>
    <mergeCell ref="T203:W203"/>
    <mergeCell ref="H196:K196"/>
    <mergeCell ref="P205:S205"/>
    <mergeCell ref="T205:W205"/>
    <mergeCell ref="D204:G204"/>
    <mergeCell ref="H204:K204"/>
    <mergeCell ref="L204:O204"/>
    <mergeCell ref="P204:S204"/>
    <mergeCell ref="T204:W204"/>
    <mergeCell ref="D203:G203"/>
    <mergeCell ref="D366:G366"/>
    <mergeCell ref="T247:W247"/>
    <mergeCell ref="P51:S51"/>
    <mergeCell ref="T51:W51"/>
    <mergeCell ref="D52:G52"/>
    <mergeCell ref="H52:K52"/>
    <mergeCell ref="L52:O52"/>
    <mergeCell ref="P52:S52"/>
    <mergeCell ref="P400:Q400"/>
    <mergeCell ref="D269:G269"/>
    <mergeCell ref="H269:K269"/>
    <mergeCell ref="L269:O269"/>
    <mergeCell ref="L96:O96"/>
    <mergeCell ref="P55:S55"/>
    <mergeCell ref="T55:W55"/>
    <mergeCell ref="D56:G56"/>
    <mergeCell ref="H56:K56"/>
    <mergeCell ref="L56:O56"/>
    <mergeCell ref="P56:S56"/>
    <mergeCell ref="T56:W56"/>
    <mergeCell ref="D57:G57"/>
    <mergeCell ref="H59:K59"/>
    <mergeCell ref="D160:W160"/>
    <mergeCell ref="L59:O59"/>
    <mergeCell ref="P59:S59"/>
    <mergeCell ref="T59:W59"/>
    <mergeCell ref="D60:G60"/>
    <mergeCell ref="H60:K60"/>
    <mergeCell ref="L60:O60"/>
    <mergeCell ref="P60:S60"/>
    <mergeCell ref="T60:W60"/>
    <mergeCell ref="D61:G61"/>
    <mergeCell ref="H61:K61"/>
    <mergeCell ref="L61:O61"/>
    <mergeCell ref="C160:C161"/>
    <mergeCell ref="C137:C138"/>
    <mergeCell ref="L121:O121"/>
    <mergeCell ref="D118:G118"/>
    <mergeCell ref="H118:K118"/>
    <mergeCell ref="B264:C264"/>
    <mergeCell ref="D54:G54"/>
    <mergeCell ref="H54:K54"/>
    <mergeCell ref="L54:O54"/>
    <mergeCell ref="P54:S54"/>
    <mergeCell ref="T54:W54"/>
    <mergeCell ref="D55:G55"/>
    <mergeCell ref="H55:K55"/>
    <mergeCell ref="L55:O55"/>
    <mergeCell ref="P46:S46"/>
    <mergeCell ref="T46:W46"/>
    <mergeCell ref="D47:G47"/>
    <mergeCell ref="H47:K47"/>
    <mergeCell ref="L47:O47"/>
    <mergeCell ref="P47:S47"/>
    <mergeCell ref="T47:W47"/>
    <mergeCell ref="T48:W48"/>
    <mergeCell ref="D49:G49"/>
    <mergeCell ref="H49:K49"/>
    <mergeCell ref="L49:O49"/>
    <mergeCell ref="P49:S49"/>
    <mergeCell ref="T49:W49"/>
    <mergeCell ref="D46:G46"/>
    <mergeCell ref="H46:K46"/>
    <mergeCell ref="L46:O46"/>
    <mergeCell ref="D238:G238"/>
    <mergeCell ref="B262:C262"/>
    <mergeCell ref="P61:S61"/>
    <mergeCell ref="T61:W61"/>
    <mergeCell ref="D65:W65"/>
    <mergeCell ref="D80:G80"/>
    <mergeCell ref="D67:G67"/>
    <mergeCell ref="D81:G81"/>
    <mergeCell ref="D82:G82"/>
    <mergeCell ref="D83:G83"/>
    <mergeCell ref="H84:K84"/>
    <mergeCell ref="H87:K87"/>
    <mergeCell ref="D62:G62"/>
    <mergeCell ref="H62:K62"/>
    <mergeCell ref="L62:O62"/>
    <mergeCell ref="P62:S62"/>
    <mergeCell ref="T62:W62"/>
    <mergeCell ref="D63:G63"/>
    <mergeCell ref="H63:K63"/>
    <mergeCell ref="L63:O63"/>
    <mergeCell ref="P63:S63"/>
    <mergeCell ref="T63:W63"/>
    <mergeCell ref="D64:G64"/>
    <mergeCell ref="H64:K64"/>
    <mergeCell ref="L64:O64"/>
    <mergeCell ref="P64:S64"/>
    <mergeCell ref="T64:W64"/>
    <mergeCell ref="H67:K67"/>
    <mergeCell ref="D75:G75"/>
    <mergeCell ref="D76:G76"/>
    <mergeCell ref="D78:G78"/>
    <mergeCell ref="H78:K78"/>
    <mergeCell ref="D84:G84"/>
    <mergeCell ref="T100:W100"/>
    <mergeCell ref="D101:G101"/>
    <mergeCell ref="H101:K101"/>
    <mergeCell ref="L101:O101"/>
    <mergeCell ref="P101:S101"/>
    <mergeCell ref="T101:W101"/>
    <mergeCell ref="L87:O87"/>
    <mergeCell ref="T67:W67"/>
    <mergeCell ref="D103:G103"/>
    <mergeCell ref="H103:K103"/>
    <mergeCell ref="L103:O103"/>
    <mergeCell ref="P103:S103"/>
    <mergeCell ref="T103:W103"/>
    <mergeCell ref="D100:G100"/>
    <mergeCell ref="H100:K100"/>
    <mergeCell ref="L100:O100"/>
    <mergeCell ref="H93:K93"/>
    <mergeCell ref="P93:S93"/>
    <mergeCell ref="D94:G94"/>
    <mergeCell ref="D95:G95"/>
    <mergeCell ref="H95:K95"/>
    <mergeCell ref="L95:O95"/>
    <mergeCell ref="P95:S95"/>
    <mergeCell ref="T95:W95"/>
    <mergeCell ref="H97:K97"/>
    <mergeCell ref="T102:W102"/>
    <mergeCell ref="H94:K94"/>
    <mergeCell ref="H96:K96"/>
    <mergeCell ref="L94:O94"/>
    <mergeCell ref="D96:G96"/>
    <mergeCell ref="P99:S99"/>
    <mergeCell ref="L97:O97"/>
    <mergeCell ref="D104:G104"/>
    <mergeCell ref="H104:K104"/>
    <mergeCell ref="L104:O104"/>
    <mergeCell ref="P104:S104"/>
    <mergeCell ref="T104:W104"/>
    <mergeCell ref="D105:G105"/>
    <mergeCell ref="H105:K105"/>
    <mergeCell ref="L105:O105"/>
    <mergeCell ref="P105:S105"/>
    <mergeCell ref="T105:W105"/>
    <mergeCell ref="D106:G106"/>
    <mergeCell ref="H106:K106"/>
    <mergeCell ref="L106:O106"/>
    <mergeCell ref="P106:S106"/>
    <mergeCell ref="T106:W106"/>
    <mergeCell ref="D107:G107"/>
    <mergeCell ref="H107:K107"/>
    <mergeCell ref="L107:O107"/>
    <mergeCell ref="P107:S107"/>
    <mergeCell ref="T107:W107"/>
    <mergeCell ref="D108:G108"/>
    <mergeCell ref="H108:K108"/>
    <mergeCell ref="L108:O108"/>
    <mergeCell ref="P108:S108"/>
    <mergeCell ref="T108:W108"/>
    <mergeCell ref="D109:G109"/>
    <mergeCell ref="H109:K109"/>
    <mergeCell ref="L109:O109"/>
    <mergeCell ref="P109:S109"/>
    <mergeCell ref="T109:W109"/>
    <mergeCell ref="D110:G110"/>
    <mergeCell ref="H110:K110"/>
    <mergeCell ref="L110:O110"/>
    <mergeCell ref="P110:S110"/>
    <mergeCell ref="T110:W110"/>
    <mergeCell ref="D111:G111"/>
    <mergeCell ref="H111:K111"/>
    <mergeCell ref="L111:O111"/>
    <mergeCell ref="P111:S111"/>
    <mergeCell ref="T111:W111"/>
    <mergeCell ref="P112:S112"/>
    <mergeCell ref="T112:W112"/>
    <mergeCell ref="D113:G113"/>
    <mergeCell ref="H113:K113"/>
    <mergeCell ref="L113:O113"/>
    <mergeCell ref="P113:S113"/>
    <mergeCell ref="T113:W113"/>
    <mergeCell ref="H123:K123"/>
    <mergeCell ref="L123:O123"/>
    <mergeCell ref="P123:S123"/>
    <mergeCell ref="T123:W123"/>
    <mergeCell ref="D124:G124"/>
    <mergeCell ref="H124:K124"/>
    <mergeCell ref="L124:O124"/>
    <mergeCell ref="P124:S124"/>
    <mergeCell ref="T124:W124"/>
    <mergeCell ref="D116:G116"/>
    <mergeCell ref="T116:W116"/>
    <mergeCell ref="T117:W117"/>
    <mergeCell ref="P121:S121"/>
    <mergeCell ref="D122:G122"/>
    <mergeCell ref="H122:K122"/>
    <mergeCell ref="L122:O122"/>
    <mergeCell ref="D119:G119"/>
    <mergeCell ref="L125:O125"/>
    <mergeCell ref="P125:S125"/>
    <mergeCell ref="T125:W125"/>
    <mergeCell ref="D126:G126"/>
    <mergeCell ref="H126:K126"/>
    <mergeCell ref="L126:O126"/>
    <mergeCell ref="P126:S126"/>
    <mergeCell ref="T126:W126"/>
    <mergeCell ref="T127:W127"/>
    <mergeCell ref="D128:G128"/>
    <mergeCell ref="H128:K128"/>
    <mergeCell ref="L128:O128"/>
    <mergeCell ref="P128:S128"/>
    <mergeCell ref="T128:W128"/>
    <mergeCell ref="P116:S116"/>
    <mergeCell ref="P117:S117"/>
    <mergeCell ref="H117:K117"/>
    <mergeCell ref="H116:K116"/>
    <mergeCell ref="D127:G127"/>
    <mergeCell ref="H127:K127"/>
    <mergeCell ref="L127:O127"/>
    <mergeCell ref="P127:S127"/>
    <mergeCell ref="D125:G125"/>
    <mergeCell ref="H125:K125"/>
    <mergeCell ref="D129:G129"/>
    <mergeCell ref="H129:K129"/>
    <mergeCell ref="L129:O129"/>
    <mergeCell ref="P129:S129"/>
    <mergeCell ref="T129:W129"/>
    <mergeCell ref="D130:G130"/>
    <mergeCell ref="H130:K130"/>
    <mergeCell ref="L130:O130"/>
    <mergeCell ref="P130:S130"/>
    <mergeCell ref="T130:W130"/>
    <mergeCell ref="H131:K131"/>
    <mergeCell ref="L131:O131"/>
    <mergeCell ref="P131:S131"/>
    <mergeCell ref="T131:W131"/>
    <mergeCell ref="D132:G132"/>
    <mergeCell ref="H132:K132"/>
    <mergeCell ref="P132:S132"/>
    <mergeCell ref="T132:W132"/>
    <mergeCell ref="T199:W199"/>
    <mergeCell ref="D199:G199"/>
    <mergeCell ref="P133:S133"/>
    <mergeCell ref="T133:W133"/>
    <mergeCell ref="D134:G134"/>
    <mergeCell ref="H134:K134"/>
    <mergeCell ref="L134:O134"/>
    <mergeCell ref="P134:S134"/>
    <mergeCell ref="T134:W134"/>
    <mergeCell ref="P135:S135"/>
    <mergeCell ref="T135:W135"/>
    <mergeCell ref="D136:G136"/>
    <mergeCell ref="H136:K136"/>
    <mergeCell ref="L136:O136"/>
    <mergeCell ref="P136:S136"/>
    <mergeCell ref="T136:W136"/>
    <mergeCell ref="D135:G135"/>
    <mergeCell ref="H135:K135"/>
    <mergeCell ref="P143:S143"/>
    <mergeCell ref="T143:W143"/>
    <mergeCell ref="D144:G144"/>
    <mergeCell ref="H144:K144"/>
    <mergeCell ref="L144:O144"/>
    <mergeCell ref="P144:S144"/>
    <mergeCell ref="T144:W144"/>
    <mergeCell ref="D141:G141"/>
    <mergeCell ref="H141:K141"/>
    <mergeCell ref="L141:O141"/>
    <mergeCell ref="P141:S141"/>
    <mergeCell ref="T141:W141"/>
    <mergeCell ref="D142:G142"/>
    <mergeCell ref="H142:K142"/>
    <mergeCell ref="P201:S201"/>
    <mergeCell ref="P195:S195"/>
    <mergeCell ref="D196:G196"/>
    <mergeCell ref="L153:O153"/>
    <mergeCell ref="P153:S153"/>
    <mergeCell ref="T153:W153"/>
    <mergeCell ref="P148:S148"/>
    <mergeCell ref="T148:W148"/>
    <mergeCell ref="D149:G149"/>
    <mergeCell ref="H149:K149"/>
    <mergeCell ref="D210:G210"/>
    <mergeCell ref="H210:K210"/>
    <mergeCell ref="L210:O210"/>
    <mergeCell ref="P210:S210"/>
    <mergeCell ref="T210:W210"/>
    <mergeCell ref="P211:S211"/>
    <mergeCell ref="H211:K211"/>
    <mergeCell ref="L211:O211"/>
    <mergeCell ref="T211:W211"/>
    <mergeCell ref="D206:G206"/>
    <mergeCell ref="H206:K206"/>
    <mergeCell ref="L206:O206"/>
    <mergeCell ref="P206:S206"/>
    <mergeCell ref="T206:W206"/>
    <mergeCell ref="P154:S154"/>
    <mergeCell ref="T154:W154"/>
    <mergeCell ref="D155:G155"/>
    <mergeCell ref="H155:K155"/>
    <mergeCell ref="L155:O155"/>
    <mergeCell ref="P155:S155"/>
    <mergeCell ref="T155:W155"/>
    <mergeCell ref="D154:G154"/>
    <mergeCell ref="H212:K212"/>
    <mergeCell ref="L212:O212"/>
    <mergeCell ref="P212:S212"/>
    <mergeCell ref="T212:W212"/>
    <mergeCell ref="D211:G211"/>
    <mergeCell ref="D207:G207"/>
    <mergeCell ref="H207:K207"/>
    <mergeCell ref="L207:O207"/>
    <mergeCell ref="P207:S207"/>
    <mergeCell ref="T207:W207"/>
    <mergeCell ref="D209:G209"/>
    <mergeCell ref="H209:K209"/>
    <mergeCell ref="L209:O209"/>
    <mergeCell ref="P209:S209"/>
    <mergeCell ref="D205:G205"/>
    <mergeCell ref="H205:K205"/>
    <mergeCell ref="L205:O205"/>
    <mergeCell ref="D219:G219"/>
    <mergeCell ref="H219:K219"/>
    <mergeCell ref="L219:O219"/>
    <mergeCell ref="P219:S219"/>
    <mergeCell ref="T219:W219"/>
    <mergeCell ref="D220:G220"/>
    <mergeCell ref="H220:K220"/>
    <mergeCell ref="T220:W220"/>
    <mergeCell ref="D212:G212"/>
    <mergeCell ref="T224:W224"/>
    <mergeCell ref="H215:K215"/>
    <mergeCell ref="D218:G218"/>
    <mergeCell ref="H218:K218"/>
    <mergeCell ref="L218:O218"/>
    <mergeCell ref="P218:S218"/>
    <mergeCell ref="T218:W218"/>
    <mergeCell ref="H216:K216"/>
    <mergeCell ref="D217:G217"/>
    <mergeCell ref="P215:S215"/>
    <mergeCell ref="P221:S221"/>
    <mergeCell ref="T221:W221"/>
    <mergeCell ref="L221:O221"/>
    <mergeCell ref="H221:K221"/>
    <mergeCell ref="L222:O222"/>
    <mergeCell ref="P222:S222"/>
    <mergeCell ref="T222:W222"/>
    <mergeCell ref="D221:G221"/>
    <mergeCell ref="L217:O217"/>
    <mergeCell ref="P217:S217"/>
    <mergeCell ref="T217:W217"/>
    <mergeCell ref="H217:K217"/>
    <mergeCell ref="D214:W214"/>
    <mergeCell ref="H227:K227"/>
    <mergeCell ref="L227:O227"/>
    <mergeCell ref="P227:S227"/>
    <mergeCell ref="D223:G223"/>
    <mergeCell ref="H223:K223"/>
    <mergeCell ref="L223:O223"/>
    <mergeCell ref="P223:S223"/>
    <mergeCell ref="T223:W223"/>
    <mergeCell ref="D224:G224"/>
    <mergeCell ref="H224:K224"/>
    <mergeCell ref="L224:O224"/>
    <mergeCell ref="P224:S224"/>
    <mergeCell ref="D225:G225"/>
    <mergeCell ref="H225:K225"/>
    <mergeCell ref="L225:O225"/>
    <mergeCell ref="P225:S225"/>
    <mergeCell ref="T225:W225"/>
    <mergeCell ref="D230:G230"/>
    <mergeCell ref="H230:K230"/>
    <mergeCell ref="L230:O230"/>
    <mergeCell ref="P230:S230"/>
    <mergeCell ref="T230:W230"/>
    <mergeCell ref="P247:S247"/>
    <mergeCell ref="D229:G229"/>
    <mergeCell ref="H229:K229"/>
    <mergeCell ref="L229:O229"/>
    <mergeCell ref="P229:S229"/>
    <mergeCell ref="T229:W229"/>
    <mergeCell ref="D226:G226"/>
    <mergeCell ref="H226:K226"/>
    <mergeCell ref="L226:O226"/>
    <mergeCell ref="P226:S226"/>
    <mergeCell ref="T226:W226"/>
    <mergeCell ref="T227:W227"/>
    <mergeCell ref="D231:G231"/>
    <mergeCell ref="H231:K231"/>
    <mergeCell ref="L231:O231"/>
    <mergeCell ref="P231:S231"/>
    <mergeCell ref="L243:O243"/>
    <mergeCell ref="P243:S243"/>
    <mergeCell ref="D235:G235"/>
    <mergeCell ref="D232:G232"/>
    <mergeCell ref="H232:K232"/>
    <mergeCell ref="D228:G228"/>
    <mergeCell ref="H228:K228"/>
    <mergeCell ref="L228:O228"/>
    <mergeCell ref="P228:S228"/>
    <mergeCell ref="T228:W228"/>
    <mergeCell ref="D227:G227"/>
    <mergeCell ref="D234:G234"/>
    <mergeCell ref="H234:K234"/>
    <mergeCell ref="L234:O234"/>
    <mergeCell ref="P234:S234"/>
    <mergeCell ref="D260:W260"/>
    <mergeCell ref="D249:G249"/>
    <mergeCell ref="H249:K249"/>
    <mergeCell ref="T245:W245"/>
    <mergeCell ref="D242:G242"/>
    <mergeCell ref="D248:G248"/>
    <mergeCell ref="H248:K248"/>
    <mergeCell ref="L248:O248"/>
    <mergeCell ref="H261:K261"/>
    <mergeCell ref="L232:O232"/>
    <mergeCell ref="P232:S232"/>
    <mergeCell ref="T232:W232"/>
    <mergeCell ref="D233:G233"/>
    <mergeCell ref="H233:K233"/>
    <mergeCell ref="L233:O233"/>
    <mergeCell ref="P233:S233"/>
    <mergeCell ref="T233:W233"/>
    <mergeCell ref="D243:G243"/>
    <mergeCell ref="H243:K243"/>
    <mergeCell ref="H235:K235"/>
    <mergeCell ref="L235:O235"/>
    <mergeCell ref="P235:S235"/>
    <mergeCell ref="T235:W235"/>
    <mergeCell ref="D240:G240"/>
    <mergeCell ref="H240:K240"/>
    <mergeCell ref="L240:O240"/>
    <mergeCell ref="P240:S240"/>
    <mergeCell ref="T240:W240"/>
    <mergeCell ref="L242:O242"/>
    <mergeCell ref="P242:S242"/>
    <mergeCell ref="T242:W242"/>
    <mergeCell ref="P270:S270"/>
    <mergeCell ref="T270:W270"/>
    <mergeCell ref="T256:W256"/>
    <mergeCell ref="P257:S257"/>
    <mergeCell ref="P262:S262"/>
    <mergeCell ref="T261:X261"/>
    <mergeCell ref="T262:X262"/>
    <mergeCell ref="L252:O252"/>
    <mergeCell ref="L254:O254"/>
    <mergeCell ref="P254:S254"/>
    <mergeCell ref="P256:S256"/>
    <mergeCell ref="P269:S269"/>
    <mergeCell ref="T269:W269"/>
    <mergeCell ref="T254:W254"/>
    <mergeCell ref="L255:O255"/>
    <mergeCell ref="P255:S255"/>
    <mergeCell ref="T255:W255"/>
    <mergeCell ref="L258:O258"/>
    <mergeCell ref="P258:S258"/>
    <mergeCell ref="D263:X264"/>
    <mergeCell ref="D267:G267"/>
    <mergeCell ref="L268:O268"/>
    <mergeCell ref="T268:W268"/>
    <mergeCell ref="P245:S245"/>
    <mergeCell ref="H244:K244"/>
    <mergeCell ref="P252:S252"/>
    <mergeCell ref="T252:W252"/>
    <mergeCell ref="D253:G253"/>
    <mergeCell ref="H253:K253"/>
    <mergeCell ref="D247:G247"/>
    <mergeCell ref="L249:O249"/>
    <mergeCell ref="D252:G252"/>
    <mergeCell ref="H252:K252"/>
    <mergeCell ref="P277:S277"/>
    <mergeCell ref="T277:W277"/>
    <mergeCell ref="H276:K276"/>
    <mergeCell ref="D276:G276"/>
    <mergeCell ref="L275:O275"/>
    <mergeCell ref="P275:S275"/>
    <mergeCell ref="H270:K270"/>
    <mergeCell ref="L270:O270"/>
    <mergeCell ref="H258:K258"/>
    <mergeCell ref="T271:W271"/>
    <mergeCell ref="P271:S271"/>
    <mergeCell ref="D271:G271"/>
    <mergeCell ref="H271:K271"/>
    <mergeCell ref="L271:O271"/>
    <mergeCell ref="L272:O272"/>
    <mergeCell ref="P272:S272"/>
    <mergeCell ref="T272:W272"/>
    <mergeCell ref="L273:O273"/>
    <mergeCell ref="D262:G262"/>
    <mergeCell ref="H267:K267"/>
    <mergeCell ref="H268:K268"/>
    <mergeCell ref="D270:G270"/>
    <mergeCell ref="D256:G256"/>
    <mergeCell ref="H256:K256"/>
    <mergeCell ref="L256:O256"/>
    <mergeCell ref="P267:S267"/>
    <mergeCell ref="P268:S268"/>
    <mergeCell ref="P251:S251"/>
    <mergeCell ref="T251:W251"/>
    <mergeCell ref="P249:S249"/>
    <mergeCell ref="T249:W249"/>
    <mergeCell ref="P314:S314"/>
    <mergeCell ref="T291:W291"/>
    <mergeCell ref="H295:K295"/>
    <mergeCell ref="L295:O295"/>
    <mergeCell ref="D289:W289"/>
    <mergeCell ref="P290:S290"/>
    <mergeCell ref="P291:S291"/>
    <mergeCell ref="P313:S313"/>
    <mergeCell ref="H291:K291"/>
    <mergeCell ref="P294:S294"/>
    <mergeCell ref="T294:W294"/>
    <mergeCell ref="L304:O304"/>
    <mergeCell ref="H280:K280"/>
    <mergeCell ref="L280:O280"/>
    <mergeCell ref="P280:S280"/>
    <mergeCell ref="H307:K307"/>
    <mergeCell ref="L307:O307"/>
    <mergeCell ref="P307:S307"/>
    <mergeCell ref="T307:W307"/>
    <mergeCell ref="D300:G300"/>
    <mergeCell ref="H300:K300"/>
    <mergeCell ref="D308:G308"/>
    <mergeCell ref="L253:O253"/>
    <mergeCell ref="P253:S253"/>
    <mergeCell ref="T253:W253"/>
    <mergeCell ref="L314:O314"/>
    <mergeCell ref="T308:W308"/>
    <mergeCell ref="P308:S308"/>
    <mergeCell ref="L306:O306"/>
    <mergeCell ref="D395:G395"/>
    <mergeCell ref="D392:G392"/>
    <mergeCell ref="D390:G390"/>
    <mergeCell ref="H384:K384"/>
    <mergeCell ref="H385:K385"/>
    <mergeCell ref="D272:G272"/>
    <mergeCell ref="H273:K273"/>
    <mergeCell ref="D274:G274"/>
    <mergeCell ref="H274:K274"/>
    <mergeCell ref="D275:G275"/>
    <mergeCell ref="D273:G273"/>
    <mergeCell ref="L276:O276"/>
    <mergeCell ref="P273:S273"/>
    <mergeCell ref="T273:W273"/>
    <mergeCell ref="D241:G241"/>
    <mergeCell ref="H241:K241"/>
    <mergeCell ref="L241:O241"/>
    <mergeCell ref="P241:S241"/>
    <mergeCell ref="T241:W241"/>
    <mergeCell ref="D254:G254"/>
    <mergeCell ref="H254:K254"/>
    <mergeCell ref="H242:K242"/>
    <mergeCell ref="D250:G250"/>
    <mergeCell ref="H250:K250"/>
    <mergeCell ref="L250:O250"/>
    <mergeCell ref="P250:S250"/>
    <mergeCell ref="T250:W250"/>
    <mergeCell ref="D251:G251"/>
    <mergeCell ref="H251:K251"/>
    <mergeCell ref="L251:O251"/>
    <mergeCell ref="T280:W280"/>
    <mergeCell ref="L274:O274"/>
    <mergeCell ref="P306:S306"/>
    <mergeCell ref="P303:S303"/>
    <mergeCell ref="T303:W303"/>
    <mergeCell ref="L336:O336"/>
    <mergeCell ref="P337:S337"/>
    <mergeCell ref="T336:X336"/>
    <mergeCell ref="D336:G336"/>
    <mergeCell ref="H337:K337"/>
    <mergeCell ref="H336:K336"/>
    <mergeCell ref="T293:W293"/>
    <mergeCell ref="D321:G321"/>
    <mergeCell ref="H321:K321"/>
    <mergeCell ref="P366:S366"/>
    <mergeCell ref="D307:G307"/>
    <mergeCell ref="X268:X333"/>
    <mergeCell ref="P274:S274"/>
    <mergeCell ref="H320:K320"/>
    <mergeCell ref="X343:X434"/>
    <mergeCell ref="D428:G428"/>
    <mergeCell ref="T415:W415"/>
    <mergeCell ref="T402:U402"/>
    <mergeCell ref="L418:O418"/>
    <mergeCell ref="H421:K421"/>
    <mergeCell ref="D420:G420"/>
    <mergeCell ref="D424:G424"/>
    <mergeCell ref="T421:W421"/>
    <mergeCell ref="H427:K427"/>
    <mergeCell ref="T426:W426"/>
    <mergeCell ref="P427:S427"/>
    <mergeCell ref="D325:G325"/>
    <mergeCell ref="H325:K325"/>
    <mergeCell ref="L325:O325"/>
    <mergeCell ref="T470:W470"/>
    <mergeCell ref="H469:K469"/>
    <mergeCell ref="L469:O469"/>
    <mergeCell ref="P451:S451"/>
    <mergeCell ref="T451:W451"/>
    <mergeCell ref="D457:G457"/>
    <mergeCell ref="H457:K457"/>
    <mergeCell ref="L457:O457"/>
    <mergeCell ref="P457:S457"/>
    <mergeCell ref="T457:W457"/>
    <mergeCell ref="D454:G454"/>
    <mergeCell ref="H454:K454"/>
    <mergeCell ref="L454:O454"/>
    <mergeCell ref="P454:S454"/>
    <mergeCell ref="T454:W454"/>
    <mergeCell ref="D337:G337"/>
    <mergeCell ref="T290:W290"/>
    <mergeCell ref="L303:O303"/>
    <mergeCell ref="H366:K366"/>
    <mergeCell ref="L342:O342"/>
    <mergeCell ref="D313:G313"/>
    <mergeCell ref="D314:G314"/>
    <mergeCell ref="D294:G294"/>
    <mergeCell ref="H290:K290"/>
    <mergeCell ref="D342:G342"/>
    <mergeCell ref="D296:G296"/>
    <mergeCell ref="D311:W311"/>
    <mergeCell ref="D290:G290"/>
    <mergeCell ref="T331:W331"/>
    <mergeCell ref="P302:S302"/>
    <mergeCell ref="T302:W302"/>
    <mergeCell ref="T306:W306"/>
    <mergeCell ref="D467:G467"/>
    <mergeCell ref="L466:O466"/>
    <mergeCell ref="T466:W466"/>
    <mergeCell ref="L467:O467"/>
    <mergeCell ref="T461:W461"/>
    <mergeCell ref="P447:S447"/>
    <mergeCell ref="T447:W447"/>
    <mergeCell ref="T445:W445"/>
    <mergeCell ref="D446:G446"/>
    <mergeCell ref="H446:K446"/>
    <mergeCell ref="L446:O446"/>
    <mergeCell ref="P446:S446"/>
    <mergeCell ref="T446:W446"/>
    <mergeCell ref="T448:W448"/>
    <mergeCell ref="D445:G445"/>
    <mergeCell ref="H445:K445"/>
    <mergeCell ref="L445:O445"/>
    <mergeCell ref="P445:S445"/>
    <mergeCell ref="D466:G466"/>
    <mergeCell ref="D455:G455"/>
    <mergeCell ref="H455:K455"/>
    <mergeCell ref="L455:O455"/>
    <mergeCell ref="P455:S455"/>
    <mergeCell ref="T455:W455"/>
    <mergeCell ref="H453:K453"/>
    <mergeCell ref="L453:O453"/>
    <mergeCell ref="P453:S453"/>
    <mergeCell ref="T458:W458"/>
    <mergeCell ref="H461:K461"/>
    <mergeCell ref="L461:O461"/>
    <mergeCell ref="D474:G474"/>
    <mergeCell ref="H474:K474"/>
    <mergeCell ref="L474:O474"/>
    <mergeCell ref="P474:S474"/>
    <mergeCell ref="T474:W474"/>
    <mergeCell ref="D472:G472"/>
    <mergeCell ref="L472:O472"/>
    <mergeCell ref="T472:W472"/>
    <mergeCell ref="T462:W462"/>
    <mergeCell ref="D459:G459"/>
    <mergeCell ref="H459:K459"/>
    <mergeCell ref="L459:O459"/>
    <mergeCell ref="P459:S459"/>
    <mergeCell ref="T459:W459"/>
    <mergeCell ref="D456:G456"/>
    <mergeCell ref="H456:K456"/>
    <mergeCell ref="L456:O456"/>
    <mergeCell ref="P456:S456"/>
    <mergeCell ref="T456:W456"/>
    <mergeCell ref="D462:G462"/>
    <mergeCell ref="H462:K462"/>
    <mergeCell ref="T467:W467"/>
    <mergeCell ref="D468:G468"/>
    <mergeCell ref="H468:K468"/>
    <mergeCell ref="L468:O468"/>
    <mergeCell ref="P468:S468"/>
    <mergeCell ref="T468:W468"/>
    <mergeCell ref="D463:G463"/>
    <mergeCell ref="H463:K463"/>
    <mergeCell ref="L463:O463"/>
    <mergeCell ref="T463:W463"/>
    <mergeCell ref="D461:G461"/>
    <mergeCell ref="T483:W483"/>
    <mergeCell ref="D482:G482"/>
    <mergeCell ref="H482:K482"/>
    <mergeCell ref="L482:O482"/>
    <mergeCell ref="P482:S482"/>
    <mergeCell ref="T482:W482"/>
    <mergeCell ref="D477:G477"/>
    <mergeCell ref="H477:K477"/>
    <mergeCell ref="T477:W477"/>
    <mergeCell ref="D479:G479"/>
    <mergeCell ref="L485:O485"/>
    <mergeCell ref="P485:S485"/>
    <mergeCell ref="T485:W485"/>
    <mergeCell ref="L462:O462"/>
    <mergeCell ref="P462:S462"/>
    <mergeCell ref="P467:S467"/>
    <mergeCell ref="H471:K471"/>
    <mergeCell ref="L471:O471"/>
    <mergeCell ref="P471:S471"/>
    <mergeCell ref="D478:G478"/>
    <mergeCell ref="H478:K478"/>
    <mergeCell ref="L478:O478"/>
    <mergeCell ref="P478:S478"/>
    <mergeCell ref="T478:W478"/>
    <mergeCell ref="D476:G476"/>
    <mergeCell ref="H476:K476"/>
    <mergeCell ref="L476:O476"/>
    <mergeCell ref="P476:S476"/>
    <mergeCell ref="T476:W476"/>
    <mergeCell ref="D481:G481"/>
    <mergeCell ref="H481:K481"/>
    <mergeCell ref="L481:O481"/>
    <mergeCell ref="P486:S486"/>
    <mergeCell ref="T486:W486"/>
    <mergeCell ref="T493:W493"/>
    <mergeCell ref="L489:O489"/>
    <mergeCell ref="P490:S490"/>
    <mergeCell ref="D496:G496"/>
    <mergeCell ref="H496:K496"/>
    <mergeCell ref="L496:O496"/>
    <mergeCell ref="P496:S496"/>
    <mergeCell ref="T496:W496"/>
    <mergeCell ref="D486:G486"/>
    <mergeCell ref="D494:G494"/>
    <mergeCell ref="H494:K494"/>
    <mergeCell ref="L494:O494"/>
    <mergeCell ref="T494:W494"/>
    <mergeCell ref="T489:W489"/>
    <mergeCell ref="L493:O493"/>
    <mergeCell ref="H503:K503"/>
    <mergeCell ref="L503:O503"/>
    <mergeCell ref="P503:S503"/>
    <mergeCell ref="T503:W503"/>
    <mergeCell ref="P513:S513"/>
    <mergeCell ref="H512:K512"/>
    <mergeCell ref="D513:G513"/>
    <mergeCell ref="T495:W495"/>
    <mergeCell ref="T497:W497"/>
    <mergeCell ref="D501:G501"/>
    <mergeCell ref="H501:K501"/>
    <mergeCell ref="L501:O501"/>
    <mergeCell ref="P501:S501"/>
    <mergeCell ref="T501:W501"/>
    <mergeCell ref="D500:G500"/>
    <mergeCell ref="H500:K500"/>
    <mergeCell ref="P500:S500"/>
    <mergeCell ref="H498:K498"/>
    <mergeCell ref="L498:O498"/>
    <mergeCell ref="P498:S498"/>
    <mergeCell ref="T498:W498"/>
    <mergeCell ref="D495:G495"/>
    <mergeCell ref="T521:W521"/>
    <mergeCell ref="D520:G520"/>
    <mergeCell ref="H520:K520"/>
    <mergeCell ref="L520:O520"/>
    <mergeCell ref="P520:S520"/>
    <mergeCell ref="T520:W520"/>
    <mergeCell ref="T508:W508"/>
    <mergeCell ref="H514:K514"/>
    <mergeCell ref="L514:O514"/>
    <mergeCell ref="P514:S514"/>
    <mergeCell ref="T514:W514"/>
    <mergeCell ref="T509:W509"/>
    <mergeCell ref="D514:G514"/>
    <mergeCell ref="D518:G518"/>
    <mergeCell ref="H518:K518"/>
    <mergeCell ref="L518:O518"/>
    <mergeCell ref="P518:S518"/>
    <mergeCell ref="T518:W518"/>
    <mergeCell ref="D515:G515"/>
    <mergeCell ref="L515:O515"/>
    <mergeCell ref="T516:W516"/>
    <mergeCell ref="D517:G517"/>
    <mergeCell ref="H517:K517"/>
    <mergeCell ref="L517:O517"/>
    <mergeCell ref="P517:S517"/>
    <mergeCell ref="T517:W517"/>
    <mergeCell ref="L512:O512"/>
    <mergeCell ref="P515:S515"/>
    <mergeCell ref="T515:W515"/>
    <mergeCell ref="D509:G509"/>
    <mergeCell ref="L509:O509"/>
    <mergeCell ref="P509:S509"/>
    <mergeCell ref="T523:W523"/>
    <mergeCell ref="D525:G525"/>
    <mergeCell ref="H525:K525"/>
    <mergeCell ref="L525:O525"/>
    <mergeCell ref="P525:S525"/>
    <mergeCell ref="T525:W525"/>
    <mergeCell ref="D524:G524"/>
    <mergeCell ref="H524:K524"/>
    <mergeCell ref="L524:O524"/>
    <mergeCell ref="P524:S524"/>
    <mergeCell ref="T524:W524"/>
    <mergeCell ref="F538:G538"/>
    <mergeCell ref="D530:G530"/>
    <mergeCell ref="H530:K530"/>
    <mergeCell ref="L530:O530"/>
    <mergeCell ref="P530:S530"/>
    <mergeCell ref="T530:W530"/>
    <mergeCell ref="T527:W527"/>
    <mergeCell ref="H528:K528"/>
    <mergeCell ref="T528:W528"/>
    <mergeCell ref="D529:G529"/>
    <mergeCell ref="H529:K529"/>
    <mergeCell ref="T529:W529"/>
    <mergeCell ref="D528:G528"/>
    <mergeCell ref="H538:I538"/>
    <mergeCell ref="J538:K538"/>
    <mergeCell ref="D538:E538"/>
    <mergeCell ref="P535:S535"/>
    <mergeCell ref="P528:S528"/>
    <mergeCell ref="D523:G523"/>
    <mergeCell ref="P523:S523"/>
    <mergeCell ref="D526:G526"/>
    <mergeCell ref="V548:W548"/>
    <mergeCell ref="L549:M549"/>
    <mergeCell ref="N543:O543"/>
    <mergeCell ref="P543:Q543"/>
    <mergeCell ref="R543:S543"/>
    <mergeCell ref="T543:U543"/>
    <mergeCell ref="V543:W543"/>
    <mergeCell ref="D532:G532"/>
    <mergeCell ref="H532:K532"/>
    <mergeCell ref="L532:O532"/>
    <mergeCell ref="P532:S532"/>
    <mergeCell ref="T532:W532"/>
    <mergeCell ref="D534:W534"/>
    <mergeCell ref="V540:W540"/>
    <mergeCell ref="J541:K541"/>
    <mergeCell ref="L541:M541"/>
    <mergeCell ref="T535:W535"/>
    <mergeCell ref="N549:O549"/>
    <mergeCell ref="P549:Q549"/>
    <mergeCell ref="R549:S549"/>
    <mergeCell ref="T549:U549"/>
    <mergeCell ref="V549:W549"/>
    <mergeCell ref="R544:S544"/>
    <mergeCell ref="D541:E541"/>
    <mergeCell ref="F541:G541"/>
    <mergeCell ref="T539:U539"/>
    <mergeCell ref="H541:I541"/>
    <mergeCell ref="H542:I542"/>
    <mergeCell ref="J542:K542"/>
    <mergeCell ref="V545:W545"/>
    <mergeCell ref="L544:M544"/>
    <mergeCell ref="D540:E540"/>
    <mergeCell ref="D598:G598"/>
    <mergeCell ref="H595:K595"/>
    <mergeCell ref="D612:G612"/>
    <mergeCell ref="H612:K612"/>
    <mergeCell ref="L612:O612"/>
    <mergeCell ref="D611:G611"/>
    <mergeCell ref="H611:K611"/>
    <mergeCell ref="D606:G606"/>
    <mergeCell ref="H606:K606"/>
    <mergeCell ref="L606:O606"/>
    <mergeCell ref="D605:G605"/>
    <mergeCell ref="H605:K605"/>
    <mergeCell ref="L605:O605"/>
    <mergeCell ref="D607:G607"/>
    <mergeCell ref="H607:K607"/>
    <mergeCell ref="L607:O607"/>
    <mergeCell ref="D610:G610"/>
    <mergeCell ref="H610:K610"/>
    <mergeCell ref="L610:O610"/>
    <mergeCell ref="D609:G609"/>
    <mergeCell ref="H609:K609"/>
    <mergeCell ref="L609:O609"/>
    <mergeCell ref="H608:K608"/>
    <mergeCell ref="L608:O608"/>
    <mergeCell ref="L611:O611"/>
    <mergeCell ref="D608:G608"/>
    <mergeCell ref="L597:O597"/>
    <mergeCell ref="H598:K598"/>
    <mergeCell ref="L595:O595"/>
    <mergeCell ref="L598:O598"/>
    <mergeCell ref="L594:O594"/>
    <mergeCell ref="P594:S594"/>
    <mergeCell ref="D568:G568"/>
    <mergeCell ref="H568:K568"/>
    <mergeCell ref="L568:O568"/>
    <mergeCell ref="P568:S568"/>
    <mergeCell ref="L528:O528"/>
    <mergeCell ref="L531:O531"/>
    <mergeCell ref="D531:G531"/>
    <mergeCell ref="L582:O582"/>
    <mergeCell ref="D547:G547"/>
    <mergeCell ref="D548:G548"/>
    <mergeCell ref="D549:G549"/>
    <mergeCell ref="N544:O544"/>
    <mergeCell ref="P544:Q544"/>
    <mergeCell ref="R547:S547"/>
    <mergeCell ref="H531:K531"/>
    <mergeCell ref="L529:O529"/>
    <mergeCell ref="H539:I539"/>
    <mergeCell ref="J539:K539"/>
    <mergeCell ref="L539:M539"/>
    <mergeCell ref="N539:O539"/>
    <mergeCell ref="R542:S542"/>
    <mergeCell ref="H548:K548"/>
    <mergeCell ref="H549:K549"/>
    <mergeCell ref="R553:S553"/>
    <mergeCell ref="D556:G556"/>
    <mergeCell ref="H556:K556"/>
    <mergeCell ref="D581:G581"/>
    <mergeCell ref="H581:K581"/>
    <mergeCell ref="L581:O581"/>
    <mergeCell ref="H554:K554"/>
    <mergeCell ref="H523:K523"/>
    <mergeCell ref="L523:O523"/>
    <mergeCell ref="P597:S597"/>
    <mergeCell ref="D587:G587"/>
    <mergeCell ref="H587:K587"/>
    <mergeCell ref="L587:O587"/>
    <mergeCell ref="D586:G586"/>
    <mergeCell ref="H586:K586"/>
    <mergeCell ref="L586:O586"/>
    <mergeCell ref="D583:G583"/>
    <mergeCell ref="H583:K583"/>
    <mergeCell ref="L583:O583"/>
    <mergeCell ref="L584:O584"/>
    <mergeCell ref="D585:G585"/>
    <mergeCell ref="H585:K585"/>
    <mergeCell ref="L585:O585"/>
    <mergeCell ref="D584:G584"/>
    <mergeCell ref="H584:K584"/>
    <mergeCell ref="D597:G597"/>
    <mergeCell ref="H597:K597"/>
    <mergeCell ref="D582:G582"/>
    <mergeCell ref="H582:K582"/>
    <mergeCell ref="P595:S595"/>
    <mergeCell ref="D596:G596"/>
    <mergeCell ref="H596:K596"/>
    <mergeCell ref="L596:O596"/>
    <mergeCell ref="P596:S596"/>
    <mergeCell ref="L589:O589"/>
    <mergeCell ref="D594:G594"/>
    <mergeCell ref="H594:K594"/>
    <mergeCell ref="N553:O553"/>
    <mergeCell ref="P553:Q553"/>
    <mergeCell ref="T553:U553"/>
    <mergeCell ref="D333:G333"/>
    <mergeCell ref="H333:K333"/>
    <mergeCell ref="D579:G579"/>
    <mergeCell ref="H579:K579"/>
    <mergeCell ref="L579:O579"/>
    <mergeCell ref="D567:G567"/>
    <mergeCell ref="H567:K567"/>
    <mergeCell ref="L567:O567"/>
    <mergeCell ref="P567:S567"/>
    <mergeCell ref="L578:O578"/>
    <mergeCell ref="D578:G578"/>
    <mergeCell ref="P570:S570"/>
    <mergeCell ref="D571:G571"/>
    <mergeCell ref="H571:K571"/>
    <mergeCell ref="L571:O571"/>
    <mergeCell ref="P571:S571"/>
    <mergeCell ref="D574:G574"/>
    <mergeCell ref="H574:K574"/>
    <mergeCell ref="P572:S572"/>
    <mergeCell ref="L569:O569"/>
    <mergeCell ref="H486:K486"/>
    <mergeCell ref="L486:O486"/>
    <mergeCell ref="D483:G483"/>
    <mergeCell ref="H483:K483"/>
    <mergeCell ref="L483:O483"/>
    <mergeCell ref="P483:S483"/>
    <mergeCell ref="P481:S481"/>
    <mergeCell ref="P463:S463"/>
    <mergeCell ref="T551:U551"/>
    <mergeCell ref="N552:O552"/>
    <mergeCell ref="T550:U550"/>
    <mergeCell ref="L283:O283"/>
    <mergeCell ref="P283:S283"/>
    <mergeCell ref="T283:W283"/>
    <mergeCell ref="D298:G298"/>
    <mergeCell ref="H298:K298"/>
    <mergeCell ref="L298:O298"/>
    <mergeCell ref="D282:G282"/>
    <mergeCell ref="T275:W275"/>
    <mergeCell ref="P297:S297"/>
    <mergeCell ref="T297:W297"/>
    <mergeCell ref="H287:K287"/>
    <mergeCell ref="D295:G295"/>
    <mergeCell ref="D293:G293"/>
    <mergeCell ref="H293:K293"/>
    <mergeCell ref="T274:W274"/>
    <mergeCell ref="T284:W284"/>
    <mergeCell ref="H281:K281"/>
    <mergeCell ref="L281:O281"/>
    <mergeCell ref="L285:O285"/>
    <mergeCell ref="P285:S285"/>
    <mergeCell ref="L277:O277"/>
    <mergeCell ref="P287:S287"/>
    <mergeCell ref="P323:S323"/>
    <mergeCell ref="T323:W323"/>
    <mergeCell ref="D322:G322"/>
    <mergeCell ref="T547:U547"/>
    <mergeCell ref="V547:W547"/>
    <mergeCell ref="R548:S548"/>
    <mergeCell ref="L548:M548"/>
    <mergeCell ref="D595:G595"/>
    <mergeCell ref="L333:O333"/>
    <mergeCell ref="P333:S333"/>
    <mergeCell ref="T333:W333"/>
    <mergeCell ref="T295:W295"/>
    <mergeCell ref="P318:S318"/>
    <mergeCell ref="T318:W318"/>
    <mergeCell ref="P304:S304"/>
    <mergeCell ref="T304:W304"/>
    <mergeCell ref="P316:S316"/>
    <mergeCell ref="T316:W316"/>
    <mergeCell ref="D317:G317"/>
    <mergeCell ref="P317:S317"/>
    <mergeCell ref="T317:W317"/>
    <mergeCell ref="H314:K314"/>
    <mergeCell ref="H308:K308"/>
    <mergeCell ref="L308:O308"/>
    <mergeCell ref="H306:K306"/>
    <mergeCell ref="D312:W312"/>
    <mergeCell ref="D315:G315"/>
    <mergeCell ref="L299:O299"/>
    <mergeCell ref="P569:S569"/>
    <mergeCell ref="L547:M547"/>
    <mergeCell ref="N547:O547"/>
    <mergeCell ref="P547:Q547"/>
    <mergeCell ref="P319:S319"/>
    <mergeCell ref="T319:W319"/>
    <mergeCell ref="D299:G299"/>
    <mergeCell ref="V552:W552"/>
    <mergeCell ref="L553:M553"/>
    <mergeCell ref="H151:K151"/>
    <mergeCell ref="L151:O151"/>
    <mergeCell ref="H299:K299"/>
    <mergeCell ref="L305:O305"/>
    <mergeCell ref="P305:S305"/>
    <mergeCell ref="D280:G280"/>
    <mergeCell ref="P301:S301"/>
    <mergeCell ref="T301:W301"/>
    <mergeCell ref="D302:G302"/>
    <mergeCell ref="H302:K302"/>
    <mergeCell ref="L282:O282"/>
    <mergeCell ref="P282:S282"/>
    <mergeCell ref="D284:G284"/>
    <mergeCell ref="H284:K284"/>
    <mergeCell ref="L284:O284"/>
    <mergeCell ref="P284:S284"/>
    <mergeCell ref="H285:K285"/>
    <mergeCell ref="D297:G297"/>
    <mergeCell ref="H297:K297"/>
    <mergeCell ref="P299:S299"/>
    <mergeCell ref="T299:W299"/>
    <mergeCell ref="P296:S296"/>
    <mergeCell ref="T296:W296"/>
    <mergeCell ref="D286:G286"/>
    <mergeCell ref="L321:O321"/>
    <mergeCell ref="P321:S321"/>
    <mergeCell ref="T321:W321"/>
    <mergeCell ref="L142:O142"/>
    <mergeCell ref="P142:S142"/>
    <mergeCell ref="T142:W142"/>
    <mergeCell ref="D150:G150"/>
    <mergeCell ref="H150:K150"/>
    <mergeCell ref="T145:W145"/>
    <mergeCell ref="P152:S152"/>
    <mergeCell ref="T152:W152"/>
    <mergeCell ref="D153:G153"/>
    <mergeCell ref="H153:K153"/>
    <mergeCell ref="T287:W287"/>
    <mergeCell ref="P292:S292"/>
    <mergeCell ref="T292:W292"/>
    <mergeCell ref="D257:G257"/>
    <mergeCell ref="L149:O149"/>
    <mergeCell ref="P149:S149"/>
    <mergeCell ref="T149:W149"/>
    <mergeCell ref="H145:K145"/>
    <mergeCell ref="L145:O145"/>
    <mergeCell ref="P150:S150"/>
    <mergeCell ref="T150:W150"/>
    <mergeCell ref="D151:G151"/>
    <mergeCell ref="P151:S151"/>
    <mergeCell ref="T151:W151"/>
    <mergeCell ref="D148:G148"/>
    <mergeCell ref="P146:S146"/>
    <mergeCell ref="T146:W146"/>
    <mergeCell ref="D147:G147"/>
    <mergeCell ref="H147:K147"/>
    <mergeCell ref="L147:O147"/>
    <mergeCell ref="P147:S147"/>
    <mergeCell ref="T147:W147"/>
    <mergeCell ref="H154:K154"/>
    <mergeCell ref="L154:O154"/>
    <mergeCell ref="L156:O156"/>
    <mergeCell ref="P156:S156"/>
    <mergeCell ref="T156:W156"/>
    <mergeCell ref="D157:G157"/>
    <mergeCell ref="P157:S157"/>
    <mergeCell ref="L287:O287"/>
    <mergeCell ref="H279:K279"/>
    <mergeCell ref="L279:O279"/>
    <mergeCell ref="P279:S279"/>
    <mergeCell ref="T279:W279"/>
    <mergeCell ref="D170:G170"/>
    <mergeCell ref="D171:G171"/>
    <mergeCell ref="L257:O257"/>
    <mergeCell ref="H278:K278"/>
    <mergeCell ref="L278:O278"/>
    <mergeCell ref="H286:K286"/>
    <mergeCell ref="L286:O286"/>
    <mergeCell ref="P286:S286"/>
    <mergeCell ref="D278:G278"/>
    <mergeCell ref="H257:K257"/>
    <mergeCell ref="D258:G258"/>
    <mergeCell ref="T257:W257"/>
    <mergeCell ref="T258:W258"/>
    <mergeCell ref="D156:G156"/>
    <mergeCell ref="P281:S281"/>
    <mergeCell ref="T281:W281"/>
    <mergeCell ref="D285:G285"/>
    <mergeCell ref="D159:G159"/>
    <mergeCell ref="P159:S159"/>
    <mergeCell ref="D178:G178"/>
    <mergeCell ref="P327:S327"/>
    <mergeCell ref="T327:W327"/>
    <mergeCell ref="T326:W326"/>
    <mergeCell ref="H326:K326"/>
    <mergeCell ref="L326:O326"/>
    <mergeCell ref="T328:W328"/>
    <mergeCell ref="P326:S326"/>
    <mergeCell ref="D332:G332"/>
    <mergeCell ref="H332:K332"/>
    <mergeCell ref="L332:O332"/>
    <mergeCell ref="P332:S332"/>
    <mergeCell ref="T157:W157"/>
    <mergeCell ref="P330:S330"/>
    <mergeCell ref="T330:W330"/>
    <mergeCell ref="P158:S158"/>
    <mergeCell ref="T158:W158"/>
    <mergeCell ref="L329:O329"/>
    <mergeCell ref="T329:W329"/>
    <mergeCell ref="D330:G330"/>
    <mergeCell ref="H330:K330"/>
    <mergeCell ref="L330:O330"/>
    <mergeCell ref="H313:K313"/>
    <mergeCell ref="P310:S310"/>
    <mergeCell ref="D309:G309"/>
    <mergeCell ref="H315:K315"/>
    <mergeCell ref="L315:O315"/>
    <mergeCell ref="P315:S315"/>
    <mergeCell ref="T315:W315"/>
    <mergeCell ref="D292:G292"/>
    <mergeCell ref="D320:G320"/>
    <mergeCell ref="P322:S322"/>
    <mergeCell ref="T322:W322"/>
    <mergeCell ref="H182:K182"/>
    <mergeCell ref="L182:O182"/>
    <mergeCell ref="L300:O300"/>
    <mergeCell ref="P300:S300"/>
    <mergeCell ref="T300:W300"/>
    <mergeCell ref="L297:O297"/>
    <mergeCell ref="T286:W286"/>
    <mergeCell ref="P276:S276"/>
    <mergeCell ref="T276:W276"/>
    <mergeCell ref="D277:G277"/>
    <mergeCell ref="H277:K277"/>
    <mergeCell ref="H282:K282"/>
    <mergeCell ref="T305:W305"/>
    <mergeCell ref="D306:G306"/>
    <mergeCell ref="H301:K301"/>
    <mergeCell ref="D287:G287"/>
    <mergeCell ref="P298:S298"/>
    <mergeCell ref="T298:W298"/>
    <mergeCell ref="P278:S278"/>
    <mergeCell ref="D255:G255"/>
    <mergeCell ref="H255:K255"/>
    <mergeCell ref="T278:W278"/>
    <mergeCell ref="D279:G279"/>
    <mergeCell ref="H275:K275"/>
    <mergeCell ref="L301:O301"/>
    <mergeCell ref="H292:K292"/>
    <mergeCell ref="L292:O292"/>
    <mergeCell ref="P295:S295"/>
    <mergeCell ref="T285:W285"/>
    <mergeCell ref="T282:W282"/>
    <mergeCell ref="D283:G283"/>
    <mergeCell ref="H283:K283"/>
    <mergeCell ref="T159:W159"/>
    <mergeCell ref="D304:G304"/>
    <mergeCell ref="H304:K304"/>
    <mergeCell ref="H173:K173"/>
    <mergeCell ref="P320:S320"/>
    <mergeCell ref="T320:W320"/>
    <mergeCell ref="D545:G545"/>
    <mergeCell ref="H545:K545"/>
    <mergeCell ref="D546:G546"/>
    <mergeCell ref="H546:K546"/>
    <mergeCell ref="D544:G544"/>
    <mergeCell ref="H544:I544"/>
    <mergeCell ref="J544:K544"/>
    <mergeCell ref="V546:W546"/>
    <mergeCell ref="T546:U546"/>
    <mergeCell ref="T540:U540"/>
    <mergeCell ref="T324:W324"/>
    <mergeCell ref="H328:K328"/>
    <mergeCell ref="L542:M542"/>
    <mergeCell ref="N542:O542"/>
    <mergeCell ref="D542:G542"/>
    <mergeCell ref="D543:G543"/>
    <mergeCell ref="J543:K543"/>
    <mergeCell ref="H352:K352"/>
    <mergeCell ref="T332:W332"/>
    <mergeCell ref="D329:G329"/>
    <mergeCell ref="H353:K353"/>
    <mergeCell ref="P325:S325"/>
    <mergeCell ref="T325:W325"/>
    <mergeCell ref="H359:K359"/>
    <mergeCell ref="H309:K309"/>
    <mergeCell ref="L309:O309"/>
    <mergeCell ref="T309:W309"/>
    <mergeCell ref="L302:O302"/>
    <mergeCell ref="D365:W365"/>
    <mergeCell ref="H377:K377"/>
    <mergeCell ref="D373:G373"/>
    <mergeCell ref="D374:G374"/>
    <mergeCell ref="D375:G375"/>
    <mergeCell ref="D555:G555"/>
    <mergeCell ref="R552:S552"/>
    <mergeCell ref="P551:Q551"/>
    <mergeCell ref="D169:G169"/>
    <mergeCell ref="D172:G172"/>
    <mergeCell ref="H172:K172"/>
    <mergeCell ref="D174:G174"/>
    <mergeCell ref="D175:G175"/>
    <mergeCell ref="D176:G176"/>
    <mergeCell ref="D177:G177"/>
    <mergeCell ref="H329:K329"/>
    <mergeCell ref="D331:G331"/>
    <mergeCell ref="H331:K331"/>
    <mergeCell ref="L331:O331"/>
    <mergeCell ref="P331:S331"/>
    <mergeCell ref="L328:O328"/>
    <mergeCell ref="P328:S328"/>
    <mergeCell ref="P329:S329"/>
    <mergeCell ref="D319:G319"/>
    <mergeCell ref="P546:Q546"/>
    <mergeCell ref="R546:S546"/>
    <mergeCell ref="J540:K540"/>
    <mergeCell ref="L540:M540"/>
    <mergeCell ref="N540:O540"/>
    <mergeCell ref="H179:K179"/>
    <mergeCell ref="D182:G182"/>
    <mergeCell ref="D173:G173"/>
    <mergeCell ref="L556:O556"/>
    <mergeCell ref="L551:M551"/>
    <mergeCell ref="L554:M554"/>
    <mergeCell ref="N554:O554"/>
    <mergeCell ref="D554:G554"/>
    <mergeCell ref="L555:O555"/>
    <mergeCell ref="N551:O551"/>
    <mergeCell ref="L552:M552"/>
    <mergeCell ref="V550:W550"/>
    <mergeCell ref="D551:G551"/>
    <mergeCell ref="V551:W551"/>
    <mergeCell ref="L550:M550"/>
    <mergeCell ref="N550:O550"/>
    <mergeCell ref="P550:Q550"/>
    <mergeCell ref="R550:S550"/>
    <mergeCell ref="H550:K550"/>
    <mergeCell ref="P554:Q554"/>
    <mergeCell ref="R554:S554"/>
    <mergeCell ref="T554:U554"/>
    <mergeCell ref="V554:W554"/>
    <mergeCell ref="T555:U555"/>
    <mergeCell ref="V555:W555"/>
    <mergeCell ref="V553:W553"/>
    <mergeCell ref="P552:Q552"/>
    <mergeCell ref="H362:K362"/>
    <mergeCell ref="L362:O362"/>
    <mergeCell ref="H376:K376"/>
    <mergeCell ref="T552:U552"/>
    <mergeCell ref="R551:S551"/>
    <mergeCell ref="P309:S309"/>
    <mergeCell ref="T556:U556"/>
    <mergeCell ref="D376:G376"/>
    <mergeCell ref="D359:G359"/>
    <mergeCell ref="D362:G362"/>
    <mergeCell ref="D349:G349"/>
    <mergeCell ref="D350:G350"/>
    <mergeCell ref="D351:G351"/>
    <mergeCell ref="D352:G352"/>
    <mergeCell ref="D353:G353"/>
    <mergeCell ref="D355:G355"/>
    <mergeCell ref="L522:O522"/>
    <mergeCell ref="H394:K394"/>
    <mergeCell ref="L394:M394"/>
    <mergeCell ref="N394:O394"/>
    <mergeCell ref="P394:Q394"/>
    <mergeCell ref="L386:O386"/>
    <mergeCell ref="L387:O387"/>
    <mergeCell ref="D393:G393"/>
    <mergeCell ref="H393:K393"/>
    <mergeCell ref="L393:M393"/>
    <mergeCell ref="N393:O393"/>
    <mergeCell ref="L391:M391"/>
    <mergeCell ref="N391:O391"/>
    <mergeCell ref="L428:O428"/>
    <mergeCell ref="P428:S428"/>
    <mergeCell ref="P431:S431"/>
    <mergeCell ref="L429:O429"/>
    <mergeCell ref="P526:S526"/>
    <mergeCell ref="T526:W526"/>
    <mergeCell ref="H522:K522"/>
    <mergeCell ref="H509:K509"/>
    <mergeCell ref="R408:S408"/>
    <mergeCell ref="H317:K317"/>
    <mergeCell ref="L317:O317"/>
    <mergeCell ref="L310:O310"/>
    <mergeCell ref="D324:G324"/>
    <mergeCell ref="L319:O319"/>
    <mergeCell ref="D301:G301"/>
    <mergeCell ref="D354:G354"/>
    <mergeCell ref="D356:G356"/>
    <mergeCell ref="D358:G358"/>
    <mergeCell ref="H324:K324"/>
    <mergeCell ref="L324:O324"/>
    <mergeCell ref="H322:K322"/>
    <mergeCell ref="L322:O322"/>
    <mergeCell ref="D326:G326"/>
    <mergeCell ref="D327:G327"/>
    <mergeCell ref="H327:K327"/>
    <mergeCell ref="L327:O327"/>
    <mergeCell ref="D318:G318"/>
    <mergeCell ref="H318:K318"/>
    <mergeCell ref="L318:O318"/>
    <mergeCell ref="D323:G323"/>
    <mergeCell ref="H319:K319"/>
    <mergeCell ref="D328:G328"/>
    <mergeCell ref="H303:K303"/>
    <mergeCell ref="L316:O316"/>
    <mergeCell ref="D303:G303"/>
    <mergeCell ref="D305:G305"/>
    <mergeCell ref="H305:K305"/>
    <mergeCell ref="H323:K323"/>
    <mergeCell ref="L323:O323"/>
    <mergeCell ref="D310:G310"/>
    <mergeCell ref="H310:K310"/>
    <mergeCell ref="P324:S324"/>
    <mergeCell ref="H316:K316"/>
    <mergeCell ref="D158:G158"/>
    <mergeCell ref="H158:K158"/>
    <mergeCell ref="D87:G87"/>
    <mergeCell ref="L150:O150"/>
    <mergeCell ref="D146:G146"/>
    <mergeCell ref="H146:K146"/>
    <mergeCell ref="L146:O146"/>
    <mergeCell ref="D152:G152"/>
    <mergeCell ref="H152:K152"/>
    <mergeCell ref="L152:O152"/>
    <mergeCell ref="D179:G179"/>
    <mergeCell ref="L158:O158"/>
    <mergeCell ref="L135:O135"/>
    <mergeCell ref="D131:G131"/>
    <mergeCell ref="H159:K159"/>
    <mergeCell ref="L159:O159"/>
    <mergeCell ref="H157:K157"/>
    <mergeCell ref="L157:O157"/>
    <mergeCell ref="H148:K148"/>
    <mergeCell ref="L148:O148"/>
    <mergeCell ref="D143:G143"/>
    <mergeCell ref="H143:K143"/>
    <mergeCell ref="L143:O143"/>
    <mergeCell ref="D133:G133"/>
    <mergeCell ref="H133:K133"/>
    <mergeCell ref="L133:O133"/>
    <mergeCell ref="L132:O132"/>
    <mergeCell ref="D112:G112"/>
    <mergeCell ref="H112:K112"/>
    <mergeCell ref="L112:O112"/>
    <mergeCell ref="H156:K156"/>
    <mergeCell ref="H433:K433"/>
    <mergeCell ref="H515:K515"/>
    <mergeCell ref="D377:G377"/>
    <mergeCell ref="H379:K379"/>
    <mergeCell ref="H380:K380"/>
    <mergeCell ref="H381:K381"/>
    <mergeCell ref="H382:K382"/>
    <mergeCell ref="H383:K383"/>
    <mergeCell ref="D379:G379"/>
    <mergeCell ref="D380:G380"/>
    <mergeCell ref="D381:G381"/>
    <mergeCell ref="D382:G382"/>
    <mergeCell ref="D434:G434"/>
    <mergeCell ref="H434:K434"/>
    <mergeCell ref="D383:G383"/>
    <mergeCell ref="D384:G384"/>
    <mergeCell ref="D385:G385"/>
    <mergeCell ref="D386:G386"/>
    <mergeCell ref="D387:G387"/>
    <mergeCell ref="H406:K406"/>
    <mergeCell ref="D511:W511"/>
    <mergeCell ref="T512:W512"/>
    <mergeCell ref="D499:G499"/>
    <mergeCell ref="H499:K499"/>
    <mergeCell ref="L499:O499"/>
    <mergeCell ref="P499:S499"/>
    <mergeCell ref="T499:W499"/>
    <mergeCell ref="P505:S505"/>
    <mergeCell ref="T505:W505"/>
    <mergeCell ref="L500:O500"/>
    <mergeCell ref="D394:G394"/>
    <mergeCell ref="N399:O399"/>
    <mergeCell ref="P399:Q399"/>
    <mergeCell ref="R399:S399"/>
    <mergeCell ref="L397:M397"/>
    <mergeCell ref="R407:S407"/>
    <mergeCell ref="H404:K404"/>
    <mergeCell ref="L404:O404"/>
    <mergeCell ref="P404:Q404"/>
    <mergeCell ref="R404:S404"/>
    <mergeCell ref="D508:G508"/>
    <mergeCell ref="H508:K508"/>
    <mergeCell ref="H386:K386"/>
    <mergeCell ref="H387:K387"/>
    <mergeCell ref="D396:G396"/>
    <mergeCell ref="H395:K395"/>
    <mergeCell ref="H396:K396"/>
    <mergeCell ref="D398:G398"/>
    <mergeCell ref="H398:K398"/>
    <mergeCell ref="D405:G405"/>
    <mergeCell ref="H405:K405"/>
    <mergeCell ref="L405:O405"/>
    <mergeCell ref="P396:Q396"/>
    <mergeCell ref="L398:M398"/>
    <mergeCell ref="N398:O398"/>
    <mergeCell ref="P398:Q398"/>
    <mergeCell ref="D458:G458"/>
    <mergeCell ref="H458:K458"/>
    <mergeCell ref="P495:S495"/>
    <mergeCell ref="P494:S494"/>
    <mergeCell ref="L477:O477"/>
    <mergeCell ref="P477:S477"/>
    <mergeCell ref="L432:O432"/>
    <mergeCell ref="D435:W435"/>
    <mergeCell ref="T443:W443"/>
    <mergeCell ref="P461:S461"/>
    <mergeCell ref="D460:G460"/>
    <mergeCell ref="H460:K460"/>
    <mergeCell ref="L460:O460"/>
    <mergeCell ref="D436:W436"/>
    <mergeCell ref="D470:G470"/>
    <mergeCell ref="H470:K470"/>
    <mergeCell ref="L434:O434"/>
    <mergeCell ref="T513:W513"/>
    <mergeCell ref="T504:W504"/>
    <mergeCell ref="D506:G506"/>
    <mergeCell ref="H506:K506"/>
    <mergeCell ref="L506:O506"/>
    <mergeCell ref="P506:S506"/>
    <mergeCell ref="T506:W506"/>
    <mergeCell ref="D507:G507"/>
    <mergeCell ref="H507:K507"/>
    <mergeCell ref="L507:O507"/>
    <mergeCell ref="P507:S507"/>
    <mergeCell ref="T507:W507"/>
    <mergeCell ref="D505:G505"/>
    <mergeCell ref="H505:K505"/>
    <mergeCell ref="L505:O505"/>
    <mergeCell ref="T500:W500"/>
    <mergeCell ref="D502:G502"/>
    <mergeCell ref="H502:K502"/>
    <mergeCell ref="L502:O502"/>
    <mergeCell ref="P502:S502"/>
    <mergeCell ref="T502:W502"/>
    <mergeCell ref="D503:G503"/>
    <mergeCell ref="T395:U395"/>
    <mergeCell ref="V395:W395"/>
    <mergeCell ref="R394:S394"/>
    <mergeCell ref="T394:U394"/>
    <mergeCell ref="V394:W394"/>
    <mergeCell ref="R391:S391"/>
    <mergeCell ref="R403:S403"/>
    <mergeCell ref="T403:U403"/>
    <mergeCell ref="V403:W403"/>
    <mergeCell ref="V402:W402"/>
    <mergeCell ref="R396:S396"/>
    <mergeCell ref="T396:U396"/>
    <mergeCell ref="L395:M395"/>
    <mergeCell ref="P393:Q393"/>
    <mergeCell ref="R393:S393"/>
    <mergeCell ref="T393:U393"/>
    <mergeCell ref="V393:W393"/>
    <mergeCell ref="L399:M399"/>
    <mergeCell ref="T399:U399"/>
    <mergeCell ref="V399:W399"/>
    <mergeCell ref="R398:S398"/>
    <mergeCell ref="T398:U398"/>
    <mergeCell ref="V398:W398"/>
    <mergeCell ref="R397:S397"/>
    <mergeCell ref="P397:Q397"/>
    <mergeCell ref="N397:O397"/>
    <mergeCell ref="L396:M396"/>
    <mergeCell ref="N396:O396"/>
    <mergeCell ref="R395:S395"/>
    <mergeCell ref="N395:O395"/>
    <mergeCell ref="P395:Q395"/>
    <mergeCell ref="V396:W396"/>
    <mergeCell ref="V397:W397"/>
    <mergeCell ref="D429:G429"/>
    <mergeCell ref="D409:G409"/>
    <mergeCell ref="L407:O407"/>
    <mergeCell ref="L408:O408"/>
    <mergeCell ref="L409:O409"/>
    <mergeCell ref="P407:Q407"/>
    <mergeCell ref="L406:O406"/>
    <mergeCell ref="D401:G401"/>
    <mergeCell ref="H401:K401"/>
    <mergeCell ref="P401:Q401"/>
    <mergeCell ref="R401:S401"/>
    <mergeCell ref="T401:U401"/>
    <mergeCell ref="V401:W401"/>
    <mergeCell ref="R406:S406"/>
    <mergeCell ref="T406:U406"/>
    <mergeCell ref="V406:W406"/>
    <mergeCell ref="D406:G406"/>
    <mergeCell ref="P406:Q406"/>
    <mergeCell ref="T404:U404"/>
    <mergeCell ref="V404:W404"/>
    <mergeCell ref="R405:S405"/>
    <mergeCell ref="V409:W409"/>
    <mergeCell ref="T407:U407"/>
    <mergeCell ref="H429:K429"/>
    <mergeCell ref="P429:S429"/>
    <mergeCell ref="T416:W416"/>
    <mergeCell ref="D412:W412"/>
    <mergeCell ref="D399:G399"/>
    <mergeCell ref="H399:K399"/>
    <mergeCell ref="T420:W420"/>
    <mergeCell ref="P422:S422"/>
    <mergeCell ref="T405:U405"/>
    <mergeCell ref="V405:W405"/>
    <mergeCell ref="H400:K400"/>
    <mergeCell ref="D400:G400"/>
    <mergeCell ref="D403:G403"/>
    <mergeCell ref="H403:K403"/>
    <mergeCell ref="L403:O403"/>
    <mergeCell ref="P403:Q403"/>
    <mergeCell ref="D430:G430"/>
    <mergeCell ref="H430:K430"/>
    <mergeCell ref="L430:O430"/>
    <mergeCell ref="T432:W432"/>
    <mergeCell ref="T522:W522"/>
    <mergeCell ref="L519:O519"/>
    <mergeCell ref="P519:S519"/>
    <mergeCell ref="T519:W519"/>
    <mergeCell ref="D521:G521"/>
    <mergeCell ref="H521:K521"/>
    <mergeCell ref="L521:O521"/>
    <mergeCell ref="P521:S521"/>
    <mergeCell ref="T411:U411"/>
    <mergeCell ref="P405:Q405"/>
    <mergeCell ref="P522:S522"/>
    <mergeCell ref="L516:O516"/>
    <mergeCell ref="P516:S516"/>
    <mergeCell ref="D404:G404"/>
    <mergeCell ref="V407:W407"/>
    <mergeCell ref="P408:Q408"/>
    <mergeCell ref="T408:U408"/>
    <mergeCell ref="V408:W408"/>
    <mergeCell ref="H407:K407"/>
    <mergeCell ref="H408:K408"/>
    <mergeCell ref="D616:G616"/>
    <mergeCell ref="H616:K616"/>
    <mergeCell ref="L616:O616"/>
    <mergeCell ref="H613:K613"/>
    <mergeCell ref="L613:O613"/>
    <mergeCell ref="P613:S613"/>
    <mergeCell ref="D614:G614"/>
    <mergeCell ref="H614:K614"/>
    <mergeCell ref="L614:O614"/>
    <mergeCell ref="P614:S614"/>
    <mergeCell ref="P603:S603"/>
    <mergeCell ref="D604:G604"/>
    <mergeCell ref="H604:K604"/>
    <mergeCell ref="L604:O604"/>
    <mergeCell ref="D600:G600"/>
    <mergeCell ref="P604:S604"/>
    <mergeCell ref="P599:S599"/>
    <mergeCell ref="D615:G615"/>
    <mergeCell ref="H615:K615"/>
    <mergeCell ref="H600:K600"/>
    <mergeCell ref="L600:O600"/>
    <mergeCell ref="L615:O615"/>
    <mergeCell ref="D603:G603"/>
    <mergeCell ref="H603:K603"/>
    <mergeCell ref="L603:O603"/>
    <mergeCell ref="D613:G613"/>
    <mergeCell ref="D601:G601"/>
    <mergeCell ref="H601:K601"/>
    <mergeCell ref="L601:O601"/>
    <mergeCell ref="D602:G602"/>
    <mergeCell ref="H602:K602"/>
    <mergeCell ref="L602:O602"/>
    <mergeCell ref="P600:S600"/>
    <mergeCell ref="D590:W590"/>
    <mergeCell ref="H589:K589"/>
    <mergeCell ref="L592:O592"/>
    <mergeCell ref="H593:K593"/>
    <mergeCell ref="H592:K592"/>
    <mergeCell ref="D592:G592"/>
    <mergeCell ref="T592:W592"/>
    <mergeCell ref="B167:B185"/>
    <mergeCell ref="B539:B558"/>
    <mergeCell ref="D588:G588"/>
    <mergeCell ref="H588:K588"/>
    <mergeCell ref="L588:O588"/>
    <mergeCell ref="D589:G589"/>
    <mergeCell ref="D576:G576"/>
    <mergeCell ref="H576:K576"/>
    <mergeCell ref="L576:O576"/>
    <mergeCell ref="P576:S576"/>
    <mergeCell ref="D577:G577"/>
    <mergeCell ref="H577:K577"/>
    <mergeCell ref="L577:O577"/>
    <mergeCell ref="P577:S577"/>
    <mergeCell ref="D599:G599"/>
    <mergeCell ref="H599:K599"/>
    <mergeCell ref="P586:S586"/>
    <mergeCell ref="P587:S587"/>
    <mergeCell ref="L599:O599"/>
    <mergeCell ref="D553:G553"/>
    <mergeCell ref="L526:O526"/>
    <mergeCell ref="D516:G516"/>
    <mergeCell ref="H516:K516"/>
    <mergeCell ref="D522:G522"/>
    <mergeCell ref="P598:S598"/>
    <mergeCell ref="D539:E539"/>
    <mergeCell ref="F539:G539"/>
    <mergeCell ref="V539:W539"/>
    <mergeCell ref="T409:U409"/>
    <mergeCell ref="H411:K411"/>
    <mergeCell ref="P539:Q539"/>
    <mergeCell ref="R539:S539"/>
    <mergeCell ref="P433:S433"/>
    <mergeCell ref="T433:W433"/>
    <mergeCell ref="L431:O431"/>
    <mergeCell ref="P418:S418"/>
    <mergeCell ref="D533:W533"/>
    <mergeCell ref="P425:S425"/>
    <mergeCell ref="D411:G411"/>
    <mergeCell ref="T431:W431"/>
    <mergeCell ref="T429:W429"/>
    <mergeCell ref="T419:W419"/>
    <mergeCell ref="T410:U410"/>
    <mergeCell ref="V410:W410"/>
    <mergeCell ref="P542:Q542"/>
    <mergeCell ref="P409:Q409"/>
    <mergeCell ref="R409:S409"/>
    <mergeCell ref="L410:O410"/>
    <mergeCell ref="L411:O411"/>
    <mergeCell ref="H526:K526"/>
    <mergeCell ref="D527:G527"/>
    <mergeCell ref="H527:K527"/>
    <mergeCell ref="V556:W556"/>
    <mergeCell ref="D550:G550"/>
    <mergeCell ref="H552:K552"/>
    <mergeCell ref="H553:K553"/>
    <mergeCell ref="H555:K555"/>
    <mergeCell ref="D552:G552"/>
    <mergeCell ref="V411:W411"/>
    <mergeCell ref="D433:G433"/>
    <mergeCell ref="L433:O433"/>
    <mergeCell ref="V542:W542"/>
    <mergeCell ref="T430:W430"/>
    <mergeCell ref="T492:W492"/>
    <mergeCell ref="T469:W469"/>
    <mergeCell ref="P529:S529"/>
    <mergeCell ref="D410:G410"/>
    <mergeCell ref="D407:G407"/>
    <mergeCell ref="D408:G408"/>
    <mergeCell ref="P444:S444"/>
    <mergeCell ref="H409:K409"/>
    <mergeCell ref="H410:K410"/>
    <mergeCell ref="T542:U542"/>
    <mergeCell ref="P531:S531"/>
    <mergeCell ref="T531:W531"/>
    <mergeCell ref="L527:O527"/>
    <mergeCell ref="P527:S527"/>
    <mergeCell ref="L508:O508"/>
    <mergeCell ref="P508:S508"/>
    <mergeCell ref="D504:G504"/>
    <mergeCell ref="H504:K504"/>
    <mergeCell ref="L504:O504"/>
    <mergeCell ref="P504:S504"/>
    <mergeCell ref="P432:S432"/>
    <mergeCell ref="D519:G519"/>
    <mergeCell ref="H519:K519"/>
    <mergeCell ref="L470:O470"/>
    <mergeCell ref="P470:S470"/>
  </mergeCells>
  <phoneticPr fontId="0" type="noConversion"/>
  <hyperlinks>
    <hyperlink ref="C7" location="Reference!C7" display="★ click here for more guidance"/>
    <hyperlink ref="C8" location="Reference!C7" display="Reference!C7"/>
    <hyperlink ref="C12" location="Reference!C9" display="★ click here for more guidance"/>
    <hyperlink ref="C13" location="Reference!C9" display="Reference!C9"/>
    <hyperlink ref="C17" location="Reference!C11" display="★ click here for more guidance"/>
    <hyperlink ref="C18" location="Reference!C11" display="Reference!C11"/>
    <hyperlink ref="C42" location="Reference!C13" display="★ click here for more guidance"/>
    <hyperlink ref="C43" location="Reference!C13" display="Reference!C13"/>
    <hyperlink ref="C65" location="Reference!C15" display="★ click here for more guidance"/>
    <hyperlink ref="C66" location="Reference!C15" display="Reference!C15"/>
    <hyperlink ref="C89" location="Reference!C17" display="★ click here for more guidance"/>
    <hyperlink ref="C90" location="Reference!C17" display="Reference!C17"/>
    <hyperlink ref="C114" location="Reference!C22" display="★ click here for more guidance"/>
    <hyperlink ref="C115" location="Reference!C22" display="Reference!C22"/>
    <hyperlink ref="C137" location="Reference!C24" display="★ click here for more guidance"/>
    <hyperlink ref="C138" location="Reference!C24" display="Reference!C24"/>
    <hyperlink ref="C160" location="Reference!C26" display="★ click here for more guidance"/>
    <hyperlink ref="C161" location="Reference!C26" display="Reference!C26"/>
    <hyperlink ref="C184" location="Reference!C28" display="★ click here for more guidance"/>
    <hyperlink ref="C185" location="Reference!C28" display="Reference!C28"/>
    <hyperlink ref="C213" location="Reference!C33" display="★ click here for more guidance"/>
    <hyperlink ref="C214" location="Reference!C33" display="Reference!C33"/>
    <hyperlink ref="C236" location="Reference!C35" display="★ click here for more guidance"/>
    <hyperlink ref="C237" location="Reference!C35" display="Reference!C35"/>
    <hyperlink ref="C259" location="Reference!C37" display="★ click here for more guidance"/>
    <hyperlink ref="C260" location="Reference!C37" display="Reference!C37"/>
    <hyperlink ref="C288" location="Reference!C39" display="★ click here for more guidance"/>
    <hyperlink ref="C289" location="Reference!C39" display="Reference!C39"/>
    <hyperlink ref="C311" location="Reference!C41" display="★ click here for more guidance"/>
    <hyperlink ref="C312" location="Reference!C41" display="Reference!C41"/>
    <hyperlink ref="C334" location="Reference!C43" display="★ click here for more guidance"/>
    <hyperlink ref="C335" location="Reference!C43" display="Reference!C43"/>
    <hyperlink ref="C364" location="Reference!C45" display="★ click here for more guidance"/>
    <hyperlink ref="C365" location="Reference!C45" display="Reference!C45"/>
    <hyperlink ref="C388" location="Reference!C50" display="★ click here for more guidance"/>
    <hyperlink ref="C389" location="Reference!C50" display="Reference!C50"/>
    <hyperlink ref="C412" location="Reference!C55" display="★ click here for more guidance"/>
    <hyperlink ref="C413" location="Reference!C55" display="Reference!C55"/>
    <hyperlink ref="C435" location="Reference!C58" display="★ click here for more guidance"/>
    <hyperlink ref="C436" location="Reference!C58" display="Reference!C58"/>
    <hyperlink ref="C464" location="Reference!C60" display="★ click here for more guidance"/>
    <hyperlink ref="C465" location="Reference!C60" display="Reference!C60"/>
    <hyperlink ref="C487" location="Reference!C62" display="★ click here for more guidance"/>
    <hyperlink ref="C488" location="Reference!C62" display="Reference!C62"/>
    <hyperlink ref="C510" location="Reference!C64" display="★ click here for more guidance"/>
    <hyperlink ref="C511" location="Reference!C64" display="Reference!C64"/>
    <hyperlink ref="C533" location="Reference!C66" display="★ click here for more guidance"/>
    <hyperlink ref="C534" location="Reference!C66" display="Reference!C66"/>
    <hyperlink ref="C557" location="Reference!C68" display="★ click here for more guidance"/>
    <hyperlink ref="C558" location="Reference!C68" display="Reference!C68"/>
    <hyperlink ref="C590" location="Reference!C71" display="★ click here for more guidance"/>
    <hyperlink ref="C591" location="Reference!C71" display="Reference!C71"/>
    <hyperlink ref="C617" location="Reference!C73" display="★ click here for more guidance"/>
    <hyperlink ref="C618" location="Reference!C73" display="Reference!C73"/>
    <hyperlink ref="C644" location="Reference!C73" display="★ click here for more guidance"/>
    <hyperlink ref="C645" location="Reference!C73" display="Reference!C73"/>
  </hyperlinks>
  <pageMargins left="0.79000000000000015" right="0.79000000000000015" top="0.79000000000000015" bottom="0.79000000000000015" header="0.39000000000000007" footer="0.39000000000000007"/>
  <pageSetup paperSize="9" scale="55" fitToHeight="3" orientation="landscape"/>
  <headerFooter>
    <oddFooter>&amp;L&amp;K000000&amp;F&amp;C&amp;K000000&amp;D&amp;R&amp;K000000Page &amp;P</oddFooter>
  </headerFooter>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pageSetUpPr fitToPage="1"/>
  </sheetPr>
  <dimension ref="A1:X190"/>
  <sheetViews>
    <sheetView workbookViewId="0">
      <pane xSplit="2" ySplit="1" topLeftCell="C98" activePane="bottomRight" state="frozen"/>
      <selection activeCell="D136" sqref="D136:W136"/>
      <selection pane="topRight" activeCell="D136" sqref="D136:W136"/>
      <selection pane="bottomLeft" activeCell="D136" sqref="D136:W136"/>
      <selection pane="bottomRight" activeCell="D136" sqref="D136:W136"/>
    </sheetView>
  </sheetViews>
  <sheetFormatPr defaultColWidth="8.85546875" defaultRowHeight="12.75"/>
  <cols>
    <col min="1" max="1" width="20.85546875" style="4" customWidth="1"/>
    <col min="2" max="2" width="40.85546875" style="4" customWidth="1"/>
    <col min="3" max="3" width="10.85546875" style="27" customWidth="1"/>
    <col min="4" max="23" width="5.85546875" style="4" customWidth="1"/>
    <col min="24" max="24" width="30.85546875" style="4" customWidth="1"/>
    <col min="25" max="16384" width="8.85546875" style="4"/>
  </cols>
  <sheetData>
    <row r="1" spans="1:24" s="67" customFormat="1" ht="32.25" thickBot="1">
      <c r="A1" s="3" t="s">
        <v>0</v>
      </c>
      <c r="B1" s="64" t="s">
        <v>231</v>
      </c>
      <c r="C1" s="65" t="s">
        <v>273</v>
      </c>
      <c r="D1" s="65"/>
      <c r="E1" s="65"/>
      <c r="F1" s="65"/>
      <c r="G1" s="65"/>
      <c r="H1" s="65"/>
      <c r="I1" s="65"/>
      <c r="J1" s="65"/>
      <c r="K1" s="65"/>
      <c r="L1" s="65"/>
      <c r="M1" s="65"/>
      <c r="N1" s="65"/>
      <c r="O1" s="65"/>
      <c r="P1" s="65"/>
      <c r="Q1" s="65"/>
      <c r="R1" s="65"/>
      <c r="S1" s="65"/>
      <c r="T1" s="65"/>
      <c r="U1" s="65"/>
      <c r="V1" s="65"/>
      <c r="W1" s="65"/>
      <c r="X1" s="66"/>
    </row>
    <row r="2" spans="1:24">
      <c r="A2" s="5"/>
      <c r="B2" s="5"/>
      <c r="C2" s="6"/>
      <c r="D2" s="5"/>
      <c r="E2" s="5"/>
      <c r="F2" s="5"/>
      <c r="G2" s="5"/>
      <c r="H2" s="5"/>
      <c r="I2" s="5"/>
      <c r="J2" s="5"/>
      <c r="K2" s="5"/>
      <c r="L2" s="5"/>
      <c r="M2" s="5"/>
      <c r="N2" s="5"/>
      <c r="O2" s="5"/>
      <c r="P2" s="5"/>
      <c r="Q2" s="5"/>
      <c r="R2" s="5"/>
      <c r="S2" s="5"/>
      <c r="T2" s="5"/>
      <c r="U2" s="5"/>
      <c r="V2" s="5"/>
      <c r="W2" s="5"/>
      <c r="X2" s="5"/>
    </row>
    <row r="3" spans="1:24" ht="13.5" thickBot="1">
      <c r="A3" s="5"/>
      <c r="B3" s="5"/>
      <c r="C3" s="6"/>
      <c r="D3" s="5"/>
      <c r="E3" s="5"/>
      <c r="F3" s="5"/>
      <c r="G3" s="5"/>
      <c r="H3" s="5"/>
      <c r="I3" s="5"/>
      <c r="J3" s="5"/>
      <c r="K3" s="5"/>
      <c r="L3" s="5"/>
      <c r="M3" s="5"/>
      <c r="N3" s="5"/>
      <c r="O3" s="5"/>
      <c r="P3" s="5"/>
      <c r="Q3" s="5"/>
      <c r="R3" s="5"/>
      <c r="S3" s="5"/>
      <c r="T3" s="5"/>
      <c r="U3" s="5"/>
      <c r="V3" s="5"/>
      <c r="W3" s="5"/>
      <c r="X3" s="5"/>
    </row>
    <row r="4" spans="1:24" ht="12.95" customHeight="1" thickBot="1">
      <c r="A4" s="7" t="s">
        <v>50</v>
      </c>
      <c r="B4" s="97" t="s">
        <v>51</v>
      </c>
      <c r="C4" s="8"/>
      <c r="D4" s="927" t="s">
        <v>79</v>
      </c>
      <c r="E4" s="928"/>
      <c r="F4" s="928"/>
      <c r="G4" s="929"/>
      <c r="H4" s="927" t="s">
        <v>80</v>
      </c>
      <c r="I4" s="928"/>
      <c r="J4" s="928"/>
      <c r="K4" s="929"/>
      <c r="L4" s="927" t="s">
        <v>81</v>
      </c>
      <c r="M4" s="928"/>
      <c r="N4" s="928"/>
      <c r="O4" s="929"/>
      <c r="P4" s="927" t="s">
        <v>254</v>
      </c>
      <c r="Q4" s="928"/>
      <c r="R4" s="928"/>
      <c r="S4" s="929"/>
      <c r="T4" s="927" t="s">
        <v>76</v>
      </c>
      <c r="U4" s="928"/>
      <c r="V4" s="928"/>
      <c r="W4" s="929"/>
      <c r="X4" s="991"/>
    </row>
    <row r="5" spans="1:24" ht="13.5" thickBot="1">
      <c r="A5" s="868" t="s">
        <v>43</v>
      </c>
      <c r="B5" s="868" t="s">
        <v>46</v>
      </c>
      <c r="C5" s="9" t="s">
        <v>2</v>
      </c>
      <c r="D5" s="983" t="s">
        <v>82</v>
      </c>
      <c r="E5" s="984"/>
      <c r="F5" s="984"/>
      <c r="G5" s="984"/>
      <c r="H5" s="984"/>
      <c r="I5" s="984"/>
      <c r="J5" s="984"/>
      <c r="K5" s="984"/>
      <c r="L5" s="984"/>
      <c r="M5" s="984"/>
      <c r="N5" s="984"/>
      <c r="O5" s="984"/>
      <c r="P5" s="984"/>
      <c r="Q5" s="984"/>
      <c r="R5" s="984"/>
      <c r="S5" s="984"/>
      <c r="T5" s="984"/>
      <c r="U5" s="984"/>
      <c r="V5" s="984"/>
      <c r="W5" s="985"/>
      <c r="X5" s="992"/>
    </row>
    <row r="6" spans="1:24" ht="13.5" thickBot="1">
      <c r="A6" s="885"/>
      <c r="B6" s="885"/>
      <c r="C6" s="10" t="s">
        <v>3</v>
      </c>
      <c r="D6" s="986"/>
      <c r="E6" s="987"/>
      <c r="F6" s="987"/>
      <c r="G6" s="987"/>
      <c r="H6" s="987"/>
      <c r="I6" s="987"/>
      <c r="J6" s="987"/>
      <c r="K6" s="987"/>
      <c r="L6" s="987"/>
      <c r="M6" s="987"/>
      <c r="N6" s="987"/>
      <c r="O6" s="987"/>
      <c r="P6" s="987"/>
      <c r="Q6" s="987"/>
      <c r="R6" s="987"/>
      <c r="S6" s="987"/>
      <c r="T6" s="987"/>
      <c r="U6" s="987"/>
      <c r="V6" s="987"/>
      <c r="W6" s="988"/>
      <c r="X6" s="992"/>
    </row>
    <row r="7" spans="1:24" ht="12.95" customHeight="1" thickBot="1">
      <c r="A7" s="885"/>
      <c r="B7" s="885"/>
      <c r="C7" s="1278" t="s">
        <v>170</v>
      </c>
      <c r="D7" s="989" t="s">
        <v>4</v>
      </c>
      <c r="E7" s="990"/>
      <c r="F7" s="990"/>
      <c r="G7" s="990"/>
      <c r="H7" s="990"/>
      <c r="I7" s="990"/>
      <c r="J7" s="990"/>
      <c r="K7" s="990"/>
      <c r="L7" s="990"/>
      <c r="M7" s="990"/>
      <c r="N7" s="990"/>
      <c r="O7" s="990"/>
      <c r="P7" s="990"/>
      <c r="Q7" s="990"/>
      <c r="R7" s="990"/>
      <c r="S7" s="990"/>
      <c r="T7" s="990"/>
      <c r="U7" s="990"/>
      <c r="V7" s="990"/>
      <c r="W7" s="990"/>
      <c r="X7" s="992"/>
    </row>
    <row r="8" spans="1:24" ht="12.95" customHeight="1" thickBot="1">
      <c r="A8" s="885"/>
      <c r="B8" s="869"/>
      <c r="C8" s="1279"/>
      <c r="D8" s="930" t="s">
        <v>85</v>
      </c>
      <c r="E8" s="931"/>
      <c r="F8" s="931"/>
      <c r="G8" s="931"/>
      <c r="H8" s="931"/>
      <c r="I8" s="931"/>
      <c r="J8" s="931"/>
      <c r="K8" s="931"/>
      <c r="L8" s="931"/>
      <c r="M8" s="931"/>
      <c r="N8" s="931"/>
      <c r="O8" s="931"/>
      <c r="P8" s="931"/>
      <c r="Q8" s="931"/>
      <c r="R8" s="931"/>
      <c r="S8" s="931"/>
      <c r="T8" s="931"/>
      <c r="U8" s="931"/>
      <c r="V8" s="931"/>
      <c r="W8" s="932"/>
      <c r="X8" s="992"/>
    </row>
    <row r="9" spans="1:24" ht="12.95" customHeight="1" thickBot="1">
      <c r="A9" s="885"/>
      <c r="B9" s="11" t="s">
        <v>52</v>
      </c>
      <c r="C9" s="12"/>
      <c r="D9" s="927" t="s">
        <v>79</v>
      </c>
      <c r="E9" s="928"/>
      <c r="F9" s="928"/>
      <c r="G9" s="929"/>
      <c r="H9" s="927" t="s">
        <v>80</v>
      </c>
      <c r="I9" s="928"/>
      <c r="J9" s="928"/>
      <c r="K9" s="929"/>
      <c r="L9" s="927" t="s">
        <v>81</v>
      </c>
      <c r="M9" s="928"/>
      <c r="N9" s="928"/>
      <c r="O9" s="929"/>
      <c r="P9" s="927" t="s">
        <v>254</v>
      </c>
      <c r="Q9" s="928"/>
      <c r="R9" s="928"/>
      <c r="S9" s="929"/>
      <c r="T9" s="927" t="s">
        <v>76</v>
      </c>
      <c r="U9" s="928"/>
      <c r="V9" s="928"/>
      <c r="W9" s="929"/>
      <c r="X9" s="992"/>
    </row>
    <row r="10" spans="1:24" ht="36" customHeight="1" thickBot="1">
      <c r="A10" s="885"/>
      <c r="B10" s="868" t="s">
        <v>45</v>
      </c>
      <c r="C10" s="13" t="s">
        <v>2</v>
      </c>
      <c r="D10" s="930" t="s">
        <v>86</v>
      </c>
      <c r="E10" s="931"/>
      <c r="F10" s="931"/>
      <c r="G10" s="931"/>
      <c r="H10" s="931"/>
      <c r="I10" s="931"/>
      <c r="J10" s="931"/>
      <c r="K10" s="931"/>
      <c r="L10" s="931"/>
      <c r="M10" s="931"/>
      <c r="N10" s="931"/>
      <c r="O10" s="931"/>
      <c r="P10" s="931"/>
      <c r="Q10" s="931"/>
      <c r="R10" s="931"/>
      <c r="S10" s="931"/>
      <c r="T10" s="931"/>
      <c r="U10" s="931"/>
      <c r="V10" s="931"/>
      <c r="W10" s="932"/>
      <c r="X10" s="992"/>
    </row>
    <row r="11" spans="1:24" ht="13.5" thickBot="1">
      <c r="A11" s="885"/>
      <c r="B11" s="885"/>
      <c r="C11" s="10" t="s">
        <v>3</v>
      </c>
      <c r="D11" s="986"/>
      <c r="E11" s="987"/>
      <c r="F11" s="987"/>
      <c r="G11" s="987"/>
      <c r="H11" s="987"/>
      <c r="I11" s="987"/>
      <c r="J11" s="987"/>
      <c r="K11" s="987"/>
      <c r="L11" s="987"/>
      <c r="M11" s="987"/>
      <c r="N11" s="987"/>
      <c r="O11" s="987"/>
      <c r="P11" s="987"/>
      <c r="Q11" s="987"/>
      <c r="R11" s="987"/>
      <c r="S11" s="987"/>
      <c r="T11" s="987"/>
      <c r="U11" s="987"/>
      <c r="V11" s="987"/>
      <c r="W11" s="988"/>
      <c r="X11" s="992"/>
    </row>
    <row r="12" spans="1:24" ht="12.95" customHeight="1" thickBot="1">
      <c r="A12" s="885"/>
      <c r="B12" s="885"/>
      <c r="C12" s="1258" t="s">
        <v>170</v>
      </c>
      <c r="D12" s="927" t="s">
        <v>4</v>
      </c>
      <c r="E12" s="928"/>
      <c r="F12" s="928"/>
      <c r="G12" s="928"/>
      <c r="H12" s="928"/>
      <c r="I12" s="928"/>
      <c r="J12" s="928"/>
      <c r="K12" s="928"/>
      <c r="L12" s="928"/>
      <c r="M12" s="928"/>
      <c r="N12" s="928"/>
      <c r="O12" s="928"/>
      <c r="P12" s="928"/>
      <c r="Q12" s="928"/>
      <c r="R12" s="928"/>
      <c r="S12" s="928"/>
      <c r="T12" s="928"/>
      <c r="U12" s="928"/>
      <c r="V12" s="928"/>
      <c r="W12" s="928"/>
      <c r="X12" s="992"/>
    </row>
    <row r="13" spans="1:24" ht="24" customHeight="1" thickBot="1">
      <c r="A13" s="885"/>
      <c r="B13" s="869"/>
      <c r="C13" s="1259"/>
      <c r="D13" s="930" t="s">
        <v>87</v>
      </c>
      <c r="E13" s="931"/>
      <c r="F13" s="931"/>
      <c r="G13" s="931"/>
      <c r="H13" s="931"/>
      <c r="I13" s="931"/>
      <c r="J13" s="931"/>
      <c r="K13" s="931"/>
      <c r="L13" s="931"/>
      <c r="M13" s="931"/>
      <c r="N13" s="931"/>
      <c r="O13" s="931"/>
      <c r="P13" s="931"/>
      <c r="Q13" s="931"/>
      <c r="R13" s="931"/>
      <c r="S13" s="931"/>
      <c r="T13" s="931"/>
      <c r="U13" s="931"/>
      <c r="V13" s="931"/>
      <c r="W13" s="932"/>
      <c r="X13" s="992"/>
    </row>
    <row r="14" spans="1:24" ht="12.95" customHeight="1" thickBot="1">
      <c r="A14" s="885"/>
      <c r="B14" s="11" t="s">
        <v>53</v>
      </c>
      <c r="C14" s="12"/>
      <c r="D14" s="927" t="s">
        <v>79</v>
      </c>
      <c r="E14" s="928"/>
      <c r="F14" s="928"/>
      <c r="G14" s="929"/>
      <c r="H14" s="927" t="s">
        <v>80</v>
      </c>
      <c r="I14" s="928"/>
      <c r="J14" s="928"/>
      <c r="K14" s="929"/>
      <c r="L14" s="927" t="s">
        <v>81</v>
      </c>
      <c r="M14" s="928"/>
      <c r="N14" s="928"/>
      <c r="O14" s="929"/>
      <c r="P14" s="927" t="s">
        <v>254</v>
      </c>
      <c r="Q14" s="928"/>
      <c r="R14" s="928"/>
      <c r="S14" s="929"/>
      <c r="T14" s="927" t="s">
        <v>76</v>
      </c>
      <c r="U14" s="928"/>
      <c r="V14" s="928"/>
      <c r="W14" s="929"/>
      <c r="X14" s="992"/>
    </row>
    <row r="15" spans="1:24" ht="12.95" customHeight="1" thickBot="1">
      <c r="A15" s="885"/>
      <c r="B15" s="868" t="s">
        <v>44</v>
      </c>
      <c r="C15" s="9" t="s">
        <v>2</v>
      </c>
      <c r="D15" s="930" t="s">
        <v>83</v>
      </c>
      <c r="E15" s="931"/>
      <c r="F15" s="931"/>
      <c r="G15" s="931"/>
      <c r="H15" s="931"/>
      <c r="I15" s="931"/>
      <c r="J15" s="931"/>
      <c r="K15" s="931"/>
      <c r="L15" s="931"/>
      <c r="M15" s="931"/>
      <c r="N15" s="931"/>
      <c r="O15" s="931"/>
      <c r="P15" s="931"/>
      <c r="Q15" s="931"/>
      <c r="R15" s="931"/>
      <c r="S15" s="931"/>
      <c r="T15" s="931"/>
      <c r="U15" s="931"/>
      <c r="V15" s="931"/>
      <c r="W15" s="932"/>
      <c r="X15" s="992"/>
    </row>
    <row r="16" spans="1:24" ht="13.5" thickBot="1">
      <c r="A16" s="885"/>
      <c r="B16" s="885"/>
      <c r="C16" s="10" t="s">
        <v>3</v>
      </c>
      <c r="D16" s="986"/>
      <c r="E16" s="987"/>
      <c r="F16" s="987"/>
      <c r="G16" s="987"/>
      <c r="H16" s="987"/>
      <c r="I16" s="987"/>
      <c r="J16" s="987"/>
      <c r="K16" s="987"/>
      <c r="L16" s="987"/>
      <c r="M16" s="987"/>
      <c r="N16" s="987"/>
      <c r="O16" s="987"/>
      <c r="P16" s="987"/>
      <c r="Q16" s="987"/>
      <c r="R16" s="987"/>
      <c r="S16" s="987"/>
      <c r="T16" s="987"/>
      <c r="U16" s="987"/>
      <c r="V16" s="987"/>
      <c r="W16" s="988"/>
      <c r="X16" s="992"/>
    </row>
    <row r="17" spans="1:24" ht="12.95" customHeight="1" thickBot="1">
      <c r="A17" s="885"/>
      <c r="B17" s="885"/>
      <c r="C17" s="1258" t="s">
        <v>170</v>
      </c>
      <c r="D17" s="989" t="s">
        <v>4</v>
      </c>
      <c r="E17" s="990"/>
      <c r="F17" s="990"/>
      <c r="G17" s="990"/>
      <c r="H17" s="990"/>
      <c r="I17" s="990"/>
      <c r="J17" s="990"/>
      <c r="K17" s="990"/>
      <c r="L17" s="990"/>
      <c r="M17" s="990"/>
      <c r="N17" s="990"/>
      <c r="O17" s="990"/>
      <c r="P17" s="990"/>
      <c r="Q17" s="990"/>
      <c r="R17" s="990"/>
      <c r="S17" s="990"/>
      <c r="T17" s="990"/>
      <c r="U17" s="990"/>
      <c r="V17" s="990"/>
      <c r="W17" s="990"/>
      <c r="X17" s="992"/>
    </row>
    <row r="18" spans="1:24" ht="12.95" customHeight="1" thickBot="1">
      <c r="A18" s="869"/>
      <c r="B18" s="869"/>
      <c r="C18" s="1259"/>
      <c r="D18" s="930" t="s">
        <v>84</v>
      </c>
      <c r="E18" s="931"/>
      <c r="F18" s="931"/>
      <c r="G18" s="931"/>
      <c r="H18" s="931"/>
      <c r="I18" s="931"/>
      <c r="J18" s="931"/>
      <c r="K18" s="931"/>
      <c r="L18" s="931"/>
      <c r="M18" s="931"/>
      <c r="N18" s="931"/>
      <c r="O18" s="931"/>
      <c r="P18" s="931"/>
      <c r="Q18" s="931"/>
      <c r="R18" s="931"/>
      <c r="S18" s="931"/>
      <c r="T18" s="931"/>
      <c r="U18" s="931"/>
      <c r="V18" s="931"/>
      <c r="W18" s="932"/>
      <c r="X18" s="993"/>
    </row>
    <row r="19" spans="1:24">
      <c r="A19" s="5"/>
      <c r="B19" s="5"/>
      <c r="C19" s="14"/>
      <c r="D19" s="5"/>
      <c r="E19" s="5"/>
      <c r="F19" s="5"/>
      <c r="G19" s="5"/>
      <c r="H19" s="5"/>
      <c r="I19" s="5"/>
      <c r="J19" s="5"/>
      <c r="K19" s="5"/>
      <c r="L19" s="5"/>
      <c r="M19" s="5"/>
      <c r="N19" s="5"/>
      <c r="O19" s="5"/>
      <c r="P19" s="5"/>
      <c r="Q19" s="5"/>
      <c r="R19" s="5"/>
      <c r="S19" s="5"/>
      <c r="T19" s="5"/>
      <c r="U19" s="5"/>
      <c r="V19" s="5"/>
      <c r="W19" s="5"/>
      <c r="X19" s="5"/>
    </row>
    <row r="20" spans="1:24" ht="13.5" thickBot="1">
      <c r="A20" s="5"/>
      <c r="B20" s="5"/>
      <c r="C20" s="6"/>
      <c r="D20" s="5"/>
      <c r="E20" s="5"/>
      <c r="F20" s="5"/>
      <c r="G20" s="5"/>
      <c r="H20" s="5"/>
      <c r="I20" s="5"/>
      <c r="J20" s="5"/>
      <c r="K20" s="5"/>
      <c r="L20" s="5"/>
      <c r="M20" s="5"/>
      <c r="N20" s="5"/>
      <c r="O20" s="5"/>
      <c r="P20" s="5"/>
      <c r="Q20" s="5"/>
      <c r="R20" s="5"/>
      <c r="S20" s="5"/>
      <c r="T20" s="5"/>
      <c r="U20" s="5"/>
      <c r="V20" s="5"/>
      <c r="W20" s="5"/>
      <c r="X20" s="5"/>
    </row>
    <row r="21" spans="1:24" ht="12.95" customHeight="1" thickBot="1">
      <c r="A21" s="15" t="s">
        <v>1</v>
      </c>
      <c r="B21" s="97" t="s">
        <v>24</v>
      </c>
      <c r="C21" s="8"/>
      <c r="D21" s="927" t="s">
        <v>78</v>
      </c>
      <c r="E21" s="928"/>
      <c r="F21" s="928"/>
      <c r="G21" s="929"/>
      <c r="H21" s="927" t="s">
        <v>77</v>
      </c>
      <c r="I21" s="928"/>
      <c r="J21" s="928"/>
      <c r="K21" s="929"/>
      <c r="L21" s="927" t="s">
        <v>81</v>
      </c>
      <c r="M21" s="928"/>
      <c r="N21" s="928"/>
      <c r="O21" s="929"/>
      <c r="P21" s="927" t="s">
        <v>254</v>
      </c>
      <c r="Q21" s="928"/>
      <c r="R21" s="928"/>
      <c r="S21" s="929"/>
      <c r="T21" s="927" t="s">
        <v>76</v>
      </c>
      <c r="U21" s="928"/>
      <c r="V21" s="928"/>
      <c r="W21" s="929"/>
      <c r="X21" s="16" t="s">
        <v>6</v>
      </c>
    </row>
    <row r="22" spans="1:24" ht="12.95" customHeight="1" thickBot="1">
      <c r="A22" s="868" t="s">
        <v>47</v>
      </c>
      <c r="B22" s="868" t="s">
        <v>48</v>
      </c>
      <c r="C22" s="9" t="s">
        <v>2</v>
      </c>
      <c r="D22" s="942">
        <v>2.2000000000000002</v>
      </c>
      <c r="E22" s="943"/>
      <c r="F22" s="943"/>
      <c r="G22" s="944"/>
      <c r="H22" s="942">
        <v>2.2000000000000002</v>
      </c>
      <c r="I22" s="943"/>
      <c r="J22" s="943"/>
      <c r="K22" s="944"/>
      <c r="L22" s="942">
        <v>3</v>
      </c>
      <c r="M22" s="943"/>
      <c r="N22" s="943"/>
      <c r="O22" s="944"/>
      <c r="P22" s="942">
        <v>3.1</v>
      </c>
      <c r="Q22" s="943"/>
      <c r="R22" s="943"/>
      <c r="S22" s="944"/>
      <c r="T22" s="1262">
        <v>3.7</v>
      </c>
      <c r="U22" s="1263"/>
      <c r="V22" s="1263"/>
      <c r="W22" s="1264"/>
      <c r="X22" s="873" t="s">
        <v>96</v>
      </c>
    </row>
    <row r="23" spans="1:24" ht="13.5" thickBot="1">
      <c r="A23" s="885"/>
      <c r="B23" s="885"/>
      <c r="C23" s="10" t="s">
        <v>3</v>
      </c>
      <c r="D23" s="957"/>
      <c r="E23" s="958"/>
      <c r="F23" s="958"/>
      <c r="G23" s="959"/>
      <c r="H23" s="963">
        <v>3.5</v>
      </c>
      <c r="I23" s="964"/>
      <c r="J23" s="964"/>
      <c r="K23" s="965"/>
      <c r="L23" s="963">
        <v>2.9</v>
      </c>
      <c r="M23" s="964"/>
      <c r="N23" s="964"/>
      <c r="O23" s="965"/>
      <c r="P23" s="963">
        <v>3.5</v>
      </c>
      <c r="Q23" s="964"/>
      <c r="R23" s="964"/>
      <c r="S23" s="965"/>
      <c r="T23" s="963">
        <v>0</v>
      </c>
      <c r="U23" s="964"/>
      <c r="V23" s="964"/>
      <c r="W23" s="965"/>
      <c r="X23" s="874"/>
    </row>
    <row r="24" spans="1:24" ht="12.95" customHeight="1" thickBot="1">
      <c r="A24" s="885"/>
      <c r="B24" s="885"/>
      <c r="C24" s="1258" t="s">
        <v>170</v>
      </c>
      <c r="D24" s="927" t="s">
        <v>4</v>
      </c>
      <c r="E24" s="928"/>
      <c r="F24" s="928"/>
      <c r="G24" s="928"/>
      <c r="H24" s="928"/>
      <c r="I24" s="928"/>
      <c r="J24" s="928"/>
      <c r="K24" s="928"/>
      <c r="L24" s="928"/>
      <c r="M24" s="928"/>
      <c r="N24" s="928"/>
      <c r="O24" s="928"/>
      <c r="P24" s="928"/>
      <c r="Q24" s="928"/>
      <c r="R24" s="928"/>
      <c r="S24" s="928"/>
      <c r="T24" s="928"/>
      <c r="U24" s="928"/>
      <c r="V24" s="928"/>
      <c r="W24" s="928"/>
      <c r="X24" s="874"/>
    </row>
    <row r="25" spans="1:24" ht="12.95" customHeight="1" thickBot="1">
      <c r="A25" s="885"/>
      <c r="B25" s="869"/>
      <c r="C25" s="1259"/>
      <c r="D25" s="930" t="s">
        <v>115</v>
      </c>
      <c r="E25" s="931"/>
      <c r="F25" s="931"/>
      <c r="G25" s="931"/>
      <c r="H25" s="931"/>
      <c r="I25" s="931"/>
      <c r="J25" s="931"/>
      <c r="K25" s="931"/>
      <c r="L25" s="931"/>
      <c r="M25" s="931"/>
      <c r="N25" s="931"/>
      <c r="O25" s="931"/>
      <c r="P25" s="931"/>
      <c r="Q25" s="931"/>
      <c r="R25" s="931"/>
      <c r="S25" s="931"/>
      <c r="T25" s="931"/>
      <c r="U25" s="931"/>
      <c r="V25" s="931"/>
      <c r="W25" s="932"/>
      <c r="X25" s="874"/>
    </row>
    <row r="26" spans="1:24" ht="12.95" customHeight="1" thickBot="1">
      <c r="A26" s="885"/>
      <c r="B26" s="11" t="s">
        <v>25</v>
      </c>
      <c r="C26" s="12"/>
      <c r="D26" s="927" t="s">
        <v>78</v>
      </c>
      <c r="E26" s="928"/>
      <c r="F26" s="928"/>
      <c r="G26" s="929"/>
      <c r="H26" s="927" t="s">
        <v>77</v>
      </c>
      <c r="I26" s="928"/>
      <c r="J26" s="928"/>
      <c r="K26" s="929"/>
      <c r="L26" s="927" t="s">
        <v>81</v>
      </c>
      <c r="M26" s="928"/>
      <c r="N26" s="928"/>
      <c r="O26" s="929"/>
      <c r="P26" s="927" t="s">
        <v>254</v>
      </c>
      <c r="Q26" s="928"/>
      <c r="R26" s="928"/>
      <c r="S26" s="929"/>
      <c r="T26" s="927" t="s">
        <v>76</v>
      </c>
      <c r="U26" s="928"/>
      <c r="V26" s="928"/>
      <c r="W26" s="929"/>
      <c r="X26" s="874"/>
    </row>
    <row r="27" spans="1:24" ht="13.5" thickBot="1">
      <c r="A27" s="885"/>
      <c r="B27" s="868" t="s">
        <v>49</v>
      </c>
      <c r="C27" s="9" t="s">
        <v>2</v>
      </c>
      <c r="D27" s="942">
        <v>1</v>
      </c>
      <c r="E27" s="943"/>
      <c r="F27" s="943"/>
      <c r="G27" s="944"/>
      <c r="H27" s="942">
        <v>1</v>
      </c>
      <c r="I27" s="943"/>
      <c r="J27" s="943"/>
      <c r="K27" s="944"/>
      <c r="L27" s="942">
        <v>1.25</v>
      </c>
      <c r="M27" s="943"/>
      <c r="N27" s="943"/>
      <c r="O27" s="944"/>
      <c r="P27" s="942">
        <v>1.8</v>
      </c>
      <c r="Q27" s="943"/>
      <c r="R27" s="943"/>
      <c r="S27" s="944"/>
      <c r="T27" s="1262">
        <v>2.5</v>
      </c>
      <c r="U27" s="1263"/>
      <c r="V27" s="1263"/>
      <c r="W27" s="1264"/>
      <c r="X27" s="874"/>
    </row>
    <row r="28" spans="1:24" ht="13.5" thickBot="1">
      <c r="A28" s="885"/>
      <c r="B28" s="885"/>
      <c r="C28" s="10" t="s">
        <v>3</v>
      </c>
      <c r="D28" s="957"/>
      <c r="E28" s="958"/>
      <c r="F28" s="958"/>
      <c r="G28" s="959"/>
      <c r="H28" s="963">
        <v>2</v>
      </c>
      <c r="I28" s="964"/>
      <c r="J28" s="964"/>
      <c r="K28" s="965"/>
      <c r="L28" s="963">
        <v>2.6</v>
      </c>
      <c r="M28" s="964"/>
      <c r="N28" s="964"/>
      <c r="O28" s="965"/>
      <c r="P28" s="963">
        <v>2.2999999999999998</v>
      </c>
      <c r="Q28" s="964"/>
      <c r="R28" s="964"/>
      <c r="S28" s="965"/>
      <c r="T28" s="963">
        <v>0</v>
      </c>
      <c r="U28" s="964"/>
      <c r="V28" s="964"/>
      <c r="W28" s="965"/>
      <c r="X28" s="874"/>
    </row>
    <row r="29" spans="1:24" ht="12.95" customHeight="1" thickBot="1">
      <c r="A29" s="885"/>
      <c r="B29" s="885"/>
      <c r="C29" s="1258" t="s">
        <v>170</v>
      </c>
      <c r="D29" s="927" t="s">
        <v>4</v>
      </c>
      <c r="E29" s="928"/>
      <c r="F29" s="928"/>
      <c r="G29" s="928"/>
      <c r="H29" s="928"/>
      <c r="I29" s="928"/>
      <c r="J29" s="928"/>
      <c r="K29" s="928"/>
      <c r="L29" s="928"/>
      <c r="M29" s="928"/>
      <c r="N29" s="928"/>
      <c r="O29" s="928"/>
      <c r="P29" s="928"/>
      <c r="Q29" s="928"/>
      <c r="R29" s="928"/>
      <c r="S29" s="928"/>
      <c r="T29" s="928"/>
      <c r="U29" s="928"/>
      <c r="V29" s="928"/>
      <c r="W29" s="928"/>
      <c r="X29" s="874"/>
    </row>
    <row r="30" spans="1:24" ht="12.95" customHeight="1" thickBot="1">
      <c r="A30" s="885"/>
      <c r="B30" s="869"/>
      <c r="C30" s="1259"/>
      <c r="D30" s="930" t="s">
        <v>116</v>
      </c>
      <c r="E30" s="931"/>
      <c r="F30" s="931"/>
      <c r="G30" s="931"/>
      <c r="H30" s="931"/>
      <c r="I30" s="931"/>
      <c r="J30" s="931"/>
      <c r="K30" s="931"/>
      <c r="L30" s="931"/>
      <c r="M30" s="931"/>
      <c r="N30" s="931"/>
      <c r="O30" s="931"/>
      <c r="P30" s="931"/>
      <c r="Q30" s="931"/>
      <c r="R30" s="931"/>
      <c r="S30" s="931"/>
      <c r="T30" s="931"/>
      <c r="U30" s="931"/>
      <c r="V30" s="931"/>
      <c r="W30" s="932"/>
      <c r="X30" s="874"/>
    </row>
    <row r="31" spans="1:24" ht="12.95" customHeight="1" thickBot="1">
      <c r="A31" s="885"/>
      <c r="B31" s="11" t="s">
        <v>37</v>
      </c>
      <c r="C31" s="12"/>
      <c r="D31" s="927" t="s">
        <v>78</v>
      </c>
      <c r="E31" s="928"/>
      <c r="F31" s="928"/>
      <c r="G31" s="929"/>
      <c r="H31" s="927" t="s">
        <v>77</v>
      </c>
      <c r="I31" s="928"/>
      <c r="J31" s="928"/>
      <c r="K31" s="929"/>
      <c r="L31" s="927" t="s">
        <v>81</v>
      </c>
      <c r="M31" s="928"/>
      <c r="N31" s="928"/>
      <c r="O31" s="929"/>
      <c r="P31" s="927" t="s">
        <v>254</v>
      </c>
      <c r="Q31" s="928"/>
      <c r="R31" s="928"/>
      <c r="S31" s="929"/>
      <c r="T31" s="927" t="s">
        <v>76</v>
      </c>
      <c r="U31" s="928"/>
      <c r="V31" s="928"/>
      <c r="W31" s="929"/>
      <c r="X31" s="874"/>
    </row>
    <row r="32" spans="1:24" ht="33" customHeight="1" thickBot="1">
      <c r="A32" s="885"/>
      <c r="B32" s="868" t="s">
        <v>148</v>
      </c>
      <c r="C32" s="9"/>
      <c r="D32" s="17" t="s">
        <v>106</v>
      </c>
      <c r="E32" s="17" t="s">
        <v>107</v>
      </c>
      <c r="F32" s="17" t="s">
        <v>108</v>
      </c>
      <c r="G32" s="17" t="s">
        <v>109</v>
      </c>
      <c r="H32" s="17" t="s">
        <v>106</v>
      </c>
      <c r="I32" s="17" t="s">
        <v>107</v>
      </c>
      <c r="J32" s="17" t="s">
        <v>108</v>
      </c>
      <c r="K32" s="17" t="s">
        <v>109</v>
      </c>
      <c r="L32" s="17" t="s">
        <v>106</v>
      </c>
      <c r="M32" s="17" t="s">
        <v>107</v>
      </c>
      <c r="N32" s="17" t="s">
        <v>108</v>
      </c>
      <c r="O32" s="17" t="s">
        <v>109</v>
      </c>
      <c r="P32" s="17" t="s">
        <v>106</v>
      </c>
      <c r="Q32" s="17" t="s">
        <v>107</v>
      </c>
      <c r="R32" s="17" t="s">
        <v>108</v>
      </c>
      <c r="S32" s="17" t="s">
        <v>109</v>
      </c>
      <c r="T32" s="17" t="s">
        <v>106</v>
      </c>
      <c r="U32" s="17" t="s">
        <v>107</v>
      </c>
      <c r="V32" s="17" t="s">
        <v>108</v>
      </c>
      <c r="W32" s="17" t="s">
        <v>109</v>
      </c>
      <c r="X32" s="874"/>
    </row>
    <row r="33" spans="1:24" ht="13.5" thickBot="1">
      <c r="A33" s="885"/>
      <c r="B33" s="885"/>
      <c r="C33" s="9" t="s">
        <v>2</v>
      </c>
      <c r="D33" s="18">
        <v>0</v>
      </c>
      <c r="E33" s="18">
        <v>2</v>
      </c>
      <c r="F33" s="18">
        <v>0</v>
      </c>
      <c r="G33" s="18">
        <v>0</v>
      </c>
      <c r="H33" s="18">
        <v>1</v>
      </c>
      <c r="I33" s="18">
        <v>9</v>
      </c>
      <c r="J33" s="18">
        <v>0</v>
      </c>
      <c r="K33" s="18">
        <v>2</v>
      </c>
      <c r="L33" s="18">
        <v>1</v>
      </c>
      <c r="M33" s="18">
        <v>13</v>
      </c>
      <c r="N33" s="18">
        <v>1</v>
      </c>
      <c r="O33" s="18">
        <v>13</v>
      </c>
      <c r="P33" s="18">
        <v>2</v>
      </c>
      <c r="Q33" s="18">
        <v>14</v>
      </c>
      <c r="R33" s="18">
        <v>2</v>
      </c>
      <c r="S33" s="18">
        <v>15</v>
      </c>
      <c r="T33" s="823">
        <v>4</v>
      </c>
      <c r="U33" s="18">
        <v>15</v>
      </c>
      <c r="V33" s="18">
        <v>4</v>
      </c>
      <c r="W33" s="18">
        <v>15</v>
      </c>
      <c r="X33" s="874"/>
    </row>
    <row r="34" spans="1:24" ht="13.5" thickBot="1">
      <c r="A34" s="885"/>
      <c r="B34" s="93" t="s">
        <v>145</v>
      </c>
      <c r="C34" s="10" t="s">
        <v>3</v>
      </c>
      <c r="D34" s="986"/>
      <c r="E34" s="987"/>
      <c r="F34" s="987"/>
      <c r="G34" s="988"/>
      <c r="H34" s="68">
        <v>2</v>
      </c>
      <c r="I34" s="68">
        <v>8</v>
      </c>
      <c r="J34" s="68">
        <v>8</v>
      </c>
      <c r="K34" s="68">
        <v>10</v>
      </c>
      <c r="L34" s="68">
        <v>1</v>
      </c>
      <c r="M34" s="68">
        <v>12</v>
      </c>
      <c r="N34" s="68">
        <v>1</v>
      </c>
      <c r="O34" s="68">
        <v>15</v>
      </c>
      <c r="P34" s="68">
        <v>2</v>
      </c>
      <c r="Q34" s="68">
        <v>14</v>
      </c>
      <c r="R34" s="68">
        <v>1</v>
      </c>
      <c r="S34" s="68">
        <v>15</v>
      </c>
      <c r="T34" s="68">
        <v>0</v>
      </c>
      <c r="U34" s="68">
        <v>0</v>
      </c>
      <c r="V34" s="68">
        <v>0</v>
      </c>
      <c r="W34" s="68">
        <v>0</v>
      </c>
      <c r="X34" s="874"/>
    </row>
    <row r="35" spans="1:24" ht="12.95" customHeight="1" thickBot="1">
      <c r="A35" s="885"/>
      <c r="B35" s="93" t="s">
        <v>147</v>
      </c>
      <c r="C35" s="1258" t="s">
        <v>170</v>
      </c>
      <c r="D35" s="927" t="s">
        <v>4</v>
      </c>
      <c r="E35" s="928"/>
      <c r="F35" s="928"/>
      <c r="G35" s="928"/>
      <c r="H35" s="928"/>
      <c r="I35" s="928"/>
      <c r="J35" s="928"/>
      <c r="K35" s="928"/>
      <c r="L35" s="928"/>
      <c r="M35" s="928"/>
      <c r="N35" s="928"/>
      <c r="O35" s="928"/>
      <c r="P35" s="928"/>
      <c r="Q35" s="928"/>
      <c r="R35" s="928"/>
      <c r="S35" s="928"/>
      <c r="T35" s="928"/>
      <c r="U35" s="928"/>
      <c r="V35" s="928"/>
      <c r="W35" s="928"/>
      <c r="X35" s="874"/>
    </row>
    <row r="36" spans="1:24" ht="12.95" customHeight="1" thickBot="1">
      <c r="A36" s="869"/>
      <c r="B36" s="94" t="s">
        <v>146</v>
      </c>
      <c r="C36" s="1259"/>
      <c r="D36" s="930" t="s">
        <v>117</v>
      </c>
      <c r="E36" s="931"/>
      <c r="F36" s="931"/>
      <c r="G36" s="931"/>
      <c r="H36" s="931"/>
      <c r="I36" s="931"/>
      <c r="J36" s="931"/>
      <c r="K36" s="931"/>
      <c r="L36" s="931"/>
      <c r="M36" s="931"/>
      <c r="N36" s="931"/>
      <c r="O36" s="931"/>
      <c r="P36" s="931"/>
      <c r="Q36" s="931"/>
      <c r="R36" s="931"/>
      <c r="S36" s="931"/>
      <c r="T36" s="931"/>
      <c r="U36" s="931"/>
      <c r="V36" s="931"/>
      <c r="W36" s="932"/>
      <c r="X36" s="875"/>
    </row>
    <row r="37" spans="1:24">
      <c r="A37" s="5"/>
      <c r="B37" s="5"/>
      <c r="C37" s="14"/>
      <c r="D37" s="5"/>
      <c r="E37" s="5"/>
      <c r="F37" s="5"/>
      <c r="G37" s="5"/>
      <c r="H37" s="5"/>
      <c r="I37" s="5"/>
      <c r="J37" s="5"/>
      <c r="K37" s="5"/>
      <c r="L37" s="5"/>
      <c r="M37" s="5"/>
      <c r="N37" s="5"/>
      <c r="O37" s="5"/>
      <c r="P37" s="5"/>
      <c r="Q37" s="5"/>
      <c r="R37" s="5"/>
      <c r="S37" s="5"/>
      <c r="T37" s="5"/>
      <c r="U37" s="5"/>
      <c r="V37" s="5"/>
      <c r="W37" s="5"/>
      <c r="X37" s="5"/>
    </row>
    <row r="38" spans="1:24" ht="13.5" thickBot="1">
      <c r="A38" s="5"/>
      <c r="B38" s="5"/>
      <c r="C38" s="6"/>
      <c r="D38" s="5"/>
      <c r="E38" s="5"/>
      <c r="F38" s="5"/>
      <c r="G38" s="5"/>
      <c r="H38" s="5"/>
      <c r="I38" s="5"/>
      <c r="J38" s="5"/>
      <c r="K38" s="5"/>
      <c r="L38" s="5"/>
      <c r="M38" s="5"/>
      <c r="N38" s="5"/>
      <c r="O38" s="5"/>
      <c r="P38" s="5"/>
      <c r="Q38" s="5"/>
      <c r="R38" s="5"/>
      <c r="S38" s="5"/>
      <c r="T38" s="5"/>
      <c r="U38" s="5"/>
      <c r="V38" s="5"/>
      <c r="W38" s="5"/>
      <c r="X38" s="5"/>
    </row>
    <row r="39" spans="1:24" ht="12.95" customHeight="1" thickBot="1">
      <c r="A39" s="7" t="s">
        <v>5</v>
      </c>
      <c r="B39" s="97" t="s">
        <v>22</v>
      </c>
      <c r="C39" s="8"/>
      <c r="D39" s="927" t="s">
        <v>78</v>
      </c>
      <c r="E39" s="928"/>
      <c r="F39" s="928"/>
      <c r="G39" s="929"/>
      <c r="H39" s="927" t="s">
        <v>77</v>
      </c>
      <c r="I39" s="928"/>
      <c r="J39" s="928"/>
      <c r="K39" s="929"/>
      <c r="L39" s="927" t="s">
        <v>81</v>
      </c>
      <c r="M39" s="928"/>
      <c r="N39" s="928"/>
      <c r="O39" s="929"/>
      <c r="P39" s="927" t="s">
        <v>254</v>
      </c>
      <c r="Q39" s="928"/>
      <c r="R39" s="928"/>
      <c r="S39" s="929"/>
      <c r="T39" s="927" t="s">
        <v>76</v>
      </c>
      <c r="U39" s="928"/>
      <c r="V39" s="928"/>
      <c r="W39" s="929"/>
      <c r="X39" s="19" t="s">
        <v>6</v>
      </c>
    </row>
    <row r="40" spans="1:24" ht="12.95" customHeight="1" thickBot="1">
      <c r="A40" s="868" t="s">
        <v>54</v>
      </c>
      <c r="B40" s="868" t="s">
        <v>55</v>
      </c>
      <c r="C40" s="9" t="s">
        <v>2</v>
      </c>
      <c r="D40" s="942">
        <v>2</v>
      </c>
      <c r="E40" s="943"/>
      <c r="F40" s="943"/>
      <c r="G40" s="944"/>
      <c r="H40" s="942">
        <v>2</v>
      </c>
      <c r="I40" s="943"/>
      <c r="J40" s="943"/>
      <c r="K40" s="944"/>
      <c r="L40" s="942">
        <v>2.8</v>
      </c>
      <c r="M40" s="943"/>
      <c r="N40" s="943"/>
      <c r="O40" s="944"/>
      <c r="P40" s="942">
        <v>3.2</v>
      </c>
      <c r="Q40" s="943"/>
      <c r="R40" s="943"/>
      <c r="S40" s="944"/>
      <c r="T40" s="1262">
        <v>3.9</v>
      </c>
      <c r="U40" s="1263"/>
      <c r="V40" s="1263"/>
      <c r="W40" s="1264"/>
      <c r="X40" s="879" t="s">
        <v>95</v>
      </c>
    </row>
    <row r="41" spans="1:24" ht="13.5" thickBot="1">
      <c r="A41" s="885"/>
      <c r="B41" s="885"/>
      <c r="C41" s="10" t="s">
        <v>3</v>
      </c>
      <c r="D41" s="957"/>
      <c r="E41" s="958"/>
      <c r="F41" s="958"/>
      <c r="G41" s="959"/>
      <c r="H41" s="963">
        <v>2</v>
      </c>
      <c r="I41" s="964"/>
      <c r="J41" s="964"/>
      <c r="K41" s="965"/>
      <c r="L41" s="963">
        <v>2.9</v>
      </c>
      <c r="M41" s="964"/>
      <c r="N41" s="964"/>
      <c r="O41" s="965"/>
      <c r="P41" s="963">
        <v>4</v>
      </c>
      <c r="Q41" s="964"/>
      <c r="R41" s="964"/>
      <c r="S41" s="965"/>
      <c r="T41" s="963">
        <v>0</v>
      </c>
      <c r="U41" s="964"/>
      <c r="V41" s="964"/>
      <c r="W41" s="965"/>
      <c r="X41" s="880"/>
    </row>
    <row r="42" spans="1:24" ht="12.95" customHeight="1" thickBot="1">
      <c r="A42" s="885"/>
      <c r="B42" s="885"/>
      <c r="C42" s="1258" t="s">
        <v>170</v>
      </c>
      <c r="D42" s="927" t="s">
        <v>4</v>
      </c>
      <c r="E42" s="928"/>
      <c r="F42" s="928"/>
      <c r="G42" s="928"/>
      <c r="H42" s="928"/>
      <c r="I42" s="928"/>
      <c r="J42" s="928"/>
      <c r="K42" s="928"/>
      <c r="L42" s="928"/>
      <c r="M42" s="928"/>
      <c r="N42" s="928"/>
      <c r="O42" s="928"/>
      <c r="P42" s="928"/>
      <c r="Q42" s="928"/>
      <c r="R42" s="928"/>
      <c r="S42" s="928"/>
      <c r="T42" s="928"/>
      <c r="U42" s="928"/>
      <c r="V42" s="928"/>
      <c r="W42" s="928"/>
      <c r="X42" s="880"/>
    </row>
    <row r="43" spans="1:24" ht="12.95" customHeight="1" thickBot="1">
      <c r="A43" s="885"/>
      <c r="B43" s="869"/>
      <c r="C43" s="1259"/>
      <c r="D43" s="930" t="s">
        <v>115</v>
      </c>
      <c r="E43" s="931"/>
      <c r="F43" s="931"/>
      <c r="G43" s="931"/>
      <c r="H43" s="931"/>
      <c r="I43" s="931"/>
      <c r="J43" s="931"/>
      <c r="K43" s="931"/>
      <c r="L43" s="931"/>
      <c r="M43" s="931"/>
      <c r="N43" s="931"/>
      <c r="O43" s="931"/>
      <c r="P43" s="931"/>
      <c r="Q43" s="931"/>
      <c r="R43" s="931"/>
      <c r="S43" s="931"/>
      <c r="T43" s="931"/>
      <c r="U43" s="931"/>
      <c r="V43" s="931"/>
      <c r="W43" s="932"/>
      <c r="X43" s="880"/>
    </row>
    <row r="44" spans="1:24" ht="12.95" customHeight="1" thickBot="1">
      <c r="A44" s="885"/>
      <c r="B44" s="11" t="s">
        <v>23</v>
      </c>
      <c r="C44" s="12"/>
      <c r="D44" s="927" t="s">
        <v>78</v>
      </c>
      <c r="E44" s="928"/>
      <c r="F44" s="928"/>
      <c r="G44" s="929"/>
      <c r="H44" s="927" t="s">
        <v>77</v>
      </c>
      <c r="I44" s="928"/>
      <c r="J44" s="928"/>
      <c r="K44" s="929"/>
      <c r="L44" s="927" t="s">
        <v>81</v>
      </c>
      <c r="M44" s="928"/>
      <c r="N44" s="928"/>
      <c r="O44" s="929"/>
      <c r="P44" s="927" t="s">
        <v>254</v>
      </c>
      <c r="Q44" s="928"/>
      <c r="R44" s="928"/>
      <c r="S44" s="929"/>
      <c r="T44" s="927" t="s">
        <v>76</v>
      </c>
      <c r="U44" s="928"/>
      <c r="V44" s="928"/>
      <c r="W44" s="929"/>
      <c r="X44" s="880"/>
    </row>
    <row r="45" spans="1:24" ht="13.5" thickBot="1">
      <c r="A45" s="885"/>
      <c r="B45" s="868" t="s">
        <v>56</v>
      </c>
      <c r="C45" s="9" t="s">
        <v>2</v>
      </c>
      <c r="D45" s="942">
        <v>1</v>
      </c>
      <c r="E45" s="943"/>
      <c r="F45" s="943"/>
      <c r="G45" s="944"/>
      <c r="H45" s="942">
        <v>1</v>
      </c>
      <c r="I45" s="943"/>
      <c r="J45" s="943"/>
      <c r="K45" s="944"/>
      <c r="L45" s="942">
        <v>1.25</v>
      </c>
      <c r="M45" s="943"/>
      <c r="N45" s="943"/>
      <c r="O45" s="944"/>
      <c r="P45" s="942">
        <v>3</v>
      </c>
      <c r="Q45" s="943"/>
      <c r="R45" s="943"/>
      <c r="S45" s="944"/>
      <c r="T45" s="1275">
        <v>4</v>
      </c>
      <c r="U45" s="1276"/>
      <c r="V45" s="1276"/>
      <c r="W45" s="1277"/>
      <c r="X45" s="880"/>
    </row>
    <row r="46" spans="1:24" ht="13.5" thickBot="1">
      <c r="A46" s="885"/>
      <c r="B46" s="885"/>
      <c r="C46" s="10" t="s">
        <v>3</v>
      </c>
      <c r="D46" s="957"/>
      <c r="E46" s="958"/>
      <c r="F46" s="958"/>
      <c r="G46" s="959"/>
      <c r="H46" s="963">
        <v>3</v>
      </c>
      <c r="I46" s="964"/>
      <c r="J46" s="964"/>
      <c r="K46" s="965"/>
      <c r="L46" s="963">
        <v>2.5</v>
      </c>
      <c r="M46" s="964"/>
      <c r="N46" s="964"/>
      <c r="O46" s="965"/>
      <c r="P46" s="963">
        <v>3.3</v>
      </c>
      <c r="Q46" s="964"/>
      <c r="R46" s="964"/>
      <c r="S46" s="965"/>
      <c r="T46" s="963">
        <v>0</v>
      </c>
      <c r="U46" s="964"/>
      <c r="V46" s="964"/>
      <c r="W46" s="965"/>
      <c r="X46" s="880"/>
    </row>
    <row r="47" spans="1:24" ht="12.95" customHeight="1" thickBot="1">
      <c r="A47" s="885"/>
      <c r="B47" s="885"/>
      <c r="C47" s="1258" t="s">
        <v>170</v>
      </c>
      <c r="D47" s="927" t="s">
        <v>4</v>
      </c>
      <c r="E47" s="928"/>
      <c r="F47" s="928"/>
      <c r="G47" s="928"/>
      <c r="H47" s="928"/>
      <c r="I47" s="928"/>
      <c r="J47" s="928"/>
      <c r="K47" s="928"/>
      <c r="L47" s="928"/>
      <c r="M47" s="928"/>
      <c r="N47" s="928"/>
      <c r="O47" s="928"/>
      <c r="P47" s="928"/>
      <c r="Q47" s="928"/>
      <c r="R47" s="928"/>
      <c r="S47" s="928"/>
      <c r="T47" s="928"/>
      <c r="U47" s="928"/>
      <c r="V47" s="928"/>
      <c r="W47" s="928"/>
      <c r="X47" s="880"/>
    </row>
    <row r="48" spans="1:24" ht="12.95" customHeight="1" thickBot="1">
      <c r="A48" s="885"/>
      <c r="B48" s="869"/>
      <c r="C48" s="1259"/>
      <c r="D48" s="930" t="s">
        <v>115</v>
      </c>
      <c r="E48" s="931"/>
      <c r="F48" s="931"/>
      <c r="G48" s="931"/>
      <c r="H48" s="931"/>
      <c r="I48" s="931"/>
      <c r="J48" s="931"/>
      <c r="K48" s="931"/>
      <c r="L48" s="931"/>
      <c r="M48" s="931"/>
      <c r="N48" s="931"/>
      <c r="O48" s="931"/>
      <c r="P48" s="931"/>
      <c r="Q48" s="931"/>
      <c r="R48" s="931"/>
      <c r="S48" s="931"/>
      <c r="T48" s="931"/>
      <c r="U48" s="931"/>
      <c r="V48" s="931"/>
      <c r="W48" s="932"/>
      <c r="X48" s="880"/>
    </row>
    <row r="49" spans="1:24" ht="12.95" customHeight="1" thickBot="1">
      <c r="A49" s="885"/>
      <c r="B49" s="11" t="s">
        <v>38</v>
      </c>
      <c r="C49" s="12"/>
      <c r="D49" s="927" t="s">
        <v>78</v>
      </c>
      <c r="E49" s="928"/>
      <c r="F49" s="928"/>
      <c r="G49" s="929"/>
      <c r="H49" s="927" t="s">
        <v>77</v>
      </c>
      <c r="I49" s="928"/>
      <c r="J49" s="928"/>
      <c r="K49" s="929"/>
      <c r="L49" s="927" t="s">
        <v>81</v>
      </c>
      <c r="M49" s="928"/>
      <c r="N49" s="928"/>
      <c r="O49" s="929"/>
      <c r="P49" s="927" t="s">
        <v>254</v>
      </c>
      <c r="Q49" s="928"/>
      <c r="R49" s="928"/>
      <c r="S49" s="929"/>
      <c r="T49" s="927" t="s">
        <v>76</v>
      </c>
      <c r="U49" s="928"/>
      <c r="V49" s="928"/>
      <c r="W49" s="929"/>
      <c r="X49" s="880"/>
    </row>
    <row r="50" spans="1:24" ht="12.95" customHeight="1" thickBot="1">
      <c r="A50" s="885"/>
      <c r="B50" s="868" t="s">
        <v>155</v>
      </c>
      <c r="C50" s="9" t="s">
        <v>2</v>
      </c>
      <c r="D50" s="933" t="s">
        <v>171</v>
      </c>
      <c r="E50" s="934"/>
      <c r="F50" s="934"/>
      <c r="G50" s="935"/>
      <c r="H50" s="966" t="s">
        <v>572</v>
      </c>
      <c r="I50" s="967"/>
      <c r="J50" s="967"/>
      <c r="K50" s="968"/>
      <c r="L50" s="942">
        <v>2.9</v>
      </c>
      <c r="M50" s="943"/>
      <c r="N50" s="943"/>
      <c r="O50" s="944"/>
      <c r="P50" s="942">
        <v>3</v>
      </c>
      <c r="Q50" s="943"/>
      <c r="R50" s="943"/>
      <c r="S50" s="944"/>
      <c r="T50" s="1275">
        <v>4</v>
      </c>
      <c r="U50" s="1276"/>
      <c r="V50" s="1276"/>
      <c r="W50" s="1277"/>
      <c r="X50" s="880"/>
    </row>
    <row r="51" spans="1:24" ht="13.5" thickBot="1">
      <c r="A51" s="885"/>
      <c r="B51" s="885"/>
      <c r="C51" s="98" t="s">
        <v>3</v>
      </c>
      <c r="D51" s="933"/>
      <c r="E51" s="934"/>
      <c r="F51" s="934"/>
      <c r="G51" s="935"/>
      <c r="H51" s="933"/>
      <c r="I51" s="934"/>
      <c r="J51" s="934"/>
      <c r="K51" s="935"/>
      <c r="L51" s="1171"/>
      <c r="M51" s="1172"/>
      <c r="N51" s="1172"/>
      <c r="O51" s="1173"/>
      <c r="P51" s="963">
        <v>3.5</v>
      </c>
      <c r="Q51" s="964"/>
      <c r="R51" s="964"/>
      <c r="S51" s="965"/>
      <c r="T51" s="963">
        <v>0</v>
      </c>
      <c r="U51" s="964"/>
      <c r="V51" s="964"/>
      <c r="W51" s="965"/>
      <c r="X51" s="880"/>
    </row>
    <row r="52" spans="1:24" ht="12.95" customHeight="1" thickBot="1">
      <c r="A52" s="885"/>
      <c r="B52" s="885"/>
      <c r="C52" s="922" t="s">
        <v>170</v>
      </c>
      <c r="D52" s="927" t="s">
        <v>4</v>
      </c>
      <c r="E52" s="928"/>
      <c r="F52" s="928"/>
      <c r="G52" s="928"/>
      <c r="H52" s="928"/>
      <c r="I52" s="928"/>
      <c r="J52" s="928"/>
      <c r="K52" s="928"/>
      <c r="L52" s="928"/>
      <c r="M52" s="928"/>
      <c r="N52" s="928"/>
      <c r="O52" s="928"/>
      <c r="P52" s="928"/>
      <c r="Q52" s="928"/>
      <c r="R52" s="928"/>
      <c r="S52" s="928"/>
      <c r="T52" s="928"/>
      <c r="U52" s="928"/>
      <c r="V52" s="928"/>
      <c r="W52" s="928"/>
      <c r="X52" s="880"/>
    </row>
    <row r="53" spans="1:24" ht="12.95" customHeight="1" thickBot="1">
      <c r="A53" s="885"/>
      <c r="B53" s="869"/>
      <c r="C53" s="923"/>
      <c r="D53" s="930" t="s">
        <v>115</v>
      </c>
      <c r="E53" s="931"/>
      <c r="F53" s="931"/>
      <c r="G53" s="931"/>
      <c r="H53" s="931"/>
      <c r="I53" s="931"/>
      <c r="J53" s="931"/>
      <c r="K53" s="931"/>
      <c r="L53" s="931"/>
      <c r="M53" s="931"/>
      <c r="N53" s="931"/>
      <c r="O53" s="931"/>
      <c r="P53" s="931"/>
      <c r="Q53" s="931"/>
      <c r="R53" s="931"/>
      <c r="S53" s="931"/>
      <c r="T53" s="931"/>
      <c r="U53" s="931"/>
      <c r="V53" s="931"/>
      <c r="W53" s="932"/>
      <c r="X53" s="880"/>
    </row>
    <row r="54" spans="1:24" ht="12.95" customHeight="1" thickBot="1">
      <c r="A54" s="885"/>
      <c r="B54" s="11" t="s">
        <v>39</v>
      </c>
      <c r="C54" s="12"/>
      <c r="D54" s="927" t="s">
        <v>78</v>
      </c>
      <c r="E54" s="928"/>
      <c r="F54" s="928"/>
      <c r="G54" s="929"/>
      <c r="H54" s="927" t="s">
        <v>77</v>
      </c>
      <c r="I54" s="928"/>
      <c r="J54" s="928"/>
      <c r="K54" s="929"/>
      <c r="L54" s="927" t="s">
        <v>81</v>
      </c>
      <c r="M54" s="928"/>
      <c r="N54" s="928"/>
      <c r="O54" s="929"/>
      <c r="P54" s="927" t="s">
        <v>254</v>
      </c>
      <c r="Q54" s="928"/>
      <c r="R54" s="928"/>
      <c r="S54" s="929"/>
      <c r="T54" s="927" t="s">
        <v>76</v>
      </c>
      <c r="U54" s="928"/>
      <c r="V54" s="928"/>
      <c r="W54" s="929"/>
      <c r="X54" s="880"/>
    </row>
    <row r="55" spans="1:24" ht="44.1" customHeight="1" thickBot="1">
      <c r="A55" s="885"/>
      <c r="B55" s="978" t="s">
        <v>575</v>
      </c>
      <c r="C55" s="9"/>
      <c r="D55" s="20" t="s">
        <v>105</v>
      </c>
      <c r="E55" s="20" t="s">
        <v>579</v>
      </c>
      <c r="F55" s="20" t="s">
        <v>580</v>
      </c>
      <c r="G55" s="20" t="s">
        <v>581</v>
      </c>
      <c r="H55" s="20" t="s">
        <v>105</v>
      </c>
      <c r="I55" s="20" t="s">
        <v>579</v>
      </c>
      <c r="J55" s="20" t="s">
        <v>580</v>
      </c>
      <c r="K55" s="20" t="s">
        <v>581</v>
      </c>
      <c r="L55" s="20" t="s">
        <v>105</v>
      </c>
      <c r="M55" s="20" t="s">
        <v>579</v>
      </c>
      <c r="N55" s="20" t="s">
        <v>580</v>
      </c>
      <c r="O55" s="20" t="s">
        <v>581</v>
      </c>
      <c r="P55" s="20" t="s">
        <v>105</v>
      </c>
      <c r="Q55" s="20" t="s">
        <v>579</v>
      </c>
      <c r="R55" s="20" t="s">
        <v>580</v>
      </c>
      <c r="S55" s="20" t="s">
        <v>581</v>
      </c>
      <c r="T55" s="20" t="s">
        <v>105</v>
      </c>
      <c r="U55" s="20" t="s">
        <v>579</v>
      </c>
      <c r="V55" s="20" t="s">
        <v>580</v>
      </c>
      <c r="W55" s="20" t="s">
        <v>581</v>
      </c>
      <c r="X55" s="880"/>
    </row>
    <row r="56" spans="1:24" ht="13.5" thickBot="1">
      <c r="A56" s="885"/>
      <c r="B56" s="979"/>
      <c r="C56" s="9" t="s">
        <v>2</v>
      </c>
      <c r="D56" s="18">
        <v>0</v>
      </c>
      <c r="E56" s="18">
        <v>0</v>
      </c>
      <c r="F56" s="18">
        <v>0</v>
      </c>
      <c r="G56" s="18">
        <v>0</v>
      </c>
      <c r="H56" s="18">
        <v>2</v>
      </c>
      <c r="I56" s="18">
        <v>0</v>
      </c>
      <c r="J56" s="18">
        <v>0</v>
      </c>
      <c r="K56" s="18">
        <v>0</v>
      </c>
      <c r="L56" s="18">
        <v>4</v>
      </c>
      <c r="M56" s="18">
        <v>2</v>
      </c>
      <c r="N56" s="18">
        <v>1</v>
      </c>
      <c r="O56" s="18">
        <v>0</v>
      </c>
      <c r="P56" s="18">
        <v>6</v>
      </c>
      <c r="Q56" s="18">
        <v>3</v>
      </c>
      <c r="R56" s="18">
        <v>2</v>
      </c>
      <c r="S56" s="18">
        <v>0</v>
      </c>
      <c r="T56" s="18">
        <v>7</v>
      </c>
      <c r="U56" s="18">
        <v>4</v>
      </c>
      <c r="V56" s="774">
        <v>2</v>
      </c>
      <c r="W56" s="18">
        <v>1</v>
      </c>
      <c r="X56" s="880"/>
    </row>
    <row r="57" spans="1:24" ht="24" customHeight="1" thickBot="1">
      <c r="A57" s="885"/>
      <c r="B57" s="169" t="s">
        <v>159</v>
      </c>
      <c r="C57" s="10" t="s">
        <v>3</v>
      </c>
      <c r="D57" s="933" t="s">
        <v>271</v>
      </c>
      <c r="E57" s="934"/>
      <c r="F57" s="934"/>
      <c r="G57" s="935"/>
      <c r="H57" s="68">
        <v>0</v>
      </c>
      <c r="I57" s="68">
        <v>0</v>
      </c>
      <c r="J57" s="68">
        <v>0</v>
      </c>
      <c r="K57" s="68">
        <v>0</v>
      </c>
      <c r="L57" s="68">
        <v>5</v>
      </c>
      <c r="M57" s="68">
        <v>3</v>
      </c>
      <c r="N57" s="68">
        <v>1</v>
      </c>
      <c r="O57" s="68">
        <v>0</v>
      </c>
      <c r="P57" s="68">
        <v>8</v>
      </c>
      <c r="Q57" s="68">
        <v>4</v>
      </c>
      <c r="R57" s="68">
        <v>2</v>
      </c>
      <c r="S57" s="68">
        <v>0</v>
      </c>
      <c r="T57" s="68">
        <v>0</v>
      </c>
      <c r="U57" s="68">
        <v>0</v>
      </c>
      <c r="V57" s="68">
        <v>0</v>
      </c>
      <c r="W57" s="68">
        <v>0</v>
      </c>
      <c r="X57" s="880"/>
    </row>
    <row r="58" spans="1:24" ht="36.75" thickBot="1">
      <c r="A58" s="885"/>
      <c r="B58" s="169" t="s">
        <v>576</v>
      </c>
      <c r="C58" s="1258" t="s">
        <v>170</v>
      </c>
      <c r="D58" s="927" t="s">
        <v>4</v>
      </c>
      <c r="E58" s="928"/>
      <c r="F58" s="928"/>
      <c r="G58" s="928"/>
      <c r="H58" s="928"/>
      <c r="I58" s="928"/>
      <c r="J58" s="928"/>
      <c r="K58" s="928"/>
      <c r="L58" s="928"/>
      <c r="M58" s="928"/>
      <c r="N58" s="928"/>
      <c r="O58" s="928"/>
      <c r="P58" s="928"/>
      <c r="Q58" s="928"/>
      <c r="R58" s="928"/>
      <c r="S58" s="928"/>
      <c r="T58" s="928"/>
      <c r="U58" s="928"/>
      <c r="V58" s="928"/>
      <c r="W58" s="928"/>
      <c r="X58" s="880"/>
    </row>
    <row r="59" spans="1:24" ht="12.95" customHeight="1" thickBot="1">
      <c r="A59" s="869"/>
      <c r="B59" s="176" t="s">
        <v>577</v>
      </c>
      <c r="C59" s="1259"/>
      <c r="D59" s="930" t="s">
        <v>126</v>
      </c>
      <c r="E59" s="931"/>
      <c r="F59" s="931"/>
      <c r="G59" s="931"/>
      <c r="H59" s="931"/>
      <c r="I59" s="931"/>
      <c r="J59" s="931"/>
      <c r="K59" s="931"/>
      <c r="L59" s="931"/>
      <c r="M59" s="931"/>
      <c r="N59" s="931"/>
      <c r="O59" s="931"/>
      <c r="P59" s="931"/>
      <c r="Q59" s="931"/>
      <c r="R59" s="931"/>
      <c r="S59" s="931"/>
      <c r="T59" s="931"/>
      <c r="U59" s="931"/>
      <c r="V59" s="931"/>
      <c r="W59" s="932"/>
      <c r="X59" s="881"/>
    </row>
    <row r="60" spans="1:24" ht="12.95" customHeight="1" thickBot="1">
      <c r="A60" s="906" t="s">
        <v>7</v>
      </c>
      <c r="B60" s="908" t="s">
        <v>173</v>
      </c>
      <c r="C60" s="909"/>
      <c r="D60" s="908" t="s">
        <v>8</v>
      </c>
      <c r="E60" s="918"/>
      <c r="F60" s="918"/>
      <c r="G60" s="909"/>
      <c r="H60" s="908" t="s">
        <v>88</v>
      </c>
      <c r="I60" s="918"/>
      <c r="J60" s="918"/>
      <c r="K60" s="909"/>
      <c r="L60" s="908" t="s">
        <v>89</v>
      </c>
      <c r="M60" s="918"/>
      <c r="N60" s="918"/>
      <c r="O60" s="909"/>
      <c r="P60" s="908" t="s">
        <v>9</v>
      </c>
      <c r="Q60" s="918"/>
      <c r="R60" s="918"/>
      <c r="S60" s="909"/>
      <c r="T60" s="908" t="s">
        <v>174</v>
      </c>
      <c r="U60" s="918"/>
      <c r="V60" s="918"/>
      <c r="W60" s="918"/>
      <c r="X60" s="909"/>
    </row>
    <row r="61" spans="1:24" ht="13.5" thickBot="1">
      <c r="A61" s="907"/>
      <c r="B61" s="916">
        <f>SUM(B82+B103+B132+B164+B180)</f>
        <v>0</v>
      </c>
      <c r="C61" s="917"/>
      <c r="D61" s="1274" t="e">
        <f>SUM(D82+D103+D132+D164+D180)</f>
        <v>#VALUE!</v>
      </c>
      <c r="E61" s="994"/>
      <c r="F61" s="994">
        <f>SUM(F82+F103+F132+F164+F180)</f>
        <v>0</v>
      </c>
      <c r="G61" s="917"/>
      <c r="H61" s="1274">
        <f>SUM(H82+H103+H132+H164+H180)</f>
        <v>0</v>
      </c>
      <c r="I61" s="994"/>
      <c r="J61" s="994">
        <f>SUM(J82+J103+J132+J164+J180)</f>
        <v>0</v>
      </c>
      <c r="K61" s="917"/>
      <c r="L61" s="1274">
        <f>SUM(L82+L103+L132+L164+L180)</f>
        <v>0</v>
      </c>
      <c r="M61" s="994"/>
      <c r="N61" s="994">
        <f>SUM(N82+N103+N132+N164+N180)</f>
        <v>0</v>
      </c>
      <c r="O61" s="917"/>
      <c r="P61" s="916" t="e">
        <f>SUM(B61:O61)</f>
        <v>#VALUE!</v>
      </c>
      <c r="Q61" s="994"/>
      <c r="R61" s="994"/>
      <c r="S61" s="917"/>
      <c r="T61" s="916" t="e">
        <f>B61/P61%</f>
        <v>#VALUE!</v>
      </c>
      <c r="U61" s="994"/>
      <c r="V61" s="994"/>
      <c r="W61" s="994"/>
      <c r="X61" s="917"/>
    </row>
    <row r="62" spans="1:24" ht="13.5" thickBot="1">
      <c r="A62" s="906" t="s">
        <v>10</v>
      </c>
      <c r="B62" s="908" t="s">
        <v>175</v>
      </c>
      <c r="C62" s="909"/>
      <c r="D62" s="910"/>
      <c r="E62" s="911"/>
      <c r="F62" s="911"/>
      <c r="G62" s="911"/>
      <c r="H62" s="911"/>
      <c r="I62" s="911"/>
      <c r="J62" s="911"/>
      <c r="K62" s="911"/>
      <c r="L62" s="911"/>
      <c r="M62" s="911"/>
      <c r="N62" s="911"/>
      <c r="O62" s="911"/>
      <c r="P62" s="911"/>
      <c r="Q62" s="911"/>
      <c r="R62" s="911"/>
      <c r="S62" s="911"/>
      <c r="T62" s="911"/>
      <c r="U62" s="911"/>
      <c r="V62" s="911"/>
      <c r="W62" s="911"/>
      <c r="X62" s="912"/>
    </row>
    <row r="63" spans="1:24" ht="13.5" thickBot="1">
      <c r="A63" s="907"/>
      <c r="B63" s="916" t="e">
        <f>SUM(B84+B105+B134+B166+B182)</f>
        <v>#VALUE!</v>
      </c>
      <c r="C63" s="917"/>
      <c r="D63" s="913"/>
      <c r="E63" s="914"/>
      <c r="F63" s="914"/>
      <c r="G63" s="914"/>
      <c r="H63" s="914"/>
      <c r="I63" s="914"/>
      <c r="J63" s="914"/>
      <c r="K63" s="914"/>
      <c r="L63" s="914"/>
      <c r="M63" s="914"/>
      <c r="N63" s="914"/>
      <c r="O63" s="914"/>
      <c r="P63" s="914"/>
      <c r="Q63" s="914"/>
      <c r="R63" s="914"/>
      <c r="S63" s="914"/>
      <c r="T63" s="914"/>
      <c r="U63" s="914"/>
      <c r="V63" s="914"/>
      <c r="W63" s="914"/>
      <c r="X63" s="915"/>
    </row>
    <row r="64" spans="1:24">
      <c r="A64" s="5"/>
      <c r="B64" s="5"/>
      <c r="C64" s="6"/>
      <c r="D64" s="5"/>
      <c r="E64" s="5"/>
      <c r="F64" s="5"/>
      <c r="G64" s="5"/>
      <c r="H64" s="5"/>
      <c r="I64" s="5"/>
      <c r="J64" s="5"/>
      <c r="K64" s="5"/>
      <c r="L64" s="5"/>
      <c r="M64" s="5"/>
      <c r="N64" s="5"/>
      <c r="O64" s="5"/>
      <c r="P64" s="5"/>
      <c r="Q64" s="5"/>
      <c r="R64" s="5"/>
      <c r="S64" s="5"/>
      <c r="T64" s="5"/>
      <c r="U64" s="5"/>
      <c r="V64" s="5"/>
      <c r="W64" s="5"/>
      <c r="X64" s="5"/>
    </row>
    <row r="65" spans="1:24" ht="13.5" thickBot="1">
      <c r="A65" s="21"/>
      <c r="B65" s="21"/>
      <c r="C65" s="22"/>
      <c r="D65" s="21"/>
      <c r="E65" s="21"/>
      <c r="F65" s="21"/>
      <c r="G65" s="21"/>
      <c r="H65" s="21"/>
      <c r="I65" s="21"/>
      <c r="J65" s="21"/>
      <c r="K65" s="21"/>
      <c r="L65" s="21"/>
      <c r="M65" s="21"/>
      <c r="N65" s="21"/>
      <c r="O65" s="21"/>
      <c r="P65" s="21"/>
      <c r="Q65" s="21"/>
      <c r="R65" s="21"/>
      <c r="S65" s="21"/>
      <c r="T65" s="21"/>
      <c r="U65" s="21"/>
      <c r="V65" s="21"/>
      <c r="W65" s="21"/>
      <c r="X65" s="21"/>
    </row>
    <row r="66" spans="1:24" ht="12.95" customHeight="1" thickBot="1">
      <c r="A66" s="95" t="s">
        <v>11</v>
      </c>
      <c r="B66" s="97" t="s">
        <v>16</v>
      </c>
      <c r="C66" s="8"/>
      <c r="D66" s="927" t="s">
        <v>78</v>
      </c>
      <c r="E66" s="928"/>
      <c r="F66" s="928"/>
      <c r="G66" s="929"/>
      <c r="H66" s="927" t="s">
        <v>77</v>
      </c>
      <c r="I66" s="928"/>
      <c r="J66" s="928"/>
      <c r="K66" s="929"/>
      <c r="L66" s="927" t="s">
        <v>81</v>
      </c>
      <c r="M66" s="928"/>
      <c r="N66" s="928"/>
      <c r="O66" s="929"/>
      <c r="P66" s="927" t="s">
        <v>254</v>
      </c>
      <c r="Q66" s="928"/>
      <c r="R66" s="928"/>
      <c r="S66" s="929"/>
      <c r="T66" s="927" t="s">
        <v>76</v>
      </c>
      <c r="U66" s="928"/>
      <c r="V66" s="928"/>
      <c r="W66" s="929"/>
      <c r="X66" s="16" t="s">
        <v>12</v>
      </c>
    </row>
    <row r="67" spans="1:24" ht="12.95" customHeight="1" thickBot="1">
      <c r="A67" s="868" t="s">
        <v>57</v>
      </c>
      <c r="B67" s="868" t="s">
        <v>58</v>
      </c>
      <c r="C67" s="9" t="s">
        <v>2</v>
      </c>
      <c r="D67" s="942">
        <v>1</v>
      </c>
      <c r="E67" s="943"/>
      <c r="F67" s="943"/>
      <c r="G67" s="944"/>
      <c r="H67" s="942">
        <v>1.5</v>
      </c>
      <c r="I67" s="943"/>
      <c r="J67" s="943"/>
      <c r="K67" s="944"/>
      <c r="L67" s="942">
        <v>2.5</v>
      </c>
      <c r="M67" s="943"/>
      <c r="N67" s="943"/>
      <c r="O67" s="944"/>
      <c r="P67" s="942">
        <v>2.7</v>
      </c>
      <c r="Q67" s="943"/>
      <c r="R67" s="943"/>
      <c r="S67" s="944"/>
      <c r="T67" s="1262">
        <v>3.5</v>
      </c>
      <c r="U67" s="1263"/>
      <c r="V67" s="1263"/>
      <c r="W67" s="1264"/>
      <c r="X67" s="879" t="s">
        <v>97</v>
      </c>
    </row>
    <row r="68" spans="1:24" ht="13.5" thickBot="1">
      <c r="A68" s="885"/>
      <c r="B68" s="885"/>
      <c r="C68" s="10" t="s">
        <v>3</v>
      </c>
      <c r="D68" s="957"/>
      <c r="E68" s="958"/>
      <c r="F68" s="958"/>
      <c r="G68" s="959"/>
      <c r="H68" s="963">
        <v>2</v>
      </c>
      <c r="I68" s="964"/>
      <c r="J68" s="964"/>
      <c r="K68" s="965"/>
      <c r="L68" s="963">
        <v>2</v>
      </c>
      <c r="M68" s="964"/>
      <c r="N68" s="964"/>
      <c r="O68" s="965"/>
      <c r="P68" s="963">
        <v>2.5</v>
      </c>
      <c r="Q68" s="964"/>
      <c r="R68" s="964"/>
      <c r="S68" s="965"/>
      <c r="T68" s="963">
        <v>0</v>
      </c>
      <c r="U68" s="964"/>
      <c r="V68" s="964"/>
      <c r="W68" s="965"/>
      <c r="X68" s="880"/>
    </row>
    <row r="69" spans="1:24" ht="12.95" customHeight="1" thickBot="1">
      <c r="A69" s="885"/>
      <c r="B69" s="885"/>
      <c r="C69" s="1258" t="s">
        <v>170</v>
      </c>
      <c r="D69" s="927" t="s">
        <v>4</v>
      </c>
      <c r="E69" s="928"/>
      <c r="F69" s="928"/>
      <c r="G69" s="928"/>
      <c r="H69" s="928"/>
      <c r="I69" s="928"/>
      <c r="J69" s="928"/>
      <c r="K69" s="928"/>
      <c r="L69" s="928"/>
      <c r="M69" s="928"/>
      <c r="N69" s="928"/>
      <c r="O69" s="928"/>
      <c r="P69" s="928"/>
      <c r="Q69" s="928"/>
      <c r="R69" s="928"/>
      <c r="S69" s="928"/>
      <c r="T69" s="928"/>
      <c r="U69" s="928"/>
      <c r="V69" s="928"/>
      <c r="W69" s="929"/>
      <c r="X69" s="880"/>
    </row>
    <row r="70" spans="1:24" ht="12.95" customHeight="1" thickBot="1">
      <c r="A70" s="885"/>
      <c r="B70" s="869"/>
      <c r="C70" s="1259"/>
      <c r="D70" s="930" t="s">
        <v>272</v>
      </c>
      <c r="E70" s="931"/>
      <c r="F70" s="931"/>
      <c r="G70" s="931"/>
      <c r="H70" s="931"/>
      <c r="I70" s="931"/>
      <c r="J70" s="931"/>
      <c r="K70" s="931"/>
      <c r="L70" s="931"/>
      <c r="M70" s="931"/>
      <c r="N70" s="931"/>
      <c r="O70" s="931"/>
      <c r="P70" s="931"/>
      <c r="Q70" s="931"/>
      <c r="R70" s="931"/>
      <c r="S70" s="931"/>
      <c r="T70" s="931"/>
      <c r="U70" s="931"/>
      <c r="V70" s="931"/>
      <c r="W70" s="932"/>
      <c r="X70" s="880"/>
    </row>
    <row r="71" spans="1:24" ht="12.95" customHeight="1" thickBot="1">
      <c r="A71" s="885"/>
      <c r="B71" s="11" t="s">
        <v>17</v>
      </c>
      <c r="C71" s="12"/>
      <c r="D71" s="927" t="s">
        <v>78</v>
      </c>
      <c r="E71" s="928"/>
      <c r="F71" s="928"/>
      <c r="G71" s="929"/>
      <c r="H71" s="927" t="s">
        <v>77</v>
      </c>
      <c r="I71" s="928"/>
      <c r="J71" s="928"/>
      <c r="K71" s="929"/>
      <c r="L71" s="927" t="s">
        <v>81</v>
      </c>
      <c r="M71" s="928"/>
      <c r="N71" s="928"/>
      <c r="O71" s="929"/>
      <c r="P71" s="927" t="s">
        <v>254</v>
      </c>
      <c r="Q71" s="928"/>
      <c r="R71" s="928"/>
      <c r="S71" s="929"/>
      <c r="T71" s="927" t="s">
        <v>76</v>
      </c>
      <c r="U71" s="928"/>
      <c r="V71" s="928"/>
      <c r="W71" s="929"/>
      <c r="X71" s="880"/>
    </row>
    <row r="72" spans="1:24" ht="13.5" thickBot="1">
      <c r="A72" s="885"/>
      <c r="B72" s="868" t="s">
        <v>59</v>
      </c>
      <c r="C72" s="23" t="s">
        <v>2</v>
      </c>
      <c r="D72" s="942">
        <v>1.5</v>
      </c>
      <c r="E72" s="943"/>
      <c r="F72" s="943"/>
      <c r="G72" s="944"/>
      <c r="H72" s="942">
        <v>1</v>
      </c>
      <c r="I72" s="943"/>
      <c r="J72" s="943"/>
      <c r="K72" s="944"/>
      <c r="L72" s="942">
        <v>2</v>
      </c>
      <c r="M72" s="943"/>
      <c r="N72" s="943"/>
      <c r="O72" s="944"/>
      <c r="P72" s="942">
        <v>2.5</v>
      </c>
      <c r="Q72" s="943"/>
      <c r="R72" s="943"/>
      <c r="S72" s="944"/>
      <c r="T72" s="1262">
        <v>3.5</v>
      </c>
      <c r="U72" s="1263"/>
      <c r="V72" s="1263"/>
      <c r="W72" s="1264"/>
      <c r="X72" s="880"/>
    </row>
    <row r="73" spans="1:24" ht="13.5" thickBot="1">
      <c r="A73" s="885"/>
      <c r="B73" s="885"/>
      <c r="C73" s="9" t="s">
        <v>3</v>
      </c>
      <c r="D73" s="957"/>
      <c r="E73" s="958"/>
      <c r="F73" s="958"/>
      <c r="G73" s="959"/>
      <c r="H73" s="963">
        <v>0</v>
      </c>
      <c r="I73" s="964"/>
      <c r="J73" s="964"/>
      <c r="K73" s="965"/>
      <c r="L73" s="963">
        <v>2.2999999999999998</v>
      </c>
      <c r="M73" s="964"/>
      <c r="N73" s="964"/>
      <c r="O73" s="965"/>
      <c r="P73" s="963">
        <v>3.1</v>
      </c>
      <c r="Q73" s="964"/>
      <c r="R73" s="964"/>
      <c r="S73" s="965"/>
      <c r="T73" s="963">
        <v>0</v>
      </c>
      <c r="U73" s="964"/>
      <c r="V73" s="964"/>
      <c r="W73" s="965"/>
      <c r="X73" s="880"/>
    </row>
    <row r="74" spans="1:24" ht="12.95" customHeight="1" thickBot="1">
      <c r="A74" s="885"/>
      <c r="B74" s="885"/>
      <c r="C74" s="1258" t="s">
        <v>170</v>
      </c>
      <c r="D74" s="927" t="s">
        <v>4</v>
      </c>
      <c r="E74" s="928"/>
      <c r="F74" s="928"/>
      <c r="G74" s="928"/>
      <c r="H74" s="928"/>
      <c r="I74" s="928"/>
      <c r="J74" s="928"/>
      <c r="K74" s="928"/>
      <c r="L74" s="928"/>
      <c r="M74" s="928"/>
      <c r="N74" s="928"/>
      <c r="O74" s="928"/>
      <c r="P74" s="928"/>
      <c r="Q74" s="928"/>
      <c r="R74" s="928"/>
      <c r="S74" s="928"/>
      <c r="T74" s="928"/>
      <c r="U74" s="928"/>
      <c r="V74" s="928"/>
      <c r="W74" s="929"/>
      <c r="X74" s="880"/>
    </row>
    <row r="75" spans="1:24" ht="12.95" customHeight="1" thickBot="1">
      <c r="A75" s="885"/>
      <c r="B75" s="869"/>
      <c r="C75" s="1259"/>
      <c r="D75" s="930" t="s">
        <v>118</v>
      </c>
      <c r="E75" s="931"/>
      <c r="F75" s="931"/>
      <c r="G75" s="931"/>
      <c r="H75" s="931"/>
      <c r="I75" s="931"/>
      <c r="J75" s="931"/>
      <c r="K75" s="931"/>
      <c r="L75" s="931"/>
      <c r="M75" s="931"/>
      <c r="N75" s="931"/>
      <c r="O75" s="931"/>
      <c r="P75" s="931"/>
      <c r="Q75" s="931"/>
      <c r="R75" s="931"/>
      <c r="S75" s="931"/>
      <c r="T75" s="931"/>
      <c r="U75" s="931"/>
      <c r="V75" s="931"/>
      <c r="W75" s="932"/>
      <c r="X75" s="880"/>
    </row>
    <row r="76" spans="1:24" ht="12.95" customHeight="1" thickBot="1">
      <c r="A76" s="885"/>
      <c r="B76" s="11" t="s">
        <v>18</v>
      </c>
      <c r="C76" s="12"/>
      <c r="D76" s="927" t="s">
        <v>78</v>
      </c>
      <c r="E76" s="928"/>
      <c r="F76" s="928"/>
      <c r="G76" s="929"/>
      <c r="H76" s="927" t="s">
        <v>77</v>
      </c>
      <c r="I76" s="928"/>
      <c r="J76" s="928"/>
      <c r="K76" s="929"/>
      <c r="L76" s="927" t="s">
        <v>81</v>
      </c>
      <c r="M76" s="928"/>
      <c r="N76" s="928"/>
      <c r="O76" s="929"/>
      <c r="P76" s="927" t="s">
        <v>254</v>
      </c>
      <c r="Q76" s="928"/>
      <c r="R76" s="928"/>
      <c r="S76" s="929"/>
      <c r="T76" s="927" t="s">
        <v>76</v>
      </c>
      <c r="U76" s="928"/>
      <c r="V76" s="928"/>
      <c r="W76" s="929"/>
      <c r="X76" s="880"/>
    </row>
    <row r="77" spans="1:24" ht="13.5" thickBot="1">
      <c r="A77" s="885"/>
      <c r="B77" s="868" t="s">
        <v>60</v>
      </c>
      <c r="C77" s="23" t="s">
        <v>2</v>
      </c>
      <c r="D77" s="951">
        <v>0</v>
      </c>
      <c r="E77" s="969"/>
      <c r="F77" s="969"/>
      <c r="G77" s="952"/>
      <c r="H77" s="951">
        <v>0</v>
      </c>
      <c r="I77" s="969"/>
      <c r="J77" s="969"/>
      <c r="K77" s="952"/>
      <c r="L77" s="951">
        <v>1</v>
      </c>
      <c r="M77" s="969"/>
      <c r="N77" s="969"/>
      <c r="O77" s="952"/>
      <c r="P77" s="951">
        <v>2</v>
      </c>
      <c r="Q77" s="969"/>
      <c r="R77" s="969"/>
      <c r="S77" s="952"/>
      <c r="T77" s="1260">
        <v>10</v>
      </c>
      <c r="U77" s="1273"/>
      <c r="V77" s="1273"/>
      <c r="W77" s="1261"/>
      <c r="X77" s="880"/>
    </row>
    <row r="78" spans="1:24" ht="12.95" customHeight="1" thickBot="1">
      <c r="A78" s="869"/>
      <c r="B78" s="885"/>
      <c r="C78" s="9" t="s">
        <v>3</v>
      </c>
      <c r="D78" s="933" t="s">
        <v>172</v>
      </c>
      <c r="E78" s="934"/>
      <c r="F78" s="934"/>
      <c r="G78" s="935"/>
      <c r="H78" s="936" t="s">
        <v>249</v>
      </c>
      <c r="I78" s="937"/>
      <c r="J78" s="937"/>
      <c r="K78" s="938"/>
      <c r="L78" s="939">
        <v>1</v>
      </c>
      <c r="M78" s="970"/>
      <c r="N78" s="970"/>
      <c r="O78" s="953"/>
      <c r="P78" s="939">
        <v>6</v>
      </c>
      <c r="Q78" s="970"/>
      <c r="R78" s="970"/>
      <c r="S78" s="953"/>
      <c r="T78" s="939">
        <v>0</v>
      </c>
      <c r="U78" s="970"/>
      <c r="V78" s="970"/>
      <c r="W78" s="953"/>
      <c r="X78" s="881"/>
    </row>
    <row r="79" spans="1:24" ht="12.95" customHeight="1" thickBot="1">
      <c r="A79" s="96" t="s">
        <v>13</v>
      </c>
      <c r="B79" s="885"/>
      <c r="C79" s="1258" t="s">
        <v>170</v>
      </c>
      <c r="D79" s="927" t="s">
        <v>4</v>
      </c>
      <c r="E79" s="928"/>
      <c r="F79" s="928"/>
      <c r="G79" s="928"/>
      <c r="H79" s="928"/>
      <c r="I79" s="928"/>
      <c r="J79" s="928"/>
      <c r="K79" s="928"/>
      <c r="L79" s="928"/>
      <c r="M79" s="928"/>
      <c r="N79" s="928"/>
      <c r="O79" s="928"/>
      <c r="P79" s="928"/>
      <c r="Q79" s="928"/>
      <c r="R79" s="928"/>
      <c r="S79" s="928"/>
      <c r="T79" s="928"/>
      <c r="U79" s="928"/>
      <c r="V79" s="928"/>
      <c r="W79" s="929"/>
      <c r="X79" s="24" t="s">
        <v>14</v>
      </c>
    </row>
    <row r="80" spans="1:24" ht="12.95" customHeight="1" thickBot="1">
      <c r="A80" s="25" t="s">
        <v>75</v>
      </c>
      <c r="B80" s="869"/>
      <c r="C80" s="1259"/>
      <c r="D80" s="930" t="s">
        <v>119</v>
      </c>
      <c r="E80" s="931"/>
      <c r="F80" s="931"/>
      <c r="G80" s="931"/>
      <c r="H80" s="931"/>
      <c r="I80" s="931"/>
      <c r="J80" s="931"/>
      <c r="K80" s="931"/>
      <c r="L80" s="931"/>
      <c r="M80" s="931"/>
      <c r="N80" s="931"/>
      <c r="O80" s="931"/>
      <c r="P80" s="931"/>
      <c r="Q80" s="931"/>
      <c r="R80" s="931"/>
      <c r="S80" s="931"/>
      <c r="T80" s="931"/>
      <c r="U80" s="931"/>
      <c r="V80" s="931"/>
      <c r="W80" s="932"/>
      <c r="X80" s="18" t="s">
        <v>92</v>
      </c>
    </row>
    <row r="81" spans="1:24" ht="12.95" customHeight="1" thickBot="1">
      <c r="A81" s="906" t="s">
        <v>7</v>
      </c>
      <c r="B81" s="908" t="s">
        <v>173</v>
      </c>
      <c r="C81" s="909"/>
      <c r="D81" s="908" t="s">
        <v>8</v>
      </c>
      <c r="E81" s="918"/>
      <c r="F81" s="918"/>
      <c r="G81" s="909"/>
      <c r="H81" s="908" t="s">
        <v>88</v>
      </c>
      <c r="I81" s="918"/>
      <c r="J81" s="918"/>
      <c r="K81" s="909"/>
      <c r="L81" s="908" t="s">
        <v>89</v>
      </c>
      <c r="M81" s="918"/>
      <c r="N81" s="918"/>
      <c r="O81" s="909"/>
      <c r="P81" s="908" t="s">
        <v>9</v>
      </c>
      <c r="Q81" s="918"/>
      <c r="R81" s="918"/>
      <c r="S81" s="909"/>
      <c r="T81" s="908" t="s">
        <v>174</v>
      </c>
      <c r="U81" s="918"/>
      <c r="V81" s="918"/>
      <c r="W81" s="918"/>
      <c r="X81" s="909"/>
    </row>
    <row r="82" spans="1:24" ht="13.5" thickBot="1">
      <c r="A82" s="907"/>
      <c r="B82" s="1256"/>
      <c r="C82" s="1257"/>
      <c r="D82" s="916"/>
      <c r="E82" s="994"/>
      <c r="F82" s="994"/>
      <c r="G82" s="917"/>
      <c r="H82" s="916"/>
      <c r="I82" s="994"/>
      <c r="J82" s="994"/>
      <c r="K82" s="917"/>
      <c r="L82" s="916"/>
      <c r="M82" s="994"/>
      <c r="N82" s="994"/>
      <c r="O82" s="917"/>
      <c r="P82" s="916">
        <f>SUM(B82:O82)</f>
        <v>0</v>
      </c>
      <c r="Q82" s="994"/>
      <c r="R82" s="994"/>
      <c r="S82" s="917"/>
      <c r="T82" s="916" t="e">
        <f>B82/P82%</f>
        <v>#DIV/0!</v>
      </c>
      <c r="U82" s="994"/>
      <c r="V82" s="994"/>
      <c r="W82" s="994"/>
      <c r="X82" s="917"/>
    </row>
    <row r="83" spans="1:24" ht="13.5" thickBot="1">
      <c r="A83" s="906" t="s">
        <v>10</v>
      </c>
      <c r="B83" s="908" t="s">
        <v>175</v>
      </c>
      <c r="C83" s="909"/>
      <c r="D83" s="910"/>
      <c r="E83" s="911"/>
      <c r="F83" s="911"/>
      <c r="G83" s="911"/>
      <c r="H83" s="911"/>
      <c r="I83" s="911"/>
      <c r="J83" s="911"/>
      <c r="K83" s="911"/>
      <c r="L83" s="911"/>
      <c r="M83" s="911"/>
      <c r="N83" s="911"/>
      <c r="O83" s="911"/>
      <c r="P83" s="911"/>
      <c r="Q83" s="911"/>
      <c r="R83" s="911"/>
      <c r="S83" s="911"/>
      <c r="T83" s="911"/>
      <c r="U83" s="911"/>
      <c r="V83" s="911"/>
      <c r="W83" s="911"/>
      <c r="X83" s="912"/>
    </row>
    <row r="84" spans="1:24" ht="13.5" thickBot="1">
      <c r="A84" s="907"/>
      <c r="B84" s="1256"/>
      <c r="C84" s="1257"/>
      <c r="D84" s="913"/>
      <c r="E84" s="914"/>
      <c r="F84" s="914"/>
      <c r="G84" s="914"/>
      <c r="H84" s="914"/>
      <c r="I84" s="914"/>
      <c r="J84" s="914"/>
      <c r="K84" s="914"/>
      <c r="L84" s="914"/>
      <c r="M84" s="914"/>
      <c r="N84" s="914"/>
      <c r="O84" s="914"/>
      <c r="P84" s="914"/>
      <c r="Q84" s="914"/>
      <c r="R84" s="914"/>
      <c r="S84" s="914"/>
      <c r="T84" s="914"/>
      <c r="U84" s="914"/>
      <c r="V84" s="914"/>
      <c r="W84" s="914"/>
      <c r="X84" s="915"/>
    </row>
    <row r="85" spans="1:24">
      <c r="A85" s="5"/>
      <c r="B85" s="5"/>
      <c r="C85" s="6"/>
      <c r="D85" s="5"/>
      <c r="E85" s="5"/>
      <c r="F85" s="5"/>
      <c r="G85" s="5"/>
      <c r="H85" s="5"/>
      <c r="I85" s="5"/>
      <c r="J85" s="5"/>
      <c r="K85" s="5"/>
      <c r="L85" s="5"/>
      <c r="M85" s="5"/>
      <c r="N85" s="5"/>
      <c r="O85" s="5"/>
      <c r="P85" s="5"/>
      <c r="Q85" s="5"/>
      <c r="R85" s="5"/>
      <c r="S85" s="5"/>
      <c r="T85" s="5"/>
      <c r="U85" s="5"/>
      <c r="V85" s="5"/>
      <c r="W85" s="5"/>
      <c r="X85" s="5"/>
    </row>
    <row r="86" spans="1:24" ht="13.5" thickBot="1">
      <c r="A86" s="5"/>
      <c r="B86" s="5"/>
      <c r="C86" s="6"/>
      <c r="D86" s="5"/>
      <c r="E86" s="5"/>
      <c r="F86" s="5"/>
      <c r="G86" s="5"/>
      <c r="H86" s="5"/>
      <c r="I86" s="5"/>
      <c r="J86" s="5"/>
      <c r="K86" s="5"/>
      <c r="L86" s="5"/>
      <c r="M86" s="5"/>
      <c r="N86" s="5"/>
      <c r="O86" s="5"/>
      <c r="P86" s="5"/>
      <c r="Q86" s="5"/>
      <c r="R86" s="5"/>
      <c r="S86" s="5"/>
      <c r="T86" s="5"/>
      <c r="U86" s="5"/>
      <c r="V86" s="5"/>
      <c r="W86" s="5"/>
      <c r="X86" s="5"/>
    </row>
    <row r="87" spans="1:24" ht="12.95" customHeight="1" thickBot="1">
      <c r="A87" s="95" t="s">
        <v>15</v>
      </c>
      <c r="B87" s="97" t="s">
        <v>19</v>
      </c>
      <c r="C87" s="8"/>
      <c r="D87" s="927" t="s">
        <v>78</v>
      </c>
      <c r="E87" s="928"/>
      <c r="F87" s="928"/>
      <c r="G87" s="929"/>
      <c r="H87" s="927" t="s">
        <v>77</v>
      </c>
      <c r="I87" s="928"/>
      <c r="J87" s="928"/>
      <c r="K87" s="929"/>
      <c r="L87" s="927" t="s">
        <v>81</v>
      </c>
      <c r="M87" s="928"/>
      <c r="N87" s="928"/>
      <c r="O87" s="929"/>
      <c r="P87" s="927" t="s">
        <v>254</v>
      </c>
      <c r="Q87" s="928"/>
      <c r="R87" s="928"/>
      <c r="S87" s="929"/>
      <c r="T87" s="927" t="s">
        <v>76</v>
      </c>
      <c r="U87" s="928"/>
      <c r="V87" s="928"/>
      <c r="W87" s="929"/>
      <c r="X87" s="16" t="s">
        <v>6</v>
      </c>
    </row>
    <row r="88" spans="1:24" ht="12.95" customHeight="1" thickBot="1">
      <c r="A88" s="868" t="s">
        <v>61</v>
      </c>
      <c r="B88" s="868" t="s">
        <v>62</v>
      </c>
      <c r="C88" s="9" t="s">
        <v>2</v>
      </c>
      <c r="D88" s="942">
        <v>1</v>
      </c>
      <c r="E88" s="943"/>
      <c r="F88" s="943"/>
      <c r="G88" s="944"/>
      <c r="H88" s="942">
        <v>1.5</v>
      </c>
      <c r="I88" s="943"/>
      <c r="J88" s="943"/>
      <c r="K88" s="944"/>
      <c r="L88" s="942">
        <v>2</v>
      </c>
      <c r="M88" s="943"/>
      <c r="N88" s="943"/>
      <c r="O88" s="944"/>
      <c r="P88" s="942">
        <v>2.7</v>
      </c>
      <c r="Q88" s="943"/>
      <c r="R88" s="943"/>
      <c r="S88" s="944"/>
      <c r="T88" s="942">
        <v>3</v>
      </c>
      <c r="U88" s="943"/>
      <c r="V88" s="943"/>
      <c r="W88" s="944"/>
      <c r="X88" s="879" t="s">
        <v>94</v>
      </c>
    </row>
    <row r="89" spans="1:24" ht="13.5" thickBot="1">
      <c r="A89" s="885"/>
      <c r="B89" s="885"/>
      <c r="C89" s="99" t="s">
        <v>3</v>
      </c>
      <c r="D89" s="957"/>
      <c r="E89" s="958"/>
      <c r="F89" s="958"/>
      <c r="G89" s="959"/>
      <c r="H89" s="963">
        <v>0</v>
      </c>
      <c r="I89" s="964"/>
      <c r="J89" s="964"/>
      <c r="K89" s="965"/>
      <c r="L89" s="963">
        <v>1.3</v>
      </c>
      <c r="M89" s="964"/>
      <c r="N89" s="964"/>
      <c r="O89" s="965"/>
      <c r="P89" s="963">
        <v>3.2</v>
      </c>
      <c r="Q89" s="964"/>
      <c r="R89" s="964"/>
      <c r="S89" s="965"/>
      <c r="T89" s="963">
        <v>0</v>
      </c>
      <c r="U89" s="964"/>
      <c r="V89" s="964"/>
      <c r="W89" s="965"/>
      <c r="X89" s="880"/>
    </row>
    <row r="90" spans="1:24" ht="12.95" customHeight="1" thickBot="1">
      <c r="A90" s="885"/>
      <c r="B90" s="885"/>
      <c r="C90" s="1258" t="s">
        <v>170</v>
      </c>
      <c r="D90" s="927" t="s">
        <v>4</v>
      </c>
      <c r="E90" s="928"/>
      <c r="F90" s="928"/>
      <c r="G90" s="928"/>
      <c r="H90" s="928"/>
      <c r="I90" s="928"/>
      <c r="J90" s="928"/>
      <c r="K90" s="928"/>
      <c r="L90" s="928"/>
      <c r="M90" s="928"/>
      <c r="N90" s="928"/>
      <c r="O90" s="928"/>
      <c r="P90" s="928"/>
      <c r="Q90" s="928"/>
      <c r="R90" s="928"/>
      <c r="S90" s="928"/>
      <c r="T90" s="928"/>
      <c r="U90" s="928"/>
      <c r="V90" s="928"/>
      <c r="W90" s="929"/>
      <c r="X90" s="880"/>
    </row>
    <row r="91" spans="1:24" ht="12.95" customHeight="1" thickBot="1">
      <c r="A91" s="885"/>
      <c r="B91" s="869"/>
      <c r="C91" s="1259"/>
      <c r="D91" s="930" t="s">
        <v>272</v>
      </c>
      <c r="E91" s="931"/>
      <c r="F91" s="931"/>
      <c r="G91" s="931"/>
      <c r="H91" s="931"/>
      <c r="I91" s="931"/>
      <c r="J91" s="931"/>
      <c r="K91" s="931"/>
      <c r="L91" s="931"/>
      <c r="M91" s="931"/>
      <c r="N91" s="931"/>
      <c r="O91" s="931"/>
      <c r="P91" s="931"/>
      <c r="Q91" s="931"/>
      <c r="R91" s="931"/>
      <c r="S91" s="931"/>
      <c r="T91" s="931"/>
      <c r="U91" s="931"/>
      <c r="V91" s="931"/>
      <c r="W91" s="932"/>
      <c r="X91" s="880"/>
    </row>
    <row r="92" spans="1:24" ht="12.95" customHeight="1" thickBot="1">
      <c r="A92" s="885"/>
      <c r="B92" s="11" t="s">
        <v>20</v>
      </c>
      <c r="C92" s="12"/>
      <c r="D92" s="927" t="s">
        <v>78</v>
      </c>
      <c r="E92" s="928"/>
      <c r="F92" s="928"/>
      <c r="G92" s="929"/>
      <c r="H92" s="927" t="s">
        <v>77</v>
      </c>
      <c r="I92" s="928"/>
      <c r="J92" s="928"/>
      <c r="K92" s="929"/>
      <c r="L92" s="927" t="s">
        <v>81</v>
      </c>
      <c r="M92" s="928"/>
      <c r="N92" s="928"/>
      <c r="O92" s="929"/>
      <c r="P92" s="927" t="s">
        <v>254</v>
      </c>
      <c r="Q92" s="928"/>
      <c r="R92" s="928"/>
      <c r="S92" s="929"/>
      <c r="T92" s="927" t="s">
        <v>76</v>
      </c>
      <c r="U92" s="928"/>
      <c r="V92" s="928"/>
      <c r="W92" s="929"/>
      <c r="X92" s="880"/>
    </row>
    <row r="93" spans="1:24" ht="13.5" thickBot="1">
      <c r="A93" s="885"/>
      <c r="B93" s="868" t="s">
        <v>59</v>
      </c>
      <c r="C93" s="23" t="s">
        <v>2</v>
      </c>
      <c r="D93" s="942">
        <v>1</v>
      </c>
      <c r="E93" s="943"/>
      <c r="F93" s="943"/>
      <c r="G93" s="944"/>
      <c r="H93" s="942">
        <v>1.2</v>
      </c>
      <c r="I93" s="943"/>
      <c r="J93" s="943"/>
      <c r="K93" s="944"/>
      <c r="L93" s="942">
        <v>2</v>
      </c>
      <c r="M93" s="943"/>
      <c r="N93" s="943"/>
      <c r="O93" s="944"/>
      <c r="P93" s="942">
        <v>3</v>
      </c>
      <c r="Q93" s="943"/>
      <c r="R93" s="943"/>
      <c r="S93" s="944"/>
      <c r="T93" s="1209">
        <v>3.6</v>
      </c>
      <c r="U93" s="1210"/>
      <c r="V93" s="1210"/>
      <c r="W93" s="1211"/>
      <c r="X93" s="880"/>
    </row>
    <row r="94" spans="1:24" ht="13.5" thickBot="1">
      <c r="A94" s="885"/>
      <c r="B94" s="885"/>
      <c r="C94" s="9" t="s">
        <v>3</v>
      </c>
      <c r="D94" s="957"/>
      <c r="E94" s="958"/>
      <c r="F94" s="958"/>
      <c r="G94" s="959"/>
      <c r="H94" s="963">
        <v>0</v>
      </c>
      <c r="I94" s="964"/>
      <c r="J94" s="964"/>
      <c r="K94" s="965"/>
      <c r="L94" s="963">
        <v>2.8</v>
      </c>
      <c r="M94" s="964"/>
      <c r="N94" s="964"/>
      <c r="O94" s="965"/>
      <c r="P94" s="963">
        <v>2.9</v>
      </c>
      <c r="Q94" s="964"/>
      <c r="R94" s="964"/>
      <c r="S94" s="965"/>
      <c r="T94" s="963">
        <v>0</v>
      </c>
      <c r="U94" s="964"/>
      <c r="V94" s="964"/>
      <c r="W94" s="965"/>
      <c r="X94" s="880"/>
    </row>
    <row r="95" spans="1:24" ht="12.95" customHeight="1" thickBot="1">
      <c r="A95" s="885"/>
      <c r="B95" s="885"/>
      <c r="C95" s="1258" t="s">
        <v>170</v>
      </c>
      <c r="D95" s="927" t="s">
        <v>4</v>
      </c>
      <c r="E95" s="928"/>
      <c r="F95" s="928"/>
      <c r="G95" s="928"/>
      <c r="H95" s="928"/>
      <c r="I95" s="928"/>
      <c r="J95" s="928"/>
      <c r="K95" s="928"/>
      <c r="L95" s="928"/>
      <c r="M95" s="928"/>
      <c r="N95" s="928"/>
      <c r="O95" s="928"/>
      <c r="P95" s="928"/>
      <c r="Q95" s="928"/>
      <c r="R95" s="928"/>
      <c r="S95" s="928"/>
      <c r="T95" s="928"/>
      <c r="U95" s="928"/>
      <c r="V95" s="928"/>
      <c r="W95" s="929"/>
      <c r="X95" s="880"/>
    </row>
    <row r="96" spans="1:24" ht="12.95" customHeight="1" thickBot="1">
      <c r="A96" s="885"/>
      <c r="B96" s="869"/>
      <c r="C96" s="1259"/>
      <c r="D96" s="930" t="s">
        <v>118</v>
      </c>
      <c r="E96" s="931"/>
      <c r="F96" s="931"/>
      <c r="G96" s="931"/>
      <c r="H96" s="931"/>
      <c r="I96" s="931"/>
      <c r="J96" s="931"/>
      <c r="K96" s="931"/>
      <c r="L96" s="931"/>
      <c r="M96" s="931"/>
      <c r="N96" s="931"/>
      <c r="O96" s="931"/>
      <c r="P96" s="931"/>
      <c r="Q96" s="931"/>
      <c r="R96" s="931"/>
      <c r="S96" s="931"/>
      <c r="T96" s="931"/>
      <c r="U96" s="931"/>
      <c r="V96" s="931"/>
      <c r="W96" s="932"/>
      <c r="X96" s="880"/>
    </row>
    <row r="97" spans="1:24" ht="12.95" customHeight="1" thickBot="1">
      <c r="A97" s="885"/>
      <c r="B97" s="11" t="s">
        <v>21</v>
      </c>
      <c r="C97" s="12"/>
      <c r="D97" s="927" t="s">
        <v>78</v>
      </c>
      <c r="E97" s="928"/>
      <c r="F97" s="928"/>
      <c r="G97" s="929"/>
      <c r="H97" s="927" t="s">
        <v>77</v>
      </c>
      <c r="I97" s="928"/>
      <c r="J97" s="928"/>
      <c r="K97" s="929"/>
      <c r="L97" s="927" t="s">
        <v>81</v>
      </c>
      <c r="M97" s="928"/>
      <c r="N97" s="928"/>
      <c r="O97" s="929"/>
      <c r="P97" s="927" t="s">
        <v>254</v>
      </c>
      <c r="Q97" s="928"/>
      <c r="R97" s="928"/>
      <c r="S97" s="929"/>
      <c r="T97" s="927" t="s">
        <v>76</v>
      </c>
      <c r="U97" s="928"/>
      <c r="V97" s="928"/>
      <c r="W97" s="929"/>
      <c r="X97" s="880"/>
    </row>
    <row r="98" spans="1:24" ht="13.5" thickBot="1">
      <c r="A98" s="885"/>
      <c r="B98" s="868" t="s">
        <v>63</v>
      </c>
      <c r="C98" s="26" t="s">
        <v>2</v>
      </c>
      <c r="D98" s="951">
        <v>0</v>
      </c>
      <c r="E98" s="969"/>
      <c r="F98" s="969"/>
      <c r="G98" s="952"/>
      <c r="H98" s="951">
        <v>0</v>
      </c>
      <c r="I98" s="969"/>
      <c r="J98" s="969"/>
      <c r="K98" s="952"/>
      <c r="L98" s="951">
        <v>2</v>
      </c>
      <c r="M98" s="969"/>
      <c r="N98" s="969"/>
      <c r="O98" s="952"/>
      <c r="P98" s="951">
        <v>4</v>
      </c>
      <c r="Q98" s="969"/>
      <c r="R98" s="969"/>
      <c r="S98" s="952"/>
      <c r="T98" s="1260">
        <v>10</v>
      </c>
      <c r="U98" s="1273"/>
      <c r="V98" s="1273"/>
      <c r="W98" s="1261"/>
      <c r="X98" s="880"/>
    </row>
    <row r="99" spans="1:24" ht="12.95" customHeight="1" thickBot="1">
      <c r="A99" s="869"/>
      <c r="B99" s="885"/>
      <c r="C99" s="9" t="s">
        <v>3</v>
      </c>
      <c r="D99" s="933" t="s">
        <v>172</v>
      </c>
      <c r="E99" s="934"/>
      <c r="F99" s="934"/>
      <c r="G99" s="935"/>
      <c r="H99" s="936" t="s">
        <v>249</v>
      </c>
      <c r="I99" s="937"/>
      <c r="J99" s="937"/>
      <c r="K99" s="938"/>
      <c r="L99" s="939">
        <v>3</v>
      </c>
      <c r="M99" s="970"/>
      <c r="N99" s="970"/>
      <c r="O99" s="953"/>
      <c r="P99" s="939">
        <v>6</v>
      </c>
      <c r="Q99" s="970"/>
      <c r="R99" s="970"/>
      <c r="S99" s="953"/>
      <c r="T99" s="939">
        <v>0</v>
      </c>
      <c r="U99" s="970"/>
      <c r="V99" s="970"/>
      <c r="W99" s="953"/>
      <c r="X99" s="881"/>
    </row>
    <row r="100" spans="1:24" ht="12.95" customHeight="1" thickBot="1">
      <c r="A100" s="96" t="s">
        <v>13</v>
      </c>
      <c r="B100" s="885"/>
      <c r="C100" s="1258" t="s">
        <v>170</v>
      </c>
      <c r="D100" s="927" t="s">
        <v>4</v>
      </c>
      <c r="E100" s="928"/>
      <c r="F100" s="928"/>
      <c r="G100" s="928"/>
      <c r="H100" s="928"/>
      <c r="I100" s="928"/>
      <c r="J100" s="928"/>
      <c r="K100" s="928"/>
      <c r="L100" s="928"/>
      <c r="M100" s="928"/>
      <c r="N100" s="928"/>
      <c r="O100" s="928"/>
      <c r="P100" s="928"/>
      <c r="Q100" s="928"/>
      <c r="R100" s="928"/>
      <c r="S100" s="928"/>
      <c r="T100" s="928"/>
      <c r="U100" s="928"/>
      <c r="V100" s="928"/>
      <c r="W100" s="929"/>
      <c r="X100" s="24" t="s">
        <v>14</v>
      </c>
    </row>
    <row r="101" spans="1:24" ht="12.95" customHeight="1" thickBot="1">
      <c r="A101" s="25" t="s">
        <v>75</v>
      </c>
      <c r="B101" s="869"/>
      <c r="C101" s="1259"/>
      <c r="D101" s="930" t="s">
        <v>119</v>
      </c>
      <c r="E101" s="931"/>
      <c r="F101" s="931"/>
      <c r="G101" s="931"/>
      <c r="H101" s="931"/>
      <c r="I101" s="931"/>
      <c r="J101" s="931"/>
      <c r="K101" s="931"/>
      <c r="L101" s="931"/>
      <c r="M101" s="931"/>
      <c r="N101" s="931"/>
      <c r="O101" s="931"/>
      <c r="P101" s="931"/>
      <c r="Q101" s="931"/>
      <c r="R101" s="931"/>
      <c r="S101" s="931"/>
      <c r="T101" s="931"/>
      <c r="U101" s="931"/>
      <c r="V101" s="931"/>
      <c r="W101" s="932"/>
      <c r="X101" s="18" t="s">
        <v>93</v>
      </c>
    </row>
    <row r="102" spans="1:24" ht="12.95" customHeight="1" thickBot="1">
      <c r="A102" s="906" t="s">
        <v>7</v>
      </c>
      <c r="B102" s="908" t="s">
        <v>173</v>
      </c>
      <c r="C102" s="909"/>
      <c r="D102" s="908" t="s">
        <v>8</v>
      </c>
      <c r="E102" s="918"/>
      <c r="F102" s="918"/>
      <c r="G102" s="909"/>
      <c r="H102" s="908" t="s">
        <v>88</v>
      </c>
      <c r="I102" s="918"/>
      <c r="J102" s="918"/>
      <c r="K102" s="909"/>
      <c r="L102" s="908" t="s">
        <v>89</v>
      </c>
      <c r="M102" s="918"/>
      <c r="N102" s="918"/>
      <c r="O102" s="909"/>
      <c r="P102" s="908" t="s">
        <v>9</v>
      </c>
      <c r="Q102" s="918"/>
      <c r="R102" s="918"/>
      <c r="S102" s="909"/>
      <c r="T102" s="908" t="s">
        <v>174</v>
      </c>
      <c r="U102" s="918"/>
      <c r="V102" s="918"/>
      <c r="W102" s="918"/>
      <c r="X102" s="909"/>
    </row>
    <row r="103" spans="1:24" ht="13.5" thickBot="1">
      <c r="A103" s="907"/>
      <c r="B103" s="1256"/>
      <c r="C103" s="1257"/>
      <c r="D103" s="916"/>
      <c r="E103" s="994"/>
      <c r="F103" s="994"/>
      <c r="G103" s="917"/>
      <c r="H103" s="916"/>
      <c r="I103" s="994"/>
      <c r="J103" s="994"/>
      <c r="K103" s="917"/>
      <c r="L103" s="916"/>
      <c r="M103" s="994"/>
      <c r="N103" s="994"/>
      <c r="O103" s="917"/>
      <c r="P103" s="916">
        <f>SUM(B103:O103)</f>
        <v>0</v>
      </c>
      <c r="Q103" s="994"/>
      <c r="R103" s="994"/>
      <c r="S103" s="917"/>
      <c r="T103" s="916" t="e">
        <f>B103/P103%</f>
        <v>#DIV/0!</v>
      </c>
      <c r="U103" s="994"/>
      <c r="V103" s="994"/>
      <c r="W103" s="994"/>
      <c r="X103" s="917"/>
    </row>
    <row r="104" spans="1:24" ht="13.5" thickBot="1">
      <c r="A104" s="906" t="s">
        <v>10</v>
      </c>
      <c r="B104" s="908" t="s">
        <v>175</v>
      </c>
      <c r="C104" s="909"/>
      <c r="D104" s="910"/>
      <c r="E104" s="911"/>
      <c r="F104" s="911"/>
      <c r="G104" s="911"/>
      <c r="H104" s="911"/>
      <c r="I104" s="911"/>
      <c r="J104" s="911"/>
      <c r="K104" s="911"/>
      <c r="L104" s="911"/>
      <c r="M104" s="911"/>
      <c r="N104" s="911"/>
      <c r="O104" s="911"/>
      <c r="P104" s="911"/>
      <c r="Q104" s="911"/>
      <c r="R104" s="911"/>
      <c r="S104" s="911"/>
      <c r="T104" s="911"/>
      <c r="U104" s="911"/>
      <c r="V104" s="911"/>
      <c r="W104" s="911"/>
      <c r="X104" s="912"/>
    </row>
    <row r="105" spans="1:24" ht="13.5" thickBot="1">
      <c r="A105" s="907"/>
      <c r="B105" s="1256"/>
      <c r="C105" s="1257"/>
      <c r="D105" s="913"/>
      <c r="E105" s="914"/>
      <c r="F105" s="914"/>
      <c r="G105" s="914"/>
      <c r="H105" s="914"/>
      <c r="I105" s="914"/>
      <c r="J105" s="914"/>
      <c r="K105" s="914"/>
      <c r="L105" s="914"/>
      <c r="M105" s="914"/>
      <c r="N105" s="914"/>
      <c r="O105" s="914"/>
      <c r="P105" s="914"/>
      <c r="Q105" s="914"/>
      <c r="R105" s="914"/>
      <c r="S105" s="914"/>
      <c r="T105" s="914"/>
      <c r="U105" s="914"/>
      <c r="V105" s="914"/>
      <c r="W105" s="914"/>
      <c r="X105" s="915"/>
    </row>
    <row r="107" spans="1:24" ht="13.5" thickBot="1"/>
    <row r="108" spans="1:24" ht="12.95" customHeight="1" thickBot="1">
      <c r="A108" s="95" t="s">
        <v>26</v>
      </c>
      <c r="B108" s="97" t="s">
        <v>29</v>
      </c>
      <c r="C108" s="8"/>
      <c r="D108" s="927" t="s">
        <v>78</v>
      </c>
      <c r="E108" s="928"/>
      <c r="F108" s="928"/>
      <c r="G108" s="929"/>
      <c r="H108" s="927" t="s">
        <v>77</v>
      </c>
      <c r="I108" s="928"/>
      <c r="J108" s="928"/>
      <c r="K108" s="929"/>
      <c r="L108" s="927" t="s">
        <v>81</v>
      </c>
      <c r="M108" s="928"/>
      <c r="N108" s="928"/>
      <c r="O108" s="929"/>
      <c r="P108" s="927" t="s">
        <v>254</v>
      </c>
      <c r="Q108" s="928"/>
      <c r="R108" s="928"/>
      <c r="S108" s="929"/>
      <c r="T108" s="927" t="s">
        <v>76</v>
      </c>
      <c r="U108" s="928"/>
      <c r="V108" s="928"/>
      <c r="W108" s="929"/>
      <c r="X108" s="16" t="s">
        <v>12</v>
      </c>
    </row>
    <row r="109" spans="1:24" ht="56.1" customHeight="1" thickBot="1">
      <c r="A109" s="868" t="s">
        <v>64</v>
      </c>
      <c r="B109" s="868" t="s">
        <v>156</v>
      </c>
      <c r="C109" s="9"/>
      <c r="D109" s="17" t="s">
        <v>101</v>
      </c>
      <c r="E109" s="17" t="s">
        <v>104</v>
      </c>
      <c r="F109" s="17" t="s">
        <v>102</v>
      </c>
      <c r="G109" s="17" t="s">
        <v>103</v>
      </c>
      <c r="H109" s="17" t="s">
        <v>101</v>
      </c>
      <c r="I109" s="17" t="s">
        <v>104</v>
      </c>
      <c r="J109" s="17" t="s">
        <v>102</v>
      </c>
      <c r="K109" s="17" t="s">
        <v>103</v>
      </c>
      <c r="L109" s="17" t="s">
        <v>101</v>
      </c>
      <c r="M109" s="17" t="s">
        <v>104</v>
      </c>
      <c r="N109" s="17" t="s">
        <v>102</v>
      </c>
      <c r="O109" s="17" t="s">
        <v>103</v>
      </c>
      <c r="P109" s="17" t="s">
        <v>101</v>
      </c>
      <c r="Q109" s="17" t="s">
        <v>104</v>
      </c>
      <c r="R109" s="17" t="s">
        <v>102</v>
      </c>
      <c r="S109" s="17" t="s">
        <v>103</v>
      </c>
      <c r="T109" s="17" t="s">
        <v>101</v>
      </c>
      <c r="U109" s="17" t="s">
        <v>104</v>
      </c>
      <c r="V109" s="17" t="s">
        <v>102</v>
      </c>
      <c r="W109" s="17" t="s">
        <v>103</v>
      </c>
      <c r="X109" s="879" t="s">
        <v>98</v>
      </c>
    </row>
    <row r="110" spans="1:24" ht="13.5" thickBot="1">
      <c r="A110" s="885"/>
      <c r="B110" s="885"/>
      <c r="C110" s="9" t="s">
        <v>2</v>
      </c>
      <c r="D110" s="18">
        <v>0</v>
      </c>
      <c r="E110" s="18">
        <v>0</v>
      </c>
      <c r="F110" s="18">
        <v>0</v>
      </c>
      <c r="G110" s="18">
        <v>0</v>
      </c>
      <c r="H110" s="18">
        <v>3</v>
      </c>
      <c r="I110" s="18">
        <v>2</v>
      </c>
      <c r="J110" s="18">
        <v>1</v>
      </c>
      <c r="K110" s="18">
        <v>0</v>
      </c>
      <c r="L110" s="18">
        <v>5</v>
      </c>
      <c r="M110" s="18">
        <v>4</v>
      </c>
      <c r="N110" s="18">
        <v>3</v>
      </c>
      <c r="O110" s="18">
        <v>1</v>
      </c>
      <c r="P110" s="18">
        <v>8</v>
      </c>
      <c r="Q110" s="18">
        <v>6</v>
      </c>
      <c r="R110" s="18">
        <v>5</v>
      </c>
      <c r="S110" s="18">
        <v>3</v>
      </c>
      <c r="T110" s="18">
        <v>10</v>
      </c>
      <c r="U110" s="18">
        <v>8</v>
      </c>
      <c r="V110" s="774">
        <v>5</v>
      </c>
      <c r="W110" s="823">
        <v>3</v>
      </c>
      <c r="X110" s="880"/>
    </row>
    <row r="111" spans="1:24" ht="12.95" customHeight="1" thickBot="1">
      <c r="A111" s="885"/>
      <c r="B111" s="93" t="s">
        <v>151</v>
      </c>
      <c r="C111" s="10" t="s">
        <v>3</v>
      </c>
      <c r="D111" s="1265" t="s">
        <v>258</v>
      </c>
      <c r="E111" s="1266"/>
      <c r="F111" s="1266"/>
      <c r="G111" s="1267"/>
      <c r="H111" s="68">
        <v>0</v>
      </c>
      <c r="I111" s="68">
        <v>0</v>
      </c>
      <c r="J111" s="68">
        <v>0</v>
      </c>
      <c r="K111" s="68">
        <v>0</v>
      </c>
      <c r="L111" s="68">
        <v>5</v>
      </c>
      <c r="M111" s="68">
        <v>4</v>
      </c>
      <c r="N111" s="68">
        <v>2</v>
      </c>
      <c r="O111" s="68">
        <v>2</v>
      </c>
      <c r="P111" s="68">
        <v>11</v>
      </c>
      <c r="Q111" s="68">
        <v>11</v>
      </c>
      <c r="R111" s="68">
        <v>10</v>
      </c>
      <c r="S111" s="68">
        <v>6</v>
      </c>
      <c r="T111" s="68">
        <v>0</v>
      </c>
      <c r="U111" s="68">
        <v>0</v>
      </c>
      <c r="V111" s="68">
        <v>0</v>
      </c>
      <c r="W111" s="68">
        <v>0</v>
      </c>
      <c r="X111" s="880"/>
    </row>
    <row r="112" spans="1:24" ht="12.95" customHeight="1" thickBot="1">
      <c r="A112" s="885"/>
      <c r="B112" s="93" t="s">
        <v>150</v>
      </c>
      <c r="C112" s="1258" t="s">
        <v>170</v>
      </c>
      <c r="D112" s="927" t="s">
        <v>4</v>
      </c>
      <c r="E112" s="928"/>
      <c r="F112" s="928"/>
      <c r="G112" s="928"/>
      <c r="H112" s="928"/>
      <c r="I112" s="928"/>
      <c r="J112" s="928"/>
      <c r="K112" s="928"/>
      <c r="L112" s="928"/>
      <c r="M112" s="928"/>
      <c r="N112" s="928"/>
      <c r="O112" s="928"/>
      <c r="P112" s="928"/>
      <c r="Q112" s="928"/>
      <c r="R112" s="928"/>
      <c r="S112" s="928"/>
      <c r="T112" s="928"/>
      <c r="U112" s="928"/>
      <c r="V112" s="928"/>
      <c r="W112" s="929"/>
      <c r="X112" s="880"/>
    </row>
    <row r="113" spans="1:24" ht="12.95" customHeight="1" thickBot="1">
      <c r="A113" s="885"/>
      <c r="B113" s="94" t="s">
        <v>149</v>
      </c>
      <c r="C113" s="1259"/>
      <c r="D113" s="930" t="s">
        <v>420</v>
      </c>
      <c r="E113" s="931"/>
      <c r="F113" s="931"/>
      <c r="G113" s="931"/>
      <c r="H113" s="931"/>
      <c r="I113" s="931"/>
      <c r="J113" s="931"/>
      <c r="K113" s="931"/>
      <c r="L113" s="931"/>
      <c r="M113" s="931"/>
      <c r="N113" s="931"/>
      <c r="O113" s="931"/>
      <c r="P113" s="931"/>
      <c r="Q113" s="931"/>
      <c r="R113" s="931"/>
      <c r="S113" s="931"/>
      <c r="T113" s="931"/>
      <c r="U113" s="931"/>
      <c r="V113" s="931"/>
      <c r="W113" s="932"/>
      <c r="X113" s="880"/>
    </row>
    <row r="114" spans="1:24" ht="12.95" customHeight="1" thickBot="1">
      <c r="A114" s="885"/>
      <c r="B114" s="11" t="s">
        <v>30</v>
      </c>
      <c r="C114" s="12"/>
      <c r="D114" s="927" t="s">
        <v>78</v>
      </c>
      <c r="E114" s="928"/>
      <c r="F114" s="928"/>
      <c r="G114" s="929"/>
      <c r="H114" s="927" t="s">
        <v>77</v>
      </c>
      <c r="I114" s="928"/>
      <c r="J114" s="928"/>
      <c r="K114" s="929"/>
      <c r="L114" s="927" t="s">
        <v>81</v>
      </c>
      <c r="M114" s="928"/>
      <c r="N114" s="928"/>
      <c r="O114" s="929"/>
      <c r="P114" s="927" t="s">
        <v>254</v>
      </c>
      <c r="Q114" s="928"/>
      <c r="R114" s="928"/>
      <c r="S114" s="929"/>
      <c r="T114" s="927" t="s">
        <v>76</v>
      </c>
      <c r="U114" s="928"/>
      <c r="V114" s="928"/>
      <c r="W114" s="929"/>
      <c r="X114" s="880"/>
    </row>
    <row r="115" spans="1:24" ht="44.1" customHeight="1" thickBot="1">
      <c r="A115" s="885"/>
      <c r="B115" s="868" t="s">
        <v>157</v>
      </c>
      <c r="C115" s="23"/>
      <c r="D115" s="17" t="s">
        <v>101</v>
      </c>
      <c r="E115" s="17" t="s">
        <v>104</v>
      </c>
      <c r="F115" s="17" t="s">
        <v>102</v>
      </c>
      <c r="G115" s="17" t="s">
        <v>103</v>
      </c>
      <c r="H115" s="17" t="s">
        <v>101</v>
      </c>
      <c r="I115" s="17" t="s">
        <v>104</v>
      </c>
      <c r="J115" s="17" t="s">
        <v>102</v>
      </c>
      <c r="K115" s="17" t="s">
        <v>103</v>
      </c>
      <c r="L115" s="17" t="s">
        <v>101</v>
      </c>
      <c r="M115" s="17" t="s">
        <v>104</v>
      </c>
      <c r="N115" s="17" t="s">
        <v>102</v>
      </c>
      <c r="O115" s="17" t="s">
        <v>103</v>
      </c>
      <c r="P115" s="17" t="s">
        <v>101</v>
      </c>
      <c r="Q115" s="17" t="s">
        <v>104</v>
      </c>
      <c r="R115" s="17" t="s">
        <v>102</v>
      </c>
      <c r="S115" s="17" t="s">
        <v>103</v>
      </c>
      <c r="T115" s="17" t="s">
        <v>101</v>
      </c>
      <c r="U115" s="17" t="s">
        <v>104</v>
      </c>
      <c r="V115" s="17" t="s">
        <v>102</v>
      </c>
      <c r="W115" s="17" t="s">
        <v>103</v>
      </c>
      <c r="X115" s="880"/>
    </row>
    <row r="116" spans="1:24" ht="13.5" thickBot="1">
      <c r="A116" s="885"/>
      <c r="B116" s="885"/>
      <c r="C116" s="9" t="s">
        <v>2</v>
      </c>
      <c r="D116" s="18">
        <v>0</v>
      </c>
      <c r="E116" s="18">
        <v>0</v>
      </c>
      <c r="F116" s="18">
        <v>0</v>
      </c>
      <c r="G116" s="18">
        <v>0</v>
      </c>
      <c r="H116" s="18">
        <v>3</v>
      </c>
      <c r="I116" s="18">
        <v>2</v>
      </c>
      <c r="J116" s="18">
        <v>1</v>
      </c>
      <c r="K116" s="18">
        <v>0</v>
      </c>
      <c r="L116" s="18">
        <v>5</v>
      </c>
      <c r="M116" s="18">
        <v>4</v>
      </c>
      <c r="N116" s="18">
        <v>3</v>
      </c>
      <c r="O116" s="18">
        <v>1</v>
      </c>
      <c r="P116" s="18">
        <v>8</v>
      </c>
      <c r="Q116" s="18">
        <v>6</v>
      </c>
      <c r="R116" s="18">
        <v>5</v>
      </c>
      <c r="S116" s="18">
        <v>3</v>
      </c>
      <c r="T116" s="18">
        <v>10</v>
      </c>
      <c r="U116" s="18">
        <v>8</v>
      </c>
      <c r="V116" s="775">
        <v>5</v>
      </c>
      <c r="W116" s="823">
        <v>5</v>
      </c>
      <c r="X116" s="880"/>
    </row>
    <row r="117" spans="1:24" ht="12.95" customHeight="1" thickBot="1">
      <c r="A117" s="885"/>
      <c r="B117" s="93" t="s">
        <v>151</v>
      </c>
      <c r="C117" s="9" t="s">
        <v>3</v>
      </c>
      <c r="D117" s="933" t="s">
        <v>171</v>
      </c>
      <c r="E117" s="934"/>
      <c r="F117" s="934"/>
      <c r="G117" s="935"/>
      <c r="H117" s="936" t="s">
        <v>249</v>
      </c>
      <c r="I117" s="937"/>
      <c r="J117" s="937"/>
      <c r="K117" s="938"/>
      <c r="L117" s="68">
        <v>5</v>
      </c>
      <c r="M117" s="68">
        <v>4</v>
      </c>
      <c r="N117" s="68">
        <v>3</v>
      </c>
      <c r="O117" s="68">
        <v>0</v>
      </c>
      <c r="P117" s="68">
        <v>7</v>
      </c>
      <c r="Q117" s="68">
        <v>1</v>
      </c>
      <c r="R117" s="68">
        <v>1</v>
      </c>
      <c r="S117" s="68">
        <v>0</v>
      </c>
      <c r="T117" s="68">
        <v>0</v>
      </c>
      <c r="U117" s="68">
        <v>0</v>
      </c>
      <c r="V117" s="68">
        <v>0</v>
      </c>
      <c r="W117" s="68">
        <v>0</v>
      </c>
      <c r="X117" s="880"/>
    </row>
    <row r="118" spans="1:24" ht="12.95" customHeight="1" thickBot="1">
      <c r="A118" s="885"/>
      <c r="B118" s="93" t="s">
        <v>150</v>
      </c>
      <c r="C118" s="1258" t="s">
        <v>170</v>
      </c>
      <c r="D118" s="927" t="s">
        <v>4</v>
      </c>
      <c r="E118" s="928"/>
      <c r="F118" s="928"/>
      <c r="G118" s="928"/>
      <c r="H118" s="928"/>
      <c r="I118" s="928"/>
      <c r="J118" s="928"/>
      <c r="K118" s="928"/>
      <c r="L118" s="928"/>
      <c r="M118" s="928"/>
      <c r="N118" s="928"/>
      <c r="O118" s="928"/>
      <c r="P118" s="928"/>
      <c r="Q118" s="928"/>
      <c r="R118" s="928"/>
      <c r="S118" s="928"/>
      <c r="T118" s="928"/>
      <c r="U118" s="928"/>
      <c r="V118" s="928"/>
      <c r="W118" s="929"/>
      <c r="X118" s="880"/>
    </row>
    <row r="119" spans="1:24" ht="12.95" customHeight="1" thickBot="1">
      <c r="A119" s="885"/>
      <c r="B119" s="94" t="s">
        <v>152</v>
      </c>
      <c r="C119" s="1259"/>
      <c r="D119" s="930" t="s">
        <v>420</v>
      </c>
      <c r="E119" s="931"/>
      <c r="F119" s="931"/>
      <c r="G119" s="931"/>
      <c r="H119" s="931"/>
      <c r="I119" s="931"/>
      <c r="J119" s="931"/>
      <c r="K119" s="931"/>
      <c r="L119" s="931"/>
      <c r="M119" s="931"/>
      <c r="N119" s="931"/>
      <c r="O119" s="931"/>
      <c r="P119" s="931"/>
      <c r="Q119" s="931"/>
      <c r="R119" s="931"/>
      <c r="S119" s="931"/>
      <c r="T119" s="931"/>
      <c r="U119" s="931"/>
      <c r="V119" s="931"/>
      <c r="W119" s="932"/>
      <c r="X119" s="880"/>
    </row>
    <row r="120" spans="1:24" ht="12.95" customHeight="1" thickBot="1">
      <c r="A120" s="885"/>
      <c r="B120" s="11" t="s">
        <v>31</v>
      </c>
      <c r="C120" s="12"/>
      <c r="D120" s="927" t="s">
        <v>78</v>
      </c>
      <c r="E120" s="928"/>
      <c r="F120" s="928"/>
      <c r="G120" s="929"/>
      <c r="H120" s="927" t="s">
        <v>77</v>
      </c>
      <c r="I120" s="928"/>
      <c r="J120" s="928"/>
      <c r="K120" s="929"/>
      <c r="L120" s="927" t="s">
        <v>81</v>
      </c>
      <c r="M120" s="928"/>
      <c r="N120" s="928"/>
      <c r="O120" s="929"/>
      <c r="P120" s="927" t="s">
        <v>254</v>
      </c>
      <c r="Q120" s="928"/>
      <c r="R120" s="928"/>
      <c r="S120" s="929"/>
      <c r="T120" s="927" t="s">
        <v>76</v>
      </c>
      <c r="U120" s="928"/>
      <c r="V120" s="928"/>
      <c r="W120" s="929"/>
      <c r="X120" s="880"/>
    </row>
    <row r="121" spans="1:24" ht="12.95" customHeight="1" thickBot="1">
      <c r="A121" s="885"/>
      <c r="B121" s="868" t="s">
        <v>421</v>
      </c>
      <c r="C121" s="23"/>
      <c r="D121" s="1230" t="s">
        <v>418</v>
      </c>
      <c r="E121" s="1232"/>
      <c r="F121" s="1240" t="s">
        <v>419</v>
      </c>
      <c r="G121" s="1232"/>
      <c r="H121" s="1240" t="s">
        <v>418</v>
      </c>
      <c r="I121" s="1232"/>
      <c r="J121" s="1240" t="s">
        <v>419</v>
      </c>
      <c r="K121" s="1232"/>
      <c r="L121" s="1240" t="s">
        <v>418</v>
      </c>
      <c r="M121" s="1232"/>
      <c r="N121" s="1240" t="s">
        <v>419</v>
      </c>
      <c r="O121" s="1232"/>
      <c r="P121" s="1240" t="s">
        <v>418</v>
      </c>
      <c r="Q121" s="1232"/>
      <c r="R121" s="1240" t="s">
        <v>419</v>
      </c>
      <c r="S121" s="1232"/>
      <c r="T121" s="1240" t="s">
        <v>418</v>
      </c>
      <c r="U121" s="1232"/>
      <c r="V121" s="1240" t="s">
        <v>419</v>
      </c>
      <c r="W121" s="1246"/>
      <c r="X121" s="880"/>
    </row>
    <row r="122" spans="1:24" ht="12.95" customHeight="1" thickBot="1">
      <c r="A122" s="885"/>
      <c r="B122" s="885"/>
      <c r="C122" s="26" t="s">
        <v>2</v>
      </c>
      <c r="D122" s="933" t="s">
        <v>172</v>
      </c>
      <c r="E122" s="934"/>
      <c r="F122" s="934"/>
      <c r="G122" s="935"/>
      <c r="H122" s="966" t="s">
        <v>572</v>
      </c>
      <c r="I122" s="967"/>
      <c r="J122" s="967"/>
      <c r="K122" s="968"/>
      <c r="L122" s="951">
        <v>60</v>
      </c>
      <c r="M122" s="952"/>
      <c r="N122" s="951">
        <v>50</v>
      </c>
      <c r="O122" s="952"/>
      <c r="P122" s="951">
        <v>70</v>
      </c>
      <c r="Q122" s="952"/>
      <c r="R122" s="951">
        <v>55</v>
      </c>
      <c r="S122" s="952"/>
      <c r="T122" s="1271">
        <v>70</v>
      </c>
      <c r="U122" s="1272"/>
      <c r="V122" s="1260">
        <v>80</v>
      </c>
      <c r="W122" s="1261"/>
      <c r="X122" s="880"/>
    </row>
    <row r="123" spans="1:24" ht="18" customHeight="1" thickBot="1">
      <c r="A123" s="885"/>
      <c r="B123" s="885"/>
      <c r="C123" s="9" t="s">
        <v>3</v>
      </c>
      <c r="D123" s="933"/>
      <c r="E123" s="934"/>
      <c r="F123" s="934"/>
      <c r="G123" s="935"/>
      <c r="H123" s="933"/>
      <c r="I123" s="934"/>
      <c r="J123" s="934"/>
      <c r="K123" s="935"/>
      <c r="L123" s="933"/>
      <c r="M123" s="934"/>
      <c r="N123" s="934"/>
      <c r="O123" s="935"/>
      <c r="P123" s="939">
        <v>76</v>
      </c>
      <c r="Q123" s="953"/>
      <c r="R123" s="939">
        <v>60</v>
      </c>
      <c r="S123" s="953"/>
      <c r="T123" s="939">
        <v>0</v>
      </c>
      <c r="U123" s="953"/>
      <c r="V123" s="939">
        <v>0</v>
      </c>
      <c r="W123" s="953"/>
      <c r="X123" s="880"/>
    </row>
    <row r="124" spans="1:24" ht="12.95" customHeight="1" thickBot="1">
      <c r="A124" s="885"/>
      <c r="B124" s="885"/>
      <c r="C124" s="1258" t="s">
        <v>170</v>
      </c>
      <c r="D124" s="927" t="s">
        <v>4</v>
      </c>
      <c r="E124" s="928"/>
      <c r="F124" s="928"/>
      <c r="G124" s="928"/>
      <c r="H124" s="928"/>
      <c r="I124" s="928"/>
      <c r="J124" s="928"/>
      <c r="K124" s="928"/>
      <c r="L124" s="928"/>
      <c r="M124" s="928"/>
      <c r="N124" s="928"/>
      <c r="O124" s="928"/>
      <c r="P124" s="928"/>
      <c r="Q124" s="928"/>
      <c r="R124" s="928"/>
      <c r="S124" s="928"/>
      <c r="T124" s="928"/>
      <c r="U124" s="928"/>
      <c r="V124" s="928"/>
      <c r="W124" s="929"/>
      <c r="X124" s="880"/>
    </row>
    <row r="125" spans="1:24" ht="12.95" customHeight="1" thickBot="1">
      <c r="A125" s="885"/>
      <c r="B125" s="94" t="s">
        <v>179</v>
      </c>
      <c r="C125" s="1259"/>
      <c r="D125" s="930" t="s">
        <v>121</v>
      </c>
      <c r="E125" s="931"/>
      <c r="F125" s="931"/>
      <c r="G125" s="931"/>
      <c r="H125" s="931"/>
      <c r="I125" s="931"/>
      <c r="J125" s="931"/>
      <c r="K125" s="931"/>
      <c r="L125" s="931"/>
      <c r="M125" s="931"/>
      <c r="N125" s="931"/>
      <c r="O125" s="931"/>
      <c r="P125" s="931"/>
      <c r="Q125" s="931"/>
      <c r="R125" s="931"/>
      <c r="S125" s="931"/>
      <c r="T125" s="931"/>
      <c r="U125" s="931"/>
      <c r="V125" s="931"/>
      <c r="W125" s="932"/>
      <c r="X125" s="880"/>
    </row>
    <row r="126" spans="1:24" ht="12.95" customHeight="1" thickBot="1">
      <c r="A126" s="885"/>
      <c r="B126" s="11" t="s">
        <v>40</v>
      </c>
      <c r="C126" s="12"/>
      <c r="D126" s="927" t="s">
        <v>78</v>
      </c>
      <c r="E126" s="928"/>
      <c r="F126" s="928"/>
      <c r="G126" s="929"/>
      <c r="H126" s="927" t="s">
        <v>77</v>
      </c>
      <c r="I126" s="928"/>
      <c r="J126" s="928"/>
      <c r="K126" s="929"/>
      <c r="L126" s="927" t="s">
        <v>81</v>
      </c>
      <c r="M126" s="928"/>
      <c r="N126" s="928"/>
      <c r="O126" s="929"/>
      <c r="P126" s="927" t="s">
        <v>254</v>
      </c>
      <c r="Q126" s="928"/>
      <c r="R126" s="928"/>
      <c r="S126" s="929"/>
      <c r="T126" s="927" t="s">
        <v>76</v>
      </c>
      <c r="U126" s="928"/>
      <c r="V126" s="928"/>
      <c r="W126" s="929"/>
      <c r="X126" s="880"/>
    </row>
    <row r="127" spans="1:24" ht="12.95" customHeight="1" thickBot="1">
      <c r="A127" s="885"/>
      <c r="B127" s="873" t="s">
        <v>644</v>
      </c>
      <c r="C127" s="23" t="s">
        <v>2</v>
      </c>
      <c r="D127" s="933" t="s">
        <v>171</v>
      </c>
      <c r="E127" s="934"/>
      <c r="F127" s="934"/>
      <c r="G127" s="935"/>
      <c r="H127" s="966" t="s">
        <v>572</v>
      </c>
      <c r="I127" s="967"/>
      <c r="J127" s="967"/>
      <c r="K127" s="968"/>
      <c r="L127" s="942">
        <v>3.9</v>
      </c>
      <c r="M127" s="943"/>
      <c r="N127" s="943"/>
      <c r="O127" s="944"/>
      <c r="P127" s="942">
        <v>4.2</v>
      </c>
      <c r="Q127" s="943"/>
      <c r="R127" s="943"/>
      <c r="S127" s="944"/>
      <c r="T127" s="1268">
        <v>3.9</v>
      </c>
      <c r="U127" s="1269"/>
      <c r="V127" s="1269"/>
      <c r="W127" s="1270"/>
      <c r="X127" s="880"/>
    </row>
    <row r="128" spans="1:24" ht="13.5" thickBot="1">
      <c r="A128" s="869"/>
      <c r="B128" s="874"/>
      <c r="C128" s="9" t="s">
        <v>3</v>
      </c>
      <c r="D128" s="933"/>
      <c r="E128" s="934"/>
      <c r="F128" s="934"/>
      <c r="G128" s="935"/>
      <c r="H128" s="933"/>
      <c r="I128" s="934"/>
      <c r="J128" s="934"/>
      <c r="K128" s="935"/>
      <c r="L128" s="1171"/>
      <c r="M128" s="1172"/>
      <c r="N128" s="1172"/>
      <c r="O128" s="1173"/>
      <c r="P128" s="963">
        <v>4.0999999999999996</v>
      </c>
      <c r="Q128" s="964"/>
      <c r="R128" s="964"/>
      <c r="S128" s="965"/>
      <c r="T128" s="963">
        <v>0</v>
      </c>
      <c r="U128" s="964"/>
      <c r="V128" s="964"/>
      <c r="W128" s="965"/>
      <c r="X128" s="881"/>
    </row>
    <row r="129" spans="1:24" ht="12.95" customHeight="1" thickBot="1">
      <c r="A129" s="96" t="s">
        <v>13</v>
      </c>
      <c r="B129" s="874"/>
      <c r="C129" s="1258" t="s">
        <v>170</v>
      </c>
      <c r="D129" s="927" t="s">
        <v>4</v>
      </c>
      <c r="E129" s="928"/>
      <c r="F129" s="928"/>
      <c r="G129" s="928"/>
      <c r="H129" s="928"/>
      <c r="I129" s="928"/>
      <c r="J129" s="928"/>
      <c r="K129" s="928"/>
      <c r="L129" s="928"/>
      <c r="M129" s="928"/>
      <c r="N129" s="928"/>
      <c r="O129" s="928"/>
      <c r="P129" s="928"/>
      <c r="Q129" s="928"/>
      <c r="R129" s="928"/>
      <c r="S129" s="928"/>
      <c r="T129" s="928"/>
      <c r="U129" s="928"/>
      <c r="V129" s="928"/>
      <c r="W129" s="929"/>
      <c r="X129" s="24" t="s">
        <v>14</v>
      </c>
    </row>
    <row r="130" spans="1:24" ht="12.95" customHeight="1" thickBot="1">
      <c r="A130" s="25" t="s">
        <v>75</v>
      </c>
      <c r="B130" s="875"/>
      <c r="C130" s="1259"/>
      <c r="D130" s="930" t="s">
        <v>122</v>
      </c>
      <c r="E130" s="931"/>
      <c r="F130" s="931"/>
      <c r="G130" s="931"/>
      <c r="H130" s="931"/>
      <c r="I130" s="931"/>
      <c r="J130" s="931"/>
      <c r="K130" s="931"/>
      <c r="L130" s="931"/>
      <c r="M130" s="931"/>
      <c r="N130" s="931"/>
      <c r="O130" s="931"/>
      <c r="P130" s="931"/>
      <c r="Q130" s="931"/>
      <c r="R130" s="931"/>
      <c r="S130" s="931"/>
      <c r="T130" s="931"/>
      <c r="U130" s="931"/>
      <c r="V130" s="931"/>
      <c r="W130" s="932"/>
      <c r="X130" s="18" t="s">
        <v>92</v>
      </c>
    </row>
    <row r="131" spans="1:24" ht="12.95" customHeight="1" thickBot="1">
      <c r="A131" s="906" t="s">
        <v>7</v>
      </c>
      <c r="B131" s="908" t="s">
        <v>173</v>
      </c>
      <c r="C131" s="909"/>
      <c r="D131" s="908" t="s">
        <v>8</v>
      </c>
      <c r="E131" s="918"/>
      <c r="F131" s="918"/>
      <c r="G131" s="909"/>
      <c r="H131" s="908" t="s">
        <v>88</v>
      </c>
      <c r="I131" s="918"/>
      <c r="J131" s="918"/>
      <c r="K131" s="909"/>
      <c r="L131" s="908" t="s">
        <v>89</v>
      </c>
      <c r="M131" s="918"/>
      <c r="N131" s="918"/>
      <c r="O131" s="909"/>
      <c r="P131" s="908" t="s">
        <v>9</v>
      </c>
      <c r="Q131" s="918"/>
      <c r="R131" s="918"/>
      <c r="S131" s="909"/>
      <c r="T131" s="908" t="s">
        <v>174</v>
      </c>
      <c r="U131" s="918"/>
      <c r="V131" s="918"/>
      <c r="W131" s="918"/>
      <c r="X131" s="909"/>
    </row>
    <row r="132" spans="1:24" ht="13.5" thickBot="1">
      <c r="A132" s="907"/>
      <c r="B132" s="1256"/>
      <c r="C132" s="1257"/>
      <c r="D132" s="916"/>
      <c r="E132" s="994"/>
      <c r="F132" s="994"/>
      <c r="G132" s="917"/>
      <c r="H132" s="916"/>
      <c r="I132" s="994"/>
      <c r="J132" s="994"/>
      <c r="K132" s="917"/>
      <c r="L132" s="916"/>
      <c r="M132" s="994"/>
      <c r="N132" s="994"/>
      <c r="O132" s="917"/>
      <c r="P132" s="916">
        <f>SUM(B132:O132)</f>
        <v>0</v>
      </c>
      <c r="Q132" s="994"/>
      <c r="R132" s="994"/>
      <c r="S132" s="917"/>
      <c r="T132" s="916" t="e">
        <f>B132/P132%</f>
        <v>#DIV/0!</v>
      </c>
      <c r="U132" s="994"/>
      <c r="V132" s="994"/>
      <c r="W132" s="994"/>
      <c r="X132" s="917"/>
    </row>
    <row r="133" spans="1:24" ht="13.5" thickBot="1">
      <c r="A133" s="906" t="s">
        <v>10</v>
      </c>
      <c r="B133" s="908" t="s">
        <v>175</v>
      </c>
      <c r="C133" s="909"/>
      <c r="D133" s="910"/>
      <c r="E133" s="911"/>
      <c r="F133" s="911"/>
      <c r="G133" s="911"/>
      <c r="H133" s="911"/>
      <c r="I133" s="911"/>
      <c r="J133" s="911"/>
      <c r="K133" s="911"/>
      <c r="L133" s="911"/>
      <c r="M133" s="911"/>
      <c r="N133" s="911"/>
      <c r="O133" s="911"/>
      <c r="P133" s="911"/>
      <c r="Q133" s="911"/>
      <c r="R133" s="911"/>
      <c r="S133" s="911"/>
      <c r="T133" s="911"/>
      <c r="U133" s="911"/>
      <c r="V133" s="911"/>
      <c r="W133" s="911"/>
      <c r="X133" s="912"/>
    </row>
    <row r="134" spans="1:24" ht="13.5" thickBot="1">
      <c r="A134" s="907"/>
      <c r="B134" s="1256"/>
      <c r="C134" s="1257"/>
      <c r="D134" s="913"/>
      <c r="E134" s="914"/>
      <c r="F134" s="914"/>
      <c r="G134" s="914"/>
      <c r="H134" s="914"/>
      <c r="I134" s="914"/>
      <c r="J134" s="914"/>
      <c r="K134" s="914"/>
      <c r="L134" s="914"/>
      <c r="M134" s="914"/>
      <c r="N134" s="914"/>
      <c r="O134" s="914"/>
      <c r="P134" s="914"/>
      <c r="Q134" s="914"/>
      <c r="R134" s="914"/>
      <c r="S134" s="914"/>
      <c r="T134" s="914"/>
      <c r="U134" s="914"/>
      <c r="V134" s="914"/>
      <c r="W134" s="914"/>
      <c r="X134" s="915"/>
    </row>
    <row r="135" spans="1:24">
      <c r="A135" s="5"/>
      <c r="B135" s="5"/>
      <c r="C135" s="6"/>
      <c r="D135" s="5"/>
      <c r="E135" s="5"/>
      <c r="F135" s="5"/>
      <c r="G135" s="5"/>
      <c r="H135" s="5"/>
      <c r="I135" s="5"/>
      <c r="J135" s="5"/>
      <c r="K135" s="5"/>
      <c r="L135" s="5"/>
      <c r="M135" s="5"/>
      <c r="N135" s="5"/>
      <c r="O135" s="5"/>
      <c r="P135" s="5"/>
      <c r="Q135" s="5"/>
      <c r="R135" s="5"/>
      <c r="S135" s="5"/>
      <c r="T135" s="5"/>
      <c r="U135" s="5"/>
      <c r="V135" s="5"/>
      <c r="W135" s="5"/>
      <c r="X135" s="5"/>
    </row>
    <row r="136" spans="1:24" ht="13.5" thickBot="1">
      <c r="A136" s="5"/>
      <c r="B136" s="5"/>
      <c r="C136" s="6"/>
      <c r="D136" s="5"/>
      <c r="E136" s="5"/>
      <c r="F136" s="5"/>
      <c r="G136" s="5"/>
      <c r="H136" s="5"/>
      <c r="I136" s="5"/>
      <c r="J136" s="5"/>
      <c r="K136" s="5"/>
      <c r="L136" s="5"/>
      <c r="M136" s="5"/>
      <c r="N136" s="5"/>
      <c r="O136" s="5"/>
      <c r="P136" s="5"/>
      <c r="Q136" s="5"/>
      <c r="R136" s="5"/>
      <c r="S136" s="5"/>
      <c r="T136" s="5"/>
      <c r="U136" s="5"/>
      <c r="V136" s="5"/>
      <c r="W136" s="5"/>
      <c r="X136" s="5"/>
    </row>
    <row r="137" spans="1:24" ht="12.95" customHeight="1" thickBot="1">
      <c r="A137" s="95" t="s">
        <v>28</v>
      </c>
      <c r="B137" s="97" t="s">
        <v>32</v>
      </c>
      <c r="C137" s="8"/>
      <c r="D137" s="927" t="s">
        <v>78</v>
      </c>
      <c r="E137" s="928"/>
      <c r="F137" s="928"/>
      <c r="G137" s="929"/>
      <c r="H137" s="927" t="s">
        <v>77</v>
      </c>
      <c r="I137" s="928"/>
      <c r="J137" s="928"/>
      <c r="K137" s="929"/>
      <c r="L137" s="927" t="s">
        <v>81</v>
      </c>
      <c r="M137" s="928"/>
      <c r="N137" s="928"/>
      <c r="O137" s="929"/>
      <c r="P137" s="927" t="s">
        <v>254</v>
      </c>
      <c r="Q137" s="928"/>
      <c r="R137" s="928"/>
      <c r="S137" s="929"/>
      <c r="T137" s="927" t="s">
        <v>76</v>
      </c>
      <c r="U137" s="928"/>
      <c r="V137" s="928"/>
      <c r="W137" s="929"/>
      <c r="X137" s="16" t="s">
        <v>6</v>
      </c>
    </row>
    <row r="138" spans="1:24" ht="12.95" customHeight="1" thickBot="1">
      <c r="A138" s="868" t="s">
        <v>65</v>
      </c>
      <c r="B138" s="868" t="s">
        <v>66</v>
      </c>
      <c r="C138" s="9" t="s">
        <v>2</v>
      </c>
      <c r="D138" s="942">
        <v>1</v>
      </c>
      <c r="E138" s="943"/>
      <c r="F138" s="943"/>
      <c r="G138" s="944"/>
      <c r="H138" s="942">
        <v>2</v>
      </c>
      <c r="I138" s="943"/>
      <c r="J138" s="943"/>
      <c r="K138" s="944"/>
      <c r="L138" s="942">
        <v>2</v>
      </c>
      <c r="M138" s="943"/>
      <c r="N138" s="943"/>
      <c r="O138" s="944"/>
      <c r="P138" s="942">
        <v>3</v>
      </c>
      <c r="Q138" s="943"/>
      <c r="R138" s="943"/>
      <c r="S138" s="944"/>
      <c r="T138" s="942">
        <v>3.5</v>
      </c>
      <c r="U138" s="943"/>
      <c r="V138" s="943"/>
      <c r="W138" s="944"/>
      <c r="X138" s="879" t="s">
        <v>91</v>
      </c>
    </row>
    <row r="139" spans="1:24" ht="13.5" thickBot="1">
      <c r="A139" s="885"/>
      <c r="B139" s="885"/>
      <c r="C139" s="99" t="s">
        <v>3</v>
      </c>
      <c r="D139" s="957"/>
      <c r="E139" s="958"/>
      <c r="F139" s="958"/>
      <c r="G139" s="959"/>
      <c r="H139" s="963">
        <v>1.5</v>
      </c>
      <c r="I139" s="964"/>
      <c r="J139" s="964"/>
      <c r="K139" s="965"/>
      <c r="L139" s="963">
        <v>2.7</v>
      </c>
      <c r="M139" s="964"/>
      <c r="N139" s="964"/>
      <c r="O139" s="965"/>
      <c r="P139" s="963">
        <v>2.8</v>
      </c>
      <c r="Q139" s="964"/>
      <c r="R139" s="964"/>
      <c r="S139" s="965"/>
      <c r="T139" s="963">
        <v>0</v>
      </c>
      <c r="U139" s="964"/>
      <c r="V139" s="964"/>
      <c r="W139" s="965"/>
      <c r="X139" s="880"/>
    </row>
    <row r="140" spans="1:24" ht="12.95" customHeight="1" thickBot="1">
      <c r="A140" s="885"/>
      <c r="B140" s="885"/>
      <c r="C140" s="1258" t="s">
        <v>170</v>
      </c>
      <c r="D140" s="927" t="s">
        <v>4</v>
      </c>
      <c r="E140" s="928"/>
      <c r="F140" s="928"/>
      <c r="G140" s="928"/>
      <c r="H140" s="928"/>
      <c r="I140" s="928"/>
      <c r="J140" s="928"/>
      <c r="K140" s="928"/>
      <c r="L140" s="928"/>
      <c r="M140" s="928"/>
      <c r="N140" s="928"/>
      <c r="O140" s="928"/>
      <c r="P140" s="928"/>
      <c r="Q140" s="928"/>
      <c r="R140" s="928"/>
      <c r="S140" s="928"/>
      <c r="T140" s="928"/>
      <c r="U140" s="928"/>
      <c r="V140" s="928"/>
      <c r="W140" s="929"/>
      <c r="X140" s="880"/>
    </row>
    <row r="141" spans="1:24" ht="12.95" customHeight="1" thickBot="1">
      <c r="A141" s="885"/>
      <c r="B141" s="869"/>
      <c r="C141" s="1259"/>
      <c r="D141" s="930" t="s">
        <v>123</v>
      </c>
      <c r="E141" s="931"/>
      <c r="F141" s="931"/>
      <c r="G141" s="931"/>
      <c r="H141" s="931"/>
      <c r="I141" s="931"/>
      <c r="J141" s="931"/>
      <c r="K141" s="931"/>
      <c r="L141" s="931"/>
      <c r="M141" s="931"/>
      <c r="N141" s="931"/>
      <c r="O141" s="931"/>
      <c r="P141" s="931"/>
      <c r="Q141" s="931"/>
      <c r="R141" s="931"/>
      <c r="S141" s="931"/>
      <c r="T141" s="931"/>
      <c r="U141" s="931"/>
      <c r="V141" s="931"/>
      <c r="W141" s="932"/>
      <c r="X141" s="880"/>
    </row>
    <row r="142" spans="1:24" ht="12.95" customHeight="1" thickBot="1">
      <c r="A142" s="885"/>
      <c r="B142" s="11" t="s">
        <v>33</v>
      </c>
      <c r="C142" s="12"/>
      <c r="D142" s="927" t="s">
        <v>78</v>
      </c>
      <c r="E142" s="928"/>
      <c r="F142" s="928"/>
      <c r="G142" s="929"/>
      <c r="H142" s="927" t="s">
        <v>77</v>
      </c>
      <c r="I142" s="928"/>
      <c r="J142" s="928"/>
      <c r="K142" s="929"/>
      <c r="L142" s="927" t="s">
        <v>81</v>
      </c>
      <c r="M142" s="928"/>
      <c r="N142" s="928"/>
      <c r="O142" s="929"/>
      <c r="P142" s="927" t="s">
        <v>254</v>
      </c>
      <c r="Q142" s="928"/>
      <c r="R142" s="928"/>
      <c r="S142" s="929"/>
      <c r="T142" s="927" t="s">
        <v>76</v>
      </c>
      <c r="U142" s="928"/>
      <c r="V142" s="928"/>
      <c r="W142" s="929"/>
      <c r="X142" s="880"/>
    </row>
    <row r="143" spans="1:24" ht="13.5" thickBot="1">
      <c r="A143" s="885"/>
      <c r="B143" s="868" t="s">
        <v>67</v>
      </c>
      <c r="C143" s="23" t="s">
        <v>2</v>
      </c>
      <c r="D143" s="942">
        <v>1</v>
      </c>
      <c r="E143" s="943"/>
      <c r="F143" s="943"/>
      <c r="G143" s="944"/>
      <c r="H143" s="942">
        <v>2</v>
      </c>
      <c r="I143" s="943"/>
      <c r="J143" s="943"/>
      <c r="K143" s="944"/>
      <c r="L143" s="942">
        <v>2.5</v>
      </c>
      <c r="M143" s="943"/>
      <c r="N143" s="943"/>
      <c r="O143" s="944"/>
      <c r="P143" s="942">
        <v>3.5</v>
      </c>
      <c r="Q143" s="943"/>
      <c r="R143" s="943"/>
      <c r="S143" s="944"/>
      <c r="T143" s="942">
        <v>4</v>
      </c>
      <c r="U143" s="943"/>
      <c r="V143" s="943"/>
      <c r="W143" s="944"/>
      <c r="X143" s="880"/>
    </row>
    <row r="144" spans="1:24" ht="13.5" thickBot="1">
      <c r="A144" s="885"/>
      <c r="B144" s="885"/>
      <c r="C144" s="9" t="s">
        <v>3</v>
      </c>
      <c r="D144" s="957"/>
      <c r="E144" s="958"/>
      <c r="F144" s="958"/>
      <c r="G144" s="959"/>
      <c r="H144" s="963">
        <v>1.5</v>
      </c>
      <c r="I144" s="964"/>
      <c r="J144" s="964"/>
      <c r="K144" s="965"/>
      <c r="L144" s="963">
        <v>3.3</v>
      </c>
      <c r="M144" s="964"/>
      <c r="N144" s="964"/>
      <c r="O144" s="965"/>
      <c r="P144" s="963">
        <v>4.3</v>
      </c>
      <c r="Q144" s="964"/>
      <c r="R144" s="964"/>
      <c r="S144" s="965"/>
      <c r="T144" s="963">
        <v>0</v>
      </c>
      <c r="U144" s="964"/>
      <c r="V144" s="964"/>
      <c r="W144" s="965"/>
      <c r="X144" s="880"/>
    </row>
    <row r="145" spans="1:24" ht="12.95" customHeight="1" thickBot="1">
      <c r="A145" s="885"/>
      <c r="B145" s="885"/>
      <c r="C145" s="1258" t="s">
        <v>170</v>
      </c>
      <c r="D145" s="927" t="s">
        <v>4</v>
      </c>
      <c r="E145" s="928"/>
      <c r="F145" s="928"/>
      <c r="G145" s="928"/>
      <c r="H145" s="928"/>
      <c r="I145" s="928"/>
      <c r="J145" s="928"/>
      <c r="K145" s="928"/>
      <c r="L145" s="928"/>
      <c r="M145" s="928"/>
      <c r="N145" s="928"/>
      <c r="O145" s="928"/>
      <c r="P145" s="928"/>
      <c r="Q145" s="928"/>
      <c r="R145" s="928"/>
      <c r="S145" s="928"/>
      <c r="T145" s="928"/>
      <c r="U145" s="928"/>
      <c r="V145" s="928"/>
      <c r="W145" s="929"/>
      <c r="X145" s="880"/>
    </row>
    <row r="146" spans="1:24" ht="12.95" customHeight="1" thickBot="1">
      <c r="A146" s="885"/>
      <c r="B146" s="869"/>
      <c r="C146" s="1259"/>
      <c r="D146" s="930" t="s">
        <v>123</v>
      </c>
      <c r="E146" s="931"/>
      <c r="F146" s="931"/>
      <c r="G146" s="931"/>
      <c r="H146" s="931"/>
      <c r="I146" s="931"/>
      <c r="J146" s="931"/>
      <c r="K146" s="931"/>
      <c r="L146" s="931"/>
      <c r="M146" s="931"/>
      <c r="N146" s="931"/>
      <c r="O146" s="931"/>
      <c r="P146" s="931"/>
      <c r="Q146" s="931"/>
      <c r="R146" s="931"/>
      <c r="S146" s="931"/>
      <c r="T146" s="931"/>
      <c r="U146" s="931"/>
      <c r="V146" s="931"/>
      <c r="W146" s="932"/>
      <c r="X146" s="880"/>
    </row>
    <row r="147" spans="1:24" ht="12.95" customHeight="1" thickBot="1">
      <c r="A147" s="885"/>
      <c r="B147" s="11" t="s">
        <v>34</v>
      </c>
      <c r="C147" s="12"/>
      <c r="D147" s="927" t="s">
        <v>78</v>
      </c>
      <c r="E147" s="928"/>
      <c r="F147" s="928"/>
      <c r="G147" s="929"/>
      <c r="H147" s="927" t="s">
        <v>77</v>
      </c>
      <c r="I147" s="928"/>
      <c r="J147" s="928"/>
      <c r="K147" s="929"/>
      <c r="L147" s="927" t="s">
        <v>81</v>
      </c>
      <c r="M147" s="928"/>
      <c r="N147" s="928"/>
      <c r="O147" s="929"/>
      <c r="P147" s="927" t="s">
        <v>254</v>
      </c>
      <c r="Q147" s="928"/>
      <c r="R147" s="928"/>
      <c r="S147" s="929"/>
      <c r="T147" s="927" t="s">
        <v>76</v>
      </c>
      <c r="U147" s="928"/>
      <c r="V147" s="928"/>
      <c r="W147" s="929"/>
      <c r="X147" s="880"/>
    </row>
    <row r="148" spans="1:24" ht="13.5" thickBot="1">
      <c r="A148" s="885"/>
      <c r="B148" s="868" t="s">
        <v>68</v>
      </c>
      <c r="C148" s="23" t="s">
        <v>2</v>
      </c>
      <c r="D148" s="942">
        <v>1</v>
      </c>
      <c r="E148" s="943"/>
      <c r="F148" s="943"/>
      <c r="G148" s="944"/>
      <c r="H148" s="942">
        <v>1</v>
      </c>
      <c r="I148" s="943"/>
      <c r="J148" s="943"/>
      <c r="K148" s="944"/>
      <c r="L148" s="942">
        <v>2</v>
      </c>
      <c r="M148" s="943"/>
      <c r="N148" s="943"/>
      <c r="O148" s="944"/>
      <c r="P148" s="942">
        <v>2.5</v>
      </c>
      <c r="Q148" s="943"/>
      <c r="R148" s="943"/>
      <c r="S148" s="944"/>
      <c r="T148" s="942">
        <v>3</v>
      </c>
      <c r="U148" s="943"/>
      <c r="V148" s="943"/>
      <c r="W148" s="944"/>
      <c r="X148" s="880"/>
    </row>
    <row r="149" spans="1:24" ht="13.5" thickBot="1">
      <c r="A149" s="885"/>
      <c r="B149" s="885"/>
      <c r="C149" s="9" t="s">
        <v>3</v>
      </c>
      <c r="D149" s="957"/>
      <c r="E149" s="958"/>
      <c r="F149" s="958"/>
      <c r="G149" s="959"/>
      <c r="H149" s="963">
        <v>2.5</v>
      </c>
      <c r="I149" s="964"/>
      <c r="J149" s="964"/>
      <c r="K149" s="965"/>
      <c r="L149" s="963">
        <v>2.2999999999999998</v>
      </c>
      <c r="M149" s="964"/>
      <c r="N149" s="964"/>
      <c r="O149" s="965"/>
      <c r="P149" s="963">
        <v>3</v>
      </c>
      <c r="Q149" s="964"/>
      <c r="R149" s="964"/>
      <c r="S149" s="965"/>
      <c r="T149" s="963">
        <v>0</v>
      </c>
      <c r="U149" s="964"/>
      <c r="V149" s="964"/>
      <c r="W149" s="965"/>
      <c r="X149" s="880"/>
    </row>
    <row r="150" spans="1:24" ht="12.95" customHeight="1" thickBot="1">
      <c r="A150" s="885"/>
      <c r="B150" s="885"/>
      <c r="C150" s="1258" t="s">
        <v>170</v>
      </c>
      <c r="D150" s="927" t="s">
        <v>4</v>
      </c>
      <c r="E150" s="928"/>
      <c r="F150" s="928"/>
      <c r="G150" s="928"/>
      <c r="H150" s="928"/>
      <c r="I150" s="928"/>
      <c r="J150" s="928"/>
      <c r="K150" s="928"/>
      <c r="L150" s="928"/>
      <c r="M150" s="928"/>
      <c r="N150" s="928"/>
      <c r="O150" s="928"/>
      <c r="P150" s="928"/>
      <c r="Q150" s="928"/>
      <c r="R150" s="928"/>
      <c r="S150" s="928"/>
      <c r="T150" s="928"/>
      <c r="U150" s="928"/>
      <c r="V150" s="928"/>
      <c r="W150" s="929"/>
      <c r="X150" s="880"/>
    </row>
    <row r="151" spans="1:24" ht="12.95" customHeight="1" thickBot="1">
      <c r="A151" s="885"/>
      <c r="B151" s="869"/>
      <c r="C151" s="1259"/>
      <c r="D151" s="930" t="s">
        <v>123</v>
      </c>
      <c r="E151" s="931"/>
      <c r="F151" s="931"/>
      <c r="G151" s="931"/>
      <c r="H151" s="931"/>
      <c r="I151" s="931"/>
      <c r="J151" s="931"/>
      <c r="K151" s="931"/>
      <c r="L151" s="931"/>
      <c r="M151" s="931"/>
      <c r="N151" s="931"/>
      <c r="O151" s="931"/>
      <c r="P151" s="931"/>
      <c r="Q151" s="931"/>
      <c r="R151" s="931"/>
      <c r="S151" s="931"/>
      <c r="T151" s="931"/>
      <c r="U151" s="931"/>
      <c r="V151" s="931"/>
      <c r="W151" s="932"/>
      <c r="X151" s="880"/>
    </row>
    <row r="152" spans="1:24" ht="12.95" customHeight="1" thickBot="1">
      <c r="A152" s="885"/>
      <c r="B152" s="11" t="s">
        <v>41</v>
      </c>
      <c r="C152" s="12"/>
      <c r="D152" s="927" t="s">
        <v>78</v>
      </c>
      <c r="E152" s="928"/>
      <c r="F152" s="928"/>
      <c r="G152" s="929"/>
      <c r="H152" s="927" t="s">
        <v>77</v>
      </c>
      <c r="I152" s="928"/>
      <c r="J152" s="928"/>
      <c r="K152" s="929"/>
      <c r="L152" s="927" t="s">
        <v>81</v>
      </c>
      <c r="M152" s="928"/>
      <c r="N152" s="928"/>
      <c r="O152" s="929"/>
      <c r="P152" s="927" t="s">
        <v>254</v>
      </c>
      <c r="Q152" s="928"/>
      <c r="R152" s="928"/>
      <c r="S152" s="929"/>
      <c r="T152" s="927" t="s">
        <v>76</v>
      </c>
      <c r="U152" s="928"/>
      <c r="V152" s="928"/>
      <c r="W152" s="929"/>
      <c r="X152" s="880"/>
    </row>
    <row r="153" spans="1:24" ht="13.5" thickBot="1">
      <c r="A153" s="885"/>
      <c r="B153" s="868" t="s">
        <v>69</v>
      </c>
      <c r="C153" s="23" t="s">
        <v>2</v>
      </c>
      <c r="D153" s="942">
        <v>1</v>
      </c>
      <c r="E153" s="943"/>
      <c r="F153" s="943"/>
      <c r="G153" s="944"/>
      <c r="H153" s="942">
        <v>1</v>
      </c>
      <c r="I153" s="943"/>
      <c r="J153" s="943"/>
      <c r="K153" s="944"/>
      <c r="L153" s="942">
        <v>2</v>
      </c>
      <c r="M153" s="943"/>
      <c r="N153" s="943"/>
      <c r="O153" s="944"/>
      <c r="P153" s="942">
        <v>2.2000000000000002</v>
      </c>
      <c r="Q153" s="943"/>
      <c r="R153" s="943"/>
      <c r="S153" s="944"/>
      <c r="T153" s="1262">
        <v>2.9</v>
      </c>
      <c r="U153" s="1263"/>
      <c r="V153" s="1263"/>
      <c r="W153" s="1264"/>
      <c r="X153" s="880"/>
    </row>
    <row r="154" spans="1:24" ht="13.5" thickBot="1">
      <c r="A154" s="885"/>
      <c r="B154" s="885"/>
      <c r="C154" s="9" t="s">
        <v>3</v>
      </c>
      <c r="D154" s="957"/>
      <c r="E154" s="958"/>
      <c r="F154" s="958"/>
      <c r="G154" s="959"/>
      <c r="H154" s="963">
        <v>2</v>
      </c>
      <c r="I154" s="964"/>
      <c r="J154" s="964"/>
      <c r="K154" s="965"/>
      <c r="L154" s="963">
        <v>1.6</v>
      </c>
      <c r="M154" s="964"/>
      <c r="N154" s="964"/>
      <c r="O154" s="965"/>
      <c r="P154" s="963">
        <v>2.9</v>
      </c>
      <c r="Q154" s="964"/>
      <c r="R154" s="964"/>
      <c r="S154" s="965"/>
      <c r="T154" s="963">
        <v>0</v>
      </c>
      <c r="U154" s="964"/>
      <c r="V154" s="964"/>
      <c r="W154" s="965"/>
      <c r="X154" s="880"/>
    </row>
    <row r="155" spans="1:24" ht="12.95" customHeight="1" thickBot="1">
      <c r="A155" s="885"/>
      <c r="B155" s="885"/>
      <c r="C155" s="1258" t="s">
        <v>170</v>
      </c>
      <c r="D155" s="927" t="s">
        <v>4</v>
      </c>
      <c r="E155" s="928"/>
      <c r="F155" s="928"/>
      <c r="G155" s="928"/>
      <c r="H155" s="928"/>
      <c r="I155" s="928"/>
      <c r="J155" s="928"/>
      <c r="K155" s="928"/>
      <c r="L155" s="928"/>
      <c r="M155" s="928"/>
      <c r="N155" s="928"/>
      <c r="O155" s="928"/>
      <c r="P155" s="928"/>
      <c r="Q155" s="928"/>
      <c r="R155" s="928"/>
      <c r="S155" s="928"/>
      <c r="T155" s="928"/>
      <c r="U155" s="928"/>
      <c r="V155" s="928"/>
      <c r="W155" s="929"/>
      <c r="X155" s="880"/>
    </row>
    <row r="156" spans="1:24" ht="12.95" customHeight="1" thickBot="1">
      <c r="A156" s="885"/>
      <c r="B156" s="869"/>
      <c r="C156" s="1259"/>
      <c r="D156" s="930" t="s">
        <v>123</v>
      </c>
      <c r="E156" s="931"/>
      <c r="F156" s="931"/>
      <c r="G156" s="931"/>
      <c r="H156" s="931"/>
      <c r="I156" s="931"/>
      <c r="J156" s="931"/>
      <c r="K156" s="931"/>
      <c r="L156" s="931"/>
      <c r="M156" s="931"/>
      <c r="N156" s="931"/>
      <c r="O156" s="931"/>
      <c r="P156" s="931"/>
      <c r="Q156" s="931"/>
      <c r="R156" s="931"/>
      <c r="S156" s="931"/>
      <c r="T156" s="931"/>
      <c r="U156" s="931"/>
      <c r="V156" s="931"/>
      <c r="W156" s="932"/>
      <c r="X156" s="880"/>
    </row>
    <row r="157" spans="1:24" ht="12.95" customHeight="1" thickBot="1">
      <c r="A157" s="885"/>
      <c r="B157" s="11" t="s">
        <v>42</v>
      </c>
      <c r="C157" s="28"/>
      <c r="D157" s="927" t="s">
        <v>78</v>
      </c>
      <c r="E157" s="928"/>
      <c r="F157" s="928"/>
      <c r="G157" s="929"/>
      <c r="H157" s="927" t="s">
        <v>77</v>
      </c>
      <c r="I157" s="928"/>
      <c r="J157" s="928"/>
      <c r="K157" s="929"/>
      <c r="L157" s="927" t="s">
        <v>81</v>
      </c>
      <c r="M157" s="928"/>
      <c r="N157" s="928"/>
      <c r="O157" s="929"/>
      <c r="P157" s="927" t="s">
        <v>254</v>
      </c>
      <c r="Q157" s="928"/>
      <c r="R157" s="928"/>
      <c r="S157" s="929"/>
      <c r="T157" s="927" t="s">
        <v>76</v>
      </c>
      <c r="U157" s="928"/>
      <c r="V157" s="928"/>
      <c r="W157" s="929"/>
      <c r="X157" s="880"/>
    </row>
    <row r="158" spans="1:24" ht="18.95" customHeight="1" thickBot="1">
      <c r="A158" s="885"/>
      <c r="B158" s="868" t="s">
        <v>180</v>
      </c>
      <c r="C158" s="26"/>
      <c r="D158" s="955" t="s">
        <v>99</v>
      </c>
      <c r="E158" s="956"/>
      <c r="F158" s="955" t="s">
        <v>100</v>
      </c>
      <c r="G158" s="956"/>
      <c r="H158" s="955" t="s">
        <v>99</v>
      </c>
      <c r="I158" s="956"/>
      <c r="J158" s="955" t="s">
        <v>100</v>
      </c>
      <c r="K158" s="956"/>
      <c r="L158" s="955" t="s">
        <v>99</v>
      </c>
      <c r="M158" s="956"/>
      <c r="N158" s="955" t="s">
        <v>100</v>
      </c>
      <c r="O158" s="956"/>
      <c r="P158" s="955" t="s">
        <v>99</v>
      </c>
      <c r="Q158" s="956"/>
      <c r="R158" s="955" t="s">
        <v>100</v>
      </c>
      <c r="S158" s="956"/>
      <c r="T158" s="955" t="s">
        <v>99</v>
      </c>
      <c r="U158" s="956"/>
      <c r="V158" s="955" t="s">
        <v>100</v>
      </c>
      <c r="W158" s="956"/>
      <c r="X158" s="880"/>
    </row>
    <row r="159" spans="1:24" ht="13.5" thickBot="1">
      <c r="A159" s="885"/>
      <c r="B159" s="885"/>
      <c r="C159" s="26" t="s">
        <v>2</v>
      </c>
      <c r="D159" s="951">
        <v>0</v>
      </c>
      <c r="E159" s="952"/>
      <c r="F159" s="951">
        <v>0</v>
      </c>
      <c r="G159" s="952"/>
      <c r="H159" s="951">
        <v>0</v>
      </c>
      <c r="I159" s="952"/>
      <c r="J159" s="951">
        <v>1</v>
      </c>
      <c r="K159" s="952"/>
      <c r="L159" s="951">
        <v>2</v>
      </c>
      <c r="M159" s="952"/>
      <c r="N159" s="951">
        <v>1</v>
      </c>
      <c r="O159" s="952"/>
      <c r="P159" s="951">
        <v>5</v>
      </c>
      <c r="Q159" s="952"/>
      <c r="R159" s="951">
        <v>2</v>
      </c>
      <c r="S159" s="952"/>
      <c r="T159" s="1260">
        <v>10</v>
      </c>
      <c r="U159" s="1261"/>
      <c r="V159" s="1260">
        <v>5</v>
      </c>
      <c r="W159" s="1261"/>
      <c r="X159" s="880"/>
    </row>
    <row r="160" spans="1:24" ht="12.95" customHeight="1" thickBot="1">
      <c r="A160" s="869"/>
      <c r="B160" s="885"/>
      <c r="C160" s="9" t="s">
        <v>3</v>
      </c>
      <c r="D160" s="933" t="s">
        <v>171</v>
      </c>
      <c r="E160" s="934"/>
      <c r="F160" s="934"/>
      <c r="G160" s="935"/>
      <c r="H160" s="936" t="s">
        <v>249</v>
      </c>
      <c r="I160" s="937"/>
      <c r="J160" s="937"/>
      <c r="K160" s="938"/>
      <c r="L160" s="939">
        <v>4</v>
      </c>
      <c r="M160" s="953"/>
      <c r="N160" s="939">
        <v>2</v>
      </c>
      <c r="O160" s="953"/>
      <c r="P160" s="939">
        <v>8</v>
      </c>
      <c r="Q160" s="953"/>
      <c r="R160" s="939">
        <v>5</v>
      </c>
      <c r="S160" s="953"/>
      <c r="T160" s="939">
        <v>0</v>
      </c>
      <c r="U160" s="953"/>
      <c r="V160" s="939">
        <v>0</v>
      </c>
      <c r="W160" s="953"/>
      <c r="X160" s="881"/>
    </row>
    <row r="161" spans="1:24" ht="12.95" customHeight="1" thickBot="1">
      <c r="A161" s="96" t="s">
        <v>13</v>
      </c>
      <c r="B161" s="885" t="s">
        <v>178</v>
      </c>
      <c r="C161" s="1258" t="s">
        <v>170</v>
      </c>
      <c r="D161" s="927" t="s">
        <v>4</v>
      </c>
      <c r="E161" s="928"/>
      <c r="F161" s="928"/>
      <c r="G161" s="928"/>
      <c r="H161" s="928"/>
      <c r="I161" s="928"/>
      <c r="J161" s="928"/>
      <c r="K161" s="928"/>
      <c r="L161" s="928"/>
      <c r="M161" s="928"/>
      <c r="N161" s="928"/>
      <c r="O161" s="928"/>
      <c r="P161" s="928"/>
      <c r="Q161" s="928"/>
      <c r="R161" s="928"/>
      <c r="S161" s="928"/>
      <c r="T161" s="928"/>
      <c r="U161" s="928"/>
      <c r="V161" s="928"/>
      <c r="W161" s="929"/>
      <c r="X161" s="24" t="s">
        <v>14</v>
      </c>
    </row>
    <row r="162" spans="1:24" ht="12.95" customHeight="1" thickBot="1">
      <c r="A162" s="25" t="s">
        <v>74</v>
      </c>
      <c r="B162" s="869"/>
      <c r="C162" s="1259"/>
      <c r="D162" s="930" t="s">
        <v>124</v>
      </c>
      <c r="E162" s="931"/>
      <c r="F162" s="931"/>
      <c r="G162" s="931"/>
      <c r="H162" s="931"/>
      <c r="I162" s="931"/>
      <c r="J162" s="931"/>
      <c r="K162" s="931"/>
      <c r="L162" s="931"/>
      <c r="M162" s="931"/>
      <c r="N162" s="931"/>
      <c r="O162" s="931"/>
      <c r="P162" s="931"/>
      <c r="Q162" s="931"/>
      <c r="R162" s="931"/>
      <c r="S162" s="931"/>
      <c r="T162" s="931"/>
      <c r="U162" s="931"/>
      <c r="V162" s="931"/>
      <c r="W162" s="932"/>
      <c r="X162" s="18" t="s">
        <v>93</v>
      </c>
    </row>
    <row r="163" spans="1:24" ht="12.95" customHeight="1" thickBot="1">
      <c r="A163" s="906" t="s">
        <v>7</v>
      </c>
      <c r="B163" s="908" t="s">
        <v>173</v>
      </c>
      <c r="C163" s="909"/>
      <c r="D163" s="908" t="s">
        <v>8</v>
      </c>
      <c r="E163" s="918"/>
      <c r="F163" s="918"/>
      <c r="G163" s="909"/>
      <c r="H163" s="908" t="s">
        <v>88</v>
      </c>
      <c r="I163" s="918"/>
      <c r="J163" s="918"/>
      <c r="K163" s="909"/>
      <c r="L163" s="908" t="s">
        <v>89</v>
      </c>
      <c r="M163" s="918"/>
      <c r="N163" s="918"/>
      <c r="O163" s="909"/>
      <c r="P163" s="908" t="s">
        <v>9</v>
      </c>
      <c r="Q163" s="918"/>
      <c r="R163" s="918"/>
      <c r="S163" s="909"/>
      <c r="T163" s="908" t="s">
        <v>174</v>
      </c>
      <c r="U163" s="918"/>
      <c r="V163" s="918"/>
      <c r="W163" s="918"/>
      <c r="X163" s="909"/>
    </row>
    <row r="164" spans="1:24" ht="13.5" thickBot="1">
      <c r="A164" s="907"/>
      <c r="B164" s="1256"/>
      <c r="C164" s="1257"/>
      <c r="D164" s="916"/>
      <c r="E164" s="994"/>
      <c r="F164" s="994"/>
      <c r="G164" s="917"/>
      <c r="H164" s="916"/>
      <c r="I164" s="994"/>
      <c r="J164" s="994"/>
      <c r="K164" s="917"/>
      <c r="L164" s="916"/>
      <c r="M164" s="994"/>
      <c r="N164" s="994"/>
      <c r="O164" s="917"/>
      <c r="P164" s="916">
        <f>SUM(B164:O164)</f>
        <v>0</v>
      </c>
      <c r="Q164" s="994"/>
      <c r="R164" s="994"/>
      <c r="S164" s="917"/>
      <c r="T164" s="916" t="e">
        <f>B164/P164%</f>
        <v>#DIV/0!</v>
      </c>
      <c r="U164" s="994"/>
      <c r="V164" s="994"/>
      <c r="W164" s="994"/>
      <c r="X164" s="917"/>
    </row>
    <row r="165" spans="1:24" ht="13.5" thickBot="1">
      <c r="A165" s="906" t="s">
        <v>10</v>
      </c>
      <c r="B165" s="908" t="s">
        <v>175</v>
      </c>
      <c r="C165" s="909"/>
      <c r="D165" s="910"/>
      <c r="E165" s="911"/>
      <c r="F165" s="911"/>
      <c r="G165" s="911"/>
      <c r="H165" s="911"/>
      <c r="I165" s="911"/>
      <c r="J165" s="911"/>
      <c r="K165" s="911"/>
      <c r="L165" s="911"/>
      <c r="M165" s="911"/>
      <c r="N165" s="911"/>
      <c r="O165" s="911"/>
      <c r="P165" s="911"/>
      <c r="Q165" s="911"/>
      <c r="R165" s="911"/>
      <c r="S165" s="911"/>
      <c r="T165" s="911"/>
      <c r="U165" s="911"/>
      <c r="V165" s="911"/>
      <c r="W165" s="911"/>
      <c r="X165" s="912"/>
    </row>
    <row r="166" spans="1:24" ht="13.5" thickBot="1">
      <c r="A166" s="907"/>
      <c r="B166" s="1256"/>
      <c r="C166" s="1257"/>
      <c r="D166" s="913"/>
      <c r="E166" s="914"/>
      <c r="F166" s="914"/>
      <c r="G166" s="914"/>
      <c r="H166" s="914"/>
      <c r="I166" s="914"/>
      <c r="J166" s="914"/>
      <c r="K166" s="914"/>
      <c r="L166" s="914"/>
      <c r="M166" s="914"/>
      <c r="N166" s="914"/>
      <c r="O166" s="914"/>
      <c r="P166" s="914"/>
      <c r="Q166" s="914"/>
      <c r="R166" s="914"/>
      <c r="S166" s="914"/>
      <c r="T166" s="914"/>
      <c r="U166" s="914"/>
      <c r="V166" s="914"/>
      <c r="W166" s="914"/>
      <c r="X166" s="915"/>
    </row>
    <row r="168" spans="1:24" ht="13.5" thickBot="1"/>
    <row r="169" spans="1:24" ht="12.95" customHeight="1" thickBot="1">
      <c r="A169" s="472" t="s">
        <v>27</v>
      </c>
      <c r="B169" s="473" t="s">
        <v>35</v>
      </c>
      <c r="C169" s="474"/>
      <c r="D169" s="1230" t="s">
        <v>78</v>
      </c>
      <c r="E169" s="1231"/>
      <c r="F169" s="1231"/>
      <c r="G169" s="1232"/>
      <c r="H169" s="1240" t="s">
        <v>77</v>
      </c>
      <c r="I169" s="1231"/>
      <c r="J169" s="1231"/>
      <c r="K169" s="1232"/>
      <c r="L169" s="1240" t="s">
        <v>81</v>
      </c>
      <c r="M169" s="1231"/>
      <c r="N169" s="1231"/>
      <c r="O169" s="1232"/>
      <c r="P169" s="1240" t="s">
        <v>254</v>
      </c>
      <c r="Q169" s="1231"/>
      <c r="R169" s="1231"/>
      <c r="S169" s="1232"/>
      <c r="T169" s="1240" t="s">
        <v>76</v>
      </c>
      <c r="U169" s="1231"/>
      <c r="V169" s="1231"/>
      <c r="W169" s="1232"/>
      <c r="X169" s="475" t="s">
        <v>12</v>
      </c>
    </row>
    <row r="170" spans="1:24" ht="12.95" customHeight="1" thickBot="1">
      <c r="A170" s="1253" t="s">
        <v>70</v>
      </c>
      <c r="B170" s="873" t="s">
        <v>609</v>
      </c>
      <c r="C170" s="90"/>
      <c r="D170" s="1215" t="s">
        <v>636</v>
      </c>
      <c r="E170" s="1216"/>
      <c r="F170" s="1216"/>
      <c r="G170" s="1217"/>
      <c r="H170" s="1215" t="s">
        <v>636</v>
      </c>
      <c r="I170" s="1216"/>
      <c r="J170" s="1216"/>
      <c r="K170" s="1217"/>
      <c r="L170" s="1215" t="s">
        <v>636</v>
      </c>
      <c r="M170" s="1216"/>
      <c r="N170" s="1216"/>
      <c r="O170" s="1217"/>
      <c r="P170" s="476" t="s">
        <v>602</v>
      </c>
      <c r="Q170" s="476" t="s">
        <v>603</v>
      </c>
      <c r="R170" s="476" t="s">
        <v>608</v>
      </c>
      <c r="S170" s="476" t="s">
        <v>604</v>
      </c>
      <c r="T170" s="476" t="s">
        <v>602</v>
      </c>
      <c r="U170" s="476" t="s">
        <v>603</v>
      </c>
      <c r="V170" s="476" t="s">
        <v>608</v>
      </c>
      <c r="W170" s="476" t="s">
        <v>604</v>
      </c>
      <c r="X170" s="879" t="s">
        <v>90</v>
      </c>
    </row>
    <row r="171" spans="1:24" ht="12.95" customHeight="1" thickBot="1">
      <c r="A171" s="1254"/>
      <c r="B171" s="874"/>
      <c r="C171" s="26" t="s">
        <v>2</v>
      </c>
      <c r="D171" s="924">
        <v>0</v>
      </c>
      <c r="E171" s="925"/>
      <c r="F171" s="925"/>
      <c r="G171" s="926"/>
      <c r="H171" s="924">
        <v>2</v>
      </c>
      <c r="I171" s="925"/>
      <c r="J171" s="925"/>
      <c r="K171" s="926"/>
      <c r="L171" s="924">
        <v>3</v>
      </c>
      <c r="M171" s="925"/>
      <c r="N171" s="925"/>
      <c r="O171" s="926"/>
      <c r="P171" s="939">
        <v>4</v>
      </c>
      <c r="Q171" s="940"/>
      <c r="R171" s="940"/>
      <c r="S171" s="941"/>
      <c r="T171" s="776">
        <v>10</v>
      </c>
      <c r="U171" s="776">
        <v>6</v>
      </c>
      <c r="V171" s="776">
        <v>3</v>
      </c>
      <c r="W171" s="776">
        <v>1</v>
      </c>
      <c r="X171" s="880"/>
    </row>
    <row r="172" spans="1:24" ht="12.95" customHeight="1" thickBot="1">
      <c r="A172" s="1254"/>
      <c r="B172" s="874"/>
      <c r="C172" s="9" t="s">
        <v>3</v>
      </c>
      <c r="D172" s="1241" t="s">
        <v>837</v>
      </c>
      <c r="E172" s="1242"/>
      <c r="F172" s="1242"/>
      <c r="G172" s="1243"/>
      <c r="H172" s="1247">
        <v>0</v>
      </c>
      <c r="I172" s="940"/>
      <c r="J172" s="940"/>
      <c r="K172" s="1248"/>
      <c r="L172" s="1247">
        <v>3</v>
      </c>
      <c r="M172" s="940"/>
      <c r="N172" s="940"/>
      <c r="O172" s="1248"/>
      <c r="P172" s="150">
        <v>10</v>
      </c>
      <c r="Q172" s="777">
        <v>10</v>
      </c>
      <c r="R172" s="777">
        <v>8</v>
      </c>
      <c r="S172" s="777">
        <v>5</v>
      </c>
      <c r="T172" s="150">
        <v>0</v>
      </c>
      <c r="U172" s="150">
        <v>0</v>
      </c>
      <c r="V172" s="150">
        <v>0</v>
      </c>
      <c r="W172" s="150">
        <v>0</v>
      </c>
      <c r="X172" s="880"/>
    </row>
    <row r="173" spans="1:24" ht="12.95" customHeight="1" thickBot="1">
      <c r="A173" s="1254"/>
      <c r="B173" s="874"/>
      <c r="C173" s="1244" t="s">
        <v>838</v>
      </c>
      <c r="D173" s="1230" t="s">
        <v>842</v>
      </c>
      <c r="E173" s="1231"/>
      <c r="F173" s="1231"/>
      <c r="G173" s="1231"/>
      <c r="H173" s="1231"/>
      <c r="I173" s="1231"/>
      <c r="J173" s="1231"/>
      <c r="K173" s="1231"/>
      <c r="L173" s="1231"/>
      <c r="M173" s="1231"/>
      <c r="N173" s="1231"/>
      <c r="O173" s="1231"/>
      <c r="P173" s="1231"/>
      <c r="Q173" s="1231"/>
      <c r="R173" s="1231"/>
      <c r="S173" s="1231"/>
      <c r="T173" s="1231"/>
      <c r="U173" s="1231"/>
      <c r="V173" s="1231"/>
      <c r="W173" s="1232"/>
      <c r="X173" s="880"/>
    </row>
    <row r="174" spans="1:24" ht="12.95" customHeight="1" thickBot="1">
      <c r="A174" s="1254"/>
      <c r="B174" s="1249"/>
      <c r="C174" s="1245"/>
      <c r="D174" s="930" t="s">
        <v>125</v>
      </c>
      <c r="E174" s="931"/>
      <c r="F174" s="931"/>
      <c r="G174" s="931"/>
      <c r="H174" s="931"/>
      <c r="I174" s="931"/>
      <c r="J174" s="931"/>
      <c r="K174" s="931"/>
      <c r="L174" s="931"/>
      <c r="M174" s="931"/>
      <c r="N174" s="931"/>
      <c r="O174" s="931"/>
      <c r="P174" s="931"/>
      <c r="Q174" s="931"/>
      <c r="R174" s="931"/>
      <c r="S174" s="931"/>
      <c r="T174" s="931"/>
      <c r="U174" s="931"/>
      <c r="V174" s="931"/>
      <c r="W174" s="932"/>
      <c r="X174" s="880"/>
    </row>
    <row r="175" spans="1:24" ht="12.95" customHeight="1" thickBot="1">
      <c r="A175" s="1254"/>
      <c r="B175" s="477" t="s">
        <v>36</v>
      </c>
      <c r="C175" s="478"/>
      <c r="D175" s="1230" t="s">
        <v>78</v>
      </c>
      <c r="E175" s="1231"/>
      <c r="F175" s="1231"/>
      <c r="G175" s="1232"/>
      <c r="H175" s="1240" t="s">
        <v>77</v>
      </c>
      <c r="I175" s="1231"/>
      <c r="J175" s="1231"/>
      <c r="K175" s="1232"/>
      <c r="L175" s="1240" t="s">
        <v>81</v>
      </c>
      <c r="M175" s="1231"/>
      <c r="N175" s="1231"/>
      <c r="O175" s="1232"/>
      <c r="P175" s="1240" t="s">
        <v>254</v>
      </c>
      <c r="Q175" s="1231"/>
      <c r="R175" s="1231"/>
      <c r="S175" s="1232"/>
      <c r="T175" s="1240" t="s">
        <v>76</v>
      </c>
      <c r="U175" s="1231"/>
      <c r="V175" s="1231"/>
      <c r="W175" s="1246"/>
      <c r="X175" s="880"/>
    </row>
    <row r="176" spans="1:24" ht="12.95" customHeight="1" thickBot="1">
      <c r="A176" s="1254"/>
      <c r="B176" s="873" t="s">
        <v>601</v>
      </c>
      <c r="C176" s="90"/>
      <c r="D176" s="1215" t="s">
        <v>636</v>
      </c>
      <c r="E176" s="1216"/>
      <c r="F176" s="1216"/>
      <c r="G176" s="1217"/>
      <c r="H176" s="1215" t="s">
        <v>636</v>
      </c>
      <c r="I176" s="1216"/>
      <c r="J176" s="1216"/>
      <c r="K176" s="1217"/>
      <c r="L176" s="1215" t="s">
        <v>636</v>
      </c>
      <c r="M176" s="1216"/>
      <c r="N176" s="1216"/>
      <c r="O176" s="1217"/>
      <c r="P176" s="479" t="s">
        <v>101</v>
      </c>
      <c r="Q176" s="479" t="s">
        <v>104</v>
      </c>
      <c r="R176" s="479" t="s">
        <v>102</v>
      </c>
      <c r="S176" s="479" t="s">
        <v>103</v>
      </c>
      <c r="T176" s="479" t="s">
        <v>101</v>
      </c>
      <c r="U176" s="479" t="s">
        <v>104</v>
      </c>
      <c r="V176" s="479" t="s">
        <v>102</v>
      </c>
      <c r="W176" s="479" t="s">
        <v>103</v>
      </c>
      <c r="X176" s="880"/>
    </row>
    <row r="177" spans="1:24" ht="13.5" thickBot="1">
      <c r="A177" s="1254"/>
      <c r="B177" s="874"/>
      <c r="C177" s="26" t="s">
        <v>2</v>
      </c>
      <c r="D177" s="924">
        <v>0</v>
      </c>
      <c r="E177" s="925"/>
      <c r="F177" s="925"/>
      <c r="G177" s="926"/>
      <c r="H177" s="924">
        <v>1</v>
      </c>
      <c r="I177" s="925"/>
      <c r="J177" s="925"/>
      <c r="K177" s="926"/>
      <c r="L177" s="924">
        <v>1</v>
      </c>
      <c r="M177" s="925"/>
      <c r="N177" s="925"/>
      <c r="O177" s="926"/>
      <c r="P177" s="939">
        <v>2</v>
      </c>
      <c r="Q177" s="940"/>
      <c r="R177" s="940"/>
      <c r="S177" s="941"/>
      <c r="T177" s="150">
        <v>6</v>
      </c>
      <c r="U177" s="150">
        <v>4</v>
      </c>
      <c r="V177" s="150">
        <v>3</v>
      </c>
      <c r="W177" s="150">
        <v>1</v>
      </c>
      <c r="X177" s="880"/>
    </row>
    <row r="178" spans="1:24" ht="12.95" customHeight="1" thickBot="1">
      <c r="A178" s="1254"/>
      <c r="B178" s="874"/>
      <c r="C178" s="9" t="s">
        <v>3</v>
      </c>
      <c r="D178" s="1241" t="s">
        <v>837</v>
      </c>
      <c r="E178" s="1242"/>
      <c r="F178" s="1242"/>
      <c r="G178" s="1243"/>
      <c r="H178" s="1250" t="s">
        <v>637</v>
      </c>
      <c r="I178" s="1242"/>
      <c r="J178" s="1242"/>
      <c r="K178" s="1243"/>
      <c r="L178" s="1251">
        <v>1</v>
      </c>
      <c r="M178" s="925"/>
      <c r="N178" s="925"/>
      <c r="O178" s="926"/>
      <c r="P178" s="150">
        <v>6</v>
      </c>
      <c r="Q178" s="777">
        <v>2</v>
      </c>
      <c r="R178" s="777">
        <v>2</v>
      </c>
      <c r="S178" s="777">
        <v>1</v>
      </c>
      <c r="T178" s="150">
        <v>0</v>
      </c>
      <c r="U178" s="150">
        <v>0</v>
      </c>
      <c r="V178" s="150">
        <v>0</v>
      </c>
      <c r="W178" s="150">
        <v>0</v>
      </c>
      <c r="X178" s="880"/>
    </row>
    <row r="179" spans="1:24" ht="12.95" customHeight="1" thickBot="1">
      <c r="A179" s="1254"/>
      <c r="B179" s="874"/>
      <c r="C179" s="1252" t="s">
        <v>838</v>
      </c>
      <c r="D179" s="1230" t="s">
        <v>842</v>
      </c>
      <c r="E179" s="1231"/>
      <c r="F179" s="1231"/>
      <c r="G179" s="1231"/>
      <c r="H179" s="1231"/>
      <c r="I179" s="1231"/>
      <c r="J179" s="1231"/>
      <c r="K179" s="1231"/>
      <c r="L179" s="1231"/>
      <c r="M179" s="1231"/>
      <c r="N179" s="1231"/>
      <c r="O179" s="1231"/>
      <c r="P179" s="1231"/>
      <c r="Q179" s="1231"/>
      <c r="R179" s="1231"/>
      <c r="S179" s="1231"/>
      <c r="T179" s="1231"/>
      <c r="U179" s="1231"/>
      <c r="V179" s="1231"/>
      <c r="W179" s="1232"/>
      <c r="X179" s="880"/>
    </row>
    <row r="180" spans="1:24" ht="12.95" customHeight="1" thickBot="1">
      <c r="A180" s="1254"/>
      <c r="B180" s="1249"/>
      <c r="C180" s="1229"/>
      <c r="D180" s="930" t="s">
        <v>125</v>
      </c>
      <c r="E180" s="931"/>
      <c r="F180" s="931"/>
      <c r="G180" s="931"/>
      <c r="H180" s="931"/>
      <c r="I180" s="931"/>
      <c r="J180" s="931"/>
      <c r="K180" s="931"/>
      <c r="L180" s="931"/>
      <c r="M180" s="931"/>
      <c r="N180" s="931"/>
      <c r="O180" s="931"/>
      <c r="P180" s="931"/>
      <c r="Q180" s="931"/>
      <c r="R180" s="931"/>
      <c r="S180" s="931"/>
      <c r="T180" s="931"/>
      <c r="U180" s="931"/>
      <c r="V180" s="931"/>
      <c r="W180" s="1233"/>
      <c r="X180" s="880"/>
    </row>
    <row r="181" spans="1:24" ht="12.95" customHeight="1" thickBot="1">
      <c r="A181" s="1254"/>
      <c r="B181" s="477" t="s">
        <v>600</v>
      </c>
      <c r="C181" s="478"/>
      <c r="D181" s="1230" t="s">
        <v>78</v>
      </c>
      <c r="E181" s="1231"/>
      <c r="F181" s="1231"/>
      <c r="G181" s="1232"/>
      <c r="H181" s="1240" t="s">
        <v>77</v>
      </c>
      <c r="I181" s="1231"/>
      <c r="J181" s="1231"/>
      <c r="K181" s="1232"/>
      <c r="L181" s="1240" t="s">
        <v>81</v>
      </c>
      <c r="M181" s="1231"/>
      <c r="N181" s="1231"/>
      <c r="O181" s="1232"/>
      <c r="P181" s="1240" t="s">
        <v>254</v>
      </c>
      <c r="Q181" s="1231"/>
      <c r="R181" s="1231"/>
      <c r="S181" s="1232"/>
      <c r="T181" s="1240" t="s">
        <v>76</v>
      </c>
      <c r="U181" s="1231"/>
      <c r="V181" s="1231"/>
      <c r="W181" s="1232"/>
      <c r="X181" s="880"/>
    </row>
    <row r="182" spans="1:24" ht="14.25" thickBot="1">
      <c r="A182" s="1254"/>
      <c r="B182" s="1132" t="s">
        <v>648</v>
      </c>
      <c r="C182" s="90"/>
      <c r="D182" s="1215"/>
      <c r="E182" s="1216"/>
      <c r="F182" s="1216"/>
      <c r="G182" s="1217"/>
      <c r="H182" s="1215"/>
      <c r="I182" s="1216"/>
      <c r="J182" s="1216"/>
      <c r="K182" s="1217"/>
      <c r="L182" s="1215"/>
      <c r="M182" s="1216"/>
      <c r="N182" s="1216"/>
      <c r="O182" s="1217"/>
      <c r="P182" s="479" t="s">
        <v>840</v>
      </c>
      <c r="Q182" s="476" t="s">
        <v>607</v>
      </c>
      <c r="R182" s="479" t="s">
        <v>606</v>
      </c>
      <c r="S182" s="479" t="s">
        <v>605</v>
      </c>
      <c r="T182" s="479" t="s">
        <v>840</v>
      </c>
      <c r="U182" s="476" t="s">
        <v>607</v>
      </c>
      <c r="V182" s="479" t="s">
        <v>606</v>
      </c>
      <c r="W182" s="479" t="s">
        <v>605</v>
      </c>
      <c r="X182" s="880"/>
    </row>
    <row r="183" spans="1:24" ht="12.95" customHeight="1" thickBot="1">
      <c r="A183" s="1254"/>
      <c r="B183" s="1133"/>
      <c r="C183" s="26" t="s">
        <v>2</v>
      </c>
      <c r="D183" s="957"/>
      <c r="E183" s="958"/>
      <c r="F183" s="958"/>
      <c r="G183" s="959"/>
      <c r="H183" s="1241" t="s">
        <v>635</v>
      </c>
      <c r="I183" s="1242"/>
      <c r="J183" s="1242"/>
      <c r="K183" s="1243"/>
      <c r="L183" s="966" t="s">
        <v>841</v>
      </c>
      <c r="M183" s="967"/>
      <c r="N183" s="967"/>
      <c r="O183" s="968"/>
      <c r="P183" s="150">
        <v>4</v>
      </c>
      <c r="Q183" s="150">
        <v>4</v>
      </c>
      <c r="R183" s="150">
        <v>1</v>
      </c>
      <c r="S183" s="150">
        <v>0</v>
      </c>
      <c r="T183" s="150">
        <v>6</v>
      </c>
      <c r="U183" s="150">
        <v>5</v>
      </c>
      <c r="V183" s="150">
        <v>3</v>
      </c>
      <c r="W183" s="150">
        <v>1</v>
      </c>
      <c r="X183" s="880"/>
    </row>
    <row r="184" spans="1:24" ht="12.95" customHeight="1" thickBot="1">
      <c r="A184" s="1255"/>
      <c r="B184" s="1133"/>
      <c r="C184" s="9" t="s">
        <v>3</v>
      </c>
      <c r="D184" s="957"/>
      <c r="E184" s="958"/>
      <c r="F184" s="958"/>
      <c r="G184" s="959"/>
      <c r="H184" s="957"/>
      <c r="I184" s="958"/>
      <c r="J184" s="958"/>
      <c r="K184" s="959"/>
      <c r="L184" s="957"/>
      <c r="M184" s="958"/>
      <c r="N184" s="958"/>
      <c r="O184" s="959"/>
      <c r="P184" s="957"/>
      <c r="Q184" s="958"/>
      <c r="R184" s="958"/>
      <c r="S184" s="959"/>
      <c r="T184" s="150">
        <v>0</v>
      </c>
      <c r="U184" s="104">
        <v>0</v>
      </c>
      <c r="V184" s="104">
        <v>0</v>
      </c>
      <c r="W184" s="104">
        <v>0</v>
      </c>
      <c r="X184" s="881"/>
    </row>
    <row r="185" spans="1:24" ht="12.95" customHeight="1" thickBot="1">
      <c r="A185" s="480" t="s">
        <v>13</v>
      </c>
      <c r="B185" s="1133"/>
      <c r="C185" s="1228" t="s">
        <v>838</v>
      </c>
      <c r="D185" s="1230" t="s">
        <v>4</v>
      </c>
      <c r="E185" s="1231"/>
      <c r="F185" s="1231"/>
      <c r="G185" s="1231"/>
      <c r="H185" s="1231"/>
      <c r="I185" s="1231"/>
      <c r="J185" s="1231"/>
      <c r="K185" s="1231"/>
      <c r="L185" s="1231"/>
      <c r="M185" s="1231"/>
      <c r="N185" s="1231"/>
      <c r="O185" s="1231"/>
      <c r="P185" s="1231"/>
      <c r="Q185" s="1231"/>
      <c r="R185" s="1231"/>
      <c r="S185" s="1231"/>
      <c r="T185" s="1231"/>
      <c r="U185" s="1231"/>
      <c r="V185" s="1231"/>
      <c r="W185" s="1232"/>
      <c r="X185" s="24" t="s">
        <v>14</v>
      </c>
    </row>
    <row r="186" spans="1:24" ht="12.95" customHeight="1" thickBot="1">
      <c r="A186" s="481" t="s">
        <v>73</v>
      </c>
      <c r="B186" s="1134"/>
      <c r="C186" s="1229"/>
      <c r="D186" s="930" t="s">
        <v>125</v>
      </c>
      <c r="E186" s="931"/>
      <c r="F186" s="931"/>
      <c r="G186" s="931"/>
      <c r="H186" s="931"/>
      <c r="I186" s="931"/>
      <c r="J186" s="931"/>
      <c r="K186" s="931"/>
      <c r="L186" s="931"/>
      <c r="M186" s="931"/>
      <c r="N186" s="931"/>
      <c r="O186" s="931"/>
      <c r="P186" s="931"/>
      <c r="Q186" s="931"/>
      <c r="R186" s="931"/>
      <c r="S186" s="931"/>
      <c r="T186" s="931"/>
      <c r="U186" s="931"/>
      <c r="V186" s="931"/>
      <c r="W186" s="1233"/>
      <c r="X186" s="18" t="s">
        <v>92</v>
      </c>
    </row>
    <row r="187" spans="1:24" ht="12.95" customHeight="1" thickBot="1">
      <c r="A187" s="1218" t="s">
        <v>7</v>
      </c>
      <c r="B187" s="1220" t="s">
        <v>173</v>
      </c>
      <c r="C187" s="1221"/>
      <c r="D187" s="1220" t="s">
        <v>8</v>
      </c>
      <c r="E187" s="1235"/>
      <c r="F187" s="1235"/>
      <c r="G187" s="1236"/>
      <c r="H187" s="1237" t="s">
        <v>88</v>
      </c>
      <c r="I187" s="1235"/>
      <c r="J187" s="1235"/>
      <c r="K187" s="1236"/>
      <c r="L187" s="1237" t="s">
        <v>89</v>
      </c>
      <c r="M187" s="1235"/>
      <c r="N187" s="1235"/>
      <c r="O187" s="1236"/>
      <c r="P187" s="1237" t="s">
        <v>9</v>
      </c>
      <c r="Q187" s="1235"/>
      <c r="R187" s="1235"/>
      <c r="S187" s="1236"/>
      <c r="T187" s="1237" t="s">
        <v>174</v>
      </c>
      <c r="U187" s="1235"/>
      <c r="V187" s="1235"/>
      <c r="W187" s="1235"/>
      <c r="X187" s="1236"/>
    </row>
    <row r="188" spans="1:24" ht="13.5" thickBot="1">
      <c r="A188" s="1234"/>
      <c r="B188" s="975"/>
      <c r="C188" s="976"/>
      <c r="D188" s="975"/>
      <c r="E188" s="977"/>
      <c r="F188" s="977"/>
      <c r="G188" s="1238"/>
      <c r="H188" s="1239"/>
      <c r="I188" s="977"/>
      <c r="J188" s="977"/>
      <c r="K188" s="1238"/>
      <c r="L188" s="1239"/>
      <c r="M188" s="977"/>
      <c r="N188" s="977"/>
      <c r="O188" s="1238"/>
      <c r="P188" s="916">
        <f>SUM(B188:O188)</f>
        <v>0</v>
      </c>
      <c r="Q188" s="994"/>
      <c r="R188" s="994"/>
      <c r="S188" s="917"/>
      <c r="T188" s="916" t="e">
        <f>B188/P188%</f>
        <v>#DIV/0!</v>
      </c>
      <c r="U188" s="994"/>
      <c r="V188" s="994"/>
      <c r="W188" s="994"/>
      <c r="X188" s="917"/>
    </row>
    <row r="189" spans="1:24" ht="13.5" thickBot="1">
      <c r="A189" s="1218" t="s">
        <v>10</v>
      </c>
      <c r="B189" s="1220" t="s">
        <v>175</v>
      </c>
      <c r="C189" s="1221"/>
      <c r="D189" s="1222"/>
      <c r="E189" s="1223"/>
      <c r="F189" s="1223"/>
      <c r="G189" s="1223"/>
      <c r="H189" s="1223"/>
      <c r="I189" s="1223"/>
      <c r="J189" s="1223"/>
      <c r="K189" s="1223"/>
      <c r="L189" s="1223"/>
      <c r="M189" s="1223"/>
      <c r="N189" s="1223"/>
      <c r="O189" s="1223"/>
      <c r="P189" s="1223"/>
      <c r="Q189" s="1223"/>
      <c r="R189" s="1223"/>
      <c r="S189" s="1223"/>
      <c r="T189" s="1223"/>
      <c r="U189" s="1223"/>
      <c r="V189" s="1223"/>
      <c r="W189" s="1223"/>
      <c r="X189" s="1224"/>
    </row>
    <row r="190" spans="1:24" ht="13.5" thickBot="1">
      <c r="A190" s="1219"/>
      <c r="B190" s="916"/>
      <c r="C190" s="917"/>
      <c r="D190" s="1225"/>
      <c r="E190" s="1226"/>
      <c r="F190" s="1226"/>
      <c r="G190" s="1226"/>
      <c r="H190" s="1226"/>
      <c r="I190" s="1226"/>
      <c r="J190" s="1226"/>
      <c r="K190" s="1226"/>
      <c r="L190" s="1226"/>
      <c r="M190" s="1226"/>
      <c r="N190" s="1226"/>
      <c r="O190" s="1226"/>
      <c r="P190" s="1226"/>
      <c r="Q190" s="1226"/>
      <c r="R190" s="1226"/>
      <c r="S190" s="1226"/>
      <c r="T190" s="1226"/>
      <c r="U190" s="1226"/>
      <c r="V190" s="1226"/>
      <c r="W190" s="1226"/>
      <c r="X190" s="1227"/>
    </row>
  </sheetData>
  <sheetProtection password="CF55" sheet="1" objects="1" scenarios="1" selectLockedCells="1" selectUnlockedCells="1"/>
  <mergeCells count="625">
    <mergeCell ref="D12:W12"/>
    <mergeCell ref="D13:W13"/>
    <mergeCell ref="D4:G4"/>
    <mergeCell ref="H4:K4"/>
    <mergeCell ref="L4:O4"/>
    <mergeCell ref="P4:S4"/>
    <mergeCell ref="T4:W4"/>
    <mergeCell ref="X4:X18"/>
    <mergeCell ref="P9:S9"/>
    <mergeCell ref="T9:W9"/>
    <mergeCell ref="D14:G14"/>
    <mergeCell ref="H14:K14"/>
    <mergeCell ref="A22:A36"/>
    <mergeCell ref="B22:B25"/>
    <mergeCell ref="D22:G22"/>
    <mergeCell ref="H22:K22"/>
    <mergeCell ref="L22:O22"/>
    <mergeCell ref="L14:O14"/>
    <mergeCell ref="C24:C25"/>
    <mergeCell ref="C29:C30"/>
    <mergeCell ref="H31:K31"/>
    <mergeCell ref="L31:O31"/>
    <mergeCell ref="A5:A18"/>
    <mergeCell ref="B5:B8"/>
    <mergeCell ref="D5:W5"/>
    <mergeCell ref="D6:W6"/>
    <mergeCell ref="C7:C8"/>
    <mergeCell ref="D7:W7"/>
    <mergeCell ref="D8:W8"/>
    <mergeCell ref="D9:G9"/>
    <mergeCell ref="H9:K9"/>
    <mergeCell ref="L9:O9"/>
    <mergeCell ref="B10:B13"/>
    <mergeCell ref="D10:W10"/>
    <mergeCell ref="D11:W11"/>
    <mergeCell ref="C12:C13"/>
    <mergeCell ref="B27:B30"/>
    <mergeCell ref="D27:G27"/>
    <mergeCell ref="H27:K27"/>
    <mergeCell ref="L27:O27"/>
    <mergeCell ref="D30:W30"/>
    <mergeCell ref="D31:G31"/>
    <mergeCell ref="L28:O28"/>
    <mergeCell ref="P28:S28"/>
    <mergeCell ref="P14:S14"/>
    <mergeCell ref="T14:W14"/>
    <mergeCell ref="B15:B18"/>
    <mergeCell ref="D15:W15"/>
    <mergeCell ref="D16:W16"/>
    <mergeCell ref="C17:C18"/>
    <mergeCell ref="D17:W17"/>
    <mergeCell ref="D18:W18"/>
    <mergeCell ref="D21:G21"/>
    <mergeCell ref="H21:K21"/>
    <mergeCell ref="L21:O21"/>
    <mergeCell ref="P21:S21"/>
    <mergeCell ref="T21:W21"/>
    <mergeCell ref="D24:W24"/>
    <mergeCell ref="X22:X36"/>
    <mergeCell ref="D23:G23"/>
    <mergeCell ref="H23:K23"/>
    <mergeCell ref="L23:O23"/>
    <mergeCell ref="P23:S23"/>
    <mergeCell ref="T23:W23"/>
    <mergeCell ref="T28:W28"/>
    <mergeCell ref="D25:W25"/>
    <mergeCell ref="D26:G26"/>
    <mergeCell ref="H26:K26"/>
    <mergeCell ref="P31:S31"/>
    <mergeCell ref="T31:W31"/>
    <mergeCell ref="L26:O26"/>
    <mergeCell ref="P26:S26"/>
    <mergeCell ref="T26:W26"/>
    <mergeCell ref="P22:S22"/>
    <mergeCell ref="T22:W22"/>
    <mergeCell ref="D29:W29"/>
    <mergeCell ref="P27:S27"/>
    <mergeCell ref="T27:W27"/>
    <mergeCell ref="D28:G28"/>
    <mergeCell ref="H28:K28"/>
    <mergeCell ref="P44:S44"/>
    <mergeCell ref="P46:S46"/>
    <mergeCell ref="L45:O45"/>
    <mergeCell ref="P45:S45"/>
    <mergeCell ref="H46:K46"/>
    <mergeCell ref="D45:G45"/>
    <mergeCell ref="B32:B33"/>
    <mergeCell ref="D34:G34"/>
    <mergeCell ref="C35:C36"/>
    <mergeCell ref="D35:W35"/>
    <mergeCell ref="D36:W36"/>
    <mergeCell ref="B40:B43"/>
    <mergeCell ref="D40:G40"/>
    <mergeCell ref="H40:K40"/>
    <mergeCell ref="L40:O40"/>
    <mergeCell ref="D39:G39"/>
    <mergeCell ref="H39:K39"/>
    <mergeCell ref="L39:O39"/>
    <mergeCell ref="P39:S39"/>
    <mergeCell ref="T39:W39"/>
    <mergeCell ref="T40:W40"/>
    <mergeCell ref="P40:S40"/>
    <mergeCell ref="H41:K41"/>
    <mergeCell ref="T50:W50"/>
    <mergeCell ref="D51:G51"/>
    <mergeCell ref="A60:A61"/>
    <mergeCell ref="B60:C60"/>
    <mergeCell ref="D60:G60"/>
    <mergeCell ref="H60:K60"/>
    <mergeCell ref="L60:O60"/>
    <mergeCell ref="D59:W59"/>
    <mergeCell ref="L61:O61"/>
    <mergeCell ref="P61:S61"/>
    <mergeCell ref="T61:X61"/>
    <mergeCell ref="P60:S60"/>
    <mergeCell ref="A40:A59"/>
    <mergeCell ref="T45:W45"/>
    <mergeCell ref="L49:O49"/>
    <mergeCell ref="P49:S49"/>
    <mergeCell ref="D47:W47"/>
    <mergeCell ref="D48:W48"/>
    <mergeCell ref="D49:G49"/>
    <mergeCell ref="H49:K49"/>
    <mergeCell ref="T49:W49"/>
    <mergeCell ref="C42:C43"/>
    <mergeCell ref="H44:K44"/>
    <mergeCell ref="L44:O44"/>
    <mergeCell ref="C47:C48"/>
    <mergeCell ref="H45:K45"/>
    <mergeCell ref="A62:A63"/>
    <mergeCell ref="B62:C62"/>
    <mergeCell ref="D62:X63"/>
    <mergeCell ref="B63:C63"/>
    <mergeCell ref="B55:B56"/>
    <mergeCell ref="D57:G57"/>
    <mergeCell ref="T60:X60"/>
    <mergeCell ref="H54:K54"/>
    <mergeCell ref="L54:O54"/>
    <mergeCell ref="P54:S54"/>
    <mergeCell ref="T54:W54"/>
    <mergeCell ref="D58:W58"/>
    <mergeCell ref="X40:X59"/>
    <mergeCell ref="T46:W46"/>
    <mergeCell ref="D42:W42"/>
    <mergeCell ref="T44:W44"/>
    <mergeCell ref="B50:B53"/>
    <mergeCell ref="D50:G50"/>
    <mergeCell ref="H50:K50"/>
    <mergeCell ref="L50:O50"/>
    <mergeCell ref="L41:O41"/>
    <mergeCell ref="P50:S50"/>
    <mergeCell ref="H73:K73"/>
    <mergeCell ref="L73:O73"/>
    <mergeCell ref="C58:C59"/>
    <mergeCell ref="B61:C61"/>
    <mergeCell ref="D61:G61"/>
    <mergeCell ref="H61:K61"/>
    <mergeCell ref="D66:G66"/>
    <mergeCell ref="H66:K66"/>
    <mergeCell ref="T41:W41"/>
    <mergeCell ref="D41:G41"/>
    <mergeCell ref="P41:S41"/>
    <mergeCell ref="H51:K51"/>
    <mergeCell ref="L51:O51"/>
    <mergeCell ref="P51:S51"/>
    <mergeCell ref="T51:W51"/>
    <mergeCell ref="C52:C53"/>
    <mergeCell ref="D52:W52"/>
    <mergeCell ref="D53:W53"/>
    <mergeCell ref="D54:G54"/>
    <mergeCell ref="D44:G44"/>
    <mergeCell ref="D43:W43"/>
    <mergeCell ref="D46:G46"/>
    <mergeCell ref="L46:O46"/>
    <mergeCell ref="B45:B48"/>
    <mergeCell ref="L66:O66"/>
    <mergeCell ref="P66:S66"/>
    <mergeCell ref="T66:W66"/>
    <mergeCell ref="T67:W67"/>
    <mergeCell ref="H67:K67"/>
    <mergeCell ref="L67:O67"/>
    <mergeCell ref="P67:S67"/>
    <mergeCell ref="L72:O72"/>
    <mergeCell ref="P72:S72"/>
    <mergeCell ref="T72:W72"/>
    <mergeCell ref="X67:X78"/>
    <mergeCell ref="D68:G68"/>
    <mergeCell ref="H68:K68"/>
    <mergeCell ref="L68:O68"/>
    <mergeCell ref="P68:S68"/>
    <mergeCell ref="T68:W68"/>
    <mergeCell ref="D69:W69"/>
    <mergeCell ref="D70:W70"/>
    <mergeCell ref="D71:G71"/>
    <mergeCell ref="D67:G67"/>
    <mergeCell ref="H71:K71"/>
    <mergeCell ref="L71:O71"/>
    <mergeCell ref="P71:S71"/>
    <mergeCell ref="T71:W71"/>
    <mergeCell ref="T77:W77"/>
    <mergeCell ref="D78:G78"/>
    <mergeCell ref="H78:K78"/>
    <mergeCell ref="L78:O78"/>
    <mergeCell ref="P78:S78"/>
    <mergeCell ref="D76:G76"/>
    <mergeCell ref="H77:K77"/>
    <mergeCell ref="L77:O77"/>
    <mergeCell ref="P77:S77"/>
    <mergeCell ref="D73:G73"/>
    <mergeCell ref="A67:A78"/>
    <mergeCell ref="B67:B70"/>
    <mergeCell ref="C69:C70"/>
    <mergeCell ref="C79:C80"/>
    <mergeCell ref="D79:W79"/>
    <mergeCell ref="A81:A82"/>
    <mergeCell ref="B81:C81"/>
    <mergeCell ref="D81:G81"/>
    <mergeCell ref="H81:K81"/>
    <mergeCell ref="L81:O81"/>
    <mergeCell ref="P81:S81"/>
    <mergeCell ref="P73:S73"/>
    <mergeCell ref="C74:C75"/>
    <mergeCell ref="D74:W74"/>
    <mergeCell ref="D75:W75"/>
    <mergeCell ref="H76:K76"/>
    <mergeCell ref="L76:O76"/>
    <mergeCell ref="P76:S76"/>
    <mergeCell ref="T76:W76"/>
    <mergeCell ref="T73:W73"/>
    <mergeCell ref="T78:W78"/>
    <mergeCell ref="B72:B75"/>
    <mergeCell ref="D72:G72"/>
    <mergeCell ref="H72:K72"/>
    <mergeCell ref="D87:G87"/>
    <mergeCell ref="H87:K87"/>
    <mergeCell ref="L87:O87"/>
    <mergeCell ref="D89:G89"/>
    <mergeCell ref="H89:K89"/>
    <mergeCell ref="L89:O89"/>
    <mergeCell ref="D80:W80"/>
    <mergeCell ref="A83:A84"/>
    <mergeCell ref="B83:C83"/>
    <mergeCell ref="D83:X84"/>
    <mergeCell ref="B84:C84"/>
    <mergeCell ref="P87:S87"/>
    <mergeCell ref="T87:W87"/>
    <mergeCell ref="T88:W88"/>
    <mergeCell ref="P89:S89"/>
    <mergeCell ref="T81:X81"/>
    <mergeCell ref="B82:C82"/>
    <mergeCell ref="D82:G82"/>
    <mergeCell ref="H82:K82"/>
    <mergeCell ref="L82:O82"/>
    <mergeCell ref="P82:S82"/>
    <mergeCell ref="T82:X82"/>
    <mergeCell ref="B77:B80"/>
    <mergeCell ref="D77:G77"/>
    <mergeCell ref="T89:W89"/>
    <mergeCell ref="D90:W90"/>
    <mergeCell ref="D91:W91"/>
    <mergeCell ref="D92:G92"/>
    <mergeCell ref="D88:G88"/>
    <mergeCell ref="H88:K88"/>
    <mergeCell ref="L88:O88"/>
    <mergeCell ref="P88:S88"/>
    <mergeCell ref="H92:K92"/>
    <mergeCell ref="L92:O92"/>
    <mergeCell ref="A88:A99"/>
    <mergeCell ref="B88:B91"/>
    <mergeCell ref="C90:C91"/>
    <mergeCell ref="D99:G99"/>
    <mergeCell ref="H99:K99"/>
    <mergeCell ref="A102:A103"/>
    <mergeCell ref="B102:C102"/>
    <mergeCell ref="D102:G102"/>
    <mergeCell ref="H102:K102"/>
    <mergeCell ref="D103:G103"/>
    <mergeCell ref="H103:K103"/>
    <mergeCell ref="T103:X103"/>
    <mergeCell ref="B93:B96"/>
    <mergeCell ref="D93:G93"/>
    <mergeCell ref="H93:K93"/>
    <mergeCell ref="L93:O93"/>
    <mergeCell ref="P93:S93"/>
    <mergeCell ref="D95:W95"/>
    <mergeCell ref="D96:W96"/>
    <mergeCell ref="D94:G94"/>
    <mergeCell ref="H94:K94"/>
    <mergeCell ref="L94:O94"/>
    <mergeCell ref="B98:B101"/>
    <mergeCell ref="D98:G98"/>
    <mergeCell ref="H98:K98"/>
    <mergeCell ref="L98:O98"/>
    <mergeCell ref="P98:S98"/>
    <mergeCell ref="L102:O102"/>
    <mergeCell ref="P102:S102"/>
    <mergeCell ref="T93:W93"/>
    <mergeCell ref="D97:G97"/>
    <mergeCell ref="H97:K97"/>
    <mergeCell ref="L97:O97"/>
    <mergeCell ref="H120:K120"/>
    <mergeCell ref="P97:S97"/>
    <mergeCell ref="A104:A105"/>
    <mergeCell ref="B104:C104"/>
    <mergeCell ref="D104:X105"/>
    <mergeCell ref="B105:C105"/>
    <mergeCell ref="T99:W99"/>
    <mergeCell ref="C100:C101"/>
    <mergeCell ref="D100:W100"/>
    <mergeCell ref="D101:W101"/>
    <mergeCell ref="X88:X99"/>
    <mergeCell ref="P92:S92"/>
    <mergeCell ref="T92:W92"/>
    <mergeCell ref="T98:W98"/>
    <mergeCell ref="T94:W94"/>
    <mergeCell ref="C95:C96"/>
    <mergeCell ref="L99:O99"/>
    <mergeCell ref="P99:S99"/>
    <mergeCell ref="P94:S94"/>
    <mergeCell ref="T97:W97"/>
    <mergeCell ref="T102:X102"/>
    <mergeCell ref="B103:C103"/>
    <mergeCell ref="L103:O103"/>
    <mergeCell ref="P103:S103"/>
    <mergeCell ref="P127:S127"/>
    <mergeCell ref="P114:S114"/>
    <mergeCell ref="T114:W114"/>
    <mergeCell ref="V121:W121"/>
    <mergeCell ref="L108:O108"/>
    <mergeCell ref="P108:S108"/>
    <mergeCell ref="B115:B116"/>
    <mergeCell ref="D117:G117"/>
    <mergeCell ref="H117:K117"/>
    <mergeCell ref="C118:C119"/>
    <mergeCell ref="D118:W118"/>
    <mergeCell ref="D119:W119"/>
    <mergeCell ref="L114:O114"/>
    <mergeCell ref="T108:W108"/>
    <mergeCell ref="B121:B124"/>
    <mergeCell ref="D121:E121"/>
    <mergeCell ref="F121:G121"/>
    <mergeCell ref="H121:I121"/>
    <mergeCell ref="J121:K121"/>
    <mergeCell ref="D114:G114"/>
    <mergeCell ref="H114:K114"/>
    <mergeCell ref="D108:G108"/>
    <mergeCell ref="H108:K108"/>
    <mergeCell ref="D120:G120"/>
    <mergeCell ref="T120:W120"/>
    <mergeCell ref="T122:U122"/>
    <mergeCell ref="V122:W122"/>
    <mergeCell ref="L121:M121"/>
    <mergeCell ref="N121:O121"/>
    <mergeCell ref="P121:Q121"/>
    <mergeCell ref="R121:S121"/>
    <mergeCell ref="P126:S126"/>
    <mergeCell ref="T126:W126"/>
    <mergeCell ref="T121:U121"/>
    <mergeCell ref="V123:W123"/>
    <mergeCell ref="T123:U123"/>
    <mergeCell ref="X109:X128"/>
    <mergeCell ref="A133:A134"/>
    <mergeCell ref="B133:C133"/>
    <mergeCell ref="D133:X134"/>
    <mergeCell ref="B134:C134"/>
    <mergeCell ref="P131:S131"/>
    <mergeCell ref="B127:B130"/>
    <mergeCell ref="P128:S128"/>
    <mergeCell ref="C124:C125"/>
    <mergeCell ref="D124:W124"/>
    <mergeCell ref="D125:W125"/>
    <mergeCell ref="D126:G126"/>
    <mergeCell ref="H126:K126"/>
    <mergeCell ref="L126:O126"/>
    <mergeCell ref="D127:G127"/>
    <mergeCell ref="H127:K127"/>
    <mergeCell ref="L127:O127"/>
    <mergeCell ref="T131:X131"/>
    <mergeCell ref="B132:C132"/>
    <mergeCell ref="D132:G132"/>
    <mergeCell ref="H132:K132"/>
    <mergeCell ref="L132:O132"/>
    <mergeCell ref="P132:S132"/>
    <mergeCell ref="T132:X132"/>
    <mergeCell ref="T137:W137"/>
    <mergeCell ref="A131:A132"/>
    <mergeCell ref="B131:C131"/>
    <mergeCell ref="D131:G131"/>
    <mergeCell ref="H131:K131"/>
    <mergeCell ref="L131:O131"/>
    <mergeCell ref="C129:C130"/>
    <mergeCell ref="D129:W129"/>
    <mergeCell ref="D130:W130"/>
    <mergeCell ref="D137:G137"/>
    <mergeCell ref="H137:K137"/>
    <mergeCell ref="L137:O137"/>
    <mergeCell ref="P137:S137"/>
    <mergeCell ref="A138:A160"/>
    <mergeCell ref="B138:B141"/>
    <mergeCell ref="D138:G138"/>
    <mergeCell ref="H138:K138"/>
    <mergeCell ref="L138:O138"/>
    <mergeCell ref="P138:S138"/>
    <mergeCell ref="C140:C141"/>
    <mergeCell ref="H142:K142"/>
    <mergeCell ref="L142:O142"/>
    <mergeCell ref="P142:S142"/>
    <mergeCell ref="B143:B146"/>
    <mergeCell ref="C145:C146"/>
    <mergeCell ref="D145:W145"/>
    <mergeCell ref="D146:W146"/>
    <mergeCell ref="L147:O147"/>
    <mergeCell ref="P147:S147"/>
    <mergeCell ref="T143:W143"/>
    <mergeCell ref="D144:G144"/>
    <mergeCell ref="H144:K144"/>
    <mergeCell ref="B153:B156"/>
    <mergeCell ref="D153:G153"/>
    <mergeCell ref="H153:K153"/>
    <mergeCell ref="L153:O153"/>
    <mergeCell ref="P153:S153"/>
    <mergeCell ref="A109:A128"/>
    <mergeCell ref="B109:B110"/>
    <mergeCell ref="D111:G111"/>
    <mergeCell ref="C112:C113"/>
    <mergeCell ref="D112:W112"/>
    <mergeCell ref="D113:W113"/>
    <mergeCell ref="T127:W127"/>
    <mergeCell ref="D128:G128"/>
    <mergeCell ref="H128:K128"/>
    <mergeCell ref="L128:O128"/>
    <mergeCell ref="D122:G122"/>
    <mergeCell ref="H122:K122"/>
    <mergeCell ref="L122:M122"/>
    <mergeCell ref="N122:O122"/>
    <mergeCell ref="P122:Q122"/>
    <mergeCell ref="R122:S122"/>
    <mergeCell ref="D123:G123"/>
    <mergeCell ref="H123:K123"/>
    <mergeCell ref="L123:O123"/>
    <mergeCell ref="P123:Q123"/>
    <mergeCell ref="R123:S123"/>
    <mergeCell ref="T128:W128"/>
    <mergeCell ref="L120:O120"/>
    <mergeCell ref="P120:S120"/>
    <mergeCell ref="X138:X160"/>
    <mergeCell ref="D139:G139"/>
    <mergeCell ref="H139:K139"/>
    <mergeCell ref="L139:O139"/>
    <mergeCell ref="P139:S139"/>
    <mergeCell ref="T139:W139"/>
    <mergeCell ref="D140:W140"/>
    <mergeCell ref="D141:W141"/>
    <mergeCell ref="D142:G142"/>
    <mergeCell ref="T142:W142"/>
    <mergeCell ref="H157:K157"/>
    <mergeCell ref="L157:O157"/>
    <mergeCell ref="P157:S157"/>
    <mergeCell ref="R160:S160"/>
    <mergeCell ref="T138:W138"/>
    <mergeCell ref="D143:G143"/>
    <mergeCell ref="H143:K143"/>
    <mergeCell ref="L143:O143"/>
    <mergeCell ref="P143:S143"/>
    <mergeCell ref="H147:K147"/>
    <mergeCell ref="D152:G152"/>
    <mergeCell ref="H152:K152"/>
    <mergeCell ref="L152:O152"/>
    <mergeCell ref="P152:S152"/>
    <mergeCell ref="L144:O144"/>
    <mergeCell ref="P144:S144"/>
    <mergeCell ref="T144:W144"/>
    <mergeCell ref="T147:W147"/>
    <mergeCell ref="B148:B151"/>
    <mergeCell ref="D148:G148"/>
    <mergeCell ref="H148:K148"/>
    <mergeCell ref="L148:O148"/>
    <mergeCell ref="P148:S148"/>
    <mergeCell ref="T148:W148"/>
    <mergeCell ref="D147:G147"/>
    <mergeCell ref="P149:S149"/>
    <mergeCell ref="D149:G149"/>
    <mergeCell ref="H149:K149"/>
    <mergeCell ref="L149:O149"/>
    <mergeCell ref="T153:W153"/>
    <mergeCell ref="D154:G154"/>
    <mergeCell ref="H154:K154"/>
    <mergeCell ref="L154:O154"/>
    <mergeCell ref="P154:S154"/>
    <mergeCell ref="T154:W154"/>
    <mergeCell ref="T149:W149"/>
    <mergeCell ref="C150:C151"/>
    <mergeCell ref="D150:W150"/>
    <mergeCell ref="D151:W151"/>
    <mergeCell ref="T152:W152"/>
    <mergeCell ref="C155:C156"/>
    <mergeCell ref="D155:W155"/>
    <mergeCell ref="D156:W156"/>
    <mergeCell ref="T157:W157"/>
    <mergeCell ref="N158:O158"/>
    <mergeCell ref="P158:Q158"/>
    <mergeCell ref="R158:S158"/>
    <mergeCell ref="T158:U158"/>
    <mergeCell ref="V158:W158"/>
    <mergeCell ref="D157:G157"/>
    <mergeCell ref="D158:E158"/>
    <mergeCell ref="F158:G158"/>
    <mergeCell ref="H158:I158"/>
    <mergeCell ref="J158:K158"/>
    <mergeCell ref="L158:M158"/>
    <mergeCell ref="B161:B162"/>
    <mergeCell ref="C161:C162"/>
    <mergeCell ref="D161:W161"/>
    <mergeCell ref="D162:W162"/>
    <mergeCell ref="B158:B160"/>
    <mergeCell ref="D159:E159"/>
    <mergeCell ref="R159:S159"/>
    <mergeCell ref="T159:U159"/>
    <mergeCell ref="V159:W159"/>
    <mergeCell ref="D160:G160"/>
    <mergeCell ref="H160:K160"/>
    <mergeCell ref="L160:M160"/>
    <mergeCell ref="N160:O160"/>
    <mergeCell ref="J159:K159"/>
    <mergeCell ref="L159:M159"/>
    <mergeCell ref="F159:G159"/>
    <mergeCell ref="H159:I159"/>
    <mergeCell ref="N159:O159"/>
    <mergeCell ref="P159:Q159"/>
    <mergeCell ref="P160:Q160"/>
    <mergeCell ref="T160:U160"/>
    <mergeCell ref="V160:W160"/>
    <mergeCell ref="T163:X163"/>
    <mergeCell ref="B164:C164"/>
    <mergeCell ref="L170:O170"/>
    <mergeCell ref="A165:A166"/>
    <mergeCell ref="B165:C165"/>
    <mergeCell ref="D165:X166"/>
    <mergeCell ref="B166:C166"/>
    <mergeCell ref="D169:G169"/>
    <mergeCell ref="H169:K169"/>
    <mergeCell ref="L169:O169"/>
    <mergeCell ref="P169:S169"/>
    <mergeCell ref="T169:W169"/>
    <mergeCell ref="D164:G164"/>
    <mergeCell ref="H164:K164"/>
    <mergeCell ref="L164:O164"/>
    <mergeCell ref="P164:S164"/>
    <mergeCell ref="T164:X164"/>
    <mergeCell ref="X170:X184"/>
    <mergeCell ref="D170:G170"/>
    <mergeCell ref="D171:G171"/>
    <mergeCell ref="H171:K171"/>
    <mergeCell ref="L171:O171"/>
    <mergeCell ref="P171:S171"/>
    <mergeCell ref="D172:G172"/>
    <mergeCell ref="H172:K172"/>
    <mergeCell ref="L172:O172"/>
    <mergeCell ref="A163:A164"/>
    <mergeCell ref="B163:C163"/>
    <mergeCell ref="D163:G163"/>
    <mergeCell ref="H163:K163"/>
    <mergeCell ref="L163:O163"/>
    <mergeCell ref="P163:S163"/>
    <mergeCell ref="B176:B180"/>
    <mergeCell ref="D177:G177"/>
    <mergeCell ref="H177:K177"/>
    <mergeCell ref="L177:O177"/>
    <mergeCell ref="P177:S177"/>
    <mergeCell ref="D178:G178"/>
    <mergeCell ref="H178:K178"/>
    <mergeCell ref="L178:O178"/>
    <mergeCell ref="C179:C180"/>
    <mergeCell ref="D179:W179"/>
    <mergeCell ref="D180:W180"/>
    <mergeCell ref="D176:G176"/>
    <mergeCell ref="H176:K176"/>
    <mergeCell ref="L176:O176"/>
    <mergeCell ref="A170:A184"/>
    <mergeCell ref="B170:B174"/>
    <mergeCell ref="D175:G175"/>
    <mergeCell ref="H175:K175"/>
    <mergeCell ref="L182:O182"/>
    <mergeCell ref="D183:G183"/>
    <mergeCell ref="H183:K183"/>
    <mergeCell ref="L183:O183"/>
    <mergeCell ref="C173:C174"/>
    <mergeCell ref="D174:W174"/>
    <mergeCell ref="P175:S175"/>
    <mergeCell ref="T175:W175"/>
    <mergeCell ref="L175:O175"/>
    <mergeCell ref="D173:W173"/>
    <mergeCell ref="H188:K188"/>
    <mergeCell ref="D181:G181"/>
    <mergeCell ref="H181:K181"/>
    <mergeCell ref="L181:O181"/>
    <mergeCell ref="L188:O188"/>
    <mergeCell ref="P188:S188"/>
    <mergeCell ref="P181:S181"/>
    <mergeCell ref="T181:W181"/>
    <mergeCell ref="T188:X188"/>
    <mergeCell ref="B182:B186"/>
    <mergeCell ref="D182:G182"/>
    <mergeCell ref="H182:K182"/>
    <mergeCell ref="D184:G184"/>
    <mergeCell ref="H184:K184"/>
    <mergeCell ref="L184:O184"/>
    <mergeCell ref="H170:K170"/>
    <mergeCell ref="A189:A190"/>
    <mergeCell ref="B189:C189"/>
    <mergeCell ref="D189:X190"/>
    <mergeCell ref="B190:C190"/>
    <mergeCell ref="P184:S184"/>
    <mergeCell ref="C185:C186"/>
    <mergeCell ref="D185:W185"/>
    <mergeCell ref="D186:W186"/>
    <mergeCell ref="A187:A188"/>
    <mergeCell ref="B187:C187"/>
    <mergeCell ref="D187:G187"/>
    <mergeCell ref="H187:K187"/>
    <mergeCell ref="L187:O187"/>
    <mergeCell ref="P187:S187"/>
    <mergeCell ref="T187:X187"/>
    <mergeCell ref="B188:C188"/>
    <mergeCell ref="D188:G188"/>
  </mergeCells>
  <hyperlinks>
    <hyperlink ref="C24" location="Reference!C12" display="press for guidance"/>
    <hyperlink ref="C25" location="Reference!C12" display="Reference!C12"/>
    <hyperlink ref="C17" location="Reference!C10" display="press for guidance"/>
    <hyperlink ref="C18" location="Reference!C10" display="Reference!C10"/>
    <hyperlink ref="C12" location="Reference!C8" display="press for guidance"/>
    <hyperlink ref="C13" location="Reference!C8" display="Reference!C8"/>
    <hyperlink ref="C7" location="Reference!C6" display="press for guidance"/>
    <hyperlink ref="C8" location="Reference!C6" display="Reference!C6"/>
    <hyperlink ref="C29" location="Reference!C14" display="press for guidance"/>
    <hyperlink ref="C30" location="Reference!C14" display="Reference!C14"/>
    <hyperlink ref="C35" location="Reference!C16" display="press for guidance"/>
    <hyperlink ref="C36" location="Reference!C16" display="Reference!C16"/>
    <hyperlink ref="C42" location="Reference!C18" display="press for guidance"/>
    <hyperlink ref="C43" location="Reference!C18" display="Reference!C18"/>
    <hyperlink ref="C47" location="Reference!C20" display="press for guidance"/>
    <hyperlink ref="C48" location="Reference!C20" display="Reference!C20"/>
    <hyperlink ref="C52" location="Reference!C22" display="press for guidance"/>
    <hyperlink ref="C53" location="Reference!C22" display="Reference!C22"/>
    <hyperlink ref="C58" location="Reference!C24" display="press for guidance"/>
    <hyperlink ref="C59" location="Reference!C24" display="Reference!C24"/>
    <hyperlink ref="C69" location="Reference!C26" display="press for guidance"/>
    <hyperlink ref="C70" location="Reference!C26" display="Reference!C26"/>
    <hyperlink ref="C74" location="Reference!C28" display="press for guidance"/>
    <hyperlink ref="C75" location="Reference!C28" display="Reference!C28"/>
    <hyperlink ref="C79" location="Reference!C30" display="press for guidance"/>
    <hyperlink ref="C80" location="Reference!C30" display="Reference!C30"/>
    <hyperlink ref="C90" location="Reference!C32" display="press for guidance"/>
    <hyperlink ref="C91" location="Reference!C32" display="Reference!C32"/>
    <hyperlink ref="C95" location="Reference'C34" display="press for guidance"/>
    <hyperlink ref="C96" location="Reference'C34" display="Reference'C34"/>
    <hyperlink ref="C100" location="Reference!C36" display="press for guidance"/>
    <hyperlink ref="C101" location="Reference!C36" display="Reference!C36"/>
    <hyperlink ref="C112" location="Reference!C38" display="press for guidance"/>
    <hyperlink ref="C113" location="Reference!C38" display="Reference!C38"/>
    <hyperlink ref="C118" location="Reference!C40" display="press for guidance"/>
    <hyperlink ref="C119" location="Reference!C40" display="Reference!C40"/>
    <hyperlink ref="C124" location="Reference!C42" display="press for guidance"/>
    <hyperlink ref="C125" location="Reference!C42" display="Reference!C42"/>
    <hyperlink ref="C129" location="Reference!C44" display="press for guidance"/>
    <hyperlink ref="C130" location="Reference!C44" display="Reference!C44"/>
    <hyperlink ref="C140" location="Reference!C46" display="press for guidance"/>
    <hyperlink ref="C141" location="Reference!C46" display="Reference!C46"/>
    <hyperlink ref="C145" location="Reference!C48" display="press for guidance"/>
    <hyperlink ref="C146" location="Reference!C48" display="Reference!C48"/>
    <hyperlink ref="C150" location="Reference!C50" display="press for guidance"/>
    <hyperlink ref="C151" location="Reference!C50" display="Reference!C50"/>
    <hyperlink ref="C155" location="Reference!C52" display="press for guidance"/>
    <hyperlink ref="C156" location="Reference!C52" display="Reference!C52"/>
    <hyperlink ref="C161" location="Reference!C54" display="press for guidance"/>
    <hyperlink ref="C162" location="Reference!C54" display="Reference!C54"/>
    <hyperlink ref="C173" location="Reference!C71" display="★ click here for guidance"/>
    <hyperlink ref="C174" location="Reference!C71" display="Reference!C71"/>
    <hyperlink ref="C179" location="Reference!C73" display="★ click here for guidance"/>
    <hyperlink ref="C180" location="Reference!C73" display="Reference!C73"/>
    <hyperlink ref="C185" location="Reference!C75" display="★ click here for guidance"/>
    <hyperlink ref="C186" location="Reference!C75" display="Reference!C75"/>
  </hyperlinks>
  <pageMargins left="0.79000000000000015" right="0.79000000000000015" top="0.79000000000000015" bottom="0.79000000000000015" header="0.39000000000000007" footer="0.39000000000000007"/>
  <pageSetup paperSize="9" scale="55" fitToHeight="3" orientation="landscape"/>
  <headerFooter>
    <oddFooter>&amp;L&amp;K000000&amp;F&amp;C&amp;K000000&amp;D&amp;R&amp;K000000Page &amp;P</oddFooter>
  </headerFooter>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FFFF00"/>
    <pageSetUpPr fitToPage="1"/>
  </sheetPr>
  <dimension ref="A1:X190"/>
  <sheetViews>
    <sheetView workbookViewId="0">
      <pane xSplit="2" ySplit="1" topLeftCell="C108" activePane="bottomRight" state="frozen"/>
      <selection activeCell="D136" sqref="D136:W136"/>
      <selection pane="topRight" activeCell="D136" sqref="D136:W136"/>
      <selection pane="bottomLeft" activeCell="D136" sqref="D136:W136"/>
      <selection pane="bottomRight" activeCell="D136" sqref="D136:W136"/>
    </sheetView>
  </sheetViews>
  <sheetFormatPr defaultColWidth="8.85546875" defaultRowHeight="12.75"/>
  <cols>
    <col min="1" max="1" width="20.85546875" style="4" customWidth="1"/>
    <col min="2" max="2" width="40.85546875" style="4" customWidth="1"/>
    <col min="3" max="3" width="10.85546875" style="27" customWidth="1"/>
    <col min="4" max="23" width="5.85546875" style="4" customWidth="1"/>
    <col min="24" max="24" width="30.85546875" style="4" customWidth="1"/>
    <col min="25" max="16384" width="8.85546875" style="4"/>
  </cols>
  <sheetData>
    <row r="1" spans="1:24" s="67" customFormat="1" ht="32.25" thickBot="1">
      <c r="A1" s="3" t="s">
        <v>0</v>
      </c>
      <c r="B1" s="64" t="s">
        <v>231</v>
      </c>
      <c r="C1" s="65" t="s">
        <v>274</v>
      </c>
      <c r="D1" s="65"/>
      <c r="E1" s="65"/>
      <c r="F1" s="65"/>
      <c r="G1" s="65"/>
      <c r="H1" s="65"/>
      <c r="I1" s="65"/>
      <c r="J1" s="65"/>
      <c r="K1" s="65"/>
      <c r="L1" s="65"/>
      <c r="M1" s="65"/>
      <c r="N1" s="65"/>
      <c r="O1" s="65"/>
      <c r="P1" s="65"/>
      <c r="Q1" s="65"/>
      <c r="R1" s="65"/>
      <c r="S1" s="65"/>
      <c r="T1" s="65"/>
      <c r="U1" s="65"/>
      <c r="V1" s="65"/>
      <c r="W1" s="65"/>
      <c r="X1" s="66"/>
    </row>
    <row r="2" spans="1:24">
      <c r="A2" s="5"/>
      <c r="B2" s="5"/>
      <c r="C2" s="6"/>
      <c r="D2" s="5"/>
      <c r="E2" s="5"/>
      <c r="F2" s="5"/>
      <c r="G2" s="5"/>
      <c r="H2" s="5"/>
      <c r="I2" s="5"/>
      <c r="J2" s="5"/>
      <c r="K2" s="5"/>
      <c r="L2" s="5"/>
      <c r="M2" s="5"/>
      <c r="N2" s="5"/>
      <c r="O2" s="5"/>
      <c r="P2" s="5"/>
      <c r="Q2" s="5"/>
      <c r="R2" s="5"/>
      <c r="S2" s="5"/>
      <c r="T2" s="5"/>
      <c r="U2" s="5"/>
      <c r="V2" s="5"/>
      <c r="W2" s="5"/>
      <c r="X2" s="5"/>
    </row>
    <row r="3" spans="1:24" ht="13.5" thickBot="1">
      <c r="A3" s="5"/>
      <c r="B3" s="5"/>
      <c r="C3" s="6"/>
      <c r="D3" s="5"/>
      <c r="E3" s="5"/>
      <c r="F3" s="5"/>
      <c r="G3" s="5"/>
      <c r="H3" s="5"/>
      <c r="I3" s="5"/>
      <c r="J3" s="5"/>
      <c r="K3" s="5"/>
      <c r="L3" s="5"/>
      <c r="M3" s="5"/>
      <c r="N3" s="5"/>
      <c r="O3" s="5"/>
      <c r="P3" s="5"/>
      <c r="Q3" s="5"/>
      <c r="R3" s="5"/>
      <c r="S3" s="5"/>
      <c r="T3" s="5"/>
      <c r="U3" s="5"/>
      <c r="V3" s="5"/>
      <c r="W3" s="5"/>
      <c r="X3" s="5"/>
    </row>
    <row r="4" spans="1:24" ht="12.95" customHeight="1" thickBot="1">
      <c r="A4" s="7" t="s">
        <v>50</v>
      </c>
      <c r="B4" s="97" t="s">
        <v>51</v>
      </c>
      <c r="C4" s="8"/>
      <c r="D4" s="927" t="s">
        <v>79</v>
      </c>
      <c r="E4" s="928"/>
      <c r="F4" s="928"/>
      <c r="G4" s="929"/>
      <c r="H4" s="927" t="s">
        <v>80</v>
      </c>
      <c r="I4" s="928"/>
      <c r="J4" s="928"/>
      <c r="K4" s="929"/>
      <c r="L4" s="927" t="s">
        <v>81</v>
      </c>
      <c r="M4" s="928"/>
      <c r="N4" s="928"/>
      <c r="O4" s="929"/>
      <c r="P4" s="927" t="s">
        <v>254</v>
      </c>
      <c r="Q4" s="928"/>
      <c r="R4" s="928"/>
      <c r="S4" s="929"/>
      <c r="T4" s="927" t="s">
        <v>76</v>
      </c>
      <c r="U4" s="928"/>
      <c r="V4" s="928"/>
      <c r="W4" s="929"/>
      <c r="X4" s="991"/>
    </row>
    <row r="5" spans="1:24" ht="13.5" thickBot="1">
      <c r="A5" s="868" t="s">
        <v>43</v>
      </c>
      <c r="B5" s="868" t="s">
        <v>46</v>
      </c>
      <c r="C5" s="9" t="s">
        <v>2</v>
      </c>
      <c r="D5" s="983" t="s">
        <v>82</v>
      </c>
      <c r="E5" s="984"/>
      <c r="F5" s="984"/>
      <c r="G5" s="984"/>
      <c r="H5" s="984"/>
      <c r="I5" s="984"/>
      <c r="J5" s="984"/>
      <c r="K5" s="984"/>
      <c r="L5" s="984"/>
      <c r="M5" s="984"/>
      <c r="N5" s="984"/>
      <c r="O5" s="984"/>
      <c r="P5" s="984"/>
      <c r="Q5" s="984"/>
      <c r="R5" s="984"/>
      <c r="S5" s="984"/>
      <c r="T5" s="984"/>
      <c r="U5" s="984"/>
      <c r="V5" s="984"/>
      <c r="W5" s="985"/>
      <c r="X5" s="992"/>
    </row>
    <row r="6" spans="1:24" ht="13.5" thickBot="1">
      <c r="A6" s="885"/>
      <c r="B6" s="885"/>
      <c r="C6" s="10" t="s">
        <v>3</v>
      </c>
      <c r="D6" s="986"/>
      <c r="E6" s="987"/>
      <c r="F6" s="987"/>
      <c r="G6" s="987"/>
      <c r="H6" s="987"/>
      <c r="I6" s="987"/>
      <c r="J6" s="987"/>
      <c r="K6" s="987"/>
      <c r="L6" s="987"/>
      <c r="M6" s="987"/>
      <c r="N6" s="987"/>
      <c r="O6" s="987"/>
      <c r="P6" s="987"/>
      <c r="Q6" s="987"/>
      <c r="R6" s="987"/>
      <c r="S6" s="987"/>
      <c r="T6" s="987"/>
      <c r="U6" s="987"/>
      <c r="V6" s="987"/>
      <c r="W6" s="988"/>
      <c r="X6" s="992"/>
    </row>
    <row r="7" spans="1:24" ht="12.95" customHeight="1" thickBot="1">
      <c r="A7" s="885"/>
      <c r="B7" s="885"/>
      <c r="C7" s="1278" t="s">
        <v>170</v>
      </c>
      <c r="D7" s="989" t="s">
        <v>4</v>
      </c>
      <c r="E7" s="990"/>
      <c r="F7" s="990"/>
      <c r="G7" s="990"/>
      <c r="H7" s="990"/>
      <c r="I7" s="990"/>
      <c r="J7" s="990"/>
      <c r="K7" s="990"/>
      <c r="L7" s="990"/>
      <c r="M7" s="990"/>
      <c r="N7" s="990"/>
      <c r="O7" s="990"/>
      <c r="P7" s="990"/>
      <c r="Q7" s="990"/>
      <c r="R7" s="990"/>
      <c r="S7" s="990"/>
      <c r="T7" s="990"/>
      <c r="U7" s="990"/>
      <c r="V7" s="990"/>
      <c r="W7" s="990"/>
      <c r="X7" s="992"/>
    </row>
    <row r="8" spans="1:24" ht="12.95" customHeight="1" thickBot="1">
      <c r="A8" s="885"/>
      <c r="B8" s="869"/>
      <c r="C8" s="1279"/>
      <c r="D8" s="930" t="s">
        <v>85</v>
      </c>
      <c r="E8" s="931"/>
      <c r="F8" s="931"/>
      <c r="G8" s="931"/>
      <c r="H8" s="931"/>
      <c r="I8" s="931"/>
      <c r="J8" s="931"/>
      <c r="K8" s="931"/>
      <c r="L8" s="931"/>
      <c r="M8" s="931"/>
      <c r="N8" s="931"/>
      <c r="O8" s="931"/>
      <c r="P8" s="931"/>
      <c r="Q8" s="931"/>
      <c r="R8" s="931"/>
      <c r="S8" s="931"/>
      <c r="T8" s="931"/>
      <c r="U8" s="931"/>
      <c r="V8" s="931"/>
      <c r="W8" s="932"/>
      <c r="X8" s="992"/>
    </row>
    <row r="9" spans="1:24" ht="12.95" customHeight="1" thickBot="1">
      <c r="A9" s="885"/>
      <c r="B9" s="11" t="s">
        <v>52</v>
      </c>
      <c r="C9" s="12"/>
      <c r="D9" s="927" t="s">
        <v>79</v>
      </c>
      <c r="E9" s="928"/>
      <c r="F9" s="928"/>
      <c r="G9" s="929"/>
      <c r="H9" s="927" t="s">
        <v>80</v>
      </c>
      <c r="I9" s="928"/>
      <c r="J9" s="928"/>
      <c r="K9" s="929"/>
      <c r="L9" s="927" t="s">
        <v>81</v>
      </c>
      <c r="M9" s="928"/>
      <c r="N9" s="928"/>
      <c r="O9" s="929"/>
      <c r="P9" s="927" t="s">
        <v>254</v>
      </c>
      <c r="Q9" s="928"/>
      <c r="R9" s="928"/>
      <c r="S9" s="929"/>
      <c r="T9" s="927" t="s">
        <v>76</v>
      </c>
      <c r="U9" s="928"/>
      <c r="V9" s="928"/>
      <c r="W9" s="929"/>
      <c r="X9" s="992"/>
    </row>
    <row r="10" spans="1:24" ht="36" customHeight="1" thickBot="1">
      <c r="A10" s="885"/>
      <c r="B10" s="868" t="s">
        <v>45</v>
      </c>
      <c r="C10" s="13" t="s">
        <v>2</v>
      </c>
      <c r="D10" s="930" t="s">
        <v>86</v>
      </c>
      <c r="E10" s="931"/>
      <c r="F10" s="931"/>
      <c r="G10" s="931"/>
      <c r="H10" s="931"/>
      <c r="I10" s="931"/>
      <c r="J10" s="931"/>
      <c r="K10" s="931"/>
      <c r="L10" s="931"/>
      <c r="M10" s="931"/>
      <c r="N10" s="931"/>
      <c r="O10" s="931"/>
      <c r="P10" s="931"/>
      <c r="Q10" s="931"/>
      <c r="R10" s="931"/>
      <c r="S10" s="931"/>
      <c r="T10" s="931"/>
      <c r="U10" s="931"/>
      <c r="V10" s="931"/>
      <c r="W10" s="932"/>
      <c r="X10" s="992"/>
    </row>
    <row r="11" spans="1:24" ht="13.5" thickBot="1">
      <c r="A11" s="885"/>
      <c r="B11" s="885"/>
      <c r="C11" s="10" t="s">
        <v>3</v>
      </c>
      <c r="D11" s="986"/>
      <c r="E11" s="987"/>
      <c r="F11" s="987"/>
      <c r="G11" s="987"/>
      <c r="H11" s="987"/>
      <c r="I11" s="987"/>
      <c r="J11" s="987"/>
      <c r="K11" s="987"/>
      <c r="L11" s="987"/>
      <c r="M11" s="987"/>
      <c r="N11" s="987"/>
      <c r="O11" s="987"/>
      <c r="P11" s="987"/>
      <c r="Q11" s="987"/>
      <c r="R11" s="987"/>
      <c r="S11" s="987"/>
      <c r="T11" s="987"/>
      <c r="U11" s="987"/>
      <c r="V11" s="987"/>
      <c r="W11" s="988"/>
      <c r="X11" s="992"/>
    </row>
    <row r="12" spans="1:24" ht="12.95" customHeight="1" thickBot="1">
      <c r="A12" s="885"/>
      <c r="B12" s="885"/>
      <c r="C12" s="1258" t="s">
        <v>170</v>
      </c>
      <c r="D12" s="927" t="s">
        <v>4</v>
      </c>
      <c r="E12" s="928"/>
      <c r="F12" s="928"/>
      <c r="G12" s="928"/>
      <c r="H12" s="928"/>
      <c r="I12" s="928"/>
      <c r="J12" s="928"/>
      <c r="K12" s="928"/>
      <c r="L12" s="928"/>
      <c r="M12" s="928"/>
      <c r="N12" s="928"/>
      <c r="O12" s="928"/>
      <c r="P12" s="928"/>
      <c r="Q12" s="928"/>
      <c r="R12" s="928"/>
      <c r="S12" s="928"/>
      <c r="T12" s="928"/>
      <c r="U12" s="928"/>
      <c r="V12" s="928"/>
      <c r="W12" s="928"/>
      <c r="X12" s="992"/>
    </row>
    <row r="13" spans="1:24" ht="24" customHeight="1" thickBot="1">
      <c r="A13" s="885"/>
      <c r="B13" s="869"/>
      <c r="C13" s="1259"/>
      <c r="D13" s="930" t="s">
        <v>87</v>
      </c>
      <c r="E13" s="931"/>
      <c r="F13" s="931"/>
      <c r="G13" s="931"/>
      <c r="H13" s="931"/>
      <c r="I13" s="931"/>
      <c r="J13" s="931"/>
      <c r="K13" s="931"/>
      <c r="L13" s="931"/>
      <c r="M13" s="931"/>
      <c r="N13" s="931"/>
      <c r="O13" s="931"/>
      <c r="P13" s="931"/>
      <c r="Q13" s="931"/>
      <c r="R13" s="931"/>
      <c r="S13" s="931"/>
      <c r="T13" s="931"/>
      <c r="U13" s="931"/>
      <c r="V13" s="931"/>
      <c r="W13" s="932"/>
      <c r="X13" s="992"/>
    </row>
    <row r="14" spans="1:24" ht="12.95" customHeight="1" thickBot="1">
      <c r="A14" s="885"/>
      <c r="B14" s="11" t="s">
        <v>53</v>
      </c>
      <c r="C14" s="12"/>
      <c r="D14" s="927" t="s">
        <v>79</v>
      </c>
      <c r="E14" s="928"/>
      <c r="F14" s="928"/>
      <c r="G14" s="929"/>
      <c r="H14" s="927" t="s">
        <v>80</v>
      </c>
      <c r="I14" s="928"/>
      <c r="J14" s="928"/>
      <c r="K14" s="929"/>
      <c r="L14" s="927" t="s">
        <v>81</v>
      </c>
      <c r="M14" s="928"/>
      <c r="N14" s="928"/>
      <c r="O14" s="929"/>
      <c r="P14" s="927" t="s">
        <v>254</v>
      </c>
      <c r="Q14" s="928"/>
      <c r="R14" s="928"/>
      <c r="S14" s="929"/>
      <c r="T14" s="927" t="s">
        <v>76</v>
      </c>
      <c r="U14" s="928"/>
      <c r="V14" s="928"/>
      <c r="W14" s="929"/>
      <c r="X14" s="992"/>
    </row>
    <row r="15" spans="1:24" ht="12.95" customHeight="1" thickBot="1">
      <c r="A15" s="885"/>
      <c r="B15" s="868" t="s">
        <v>44</v>
      </c>
      <c r="C15" s="9" t="s">
        <v>2</v>
      </c>
      <c r="D15" s="930" t="s">
        <v>83</v>
      </c>
      <c r="E15" s="931"/>
      <c r="F15" s="931"/>
      <c r="G15" s="931"/>
      <c r="H15" s="931"/>
      <c r="I15" s="931"/>
      <c r="J15" s="931"/>
      <c r="K15" s="931"/>
      <c r="L15" s="931"/>
      <c r="M15" s="931"/>
      <c r="N15" s="931"/>
      <c r="O15" s="931"/>
      <c r="P15" s="931"/>
      <c r="Q15" s="931"/>
      <c r="R15" s="931"/>
      <c r="S15" s="931"/>
      <c r="T15" s="931"/>
      <c r="U15" s="931"/>
      <c r="V15" s="931"/>
      <c r="W15" s="932"/>
      <c r="X15" s="992"/>
    </row>
    <row r="16" spans="1:24" ht="13.5" thickBot="1">
      <c r="A16" s="885"/>
      <c r="B16" s="885"/>
      <c r="C16" s="10" t="s">
        <v>3</v>
      </c>
      <c r="D16" s="986"/>
      <c r="E16" s="987"/>
      <c r="F16" s="987"/>
      <c r="G16" s="987"/>
      <c r="H16" s="987"/>
      <c r="I16" s="987"/>
      <c r="J16" s="987"/>
      <c r="K16" s="987"/>
      <c r="L16" s="987"/>
      <c r="M16" s="987"/>
      <c r="N16" s="987"/>
      <c r="O16" s="987"/>
      <c r="P16" s="987"/>
      <c r="Q16" s="987"/>
      <c r="R16" s="987"/>
      <c r="S16" s="987"/>
      <c r="T16" s="987"/>
      <c r="U16" s="987"/>
      <c r="V16" s="987"/>
      <c r="W16" s="988"/>
      <c r="X16" s="992"/>
    </row>
    <row r="17" spans="1:24" ht="12.95" customHeight="1" thickBot="1">
      <c r="A17" s="885"/>
      <c r="B17" s="885"/>
      <c r="C17" s="1258" t="s">
        <v>170</v>
      </c>
      <c r="D17" s="989" t="s">
        <v>4</v>
      </c>
      <c r="E17" s="990"/>
      <c r="F17" s="990"/>
      <c r="G17" s="990"/>
      <c r="H17" s="990"/>
      <c r="I17" s="990"/>
      <c r="J17" s="990"/>
      <c r="K17" s="990"/>
      <c r="L17" s="990"/>
      <c r="M17" s="990"/>
      <c r="N17" s="990"/>
      <c r="O17" s="990"/>
      <c r="P17" s="990"/>
      <c r="Q17" s="990"/>
      <c r="R17" s="990"/>
      <c r="S17" s="990"/>
      <c r="T17" s="990"/>
      <c r="U17" s="990"/>
      <c r="V17" s="990"/>
      <c r="W17" s="990"/>
      <c r="X17" s="992"/>
    </row>
    <row r="18" spans="1:24" ht="12.95" customHeight="1" thickBot="1">
      <c r="A18" s="869"/>
      <c r="B18" s="869"/>
      <c r="C18" s="1259"/>
      <c r="D18" s="930" t="s">
        <v>84</v>
      </c>
      <c r="E18" s="931"/>
      <c r="F18" s="931"/>
      <c r="G18" s="931"/>
      <c r="H18" s="931"/>
      <c r="I18" s="931"/>
      <c r="J18" s="931"/>
      <c r="K18" s="931"/>
      <c r="L18" s="931"/>
      <c r="M18" s="931"/>
      <c r="N18" s="931"/>
      <c r="O18" s="931"/>
      <c r="P18" s="931"/>
      <c r="Q18" s="931"/>
      <c r="R18" s="931"/>
      <c r="S18" s="931"/>
      <c r="T18" s="931"/>
      <c r="U18" s="931"/>
      <c r="V18" s="931"/>
      <c r="W18" s="932"/>
      <c r="X18" s="993"/>
    </row>
    <row r="19" spans="1:24">
      <c r="A19" s="5"/>
      <c r="B19" s="5"/>
      <c r="C19" s="14"/>
      <c r="D19" s="5"/>
      <c r="E19" s="5"/>
      <c r="F19" s="5"/>
      <c r="G19" s="5"/>
      <c r="H19" s="5"/>
      <c r="I19" s="5"/>
      <c r="J19" s="5"/>
      <c r="K19" s="5"/>
      <c r="L19" s="5"/>
      <c r="M19" s="5"/>
      <c r="N19" s="5"/>
      <c r="O19" s="5"/>
      <c r="P19" s="5"/>
      <c r="Q19" s="5"/>
      <c r="R19" s="5"/>
      <c r="S19" s="5"/>
      <c r="T19" s="5"/>
      <c r="U19" s="5"/>
      <c r="V19" s="5"/>
      <c r="W19" s="5"/>
      <c r="X19" s="5"/>
    </row>
    <row r="20" spans="1:24" ht="13.5" thickBot="1">
      <c r="A20" s="5"/>
      <c r="B20" s="5"/>
      <c r="C20" s="6"/>
      <c r="D20" s="5"/>
      <c r="E20" s="5"/>
      <c r="F20" s="5"/>
      <c r="G20" s="5"/>
      <c r="H20" s="5"/>
      <c r="I20" s="5"/>
      <c r="J20" s="5"/>
      <c r="K20" s="5"/>
      <c r="L20" s="5"/>
      <c r="M20" s="5"/>
      <c r="N20" s="5"/>
      <c r="O20" s="5"/>
      <c r="P20" s="5"/>
      <c r="Q20" s="5"/>
      <c r="R20" s="5"/>
      <c r="S20" s="5"/>
      <c r="T20" s="5"/>
      <c r="U20" s="5"/>
      <c r="V20" s="5"/>
      <c r="W20" s="5"/>
      <c r="X20" s="5"/>
    </row>
    <row r="21" spans="1:24" ht="12.95" customHeight="1" thickBot="1">
      <c r="A21" s="15" t="s">
        <v>1</v>
      </c>
      <c r="B21" s="97" t="s">
        <v>24</v>
      </c>
      <c r="C21" s="8"/>
      <c r="D21" s="927" t="s">
        <v>78</v>
      </c>
      <c r="E21" s="928"/>
      <c r="F21" s="928"/>
      <c r="G21" s="929"/>
      <c r="H21" s="927" t="s">
        <v>77</v>
      </c>
      <c r="I21" s="928"/>
      <c r="J21" s="928"/>
      <c r="K21" s="929"/>
      <c r="L21" s="927" t="s">
        <v>81</v>
      </c>
      <c r="M21" s="928"/>
      <c r="N21" s="928"/>
      <c r="O21" s="929"/>
      <c r="P21" s="927" t="s">
        <v>254</v>
      </c>
      <c r="Q21" s="928"/>
      <c r="R21" s="928"/>
      <c r="S21" s="929"/>
      <c r="T21" s="927" t="s">
        <v>76</v>
      </c>
      <c r="U21" s="928"/>
      <c r="V21" s="928"/>
      <c r="W21" s="929"/>
      <c r="X21" s="16" t="s">
        <v>6</v>
      </c>
    </row>
    <row r="22" spans="1:24" ht="12.95" customHeight="1" thickBot="1">
      <c r="A22" s="868" t="s">
        <v>47</v>
      </c>
      <c r="B22" s="868" t="s">
        <v>48</v>
      </c>
      <c r="C22" s="9" t="s">
        <v>2</v>
      </c>
      <c r="D22" s="1014">
        <v>2.5</v>
      </c>
      <c r="E22" s="1015"/>
      <c r="F22" s="1015"/>
      <c r="G22" s="1016"/>
      <c r="H22" s="1014">
        <v>2.5</v>
      </c>
      <c r="I22" s="1015"/>
      <c r="J22" s="1015"/>
      <c r="K22" s="1016"/>
      <c r="L22" s="1014">
        <v>3</v>
      </c>
      <c r="M22" s="1015"/>
      <c r="N22" s="1015"/>
      <c r="O22" s="1016"/>
      <c r="P22" s="1014">
        <v>3.2</v>
      </c>
      <c r="Q22" s="1015"/>
      <c r="R22" s="1015"/>
      <c r="S22" s="1016"/>
      <c r="T22" s="1014">
        <v>3.3</v>
      </c>
      <c r="U22" s="1015"/>
      <c r="V22" s="1015"/>
      <c r="W22" s="1016"/>
      <c r="X22" s="873" t="s">
        <v>96</v>
      </c>
    </row>
    <row r="23" spans="1:24" ht="13.5" thickBot="1">
      <c r="A23" s="885"/>
      <c r="B23" s="885"/>
      <c r="C23" s="10" t="s">
        <v>3</v>
      </c>
      <c r="D23" s="957"/>
      <c r="E23" s="958"/>
      <c r="F23" s="958"/>
      <c r="G23" s="959"/>
      <c r="H23" s="963">
        <v>2.5</v>
      </c>
      <c r="I23" s="964"/>
      <c r="J23" s="964"/>
      <c r="K23" s="965"/>
      <c r="L23" s="963">
        <v>2.8</v>
      </c>
      <c r="M23" s="964"/>
      <c r="N23" s="964"/>
      <c r="O23" s="965"/>
      <c r="P23" s="963">
        <v>3.6</v>
      </c>
      <c r="Q23" s="964"/>
      <c r="R23" s="964"/>
      <c r="S23" s="965"/>
      <c r="T23" s="963">
        <v>0</v>
      </c>
      <c r="U23" s="964"/>
      <c r="V23" s="964"/>
      <c r="W23" s="965"/>
      <c r="X23" s="874"/>
    </row>
    <row r="24" spans="1:24" ht="12.95" customHeight="1" thickBot="1">
      <c r="A24" s="885"/>
      <c r="B24" s="885"/>
      <c r="C24" s="1258" t="s">
        <v>170</v>
      </c>
      <c r="D24" s="927" t="s">
        <v>4</v>
      </c>
      <c r="E24" s="928"/>
      <c r="F24" s="928"/>
      <c r="G24" s="928"/>
      <c r="H24" s="928"/>
      <c r="I24" s="928"/>
      <c r="J24" s="928"/>
      <c r="K24" s="928"/>
      <c r="L24" s="928"/>
      <c r="M24" s="928"/>
      <c r="N24" s="928"/>
      <c r="O24" s="928"/>
      <c r="P24" s="928"/>
      <c r="Q24" s="928"/>
      <c r="R24" s="928"/>
      <c r="S24" s="928"/>
      <c r="T24" s="928"/>
      <c r="U24" s="928"/>
      <c r="V24" s="928"/>
      <c r="W24" s="928"/>
      <c r="X24" s="874"/>
    </row>
    <row r="25" spans="1:24" ht="12.95" customHeight="1" thickBot="1">
      <c r="A25" s="885"/>
      <c r="B25" s="869"/>
      <c r="C25" s="1259"/>
      <c r="D25" s="930" t="s">
        <v>115</v>
      </c>
      <c r="E25" s="931"/>
      <c r="F25" s="931"/>
      <c r="G25" s="931"/>
      <c r="H25" s="931"/>
      <c r="I25" s="931"/>
      <c r="J25" s="931"/>
      <c r="K25" s="931"/>
      <c r="L25" s="931"/>
      <c r="M25" s="931"/>
      <c r="N25" s="931"/>
      <c r="O25" s="931"/>
      <c r="P25" s="931"/>
      <c r="Q25" s="931"/>
      <c r="R25" s="931"/>
      <c r="S25" s="931"/>
      <c r="T25" s="931"/>
      <c r="U25" s="931"/>
      <c r="V25" s="931"/>
      <c r="W25" s="932"/>
      <c r="X25" s="874"/>
    </row>
    <row r="26" spans="1:24" ht="12.95" customHeight="1" thickBot="1">
      <c r="A26" s="885"/>
      <c r="B26" s="11" t="s">
        <v>25</v>
      </c>
      <c r="C26" s="12"/>
      <c r="D26" s="927" t="s">
        <v>78</v>
      </c>
      <c r="E26" s="928"/>
      <c r="F26" s="928"/>
      <c r="G26" s="929"/>
      <c r="H26" s="927" t="s">
        <v>77</v>
      </c>
      <c r="I26" s="928"/>
      <c r="J26" s="928"/>
      <c r="K26" s="929"/>
      <c r="L26" s="927" t="s">
        <v>81</v>
      </c>
      <c r="M26" s="928"/>
      <c r="N26" s="928"/>
      <c r="O26" s="929"/>
      <c r="P26" s="927" t="s">
        <v>254</v>
      </c>
      <c r="Q26" s="928"/>
      <c r="R26" s="928"/>
      <c r="S26" s="929"/>
      <c r="T26" s="927" t="s">
        <v>76</v>
      </c>
      <c r="U26" s="928"/>
      <c r="V26" s="928"/>
      <c r="W26" s="929"/>
      <c r="X26" s="874"/>
    </row>
    <row r="27" spans="1:24" ht="13.5" thickBot="1">
      <c r="A27" s="885"/>
      <c r="B27" s="868" t="s">
        <v>49</v>
      </c>
      <c r="C27" s="9" t="s">
        <v>2</v>
      </c>
      <c r="D27" s="1014">
        <v>1</v>
      </c>
      <c r="E27" s="1015"/>
      <c r="F27" s="1015"/>
      <c r="G27" s="1016"/>
      <c r="H27" s="1014">
        <v>1</v>
      </c>
      <c r="I27" s="1015"/>
      <c r="J27" s="1015"/>
      <c r="K27" s="1016"/>
      <c r="L27" s="1014">
        <v>2</v>
      </c>
      <c r="M27" s="1015"/>
      <c r="N27" s="1015"/>
      <c r="O27" s="1016"/>
      <c r="P27" s="1014">
        <v>2.2000000000000002</v>
      </c>
      <c r="Q27" s="1015"/>
      <c r="R27" s="1015"/>
      <c r="S27" s="1016"/>
      <c r="T27" s="1283">
        <v>4</v>
      </c>
      <c r="U27" s="1284"/>
      <c r="V27" s="1284"/>
      <c r="W27" s="1285"/>
      <c r="X27" s="874"/>
    </row>
    <row r="28" spans="1:24" ht="13.5" thickBot="1">
      <c r="A28" s="885"/>
      <c r="B28" s="885"/>
      <c r="C28" s="10" t="s">
        <v>3</v>
      </c>
      <c r="D28" s="957"/>
      <c r="E28" s="958"/>
      <c r="F28" s="958"/>
      <c r="G28" s="959"/>
      <c r="H28" s="963">
        <v>1.5</v>
      </c>
      <c r="I28" s="964"/>
      <c r="J28" s="964"/>
      <c r="K28" s="965"/>
      <c r="L28" s="963">
        <v>2</v>
      </c>
      <c r="M28" s="964"/>
      <c r="N28" s="964"/>
      <c r="O28" s="965"/>
      <c r="P28" s="963">
        <v>3.5</v>
      </c>
      <c r="Q28" s="964"/>
      <c r="R28" s="964"/>
      <c r="S28" s="965"/>
      <c r="T28" s="963">
        <v>0</v>
      </c>
      <c r="U28" s="964"/>
      <c r="V28" s="964"/>
      <c r="W28" s="965"/>
      <c r="X28" s="874"/>
    </row>
    <row r="29" spans="1:24" ht="12.95" customHeight="1" thickBot="1">
      <c r="A29" s="885"/>
      <c r="B29" s="885"/>
      <c r="C29" s="1258" t="s">
        <v>170</v>
      </c>
      <c r="D29" s="927" t="s">
        <v>4</v>
      </c>
      <c r="E29" s="928"/>
      <c r="F29" s="928"/>
      <c r="G29" s="928"/>
      <c r="H29" s="928"/>
      <c r="I29" s="928"/>
      <c r="J29" s="928"/>
      <c r="K29" s="928"/>
      <c r="L29" s="928"/>
      <c r="M29" s="928"/>
      <c r="N29" s="928"/>
      <c r="O29" s="928"/>
      <c r="P29" s="928"/>
      <c r="Q29" s="928"/>
      <c r="R29" s="928"/>
      <c r="S29" s="928"/>
      <c r="T29" s="928"/>
      <c r="U29" s="928"/>
      <c r="V29" s="928"/>
      <c r="W29" s="928"/>
      <c r="X29" s="874"/>
    </row>
    <row r="30" spans="1:24" ht="12.95" customHeight="1" thickBot="1">
      <c r="A30" s="885"/>
      <c r="B30" s="869"/>
      <c r="C30" s="1259"/>
      <c r="D30" s="930" t="s">
        <v>116</v>
      </c>
      <c r="E30" s="931"/>
      <c r="F30" s="931"/>
      <c r="G30" s="931"/>
      <c r="H30" s="931"/>
      <c r="I30" s="931"/>
      <c r="J30" s="931"/>
      <c r="K30" s="931"/>
      <c r="L30" s="931"/>
      <c r="M30" s="931"/>
      <c r="N30" s="931"/>
      <c r="O30" s="931"/>
      <c r="P30" s="931"/>
      <c r="Q30" s="931"/>
      <c r="R30" s="931"/>
      <c r="S30" s="931"/>
      <c r="T30" s="931"/>
      <c r="U30" s="931"/>
      <c r="V30" s="931"/>
      <c r="W30" s="932"/>
      <c r="X30" s="874"/>
    </row>
    <row r="31" spans="1:24" ht="12.95" customHeight="1" thickBot="1">
      <c r="A31" s="885"/>
      <c r="B31" s="11" t="s">
        <v>37</v>
      </c>
      <c r="C31" s="12"/>
      <c r="D31" s="927" t="s">
        <v>78</v>
      </c>
      <c r="E31" s="928"/>
      <c r="F31" s="928"/>
      <c r="G31" s="929"/>
      <c r="H31" s="927" t="s">
        <v>77</v>
      </c>
      <c r="I31" s="928"/>
      <c r="J31" s="928"/>
      <c r="K31" s="929"/>
      <c r="L31" s="927" t="s">
        <v>81</v>
      </c>
      <c r="M31" s="928"/>
      <c r="N31" s="928"/>
      <c r="O31" s="929"/>
      <c r="P31" s="927" t="s">
        <v>254</v>
      </c>
      <c r="Q31" s="928"/>
      <c r="R31" s="928"/>
      <c r="S31" s="929"/>
      <c r="T31" s="927" t="s">
        <v>76</v>
      </c>
      <c r="U31" s="928"/>
      <c r="V31" s="928"/>
      <c r="W31" s="929"/>
      <c r="X31" s="874"/>
    </row>
    <row r="32" spans="1:24" ht="33" customHeight="1" thickBot="1">
      <c r="A32" s="885"/>
      <c r="B32" s="868" t="s">
        <v>148</v>
      </c>
      <c r="C32" s="9"/>
      <c r="D32" s="17" t="s">
        <v>106</v>
      </c>
      <c r="E32" s="17" t="s">
        <v>107</v>
      </c>
      <c r="F32" s="17" t="s">
        <v>108</v>
      </c>
      <c r="G32" s="17" t="s">
        <v>109</v>
      </c>
      <c r="H32" s="17" t="s">
        <v>106</v>
      </c>
      <c r="I32" s="17" t="s">
        <v>107</v>
      </c>
      <c r="J32" s="17" t="s">
        <v>108</v>
      </c>
      <c r="K32" s="17" t="s">
        <v>109</v>
      </c>
      <c r="L32" s="17" t="s">
        <v>106</v>
      </c>
      <c r="M32" s="17" t="s">
        <v>107</v>
      </c>
      <c r="N32" s="17" t="s">
        <v>108</v>
      </c>
      <c r="O32" s="17" t="s">
        <v>109</v>
      </c>
      <c r="P32" s="17" t="s">
        <v>106</v>
      </c>
      <c r="Q32" s="17" t="s">
        <v>107</v>
      </c>
      <c r="R32" s="17" t="s">
        <v>108</v>
      </c>
      <c r="S32" s="17" t="s">
        <v>109</v>
      </c>
      <c r="T32" s="17" t="s">
        <v>106</v>
      </c>
      <c r="U32" s="17" t="s">
        <v>107</v>
      </c>
      <c r="V32" s="17" t="s">
        <v>108</v>
      </c>
      <c r="W32" s="17" t="s">
        <v>109</v>
      </c>
      <c r="X32" s="874"/>
    </row>
    <row r="33" spans="1:24" ht="13.5" thickBot="1">
      <c r="A33" s="885"/>
      <c r="B33" s="885"/>
      <c r="C33" s="9" t="s">
        <v>2</v>
      </c>
      <c r="D33" s="2">
        <v>12</v>
      </c>
      <c r="E33" s="2">
        <v>15</v>
      </c>
      <c r="F33" s="2">
        <v>0</v>
      </c>
      <c r="G33" s="2">
        <v>12</v>
      </c>
      <c r="H33" s="2">
        <v>12</v>
      </c>
      <c r="I33" s="2">
        <v>15</v>
      </c>
      <c r="J33" s="2">
        <v>0</v>
      </c>
      <c r="K33" s="2">
        <v>12</v>
      </c>
      <c r="L33" s="2">
        <v>13</v>
      </c>
      <c r="M33" s="2">
        <v>15</v>
      </c>
      <c r="N33" s="2">
        <v>1</v>
      </c>
      <c r="O33" s="2">
        <v>13</v>
      </c>
      <c r="P33" s="2">
        <v>14</v>
      </c>
      <c r="Q33" s="2">
        <v>15</v>
      </c>
      <c r="R33" s="2">
        <v>2</v>
      </c>
      <c r="S33" s="2">
        <v>13</v>
      </c>
      <c r="T33" s="778">
        <v>12</v>
      </c>
      <c r="U33" s="2">
        <v>15</v>
      </c>
      <c r="V33" s="2">
        <v>3</v>
      </c>
      <c r="W33" s="2">
        <v>14</v>
      </c>
      <c r="X33" s="874"/>
    </row>
    <row r="34" spans="1:24" ht="13.5" thickBot="1">
      <c r="A34" s="885"/>
      <c r="B34" s="93" t="s">
        <v>145</v>
      </c>
      <c r="C34" s="10" t="s">
        <v>3</v>
      </c>
      <c r="D34" s="986"/>
      <c r="E34" s="987"/>
      <c r="F34" s="987"/>
      <c r="G34" s="988"/>
      <c r="H34" s="68">
        <v>8.5</v>
      </c>
      <c r="I34" s="68">
        <v>8</v>
      </c>
      <c r="J34" s="68">
        <v>0</v>
      </c>
      <c r="K34" s="68">
        <v>8.5</v>
      </c>
      <c r="L34" s="68">
        <v>12</v>
      </c>
      <c r="M34" s="68">
        <v>15</v>
      </c>
      <c r="N34" s="68">
        <v>1</v>
      </c>
      <c r="O34" s="68">
        <v>12</v>
      </c>
      <c r="P34" s="68">
        <v>12</v>
      </c>
      <c r="Q34" s="68">
        <v>15</v>
      </c>
      <c r="R34" s="68">
        <v>1</v>
      </c>
      <c r="S34" s="68">
        <v>12</v>
      </c>
      <c r="T34" s="68">
        <v>0</v>
      </c>
      <c r="U34" s="68">
        <v>0</v>
      </c>
      <c r="V34" s="68">
        <v>0</v>
      </c>
      <c r="W34" s="68">
        <v>0</v>
      </c>
      <c r="X34" s="874"/>
    </row>
    <row r="35" spans="1:24" ht="12.95" customHeight="1" thickBot="1">
      <c r="A35" s="885"/>
      <c r="B35" s="93" t="s">
        <v>147</v>
      </c>
      <c r="C35" s="1258" t="s">
        <v>170</v>
      </c>
      <c r="D35" s="927" t="s">
        <v>4</v>
      </c>
      <c r="E35" s="928"/>
      <c r="F35" s="928"/>
      <c r="G35" s="928"/>
      <c r="H35" s="928"/>
      <c r="I35" s="928"/>
      <c r="J35" s="928"/>
      <c r="K35" s="928"/>
      <c r="L35" s="928"/>
      <c r="M35" s="928"/>
      <c r="N35" s="928"/>
      <c r="O35" s="928"/>
      <c r="P35" s="928"/>
      <c r="Q35" s="928"/>
      <c r="R35" s="928"/>
      <c r="S35" s="928"/>
      <c r="T35" s="928"/>
      <c r="U35" s="928"/>
      <c r="V35" s="928"/>
      <c r="W35" s="928"/>
      <c r="X35" s="874"/>
    </row>
    <row r="36" spans="1:24" ht="12.95" customHeight="1" thickBot="1">
      <c r="A36" s="869"/>
      <c r="B36" s="94" t="s">
        <v>146</v>
      </c>
      <c r="C36" s="1259"/>
      <c r="D36" s="930" t="s">
        <v>117</v>
      </c>
      <c r="E36" s="931"/>
      <c r="F36" s="931"/>
      <c r="G36" s="931"/>
      <c r="H36" s="931"/>
      <c r="I36" s="931"/>
      <c r="J36" s="931"/>
      <c r="K36" s="931"/>
      <c r="L36" s="931"/>
      <c r="M36" s="931"/>
      <c r="N36" s="931"/>
      <c r="O36" s="931"/>
      <c r="P36" s="931"/>
      <c r="Q36" s="931"/>
      <c r="R36" s="931"/>
      <c r="S36" s="931"/>
      <c r="T36" s="931"/>
      <c r="U36" s="931"/>
      <c r="V36" s="931"/>
      <c r="W36" s="932"/>
      <c r="X36" s="875"/>
    </row>
    <row r="37" spans="1:24">
      <c r="A37" s="5"/>
      <c r="B37" s="5"/>
      <c r="C37" s="14"/>
      <c r="D37" s="5"/>
      <c r="E37" s="5"/>
      <c r="F37" s="5"/>
      <c r="G37" s="5"/>
      <c r="H37" s="5"/>
      <c r="I37" s="5"/>
      <c r="J37" s="5"/>
      <c r="K37" s="5"/>
      <c r="L37" s="5"/>
      <c r="M37" s="5"/>
      <c r="N37" s="5"/>
      <c r="O37" s="5"/>
      <c r="P37" s="5"/>
      <c r="Q37" s="5"/>
      <c r="R37" s="5"/>
      <c r="S37" s="5"/>
      <c r="T37" s="5"/>
      <c r="U37" s="5"/>
      <c r="V37" s="5"/>
      <c r="W37" s="5"/>
      <c r="X37" s="5"/>
    </row>
    <row r="38" spans="1:24" ht="13.5" thickBot="1">
      <c r="A38" s="5"/>
      <c r="B38" s="5"/>
      <c r="C38" s="6"/>
      <c r="D38" s="5"/>
      <c r="E38" s="5"/>
      <c r="F38" s="5"/>
      <c r="G38" s="5"/>
      <c r="H38" s="5"/>
      <c r="I38" s="5"/>
      <c r="J38" s="5"/>
      <c r="K38" s="5"/>
      <c r="L38" s="5"/>
      <c r="M38" s="5"/>
      <c r="N38" s="5"/>
      <c r="O38" s="5"/>
      <c r="P38" s="5"/>
      <c r="Q38" s="5"/>
      <c r="R38" s="5"/>
      <c r="S38" s="5"/>
      <c r="T38" s="5"/>
      <c r="U38" s="5"/>
      <c r="V38" s="5"/>
      <c r="W38" s="5"/>
      <c r="X38" s="5"/>
    </row>
    <row r="39" spans="1:24" ht="12.95" customHeight="1" thickBot="1">
      <c r="A39" s="7" t="s">
        <v>5</v>
      </c>
      <c r="B39" s="97" t="s">
        <v>22</v>
      </c>
      <c r="C39" s="8"/>
      <c r="D39" s="927" t="s">
        <v>78</v>
      </c>
      <c r="E39" s="928"/>
      <c r="F39" s="928"/>
      <c r="G39" s="929"/>
      <c r="H39" s="927" t="s">
        <v>77</v>
      </c>
      <c r="I39" s="928"/>
      <c r="J39" s="928"/>
      <c r="K39" s="929"/>
      <c r="L39" s="927" t="s">
        <v>81</v>
      </c>
      <c r="M39" s="928"/>
      <c r="N39" s="928"/>
      <c r="O39" s="929"/>
      <c r="P39" s="927" t="s">
        <v>254</v>
      </c>
      <c r="Q39" s="928"/>
      <c r="R39" s="928"/>
      <c r="S39" s="929"/>
      <c r="T39" s="927" t="s">
        <v>76</v>
      </c>
      <c r="U39" s="928"/>
      <c r="V39" s="928"/>
      <c r="W39" s="929"/>
      <c r="X39" s="19" t="s">
        <v>6</v>
      </c>
    </row>
    <row r="40" spans="1:24" ht="12.95" customHeight="1" thickBot="1">
      <c r="A40" s="868" t="s">
        <v>54</v>
      </c>
      <c r="B40" s="868" t="s">
        <v>55</v>
      </c>
      <c r="C40" s="9" t="s">
        <v>2</v>
      </c>
      <c r="D40" s="1014">
        <v>2.2000000000000002</v>
      </c>
      <c r="E40" s="1015"/>
      <c r="F40" s="1015"/>
      <c r="G40" s="1016"/>
      <c r="H40" s="1014">
        <v>2.2000000000000002</v>
      </c>
      <c r="I40" s="1015"/>
      <c r="J40" s="1015"/>
      <c r="K40" s="1016"/>
      <c r="L40" s="1014">
        <v>2.5</v>
      </c>
      <c r="M40" s="1015"/>
      <c r="N40" s="1015"/>
      <c r="O40" s="1016"/>
      <c r="P40" s="1014">
        <v>3.2</v>
      </c>
      <c r="Q40" s="1015"/>
      <c r="R40" s="1015"/>
      <c r="S40" s="1016"/>
      <c r="T40" s="1014">
        <v>3.5</v>
      </c>
      <c r="U40" s="1015"/>
      <c r="V40" s="1015"/>
      <c r="W40" s="1016"/>
      <c r="X40" s="879" t="s">
        <v>95</v>
      </c>
    </row>
    <row r="41" spans="1:24" ht="13.5" thickBot="1">
      <c r="A41" s="885"/>
      <c r="B41" s="885"/>
      <c r="C41" s="10" t="s">
        <v>3</v>
      </c>
      <c r="D41" s="957"/>
      <c r="E41" s="958"/>
      <c r="F41" s="958"/>
      <c r="G41" s="959"/>
      <c r="H41" s="963">
        <v>2.1</v>
      </c>
      <c r="I41" s="964"/>
      <c r="J41" s="964"/>
      <c r="K41" s="965"/>
      <c r="L41" s="963">
        <v>2.6</v>
      </c>
      <c r="M41" s="964"/>
      <c r="N41" s="964"/>
      <c r="O41" s="965"/>
      <c r="P41" s="963">
        <v>3.2</v>
      </c>
      <c r="Q41" s="964"/>
      <c r="R41" s="964"/>
      <c r="S41" s="965"/>
      <c r="T41" s="963">
        <v>0</v>
      </c>
      <c r="U41" s="964"/>
      <c r="V41" s="964"/>
      <c r="W41" s="965"/>
      <c r="X41" s="880"/>
    </row>
    <row r="42" spans="1:24" ht="12.95" customHeight="1" thickBot="1">
      <c r="A42" s="885"/>
      <c r="B42" s="885"/>
      <c r="C42" s="1258" t="s">
        <v>170</v>
      </c>
      <c r="D42" s="927" t="s">
        <v>4</v>
      </c>
      <c r="E42" s="928"/>
      <c r="F42" s="928"/>
      <c r="G42" s="928"/>
      <c r="H42" s="928"/>
      <c r="I42" s="928"/>
      <c r="J42" s="928"/>
      <c r="K42" s="928"/>
      <c r="L42" s="928"/>
      <c r="M42" s="928"/>
      <c r="N42" s="928"/>
      <c r="O42" s="928"/>
      <c r="P42" s="928"/>
      <c r="Q42" s="928"/>
      <c r="R42" s="928"/>
      <c r="S42" s="928"/>
      <c r="T42" s="928"/>
      <c r="U42" s="928"/>
      <c r="V42" s="928"/>
      <c r="W42" s="928"/>
      <c r="X42" s="880"/>
    </row>
    <row r="43" spans="1:24" ht="12.95" customHeight="1" thickBot="1">
      <c r="A43" s="885"/>
      <c r="B43" s="869"/>
      <c r="C43" s="1259"/>
      <c r="D43" s="930" t="s">
        <v>115</v>
      </c>
      <c r="E43" s="931"/>
      <c r="F43" s="931"/>
      <c r="G43" s="931"/>
      <c r="H43" s="931"/>
      <c r="I43" s="931"/>
      <c r="J43" s="931"/>
      <c r="K43" s="931"/>
      <c r="L43" s="931"/>
      <c r="M43" s="931"/>
      <c r="N43" s="931"/>
      <c r="O43" s="931"/>
      <c r="P43" s="931"/>
      <c r="Q43" s="931"/>
      <c r="R43" s="931"/>
      <c r="S43" s="931"/>
      <c r="T43" s="931"/>
      <c r="U43" s="931"/>
      <c r="V43" s="931"/>
      <c r="W43" s="932"/>
      <c r="X43" s="880"/>
    </row>
    <row r="44" spans="1:24" ht="12.95" customHeight="1" thickBot="1">
      <c r="A44" s="885"/>
      <c r="B44" s="11" t="s">
        <v>23</v>
      </c>
      <c r="C44" s="12"/>
      <c r="D44" s="927" t="s">
        <v>78</v>
      </c>
      <c r="E44" s="928"/>
      <c r="F44" s="928"/>
      <c r="G44" s="929"/>
      <c r="H44" s="927" t="s">
        <v>77</v>
      </c>
      <c r="I44" s="928"/>
      <c r="J44" s="928"/>
      <c r="K44" s="929"/>
      <c r="L44" s="927" t="s">
        <v>81</v>
      </c>
      <c r="M44" s="928"/>
      <c r="N44" s="928"/>
      <c r="O44" s="929"/>
      <c r="P44" s="927" t="s">
        <v>254</v>
      </c>
      <c r="Q44" s="928"/>
      <c r="R44" s="928"/>
      <c r="S44" s="929"/>
      <c r="T44" s="927" t="s">
        <v>76</v>
      </c>
      <c r="U44" s="928"/>
      <c r="V44" s="928"/>
      <c r="W44" s="929"/>
      <c r="X44" s="880"/>
    </row>
    <row r="45" spans="1:24" ht="13.5" thickBot="1">
      <c r="A45" s="885"/>
      <c r="B45" s="868" t="s">
        <v>56</v>
      </c>
      <c r="C45" s="9" t="s">
        <v>2</v>
      </c>
      <c r="D45" s="1014">
        <v>2.4</v>
      </c>
      <c r="E45" s="1015"/>
      <c r="F45" s="1015"/>
      <c r="G45" s="1016"/>
      <c r="H45" s="1014">
        <v>2.7</v>
      </c>
      <c r="I45" s="1015"/>
      <c r="J45" s="1015"/>
      <c r="K45" s="1016"/>
      <c r="L45" s="1014">
        <v>3</v>
      </c>
      <c r="M45" s="1015"/>
      <c r="N45" s="1015"/>
      <c r="O45" s="1016"/>
      <c r="P45" s="1014">
        <v>3.25</v>
      </c>
      <c r="Q45" s="1015"/>
      <c r="R45" s="1015"/>
      <c r="S45" s="1016"/>
      <c r="T45" s="1283">
        <v>4.3</v>
      </c>
      <c r="U45" s="1284"/>
      <c r="V45" s="1284"/>
      <c r="W45" s="1285"/>
      <c r="X45" s="880"/>
    </row>
    <row r="46" spans="1:24" ht="13.5" thickBot="1">
      <c r="A46" s="885"/>
      <c r="B46" s="885"/>
      <c r="C46" s="10" t="s">
        <v>3</v>
      </c>
      <c r="D46" s="957"/>
      <c r="E46" s="958"/>
      <c r="F46" s="958"/>
      <c r="G46" s="959"/>
      <c r="H46" s="963">
        <v>2.8</v>
      </c>
      <c r="I46" s="964"/>
      <c r="J46" s="964"/>
      <c r="K46" s="965"/>
      <c r="L46" s="963">
        <v>2.8</v>
      </c>
      <c r="M46" s="964"/>
      <c r="N46" s="964"/>
      <c r="O46" s="965"/>
      <c r="P46" s="963">
        <v>4.0999999999999996</v>
      </c>
      <c r="Q46" s="964"/>
      <c r="R46" s="964"/>
      <c r="S46" s="965"/>
      <c r="T46" s="963">
        <v>0</v>
      </c>
      <c r="U46" s="964"/>
      <c r="V46" s="964"/>
      <c r="W46" s="965"/>
      <c r="X46" s="880"/>
    </row>
    <row r="47" spans="1:24" ht="12.95" customHeight="1" thickBot="1">
      <c r="A47" s="885"/>
      <c r="B47" s="885"/>
      <c r="C47" s="1258" t="s">
        <v>170</v>
      </c>
      <c r="D47" s="927" t="s">
        <v>4</v>
      </c>
      <c r="E47" s="928"/>
      <c r="F47" s="928"/>
      <c r="G47" s="928"/>
      <c r="H47" s="928"/>
      <c r="I47" s="928"/>
      <c r="J47" s="928"/>
      <c r="K47" s="928"/>
      <c r="L47" s="928"/>
      <c r="M47" s="928"/>
      <c r="N47" s="928"/>
      <c r="O47" s="928"/>
      <c r="P47" s="928"/>
      <c r="Q47" s="928"/>
      <c r="R47" s="928"/>
      <c r="S47" s="928"/>
      <c r="T47" s="928"/>
      <c r="U47" s="928"/>
      <c r="V47" s="928"/>
      <c r="W47" s="928"/>
      <c r="X47" s="880"/>
    </row>
    <row r="48" spans="1:24" ht="12.95" customHeight="1" thickBot="1">
      <c r="A48" s="885"/>
      <c r="B48" s="869"/>
      <c r="C48" s="1259"/>
      <c r="D48" s="930" t="s">
        <v>115</v>
      </c>
      <c r="E48" s="931"/>
      <c r="F48" s="931"/>
      <c r="G48" s="931"/>
      <c r="H48" s="931"/>
      <c r="I48" s="931"/>
      <c r="J48" s="931"/>
      <c r="K48" s="931"/>
      <c r="L48" s="931"/>
      <c r="M48" s="931"/>
      <c r="N48" s="931"/>
      <c r="O48" s="931"/>
      <c r="P48" s="931"/>
      <c r="Q48" s="931"/>
      <c r="R48" s="931"/>
      <c r="S48" s="931"/>
      <c r="T48" s="931"/>
      <c r="U48" s="931"/>
      <c r="V48" s="931"/>
      <c r="W48" s="932"/>
      <c r="X48" s="880"/>
    </row>
    <row r="49" spans="1:24" ht="12.95" customHeight="1" thickBot="1">
      <c r="A49" s="885"/>
      <c r="B49" s="11" t="s">
        <v>38</v>
      </c>
      <c r="C49" s="12"/>
      <c r="D49" s="927" t="s">
        <v>78</v>
      </c>
      <c r="E49" s="928"/>
      <c r="F49" s="928"/>
      <c r="G49" s="929"/>
      <c r="H49" s="927" t="s">
        <v>77</v>
      </c>
      <c r="I49" s="928"/>
      <c r="J49" s="928"/>
      <c r="K49" s="929"/>
      <c r="L49" s="927" t="s">
        <v>81</v>
      </c>
      <c r="M49" s="928"/>
      <c r="N49" s="928"/>
      <c r="O49" s="929"/>
      <c r="P49" s="927" t="s">
        <v>254</v>
      </c>
      <c r="Q49" s="928"/>
      <c r="R49" s="928"/>
      <c r="S49" s="929"/>
      <c r="T49" s="927" t="s">
        <v>76</v>
      </c>
      <c r="U49" s="928"/>
      <c r="V49" s="928"/>
      <c r="W49" s="929"/>
      <c r="X49" s="880"/>
    </row>
    <row r="50" spans="1:24" ht="12.95" customHeight="1" thickBot="1">
      <c r="A50" s="885"/>
      <c r="B50" s="868" t="s">
        <v>155</v>
      </c>
      <c r="C50" s="9" t="s">
        <v>2</v>
      </c>
      <c r="D50" s="933" t="s">
        <v>171</v>
      </c>
      <c r="E50" s="934"/>
      <c r="F50" s="934"/>
      <c r="G50" s="935"/>
      <c r="H50" s="966" t="s">
        <v>572</v>
      </c>
      <c r="I50" s="967"/>
      <c r="J50" s="967"/>
      <c r="K50" s="968"/>
      <c r="L50" s="1014">
        <v>3.4</v>
      </c>
      <c r="M50" s="1015"/>
      <c r="N50" s="1015"/>
      <c r="O50" s="1016"/>
      <c r="P50" s="1014">
        <v>3.6</v>
      </c>
      <c r="Q50" s="1015"/>
      <c r="R50" s="1015"/>
      <c r="S50" s="1016"/>
      <c r="T50" s="1014">
        <v>3.7</v>
      </c>
      <c r="U50" s="1015"/>
      <c r="V50" s="1015"/>
      <c r="W50" s="1016"/>
      <c r="X50" s="880"/>
    </row>
    <row r="51" spans="1:24" ht="13.5" thickBot="1">
      <c r="A51" s="885"/>
      <c r="B51" s="885"/>
      <c r="C51" s="98" t="s">
        <v>3</v>
      </c>
      <c r="D51" s="933"/>
      <c r="E51" s="934"/>
      <c r="F51" s="934"/>
      <c r="G51" s="935"/>
      <c r="H51" s="933"/>
      <c r="I51" s="934"/>
      <c r="J51" s="934"/>
      <c r="K51" s="935"/>
      <c r="L51" s="1171"/>
      <c r="M51" s="1172"/>
      <c r="N51" s="1172"/>
      <c r="O51" s="1173"/>
      <c r="P51" s="963">
        <v>3.4</v>
      </c>
      <c r="Q51" s="964"/>
      <c r="R51" s="964"/>
      <c r="S51" s="965"/>
      <c r="T51" s="963">
        <v>0</v>
      </c>
      <c r="U51" s="964"/>
      <c r="V51" s="964"/>
      <c r="W51" s="965"/>
      <c r="X51" s="880"/>
    </row>
    <row r="52" spans="1:24" ht="12.95" customHeight="1" thickBot="1">
      <c r="A52" s="885"/>
      <c r="B52" s="885"/>
      <c r="C52" s="922" t="s">
        <v>170</v>
      </c>
      <c r="D52" s="927" t="s">
        <v>4</v>
      </c>
      <c r="E52" s="928"/>
      <c r="F52" s="928"/>
      <c r="G52" s="928"/>
      <c r="H52" s="928"/>
      <c r="I52" s="928"/>
      <c r="J52" s="928"/>
      <c r="K52" s="928"/>
      <c r="L52" s="928"/>
      <c r="M52" s="928"/>
      <c r="N52" s="928"/>
      <c r="O52" s="928"/>
      <c r="P52" s="928"/>
      <c r="Q52" s="928"/>
      <c r="R52" s="928"/>
      <c r="S52" s="928"/>
      <c r="T52" s="928"/>
      <c r="U52" s="928"/>
      <c r="V52" s="928"/>
      <c r="W52" s="928"/>
      <c r="X52" s="880"/>
    </row>
    <row r="53" spans="1:24" ht="12.95" customHeight="1" thickBot="1">
      <c r="A53" s="885"/>
      <c r="B53" s="869"/>
      <c r="C53" s="923"/>
      <c r="D53" s="930" t="s">
        <v>115</v>
      </c>
      <c r="E53" s="931"/>
      <c r="F53" s="931"/>
      <c r="G53" s="931"/>
      <c r="H53" s="931"/>
      <c r="I53" s="931"/>
      <c r="J53" s="931"/>
      <c r="K53" s="931"/>
      <c r="L53" s="931"/>
      <c r="M53" s="931"/>
      <c r="N53" s="931"/>
      <c r="O53" s="931"/>
      <c r="P53" s="931"/>
      <c r="Q53" s="931"/>
      <c r="R53" s="931"/>
      <c r="S53" s="931"/>
      <c r="T53" s="931"/>
      <c r="U53" s="931"/>
      <c r="V53" s="931"/>
      <c r="W53" s="932"/>
      <c r="X53" s="880"/>
    </row>
    <row r="54" spans="1:24" ht="12.95" customHeight="1" thickBot="1">
      <c r="A54" s="885"/>
      <c r="B54" s="11" t="s">
        <v>39</v>
      </c>
      <c r="C54" s="12"/>
      <c r="D54" s="927" t="s">
        <v>78</v>
      </c>
      <c r="E54" s="928"/>
      <c r="F54" s="928"/>
      <c r="G54" s="929"/>
      <c r="H54" s="927" t="s">
        <v>77</v>
      </c>
      <c r="I54" s="928"/>
      <c r="J54" s="928"/>
      <c r="K54" s="929"/>
      <c r="L54" s="927" t="s">
        <v>81</v>
      </c>
      <c r="M54" s="928"/>
      <c r="N54" s="928"/>
      <c r="O54" s="929"/>
      <c r="P54" s="927" t="s">
        <v>254</v>
      </c>
      <c r="Q54" s="928"/>
      <c r="R54" s="928"/>
      <c r="S54" s="929"/>
      <c r="T54" s="927" t="s">
        <v>76</v>
      </c>
      <c r="U54" s="928"/>
      <c r="V54" s="928"/>
      <c r="W54" s="929"/>
      <c r="X54" s="880"/>
    </row>
    <row r="55" spans="1:24" ht="44.1" customHeight="1" thickBot="1">
      <c r="A55" s="885"/>
      <c r="B55" s="978" t="s">
        <v>575</v>
      </c>
      <c r="C55" s="9"/>
      <c r="D55" s="20" t="s">
        <v>105</v>
      </c>
      <c r="E55" s="20" t="s">
        <v>579</v>
      </c>
      <c r="F55" s="20" t="s">
        <v>580</v>
      </c>
      <c r="G55" s="20" t="s">
        <v>581</v>
      </c>
      <c r="H55" s="20" t="s">
        <v>105</v>
      </c>
      <c r="I55" s="20" t="s">
        <v>579</v>
      </c>
      <c r="J55" s="20" t="s">
        <v>580</v>
      </c>
      <c r="K55" s="20" t="s">
        <v>581</v>
      </c>
      <c r="L55" s="20" t="s">
        <v>105</v>
      </c>
      <c r="M55" s="20" t="s">
        <v>579</v>
      </c>
      <c r="N55" s="20" t="s">
        <v>580</v>
      </c>
      <c r="O55" s="20" t="s">
        <v>581</v>
      </c>
      <c r="P55" s="20" t="s">
        <v>105</v>
      </c>
      <c r="Q55" s="20" t="s">
        <v>579</v>
      </c>
      <c r="R55" s="20" t="s">
        <v>580</v>
      </c>
      <c r="S55" s="20" t="s">
        <v>581</v>
      </c>
      <c r="T55" s="20" t="s">
        <v>105</v>
      </c>
      <c r="U55" s="20" t="s">
        <v>579</v>
      </c>
      <c r="V55" s="20" t="s">
        <v>580</v>
      </c>
      <c r="W55" s="20" t="s">
        <v>581</v>
      </c>
      <c r="X55" s="880"/>
    </row>
    <row r="56" spans="1:24" ht="13.5" thickBot="1">
      <c r="A56" s="885"/>
      <c r="B56" s="979"/>
      <c r="C56" s="9" t="s">
        <v>2</v>
      </c>
      <c r="D56" s="2">
        <v>0</v>
      </c>
      <c r="E56" s="2">
        <v>0</v>
      </c>
      <c r="F56" s="2">
        <v>0</v>
      </c>
      <c r="G56" s="2">
        <v>0</v>
      </c>
      <c r="H56" s="2">
        <v>3</v>
      </c>
      <c r="I56" s="2">
        <v>1</v>
      </c>
      <c r="J56" s="2">
        <v>0</v>
      </c>
      <c r="K56" s="2">
        <v>0</v>
      </c>
      <c r="L56" s="2">
        <v>6</v>
      </c>
      <c r="M56" s="2">
        <v>3</v>
      </c>
      <c r="N56" s="2">
        <v>1</v>
      </c>
      <c r="O56" s="2">
        <v>0</v>
      </c>
      <c r="P56" s="2">
        <v>7</v>
      </c>
      <c r="Q56" s="2">
        <v>4</v>
      </c>
      <c r="R56" s="2">
        <v>2</v>
      </c>
      <c r="S56" s="2">
        <v>1</v>
      </c>
      <c r="T56" s="779">
        <v>30</v>
      </c>
      <c r="U56" s="779">
        <v>9</v>
      </c>
      <c r="V56" s="779">
        <v>9</v>
      </c>
      <c r="W56" s="2">
        <v>2</v>
      </c>
      <c r="X56" s="880"/>
    </row>
    <row r="57" spans="1:24" ht="24" customHeight="1" thickBot="1">
      <c r="A57" s="885"/>
      <c r="B57" s="169" t="s">
        <v>159</v>
      </c>
      <c r="C57" s="10" t="s">
        <v>3</v>
      </c>
      <c r="D57" s="933" t="s">
        <v>271</v>
      </c>
      <c r="E57" s="934"/>
      <c r="F57" s="934"/>
      <c r="G57" s="935"/>
      <c r="H57" s="68">
        <v>1</v>
      </c>
      <c r="I57" s="68">
        <v>0</v>
      </c>
      <c r="J57" s="68">
        <v>0</v>
      </c>
      <c r="K57" s="68">
        <v>0</v>
      </c>
      <c r="L57" s="68">
        <v>6</v>
      </c>
      <c r="M57" s="68">
        <v>3</v>
      </c>
      <c r="N57" s="68">
        <v>1</v>
      </c>
      <c r="O57" s="68">
        <v>0</v>
      </c>
      <c r="P57" s="68">
        <v>18</v>
      </c>
      <c r="Q57" s="68">
        <v>12</v>
      </c>
      <c r="R57" s="68">
        <v>10</v>
      </c>
      <c r="S57" s="68">
        <v>1</v>
      </c>
      <c r="T57" s="68">
        <v>0</v>
      </c>
      <c r="U57" s="68">
        <v>0</v>
      </c>
      <c r="V57" s="68">
        <v>0</v>
      </c>
      <c r="W57" s="68">
        <v>0</v>
      </c>
      <c r="X57" s="880"/>
    </row>
    <row r="58" spans="1:24" ht="36.75" thickBot="1">
      <c r="A58" s="885"/>
      <c r="B58" s="169" t="s">
        <v>576</v>
      </c>
      <c r="C58" s="1258" t="s">
        <v>170</v>
      </c>
      <c r="D58" s="927" t="s">
        <v>4</v>
      </c>
      <c r="E58" s="928"/>
      <c r="F58" s="928"/>
      <c r="G58" s="928"/>
      <c r="H58" s="928"/>
      <c r="I58" s="928"/>
      <c r="J58" s="928"/>
      <c r="K58" s="928"/>
      <c r="L58" s="928"/>
      <c r="M58" s="928"/>
      <c r="N58" s="928"/>
      <c r="O58" s="928"/>
      <c r="P58" s="928"/>
      <c r="Q58" s="928"/>
      <c r="R58" s="928"/>
      <c r="S58" s="928"/>
      <c r="T58" s="928"/>
      <c r="U58" s="928"/>
      <c r="V58" s="928"/>
      <c r="W58" s="928"/>
      <c r="X58" s="880"/>
    </row>
    <row r="59" spans="1:24" ht="12.95" customHeight="1" thickBot="1">
      <c r="A59" s="869"/>
      <c r="B59" s="176" t="s">
        <v>577</v>
      </c>
      <c r="C59" s="1259"/>
      <c r="D59" s="930" t="s">
        <v>126</v>
      </c>
      <c r="E59" s="931"/>
      <c r="F59" s="931"/>
      <c r="G59" s="931"/>
      <c r="H59" s="931"/>
      <c r="I59" s="931"/>
      <c r="J59" s="931"/>
      <c r="K59" s="931"/>
      <c r="L59" s="931"/>
      <c r="M59" s="931"/>
      <c r="N59" s="931"/>
      <c r="O59" s="931"/>
      <c r="P59" s="931"/>
      <c r="Q59" s="931"/>
      <c r="R59" s="931"/>
      <c r="S59" s="931"/>
      <c r="T59" s="931"/>
      <c r="U59" s="931"/>
      <c r="V59" s="931"/>
      <c r="W59" s="932"/>
      <c r="X59" s="881"/>
    </row>
    <row r="60" spans="1:24" ht="12.95" customHeight="1" thickBot="1">
      <c r="A60" s="906" t="s">
        <v>7</v>
      </c>
      <c r="B60" s="908" t="s">
        <v>173</v>
      </c>
      <c r="C60" s="909"/>
      <c r="D60" s="908" t="s">
        <v>8</v>
      </c>
      <c r="E60" s="918"/>
      <c r="F60" s="918"/>
      <c r="G60" s="909"/>
      <c r="H60" s="908" t="s">
        <v>88</v>
      </c>
      <c r="I60" s="918"/>
      <c r="J60" s="918"/>
      <c r="K60" s="909"/>
      <c r="L60" s="908" t="s">
        <v>89</v>
      </c>
      <c r="M60" s="918"/>
      <c r="N60" s="918"/>
      <c r="O60" s="909"/>
      <c r="P60" s="908" t="s">
        <v>9</v>
      </c>
      <c r="Q60" s="918"/>
      <c r="R60" s="918"/>
      <c r="S60" s="909"/>
      <c r="T60" s="908" t="s">
        <v>174</v>
      </c>
      <c r="U60" s="918"/>
      <c r="V60" s="918"/>
      <c r="W60" s="918"/>
      <c r="X60" s="909"/>
    </row>
    <row r="61" spans="1:24" ht="13.5" thickBot="1">
      <c r="A61" s="907"/>
      <c r="B61" s="916">
        <f>SUM(B82+B103+B132+B164+B180)</f>
        <v>0</v>
      </c>
      <c r="C61" s="917"/>
      <c r="D61" s="1274" t="e">
        <f>SUM(D82+D103+D132+D164+D180)</f>
        <v>#VALUE!</v>
      </c>
      <c r="E61" s="994"/>
      <c r="F61" s="994">
        <f>SUM(F82+F103+F132+F164+F180)</f>
        <v>0</v>
      </c>
      <c r="G61" s="917"/>
      <c r="H61" s="1274">
        <f>SUM(H82+H103+H132+H164+H180)</f>
        <v>0</v>
      </c>
      <c r="I61" s="994"/>
      <c r="J61" s="994">
        <f>SUM(J82+J103+J132+J164+J180)</f>
        <v>0</v>
      </c>
      <c r="K61" s="917"/>
      <c r="L61" s="1274">
        <f>SUM(L82+L103+L132+L164+L180)</f>
        <v>0</v>
      </c>
      <c r="M61" s="994"/>
      <c r="N61" s="994">
        <f>SUM(N82+N103+N132+N164+N180)</f>
        <v>0</v>
      </c>
      <c r="O61" s="917"/>
      <c r="P61" s="916" t="e">
        <f>SUM(B61:O61)</f>
        <v>#VALUE!</v>
      </c>
      <c r="Q61" s="994"/>
      <c r="R61" s="994"/>
      <c r="S61" s="917"/>
      <c r="T61" s="916" t="e">
        <f>B61/P61%</f>
        <v>#VALUE!</v>
      </c>
      <c r="U61" s="994"/>
      <c r="V61" s="994"/>
      <c r="W61" s="994"/>
      <c r="X61" s="917"/>
    </row>
    <row r="62" spans="1:24" ht="13.5" thickBot="1">
      <c r="A62" s="906" t="s">
        <v>10</v>
      </c>
      <c r="B62" s="908" t="s">
        <v>175</v>
      </c>
      <c r="C62" s="909"/>
      <c r="D62" s="910"/>
      <c r="E62" s="911"/>
      <c r="F62" s="911"/>
      <c r="G62" s="911"/>
      <c r="H62" s="911"/>
      <c r="I62" s="911"/>
      <c r="J62" s="911"/>
      <c r="K62" s="911"/>
      <c r="L62" s="911"/>
      <c r="M62" s="911"/>
      <c r="N62" s="911"/>
      <c r="O62" s="911"/>
      <c r="P62" s="911"/>
      <c r="Q62" s="911"/>
      <c r="R62" s="911"/>
      <c r="S62" s="911"/>
      <c r="T62" s="911"/>
      <c r="U62" s="911"/>
      <c r="V62" s="911"/>
      <c r="W62" s="911"/>
      <c r="X62" s="912"/>
    </row>
    <row r="63" spans="1:24" ht="13.5" thickBot="1">
      <c r="A63" s="907"/>
      <c r="B63" s="916" t="e">
        <f>SUM(B84+B105+B134+B166+B182)</f>
        <v>#VALUE!</v>
      </c>
      <c r="C63" s="917"/>
      <c r="D63" s="913"/>
      <c r="E63" s="914"/>
      <c r="F63" s="914"/>
      <c r="G63" s="914"/>
      <c r="H63" s="914"/>
      <c r="I63" s="914"/>
      <c r="J63" s="914"/>
      <c r="K63" s="914"/>
      <c r="L63" s="914"/>
      <c r="M63" s="914"/>
      <c r="N63" s="914"/>
      <c r="O63" s="914"/>
      <c r="P63" s="914"/>
      <c r="Q63" s="914"/>
      <c r="R63" s="914"/>
      <c r="S63" s="914"/>
      <c r="T63" s="914"/>
      <c r="U63" s="914"/>
      <c r="V63" s="914"/>
      <c r="W63" s="914"/>
      <c r="X63" s="915"/>
    </row>
    <row r="64" spans="1:24">
      <c r="A64" s="5"/>
      <c r="B64" s="5"/>
      <c r="C64" s="6"/>
      <c r="D64" s="5"/>
      <c r="E64" s="5"/>
      <c r="F64" s="5"/>
      <c r="G64" s="5"/>
      <c r="H64" s="5"/>
      <c r="I64" s="5"/>
      <c r="J64" s="5"/>
      <c r="K64" s="5"/>
      <c r="L64" s="5"/>
      <c r="M64" s="5"/>
      <c r="N64" s="5"/>
      <c r="O64" s="5"/>
      <c r="P64" s="5"/>
      <c r="Q64" s="5"/>
      <c r="R64" s="5"/>
      <c r="S64" s="5"/>
      <c r="T64" s="5"/>
      <c r="U64" s="5"/>
      <c r="V64" s="5"/>
      <c r="W64" s="5"/>
      <c r="X64" s="5"/>
    </row>
    <row r="65" spans="1:24" ht="13.5" thickBot="1">
      <c r="A65" s="21"/>
      <c r="B65" s="21"/>
      <c r="C65" s="22"/>
      <c r="D65" s="21"/>
      <c r="E65" s="21"/>
      <c r="F65" s="21"/>
      <c r="G65" s="21"/>
      <c r="H65" s="21"/>
      <c r="I65" s="21"/>
      <c r="J65" s="21"/>
      <c r="K65" s="21"/>
      <c r="L65" s="21"/>
      <c r="M65" s="21"/>
      <c r="N65" s="21"/>
      <c r="O65" s="21"/>
      <c r="P65" s="21"/>
      <c r="Q65" s="21"/>
      <c r="R65" s="21"/>
      <c r="S65" s="21"/>
      <c r="T65" s="21"/>
      <c r="U65" s="21"/>
      <c r="V65" s="21"/>
      <c r="W65" s="21"/>
      <c r="X65" s="21"/>
    </row>
    <row r="66" spans="1:24" ht="12.95" customHeight="1" thickBot="1">
      <c r="A66" s="95" t="s">
        <v>11</v>
      </c>
      <c r="B66" s="97" t="s">
        <v>16</v>
      </c>
      <c r="C66" s="8"/>
      <c r="D66" s="927" t="s">
        <v>78</v>
      </c>
      <c r="E66" s="928"/>
      <c r="F66" s="928"/>
      <c r="G66" s="929"/>
      <c r="H66" s="927" t="s">
        <v>77</v>
      </c>
      <c r="I66" s="928"/>
      <c r="J66" s="928"/>
      <c r="K66" s="929"/>
      <c r="L66" s="927" t="s">
        <v>81</v>
      </c>
      <c r="M66" s="928"/>
      <c r="N66" s="928"/>
      <c r="O66" s="929"/>
      <c r="P66" s="927" t="s">
        <v>254</v>
      </c>
      <c r="Q66" s="928"/>
      <c r="R66" s="928"/>
      <c r="S66" s="929"/>
      <c r="T66" s="927" t="s">
        <v>76</v>
      </c>
      <c r="U66" s="928"/>
      <c r="V66" s="928"/>
      <c r="W66" s="929"/>
      <c r="X66" s="16" t="s">
        <v>12</v>
      </c>
    </row>
    <row r="67" spans="1:24" ht="12.95" customHeight="1" thickBot="1">
      <c r="A67" s="868" t="s">
        <v>57</v>
      </c>
      <c r="B67" s="868" t="s">
        <v>58</v>
      </c>
      <c r="C67" s="9" t="s">
        <v>2</v>
      </c>
      <c r="D67" s="1014">
        <v>1</v>
      </c>
      <c r="E67" s="1015"/>
      <c r="F67" s="1015"/>
      <c r="G67" s="1016"/>
      <c r="H67" s="1014">
        <v>2</v>
      </c>
      <c r="I67" s="1015"/>
      <c r="J67" s="1015"/>
      <c r="K67" s="1016"/>
      <c r="L67" s="1014">
        <v>2.5</v>
      </c>
      <c r="M67" s="1015"/>
      <c r="N67" s="1015"/>
      <c r="O67" s="1016"/>
      <c r="P67" s="1014">
        <v>3.5</v>
      </c>
      <c r="Q67" s="1015"/>
      <c r="R67" s="1015"/>
      <c r="S67" s="1016"/>
      <c r="T67" s="1283">
        <v>4.5999999999999996</v>
      </c>
      <c r="U67" s="1284"/>
      <c r="V67" s="1284"/>
      <c r="W67" s="1285"/>
      <c r="X67" s="879" t="s">
        <v>97</v>
      </c>
    </row>
    <row r="68" spans="1:24" ht="13.5" thickBot="1">
      <c r="A68" s="885"/>
      <c r="B68" s="885"/>
      <c r="C68" s="10" t="s">
        <v>3</v>
      </c>
      <c r="D68" s="957"/>
      <c r="E68" s="958"/>
      <c r="F68" s="958"/>
      <c r="G68" s="959"/>
      <c r="H68" s="963">
        <v>2</v>
      </c>
      <c r="I68" s="964"/>
      <c r="J68" s="964"/>
      <c r="K68" s="965"/>
      <c r="L68" s="963">
        <v>2.7</v>
      </c>
      <c r="M68" s="964"/>
      <c r="N68" s="964"/>
      <c r="O68" s="965"/>
      <c r="P68" s="963">
        <v>3.8</v>
      </c>
      <c r="Q68" s="964"/>
      <c r="R68" s="964"/>
      <c r="S68" s="965"/>
      <c r="T68" s="963">
        <v>0</v>
      </c>
      <c r="U68" s="964"/>
      <c r="V68" s="964"/>
      <c r="W68" s="965"/>
      <c r="X68" s="880"/>
    </row>
    <row r="69" spans="1:24" ht="12.95" customHeight="1" thickBot="1">
      <c r="A69" s="885"/>
      <c r="B69" s="885"/>
      <c r="C69" s="1258" t="s">
        <v>170</v>
      </c>
      <c r="D69" s="927" t="s">
        <v>4</v>
      </c>
      <c r="E69" s="928"/>
      <c r="F69" s="928"/>
      <c r="G69" s="928"/>
      <c r="H69" s="928"/>
      <c r="I69" s="928"/>
      <c r="J69" s="928"/>
      <c r="K69" s="928"/>
      <c r="L69" s="928"/>
      <c r="M69" s="928"/>
      <c r="N69" s="928"/>
      <c r="O69" s="928"/>
      <c r="P69" s="928"/>
      <c r="Q69" s="928"/>
      <c r="R69" s="928"/>
      <c r="S69" s="928"/>
      <c r="T69" s="928"/>
      <c r="U69" s="928"/>
      <c r="V69" s="928"/>
      <c r="W69" s="929"/>
      <c r="X69" s="880"/>
    </row>
    <row r="70" spans="1:24" ht="12.95" customHeight="1" thickBot="1">
      <c r="A70" s="885"/>
      <c r="B70" s="869"/>
      <c r="C70" s="1259"/>
      <c r="D70" s="930" t="s">
        <v>272</v>
      </c>
      <c r="E70" s="931"/>
      <c r="F70" s="931"/>
      <c r="G70" s="931"/>
      <c r="H70" s="931"/>
      <c r="I70" s="931"/>
      <c r="J70" s="931"/>
      <c r="K70" s="931"/>
      <c r="L70" s="931"/>
      <c r="M70" s="931"/>
      <c r="N70" s="931"/>
      <c r="O70" s="931"/>
      <c r="P70" s="931"/>
      <c r="Q70" s="931"/>
      <c r="R70" s="931"/>
      <c r="S70" s="931"/>
      <c r="T70" s="931"/>
      <c r="U70" s="931"/>
      <c r="V70" s="931"/>
      <c r="W70" s="932"/>
      <c r="X70" s="880"/>
    </row>
    <row r="71" spans="1:24" ht="12.95" customHeight="1" thickBot="1">
      <c r="A71" s="885"/>
      <c r="B71" s="11" t="s">
        <v>17</v>
      </c>
      <c r="C71" s="12"/>
      <c r="D71" s="927" t="s">
        <v>78</v>
      </c>
      <c r="E71" s="928"/>
      <c r="F71" s="928"/>
      <c r="G71" s="929"/>
      <c r="H71" s="927" t="s">
        <v>77</v>
      </c>
      <c r="I71" s="928"/>
      <c r="J71" s="928"/>
      <c r="K71" s="929"/>
      <c r="L71" s="927" t="s">
        <v>81</v>
      </c>
      <c r="M71" s="928"/>
      <c r="N71" s="928"/>
      <c r="O71" s="929"/>
      <c r="P71" s="927" t="s">
        <v>254</v>
      </c>
      <c r="Q71" s="928"/>
      <c r="R71" s="928"/>
      <c r="S71" s="929"/>
      <c r="T71" s="927" t="s">
        <v>76</v>
      </c>
      <c r="U71" s="928"/>
      <c r="V71" s="928"/>
      <c r="W71" s="929"/>
      <c r="X71" s="880"/>
    </row>
    <row r="72" spans="1:24" ht="13.5" thickBot="1">
      <c r="A72" s="885"/>
      <c r="B72" s="868" t="s">
        <v>59</v>
      </c>
      <c r="C72" s="23" t="s">
        <v>2</v>
      </c>
      <c r="D72" s="1014">
        <v>1</v>
      </c>
      <c r="E72" s="1015"/>
      <c r="F72" s="1015"/>
      <c r="G72" s="1016"/>
      <c r="H72" s="1014">
        <v>1.5</v>
      </c>
      <c r="I72" s="1015"/>
      <c r="J72" s="1015"/>
      <c r="K72" s="1016"/>
      <c r="L72" s="1014">
        <v>2.5</v>
      </c>
      <c r="M72" s="1015"/>
      <c r="N72" s="1015"/>
      <c r="O72" s="1016"/>
      <c r="P72" s="1014">
        <v>3.5</v>
      </c>
      <c r="Q72" s="1015"/>
      <c r="R72" s="1015"/>
      <c r="S72" s="1016"/>
      <c r="T72" s="1283">
        <v>4.4000000000000004</v>
      </c>
      <c r="U72" s="1284"/>
      <c r="V72" s="1284"/>
      <c r="W72" s="1285"/>
      <c r="X72" s="880"/>
    </row>
    <row r="73" spans="1:24" ht="13.5" thickBot="1">
      <c r="A73" s="885"/>
      <c r="B73" s="885"/>
      <c r="C73" s="9" t="s">
        <v>3</v>
      </c>
      <c r="D73" s="957"/>
      <c r="E73" s="958"/>
      <c r="F73" s="958"/>
      <c r="G73" s="959"/>
      <c r="H73" s="963">
        <v>3</v>
      </c>
      <c r="I73" s="964"/>
      <c r="J73" s="964"/>
      <c r="K73" s="965"/>
      <c r="L73" s="963">
        <v>2.7</v>
      </c>
      <c r="M73" s="964"/>
      <c r="N73" s="964"/>
      <c r="O73" s="965"/>
      <c r="P73" s="963">
        <v>4.0999999999999996</v>
      </c>
      <c r="Q73" s="964"/>
      <c r="R73" s="964"/>
      <c r="S73" s="965"/>
      <c r="T73" s="963">
        <v>0</v>
      </c>
      <c r="U73" s="964"/>
      <c r="V73" s="964"/>
      <c r="W73" s="965"/>
      <c r="X73" s="880"/>
    </row>
    <row r="74" spans="1:24" ht="12.95" customHeight="1" thickBot="1">
      <c r="A74" s="885"/>
      <c r="B74" s="885"/>
      <c r="C74" s="1258" t="s">
        <v>170</v>
      </c>
      <c r="D74" s="927" t="s">
        <v>4</v>
      </c>
      <c r="E74" s="928"/>
      <c r="F74" s="928"/>
      <c r="G74" s="928"/>
      <c r="H74" s="928"/>
      <c r="I74" s="928"/>
      <c r="J74" s="928"/>
      <c r="K74" s="928"/>
      <c r="L74" s="928"/>
      <c r="M74" s="928"/>
      <c r="N74" s="928"/>
      <c r="O74" s="928"/>
      <c r="P74" s="928"/>
      <c r="Q74" s="928"/>
      <c r="R74" s="928"/>
      <c r="S74" s="928"/>
      <c r="T74" s="928"/>
      <c r="U74" s="928"/>
      <c r="V74" s="928"/>
      <c r="W74" s="929"/>
      <c r="X74" s="880"/>
    </row>
    <row r="75" spans="1:24" ht="12.95" customHeight="1" thickBot="1">
      <c r="A75" s="885"/>
      <c r="B75" s="869"/>
      <c r="C75" s="1259"/>
      <c r="D75" s="930" t="s">
        <v>118</v>
      </c>
      <c r="E75" s="931"/>
      <c r="F75" s="931"/>
      <c r="G75" s="931"/>
      <c r="H75" s="931"/>
      <c r="I75" s="931"/>
      <c r="J75" s="931"/>
      <c r="K75" s="931"/>
      <c r="L75" s="931"/>
      <c r="M75" s="931"/>
      <c r="N75" s="931"/>
      <c r="O75" s="931"/>
      <c r="P75" s="931"/>
      <c r="Q75" s="931"/>
      <c r="R75" s="931"/>
      <c r="S75" s="931"/>
      <c r="T75" s="931"/>
      <c r="U75" s="931"/>
      <c r="V75" s="931"/>
      <c r="W75" s="932"/>
      <c r="X75" s="880"/>
    </row>
    <row r="76" spans="1:24" ht="12.95" customHeight="1" thickBot="1">
      <c r="A76" s="885"/>
      <c r="B76" s="11" t="s">
        <v>18</v>
      </c>
      <c r="C76" s="12"/>
      <c r="D76" s="927" t="s">
        <v>78</v>
      </c>
      <c r="E76" s="928"/>
      <c r="F76" s="928"/>
      <c r="G76" s="929"/>
      <c r="H76" s="927" t="s">
        <v>77</v>
      </c>
      <c r="I76" s="928"/>
      <c r="J76" s="928"/>
      <c r="K76" s="929"/>
      <c r="L76" s="927" t="s">
        <v>81</v>
      </c>
      <c r="M76" s="928"/>
      <c r="N76" s="928"/>
      <c r="O76" s="929"/>
      <c r="P76" s="927" t="s">
        <v>254</v>
      </c>
      <c r="Q76" s="928"/>
      <c r="R76" s="928"/>
      <c r="S76" s="929"/>
      <c r="T76" s="927" t="s">
        <v>76</v>
      </c>
      <c r="U76" s="928"/>
      <c r="V76" s="928"/>
      <c r="W76" s="929"/>
      <c r="X76" s="880"/>
    </row>
    <row r="77" spans="1:24" ht="13.5" thickBot="1">
      <c r="A77" s="885"/>
      <c r="B77" s="868" t="s">
        <v>60</v>
      </c>
      <c r="C77" s="23" t="s">
        <v>2</v>
      </c>
      <c r="D77" s="1006">
        <v>0</v>
      </c>
      <c r="E77" s="1289"/>
      <c r="F77" s="1289"/>
      <c r="G77" s="1007"/>
      <c r="H77" s="1006">
        <v>5</v>
      </c>
      <c r="I77" s="1289"/>
      <c r="J77" s="1289"/>
      <c r="K77" s="1007"/>
      <c r="L77" s="1006">
        <v>7</v>
      </c>
      <c r="M77" s="1289"/>
      <c r="N77" s="1289"/>
      <c r="O77" s="1007"/>
      <c r="P77" s="1006">
        <v>4</v>
      </c>
      <c r="Q77" s="1289"/>
      <c r="R77" s="1289"/>
      <c r="S77" s="1007"/>
      <c r="T77" s="1281">
        <v>8</v>
      </c>
      <c r="U77" s="1288"/>
      <c r="V77" s="1288"/>
      <c r="W77" s="1282"/>
      <c r="X77" s="880"/>
    </row>
    <row r="78" spans="1:24" ht="12.95" customHeight="1" thickBot="1">
      <c r="A78" s="869"/>
      <c r="B78" s="885"/>
      <c r="C78" s="9" t="s">
        <v>3</v>
      </c>
      <c r="D78" s="933" t="s">
        <v>172</v>
      </c>
      <c r="E78" s="934"/>
      <c r="F78" s="934"/>
      <c r="G78" s="935"/>
      <c r="H78" s="936" t="s">
        <v>249</v>
      </c>
      <c r="I78" s="937"/>
      <c r="J78" s="937"/>
      <c r="K78" s="938"/>
      <c r="L78" s="939">
        <v>2</v>
      </c>
      <c r="M78" s="970"/>
      <c r="N78" s="970"/>
      <c r="O78" s="953"/>
      <c r="P78" s="939">
        <v>7</v>
      </c>
      <c r="Q78" s="970"/>
      <c r="R78" s="970"/>
      <c r="S78" s="953"/>
      <c r="T78" s="939">
        <v>0</v>
      </c>
      <c r="U78" s="970"/>
      <c r="V78" s="970"/>
      <c r="W78" s="953"/>
      <c r="X78" s="881"/>
    </row>
    <row r="79" spans="1:24" ht="12.95" customHeight="1" thickBot="1">
      <c r="A79" s="96" t="s">
        <v>13</v>
      </c>
      <c r="B79" s="885"/>
      <c r="C79" s="1258" t="s">
        <v>170</v>
      </c>
      <c r="D79" s="927" t="s">
        <v>4</v>
      </c>
      <c r="E79" s="928"/>
      <c r="F79" s="928"/>
      <c r="G79" s="928"/>
      <c r="H79" s="928"/>
      <c r="I79" s="928"/>
      <c r="J79" s="928"/>
      <c r="K79" s="928"/>
      <c r="L79" s="928"/>
      <c r="M79" s="928"/>
      <c r="N79" s="928"/>
      <c r="O79" s="928"/>
      <c r="P79" s="928"/>
      <c r="Q79" s="928"/>
      <c r="R79" s="928"/>
      <c r="S79" s="928"/>
      <c r="T79" s="928"/>
      <c r="U79" s="928"/>
      <c r="V79" s="928"/>
      <c r="W79" s="929"/>
      <c r="X79" s="24" t="s">
        <v>14</v>
      </c>
    </row>
    <row r="80" spans="1:24" ht="12.95" customHeight="1" thickBot="1">
      <c r="A80" s="25" t="s">
        <v>75</v>
      </c>
      <c r="B80" s="869"/>
      <c r="C80" s="1259"/>
      <c r="D80" s="930" t="s">
        <v>119</v>
      </c>
      <c r="E80" s="931"/>
      <c r="F80" s="931"/>
      <c r="G80" s="931"/>
      <c r="H80" s="931"/>
      <c r="I80" s="931"/>
      <c r="J80" s="931"/>
      <c r="K80" s="931"/>
      <c r="L80" s="931"/>
      <c r="M80" s="931"/>
      <c r="N80" s="931"/>
      <c r="O80" s="931"/>
      <c r="P80" s="931"/>
      <c r="Q80" s="931"/>
      <c r="R80" s="931"/>
      <c r="S80" s="931"/>
      <c r="T80" s="931"/>
      <c r="U80" s="931"/>
      <c r="V80" s="931"/>
      <c r="W80" s="932"/>
      <c r="X80" s="18" t="s">
        <v>92</v>
      </c>
    </row>
    <row r="81" spans="1:24" ht="12.95" customHeight="1" thickBot="1">
      <c r="A81" s="906" t="s">
        <v>7</v>
      </c>
      <c r="B81" s="908" t="s">
        <v>173</v>
      </c>
      <c r="C81" s="909"/>
      <c r="D81" s="908" t="s">
        <v>8</v>
      </c>
      <c r="E81" s="918"/>
      <c r="F81" s="918"/>
      <c r="G81" s="909"/>
      <c r="H81" s="908" t="s">
        <v>88</v>
      </c>
      <c r="I81" s="918"/>
      <c r="J81" s="918"/>
      <c r="K81" s="909"/>
      <c r="L81" s="908" t="s">
        <v>89</v>
      </c>
      <c r="M81" s="918"/>
      <c r="N81" s="918"/>
      <c r="O81" s="909"/>
      <c r="P81" s="908" t="s">
        <v>9</v>
      </c>
      <c r="Q81" s="918"/>
      <c r="R81" s="918"/>
      <c r="S81" s="909"/>
      <c r="T81" s="908" t="s">
        <v>174</v>
      </c>
      <c r="U81" s="918"/>
      <c r="V81" s="918"/>
      <c r="W81" s="918"/>
      <c r="X81" s="909"/>
    </row>
    <row r="82" spans="1:24" ht="13.5" thickBot="1">
      <c r="A82" s="907"/>
      <c r="B82" s="1256"/>
      <c r="C82" s="1257"/>
      <c r="D82" s="916"/>
      <c r="E82" s="994"/>
      <c r="F82" s="994"/>
      <c r="G82" s="917"/>
      <c r="H82" s="916"/>
      <c r="I82" s="994"/>
      <c r="J82" s="994"/>
      <c r="K82" s="917"/>
      <c r="L82" s="916"/>
      <c r="M82" s="994"/>
      <c r="N82" s="994"/>
      <c r="O82" s="917"/>
      <c r="P82" s="916">
        <f>SUM(B82:O82)</f>
        <v>0</v>
      </c>
      <c r="Q82" s="994"/>
      <c r="R82" s="994"/>
      <c r="S82" s="917"/>
      <c r="T82" s="916" t="e">
        <f>B82/P82%</f>
        <v>#DIV/0!</v>
      </c>
      <c r="U82" s="994"/>
      <c r="V82" s="994"/>
      <c r="W82" s="994"/>
      <c r="X82" s="917"/>
    </row>
    <row r="83" spans="1:24" ht="13.5" thickBot="1">
      <c r="A83" s="906" t="s">
        <v>10</v>
      </c>
      <c r="B83" s="908" t="s">
        <v>175</v>
      </c>
      <c r="C83" s="909"/>
      <c r="D83" s="910"/>
      <c r="E83" s="911"/>
      <c r="F83" s="911"/>
      <c r="G83" s="911"/>
      <c r="H83" s="911"/>
      <c r="I83" s="911"/>
      <c r="J83" s="911"/>
      <c r="K83" s="911"/>
      <c r="L83" s="911"/>
      <c r="M83" s="911"/>
      <c r="N83" s="911"/>
      <c r="O83" s="911"/>
      <c r="P83" s="911"/>
      <c r="Q83" s="911"/>
      <c r="R83" s="911"/>
      <c r="S83" s="911"/>
      <c r="T83" s="911"/>
      <c r="U83" s="911"/>
      <c r="V83" s="911"/>
      <c r="W83" s="911"/>
      <c r="X83" s="912"/>
    </row>
    <row r="84" spans="1:24" ht="13.5" thickBot="1">
      <c r="A84" s="907"/>
      <c r="B84" s="1256"/>
      <c r="C84" s="1257"/>
      <c r="D84" s="913"/>
      <c r="E84" s="914"/>
      <c r="F84" s="914"/>
      <c r="G84" s="914"/>
      <c r="H84" s="914"/>
      <c r="I84" s="914"/>
      <c r="J84" s="914"/>
      <c r="K84" s="914"/>
      <c r="L84" s="914"/>
      <c r="M84" s="914"/>
      <c r="N84" s="914"/>
      <c r="O84" s="914"/>
      <c r="P84" s="914"/>
      <c r="Q84" s="914"/>
      <c r="R84" s="914"/>
      <c r="S84" s="914"/>
      <c r="T84" s="914"/>
      <c r="U84" s="914"/>
      <c r="V84" s="914"/>
      <c r="W84" s="914"/>
      <c r="X84" s="915"/>
    </row>
    <row r="85" spans="1:24">
      <c r="A85" s="5"/>
      <c r="B85" s="5"/>
      <c r="C85" s="6"/>
      <c r="D85" s="5"/>
      <c r="E85" s="5"/>
      <c r="F85" s="5"/>
      <c r="G85" s="5"/>
      <c r="H85" s="5"/>
      <c r="I85" s="5"/>
      <c r="J85" s="5"/>
      <c r="K85" s="5"/>
      <c r="L85" s="5"/>
      <c r="M85" s="5"/>
      <c r="N85" s="5"/>
      <c r="O85" s="5"/>
      <c r="P85" s="5"/>
      <c r="Q85" s="5"/>
      <c r="R85" s="5"/>
      <c r="S85" s="5"/>
      <c r="T85" s="5"/>
      <c r="U85" s="5"/>
      <c r="V85" s="5"/>
      <c r="W85" s="5"/>
      <c r="X85" s="5"/>
    </row>
    <row r="86" spans="1:24" ht="13.5" thickBot="1">
      <c r="A86" s="5"/>
      <c r="B86" s="5"/>
      <c r="C86" s="6"/>
      <c r="D86" s="5"/>
      <c r="E86" s="5"/>
      <c r="F86" s="5"/>
      <c r="G86" s="5"/>
      <c r="H86" s="5"/>
      <c r="I86" s="5"/>
      <c r="J86" s="5"/>
      <c r="K86" s="5"/>
      <c r="L86" s="5"/>
      <c r="M86" s="5"/>
      <c r="N86" s="5"/>
      <c r="O86" s="5"/>
      <c r="P86" s="5"/>
      <c r="Q86" s="5"/>
      <c r="R86" s="5"/>
      <c r="S86" s="5"/>
      <c r="T86" s="5"/>
      <c r="U86" s="5"/>
      <c r="V86" s="5"/>
      <c r="W86" s="5"/>
      <c r="X86" s="5"/>
    </row>
    <row r="87" spans="1:24" ht="12.95" customHeight="1" thickBot="1">
      <c r="A87" s="95" t="s">
        <v>15</v>
      </c>
      <c r="B87" s="97" t="s">
        <v>19</v>
      </c>
      <c r="C87" s="8"/>
      <c r="D87" s="927" t="s">
        <v>78</v>
      </c>
      <c r="E87" s="928"/>
      <c r="F87" s="928"/>
      <c r="G87" s="929"/>
      <c r="H87" s="927" t="s">
        <v>77</v>
      </c>
      <c r="I87" s="928"/>
      <c r="J87" s="928"/>
      <c r="K87" s="929"/>
      <c r="L87" s="927" t="s">
        <v>81</v>
      </c>
      <c r="M87" s="928"/>
      <c r="N87" s="928"/>
      <c r="O87" s="929"/>
      <c r="P87" s="927" t="s">
        <v>254</v>
      </c>
      <c r="Q87" s="928"/>
      <c r="R87" s="928"/>
      <c r="S87" s="929"/>
      <c r="T87" s="927" t="s">
        <v>76</v>
      </c>
      <c r="U87" s="928"/>
      <c r="V87" s="928"/>
      <c r="W87" s="929"/>
      <c r="X87" s="16" t="s">
        <v>6</v>
      </c>
    </row>
    <row r="88" spans="1:24" ht="12.95" customHeight="1" thickBot="1">
      <c r="A88" s="868" t="s">
        <v>61</v>
      </c>
      <c r="B88" s="868" t="s">
        <v>62</v>
      </c>
      <c r="C88" s="9" t="s">
        <v>2</v>
      </c>
      <c r="D88" s="1014">
        <v>1</v>
      </c>
      <c r="E88" s="1015"/>
      <c r="F88" s="1015"/>
      <c r="G88" s="1016"/>
      <c r="H88" s="1014">
        <v>1.5</v>
      </c>
      <c r="I88" s="1015"/>
      <c r="J88" s="1015"/>
      <c r="K88" s="1016"/>
      <c r="L88" s="1014">
        <v>2.5</v>
      </c>
      <c r="M88" s="1015"/>
      <c r="N88" s="1015"/>
      <c r="O88" s="1016"/>
      <c r="P88" s="1014">
        <v>3.5</v>
      </c>
      <c r="Q88" s="1015"/>
      <c r="R88" s="1015"/>
      <c r="S88" s="1016"/>
      <c r="T88" s="1283">
        <v>4.5999999999999996</v>
      </c>
      <c r="U88" s="1284"/>
      <c r="V88" s="1284"/>
      <c r="W88" s="1285"/>
      <c r="X88" s="879" t="s">
        <v>94</v>
      </c>
    </row>
    <row r="89" spans="1:24" ht="13.5" thickBot="1">
      <c r="A89" s="885"/>
      <c r="B89" s="885"/>
      <c r="C89" s="99" t="s">
        <v>3</v>
      </c>
      <c r="D89" s="957"/>
      <c r="E89" s="958"/>
      <c r="F89" s="958"/>
      <c r="G89" s="959"/>
      <c r="H89" s="963">
        <v>2</v>
      </c>
      <c r="I89" s="964"/>
      <c r="J89" s="964"/>
      <c r="K89" s="965"/>
      <c r="L89" s="963">
        <v>2.8</v>
      </c>
      <c r="M89" s="964"/>
      <c r="N89" s="964"/>
      <c r="O89" s="965"/>
      <c r="P89" s="963">
        <v>4.0999999999999996</v>
      </c>
      <c r="Q89" s="964"/>
      <c r="R89" s="964"/>
      <c r="S89" s="965"/>
      <c r="T89" s="963">
        <v>0</v>
      </c>
      <c r="U89" s="964"/>
      <c r="V89" s="964"/>
      <c r="W89" s="965"/>
      <c r="X89" s="880"/>
    </row>
    <row r="90" spans="1:24" ht="12.95" customHeight="1" thickBot="1">
      <c r="A90" s="885"/>
      <c r="B90" s="885"/>
      <c r="C90" s="1258" t="s">
        <v>170</v>
      </c>
      <c r="D90" s="927" t="s">
        <v>4</v>
      </c>
      <c r="E90" s="928"/>
      <c r="F90" s="928"/>
      <c r="G90" s="928"/>
      <c r="H90" s="928"/>
      <c r="I90" s="928"/>
      <c r="J90" s="928"/>
      <c r="K90" s="928"/>
      <c r="L90" s="928"/>
      <c r="M90" s="928"/>
      <c r="N90" s="928"/>
      <c r="O90" s="928"/>
      <c r="P90" s="928"/>
      <c r="Q90" s="928"/>
      <c r="R90" s="928"/>
      <c r="S90" s="928"/>
      <c r="T90" s="928"/>
      <c r="U90" s="928"/>
      <c r="V90" s="928"/>
      <c r="W90" s="929"/>
      <c r="X90" s="880"/>
    </row>
    <row r="91" spans="1:24" ht="12.95" customHeight="1" thickBot="1">
      <c r="A91" s="885"/>
      <c r="B91" s="869"/>
      <c r="C91" s="1259"/>
      <c r="D91" s="930" t="s">
        <v>272</v>
      </c>
      <c r="E91" s="931"/>
      <c r="F91" s="931"/>
      <c r="G91" s="931"/>
      <c r="H91" s="931"/>
      <c r="I91" s="931"/>
      <c r="J91" s="931"/>
      <c r="K91" s="931"/>
      <c r="L91" s="931"/>
      <c r="M91" s="931"/>
      <c r="N91" s="931"/>
      <c r="O91" s="931"/>
      <c r="P91" s="931"/>
      <c r="Q91" s="931"/>
      <c r="R91" s="931"/>
      <c r="S91" s="931"/>
      <c r="T91" s="931"/>
      <c r="U91" s="931"/>
      <c r="V91" s="931"/>
      <c r="W91" s="932"/>
      <c r="X91" s="880"/>
    </row>
    <row r="92" spans="1:24" ht="12.95" customHeight="1" thickBot="1">
      <c r="A92" s="885"/>
      <c r="B92" s="11" t="s">
        <v>20</v>
      </c>
      <c r="C92" s="12"/>
      <c r="D92" s="927" t="s">
        <v>78</v>
      </c>
      <c r="E92" s="928"/>
      <c r="F92" s="928"/>
      <c r="G92" s="929"/>
      <c r="H92" s="927" t="s">
        <v>77</v>
      </c>
      <c r="I92" s="928"/>
      <c r="J92" s="928"/>
      <c r="K92" s="929"/>
      <c r="L92" s="927" t="s">
        <v>81</v>
      </c>
      <c r="M92" s="928"/>
      <c r="N92" s="928"/>
      <c r="O92" s="929"/>
      <c r="P92" s="927" t="s">
        <v>254</v>
      </c>
      <c r="Q92" s="928"/>
      <c r="R92" s="928"/>
      <c r="S92" s="929"/>
      <c r="T92" s="927" t="s">
        <v>76</v>
      </c>
      <c r="U92" s="928"/>
      <c r="V92" s="928"/>
      <c r="W92" s="929"/>
      <c r="X92" s="880"/>
    </row>
    <row r="93" spans="1:24" ht="13.5" thickBot="1">
      <c r="A93" s="885"/>
      <c r="B93" s="868" t="s">
        <v>59</v>
      </c>
      <c r="C93" s="23" t="s">
        <v>2</v>
      </c>
      <c r="D93" s="1014">
        <v>1</v>
      </c>
      <c r="E93" s="1015"/>
      <c r="F93" s="1015"/>
      <c r="G93" s="1016"/>
      <c r="H93" s="1014">
        <v>1.5</v>
      </c>
      <c r="I93" s="1015"/>
      <c r="J93" s="1015"/>
      <c r="K93" s="1016"/>
      <c r="L93" s="1014">
        <v>2.5</v>
      </c>
      <c r="M93" s="1015"/>
      <c r="N93" s="1015"/>
      <c r="O93" s="1016"/>
      <c r="P93" s="1014">
        <v>3.5</v>
      </c>
      <c r="Q93" s="1015"/>
      <c r="R93" s="1015"/>
      <c r="S93" s="1016"/>
      <c r="T93" s="1283">
        <v>4.2</v>
      </c>
      <c r="U93" s="1284"/>
      <c r="V93" s="1284"/>
      <c r="W93" s="1285"/>
      <c r="X93" s="880"/>
    </row>
    <row r="94" spans="1:24" ht="13.5" thickBot="1">
      <c r="A94" s="885"/>
      <c r="B94" s="885"/>
      <c r="C94" s="9" t="s">
        <v>3</v>
      </c>
      <c r="D94" s="957"/>
      <c r="E94" s="958"/>
      <c r="F94" s="958"/>
      <c r="G94" s="959"/>
      <c r="H94" s="963">
        <v>1.5</v>
      </c>
      <c r="I94" s="964"/>
      <c r="J94" s="964"/>
      <c r="K94" s="965"/>
      <c r="L94" s="963">
        <v>3.2</v>
      </c>
      <c r="M94" s="964"/>
      <c r="N94" s="964"/>
      <c r="O94" s="965"/>
      <c r="P94" s="963">
        <v>3.8</v>
      </c>
      <c r="Q94" s="964"/>
      <c r="R94" s="964"/>
      <c r="S94" s="965"/>
      <c r="T94" s="963">
        <v>0</v>
      </c>
      <c r="U94" s="964"/>
      <c r="V94" s="964"/>
      <c r="W94" s="965"/>
      <c r="X94" s="880"/>
    </row>
    <row r="95" spans="1:24" ht="12.95" customHeight="1" thickBot="1">
      <c r="A95" s="885"/>
      <c r="B95" s="885"/>
      <c r="C95" s="1258" t="s">
        <v>170</v>
      </c>
      <c r="D95" s="927" t="s">
        <v>4</v>
      </c>
      <c r="E95" s="928"/>
      <c r="F95" s="928"/>
      <c r="G95" s="928"/>
      <c r="H95" s="928"/>
      <c r="I95" s="928"/>
      <c r="J95" s="928"/>
      <c r="K95" s="928"/>
      <c r="L95" s="928"/>
      <c r="M95" s="928"/>
      <c r="N95" s="928"/>
      <c r="O95" s="928"/>
      <c r="P95" s="928"/>
      <c r="Q95" s="928"/>
      <c r="R95" s="928"/>
      <c r="S95" s="928"/>
      <c r="T95" s="928"/>
      <c r="U95" s="928"/>
      <c r="V95" s="928"/>
      <c r="W95" s="929"/>
      <c r="X95" s="880"/>
    </row>
    <row r="96" spans="1:24" ht="12.95" customHeight="1" thickBot="1">
      <c r="A96" s="885"/>
      <c r="B96" s="869"/>
      <c r="C96" s="1259"/>
      <c r="D96" s="930" t="s">
        <v>118</v>
      </c>
      <c r="E96" s="931"/>
      <c r="F96" s="931"/>
      <c r="G96" s="931"/>
      <c r="H96" s="931"/>
      <c r="I96" s="931"/>
      <c r="J96" s="931"/>
      <c r="K96" s="931"/>
      <c r="L96" s="931"/>
      <c r="M96" s="931"/>
      <c r="N96" s="931"/>
      <c r="O96" s="931"/>
      <c r="P96" s="931"/>
      <c r="Q96" s="931"/>
      <c r="R96" s="931"/>
      <c r="S96" s="931"/>
      <c r="T96" s="931"/>
      <c r="U96" s="931"/>
      <c r="V96" s="931"/>
      <c r="W96" s="932"/>
      <c r="X96" s="880"/>
    </row>
    <row r="97" spans="1:24" ht="12.95" customHeight="1" thickBot="1">
      <c r="A97" s="885"/>
      <c r="B97" s="11" t="s">
        <v>21</v>
      </c>
      <c r="C97" s="12"/>
      <c r="D97" s="927" t="s">
        <v>78</v>
      </c>
      <c r="E97" s="928"/>
      <c r="F97" s="928"/>
      <c r="G97" s="929"/>
      <c r="H97" s="927" t="s">
        <v>77</v>
      </c>
      <c r="I97" s="928"/>
      <c r="J97" s="928"/>
      <c r="K97" s="929"/>
      <c r="L97" s="927" t="s">
        <v>81</v>
      </c>
      <c r="M97" s="928"/>
      <c r="N97" s="928"/>
      <c r="O97" s="929"/>
      <c r="P97" s="927" t="s">
        <v>254</v>
      </c>
      <c r="Q97" s="928"/>
      <c r="R97" s="928"/>
      <c r="S97" s="929"/>
      <c r="T97" s="927" t="s">
        <v>76</v>
      </c>
      <c r="U97" s="928"/>
      <c r="V97" s="928"/>
      <c r="W97" s="929"/>
      <c r="X97" s="880"/>
    </row>
    <row r="98" spans="1:24" ht="13.5" thickBot="1">
      <c r="A98" s="885"/>
      <c r="B98" s="868" t="s">
        <v>63</v>
      </c>
      <c r="C98" s="26" t="s">
        <v>2</v>
      </c>
      <c r="D98" s="1006">
        <v>0</v>
      </c>
      <c r="E98" s="1289"/>
      <c r="F98" s="1289"/>
      <c r="G98" s="1007"/>
      <c r="H98" s="1006">
        <v>2</v>
      </c>
      <c r="I98" s="1289"/>
      <c r="J98" s="1289"/>
      <c r="K98" s="1007"/>
      <c r="L98" s="1006">
        <v>4</v>
      </c>
      <c r="M98" s="1289"/>
      <c r="N98" s="1289"/>
      <c r="O98" s="1007"/>
      <c r="P98" s="1006">
        <v>6</v>
      </c>
      <c r="Q98" s="1289"/>
      <c r="R98" s="1289"/>
      <c r="S98" s="1007"/>
      <c r="T98" s="1281">
        <v>9</v>
      </c>
      <c r="U98" s="1288"/>
      <c r="V98" s="1288"/>
      <c r="W98" s="1282"/>
      <c r="X98" s="880"/>
    </row>
    <row r="99" spans="1:24" ht="12.95" customHeight="1" thickBot="1">
      <c r="A99" s="869"/>
      <c r="B99" s="885"/>
      <c r="C99" s="9" t="s">
        <v>3</v>
      </c>
      <c r="D99" s="933" t="s">
        <v>172</v>
      </c>
      <c r="E99" s="934"/>
      <c r="F99" s="934"/>
      <c r="G99" s="935"/>
      <c r="H99" s="936" t="s">
        <v>249</v>
      </c>
      <c r="I99" s="937"/>
      <c r="J99" s="937"/>
      <c r="K99" s="938"/>
      <c r="L99" s="939">
        <v>2</v>
      </c>
      <c r="M99" s="970"/>
      <c r="N99" s="970"/>
      <c r="O99" s="953"/>
      <c r="P99" s="939">
        <v>6</v>
      </c>
      <c r="Q99" s="970"/>
      <c r="R99" s="970"/>
      <c r="S99" s="953"/>
      <c r="T99" s="939">
        <v>0</v>
      </c>
      <c r="U99" s="970"/>
      <c r="V99" s="970"/>
      <c r="W99" s="953"/>
      <c r="X99" s="881"/>
    </row>
    <row r="100" spans="1:24" ht="12.95" customHeight="1" thickBot="1">
      <c r="A100" s="96" t="s">
        <v>13</v>
      </c>
      <c r="B100" s="885"/>
      <c r="C100" s="1258" t="s">
        <v>170</v>
      </c>
      <c r="D100" s="927" t="s">
        <v>4</v>
      </c>
      <c r="E100" s="928"/>
      <c r="F100" s="928"/>
      <c r="G100" s="928"/>
      <c r="H100" s="928"/>
      <c r="I100" s="928"/>
      <c r="J100" s="928"/>
      <c r="K100" s="928"/>
      <c r="L100" s="928"/>
      <c r="M100" s="928"/>
      <c r="N100" s="928"/>
      <c r="O100" s="928"/>
      <c r="P100" s="928"/>
      <c r="Q100" s="928"/>
      <c r="R100" s="928"/>
      <c r="S100" s="928"/>
      <c r="T100" s="928"/>
      <c r="U100" s="928"/>
      <c r="V100" s="928"/>
      <c r="W100" s="929"/>
      <c r="X100" s="24" t="s">
        <v>14</v>
      </c>
    </row>
    <row r="101" spans="1:24" ht="12.95" customHeight="1" thickBot="1">
      <c r="A101" s="25" t="s">
        <v>75</v>
      </c>
      <c r="B101" s="869"/>
      <c r="C101" s="1259"/>
      <c r="D101" s="930" t="s">
        <v>119</v>
      </c>
      <c r="E101" s="931"/>
      <c r="F101" s="931"/>
      <c r="G101" s="931"/>
      <c r="H101" s="931"/>
      <c r="I101" s="931"/>
      <c r="J101" s="931"/>
      <c r="K101" s="931"/>
      <c r="L101" s="931"/>
      <c r="M101" s="931"/>
      <c r="N101" s="931"/>
      <c r="O101" s="931"/>
      <c r="P101" s="931"/>
      <c r="Q101" s="931"/>
      <c r="R101" s="931"/>
      <c r="S101" s="931"/>
      <c r="T101" s="931"/>
      <c r="U101" s="931"/>
      <c r="V101" s="931"/>
      <c r="W101" s="932"/>
      <c r="X101" s="18" t="s">
        <v>93</v>
      </c>
    </row>
    <row r="102" spans="1:24" ht="12.95" customHeight="1" thickBot="1">
      <c r="A102" s="906" t="s">
        <v>7</v>
      </c>
      <c r="B102" s="908" t="s">
        <v>173</v>
      </c>
      <c r="C102" s="909"/>
      <c r="D102" s="908" t="s">
        <v>8</v>
      </c>
      <c r="E102" s="918"/>
      <c r="F102" s="918"/>
      <c r="G102" s="909"/>
      <c r="H102" s="908" t="s">
        <v>88</v>
      </c>
      <c r="I102" s="918"/>
      <c r="J102" s="918"/>
      <c r="K102" s="909"/>
      <c r="L102" s="908" t="s">
        <v>89</v>
      </c>
      <c r="M102" s="918"/>
      <c r="N102" s="918"/>
      <c r="O102" s="909"/>
      <c r="P102" s="908" t="s">
        <v>9</v>
      </c>
      <c r="Q102" s="918"/>
      <c r="R102" s="918"/>
      <c r="S102" s="909"/>
      <c r="T102" s="908" t="s">
        <v>174</v>
      </c>
      <c r="U102" s="918"/>
      <c r="V102" s="918"/>
      <c r="W102" s="918"/>
      <c r="X102" s="909"/>
    </row>
    <row r="103" spans="1:24" ht="13.5" thickBot="1">
      <c r="A103" s="907"/>
      <c r="B103" s="1256"/>
      <c r="C103" s="1257"/>
      <c r="D103" s="916"/>
      <c r="E103" s="994"/>
      <c r="F103" s="994"/>
      <c r="G103" s="917"/>
      <c r="H103" s="916"/>
      <c r="I103" s="994"/>
      <c r="J103" s="994"/>
      <c r="K103" s="917"/>
      <c r="L103" s="916"/>
      <c r="M103" s="994"/>
      <c r="N103" s="994"/>
      <c r="O103" s="917"/>
      <c r="P103" s="916">
        <f>SUM(B103:O103)</f>
        <v>0</v>
      </c>
      <c r="Q103" s="994"/>
      <c r="R103" s="994"/>
      <c r="S103" s="917"/>
      <c r="T103" s="916" t="e">
        <f>B103/P103%</f>
        <v>#DIV/0!</v>
      </c>
      <c r="U103" s="994"/>
      <c r="V103" s="994"/>
      <c r="W103" s="994"/>
      <c r="X103" s="917"/>
    </row>
    <row r="104" spans="1:24" ht="13.5" thickBot="1">
      <c r="A104" s="906" t="s">
        <v>10</v>
      </c>
      <c r="B104" s="908" t="s">
        <v>175</v>
      </c>
      <c r="C104" s="909"/>
      <c r="D104" s="910"/>
      <c r="E104" s="911"/>
      <c r="F104" s="911"/>
      <c r="G104" s="911"/>
      <c r="H104" s="911"/>
      <c r="I104" s="911"/>
      <c r="J104" s="911"/>
      <c r="K104" s="911"/>
      <c r="L104" s="911"/>
      <c r="M104" s="911"/>
      <c r="N104" s="911"/>
      <c r="O104" s="911"/>
      <c r="P104" s="911"/>
      <c r="Q104" s="911"/>
      <c r="R104" s="911"/>
      <c r="S104" s="911"/>
      <c r="T104" s="911"/>
      <c r="U104" s="911"/>
      <c r="V104" s="911"/>
      <c r="W104" s="911"/>
      <c r="X104" s="912"/>
    </row>
    <row r="105" spans="1:24" ht="13.5" thickBot="1">
      <c r="A105" s="907"/>
      <c r="B105" s="1256"/>
      <c r="C105" s="1257"/>
      <c r="D105" s="913"/>
      <c r="E105" s="914"/>
      <c r="F105" s="914"/>
      <c r="G105" s="914"/>
      <c r="H105" s="914"/>
      <c r="I105" s="914"/>
      <c r="J105" s="914"/>
      <c r="K105" s="914"/>
      <c r="L105" s="914"/>
      <c r="M105" s="914"/>
      <c r="N105" s="914"/>
      <c r="O105" s="914"/>
      <c r="P105" s="914"/>
      <c r="Q105" s="914"/>
      <c r="R105" s="914"/>
      <c r="S105" s="914"/>
      <c r="T105" s="914"/>
      <c r="U105" s="914"/>
      <c r="V105" s="914"/>
      <c r="W105" s="914"/>
      <c r="X105" s="915"/>
    </row>
    <row r="107" spans="1:24" ht="13.5" thickBot="1"/>
    <row r="108" spans="1:24" ht="12.95" customHeight="1" thickBot="1">
      <c r="A108" s="95" t="s">
        <v>26</v>
      </c>
      <c r="B108" s="97" t="s">
        <v>29</v>
      </c>
      <c r="C108" s="8"/>
      <c r="D108" s="927" t="s">
        <v>78</v>
      </c>
      <c r="E108" s="928"/>
      <c r="F108" s="928"/>
      <c r="G108" s="929"/>
      <c r="H108" s="927" t="s">
        <v>77</v>
      </c>
      <c r="I108" s="928"/>
      <c r="J108" s="928"/>
      <c r="K108" s="929"/>
      <c r="L108" s="927" t="s">
        <v>81</v>
      </c>
      <c r="M108" s="928"/>
      <c r="N108" s="928"/>
      <c r="O108" s="929"/>
      <c r="P108" s="927" t="s">
        <v>254</v>
      </c>
      <c r="Q108" s="928"/>
      <c r="R108" s="928"/>
      <c r="S108" s="929"/>
      <c r="T108" s="927" t="s">
        <v>76</v>
      </c>
      <c r="U108" s="928"/>
      <c r="V108" s="928"/>
      <c r="W108" s="929"/>
      <c r="X108" s="16" t="s">
        <v>12</v>
      </c>
    </row>
    <row r="109" spans="1:24" ht="56.1" customHeight="1" thickBot="1">
      <c r="A109" s="868" t="s">
        <v>64</v>
      </c>
      <c r="B109" s="868" t="s">
        <v>156</v>
      </c>
      <c r="C109" s="9"/>
      <c r="D109" s="17" t="s">
        <v>101</v>
      </c>
      <c r="E109" s="17" t="s">
        <v>104</v>
      </c>
      <c r="F109" s="17" t="s">
        <v>102</v>
      </c>
      <c r="G109" s="17" t="s">
        <v>103</v>
      </c>
      <c r="H109" s="17" t="s">
        <v>101</v>
      </c>
      <c r="I109" s="17" t="s">
        <v>104</v>
      </c>
      <c r="J109" s="17" t="s">
        <v>102</v>
      </c>
      <c r="K109" s="17" t="s">
        <v>103</v>
      </c>
      <c r="L109" s="17" t="s">
        <v>101</v>
      </c>
      <c r="M109" s="17" t="s">
        <v>104</v>
      </c>
      <c r="N109" s="17" t="s">
        <v>102</v>
      </c>
      <c r="O109" s="17" t="s">
        <v>103</v>
      </c>
      <c r="P109" s="17" t="s">
        <v>101</v>
      </c>
      <c r="Q109" s="17" t="s">
        <v>104</v>
      </c>
      <c r="R109" s="17" t="s">
        <v>102</v>
      </c>
      <c r="S109" s="17" t="s">
        <v>103</v>
      </c>
      <c r="T109" s="17" t="s">
        <v>101</v>
      </c>
      <c r="U109" s="17" t="s">
        <v>104</v>
      </c>
      <c r="V109" s="17" t="s">
        <v>102</v>
      </c>
      <c r="W109" s="17" t="s">
        <v>103</v>
      </c>
      <c r="X109" s="879" t="s">
        <v>98</v>
      </c>
    </row>
    <row r="110" spans="1:24" ht="13.5" thickBot="1">
      <c r="A110" s="885"/>
      <c r="B110" s="885"/>
      <c r="C110" s="9" t="s">
        <v>2</v>
      </c>
      <c r="D110" s="2">
        <v>0</v>
      </c>
      <c r="E110" s="2">
        <v>0</v>
      </c>
      <c r="F110" s="2">
        <v>0</v>
      </c>
      <c r="G110" s="2">
        <v>0</v>
      </c>
      <c r="H110" s="2">
        <v>15</v>
      </c>
      <c r="I110" s="2">
        <v>5</v>
      </c>
      <c r="J110" s="2">
        <v>2</v>
      </c>
      <c r="K110" s="2">
        <v>1</v>
      </c>
      <c r="L110" s="2">
        <v>20</v>
      </c>
      <c r="M110" s="2">
        <v>7</v>
      </c>
      <c r="N110" s="2">
        <v>4</v>
      </c>
      <c r="O110" s="2">
        <v>2</v>
      </c>
      <c r="P110" s="2">
        <v>8</v>
      </c>
      <c r="Q110" s="2">
        <v>6</v>
      </c>
      <c r="R110" s="2">
        <v>4</v>
      </c>
      <c r="S110" s="2">
        <v>1</v>
      </c>
      <c r="T110" s="778">
        <v>9</v>
      </c>
      <c r="U110" s="2">
        <v>8</v>
      </c>
      <c r="V110" s="778">
        <v>5</v>
      </c>
      <c r="W110" s="166">
        <v>2</v>
      </c>
      <c r="X110" s="880"/>
    </row>
    <row r="111" spans="1:24" ht="12.95" customHeight="1" thickBot="1">
      <c r="A111" s="885"/>
      <c r="B111" s="93" t="s">
        <v>151</v>
      </c>
      <c r="C111" s="10" t="s">
        <v>3</v>
      </c>
      <c r="D111" s="1265" t="s">
        <v>258</v>
      </c>
      <c r="E111" s="1266"/>
      <c r="F111" s="1266"/>
      <c r="G111" s="1267"/>
      <c r="H111" s="68">
        <v>2</v>
      </c>
      <c r="I111" s="68">
        <v>2</v>
      </c>
      <c r="J111" s="68">
        <v>2</v>
      </c>
      <c r="K111" s="68">
        <v>2</v>
      </c>
      <c r="L111" s="68">
        <v>6</v>
      </c>
      <c r="M111" s="68">
        <v>5</v>
      </c>
      <c r="N111" s="68">
        <v>3</v>
      </c>
      <c r="O111" s="68">
        <v>0</v>
      </c>
      <c r="P111" s="68">
        <v>7</v>
      </c>
      <c r="Q111" s="68">
        <v>6</v>
      </c>
      <c r="R111" s="68">
        <v>6</v>
      </c>
      <c r="S111" s="68">
        <v>2</v>
      </c>
      <c r="T111" s="68">
        <v>0</v>
      </c>
      <c r="U111" s="68">
        <v>0</v>
      </c>
      <c r="V111" s="68">
        <v>0</v>
      </c>
      <c r="W111" s="68">
        <v>0</v>
      </c>
      <c r="X111" s="880"/>
    </row>
    <row r="112" spans="1:24" ht="12.95" customHeight="1" thickBot="1">
      <c r="A112" s="885"/>
      <c r="B112" s="93" t="s">
        <v>150</v>
      </c>
      <c r="C112" s="1258" t="s">
        <v>170</v>
      </c>
      <c r="D112" s="927" t="s">
        <v>4</v>
      </c>
      <c r="E112" s="928"/>
      <c r="F112" s="928"/>
      <c r="G112" s="928"/>
      <c r="H112" s="928"/>
      <c r="I112" s="928"/>
      <c r="J112" s="928"/>
      <c r="K112" s="928"/>
      <c r="L112" s="928"/>
      <c r="M112" s="928"/>
      <c r="N112" s="928"/>
      <c r="O112" s="928"/>
      <c r="P112" s="928"/>
      <c r="Q112" s="928"/>
      <c r="R112" s="928"/>
      <c r="S112" s="928"/>
      <c r="T112" s="928"/>
      <c r="U112" s="928"/>
      <c r="V112" s="928"/>
      <c r="W112" s="929"/>
      <c r="X112" s="880"/>
    </row>
    <row r="113" spans="1:24" ht="12.95" customHeight="1" thickBot="1">
      <c r="A113" s="885"/>
      <c r="B113" s="94" t="s">
        <v>149</v>
      </c>
      <c r="C113" s="1259"/>
      <c r="D113" s="930" t="s">
        <v>420</v>
      </c>
      <c r="E113" s="931"/>
      <c r="F113" s="931"/>
      <c r="G113" s="931"/>
      <c r="H113" s="931"/>
      <c r="I113" s="931"/>
      <c r="J113" s="931"/>
      <c r="K113" s="931"/>
      <c r="L113" s="931"/>
      <c r="M113" s="931"/>
      <c r="N113" s="931"/>
      <c r="O113" s="931"/>
      <c r="P113" s="931"/>
      <c r="Q113" s="931"/>
      <c r="R113" s="931"/>
      <c r="S113" s="931"/>
      <c r="T113" s="931"/>
      <c r="U113" s="931"/>
      <c r="V113" s="931"/>
      <c r="W113" s="932"/>
      <c r="X113" s="880"/>
    </row>
    <row r="114" spans="1:24" ht="12.95" customHeight="1" thickBot="1">
      <c r="A114" s="885"/>
      <c r="B114" s="11" t="s">
        <v>30</v>
      </c>
      <c r="C114" s="12"/>
      <c r="D114" s="927" t="s">
        <v>78</v>
      </c>
      <c r="E114" s="928"/>
      <c r="F114" s="928"/>
      <c r="G114" s="929"/>
      <c r="H114" s="927" t="s">
        <v>77</v>
      </c>
      <c r="I114" s="928"/>
      <c r="J114" s="928"/>
      <c r="K114" s="929"/>
      <c r="L114" s="927" t="s">
        <v>81</v>
      </c>
      <c r="M114" s="928"/>
      <c r="N114" s="928"/>
      <c r="O114" s="929"/>
      <c r="P114" s="927" t="s">
        <v>254</v>
      </c>
      <c r="Q114" s="928"/>
      <c r="R114" s="928"/>
      <c r="S114" s="929"/>
      <c r="T114" s="927" t="s">
        <v>76</v>
      </c>
      <c r="U114" s="928"/>
      <c r="V114" s="928"/>
      <c r="W114" s="929"/>
      <c r="X114" s="880"/>
    </row>
    <row r="115" spans="1:24" ht="44.1" customHeight="1" thickBot="1">
      <c r="A115" s="885"/>
      <c r="B115" s="868" t="s">
        <v>157</v>
      </c>
      <c r="C115" s="23"/>
      <c r="D115" s="17" t="s">
        <v>101</v>
      </c>
      <c r="E115" s="17" t="s">
        <v>104</v>
      </c>
      <c r="F115" s="17" t="s">
        <v>102</v>
      </c>
      <c r="G115" s="17" t="s">
        <v>103</v>
      </c>
      <c r="H115" s="17" t="s">
        <v>101</v>
      </c>
      <c r="I115" s="17" t="s">
        <v>104</v>
      </c>
      <c r="J115" s="17" t="s">
        <v>102</v>
      </c>
      <c r="K115" s="17" t="s">
        <v>103</v>
      </c>
      <c r="L115" s="17" t="s">
        <v>101</v>
      </c>
      <c r="M115" s="17" t="s">
        <v>104</v>
      </c>
      <c r="N115" s="17" t="s">
        <v>102</v>
      </c>
      <c r="O115" s="17" t="s">
        <v>103</v>
      </c>
      <c r="P115" s="17" t="s">
        <v>101</v>
      </c>
      <c r="Q115" s="17" t="s">
        <v>104</v>
      </c>
      <c r="R115" s="17" t="s">
        <v>102</v>
      </c>
      <c r="S115" s="17" t="s">
        <v>103</v>
      </c>
      <c r="T115" s="17" t="s">
        <v>101</v>
      </c>
      <c r="U115" s="17" t="s">
        <v>104</v>
      </c>
      <c r="V115" s="17" t="s">
        <v>102</v>
      </c>
      <c r="W115" s="17" t="s">
        <v>103</v>
      </c>
      <c r="X115" s="880"/>
    </row>
    <row r="116" spans="1:24" ht="13.5" thickBot="1">
      <c r="A116" s="885"/>
      <c r="B116" s="885"/>
      <c r="C116" s="9" t="s">
        <v>2</v>
      </c>
      <c r="D116" s="2">
        <v>0</v>
      </c>
      <c r="E116" s="2">
        <v>0</v>
      </c>
      <c r="F116" s="2">
        <v>0</v>
      </c>
      <c r="G116" s="2">
        <v>0</v>
      </c>
      <c r="H116" s="2">
        <v>3</v>
      </c>
      <c r="I116" s="2">
        <v>2</v>
      </c>
      <c r="J116" s="2">
        <v>1</v>
      </c>
      <c r="K116" s="2">
        <v>0</v>
      </c>
      <c r="L116" s="2">
        <v>5</v>
      </c>
      <c r="M116" s="2">
        <v>4</v>
      </c>
      <c r="N116" s="2">
        <v>3</v>
      </c>
      <c r="O116" s="2">
        <v>2</v>
      </c>
      <c r="P116" s="2">
        <v>8</v>
      </c>
      <c r="Q116" s="2">
        <v>6</v>
      </c>
      <c r="R116" s="2">
        <v>5</v>
      </c>
      <c r="S116" s="2">
        <v>4</v>
      </c>
      <c r="T116" s="778">
        <v>8</v>
      </c>
      <c r="U116" s="778">
        <v>7</v>
      </c>
      <c r="V116" s="778">
        <v>6</v>
      </c>
      <c r="W116" s="166">
        <v>5</v>
      </c>
      <c r="X116" s="880"/>
    </row>
    <row r="117" spans="1:24" ht="12.95" customHeight="1" thickBot="1">
      <c r="A117" s="885"/>
      <c r="B117" s="93" t="s">
        <v>151</v>
      </c>
      <c r="C117" s="9" t="s">
        <v>3</v>
      </c>
      <c r="D117" s="933" t="s">
        <v>171</v>
      </c>
      <c r="E117" s="934"/>
      <c r="F117" s="934"/>
      <c r="G117" s="935"/>
      <c r="H117" s="936" t="s">
        <v>249</v>
      </c>
      <c r="I117" s="937"/>
      <c r="J117" s="937"/>
      <c r="K117" s="938"/>
      <c r="L117" s="68">
        <v>7</v>
      </c>
      <c r="M117" s="68">
        <v>6</v>
      </c>
      <c r="N117" s="68">
        <v>4</v>
      </c>
      <c r="O117" s="68">
        <v>0</v>
      </c>
      <c r="P117" s="68">
        <v>8</v>
      </c>
      <c r="Q117" s="68">
        <v>4</v>
      </c>
      <c r="R117" s="68">
        <v>1</v>
      </c>
      <c r="S117" s="68">
        <v>0</v>
      </c>
      <c r="T117" s="68">
        <v>0</v>
      </c>
      <c r="U117" s="68">
        <v>0</v>
      </c>
      <c r="V117" s="68">
        <v>0</v>
      </c>
      <c r="W117" s="68">
        <v>0</v>
      </c>
      <c r="X117" s="880"/>
    </row>
    <row r="118" spans="1:24" ht="12.95" customHeight="1" thickBot="1">
      <c r="A118" s="885"/>
      <c r="B118" s="93" t="s">
        <v>150</v>
      </c>
      <c r="C118" s="1258" t="s">
        <v>170</v>
      </c>
      <c r="D118" s="927" t="s">
        <v>4</v>
      </c>
      <c r="E118" s="928"/>
      <c r="F118" s="928"/>
      <c r="G118" s="928"/>
      <c r="H118" s="928"/>
      <c r="I118" s="928"/>
      <c r="J118" s="928"/>
      <c r="K118" s="928"/>
      <c r="L118" s="928"/>
      <c r="M118" s="928"/>
      <c r="N118" s="928"/>
      <c r="O118" s="928"/>
      <c r="P118" s="928"/>
      <c r="Q118" s="928"/>
      <c r="R118" s="928"/>
      <c r="S118" s="928"/>
      <c r="T118" s="928"/>
      <c r="U118" s="928"/>
      <c r="V118" s="928"/>
      <c r="W118" s="929"/>
      <c r="X118" s="880"/>
    </row>
    <row r="119" spans="1:24" ht="12.95" customHeight="1" thickBot="1">
      <c r="A119" s="885"/>
      <c r="B119" s="94" t="s">
        <v>152</v>
      </c>
      <c r="C119" s="1259"/>
      <c r="D119" s="930" t="s">
        <v>420</v>
      </c>
      <c r="E119" s="931"/>
      <c r="F119" s="931"/>
      <c r="G119" s="931"/>
      <c r="H119" s="931"/>
      <c r="I119" s="931"/>
      <c r="J119" s="931"/>
      <c r="K119" s="931"/>
      <c r="L119" s="931"/>
      <c r="M119" s="931"/>
      <c r="N119" s="931"/>
      <c r="O119" s="931"/>
      <c r="P119" s="931"/>
      <c r="Q119" s="931"/>
      <c r="R119" s="931"/>
      <c r="S119" s="931"/>
      <c r="T119" s="931"/>
      <c r="U119" s="931"/>
      <c r="V119" s="931"/>
      <c r="W119" s="932"/>
      <c r="X119" s="880"/>
    </row>
    <row r="120" spans="1:24" ht="12.95" customHeight="1" thickBot="1">
      <c r="A120" s="885"/>
      <c r="B120" s="11" t="s">
        <v>31</v>
      </c>
      <c r="C120" s="12"/>
      <c r="D120" s="927" t="s">
        <v>78</v>
      </c>
      <c r="E120" s="928"/>
      <c r="F120" s="928"/>
      <c r="G120" s="929"/>
      <c r="H120" s="927" t="s">
        <v>77</v>
      </c>
      <c r="I120" s="928"/>
      <c r="J120" s="928"/>
      <c r="K120" s="929"/>
      <c r="L120" s="927" t="s">
        <v>81</v>
      </c>
      <c r="M120" s="928"/>
      <c r="N120" s="928"/>
      <c r="O120" s="929"/>
      <c r="P120" s="927" t="s">
        <v>254</v>
      </c>
      <c r="Q120" s="928"/>
      <c r="R120" s="928"/>
      <c r="S120" s="929"/>
      <c r="T120" s="927" t="s">
        <v>76</v>
      </c>
      <c r="U120" s="928"/>
      <c r="V120" s="928"/>
      <c r="W120" s="929"/>
      <c r="X120" s="880"/>
    </row>
    <row r="121" spans="1:24" ht="12.95" customHeight="1" thickBot="1">
      <c r="A121" s="885"/>
      <c r="B121" s="868" t="s">
        <v>421</v>
      </c>
      <c r="C121" s="23"/>
      <c r="D121" s="1230" t="s">
        <v>418</v>
      </c>
      <c r="E121" s="1232"/>
      <c r="F121" s="1240" t="s">
        <v>419</v>
      </c>
      <c r="G121" s="1232"/>
      <c r="H121" s="1240" t="s">
        <v>418</v>
      </c>
      <c r="I121" s="1232"/>
      <c r="J121" s="1240" t="s">
        <v>419</v>
      </c>
      <c r="K121" s="1232"/>
      <c r="L121" s="1240" t="s">
        <v>418</v>
      </c>
      <c r="M121" s="1232"/>
      <c r="N121" s="1240" t="s">
        <v>419</v>
      </c>
      <c r="O121" s="1232"/>
      <c r="P121" s="1240" t="s">
        <v>418</v>
      </c>
      <c r="Q121" s="1232"/>
      <c r="R121" s="1240" t="s">
        <v>419</v>
      </c>
      <c r="S121" s="1232"/>
      <c r="T121" s="1240" t="s">
        <v>418</v>
      </c>
      <c r="U121" s="1232"/>
      <c r="V121" s="1240" t="s">
        <v>419</v>
      </c>
      <c r="W121" s="1246"/>
      <c r="X121" s="880"/>
    </row>
    <row r="122" spans="1:24" ht="12.95" customHeight="1" thickBot="1">
      <c r="A122" s="885"/>
      <c r="B122" s="885"/>
      <c r="C122" s="26" t="s">
        <v>2</v>
      </c>
      <c r="D122" s="933" t="s">
        <v>172</v>
      </c>
      <c r="E122" s="934"/>
      <c r="F122" s="934"/>
      <c r="G122" s="935"/>
      <c r="H122" s="966" t="s">
        <v>572</v>
      </c>
      <c r="I122" s="967"/>
      <c r="J122" s="967"/>
      <c r="K122" s="968"/>
      <c r="L122" s="1006">
        <v>69</v>
      </c>
      <c r="M122" s="1007"/>
      <c r="N122" s="1006">
        <v>48</v>
      </c>
      <c r="O122" s="1007"/>
      <c r="P122" s="1006">
        <v>75</v>
      </c>
      <c r="Q122" s="1007"/>
      <c r="R122" s="1006">
        <v>49</v>
      </c>
      <c r="S122" s="1007"/>
      <c r="T122" s="1286">
        <v>75</v>
      </c>
      <c r="U122" s="1287"/>
      <c r="V122" s="1281">
        <v>75</v>
      </c>
      <c r="W122" s="1282"/>
      <c r="X122" s="880"/>
    </row>
    <row r="123" spans="1:24" ht="18" customHeight="1" thickBot="1">
      <c r="A123" s="885"/>
      <c r="B123" s="885"/>
      <c r="C123" s="9" t="s">
        <v>3</v>
      </c>
      <c r="D123" s="933"/>
      <c r="E123" s="934"/>
      <c r="F123" s="934"/>
      <c r="G123" s="935"/>
      <c r="H123" s="933"/>
      <c r="I123" s="934"/>
      <c r="J123" s="934"/>
      <c r="K123" s="935"/>
      <c r="L123" s="933"/>
      <c r="M123" s="934"/>
      <c r="N123" s="934"/>
      <c r="O123" s="935"/>
      <c r="P123" s="939">
        <v>83</v>
      </c>
      <c r="Q123" s="953"/>
      <c r="R123" s="939">
        <v>79</v>
      </c>
      <c r="S123" s="953"/>
      <c r="T123" s="939">
        <v>0</v>
      </c>
      <c r="U123" s="953"/>
      <c r="V123" s="939">
        <v>0</v>
      </c>
      <c r="W123" s="953"/>
      <c r="X123" s="880"/>
    </row>
    <row r="124" spans="1:24" ht="12.95" customHeight="1" thickBot="1">
      <c r="A124" s="885"/>
      <c r="B124" s="885"/>
      <c r="C124" s="1258" t="s">
        <v>170</v>
      </c>
      <c r="D124" s="927" t="s">
        <v>4</v>
      </c>
      <c r="E124" s="928"/>
      <c r="F124" s="928"/>
      <c r="G124" s="928"/>
      <c r="H124" s="928"/>
      <c r="I124" s="928"/>
      <c r="J124" s="928"/>
      <c r="K124" s="928"/>
      <c r="L124" s="928"/>
      <c r="M124" s="928"/>
      <c r="N124" s="928"/>
      <c r="O124" s="928"/>
      <c r="P124" s="928"/>
      <c r="Q124" s="928"/>
      <c r="R124" s="928"/>
      <c r="S124" s="928"/>
      <c r="T124" s="928"/>
      <c r="U124" s="928"/>
      <c r="V124" s="928"/>
      <c r="W124" s="929"/>
      <c r="X124" s="880"/>
    </row>
    <row r="125" spans="1:24" ht="12.95" customHeight="1" thickBot="1">
      <c r="A125" s="885"/>
      <c r="B125" s="94" t="s">
        <v>179</v>
      </c>
      <c r="C125" s="1259"/>
      <c r="D125" s="930" t="s">
        <v>121</v>
      </c>
      <c r="E125" s="931"/>
      <c r="F125" s="931"/>
      <c r="G125" s="931"/>
      <c r="H125" s="931"/>
      <c r="I125" s="931"/>
      <c r="J125" s="931"/>
      <c r="K125" s="931"/>
      <c r="L125" s="931"/>
      <c r="M125" s="931"/>
      <c r="N125" s="931"/>
      <c r="O125" s="931"/>
      <c r="P125" s="931"/>
      <c r="Q125" s="931"/>
      <c r="R125" s="931"/>
      <c r="S125" s="931"/>
      <c r="T125" s="931"/>
      <c r="U125" s="931"/>
      <c r="V125" s="931"/>
      <c r="W125" s="932"/>
      <c r="X125" s="880"/>
    </row>
    <row r="126" spans="1:24" ht="12.95" customHeight="1" thickBot="1">
      <c r="A126" s="885"/>
      <c r="B126" s="11" t="s">
        <v>40</v>
      </c>
      <c r="C126" s="12"/>
      <c r="D126" s="927" t="s">
        <v>78</v>
      </c>
      <c r="E126" s="928"/>
      <c r="F126" s="928"/>
      <c r="G126" s="929"/>
      <c r="H126" s="927" t="s">
        <v>77</v>
      </c>
      <c r="I126" s="928"/>
      <c r="J126" s="928"/>
      <c r="K126" s="929"/>
      <c r="L126" s="927" t="s">
        <v>81</v>
      </c>
      <c r="M126" s="928"/>
      <c r="N126" s="928"/>
      <c r="O126" s="929"/>
      <c r="P126" s="927" t="s">
        <v>254</v>
      </c>
      <c r="Q126" s="928"/>
      <c r="R126" s="928"/>
      <c r="S126" s="929"/>
      <c r="T126" s="927" t="s">
        <v>76</v>
      </c>
      <c r="U126" s="928"/>
      <c r="V126" s="928"/>
      <c r="W126" s="929"/>
      <c r="X126" s="880"/>
    </row>
    <row r="127" spans="1:24" ht="12.95" customHeight="1" thickBot="1">
      <c r="A127" s="885"/>
      <c r="B127" s="873" t="s">
        <v>644</v>
      </c>
      <c r="C127" s="23" t="s">
        <v>2</v>
      </c>
      <c r="D127" s="933" t="s">
        <v>171</v>
      </c>
      <c r="E127" s="934"/>
      <c r="F127" s="934"/>
      <c r="G127" s="935"/>
      <c r="H127" s="966" t="s">
        <v>572</v>
      </c>
      <c r="I127" s="967"/>
      <c r="J127" s="967"/>
      <c r="K127" s="968"/>
      <c r="L127" s="1014">
        <v>3.6</v>
      </c>
      <c r="M127" s="1015"/>
      <c r="N127" s="1015"/>
      <c r="O127" s="1016"/>
      <c r="P127" s="1014">
        <v>3.8</v>
      </c>
      <c r="Q127" s="1015"/>
      <c r="R127" s="1015"/>
      <c r="S127" s="1016"/>
      <c r="T127" s="1283">
        <v>4.2</v>
      </c>
      <c r="U127" s="1284"/>
      <c r="V127" s="1284"/>
      <c r="W127" s="1285"/>
      <c r="X127" s="880"/>
    </row>
    <row r="128" spans="1:24" ht="13.5" thickBot="1">
      <c r="A128" s="869"/>
      <c r="B128" s="874"/>
      <c r="C128" s="9" t="s">
        <v>3</v>
      </c>
      <c r="D128" s="933"/>
      <c r="E128" s="934"/>
      <c r="F128" s="934"/>
      <c r="G128" s="935"/>
      <c r="H128" s="933"/>
      <c r="I128" s="934"/>
      <c r="J128" s="934"/>
      <c r="K128" s="935"/>
      <c r="L128" s="1171"/>
      <c r="M128" s="1172"/>
      <c r="N128" s="1172"/>
      <c r="O128" s="1173"/>
      <c r="P128" s="963">
        <v>3.6</v>
      </c>
      <c r="Q128" s="964"/>
      <c r="R128" s="964"/>
      <c r="S128" s="965"/>
      <c r="T128" s="963">
        <v>0</v>
      </c>
      <c r="U128" s="964"/>
      <c r="V128" s="964"/>
      <c r="W128" s="965"/>
      <c r="X128" s="881"/>
    </row>
    <row r="129" spans="1:24" ht="12.95" customHeight="1" thickBot="1">
      <c r="A129" s="96" t="s">
        <v>13</v>
      </c>
      <c r="B129" s="874"/>
      <c r="C129" s="1258" t="s">
        <v>170</v>
      </c>
      <c r="D129" s="927" t="s">
        <v>4</v>
      </c>
      <c r="E129" s="928"/>
      <c r="F129" s="928"/>
      <c r="G129" s="928"/>
      <c r="H129" s="928"/>
      <c r="I129" s="928"/>
      <c r="J129" s="928"/>
      <c r="K129" s="928"/>
      <c r="L129" s="928"/>
      <c r="M129" s="928"/>
      <c r="N129" s="928"/>
      <c r="O129" s="928"/>
      <c r="P129" s="928"/>
      <c r="Q129" s="928"/>
      <c r="R129" s="928"/>
      <c r="S129" s="928"/>
      <c r="T129" s="928"/>
      <c r="U129" s="928"/>
      <c r="V129" s="928"/>
      <c r="W129" s="929"/>
      <c r="X129" s="24" t="s">
        <v>14</v>
      </c>
    </row>
    <row r="130" spans="1:24" ht="12.95" customHeight="1" thickBot="1">
      <c r="A130" s="25" t="s">
        <v>75</v>
      </c>
      <c r="B130" s="875"/>
      <c r="C130" s="1259"/>
      <c r="D130" s="930" t="s">
        <v>122</v>
      </c>
      <c r="E130" s="931"/>
      <c r="F130" s="931"/>
      <c r="G130" s="931"/>
      <c r="H130" s="931"/>
      <c r="I130" s="931"/>
      <c r="J130" s="931"/>
      <c r="K130" s="931"/>
      <c r="L130" s="931"/>
      <c r="M130" s="931"/>
      <c r="N130" s="931"/>
      <c r="O130" s="931"/>
      <c r="P130" s="931"/>
      <c r="Q130" s="931"/>
      <c r="R130" s="931"/>
      <c r="S130" s="931"/>
      <c r="T130" s="931"/>
      <c r="U130" s="931"/>
      <c r="V130" s="931"/>
      <c r="W130" s="932"/>
      <c r="X130" s="18" t="s">
        <v>92</v>
      </c>
    </row>
    <row r="131" spans="1:24" ht="12.95" customHeight="1" thickBot="1">
      <c r="A131" s="906" t="s">
        <v>7</v>
      </c>
      <c r="B131" s="908" t="s">
        <v>173</v>
      </c>
      <c r="C131" s="909"/>
      <c r="D131" s="908" t="s">
        <v>8</v>
      </c>
      <c r="E131" s="918"/>
      <c r="F131" s="918"/>
      <c r="G131" s="909"/>
      <c r="H131" s="908" t="s">
        <v>88</v>
      </c>
      <c r="I131" s="918"/>
      <c r="J131" s="918"/>
      <c r="K131" s="909"/>
      <c r="L131" s="908" t="s">
        <v>89</v>
      </c>
      <c r="M131" s="918"/>
      <c r="N131" s="918"/>
      <c r="O131" s="909"/>
      <c r="P131" s="908" t="s">
        <v>9</v>
      </c>
      <c r="Q131" s="918"/>
      <c r="R131" s="918"/>
      <c r="S131" s="909"/>
      <c r="T131" s="908" t="s">
        <v>174</v>
      </c>
      <c r="U131" s="918"/>
      <c r="V131" s="918"/>
      <c r="W131" s="918"/>
      <c r="X131" s="909"/>
    </row>
    <row r="132" spans="1:24" ht="13.5" thickBot="1">
      <c r="A132" s="907"/>
      <c r="B132" s="1256"/>
      <c r="C132" s="1257"/>
      <c r="D132" s="916"/>
      <c r="E132" s="994"/>
      <c r="F132" s="994"/>
      <c r="G132" s="917"/>
      <c r="H132" s="916"/>
      <c r="I132" s="994"/>
      <c r="J132" s="994"/>
      <c r="K132" s="917"/>
      <c r="L132" s="916"/>
      <c r="M132" s="994"/>
      <c r="N132" s="994"/>
      <c r="O132" s="917"/>
      <c r="P132" s="916">
        <f>SUM(B132:O132)</f>
        <v>0</v>
      </c>
      <c r="Q132" s="994"/>
      <c r="R132" s="994"/>
      <c r="S132" s="917"/>
      <c r="T132" s="916" t="e">
        <f>B132/P132%</f>
        <v>#DIV/0!</v>
      </c>
      <c r="U132" s="994"/>
      <c r="V132" s="994"/>
      <c r="W132" s="994"/>
      <c r="X132" s="917"/>
    </row>
    <row r="133" spans="1:24" ht="13.5" thickBot="1">
      <c r="A133" s="906" t="s">
        <v>10</v>
      </c>
      <c r="B133" s="908" t="s">
        <v>175</v>
      </c>
      <c r="C133" s="909"/>
      <c r="D133" s="910"/>
      <c r="E133" s="911"/>
      <c r="F133" s="911"/>
      <c r="G133" s="911"/>
      <c r="H133" s="911"/>
      <c r="I133" s="911"/>
      <c r="J133" s="911"/>
      <c r="K133" s="911"/>
      <c r="L133" s="911"/>
      <c r="M133" s="911"/>
      <c r="N133" s="911"/>
      <c r="O133" s="911"/>
      <c r="P133" s="911"/>
      <c r="Q133" s="911"/>
      <c r="R133" s="911"/>
      <c r="S133" s="911"/>
      <c r="T133" s="911"/>
      <c r="U133" s="911"/>
      <c r="V133" s="911"/>
      <c r="W133" s="911"/>
      <c r="X133" s="912"/>
    </row>
    <row r="134" spans="1:24" ht="13.5" thickBot="1">
      <c r="A134" s="907"/>
      <c r="B134" s="1256"/>
      <c r="C134" s="1257"/>
      <c r="D134" s="913"/>
      <c r="E134" s="914"/>
      <c r="F134" s="914"/>
      <c r="G134" s="914"/>
      <c r="H134" s="914"/>
      <c r="I134" s="914"/>
      <c r="J134" s="914"/>
      <c r="K134" s="914"/>
      <c r="L134" s="914"/>
      <c r="M134" s="914"/>
      <c r="N134" s="914"/>
      <c r="O134" s="914"/>
      <c r="P134" s="914"/>
      <c r="Q134" s="914"/>
      <c r="R134" s="914"/>
      <c r="S134" s="914"/>
      <c r="T134" s="914"/>
      <c r="U134" s="914"/>
      <c r="V134" s="914"/>
      <c r="W134" s="914"/>
      <c r="X134" s="915"/>
    </row>
    <row r="135" spans="1:24">
      <c r="A135" s="5"/>
      <c r="B135" s="5"/>
      <c r="C135" s="6"/>
      <c r="D135" s="5"/>
      <c r="E135" s="5"/>
      <c r="F135" s="5"/>
      <c r="G135" s="5"/>
      <c r="H135" s="5"/>
      <c r="I135" s="5"/>
      <c r="J135" s="5"/>
      <c r="K135" s="5"/>
      <c r="L135" s="5"/>
      <c r="M135" s="5"/>
      <c r="N135" s="5"/>
      <c r="O135" s="5"/>
      <c r="P135" s="5"/>
      <c r="Q135" s="5"/>
      <c r="R135" s="5"/>
      <c r="S135" s="5"/>
      <c r="T135" s="5"/>
      <c r="U135" s="5"/>
      <c r="V135" s="5"/>
      <c r="W135" s="5"/>
      <c r="X135" s="5"/>
    </row>
    <row r="136" spans="1:24" ht="13.5" thickBot="1">
      <c r="A136" s="5"/>
      <c r="B136" s="5"/>
      <c r="C136" s="6"/>
      <c r="D136" s="5"/>
      <c r="E136" s="5"/>
      <c r="F136" s="5"/>
      <c r="G136" s="5"/>
      <c r="H136" s="5"/>
      <c r="I136" s="5"/>
      <c r="J136" s="5"/>
      <c r="K136" s="5"/>
      <c r="L136" s="5"/>
      <c r="M136" s="5"/>
      <c r="N136" s="5"/>
      <c r="O136" s="5"/>
      <c r="P136" s="5"/>
      <c r="Q136" s="5"/>
      <c r="R136" s="5"/>
      <c r="S136" s="5"/>
      <c r="T136" s="5"/>
      <c r="U136" s="5"/>
      <c r="V136" s="5"/>
      <c r="W136" s="5"/>
      <c r="X136" s="5"/>
    </row>
    <row r="137" spans="1:24" ht="12.95" customHeight="1" thickBot="1">
      <c r="A137" s="95" t="s">
        <v>28</v>
      </c>
      <c r="B137" s="97" t="s">
        <v>32</v>
      </c>
      <c r="C137" s="8"/>
      <c r="D137" s="927" t="s">
        <v>78</v>
      </c>
      <c r="E137" s="928"/>
      <c r="F137" s="928"/>
      <c r="G137" s="929"/>
      <c r="H137" s="927" t="s">
        <v>77</v>
      </c>
      <c r="I137" s="928"/>
      <c r="J137" s="928"/>
      <c r="K137" s="929"/>
      <c r="L137" s="927" t="s">
        <v>81</v>
      </c>
      <c r="M137" s="928"/>
      <c r="N137" s="928"/>
      <c r="O137" s="929"/>
      <c r="P137" s="927" t="s">
        <v>254</v>
      </c>
      <c r="Q137" s="928"/>
      <c r="R137" s="928"/>
      <c r="S137" s="929"/>
      <c r="T137" s="927" t="s">
        <v>76</v>
      </c>
      <c r="U137" s="928"/>
      <c r="V137" s="928"/>
      <c r="W137" s="929"/>
      <c r="X137" s="16" t="s">
        <v>6</v>
      </c>
    </row>
    <row r="138" spans="1:24" ht="12.95" customHeight="1" thickBot="1">
      <c r="A138" s="868" t="s">
        <v>65</v>
      </c>
      <c r="B138" s="868" t="s">
        <v>66</v>
      </c>
      <c r="C138" s="9" t="s">
        <v>2</v>
      </c>
      <c r="D138" s="1014">
        <v>1</v>
      </c>
      <c r="E138" s="1015"/>
      <c r="F138" s="1015"/>
      <c r="G138" s="1016"/>
      <c r="H138" s="1014">
        <v>1.5</v>
      </c>
      <c r="I138" s="1015"/>
      <c r="J138" s="1015"/>
      <c r="K138" s="1016"/>
      <c r="L138" s="1014">
        <v>2.5</v>
      </c>
      <c r="M138" s="1015"/>
      <c r="N138" s="1015"/>
      <c r="O138" s="1016"/>
      <c r="P138" s="1014">
        <v>2.8</v>
      </c>
      <c r="Q138" s="1015"/>
      <c r="R138" s="1015"/>
      <c r="S138" s="1016"/>
      <c r="T138" s="1283">
        <v>3.6</v>
      </c>
      <c r="U138" s="1284"/>
      <c r="V138" s="1284"/>
      <c r="W138" s="1285"/>
      <c r="X138" s="879" t="s">
        <v>91</v>
      </c>
    </row>
    <row r="139" spans="1:24" ht="13.5" thickBot="1">
      <c r="A139" s="885"/>
      <c r="B139" s="885"/>
      <c r="C139" s="99" t="s">
        <v>3</v>
      </c>
      <c r="D139" s="957"/>
      <c r="E139" s="958"/>
      <c r="F139" s="958"/>
      <c r="G139" s="959"/>
      <c r="H139" s="963">
        <v>1.6</v>
      </c>
      <c r="I139" s="964"/>
      <c r="J139" s="964"/>
      <c r="K139" s="965"/>
      <c r="L139" s="963">
        <v>2.2999999999999998</v>
      </c>
      <c r="M139" s="964"/>
      <c r="N139" s="964"/>
      <c r="O139" s="965"/>
      <c r="P139" s="963">
        <v>2.8</v>
      </c>
      <c r="Q139" s="964"/>
      <c r="R139" s="964"/>
      <c r="S139" s="965"/>
      <c r="T139" s="963">
        <v>0</v>
      </c>
      <c r="U139" s="964"/>
      <c r="V139" s="964"/>
      <c r="W139" s="965"/>
      <c r="X139" s="880"/>
    </row>
    <row r="140" spans="1:24" ht="12.95" customHeight="1" thickBot="1">
      <c r="A140" s="885"/>
      <c r="B140" s="885"/>
      <c r="C140" s="1258" t="s">
        <v>170</v>
      </c>
      <c r="D140" s="927" t="s">
        <v>4</v>
      </c>
      <c r="E140" s="928"/>
      <c r="F140" s="928"/>
      <c r="G140" s="928"/>
      <c r="H140" s="928"/>
      <c r="I140" s="928"/>
      <c r="J140" s="928"/>
      <c r="K140" s="928"/>
      <c r="L140" s="928"/>
      <c r="M140" s="928"/>
      <c r="N140" s="928"/>
      <c r="O140" s="928"/>
      <c r="P140" s="928"/>
      <c r="Q140" s="928"/>
      <c r="R140" s="928"/>
      <c r="S140" s="928"/>
      <c r="T140" s="928"/>
      <c r="U140" s="928"/>
      <c r="V140" s="928"/>
      <c r="W140" s="929"/>
      <c r="X140" s="880"/>
    </row>
    <row r="141" spans="1:24" ht="12.95" customHeight="1" thickBot="1">
      <c r="A141" s="885"/>
      <c r="B141" s="869"/>
      <c r="C141" s="1259"/>
      <c r="D141" s="930" t="s">
        <v>123</v>
      </c>
      <c r="E141" s="931"/>
      <c r="F141" s="931"/>
      <c r="G141" s="931"/>
      <c r="H141" s="931"/>
      <c r="I141" s="931"/>
      <c r="J141" s="931"/>
      <c r="K141" s="931"/>
      <c r="L141" s="931"/>
      <c r="M141" s="931"/>
      <c r="N141" s="931"/>
      <c r="O141" s="931"/>
      <c r="P141" s="931"/>
      <c r="Q141" s="931"/>
      <c r="R141" s="931"/>
      <c r="S141" s="931"/>
      <c r="T141" s="931"/>
      <c r="U141" s="931"/>
      <c r="V141" s="931"/>
      <c r="W141" s="932"/>
      <c r="X141" s="880"/>
    </row>
    <row r="142" spans="1:24" ht="12.95" customHeight="1" thickBot="1">
      <c r="A142" s="885"/>
      <c r="B142" s="11" t="s">
        <v>33</v>
      </c>
      <c r="C142" s="12"/>
      <c r="D142" s="927" t="s">
        <v>78</v>
      </c>
      <c r="E142" s="928"/>
      <c r="F142" s="928"/>
      <c r="G142" s="929"/>
      <c r="H142" s="927" t="s">
        <v>77</v>
      </c>
      <c r="I142" s="928"/>
      <c r="J142" s="928"/>
      <c r="K142" s="929"/>
      <c r="L142" s="927" t="s">
        <v>81</v>
      </c>
      <c r="M142" s="928"/>
      <c r="N142" s="928"/>
      <c r="O142" s="929"/>
      <c r="P142" s="927" t="s">
        <v>254</v>
      </c>
      <c r="Q142" s="928"/>
      <c r="R142" s="928"/>
      <c r="S142" s="929"/>
      <c r="T142" s="927" t="s">
        <v>76</v>
      </c>
      <c r="U142" s="928"/>
      <c r="V142" s="928"/>
      <c r="W142" s="929"/>
      <c r="X142" s="880"/>
    </row>
    <row r="143" spans="1:24" ht="13.5" thickBot="1">
      <c r="A143" s="885"/>
      <c r="B143" s="868" t="s">
        <v>67</v>
      </c>
      <c r="C143" s="23" t="s">
        <v>2</v>
      </c>
      <c r="D143" s="1014">
        <v>1</v>
      </c>
      <c r="E143" s="1015"/>
      <c r="F143" s="1015"/>
      <c r="G143" s="1016"/>
      <c r="H143" s="1014">
        <v>2</v>
      </c>
      <c r="I143" s="1015"/>
      <c r="J143" s="1015"/>
      <c r="K143" s="1016"/>
      <c r="L143" s="1014">
        <v>3</v>
      </c>
      <c r="M143" s="1015"/>
      <c r="N143" s="1015"/>
      <c r="O143" s="1016"/>
      <c r="P143" s="1014">
        <v>3.2</v>
      </c>
      <c r="Q143" s="1015"/>
      <c r="R143" s="1015"/>
      <c r="S143" s="1016"/>
      <c r="T143" s="1283">
        <v>4.5</v>
      </c>
      <c r="U143" s="1284"/>
      <c r="V143" s="1284"/>
      <c r="W143" s="1285"/>
      <c r="X143" s="880"/>
    </row>
    <row r="144" spans="1:24" ht="13.5" thickBot="1">
      <c r="A144" s="885"/>
      <c r="B144" s="885"/>
      <c r="C144" s="9" t="s">
        <v>3</v>
      </c>
      <c r="D144" s="957"/>
      <c r="E144" s="958"/>
      <c r="F144" s="958"/>
      <c r="G144" s="959"/>
      <c r="H144" s="963">
        <v>2.8</v>
      </c>
      <c r="I144" s="964"/>
      <c r="J144" s="964"/>
      <c r="K144" s="965"/>
      <c r="L144" s="963">
        <v>2</v>
      </c>
      <c r="M144" s="964"/>
      <c r="N144" s="964"/>
      <c r="O144" s="965"/>
      <c r="P144" s="963">
        <v>4.5</v>
      </c>
      <c r="Q144" s="964"/>
      <c r="R144" s="964"/>
      <c r="S144" s="965"/>
      <c r="T144" s="963">
        <v>0</v>
      </c>
      <c r="U144" s="964"/>
      <c r="V144" s="964"/>
      <c r="W144" s="965"/>
      <c r="X144" s="880"/>
    </row>
    <row r="145" spans="1:24" ht="12.95" customHeight="1" thickBot="1">
      <c r="A145" s="885"/>
      <c r="B145" s="885"/>
      <c r="C145" s="1258" t="s">
        <v>170</v>
      </c>
      <c r="D145" s="927" t="s">
        <v>4</v>
      </c>
      <c r="E145" s="928"/>
      <c r="F145" s="928"/>
      <c r="G145" s="928"/>
      <c r="H145" s="928"/>
      <c r="I145" s="928"/>
      <c r="J145" s="928"/>
      <c r="K145" s="928"/>
      <c r="L145" s="928"/>
      <c r="M145" s="928"/>
      <c r="N145" s="928"/>
      <c r="O145" s="928"/>
      <c r="P145" s="928"/>
      <c r="Q145" s="928"/>
      <c r="R145" s="928"/>
      <c r="S145" s="928"/>
      <c r="T145" s="928"/>
      <c r="U145" s="928"/>
      <c r="V145" s="928"/>
      <c r="W145" s="929"/>
      <c r="X145" s="880"/>
    </row>
    <row r="146" spans="1:24" ht="12.95" customHeight="1" thickBot="1">
      <c r="A146" s="885"/>
      <c r="B146" s="869"/>
      <c r="C146" s="1259"/>
      <c r="D146" s="930" t="s">
        <v>123</v>
      </c>
      <c r="E146" s="931"/>
      <c r="F146" s="931"/>
      <c r="G146" s="931"/>
      <c r="H146" s="931"/>
      <c r="I146" s="931"/>
      <c r="J146" s="931"/>
      <c r="K146" s="931"/>
      <c r="L146" s="931"/>
      <c r="M146" s="931"/>
      <c r="N146" s="931"/>
      <c r="O146" s="931"/>
      <c r="P146" s="931"/>
      <c r="Q146" s="931"/>
      <c r="R146" s="931"/>
      <c r="S146" s="931"/>
      <c r="T146" s="931"/>
      <c r="U146" s="931"/>
      <c r="V146" s="931"/>
      <c r="W146" s="932"/>
      <c r="X146" s="880"/>
    </row>
    <row r="147" spans="1:24" ht="12.95" customHeight="1" thickBot="1">
      <c r="A147" s="885"/>
      <c r="B147" s="11" t="s">
        <v>34</v>
      </c>
      <c r="C147" s="12"/>
      <c r="D147" s="927" t="s">
        <v>78</v>
      </c>
      <c r="E147" s="928"/>
      <c r="F147" s="928"/>
      <c r="G147" s="929"/>
      <c r="H147" s="927" t="s">
        <v>77</v>
      </c>
      <c r="I147" s="928"/>
      <c r="J147" s="928"/>
      <c r="K147" s="929"/>
      <c r="L147" s="927" t="s">
        <v>81</v>
      </c>
      <c r="M147" s="928"/>
      <c r="N147" s="928"/>
      <c r="O147" s="929"/>
      <c r="P147" s="927" t="s">
        <v>254</v>
      </c>
      <c r="Q147" s="928"/>
      <c r="R147" s="928"/>
      <c r="S147" s="929"/>
      <c r="T147" s="927" t="s">
        <v>76</v>
      </c>
      <c r="U147" s="928"/>
      <c r="V147" s="928"/>
      <c r="W147" s="929"/>
      <c r="X147" s="880"/>
    </row>
    <row r="148" spans="1:24" ht="13.5" thickBot="1">
      <c r="A148" s="885"/>
      <c r="B148" s="868" t="s">
        <v>68</v>
      </c>
      <c r="C148" s="23" t="s">
        <v>2</v>
      </c>
      <c r="D148" s="1014">
        <v>1</v>
      </c>
      <c r="E148" s="1015"/>
      <c r="F148" s="1015"/>
      <c r="G148" s="1016"/>
      <c r="H148" s="1014">
        <v>2</v>
      </c>
      <c r="I148" s="1015"/>
      <c r="J148" s="1015"/>
      <c r="K148" s="1016"/>
      <c r="L148" s="1014">
        <v>3</v>
      </c>
      <c r="M148" s="1015"/>
      <c r="N148" s="1015"/>
      <c r="O148" s="1016"/>
      <c r="P148" s="1014">
        <v>3</v>
      </c>
      <c r="Q148" s="1015"/>
      <c r="R148" s="1015"/>
      <c r="S148" s="1016"/>
      <c r="T148" s="1283">
        <v>3.6</v>
      </c>
      <c r="U148" s="1284"/>
      <c r="V148" s="1284"/>
      <c r="W148" s="1285"/>
      <c r="X148" s="880"/>
    </row>
    <row r="149" spans="1:24" ht="13.5" thickBot="1">
      <c r="A149" s="885"/>
      <c r="B149" s="885"/>
      <c r="C149" s="9" t="s">
        <v>3</v>
      </c>
      <c r="D149" s="957"/>
      <c r="E149" s="958"/>
      <c r="F149" s="958"/>
      <c r="G149" s="959"/>
      <c r="H149" s="963">
        <v>2</v>
      </c>
      <c r="I149" s="964"/>
      <c r="J149" s="964"/>
      <c r="K149" s="965"/>
      <c r="L149" s="963">
        <v>2.2000000000000002</v>
      </c>
      <c r="M149" s="964"/>
      <c r="N149" s="964"/>
      <c r="O149" s="965"/>
      <c r="P149" s="963">
        <v>3</v>
      </c>
      <c r="Q149" s="964"/>
      <c r="R149" s="964"/>
      <c r="S149" s="965"/>
      <c r="T149" s="963">
        <v>0</v>
      </c>
      <c r="U149" s="964"/>
      <c r="V149" s="964"/>
      <c r="W149" s="965"/>
      <c r="X149" s="880"/>
    </row>
    <row r="150" spans="1:24" ht="12.95" customHeight="1" thickBot="1">
      <c r="A150" s="885"/>
      <c r="B150" s="885"/>
      <c r="C150" s="1258" t="s">
        <v>170</v>
      </c>
      <c r="D150" s="927" t="s">
        <v>4</v>
      </c>
      <c r="E150" s="928"/>
      <c r="F150" s="928"/>
      <c r="G150" s="928"/>
      <c r="H150" s="928"/>
      <c r="I150" s="928"/>
      <c r="J150" s="928"/>
      <c r="K150" s="928"/>
      <c r="L150" s="928"/>
      <c r="M150" s="928"/>
      <c r="N150" s="928"/>
      <c r="O150" s="928"/>
      <c r="P150" s="928"/>
      <c r="Q150" s="928"/>
      <c r="R150" s="928"/>
      <c r="S150" s="928"/>
      <c r="T150" s="928"/>
      <c r="U150" s="928"/>
      <c r="V150" s="928"/>
      <c r="W150" s="929"/>
      <c r="X150" s="880"/>
    </row>
    <row r="151" spans="1:24" ht="12.95" customHeight="1" thickBot="1">
      <c r="A151" s="885"/>
      <c r="B151" s="869"/>
      <c r="C151" s="1259"/>
      <c r="D151" s="930" t="s">
        <v>123</v>
      </c>
      <c r="E151" s="931"/>
      <c r="F151" s="931"/>
      <c r="G151" s="931"/>
      <c r="H151" s="931"/>
      <c r="I151" s="931"/>
      <c r="J151" s="931"/>
      <c r="K151" s="931"/>
      <c r="L151" s="931"/>
      <c r="M151" s="931"/>
      <c r="N151" s="931"/>
      <c r="O151" s="931"/>
      <c r="P151" s="931"/>
      <c r="Q151" s="931"/>
      <c r="R151" s="931"/>
      <c r="S151" s="931"/>
      <c r="T151" s="931"/>
      <c r="U151" s="931"/>
      <c r="V151" s="931"/>
      <c r="W151" s="932"/>
      <c r="X151" s="880"/>
    </row>
    <row r="152" spans="1:24" ht="12.95" customHeight="1" thickBot="1">
      <c r="A152" s="885"/>
      <c r="B152" s="11" t="s">
        <v>41</v>
      </c>
      <c r="C152" s="12"/>
      <c r="D152" s="927" t="s">
        <v>78</v>
      </c>
      <c r="E152" s="928"/>
      <c r="F152" s="928"/>
      <c r="G152" s="929"/>
      <c r="H152" s="927" t="s">
        <v>77</v>
      </c>
      <c r="I152" s="928"/>
      <c r="J152" s="928"/>
      <c r="K152" s="929"/>
      <c r="L152" s="927" t="s">
        <v>81</v>
      </c>
      <c r="M152" s="928"/>
      <c r="N152" s="928"/>
      <c r="O152" s="929"/>
      <c r="P152" s="927" t="s">
        <v>254</v>
      </c>
      <c r="Q152" s="928"/>
      <c r="R152" s="928"/>
      <c r="S152" s="929"/>
      <c r="T152" s="927" t="s">
        <v>76</v>
      </c>
      <c r="U152" s="928"/>
      <c r="V152" s="928"/>
      <c r="W152" s="929"/>
      <c r="X152" s="880"/>
    </row>
    <row r="153" spans="1:24" ht="13.5" thickBot="1">
      <c r="A153" s="885"/>
      <c r="B153" s="868" t="s">
        <v>69</v>
      </c>
      <c r="C153" s="23" t="s">
        <v>2</v>
      </c>
      <c r="D153" s="1014">
        <v>1</v>
      </c>
      <c r="E153" s="1015"/>
      <c r="F153" s="1015"/>
      <c r="G153" s="1016"/>
      <c r="H153" s="1014">
        <v>2</v>
      </c>
      <c r="I153" s="1015"/>
      <c r="J153" s="1015"/>
      <c r="K153" s="1016"/>
      <c r="L153" s="1014">
        <v>3</v>
      </c>
      <c r="M153" s="1015"/>
      <c r="N153" s="1015"/>
      <c r="O153" s="1016"/>
      <c r="P153" s="1014">
        <v>3.2</v>
      </c>
      <c r="Q153" s="1015"/>
      <c r="R153" s="1015"/>
      <c r="S153" s="1016"/>
      <c r="T153" s="1283">
        <v>4.2</v>
      </c>
      <c r="U153" s="1284"/>
      <c r="V153" s="1284"/>
      <c r="W153" s="1285"/>
      <c r="X153" s="880"/>
    </row>
    <row r="154" spans="1:24" ht="13.5" thickBot="1">
      <c r="A154" s="885"/>
      <c r="B154" s="885"/>
      <c r="C154" s="9" t="s">
        <v>3</v>
      </c>
      <c r="D154" s="957"/>
      <c r="E154" s="958"/>
      <c r="F154" s="958"/>
      <c r="G154" s="959"/>
      <c r="H154" s="963">
        <v>1.7</v>
      </c>
      <c r="I154" s="964"/>
      <c r="J154" s="964"/>
      <c r="K154" s="965"/>
      <c r="L154" s="963">
        <v>2.4</v>
      </c>
      <c r="M154" s="964"/>
      <c r="N154" s="964"/>
      <c r="O154" s="965"/>
      <c r="P154" s="963">
        <v>4</v>
      </c>
      <c r="Q154" s="964"/>
      <c r="R154" s="964"/>
      <c r="S154" s="965"/>
      <c r="T154" s="963">
        <v>0</v>
      </c>
      <c r="U154" s="964"/>
      <c r="V154" s="964"/>
      <c r="W154" s="965"/>
      <c r="X154" s="880"/>
    </row>
    <row r="155" spans="1:24" ht="12.95" customHeight="1" thickBot="1">
      <c r="A155" s="885"/>
      <c r="B155" s="885"/>
      <c r="C155" s="1258" t="s">
        <v>170</v>
      </c>
      <c r="D155" s="927" t="s">
        <v>4</v>
      </c>
      <c r="E155" s="928"/>
      <c r="F155" s="928"/>
      <c r="G155" s="928"/>
      <c r="H155" s="928"/>
      <c r="I155" s="928"/>
      <c r="J155" s="928"/>
      <c r="K155" s="928"/>
      <c r="L155" s="928"/>
      <c r="M155" s="928"/>
      <c r="N155" s="928"/>
      <c r="O155" s="928"/>
      <c r="P155" s="928"/>
      <c r="Q155" s="928"/>
      <c r="R155" s="928"/>
      <c r="S155" s="928"/>
      <c r="T155" s="928"/>
      <c r="U155" s="928"/>
      <c r="V155" s="928"/>
      <c r="W155" s="929"/>
      <c r="X155" s="880"/>
    </row>
    <row r="156" spans="1:24" ht="12.95" customHeight="1" thickBot="1">
      <c r="A156" s="885"/>
      <c r="B156" s="869"/>
      <c r="C156" s="1259"/>
      <c r="D156" s="930" t="s">
        <v>123</v>
      </c>
      <c r="E156" s="931"/>
      <c r="F156" s="931"/>
      <c r="G156" s="931"/>
      <c r="H156" s="931"/>
      <c r="I156" s="931"/>
      <c r="J156" s="931"/>
      <c r="K156" s="931"/>
      <c r="L156" s="931"/>
      <c r="M156" s="931"/>
      <c r="N156" s="931"/>
      <c r="O156" s="931"/>
      <c r="P156" s="931"/>
      <c r="Q156" s="931"/>
      <c r="R156" s="931"/>
      <c r="S156" s="931"/>
      <c r="T156" s="931"/>
      <c r="U156" s="931"/>
      <c r="V156" s="931"/>
      <c r="W156" s="932"/>
      <c r="X156" s="880"/>
    </row>
    <row r="157" spans="1:24" ht="12.95" customHeight="1" thickBot="1">
      <c r="A157" s="885"/>
      <c r="B157" s="11" t="s">
        <v>42</v>
      </c>
      <c r="C157" s="28"/>
      <c r="D157" s="927" t="s">
        <v>78</v>
      </c>
      <c r="E157" s="928"/>
      <c r="F157" s="928"/>
      <c r="G157" s="929"/>
      <c r="H157" s="927" t="s">
        <v>77</v>
      </c>
      <c r="I157" s="928"/>
      <c r="J157" s="928"/>
      <c r="K157" s="929"/>
      <c r="L157" s="927" t="s">
        <v>81</v>
      </c>
      <c r="M157" s="928"/>
      <c r="N157" s="928"/>
      <c r="O157" s="929"/>
      <c r="P157" s="927" t="s">
        <v>254</v>
      </c>
      <c r="Q157" s="928"/>
      <c r="R157" s="928"/>
      <c r="S157" s="929"/>
      <c r="T157" s="927" t="s">
        <v>76</v>
      </c>
      <c r="U157" s="928"/>
      <c r="V157" s="928"/>
      <c r="W157" s="929"/>
      <c r="X157" s="880"/>
    </row>
    <row r="158" spans="1:24" ht="18.95" customHeight="1" thickBot="1">
      <c r="A158" s="885"/>
      <c r="B158" s="868" t="s">
        <v>180</v>
      </c>
      <c r="C158" s="26"/>
      <c r="D158" s="955" t="s">
        <v>99</v>
      </c>
      <c r="E158" s="956"/>
      <c r="F158" s="955" t="s">
        <v>100</v>
      </c>
      <c r="G158" s="956"/>
      <c r="H158" s="955" t="s">
        <v>99</v>
      </c>
      <c r="I158" s="956"/>
      <c r="J158" s="955" t="s">
        <v>100</v>
      </c>
      <c r="K158" s="956"/>
      <c r="L158" s="955" t="s">
        <v>99</v>
      </c>
      <c r="M158" s="956"/>
      <c r="N158" s="955" t="s">
        <v>100</v>
      </c>
      <c r="O158" s="956"/>
      <c r="P158" s="955" t="s">
        <v>99</v>
      </c>
      <c r="Q158" s="956"/>
      <c r="R158" s="955" t="s">
        <v>100</v>
      </c>
      <c r="S158" s="956"/>
      <c r="T158" s="955" t="s">
        <v>99</v>
      </c>
      <c r="U158" s="956"/>
      <c r="V158" s="955" t="s">
        <v>100</v>
      </c>
      <c r="W158" s="956"/>
      <c r="X158" s="880"/>
    </row>
    <row r="159" spans="1:24" ht="13.5" thickBot="1">
      <c r="A159" s="885"/>
      <c r="B159" s="885"/>
      <c r="C159" s="26" t="s">
        <v>2</v>
      </c>
      <c r="D159" s="1006">
        <v>0</v>
      </c>
      <c r="E159" s="1007"/>
      <c r="F159" s="1006">
        <v>0</v>
      </c>
      <c r="G159" s="1007"/>
      <c r="H159" s="1006">
        <v>2</v>
      </c>
      <c r="I159" s="1007"/>
      <c r="J159" s="1006">
        <v>1</v>
      </c>
      <c r="K159" s="1007"/>
      <c r="L159" s="1006">
        <v>4</v>
      </c>
      <c r="M159" s="1007"/>
      <c r="N159" s="1006">
        <v>1</v>
      </c>
      <c r="O159" s="1007"/>
      <c r="P159" s="1006">
        <v>6</v>
      </c>
      <c r="Q159" s="1007"/>
      <c r="R159" s="1006">
        <v>3</v>
      </c>
      <c r="S159" s="1007"/>
      <c r="T159" s="1281">
        <v>12</v>
      </c>
      <c r="U159" s="1282"/>
      <c r="V159" s="1281">
        <v>6</v>
      </c>
      <c r="W159" s="1282"/>
      <c r="X159" s="880"/>
    </row>
    <row r="160" spans="1:24" ht="12.95" customHeight="1" thickBot="1">
      <c r="A160" s="869"/>
      <c r="B160" s="885"/>
      <c r="C160" s="9" t="s">
        <v>3</v>
      </c>
      <c r="D160" s="933" t="s">
        <v>171</v>
      </c>
      <c r="E160" s="934"/>
      <c r="F160" s="934"/>
      <c r="G160" s="935"/>
      <c r="H160" s="936" t="s">
        <v>249</v>
      </c>
      <c r="I160" s="937"/>
      <c r="J160" s="937"/>
      <c r="K160" s="938"/>
      <c r="L160" s="939">
        <v>5</v>
      </c>
      <c r="M160" s="953"/>
      <c r="N160" s="939">
        <v>3</v>
      </c>
      <c r="O160" s="953"/>
      <c r="P160" s="939">
        <v>9</v>
      </c>
      <c r="Q160" s="953"/>
      <c r="R160" s="939">
        <v>4</v>
      </c>
      <c r="S160" s="953"/>
      <c r="T160" s="939">
        <v>0</v>
      </c>
      <c r="U160" s="953"/>
      <c r="V160" s="939">
        <v>0</v>
      </c>
      <c r="W160" s="953"/>
      <c r="X160" s="881"/>
    </row>
    <row r="161" spans="1:24" ht="12.95" customHeight="1" thickBot="1">
      <c r="A161" s="96" t="s">
        <v>13</v>
      </c>
      <c r="B161" s="885" t="s">
        <v>178</v>
      </c>
      <c r="C161" s="1258" t="s">
        <v>170</v>
      </c>
      <c r="D161" s="927" t="s">
        <v>4</v>
      </c>
      <c r="E161" s="928"/>
      <c r="F161" s="928"/>
      <c r="G161" s="928"/>
      <c r="H161" s="928"/>
      <c r="I161" s="928"/>
      <c r="J161" s="928"/>
      <c r="K161" s="928"/>
      <c r="L161" s="928"/>
      <c r="M161" s="928"/>
      <c r="N161" s="928"/>
      <c r="O161" s="928"/>
      <c r="P161" s="928"/>
      <c r="Q161" s="928"/>
      <c r="R161" s="928"/>
      <c r="S161" s="928"/>
      <c r="T161" s="928"/>
      <c r="U161" s="928"/>
      <c r="V161" s="928"/>
      <c r="W161" s="929"/>
      <c r="X161" s="24" t="s">
        <v>14</v>
      </c>
    </row>
    <row r="162" spans="1:24" ht="12.95" customHeight="1" thickBot="1">
      <c r="A162" s="25" t="s">
        <v>74</v>
      </c>
      <c r="B162" s="869"/>
      <c r="C162" s="1259"/>
      <c r="D162" s="930" t="s">
        <v>124</v>
      </c>
      <c r="E162" s="931"/>
      <c r="F162" s="931"/>
      <c r="G162" s="931"/>
      <c r="H162" s="931"/>
      <c r="I162" s="931"/>
      <c r="J162" s="931"/>
      <c r="K162" s="931"/>
      <c r="L162" s="931"/>
      <c r="M162" s="931"/>
      <c r="N162" s="931"/>
      <c r="O162" s="931"/>
      <c r="P162" s="931"/>
      <c r="Q162" s="931"/>
      <c r="R162" s="931"/>
      <c r="S162" s="931"/>
      <c r="T162" s="931"/>
      <c r="U162" s="931"/>
      <c r="V162" s="931"/>
      <c r="W162" s="932"/>
      <c r="X162" s="18" t="s">
        <v>93</v>
      </c>
    </row>
    <row r="163" spans="1:24" ht="12.95" customHeight="1" thickBot="1">
      <c r="A163" s="906" t="s">
        <v>7</v>
      </c>
      <c r="B163" s="908" t="s">
        <v>173</v>
      </c>
      <c r="C163" s="909"/>
      <c r="D163" s="908" t="s">
        <v>8</v>
      </c>
      <c r="E163" s="918"/>
      <c r="F163" s="918"/>
      <c r="G163" s="909"/>
      <c r="H163" s="908" t="s">
        <v>88</v>
      </c>
      <c r="I163" s="918"/>
      <c r="J163" s="918"/>
      <c r="K163" s="909"/>
      <c r="L163" s="908" t="s">
        <v>89</v>
      </c>
      <c r="M163" s="918"/>
      <c r="N163" s="918"/>
      <c r="O163" s="909"/>
      <c r="P163" s="908" t="s">
        <v>9</v>
      </c>
      <c r="Q163" s="918"/>
      <c r="R163" s="918"/>
      <c r="S163" s="909"/>
      <c r="T163" s="908" t="s">
        <v>174</v>
      </c>
      <c r="U163" s="918"/>
      <c r="V163" s="918"/>
      <c r="W163" s="918"/>
      <c r="X163" s="909"/>
    </row>
    <row r="164" spans="1:24" ht="13.5" thickBot="1">
      <c r="A164" s="907"/>
      <c r="B164" s="1256"/>
      <c r="C164" s="1257"/>
      <c r="D164" s="916"/>
      <c r="E164" s="994"/>
      <c r="F164" s="994"/>
      <c r="G164" s="917"/>
      <c r="H164" s="916"/>
      <c r="I164" s="994"/>
      <c r="J164" s="994"/>
      <c r="K164" s="917"/>
      <c r="L164" s="916"/>
      <c r="M164" s="994"/>
      <c r="N164" s="994"/>
      <c r="O164" s="917"/>
      <c r="P164" s="916">
        <f>SUM(B164:O164)</f>
        <v>0</v>
      </c>
      <c r="Q164" s="994"/>
      <c r="R164" s="994"/>
      <c r="S164" s="917"/>
      <c r="T164" s="916" t="e">
        <f>B164/P164%</f>
        <v>#DIV/0!</v>
      </c>
      <c r="U164" s="994"/>
      <c r="V164" s="994"/>
      <c r="W164" s="994"/>
      <c r="X164" s="917"/>
    </row>
    <row r="165" spans="1:24" ht="13.5" thickBot="1">
      <c r="A165" s="906" t="s">
        <v>10</v>
      </c>
      <c r="B165" s="908" t="s">
        <v>175</v>
      </c>
      <c r="C165" s="909"/>
      <c r="D165" s="910"/>
      <c r="E165" s="911"/>
      <c r="F165" s="911"/>
      <c r="G165" s="911"/>
      <c r="H165" s="911"/>
      <c r="I165" s="911"/>
      <c r="J165" s="911"/>
      <c r="K165" s="911"/>
      <c r="L165" s="911"/>
      <c r="M165" s="911"/>
      <c r="N165" s="911"/>
      <c r="O165" s="911"/>
      <c r="P165" s="911"/>
      <c r="Q165" s="911"/>
      <c r="R165" s="911"/>
      <c r="S165" s="911"/>
      <c r="T165" s="911"/>
      <c r="U165" s="911"/>
      <c r="V165" s="911"/>
      <c r="W165" s="911"/>
      <c r="X165" s="912"/>
    </row>
    <row r="166" spans="1:24" ht="13.5" thickBot="1">
      <c r="A166" s="907"/>
      <c r="B166" s="1256"/>
      <c r="C166" s="1257"/>
      <c r="D166" s="913"/>
      <c r="E166" s="914"/>
      <c r="F166" s="914"/>
      <c r="G166" s="914"/>
      <c r="H166" s="914"/>
      <c r="I166" s="914"/>
      <c r="J166" s="914"/>
      <c r="K166" s="914"/>
      <c r="L166" s="914"/>
      <c r="M166" s="914"/>
      <c r="N166" s="914"/>
      <c r="O166" s="914"/>
      <c r="P166" s="914"/>
      <c r="Q166" s="914"/>
      <c r="R166" s="914"/>
      <c r="S166" s="914"/>
      <c r="T166" s="914"/>
      <c r="U166" s="914"/>
      <c r="V166" s="914"/>
      <c r="W166" s="914"/>
      <c r="X166" s="915"/>
    </row>
    <row r="168" spans="1:24" ht="13.5" thickBot="1"/>
    <row r="169" spans="1:24" ht="12.95" customHeight="1" thickBot="1">
      <c r="A169" s="472" t="s">
        <v>27</v>
      </c>
      <c r="B169" s="473" t="s">
        <v>35</v>
      </c>
      <c r="C169" s="474"/>
      <c r="D169" s="1230" t="s">
        <v>78</v>
      </c>
      <c r="E169" s="1231"/>
      <c r="F169" s="1231"/>
      <c r="G169" s="1232"/>
      <c r="H169" s="1240" t="s">
        <v>77</v>
      </c>
      <c r="I169" s="1231"/>
      <c r="J169" s="1231"/>
      <c r="K169" s="1232"/>
      <c r="L169" s="1240" t="s">
        <v>81</v>
      </c>
      <c r="M169" s="1231"/>
      <c r="N169" s="1231"/>
      <c r="O169" s="1232"/>
      <c r="P169" s="1240" t="s">
        <v>254</v>
      </c>
      <c r="Q169" s="1231"/>
      <c r="R169" s="1231"/>
      <c r="S169" s="1232"/>
      <c r="T169" s="1240" t="s">
        <v>76</v>
      </c>
      <c r="U169" s="1231"/>
      <c r="V169" s="1231"/>
      <c r="W169" s="1232"/>
      <c r="X169" s="475" t="s">
        <v>12</v>
      </c>
    </row>
    <row r="170" spans="1:24" ht="12.95" customHeight="1" thickBot="1">
      <c r="A170" s="1253" t="s">
        <v>70</v>
      </c>
      <c r="B170" s="873" t="s">
        <v>609</v>
      </c>
      <c r="C170" s="90"/>
      <c r="D170" s="1215" t="s">
        <v>636</v>
      </c>
      <c r="E170" s="1216"/>
      <c r="F170" s="1216"/>
      <c r="G170" s="1217"/>
      <c r="H170" s="1215" t="s">
        <v>636</v>
      </c>
      <c r="I170" s="1216"/>
      <c r="J170" s="1216"/>
      <c r="K170" s="1217"/>
      <c r="L170" s="1215" t="s">
        <v>636</v>
      </c>
      <c r="M170" s="1216"/>
      <c r="N170" s="1216"/>
      <c r="O170" s="1217"/>
      <c r="P170" s="476" t="s">
        <v>602</v>
      </c>
      <c r="Q170" s="476" t="s">
        <v>603</v>
      </c>
      <c r="R170" s="476" t="s">
        <v>608</v>
      </c>
      <c r="S170" s="476" t="s">
        <v>604</v>
      </c>
      <c r="T170" s="476" t="s">
        <v>602</v>
      </c>
      <c r="U170" s="476" t="s">
        <v>603</v>
      </c>
      <c r="V170" s="476" t="s">
        <v>608</v>
      </c>
      <c r="W170" s="476" t="s">
        <v>604</v>
      </c>
      <c r="X170" s="879" t="s">
        <v>90</v>
      </c>
    </row>
    <row r="171" spans="1:24" ht="12.95" customHeight="1" thickBot="1">
      <c r="A171" s="1254"/>
      <c r="B171" s="874"/>
      <c r="C171" s="26" t="s">
        <v>2</v>
      </c>
      <c r="D171" s="1000">
        <v>0</v>
      </c>
      <c r="E171" s="1001"/>
      <c r="F171" s="1001"/>
      <c r="G171" s="1002"/>
      <c r="H171" s="1000">
        <v>5</v>
      </c>
      <c r="I171" s="1001"/>
      <c r="J171" s="1001"/>
      <c r="K171" s="1002"/>
      <c r="L171" s="1000">
        <v>8</v>
      </c>
      <c r="M171" s="1001"/>
      <c r="N171" s="1001"/>
      <c r="O171" s="1002"/>
      <c r="P171" s="1077">
        <v>11</v>
      </c>
      <c r="Q171" s="1280"/>
      <c r="R171" s="1280"/>
      <c r="S171" s="1078"/>
      <c r="T171" s="238">
        <v>25</v>
      </c>
      <c r="U171" s="238">
        <v>10</v>
      </c>
      <c r="V171" s="778">
        <v>8</v>
      </c>
      <c r="W171" s="780">
        <v>8</v>
      </c>
      <c r="X171" s="880"/>
    </row>
    <row r="172" spans="1:24" ht="12.95" customHeight="1" thickBot="1">
      <c r="A172" s="1254"/>
      <c r="B172" s="874"/>
      <c r="C172" s="9" t="s">
        <v>3</v>
      </c>
      <c r="D172" s="1241" t="s">
        <v>837</v>
      </c>
      <c r="E172" s="1242"/>
      <c r="F172" s="1242"/>
      <c r="G172" s="1243"/>
      <c r="H172" s="1247">
        <v>1</v>
      </c>
      <c r="I172" s="940"/>
      <c r="J172" s="940"/>
      <c r="K172" s="1248"/>
      <c r="L172" s="1247">
        <v>10</v>
      </c>
      <c r="M172" s="940"/>
      <c r="N172" s="940"/>
      <c r="O172" s="1248"/>
      <c r="P172" s="150">
        <v>18</v>
      </c>
      <c r="Q172" s="781">
        <v>5</v>
      </c>
      <c r="R172" s="781">
        <v>5</v>
      </c>
      <c r="S172" s="781">
        <v>7</v>
      </c>
      <c r="T172" s="150">
        <v>0</v>
      </c>
      <c r="U172" s="150">
        <v>0</v>
      </c>
      <c r="V172" s="150">
        <v>0</v>
      </c>
      <c r="W172" s="150">
        <v>0</v>
      </c>
      <c r="X172" s="880"/>
    </row>
    <row r="173" spans="1:24" ht="12.95" customHeight="1" thickBot="1">
      <c r="A173" s="1254"/>
      <c r="B173" s="874"/>
      <c r="C173" s="1244" t="s">
        <v>838</v>
      </c>
      <c r="D173" s="1230" t="s">
        <v>839</v>
      </c>
      <c r="E173" s="1231"/>
      <c r="F173" s="1231"/>
      <c r="G173" s="1231"/>
      <c r="H173" s="1231"/>
      <c r="I173" s="1231"/>
      <c r="J173" s="1231"/>
      <c r="K173" s="1231"/>
      <c r="L173" s="1231"/>
      <c r="M173" s="1231"/>
      <c r="N173" s="1231"/>
      <c r="O173" s="1231"/>
      <c r="P173" s="1231"/>
      <c r="Q173" s="1231"/>
      <c r="R173" s="1231"/>
      <c r="S173" s="1231"/>
      <c r="T173" s="1231"/>
      <c r="U173" s="1231"/>
      <c r="V173" s="1231"/>
      <c r="W173" s="1232"/>
      <c r="X173" s="880"/>
    </row>
    <row r="174" spans="1:24" ht="12.95" customHeight="1" thickBot="1">
      <c r="A174" s="1254"/>
      <c r="B174" s="1249"/>
      <c r="C174" s="1245"/>
      <c r="D174" s="930" t="s">
        <v>125</v>
      </c>
      <c r="E174" s="931"/>
      <c r="F174" s="931"/>
      <c r="G174" s="931"/>
      <c r="H174" s="931"/>
      <c r="I174" s="931"/>
      <c r="J174" s="931"/>
      <c r="K174" s="931"/>
      <c r="L174" s="931"/>
      <c r="M174" s="931"/>
      <c r="N174" s="931"/>
      <c r="O174" s="931"/>
      <c r="P174" s="931"/>
      <c r="Q174" s="931"/>
      <c r="R174" s="931"/>
      <c r="S174" s="931"/>
      <c r="T174" s="931"/>
      <c r="U174" s="931"/>
      <c r="V174" s="931"/>
      <c r="W174" s="932"/>
      <c r="X174" s="880"/>
    </row>
    <row r="175" spans="1:24" ht="12.95" customHeight="1" thickBot="1">
      <c r="A175" s="1254"/>
      <c r="B175" s="477" t="s">
        <v>36</v>
      </c>
      <c r="C175" s="478"/>
      <c r="D175" s="1230" t="s">
        <v>78</v>
      </c>
      <c r="E175" s="1231"/>
      <c r="F175" s="1231"/>
      <c r="G175" s="1232"/>
      <c r="H175" s="1240" t="s">
        <v>77</v>
      </c>
      <c r="I175" s="1231"/>
      <c r="J175" s="1231"/>
      <c r="K175" s="1232"/>
      <c r="L175" s="1240" t="s">
        <v>81</v>
      </c>
      <c r="M175" s="1231"/>
      <c r="N175" s="1231"/>
      <c r="O175" s="1232"/>
      <c r="P175" s="1240" t="s">
        <v>254</v>
      </c>
      <c r="Q175" s="1231"/>
      <c r="R175" s="1231"/>
      <c r="S175" s="1232"/>
      <c r="T175" s="1240" t="s">
        <v>76</v>
      </c>
      <c r="U175" s="1231"/>
      <c r="V175" s="1231"/>
      <c r="W175" s="1246"/>
      <c r="X175" s="880"/>
    </row>
    <row r="176" spans="1:24" ht="12.95" customHeight="1" thickBot="1">
      <c r="A176" s="1254"/>
      <c r="B176" s="873" t="s">
        <v>601</v>
      </c>
      <c r="C176" s="90"/>
      <c r="D176" s="1215" t="s">
        <v>636</v>
      </c>
      <c r="E176" s="1216"/>
      <c r="F176" s="1216"/>
      <c r="G176" s="1217"/>
      <c r="H176" s="1215" t="s">
        <v>636</v>
      </c>
      <c r="I176" s="1216"/>
      <c r="J176" s="1216"/>
      <c r="K176" s="1217"/>
      <c r="L176" s="1215" t="s">
        <v>636</v>
      </c>
      <c r="M176" s="1216"/>
      <c r="N176" s="1216"/>
      <c r="O176" s="1217"/>
      <c r="P176" s="479" t="s">
        <v>101</v>
      </c>
      <c r="Q176" s="479" t="s">
        <v>104</v>
      </c>
      <c r="R176" s="479" t="s">
        <v>102</v>
      </c>
      <c r="S176" s="479" t="s">
        <v>103</v>
      </c>
      <c r="T176" s="479" t="s">
        <v>101</v>
      </c>
      <c r="U176" s="479" t="s">
        <v>104</v>
      </c>
      <c r="V176" s="479" t="s">
        <v>102</v>
      </c>
      <c r="W176" s="479" t="s">
        <v>103</v>
      </c>
      <c r="X176" s="880"/>
    </row>
    <row r="177" spans="1:24" ht="13.5" thickBot="1">
      <c r="A177" s="1254"/>
      <c r="B177" s="874"/>
      <c r="C177" s="26" t="s">
        <v>2</v>
      </c>
      <c r="D177" s="1000">
        <v>0</v>
      </c>
      <c r="E177" s="1001"/>
      <c r="F177" s="1001"/>
      <c r="G177" s="1002"/>
      <c r="H177" s="1000">
        <v>1</v>
      </c>
      <c r="I177" s="1001"/>
      <c r="J177" s="1001"/>
      <c r="K177" s="1002"/>
      <c r="L177" s="1000">
        <v>4</v>
      </c>
      <c r="M177" s="1001"/>
      <c r="N177" s="1001"/>
      <c r="O177" s="1002"/>
      <c r="P177" s="1077">
        <v>2</v>
      </c>
      <c r="Q177" s="1280"/>
      <c r="R177" s="1280"/>
      <c r="S177" s="1078"/>
      <c r="T177" s="778">
        <v>8</v>
      </c>
      <c r="U177" s="238">
        <v>6</v>
      </c>
      <c r="V177" s="778">
        <v>3</v>
      </c>
      <c r="W177" s="238">
        <v>2</v>
      </c>
      <c r="X177" s="880"/>
    </row>
    <row r="178" spans="1:24" ht="12.95" customHeight="1" thickBot="1">
      <c r="A178" s="1254"/>
      <c r="B178" s="874"/>
      <c r="C178" s="9" t="s">
        <v>3</v>
      </c>
      <c r="D178" s="1241" t="s">
        <v>837</v>
      </c>
      <c r="E178" s="1242"/>
      <c r="F178" s="1242"/>
      <c r="G178" s="1243"/>
      <c r="H178" s="1250" t="s">
        <v>637</v>
      </c>
      <c r="I178" s="1242"/>
      <c r="J178" s="1242"/>
      <c r="K178" s="1243"/>
      <c r="L178" s="1251">
        <v>0</v>
      </c>
      <c r="M178" s="925"/>
      <c r="N178" s="925"/>
      <c r="O178" s="926"/>
      <c r="P178" s="150">
        <v>4</v>
      </c>
      <c r="Q178" s="781">
        <v>2</v>
      </c>
      <c r="R178" s="781">
        <v>1</v>
      </c>
      <c r="S178" s="781">
        <v>1</v>
      </c>
      <c r="T178" s="150">
        <v>0</v>
      </c>
      <c r="U178" s="150">
        <v>0</v>
      </c>
      <c r="V178" s="150">
        <v>0</v>
      </c>
      <c r="W178" s="150">
        <v>0</v>
      </c>
      <c r="X178" s="880"/>
    </row>
    <row r="179" spans="1:24" ht="12.95" customHeight="1" thickBot="1">
      <c r="A179" s="1254"/>
      <c r="B179" s="874"/>
      <c r="C179" s="1252" t="s">
        <v>838</v>
      </c>
      <c r="D179" s="1230" t="s">
        <v>839</v>
      </c>
      <c r="E179" s="1231"/>
      <c r="F179" s="1231"/>
      <c r="G179" s="1231"/>
      <c r="H179" s="1231"/>
      <c r="I179" s="1231"/>
      <c r="J179" s="1231"/>
      <c r="K179" s="1231"/>
      <c r="L179" s="1231"/>
      <c r="M179" s="1231"/>
      <c r="N179" s="1231"/>
      <c r="O179" s="1231"/>
      <c r="P179" s="1231"/>
      <c r="Q179" s="1231"/>
      <c r="R179" s="1231"/>
      <c r="S179" s="1231"/>
      <c r="T179" s="1231"/>
      <c r="U179" s="1231"/>
      <c r="V179" s="1231"/>
      <c r="W179" s="1232"/>
      <c r="X179" s="880"/>
    </row>
    <row r="180" spans="1:24" ht="12.95" customHeight="1" thickBot="1">
      <c r="A180" s="1254"/>
      <c r="B180" s="1249"/>
      <c r="C180" s="1229"/>
      <c r="D180" s="930" t="s">
        <v>125</v>
      </c>
      <c r="E180" s="931"/>
      <c r="F180" s="931"/>
      <c r="G180" s="931"/>
      <c r="H180" s="931"/>
      <c r="I180" s="931"/>
      <c r="J180" s="931"/>
      <c r="K180" s="931"/>
      <c r="L180" s="931"/>
      <c r="M180" s="931"/>
      <c r="N180" s="931"/>
      <c r="O180" s="931"/>
      <c r="P180" s="931"/>
      <c r="Q180" s="931"/>
      <c r="R180" s="931"/>
      <c r="S180" s="931"/>
      <c r="T180" s="931"/>
      <c r="U180" s="931"/>
      <c r="V180" s="931"/>
      <c r="W180" s="1233"/>
      <c r="X180" s="880"/>
    </row>
    <row r="181" spans="1:24" ht="12.95" customHeight="1" thickBot="1">
      <c r="A181" s="1254"/>
      <c r="B181" s="477" t="s">
        <v>600</v>
      </c>
      <c r="C181" s="478"/>
      <c r="D181" s="1230" t="s">
        <v>78</v>
      </c>
      <c r="E181" s="1231"/>
      <c r="F181" s="1231"/>
      <c r="G181" s="1232"/>
      <c r="H181" s="1240" t="s">
        <v>77</v>
      </c>
      <c r="I181" s="1231"/>
      <c r="J181" s="1231"/>
      <c r="K181" s="1232"/>
      <c r="L181" s="1240" t="s">
        <v>81</v>
      </c>
      <c r="M181" s="1231"/>
      <c r="N181" s="1231"/>
      <c r="O181" s="1232"/>
      <c r="P181" s="1240" t="s">
        <v>254</v>
      </c>
      <c r="Q181" s="1231"/>
      <c r="R181" s="1231"/>
      <c r="S181" s="1232"/>
      <c r="T181" s="1240" t="s">
        <v>76</v>
      </c>
      <c r="U181" s="1231"/>
      <c r="V181" s="1231"/>
      <c r="W181" s="1232"/>
      <c r="X181" s="880"/>
    </row>
    <row r="182" spans="1:24" ht="14.25" thickBot="1">
      <c r="A182" s="1254"/>
      <c r="B182" s="1132" t="s">
        <v>648</v>
      </c>
      <c r="C182" s="90"/>
      <c r="D182" s="1215"/>
      <c r="E182" s="1216"/>
      <c r="F182" s="1216"/>
      <c r="G182" s="1217"/>
      <c r="H182" s="1215"/>
      <c r="I182" s="1216"/>
      <c r="J182" s="1216"/>
      <c r="K182" s="1217"/>
      <c r="L182" s="1215"/>
      <c r="M182" s="1216"/>
      <c r="N182" s="1216"/>
      <c r="O182" s="1217"/>
      <c r="P182" s="479" t="s">
        <v>840</v>
      </c>
      <c r="Q182" s="476" t="s">
        <v>607</v>
      </c>
      <c r="R182" s="479" t="s">
        <v>606</v>
      </c>
      <c r="S182" s="479" t="s">
        <v>605</v>
      </c>
      <c r="T182" s="479" t="s">
        <v>840</v>
      </c>
      <c r="U182" s="476" t="s">
        <v>607</v>
      </c>
      <c r="V182" s="479" t="s">
        <v>606</v>
      </c>
      <c r="W182" s="479" t="s">
        <v>605</v>
      </c>
      <c r="X182" s="880"/>
    </row>
    <row r="183" spans="1:24" ht="12.95" customHeight="1" thickBot="1">
      <c r="A183" s="1254"/>
      <c r="B183" s="1133"/>
      <c r="C183" s="26" t="s">
        <v>2</v>
      </c>
      <c r="D183" s="957"/>
      <c r="E183" s="958"/>
      <c r="F183" s="958"/>
      <c r="G183" s="959"/>
      <c r="H183" s="1241" t="s">
        <v>635</v>
      </c>
      <c r="I183" s="1242"/>
      <c r="J183" s="1242"/>
      <c r="K183" s="1243"/>
      <c r="L183" s="966" t="s">
        <v>841</v>
      </c>
      <c r="M183" s="967"/>
      <c r="N183" s="967"/>
      <c r="O183" s="968"/>
      <c r="P183" s="238">
        <v>2</v>
      </c>
      <c r="Q183" s="238">
        <v>1</v>
      </c>
      <c r="R183" s="238">
        <v>1</v>
      </c>
      <c r="S183" s="238">
        <v>0</v>
      </c>
      <c r="T183" s="780">
        <v>6</v>
      </c>
      <c r="U183" s="238">
        <v>3</v>
      </c>
      <c r="V183" s="238">
        <v>2</v>
      </c>
      <c r="W183" s="238">
        <v>1</v>
      </c>
      <c r="X183" s="880"/>
    </row>
    <row r="184" spans="1:24" ht="12.95" customHeight="1" thickBot="1">
      <c r="A184" s="1255"/>
      <c r="B184" s="1133"/>
      <c r="C184" s="9" t="s">
        <v>3</v>
      </c>
      <c r="D184" s="957"/>
      <c r="E184" s="958"/>
      <c r="F184" s="958"/>
      <c r="G184" s="959"/>
      <c r="H184" s="957"/>
      <c r="I184" s="958"/>
      <c r="J184" s="958"/>
      <c r="K184" s="959"/>
      <c r="L184" s="957"/>
      <c r="M184" s="958"/>
      <c r="N184" s="958"/>
      <c r="O184" s="959"/>
      <c r="P184" s="957"/>
      <c r="Q184" s="958"/>
      <c r="R184" s="958"/>
      <c r="S184" s="959"/>
      <c r="T184" s="150">
        <v>0</v>
      </c>
      <c r="U184" s="104">
        <v>0</v>
      </c>
      <c r="V184" s="104">
        <v>0</v>
      </c>
      <c r="W184" s="104">
        <v>0</v>
      </c>
      <c r="X184" s="881"/>
    </row>
    <row r="185" spans="1:24" ht="12.95" customHeight="1" thickBot="1">
      <c r="A185" s="480" t="s">
        <v>13</v>
      </c>
      <c r="B185" s="1133"/>
      <c r="C185" s="1228" t="s">
        <v>838</v>
      </c>
      <c r="D185" s="1230" t="s">
        <v>4</v>
      </c>
      <c r="E185" s="1231"/>
      <c r="F185" s="1231"/>
      <c r="G185" s="1231"/>
      <c r="H185" s="1231"/>
      <c r="I185" s="1231"/>
      <c r="J185" s="1231"/>
      <c r="K185" s="1231"/>
      <c r="L185" s="1231"/>
      <c r="M185" s="1231"/>
      <c r="N185" s="1231"/>
      <c r="O185" s="1231"/>
      <c r="P185" s="1231"/>
      <c r="Q185" s="1231"/>
      <c r="R185" s="1231"/>
      <c r="S185" s="1231"/>
      <c r="T185" s="1231"/>
      <c r="U185" s="1231"/>
      <c r="V185" s="1231"/>
      <c r="W185" s="1232"/>
      <c r="X185" s="24" t="s">
        <v>14</v>
      </c>
    </row>
    <row r="186" spans="1:24" ht="12.95" customHeight="1" thickBot="1">
      <c r="A186" s="481" t="s">
        <v>73</v>
      </c>
      <c r="B186" s="1134"/>
      <c r="C186" s="1229"/>
      <c r="D186" s="930" t="s">
        <v>125</v>
      </c>
      <c r="E186" s="931"/>
      <c r="F186" s="931"/>
      <c r="G186" s="931"/>
      <c r="H186" s="931"/>
      <c r="I186" s="931"/>
      <c r="J186" s="931"/>
      <c r="K186" s="931"/>
      <c r="L186" s="931"/>
      <c r="M186" s="931"/>
      <c r="N186" s="931"/>
      <c r="O186" s="931"/>
      <c r="P186" s="931"/>
      <c r="Q186" s="931"/>
      <c r="R186" s="931"/>
      <c r="S186" s="931"/>
      <c r="T186" s="931"/>
      <c r="U186" s="931"/>
      <c r="V186" s="931"/>
      <c r="W186" s="1233"/>
      <c r="X186" s="18" t="s">
        <v>92</v>
      </c>
    </row>
    <row r="187" spans="1:24" ht="12.95" customHeight="1" thickBot="1">
      <c r="A187" s="1218" t="s">
        <v>7</v>
      </c>
      <c r="B187" s="1220" t="s">
        <v>173</v>
      </c>
      <c r="C187" s="1221"/>
      <c r="D187" s="1220" t="s">
        <v>8</v>
      </c>
      <c r="E187" s="1235"/>
      <c r="F187" s="1235"/>
      <c r="G187" s="1236"/>
      <c r="H187" s="1237" t="s">
        <v>88</v>
      </c>
      <c r="I187" s="1235"/>
      <c r="J187" s="1235"/>
      <c r="K187" s="1236"/>
      <c r="L187" s="1237" t="s">
        <v>89</v>
      </c>
      <c r="M187" s="1235"/>
      <c r="N187" s="1235"/>
      <c r="O187" s="1236"/>
      <c r="P187" s="1237" t="s">
        <v>9</v>
      </c>
      <c r="Q187" s="1235"/>
      <c r="R187" s="1235"/>
      <c r="S187" s="1236"/>
      <c r="T187" s="1237" t="s">
        <v>174</v>
      </c>
      <c r="U187" s="1235"/>
      <c r="V187" s="1235"/>
      <c r="W187" s="1235"/>
      <c r="X187" s="1236"/>
    </row>
    <row r="188" spans="1:24" ht="13.5" thickBot="1">
      <c r="A188" s="1234"/>
      <c r="B188" s="975"/>
      <c r="C188" s="976"/>
      <c r="D188" s="975"/>
      <c r="E188" s="977"/>
      <c r="F188" s="977"/>
      <c r="G188" s="1238"/>
      <c r="H188" s="1239"/>
      <c r="I188" s="977"/>
      <c r="J188" s="977"/>
      <c r="K188" s="1238"/>
      <c r="L188" s="1239"/>
      <c r="M188" s="977"/>
      <c r="N188" s="977"/>
      <c r="O188" s="1238"/>
      <c r="P188" s="916">
        <f>SUM(B188:O188)</f>
        <v>0</v>
      </c>
      <c r="Q188" s="994"/>
      <c r="R188" s="994"/>
      <c r="S188" s="917"/>
      <c r="T188" s="916" t="e">
        <f>B188/P188%</f>
        <v>#DIV/0!</v>
      </c>
      <c r="U188" s="994"/>
      <c r="V188" s="994"/>
      <c r="W188" s="994"/>
      <c r="X188" s="917"/>
    </row>
    <row r="189" spans="1:24" ht="13.5" thickBot="1">
      <c r="A189" s="1218" t="s">
        <v>10</v>
      </c>
      <c r="B189" s="1220" t="s">
        <v>175</v>
      </c>
      <c r="C189" s="1221"/>
      <c r="D189" s="1222"/>
      <c r="E189" s="1223"/>
      <c r="F189" s="1223"/>
      <c r="G189" s="1223"/>
      <c r="H189" s="1223"/>
      <c r="I189" s="1223"/>
      <c r="J189" s="1223"/>
      <c r="K189" s="1223"/>
      <c r="L189" s="1223"/>
      <c r="M189" s="1223"/>
      <c r="N189" s="1223"/>
      <c r="O189" s="1223"/>
      <c r="P189" s="1223"/>
      <c r="Q189" s="1223"/>
      <c r="R189" s="1223"/>
      <c r="S189" s="1223"/>
      <c r="T189" s="1223"/>
      <c r="U189" s="1223"/>
      <c r="V189" s="1223"/>
      <c r="W189" s="1223"/>
      <c r="X189" s="1224"/>
    </row>
    <row r="190" spans="1:24" ht="13.5" thickBot="1">
      <c r="A190" s="1219"/>
      <c r="B190" s="916"/>
      <c r="C190" s="917"/>
      <c r="D190" s="1225"/>
      <c r="E190" s="1226"/>
      <c r="F190" s="1226"/>
      <c r="G190" s="1226"/>
      <c r="H190" s="1226"/>
      <c r="I190" s="1226"/>
      <c r="J190" s="1226"/>
      <c r="K190" s="1226"/>
      <c r="L190" s="1226"/>
      <c r="M190" s="1226"/>
      <c r="N190" s="1226"/>
      <c r="O190" s="1226"/>
      <c r="P190" s="1226"/>
      <c r="Q190" s="1226"/>
      <c r="R190" s="1226"/>
      <c r="S190" s="1226"/>
      <c r="T190" s="1226"/>
      <c r="U190" s="1226"/>
      <c r="V190" s="1226"/>
      <c r="W190" s="1226"/>
      <c r="X190" s="1227"/>
    </row>
  </sheetData>
  <sheetProtection password="CF55" sheet="1" objects="1" scenarios="1" selectLockedCells="1" selectUnlockedCells="1"/>
  <mergeCells count="625">
    <mergeCell ref="D12:W12"/>
    <mergeCell ref="D13:W13"/>
    <mergeCell ref="D4:G4"/>
    <mergeCell ref="H4:K4"/>
    <mergeCell ref="L4:O4"/>
    <mergeCell ref="P4:S4"/>
    <mergeCell ref="T4:W4"/>
    <mergeCell ref="X4:X18"/>
    <mergeCell ref="P9:S9"/>
    <mergeCell ref="T9:W9"/>
    <mergeCell ref="D14:G14"/>
    <mergeCell ref="H14:K14"/>
    <mergeCell ref="A22:A36"/>
    <mergeCell ref="B22:B25"/>
    <mergeCell ref="D22:G22"/>
    <mergeCell ref="H22:K22"/>
    <mergeCell ref="L22:O22"/>
    <mergeCell ref="L14:O14"/>
    <mergeCell ref="C24:C25"/>
    <mergeCell ref="C29:C30"/>
    <mergeCell ref="H31:K31"/>
    <mergeCell ref="L31:O31"/>
    <mergeCell ref="A5:A18"/>
    <mergeCell ref="B5:B8"/>
    <mergeCell ref="D5:W5"/>
    <mergeCell ref="D6:W6"/>
    <mergeCell ref="C7:C8"/>
    <mergeCell ref="D7:W7"/>
    <mergeCell ref="D8:W8"/>
    <mergeCell ref="D9:G9"/>
    <mergeCell ref="H9:K9"/>
    <mergeCell ref="L9:O9"/>
    <mergeCell ref="B10:B13"/>
    <mergeCell ref="D10:W10"/>
    <mergeCell ref="D11:W11"/>
    <mergeCell ref="C12:C13"/>
    <mergeCell ref="B27:B30"/>
    <mergeCell ref="D27:G27"/>
    <mergeCell ref="H27:K27"/>
    <mergeCell ref="L27:O27"/>
    <mergeCell ref="D30:W30"/>
    <mergeCell ref="D31:G31"/>
    <mergeCell ref="L28:O28"/>
    <mergeCell ref="P28:S28"/>
    <mergeCell ref="P14:S14"/>
    <mergeCell ref="T14:W14"/>
    <mergeCell ref="B15:B18"/>
    <mergeCell ref="D15:W15"/>
    <mergeCell ref="D16:W16"/>
    <mergeCell ref="C17:C18"/>
    <mergeCell ref="D17:W17"/>
    <mergeCell ref="D18:W18"/>
    <mergeCell ref="D21:G21"/>
    <mergeCell ref="H21:K21"/>
    <mergeCell ref="L21:O21"/>
    <mergeCell ref="P21:S21"/>
    <mergeCell ref="T21:W21"/>
    <mergeCell ref="D24:W24"/>
    <mergeCell ref="X22:X36"/>
    <mergeCell ref="D23:G23"/>
    <mergeCell ref="H23:K23"/>
    <mergeCell ref="L23:O23"/>
    <mergeCell ref="P23:S23"/>
    <mergeCell ref="T23:W23"/>
    <mergeCell ref="T28:W28"/>
    <mergeCell ref="D25:W25"/>
    <mergeCell ref="D26:G26"/>
    <mergeCell ref="H26:K26"/>
    <mergeCell ref="P31:S31"/>
    <mergeCell ref="T31:W31"/>
    <mergeCell ref="L26:O26"/>
    <mergeCell ref="P26:S26"/>
    <mergeCell ref="T26:W26"/>
    <mergeCell ref="P22:S22"/>
    <mergeCell ref="T22:W22"/>
    <mergeCell ref="D29:W29"/>
    <mergeCell ref="P27:S27"/>
    <mergeCell ref="T27:W27"/>
    <mergeCell ref="D28:G28"/>
    <mergeCell ref="H28:K28"/>
    <mergeCell ref="P44:S44"/>
    <mergeCell ref="P46:S46"/>
    <mergeCell ref="L45:O45"/>
    <mergeCell ref="P45:S45"/>
    <mergeCell ref="H46:K46"/>
    <mergeCell ref="D45:G45"/>
    <mergeCell ref="B32:B33"/>
    <mergeCell ref="D34:G34"/>
    <mergeCell ref="C35:C36"/>
    <mergeCell ref="D35:W35"/>
    <mergeCell ref="D36:W36"/>
    <mergeCell ref="B40:B43"/>
    <mergeCell ref="D40:G40"/>
    <mergeCell ref="H40:K40"/>
    <mergeCell ref="L40:O40"/>
    <mergeCell ref="D39:G39"/>
    <mergeCell ref="H39:K39"/>
    <mergeCell ref="L39:O39"/>
    <mergeCell ref="P39:S39"/>
    <mergeCell ref="T39:W39"/>
    <mergeCell ref="T40:W40"/>
    <mergeCell ref="P40:S40"/>
    <mergeCell ref="H41:K41"/>
    <mergeCell ref="T50:W50"/>
    <mergeCell ref="D51:G51"/>
    <mergeCell ref="A60:A61"/>
    <mergeCell ref="B60:C60"/>
    <mergeCell ref="D60:G60"/>
    <mergeCell ref="H60:K60"/>
    <mergeCell ref="L60:O60"/>
    <mergeCell ref="D59:W59"/>
    <mergeCell ref="L61:O61"/>
    <mergeCell ref="P61:S61"/>
    <mergeCell ref="T61:X61"/>
    <mergeCell ref="P60:S60"/>
    <mergeCell ref="A40:A59"/>
    <mergeCell ref="T45:W45"/>
    <mergeCell ref="L49:O49"/>
    <mergeCell ref="P49:S49"/>
    <mergeCell ref="D47:W47"/>
    <mergeCell ref="D48:W48"/>
    <mergeCell ref="D49:G49"/>
    <mergeCell ref="H49:K49"/>
    <mergeCell ref="T49:W49"/>
    <mergeCell ref="C42:C43"/>
    <mergeCell ref="H44:K44"/>
    <mergeCell ref="L44:O44"/>
    <mergeCell ref="C47:C48"/>
    <mergeCell ref="H45:K45"/>
    <mergeCell ref="A62:A63"/>
    <mergeCell ref="B62:C62"/>
    <mergeCell ref="D62:X63"/>
    <mergeCell ref="B63:C63"/>
    <mergeCell ref="B55:B56"/>
    <mergeCell ref="D57:G57"/>
    <mergeCell ref="T60:X60"/>
    <mergeCell ref="H54:K54"/>
    <mergeCell ref="L54:O54"/>
    <mergeCell ref="P54:S54"/>
    <mergeCell ref="T54:W54"/>
    <mergeCell ref="D58:W58"/>
    <mergeCell ref="X40:X59"/>
    <mergeCell ref="T46:W46"/>
    <mergeCell ref="D42:W42"/>
    <mergeCell ref="T44:W44"/>
    <mergeCell ref="B50:B53"/>
    <mergeCell ref="D50:G50"/>
    <mergeCell ref="H50:K50"/>
    <mergeCell ref="L50:O50"/>
    <mergeCell ref="L41:O41"/>
    <mergeCell ref="P50:S50"/>
    <mergeCell ref="H73:K73"/>
    <mergeCell ref="L73:O73"/>
    <mergeCell ref="C58:C59"/>
    <mergeCell ref="B61:C61"/>
    <mergeCell ref="D61:G61"/>
    <mergeCell ref="H61:K61"/>
    <mergeCell ref="D66:G66"/>
    <mergeCell ref="H66:K66"/>
    <mergeCell ref="T41:W41"/>
    <mergeCell ref="D41:G41"/>
    <mergeCell ref="P41:S41"/>
    <mergeCell ref="H51:K51"/>
    <mergeCell ref="L51:O51"/>
    <mergeCell ref="P51:S51"/>
    <mergeCell ref="T51:W51"/>
    <mergeCell ref="C52:C53"/>
    <mergeCell ref="D52:W52"/>
    <mergeCell ref="D53:W53"/>
    <mergeCell ref="D54:G54"/>
    <mergeCell ref="D44:G44"/>
    <mergeCell ref="D43:W43"/>
    <mergeCell ref="D46:G46"/>
    <mergeCell ref="L46:O46"/>
    <mergeCell ref="B45:B48"/>
    <mergeCell ref="L66:O66"/>
    <mergeCell ref="P66:S66"/>
    <mergeCell ref="T66:W66"/>
    <mergeCell ref="T67:W67"/>
    <mergeCell ref="H67:K67"/>
    <mergeCell ref="L67:O67"/>
    <mergeCell ref="P67:S67"/>
    <mergeCell ref="L72:O72"/>
    <mergeCell ref="P72:S72"/>
    <mergeCell ref="T72:W72"/>
    <mergeCell ref="X67:X78"/>
    <mergeCell ref="D68:G68"/>
    <mergeCell ref="H68:K68"/>
    <mergeCell ref="L68:O68"/>
    <mergeCell ref="P68:S68"/>
    <mergeCell ref="T68:W68"/>
    <mergeCell ref="D69:W69"/>
    <mergeCell ref="D70:W70"/>
    <mergeCell ref="D71:G71"/>
    <mergeCell ref="D67:G67"/>
    <mergeCell ref="H71:K71"/>
    <mergeCell ref="L71:O71"/>
    <mergeCell ref="P71:S71"/>
    <mergeCell ref="T71:W71"/>
    <mergeCell ref="T77:W77"/>
    <mergeCell ref="D78:G78"/>
    <mergeCell ref="H78:K78"/>
    <mergeCell ref="L78:O78"/>
    <mergeCell ref="P78:S78"/>
    <mergeCell ref="D76:G76"/>
    <mergeCell ref="H77:K77"/>
    <mergeCell ref="L77:O77"/>
    <mergeCell ref="P77:S77"/>
    <mergeCell ref="D73:G73"/>
    <mergeCell ref="A67:A78"/>
    <mergeCell ref="B67:B70"/>
    <mergeCell ref="C69:C70"/>
    <mergeCell ref="C79:C80"/>
    <mergeCell ref="D79:W79"/>
    <mergeCell ref="A81:A82"/>
    <mergeCell ref="B81:C81"/>
    <mergeCell ref="D81:G81"/>
    <mergeCell ref="H81:K81"/>
    <mergeCell ref="L81:O81"/>
    <mergeCell ref="P81:S81"/>
    <mergeCell ref="P73:S73"/>
    <mergeCell ref="C74:C75"/>
    <mergeCell ref="D74:W74"/>
    <mergeCell ref="D75:W75"/>
    <mergeCell ref="H76:K76"/>
    <mergeCell ref="L76:O76"/>
    <mergeCell ref="P76:S76"/>
    <mergeCell ref="T76:W76"/>
    <mergeCell ref="T73:W73"/>
    <mergeCell ref="T78:W78"/>
    <mergeCell ref="B72:B75"/>
    <mergeCell ref="D72:G72"/>
    <mergeCell ref="H72:K72"/>
    <mergeCell ref="D87:G87"/>
    <mergeCell ref="H87:K87"/>
    <mergeCell ref="L87:O87"/>
    <mergeCell ref="D89:G89"/>
    <mergeCell ref="H89:K89"/>
    <mergeCell ref="L89:O89"/>
    <mergeCell ref="D80:W80"/>
    <mergeCell ref="A83:A84"/>
    <mergeCell ref="B83:C83"/>
    <mergeCell ref="D83:X84"/>
    <mergeCell ref="B84:C84"/>
    <mergeCell ref="P87:S87"/>
    <mergeCell ref="T87:W87"/>
    <mergeCell ref="T88:W88"/>
    <mergeCell ref="P89:S89"/>
    <mergeCell ref="T81:X81"/>
    <mergeCell ref="B82:C82"/>
    <mergeCell ref="D82:G82"/>
    <mergeCell ref="H82:K82"/>
    <mergeCell ref="L82:O82"/>
    <mergeCell ref="P82:S82"/>
    <mergeCell ref="T82:X82"/>
    <mergeCell ref="B77:B80"/>
    <mergeCell ref="D77:G77"/>
    <mergeCell ref="T89:W89"/>
    <mergeCell ref="D90:W90"/>
    <mergeCell ref="D91:W91"/>
    <mergeCell ref="D92:G92"/>
    <mergeCell ref="D88:G88"/>
    <mergeCell ref="H88:K88"/>
    <mergeCell ref="L88:O88"/>
    <mergeCell ref="P88:S88"/>
    <mergeCell ref="H92:K92"/>
    <mergeCell ref="L92:O92"/>
    <mergeCell ref="A88:A99"/>
    <mergeCell ref="B88:B91"/>
    <mergeCell ref="C90:C91"/>
    <mergeCell ref="D99:G99"/>
    <mergeCell ref="H99:K99"/>
    <mergeCell ref="A102:A103"/>
    <mergeCell ref="B102:C102"/>
    <mergeCell ref="D102:G102"/>
    <mergeCell ref="H102:K102"/>
    <mergeCell ref="D103:G103"/>
    <mergeCell ref="H103:K103"/>
    <mergeCell ref="T103:X103"/>
    <mergeCell ref="B93:B96"/>
    <mergeCell ref="D93:G93"/>
    <mergeCell ref="H93:K93"/>
    <mergeCell ref="L93:O93"/>
    <mergeCell ref="P93:S93"/>
    <mergeCell ref="D95:W95"/>
    <mergeCell ref="D96:W96"/>
    <mergeCell ref="D94:G94"/>
    <mergeCell ref="H94:K94"/>
    <mergeCell ref="L94:O94"/>
    <mergeCell ref="B98:B101"/>
    <mergeCell ref="D98:G98"/>
    <mergeCell ref="H98:K98"/>
    <mergeCell ref="L98:O98"/>
    <mergeCell ref="P98:S98"/>
    <mergeCell ref="L102:O102"/>
    <mergeCell ref="P102:S102"/>
    <mergeCell ref="T93:W93"/>
    <mergeCell ref="D97:G97"/>
    <mergeCell ref="H97:K97"/>
    <mergeCell ref="L97:O97"/>
    <mergeCell ref="H120:K120"/>
    <mergeCell ref="P97:S97"/>
    <mergeCell ref="A104:A105"/>
    <mergeCell ref="B104:C104"/>
    <mergeCell ref="D104:X105"/>
    <mergeCell ref="B105:C105"/>
    <mergeCell ref="T99:W99"/>
    <mergeCell ref="C100:C101"/>
    <mergeCell ref="D100:W100"/>
    <mergeCell ref="D101:W101"/>
    <mergeCell ref="X88:X99"/>
    <mergeCell ref="P92:S92"/>
    <mergeCell ref="T92:W92"/>
    <mergeCell ref="T98:W98"/>
    <mergeCell ref="T94:W94"/>
    <mergeCell ref="C95:C96"/>
    <mergeCell ref="L99:O99"/>
    <mergeCell ref="P99:S99"/>
    <mergeCell ref="P94:S94"/>
    <mergeCell ref="T97:W97"/>
    <mergeCell ref="T102:X102"/>
    <mergeCell ref="B103:C103"/>
    <mergeCell ref="L103:O103"/>
    <mergeCell ref="P103:S103"/>
    <mergeCell ref="P127:S127"/>
    <mergeCell ref="P114:S114"/>
    <mergeCell ref="T114:W114"/>
    <mergeCell ref="V121:W121"/>
    <mergeCell ref="L108:O108"/>
    <mergeCell ref="P108:S108"/>
    <mergeCell ref="B115:B116"/>
    <mergeCell ref="D117:G117"/>
    <mergeCell ref="H117:K117"/>
    <mergeCell ref="C118:C119"/>
    <mergeCell ref="D118:W118"/>
    <mergeCell ref="D119:W119"/>
    <mergeCell ref="L114:O114"/>
    <mergeCell ref="T108:W108"/>
    <mergeCell ref="B121:B124"/>
    <mergeCell ref="D121:E121"/>
    <mergeCell ref="F121:G121"/>
    <mergeCell ref="H121:I121"/>
    <mergeCell ref="J121:K121"/>
    <mergeCell ref="D114:G114"/>
    <mergeCell ref="H114:K114"/>
    <mergeCell ref="D108:G108"/>
    <mergeCell ref="H108:K108"/>
    <mergeCell ref="D120:G120"/>
    <mergeCell ref="T120:W120"/>
    <mergeCell ref="T122:U122"/>
    <mergeCell ref="V122:W122"/>
    <mergeCell ref="L121:M121"/>
    <mergeCell ref="N121:O121"/>
    <mergeCell ref="P121:Q121"/>
    <mergeCell ref="R121:S121"/>
    <mergeCell ref="P126:S126"/>
    <mergeCell ref="T126:W126"/>
    <mergeCell ref="T121:U121"/>
    <mergeCell ref="V123:W123"/>
    <mergeCell ref="T123:U123"/>
    <mergeCell ref="X109:X128"/>
    <mergeCell ref="A133:A134"/>
    <mergeCell ref="B133:C133"/>
    <mergeCell ref="D133:X134"/>
    <mergeCell ref="B134:C134"/>
    <mergeCell ref="P131:S131"/>
    <mergeCell ref="B127:B130"/>
    <mergeCell ref="P128:S128"/>
    <mergeCell ref="C124:C125"/>
    <mergeCell ref="D124:W124"/>
    <mergeCell ref="D125:W125"/>
    <mergeCell ref="D126:G126"/>
    <mergeCell ref="H126:K126"/>
    <mergeCell ref="L126:O126"/>
    <mergeCell ref="D127:G127"/>
    <mergeCell ref="H127:K127"/>
    <mergeCell ref="L127:O127"/>
    <mergeCell ref="T131:X131"/>
    <mergeCell ref="B132:C132"/>
    <mergeCell ref="D132:G132"/>
    <mergeCell ref="H132:K132"/>
    <mergeCell ref="L132:O132"/>
    <mergeCell ref="P132:S132"/>
    <mergeCell ref="T132:X132"/>
    <mergeCell ref="T137:W137"/>
    <mergeCell ref="A131:A132"/>
    <mergeCell ref="B131:C131"/>
    <mergeCell ref="D131:G131"/>
    <mergeCell ref="H131:K131"/>
    <mergeCell ref="L131:O131"/>
    <mergeCell ref="C129:C130"/>
    <mergeCell ref="D129:W129"/>
    <mergeCell ref="D130:W130"/>
    <mergeCell ref="D137:G137"/>
    <mergeCell ref="H137:K137"/>
    <mergeCell ref="L137:O137"/>
    <mergeCell ref="P137:S137"/>
    <mergeCell ref="A138:A160"/>
    <mergeCell ref="B138:B141"/>
    <mergeCell ref="D138:G138"/>
    <mergeCell ref="H138:K138"/>
    <mergeCell ref="L138:O138"/>
    <mergeCell ref="P138:S138"/>
    <mergeCell ref="C140:C141"/>
    <mergeCell ref="H142:K142"/>
    <mergeCell ref="L142:O142"/>
    <mergeCell ref="P142:S142"/>
    <mergeCell ref="B143:B146"/>
    <mergeCell ref="C145:C146"/>
    <mergeCell ref="D145:W145"/>
    <mergeCell ref="D146:W146"/>
    <mergeCell ref="L147:O147"/>
    <mergeCell ref="P147:S147"/>
    <mergeCell ref="T143:W143"/>
    <mergeCell ref="D144:G144"/>
    <mergeCell ref="H144:K144"/>
    <mergeCell ref="B153:B156"/>
    <mergeCell ref="D153:G153"/>
    <mergeCell ref="H153:K153"/>
    <mergeCell ref="L153:O153"/>
    <mergeCell ref="P153:S153"/>
    <mergeCell ref="A109:A128"/>
    <mergeCell ref="B109:B110"/>
    <mergeCell ref="D111:G111"/>
    <mergeCell ref="C112:C113"/>
    <mergeCell ref="D112:W112"/>
    <mergeCell ref="D113:W113"/>
    <mergeCell ref="T127:W127"/>
    <mergeCell ref="D128:G128"/>
    <mergeCell ref="H128:K128"/>
    <mergeCell ref="L128:O128"/>
    <mergeCell ref="D122:G122"/>
    <mergeCell ref="H122:K122"/>
    <mergeCell ref="L122:M122"/>
    <mergeCell ref="N122:O122"/>
    <mergeCell ref="P122:Q122"/>
    <mergeCell ref="R122:S122"/>
    <mergeCell ref="D123:G123"/>
    <mergeCell ref="H123:K123"/>
    <mergeCell ref="L123:O123"/>
    <mergeCell ref="P123:Q123"/>
    <mergeCell ref="R123:S123"/>
    <mergeCell ref="T128:W128"/>
    <mergeCell ref="L120:O120"/>
    <mergeCell ref="P120:S120"/>
    <mergeCell ref="X138:X160"/>
    <mergeCell ref="D139:G139"/>
    <mergeCell ref="H139:K139"/>
    <mergeCell ref="L139:O139"/>
    <mergeCell ref="P139:S139"/>
    <mergeCell ref="T139:W139"/>
    <mergeCell ref="D140:W140"/>
    <mergeCell ref="D141:W141"/>
    <mergeCell ref="D142:G142"/>
    <mergeCell ref="T142:W142"/>
    <mergeCell ref="H157:K157"/>
    <mergeCell ref="L157:O157"/>
    <mergeCell ref="P157:S157"/>
    <mergeCell ref="R160:S160"/>
    <mergeCell ref="T138:W138"/>
    <mergeCell ref="D143:G143"/>
    <mergeCell ref="H143:K143"/>
    <mergeCell ref="L143:O143"/>
    <mergeCell ref="P143:S143"/>
    <mergeCell ref="H147:K147"/>
    <mergeCell ref="D152:G152"/>
    <mergeCell ref="H152:K152"/>
    <mergeCell ref="L152:O152"/>
    <mergeCell ref="P152:S152"/>
    <mergeCell ref="L144:O144"/>
    <mergeCell ref="P144:S144"/>
    <mergeCell ref="T144:W144"/>
    <mergeCell ref="T147:W147"/>
    <mergeCell ref="B148:B151"/>
    <mergeCell ref="D148:G148"/>
    <mergeCell ref="H148:K148"/>
    <mergeCell ref="L148:O148"/>
    <mergeCell ref="P148:S148"/>
    <mergeCell ref="T148:W148"/>
    <mergeCell ref="D147:G147"/>
    <mergeCell ref="P149:S149"/>
    <mergeCell ref="D149:G149"/>
    <mergeCell ref="H149:K149"/>
    <mergeCell ref="L149:O149"/>
    <mergeCell ref="T153:W153"/>
    <mergeCell ref="D154:G154"/>
    <mergeCell ref="H154:K154"/>
    <mergeCell ref="L154:O154"/>
    <mergeCell ref="P154:S154"/>
    <mergeCell ref="T154:W154"/>
    <mergeCell ref="T149:W149"/>
    <mergeCell ref="C150:C151"/>
    <mergeCell ref="D150:W150"/>
    <mergeCell ref="D151:W151"/>
    <mergeCell ref="T152:W152"/>
    <mergeCell ref="C155:C156"/>
    <mergeCell ref="D155:W155"/>
    <mergeCell ref="D156:W156"/>
    <mergeCell ref="T157:W157"/>
    <mergeCell ref="N158:O158"/>
    <mergeCell ref="P158:Q158"/>
    <mergeCell ref="R158:S158"/>
    <mergeCell ref="T158:U158"/>
    <mergeCell ref="V158:W158"/>
    <mergeCell ref="D157:G157"/>
    <mergeCell ref="D158:E158"/>
    <mergeCell ref="F158:G158"/>
    <mergeCell ref="H158:I158"/>
    <mergeCell ref="J158:K158"/>
    <mergeCell ref="L158:M158"/>
    <mergeCell ref="B161:B162"/>
    <mergeCell ref="C161:C162"/>
    <mergeCell ref="D161:W161"/>
    <mergeCell ref="D162:W162"/>
    <mergeCell ref="B158:B160"/>
    <mergeCell ref="D159:E159"/>
    <mergeCell ref="R159:S159"/>
    <mergeCell ref="T159:U159"/>
    <mergeCell ref="V159:W159"/>
    <mergeCell ref="D160:G160"/>
    <mergeCell ref="H160:K160"/>
    <mergeCell ref="L160:M160"/>
    <mergeCell ref="N160:O160"/>
    <mergeCell ref="J159:K159"/>
    <mergeCell ref="L159:M159"/>
    <mergeCell ref="F159:G159"/>
    <mergeCell ref="H159:I159"/>
    <mergeCell ref="N159:O159"/>
    <mergeCell ref="P159:Q159"/>
    <mergeCell ref="P160:Q160"/>
    <mergeCell ref="T160:U160"/>
    <mergeCell ref="V160:W160"/>
    <mergeCell ref="T163:X163"/>
    <mergeCell ref="B164:C164"/>
    <mergeCell ref="L170:O170"/>
    <mergeCell ref="A165:A166"/>
    <mergeCell ref="B165:C165"/>
    <mergeCell ref="D165:X166"/>
    <mergeCell ref="B166:C166"/>
    <mergeCell ref="D169:G169"/>
    <mergeCell ref="H169:K169"/>
    <mergeCell ref="L169:O169"/>
    <mergeCell ref="P169:S169"/>
    <mergeCell ref="T169:W169"/>
    <mergeCell ref="D164:G164"/>
    <mergeCell ref="H164:K164"/>
    <mergeCell ref="L164:O164"/>
    <mergeCell ref="P164:S164"/>
    <mergeCell ref="T164:X164"/>
    <mergeCell ref="X170:X184"/>
    <mergeCell ref="D170:G170"/>
    <mergeCell ref="D171:G171"/>
    <mergeCell ref="H171:K171"/>
    <mergeCell ref="L171:O171"/>
    <mergeCell ref="P171:S171"/>
    <mergeCell ref="D172:G172"/>
    <mergeCell ref="H172:K172"/>
    <mergeCell ref="L172:O172"/>
    <mergeCell ref="A163:A164"/>
    <mergeCell ref="B163:C163"/>
    <mergeCell ref="D163:G163"/>
    <mergeCell ref="H163:K163"/>
    <mergeCell ref="L163:O163"/>
    <mergeCell ref="P163:S163"/>
    <mergeCell ref="B176:B180"/>
    <mergeCell ref="D177:G177"/>
    <mergeCell ref="H177:K177"/>
    <mergeCell ref="L177:O177"/>
    <mergeCell ref="P177:S177"/>
    <mergeCell ref="D178:G178"/>
    <mergeCell ref="H178:K178"/>
    <mergeCell ref="L178:O178"/>
    <mergeCell ref="C179:C180"/>
    <mergeCell ref="D179:W179"/>
    <mergeCell ref="D180:W180"/>
    <mergeCell ref="D176:G176"/>
    <mergeCell ref="H176:K176"/>
    <mergeCell ref="L176:O176"/>
    <mergeCell ref="A170:A184"/>
    <mergeCell ref="B170:B174"/>
    <mergeCell ref="D175:G175"/>
    <mergeCell ref="H175:K175"/>
    <mergeCell ref="L182:O182"/>
    <mergeCell ref="D183:G183"/>
    <mergeCell ref="H183:K183"/>
    <mergeCell ref="L183:O183"/>
    <mergeCell ref="C173:C174"/>
    <mergeCell ref="D174:W174"/>
    <mergeCell ref="P175:S175"/>
    <mergeCell ref="T175:W175"/>
    <mergeCell ref="L175:O175"/>
    <mergeCell ref="D173:W173"/>
    <mergeCell ref="H188:K188"/>
    <mergeCell ref="D181:G181"/>
    <mergeCell ref="H181:K181"/>
    <mergeCell ref="L181:O181"/>
    <mergeCell ref="L188:O188"/>
    <mergeCell ref="P188:S188"/>
    <mergeCell ref="P181:S181"/>
    <mergeCell ref="T181:W181"/>
    <mergeCell ref="T188:X188"/>
    <mergeCell ref="B182:B186"/>
    <mergeCell ref="D182:G182"/>
    <mergeCell ref="H182:K182"/>
    <mergeCell ref="D184:G184"/>
    <mergeCell ref="H184:K184"/>
    <mergeCell ref="L184:O184"/>
    <mergeCell ref="H170:K170"/>
    <mergeCell ref="A189:A190"/>
    <mergeCell ref="B189:C189"/>
    <mergeCell ref="D189:X190"/>
    <mergeCell ref="B190:C190"/>
    <mergeCell ref="P184:S184"/>
    <mergeCell ref="C185:C186"/>
    <mergeCell ref="D185:W185"/>
    <mergeCell ref="D186:W186"/>
    <mergeCell ref="A187:A188"/>
    <mergeCell ref="B187:C187"/>
    <mergeCell ref="D187:G187"/>
    <mergeCell ref="H187:K187"/>
    <mergeCell ref="L187:O187"/>
    <mergeCell ref="P187:S187"/>
    <mergeCell ref="T187:X187"/>
    <mergeCell ref="B188:C188"/>
    <mergeCell ref="D188:G188"/>
  </mergeCells>
  <hyperlinks>
    <hyperlink ref="C24" location="Reference!C12" display="press for guidance"/>
    <hyperlink ref="C25" location="Reference!C12" display="Reference!C12"/>
    <hyperlink ref="C17" location="Reference!C10" display="press for guidance"/>
    <hyperlink ref="C18" location="Reference!C10" display="Reference!C10"/>
    <hyperlink ref="C12" location="Reference!C8" display="press for guidance"/>
    <hyperlink ref="C13" location="Reference!C8" display="Reference!C8"/>
    <hyperlink ref="C7" location="Reference!C6" display="press for guidance"/>
    <hyperlink ref="C8" location="Reference!C6" display="Reference!C6"/>
    <hyperlink ref="C29" location="Reference!C14" display="press for guidance"/>
    <hyperlink ref="C30" location="Reference!C14" display="Reference!C14"/>
    <hyperlink ref="C35" location="Reference!C16" display="press for guidance"/>
    <hyperlink ref="C36" location="Reference!C16" display="Reference!C16"/>
    <hyperlink ref="C42" location="Reference!C18" display="press for guidance"/>
    <hyperlink ref="C43" location="Reference!C18" display="Reference!C18"/>
    <hyperlink ref="C47" location="Reference!C20" display="press for guidance"/>
    <hyperlink ref="C48" location="Reference!C20" display="Reference!C20"/>
    <hyperlink ref="C52" location="Reference!C22" display="press for guidance"/>
    <hyperlink ref="C53" location="Reference!C22" display="Reference!C22"/>
    <hyperlink ref="C58" location="Reference!C24" display="press for guidance"/>
    <hyperlink ref="C59" location="Reference!C24" display="Reference!C24"/>
    <hyperlink ref="C69" location="Reference!C26" display="press for guidance"/>
    <hyperlink ref="C70" location="Reference!C26" display="Reference!C26"/>
    <hyperlink ref="C74" location="Reference!C28" display="press for guidance"/>
    <hyperlink ref="C75" location="Reference!C28" display="Reference!C28"/>
    <hyperlink ref="C79" location="Reference!C30" display="press for guidance"/>
    <hyperlink ref="C80" location="Reference!C30" display="Reference!C30"/>
    <hyperlink ref="C90" location="Reference!C32" display="press for guidance"/>
    <hyperlink ref="C91" location="Reference!C32" display="Reference!C32"/>
    <hyperlink ref="C95" location="Reference'C34" display="press for guidance"/>
    <hyperlink ref="C96" location="Reference'C34" display="Reference'C34"/>
    <hyperlink ref="C100" location="Reference!C36" display="press for guidance"/>
    <hyperlink ref="C101" location="Reference!C36" display="Reference!C36"/>
    <hyperlink ref="C112" location="Reference!C38" display="press for guidance"/>
    <hyperlink ref="C113" location="Reference!C38" display="Reference!C38"/>
    <hyperlink ref="C118" location="Reference!C40" display="press for guidance"/>
    <hyperlink ref="C119" location="Reference!C40" display="Reference!C40"/>
    <hyperlink ref="C124" location="Reference!C42" display="press for guidance"/>
    <hyperlink ref="C125" location="Reference!C42" display="Reference!C42"/>
    <hyperlink ref="C129" location="Reference!C44" display="press for guidance"/>
    <hyperlink ref="C130" location="Reference!C44" display="Reference!C44"/>
    <hyperlink ref="C140" location="Reference!C46" display="press for guidance"/>
    <hyperlink ref="C141" location="Reference!C46" display="Reference!C46"/>
    <hyperlink ref="C145" location="Reference!C48" display="press for guidance"/>
    <hyperlink ref="C146" location="Reference!C48" display="Reference!C48"/>
    <hyperlink ref="C150" location="Reference!C50" display="press for guidance"/>
    <hyperlink ref="C151" location="Reference!C50" display="Reference!C50"/>
    <hyperlink ref="C155" location="Reference!C52" display="press for guidance"/>
    <hyperlink ref="C156" location="Reference!C52" display="Reference!C52"/>
    <hyperlink ref="C161" location="Reference!C54" display="press for guidance"/>
    <hyperlink ref="C162" location="Reference!C54" display="Reference!C54"/>
    <hyperlink ref="C173" location="Reference!C71" display="★ click here for guidance"/>
    <hyperlink ref="C174" location="Reference!C71" display="Reference!C71"/>
    <hyperlink ref="C179" location="Reference!C73" display="★ click here for guidance"/>
    <hyperlink ref="C180" location="Reference!C73" display="Reference!C73"/>
    <hyperlink ref="C185" location="Reference!C75" display="★ click here for guidance"/>
    <hyperlink ref="C186" location="Reference!C75" display="Reference!C75"/>
  </hyperlinks>
  <pageMargins left="0.79000000000000015" right="0.79000000000000015" top="0.79000000000000015" bottom="0.79000000000000015" header="0.39000000000000007" footer="0.39000000000000007"/>
  <pageSetup paperSize="9" scale="55" fitToHeight="3" orientation="landscape"/>
  <headerFooter>
    <oddFooter>&amp;L&amp;K000000&amp;F&amp;C&amp;K000000&amp;D&amp;R&amp;K000000Page &amp;P</oddFooter>
  </headerFooter>
  <legacy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FFFF00"/>
    <pageSetUpPr fitToPage="1"/>
  </sheetPr>
  <dimension ref="A1:X190"/>
  <sheetViews>
    <sheetView workbookViewId="0">
      <pane xSplit="2" ySplit="1" topLeftCell="C108" activePane="bottomRight" state="frozen"/>
      <selection activeCell="D136" sqref="D136:W136"/>
      <selection pane="topRight" activeCell="D136" sqref="D136:W136"/>
      <selection pane="bottomLeft" activeCell="D136" sqref="D136:W136"/>
      <selection pane="bottomRight" activeCell="D136" sqref="D136:W136"/>
    </sheetView>
  </sheetViews>
  <sheetFormatPr defaultColWidth="8.85546875" defaultRowHeight="12.75"/>
  <cols>
    <col min="1" max="1" width="20.85546875" style="4" customWidth="1"/>
    <col min="2" max="2" width="40.85546875" style="4" customWidth="1"/>
    <col min="3" max="3" width="10.85546875" style="27" customWidth="1"/>
    <col min="4" max="23" width="5.85546875" style="4" customWidth="1"/>
    <col min="24" max="24" width="30.85546875" style="4" customWidth="1"/>
    <col min="25" max="16384" width="8.85546875" style="4"/>
  </cols>
  <sheetData>
    <row r="1" spans="1:24" s="67" customFormat="1" ht="32.25" thickBot="1">
      <c r="A1" s="3" t="s">
        <v>0</v>
      </c>
      <c r="B1" s="64" t="s">
        <v>231</v>
      </c>
      <c r="C1" s="65" t="s">
        <v>275</v>
      </c>
      <c r="D1" s="65"/>
      <c r="E1" s="65"/>
      <c r="F1" s="65"/>
      <c r="G1" s="65"/>
      <c r="H1" s="65"/>
      <c r="I1" s="65"/>
      <c r="J1" s="65"/>
      <c r="K1" s="65"/>
      <c r="L1" s="65"/>
      <c r="M1" s="65"/>
      <c r="N1" s="65"/>
      <c r="O1" s="65"/>
      <c r="P1" s="65"/>
      <c r="Q1" s="65"/>
      <c r="R1" s="65"/>
      <c r="S1" s="65"/>
      <c r="T1" s="65"/>
      <c r="U1" s="65"/>
      <c r="V1" s="65"/>
      <c r="W1" s="65"/>
      <c r="X1" s="66"/>
    </row>
    <row r="2" spans="1:24">
      <c r="A2" s="5"/>
      <c r="B2" s="5"/>
      <c r="C2" s="6"/>
      <c r="D2" s="5"/>
      <c r="E2" s="5"/>
      <c r="F2" s="5"/>
      <c r="G2" s="5"/>
      <c r="H2" s="5"/>
      <c r="I2" s="5"/>
      <c r="J2" s="5"/>
      <c r="K2" s="5"/>
      <c r="L2" s="5"/>
      <c r="M2" s="5"/>
      <c r="N2" s="5"/>
      <c r="O2" s="5"/>
      <c r="P2" s="5"/>
      <c r="Q2" s="5"/>
      <c r="R2" s="5"/>
      <c r="S2" s="5"/>
      <c r="T2" s="5"/>
      <c r="U2" s="5"/>
      <c r="V2" s="5"/>
      <c r="W2" s="5"/>
      <c r="X2" s="5"/>
    </row>
    <row r="3" spans="1:24" ht="13.5" thickBot="1">
      <c r="A3" s="5"/>
      <c r="B3" s="5"/>
      <c r="C3" s="6"/>
      <c r="D3" s="5"/>
      <c r="E3" s="5"/>
      <c r="F3" s="5"/>
      <c r="G3" s="5"/>
      <c r="H3" s="5"/>
      <c r="I3" s="5"/>
      <c r="J3" s="5"/>
      <c r="K3" s="5"/>
      <c r="L3" s="5"/>
      <c r="M3" s="5"/>
      <c r="N3" s="5"/>
      <c r="O3" s="5"/>
      <c r="P3" s="5"/>
      <c r="Q3" s="5"/>
      <c r="R3" s="5"/>
      <c r="S3" s="5"/>
      <c r="T3" s="5"/>
      <c r="U3" s="5"/>
      <c r="V3" s="5"/>
      <c r="W3" s="5"/>
      <c r="X3" s="5"/>
    </row>
    <row r="4" spans="1:24" ht="12.95" customHeight="1" thickBot="1">
      <c r="A4" s="7" t="s">
        <v>50</v>
      </c>
      <c r="B4" s="97" t="s">
        <v>51</v>
      </c>
      <c r="C4" s="8"/>
      <c r="D4" s="927" t="s">
        <v>79</v>
      </c>
      <c r="E4" s="928"/>
      <c r="F4" s="928"/>
      <c r="G4" s="929"/>
      <c r="H4" s="927" t="s">
        <v>80</v>
      </c>
      <c r="I4" s="928"/>
      <c r="J4" s="928"/>
      <c r="K4" s="929"/>
      <c r="L4" s="927" t="s">
        <v>81</v>
      </c>
      <c r="M4" s="928"/>
      <c r="N4" s="928"/>
      <c r="O4" s="929"/>
      <c r="P4" s="927" t="s">
        <v>254</v>
      </c>
      <c r="Q4" s="928"/>
      <c r="R4" s="928"/>
      <c r="S4" s="929"/>
      <c r="T4" s="927" t="s">
        <v>76</v>
      </c>
      <c r="U4" s="928"/>
      <c r="V4" s="928"/>
      <c r="W4" s="929"/>
      <c r="X4" s="991"/>
    </row>
    <row r="5" spans="1:24" ht="13.5" thickBot="1">
      <c r="A5" s="868" t="s">
        <v>43</v>
      </c>
      <c r="B5" s="868" t="s">
        <v>46</v>
      </c>
      <c r="C5" s="9" t="s">
        <v>2</v>
      </c>
      <c r="D5" s="983" t="s">
        <v>82</v>
      </c>
      <c r="E5" s="984"/>
      <c r="F5" s="984"/>
      <c r="G5" s="984"/>
      <c r="H5" s="984"/>
      <c r="I5" s="984"/>
      <c r="J5" s="984"/>
      <c r="K5" s="984"/>
      <c r="L5" s="984"/>
      <c r="M5" s="984"/>
      <c r="N5" s="984"/>
      <c r="O5" s="984"/>
      <c r="P5" s="984"/>
      <c r="Q5" s="984"/>
      <c r="R5" s="984"/>
      <c r="S5" s="984"/>
      <c r="T5" s="984"/>
      <c r="U5" s="984"/>
      <c r="V5" s="984"/>
      <c r="W5" s="985"/>
      <c r="X5" s="992"/>
    </row>
    <row r="6" spans="1:24" ht="13.5" thickBot="1">
      <c r="A6" s="885"/>
      <c r="B6" s="885"/>
      <c r="C6" s="10" t="s">
        <v>3</v>
      </c>
      <c r="D6" s="986"/>
      <c r="E6" s="987"/>
      <c r="F6" s="987"/>
      <c r="G6" s="987"/>
      <c r="H6" s="987"/>
      <c r="I6" s="987"/>
      <c r="J6" s="987"/>
      <c r="K6" s="987"/>
      <c r="L6" s="987"/>
      <c r="M6" s="987"/>
      <c r="N6" s="987"/>
      <c r="O6" s="987"/>
      <c r="P6" s="987"/>
      <c r="Q6" s="987"/>
      <c r="R6" s="987"/>
      <c r="S6" s="987"/>
      <c r="T6" s="987"/>
      <c r="U6" s="987"/>
      <c r="V6" s="987"/>
      <c r="W6" s="988"/>
      <c r="X6" s="992"/>
    </row>
    <row r="7" spans="1:24" ht="12.95" customHeight="1" thickBot="1">
      <c r="A7" s="885"/>
      <c r="B7" s="885"/>
      <c r="C7" s="1278" t="s">
        <v>170</v>
      </c>
      <c r="D7" s="989" t="s">
        <v>4</v>
      </c>
      <c r="E7" s="990"/>
      <c r="F7" s="990"/>
      <c r="G7" s="990"/>
      <c r="H7" s="990"/>
      <c r="I7" s="990"/>
      <c r="J7" s="990"/>
      <c r="K7" s="990"/>
      <c r="L7" s="990"/>
      <c r="M7" s="990"/>
      <c r="N7" s="990"/>
      <c r="O7" s="990"/>
      <c r="P7" s="990"/>
      <c r="Q7" s="990"/>
      <c r="R7" s="990"/>
      <c r="S7" s="990"/>
      <c r="T7" s="990"/>
      <c r="U7" s="990"/>
      <c r="V7" s="990"/>
      <c r="W7" s="990"/>
      <c r="X7" s="992"/>
    </row>
    <row r="8" spans="1:24" ht="12.95" customHeight="1" thickBot="1">
      <c r="A8" s="885"/>
      <c r="B8" s="869"/>
      <c r="C8" s="1279"/>
      <c r="D8" s="930" t="s">
        <v>85</v>
      </c>
      <c r="E8" s="931"/>
      <c r="F8" s="931"/>
      <c r="G8" s="931"/>
      <c r="H8" s="931"/>
      <c r="I8" s="931"/>
      <c r="J8" s="931"/>
      <c r="K8" s="931"/>
      <c r="L8" s="931"/>
      <c r="M8" s="931"/>
      <c r="N8" s="931"/>
      <c r="O8" s="931"/>
      <c r="P8" s="931"/>
      <c r="Q8" s="931"/>
      <c r="R8" s="931"/>
      <c r="S8" s="931"/>
      <c r="T8" s="931"/>
      <c r="U8" s="931"/>
      <c r="V8" s="931"/>
      <c r="W8" s="932"/>
      <c r="X8" s="992"/>
    </row>
    <row r="9" spans="1:24" ht="12.95" customHeight="1" thickBot="1">
      <c r="A9" s="885"/>
      <c r="B9" s="11" t="s">
        <v>52</v>
      </c>
      <c r="C9" s="12"/>
      <c r="D9" s="927" t="s">
        <v>79</v>
      </c>
      <c r="E9" s="928"/>
      <c r="F9" s="928"/>
      <c r="G9" s="929"/>
      <c r="H9" s="927" t="s">
        <v>80</v>
      </c>
      <c r="I9" s="928"/>
      <c r="J9" s="928"/>
      <c r="K9" s="929"/>
      <c r="L9" s="927" t="s">
        <v>81</v>
      </c>
      <c r="M9" s="928"/>
      <c r="N9" s="928"/>
      <c r="O9" s="929"/>
      <c r="P9" s="927" t="s">
        <v>254</v>
      </c>
      <c r="Q9" s="928"/>
      <c r="R9" s="928"/>
      <c r="S9" s="929"/>
      <c r="T9" s="927" t="s">
        <v>76</v>
      </c>
      <c r="U9" s="928"/>
      <c r="V9" s="928"/>
      <c r="W9" s="929"/>
      <c r="X9" s="992"/>
    </row>
    <row r="10" spans="1:24" ht="36" customHeight="1" thickBot="1">
      <c r="A10" s="885"/>
      <c r="B10" s="868" t="s">
        <v>45</v>
      </c>
      <c r="C10" s="13" t="s">
        <v>2</v>
      </c>
      <c r="D10" s="930" t="s">
        <v>86</v>
      </c>
      <c r="E10" s="931"/>
      <c r="F10" s="931"/>
      <c r="G10" s="931"/>
      <c r="H10" s="931"/>
      <c r="I10" s="931"/>
      <c r="J10" s="931"/>
      <c r="K10" s="931"/>
      <c r="L10" s="931"/>
      <c r="M10" s="931"/>
      <c r="N10" s="931"/>
      <c r="O10" s="931"/>
      <c r="P10" s="931"/>
      <c r="Q10" s="931"/>
      <c r="R10" s="931"/>
      <c r="S10" s="931"/>
      <c r="T10" s="931"/>
      <c r="U10" s="931"/>
      <c r="V10" s="931"/>
      <c r="W10" s="932"/>
      <c r="X10" s="992"/>
    </row>
    <row r="11" spans="1:24" ht="13.5" thickBot="1">
      <c r="A11" s="885"/>
      <c r="B11" s="885"/>
      <c r="C11" s="10" t="s">
        <v>3</v>
      </c>
      <c r="D11" s="986"/>
      <c r="E11" s="987"/>
      <c r="F11" s="987"/>
      <c r="G11" s="987"/>
      <c r="H11" s="987"/>
      <c r="I11" s="987"/>
      <c r="J11" s="987"/>
      <c r="K11" s="987"/>
      <c r="L11" s="987"/>
      <c r="M11" s="987"/>
      <c r="N11" s="987"/>
      <c r="O11" s="987"/>
      <c r="P11" s="987"/>
      <c r="Q11" s="987"/>
      <c r="R11" s="987"/>
      <c r="S11" s="987"/>
      <c r="T11" s="987"/>
      <c r="U11" s="987"/>
      <c r="V11" s="987"/>
      <c r="W11" s="988"/>
      <c r="X11" s="992"/>
    </row>
    <row r="12" spans="1:24" ht="12.95" customHeight="1" thickBot="1">
      <c r="A12" s="885"/>
      <c r="B12" s="885"/>
      <c r="C12" s="1258" t="s">
        <v>170</v>
      </c>
      <c r="D12" s="927" t="s">
        <v>4</v>
      </c>
      <c r="E12" s="928"/>
      <c r="F12" s="928"/>
      <c r="G12" s="928"/>
      <c r="H12" s="928"/>
      <c r="I12" s="928"/>
      <c r="J12" s="928"/>
      <c r="K12" s="928"/>
      <c r="L12" s="928"/>
      <c r="M12" s="928"/>
      <c r="N12" s="928"/>
      <c r="O12" s="928"/>
      <c r="P12" s="928"/>
      <c r="Q12" s="928"/>
      <c r="R12" s="928"/>
      <c r="S12" s="928"/>
      <c r="T12" s="928"/>
      <c r="U12" s="928"/>
      <c r="V12" s="928"/>
      <c r="W12" s="928"/>
      <c r="X12" s="992"/>
    </row>
    <row r="13" spans="1:24" ht="24" customHeight="1" thickBot="1">
      <c r="A13" s="885"/>
      <c r="B13" s="869"/>
      <c r="C13" s="1259"/>
      <c r="D13" s="930" t="s">
        <v>87</v>
      </c>
      <c r="E13" s="931"/>
      <c r="F13" s="931"/>
      <c r="G13" s="931"/>
      <c r="H13" s="931"/>
      <c r="I13" s="931"/>
      <c r="J13" s="931"/>
      <c r="K13" s="931"/>
      <c r="L13" s="931"/>
      <c r="M13" s="931"/>
      <c r="N13" s="931"/>
      <c r="O13" s="931"/>
      <c r="P13" s="931"/>
      <c r="Q13" s="931"/>
      <c r="R13" s="931"/>
      <c r="S13" s="931"/>
      <c r="T13" s="931"/>
      <c r="U13" s="931"/>
      <c r="V13" s="931"/>
      <c r="W13" s="932"/>
      <c r="X13" s="992"/>
    </row>
    <row r="14" spans="1:24" ht="12.95" customHeight="1" thickBot="1">
      <c r="A14" s="885"/>
      <c r="B14" s="11" t="s">
        <v>53</v>
      </c>
      <c r="C14" s="12"/>
      <c r="D14" s="927" t="s">
        <v>79</v>
      </c>
      <c r="E14" s="928"/>
      <c r="F14" s="928"/>
      <c r="G14" s="929"/>
      <c r="H14" s="927" t="s">
        <v>80</v>
      </c>
      <c r="I14" s="928"/>
      <c r="J14" s="928"/>
      <c r="K14" s="929"/>
      <c r="L14" s="927" t="s">
        <v>81</v>
      </c>
      <c r="M14" s="928"/>
      <c r="N14" s="928"/>
      <c r="O14" s="929"/>
      <c r="P14" s="927" t="s">
        <v>254</v>
      </c>
      <c r="Q14" s="928"/>
      <c r="R14" s="928"/>
      <c r="S14" s="929"/>
      <c r="T14" s="927" t="s">
        <v>76</v>
      </c>
      <c r="U14" s="928"/>
      <c r="V14" s="928"/>
      <c r="W14" s="929"/>
      <c r="X14" s="992"/>
    </row>
    <row r="15" spans="1:24" ht="12.95" customHeight="1" thickBot="1">
      <c r="A15" s="885"/>
      <c r="B15" s="868" t="s">
        <v>44</v>
      </c>
      <c r="C15" s="9" t="s">
        <v>2</v>
      </c>
      <c r="D15" s="930" t="s">
        <v>83</v>
      </c>
      <c r="E15" s="931"/>
      <c r="F15" s="931"/>
      <c r="G15" s="931"/>
      <c r="H15" s="931"/>
      <c r="I15" s="931"/>
      <c r="J15" s="931"/>
      <c r="K15" s="931"/>
      <c r="L15" s="931"/>
      <c r="M15" s="931"/>
      <c r="N15" s="931"/>
      <c r="O15" s="931"/>
      <c r="P15" s="931"/>
      <c r="Q15" s="931"/>
      <c r="R15" s="931"/>
      <c r="S15" s="931"/>
      <c r="T15" s="931"/>
      <c r="U15" s="931"/>
      <c r="V15" s="931"/>
      <c r="W15" s="932"/>
      <c r="X15" s="992"/>
    </row>
    <row r="16" spans="1:24" ht="13.5" thickBot="1">
      <c r="A16" s="885"/>
      <c r="B16" s="885"/>
      <c r="C16" s="10" t="s">
        <v>3</v>
      </c>
      <c r="D16" s="986"/>
      <c r="E16" s="987"/>
      <c r="F16" s="987"/>
      <c r="G16" s="987"/>
      <c r="H16" s="987"/>
      <c r="I16" s="987"/>
      <c r="J16" s="987"/>
      <c r="K16" s="987"/>
      <c r="L16" s="987"/>
      <c r="M16" s="987"/>
      <c r="N16" s="987"/>
      <c r="O16" s="987"/>
      <c r="P16" s="987"/>
      <c r="Q16" s="987"/>
      <c r="R16" s="987"/>
      <c r="S16" s="987"/>
      <c r="T16" s="987"/>
      <c r="U16" s="987"/>
      <c r="V16" s="987"/>
      <c r="W16" s="988"/>
      <c r="X16" s="992"/>
    </row>
    <row r="17" spans="1:24" ht="12.95" customHeight="1" thickBot="1">
      <c r="A17" s="885"/>
      <c r="B17" s="885"/>
      <c r="C17" s="1258" t="s">
        <v>170</v>
      </c>
      <c r="D17" s="989" t="s">
        <v>4</v>
      </c>
      <c r="E17" s="990"/>
      <c r="F17" s="990"/>
      <c r="G17" s="990"/>
      <c r="H17" s="990"/>
      <c r="I17" s="990"/>
      <c r="J17" s="990"/>
      <c r="K17" s="990"/>
      <c r="L17" s="990"/>
      <c r="M17" s="990"/>
      <c r="N17" s="990"/>
      <c r="O17" s="990"/>
      <c r="P17" s="990"/>
      <c r="Q17" s="990"/>
      <c r="R17" s="990"/>
      <c r="S17" s="990"/>
      <c r="T17" s="990"/>
      <c r="U17" s="990"/>
      <c r="V17" s="990"/>
      <c r="W17" s="990"/>
      <c r="X17" s="992"/>
    </row>
    <row r="18" spans="1:24" ht="12.95" customHeight="1" thickBot="1">
      <c r="A18" s="869"/>
      <c r="B18" s="869"/>
      <c r="C18" s="1259"/>
      <c r="D18" s="930" t="s">
        <v>84</v>
      </c>
      <c r="E18" s="931"/>
      <c r="F18" s="931"/>
      <c r="G18" s="931"/>
      <c r="H18" s="931"/>
      <c r="I18" s="931"/>
      <c r="J18" s="931"/>
      <c r="K18" s="931"/>
      <c r="L18" s="931"/>
      <c r="M18" s="931"/>
      <c r="N18" s="931"/>
      <c r="O18" s="931"/>
      <c r="P18" s="931"/>
      <c r="Q18" s="931"/>
      <c r="R18" s="931"/>
      <c r="S18" s="931"/>
      <c r="T18" s="931"/>
      <c r="U18" s="931"/>
      <c r="V18" s="931"/>
      <c r="W18" s="932"/>
      <c r="X18" s="993"/>
    </row>
    <row r="19" spans="1:24">
      <c r="A19" s="5"/>
      <c r="B19" s="5"/>
      <c r="C19" s="14"/>
      <c r="D19" s="5"/>
      <c r="E19" s="5"/>
      <c r="F19" s="5"/>
      <c r="G19" s="5"/>
      <c r="H19" s="5"/>
      <c r="I19" s="5"/>
      <c r="J19" s="5"/>
      <c r="K19" s="5"/>
      <c r="L19" s="5"/>
      <c r="M19" s="5"/>
      <c r="N19" s="5"/>
      <c r="O19" s="5"/>
      <c r="P19" s="5"/>
      <c r="Q19" s="5"/>
      <c r="R19" s="5"/>
      <c r="S19" s="5"/>
      <c r="T19" s="5"/>
      <c r="U19" s="5"/>
      <c r="V19" s="5"/>
      <c r="W19" s="5"/>
      <c r="X19" s="5"/>
    </row>
    <row r="20" spans="1:24" ht="13.5" thickBot="1">
      <c r="A20" s="5"/>
      <c r="B20" s="5"/>
      <c r="C20" s="6"/>
      <c r="D20" s="5"/>
      <c r="E20" s="5"/>
      <c r="F20" s="5"/>
      <c r="G20" s="5"/>
      <c r="H20" s="5"/>
      <c r="I20" s="5"/>
      <c r="J20" s="5"/>
      <c r="K20" s="5"/>
      <c r="L20" s="5"/>
      <c r="M20" s="5"/>
      <c r="N20" s="5"/>
      <c r="O20" s="5"/>
      <c r="P20" s="5"/>
      <c r="Q20" s="5"/>
      <c r="R20" s="5"/>
      <c r="S20" s="5"/>
      <c r="T20" s="5"/>
      <c r="U20" s="5"/>
      <c r="V20" s="5"/>
      <c r="W20" s="5"/>
      <c r="X20" s="5"/>
    </row>
    <row r="21" spans="1:24" ht="12.95" customHeight="1" thickBot="1">
      <c r="A21" s="15" t="s">
        <v>1</v>
      </c>
      <c r="B21" s="97" t="s">
        <v>24</v>
      </c>
      <c r="C21" s="8"/>
      <c r="D21" s="927" t="s">
        <v>78</v>
      </c>
      <c r="E21" s="928"/>
      <c r="F21" s="928"/>
      <c r="G21" s="929"/>
      <c r="H21" s="927" t="s">
        <v>77</v>
      </c>
      <c r="I21" s="928"/>
      <c r="J21" s="928"/>
      <c r="K21" s="929"/>
      <c r="L21" s="927" t="s">
        <v>81</v>
      </c>
      <c r="M21" s="928"/>
      <c r="N21" s="928"/>
      <c r="O21" s="929"/>
      <c r="P21" s="927" t="s">
        <v>254</v>
      </c>
      <c r="Q21" s="928"/>
      <c r="R21" s="928"/>
      <c r="S21" s="929"/>
      <c r="T21" s="927" t="s">
        <v>76</v>
      </c>
      <c r="U21" s="928"/>
      <c r="V21" s="928"/>
      <c r="W21" s="929"/>
      <c r="X21" s="16" t="s">
        <v>6</v>
      </c>
    </row>
    <row r="22" spans="1:24" ht="12.95" customHeight="1" thickBot="1">
      <c r="A22" s="868" t="s">
        <v>47</v>
      </c>
      <c r="B22" s="868" t="s">
        <v>48</v>
      </c>
      <c r="C22" s="9" t="s">
        <v>2</v>
      </c>
      <c r="D22" s="942">
        <v>1.8</v>
      </c>
      <c r="E22" s="943"/>
      <c r="F22" s="943"/>
      <c r="G22" s="944"/>
      <c r="H22" s="942">
        <v>1.8</v>
      </c>
      <c r="I22" s="943"/>
      <c r="J22" s="943"/>
      <c r="K22" s="944"/>
      <c r="L22" s="942">
        <v>2.5</v>
      </c>
      <c r="M22" s="943"/>
      <c r="N22" s="943"/>
      <c r="O22" s="944"/>
      <c r="P22" s="942">
        <v>3.2</v>
      </c>
      <c r="Q22" s="943"/>
      <c r="R22" s="943"/>
      <c r="S22" s="944"/>
      <c r="T22" s="1292">
        <v>3.1</v>
      </c>
      <c r="U22" s="1293"/>
      <c r="V22" s="1293"/>
      <c r="W22" s="1294"/>
      <c r="X22" s="873" t="s">
        <v>96</v>
      </c>
    </row>
    <row r="23" spans="1:24" ht="13.5" thickBot="1">
      <c r="A23" s="885"/>
      <c r="B23" s="885"/>
      <c r="C23" s="10" t="s">
        <v>3</v>
      </c>
      <c r="D23" s="957"/>
      <c r="E23" s="958"/>
      <c r="F23" s="958"/>
      <c r="G23" s="959"/>
      <c r="H23" s="963">
        <v>2.5</v>
      </c>
      <c r="I23" s="964"/>
      <c r="J23" s="964"/>
      <c r="K23" s="965"/>
      <c r="L23" s="963">
        <v>3.1</v>
      </c>
      <c r="M23" s="964"/>
      <c r="N23" s="964"/>
      <c r="O23" s="965"/>
      <c r="P23" s="963">
        <v>3.2</v>
      </c>
      <c r="Q23" s="964"/>
      <c r="R23" s="964"/>
      <c r="S23" s="965"/>
      <c r="T23" s="963">
        <v>0</v>
      </c>
      <c r="U23" s="964"/>
      <c r="V23" s="964"/>
      <c r="W23" s="965"/>
      <c r="X23" s="874"/>
    </row>
    <row r="24" spans="1:24" ht="12.95" customHeight="1" thickBot="1">
      <c r="A24" s="885"/>
      <c r="B24" s="885"/>
      <c r="C24" s="1258" t="s">
        <v>170</v>
      </c>
      <c r="D24" s="927" t="s">
        <v>4</v>
      </c>
      <c r="E24" s="928"/>
      <c r="F24" s="928"/>
      <c r="G24" s="928"/>
      <c r="H24" s="928"/>
      <c r="I24" s="928"/>
      <c r="J24" s="928"/>
      <c r="K24" s="928"/>
      <c r="L24" s="928"/>
      <c r="M24" s="928"/>
      <c r="N24" s="928"/>
      <c r="O24" s="928"/>
      <c r="P24" s="928"/>
      <c r="Q24" s="928"/>
      <c r="R24" s="928"/>
      <c r="S24" s="928"/>
      <c r="T24" s="928"/>
      <c r="U24" s="928"/>
      <c r="V24" s="928"/>
      <c r="W24" s="928"/>
      <c r="X24" s="874"/>
    </row>
    <row r="25" spans="1:24" ht="12.95" customHeight="1" thickBot="1">
      <c r="A25" s="885"/>
      <c r="B25" s="869"/>
      <c r="C25" s="1259"/>
      <c r="D25" s="930" t="s">
        <v>115</v>
      </c>
      <c r="E25" s="931"/>
      <c r="F25" s="931"/>
      <c r="G25" s="931"/>
      <c r="H25" s="931"/>
      <c r="I25" s="931"/>
      <c r="J25" s="931"/>
      <c r="K25" s="931"/>
      <c r="L25" s="931"/>
      <c r="M25" s="931"/>
      <c r="N25" s="931"/>
      <c r="O25" s="931"/>
      <c r="P25" s="931"/>
      <c r="Q25" s="931"/>
      <c r="R25" s="931"/>
      <c r="S25" s="931"/>
      <c r="T25" s="931"/>
      <c r="U25" s="931"/>
      <c r="V25" s="931"/>
      <c r="W25" s="932"/>
      <c r="X25" s="874"/>
    </row>
    <row r="26" spans="1:24" ht="12.95" customHeight="1" thickBot="1">
      <c r="A26" s="885"/>
      <c r="B26" s="11" t="s">
        <v>25</v>
      </c>
      <c r="C26" s="12"/>
      <c r="D26" s="927" t="s">
        <v>78</v>
      </c>
      <c r="E26" s="928"/>
      <c r="F26" s="928"/>
      <c r="G26" s="929"/>
      <c r="H26" s="927" t="s">
        <v>77</v>
      </c>
      <c r="I26" s="928"/>
      <c r="J26" s="928"/>
      <c r="K26" s="929"/>
      <c r="L26" s="927" t="s">
        <v>81</v>
      </c>
      <c r="M26" s="928"/>
      <c r="N26" s="928"/>
      <c r="O26" s="929"/>
      <c r="P26" s="927" t="s">
        <v>254</v>
      </c>
      <c r="Q26" s="928"/>
      <c r="R26" s="928"/>
      <c r="S26" s="929"/>
      <c r="T26" s="927" t="s">
        <v>76</v>
      </c>
      <c r="U26" s="928"/>
      <c r="V26" s="928"/>
      <c r="W26" s="929"/>
      <c r="X26" s="874"/>
    </row>
    <row r="27" spans="1:24" ht="13.5" thickBot="1">
      <c r="A27" s="885"/>
      <c r="B27" s="868" t="s">
        <v>49</v>
      </c>
      <c r="C27" s="9" t="s">
        <v>2</v>
      </c>
      <c r="D27" s="942">
        <v>1</v>
      </c>
      <c r="E27" s="943"/>
      <c r="F27" s="943"/>
      <c r="G27" s="944"/>
      <c r="H27" s="942">
        <v>1</v>
      </c>
      <c r="I27" s="943"/>
      <c r="J27" s="943"/>
      <c r="K27" s="944"/>
      <c r="L27" s="942">
        <v>1.25</v>
      </c>
      <c r="M27" s="943"/>
      <c r="N27" s="943"/>
      <c r="O27" s="944"/>
      <c r="P27" s="942">
        <v>2.2999999999999998</v>
      </c>
      <c r="Q27" s="943"/>
      <c r="R27" s="943"/>
      <c r="S27" s="944"/>
      <c r="T27" s="942">
        <v>2.6</v>
      </c>
      <c r="U27" s="943"/>
      <c r="V27" s="943"/>
      <c r="W27" s="944"/>
      <c r="X27" s="874"/>
    </row>
    <row r="28" spans="1:24" ht="13.5" thickBot="1">
      <c r="A28" s="885"/>
      <c r="B28" s="885"/>
      <c r="C28" s="10" t="s">
        <v>3</v>
      </c>
      <c r="D28" s="957"/>
      <c r="E28" s="958"/>
      <c r="F28" s="958"/>
      <c r="G28" s="959"/>
      <c r="H28" s="963">
        <v>1</v>
      </c>
      <c r="I28" s="964"/>
      <c r="J28" s="964"/>
      <c r="K28" s="965"/>
      <c r="L28" s="963">
        <v>2.1</v>
      </c>
      <c r="M28" s="964"/>
      <c r="N28" s="964"/>
      <c r="O28" s="965"/>
      <c r="P28" s="963">
        <v>2.4</v>
      </c>
      <c r="Q28" s="964"/>
      <c r="R28" s="964"/>
      <c r="S28" s="965"/>
      <c r="T28" s="963">
        <v>0</v>
      </c>
      <c r="U28" s="964"/>
      <c r="V28" s="964"/>
      <c r="W28" s="965"/>
      <c r="X28" s="874"/>
    </row>
    <row r="29" spans="1:24" ht="12.95" customHeight="1" thickBot="1">
      <c r="A29" s="885"/>
      <c r="B29" s="885"/>
      <c r="C29" s="1258" t="s">
        <v>170</v>
      </c>
      <c r="D29" s="927" t="s">
        <v>4</v>
      </c>
      <c r="E29" s="928"/>
      <c r="F29" s="928"/>
      <c r="G29" s="928"/>
      <c r="H29" s="928"/>
      <c r="I29" s="928"/>
      <c r="J29" s="928"/>
      <c r="K29" s="928"/>
      <c r="L29" s="928"/>
      <c r="M29" s="928"/>
      <c r="N29" s="928"/>
      <c r="O29" s="928"/>
      <c r="P29" s="928"/>
      <c r="Q29" s="928"/>
      <c r="R29" s="928"/>
      <c r="S29" s="928"/>
      <c r="T29" s="928"/>
      <c r="U29" s="928"/>
      <c r="V29" s="928"/>
      <c r="W29" s="928"/>
      <c r="X29" s="874"/>
    </row>
    <row r="30" spans="1:24" ht="12.95" customHeight="1" thickBot="1">
      <c r="A30" s="885"/>
      <c r="B30" s="869"/>
      <c r="C30" s="1259"/>
      <c r="D30" s="930" t="s">
        <v>116</v>
      </c>
      <c r="E30" s="931"/>
      <c r="F30" s="931"/>
      <c r="G30" s="931"/>
      <c r="H30" s="931"/>
      <c r="I30" s="931"/>
      <c r="J30" s="931"/>
      <c r="K30" s="931"/>
      <c r="L30" s="931"/>
      <c r="M30" s="931"/>
      <c r="N30" s="931"/>
      <c r="O30" s="931"/>
      <c r="P30" s="931"/>
      <c r="Q30" s="931"/>
      <c r="R30" s="931"/>
      <c r="S30" s="931"/>
      <c r="T30" s="931"/>
      <c r="U30" s="931"/>
      <c r="V30" s="931"/>
      <c r="W30" s="932"/>
      <c r="X30" s="874"/>
    </row>
    <row r="31" spans="1:24" ht="12.95" customHeight="1" thickBot="1">
      <c r="A31" s="885"/>
      <c r="B31" s="11" t="s">
        <v>37</v>
      </c>
      <c r="C31" s="12"/>
      <c r="D31" s="927" t="s">
        <v>78</v>
      </c>
      <c r="E31" s="928"/>
      <c r="F31" s="928"/>
      <c r="G31" s="929"/>
      <c r="H31" s="927" t="s">
        <v>77</v>
      </c>
      <c r="I31" s="928"/>
      <c r="J31" s="928"/>
      <c r="K31" s="929"/>
      <c r="L31" s="927" t="s">
        <v>81</v>
      </c>
      <c r="M31" s="928"/>
      <c r="N31" s="928"/>
      <c r="O31" s="929"/>
      <c r="P31" s="927" t="s">
        <v>254</v>
      </c>
      <c r="Q31" s="928"/>
      <c r="R31" s="928"/>
      <c r="S31" s="929"/>
      <c r="T31" s="927" t="s">
        <v>76</v>
      </c>
      <c r="U31" s="928"/>
      <c r="V31" s="928"/>
      <c r="W31" s="929"/>
      <c r="X31" s="874"/>
    </row>
    <row r="32" spans="1:24" ht="33" customHeight="1" thickBot="1">
      <c r="A32" s="885"/>
      <c r="B32" s="868" t="s">
        <v>148</v>
      </c>
      <c r="C32" s="9"/>
      <c r="D32" s="17" t="s">
        <v>106</v>
      </c>
      <c r="E32" s="17" t="s">
        <v>107</v>
      </c>
      <c r="F32" s="17" t="s">
        <v>108</v>
      </c>
      <c r="G32" s="17" t="s">
        <v>109</v>
      </c>
      <c r="H32" s="17" t="s">
        <v>106</v>
      </c>
      <c r="I32" s="17" t="s">
        <v>107</v>
      </c>
      <c r="J32" s="17" t="s">
        <v>108</v>
      </c>
      <c r="K32" s="17" t="s">
        <v>109</v>
      </c>
      <c r="L32" s="17" t="s">
        <v>106</v>
      </c>
      <c r="M32" s="17" t="s">
        <v>107</v>
      </c>
      <c r="N32" s="17" t="s">
        <v>108</v>
      </c>
      <c r="O32" s="17" t="s">
        <v>109</v>
      </c>
      <c r="P32" s="17" t="s">
        <v>106</v>
      </c>
      <c r="Q32" s="17" t="s">
        <v>107</v>
      </c>
      <c r="R32" s="17" t="s">
        <v>108</v>
      </c>
      <c r="S32" s="17" t="s">
        <v>109</v>
      </c>
      <c r="T32" s="17" t="s">
        <v>106</v>
      </c>
      <c r="U32" s="17" t="s">
        <v>107</v>
      </c>
      <c r="V32" s="17" t="s">
        <v>108</v>
      </c>
      <c r="W32" s="17" t="s">
        <v>109</v>
      </c>
      <c r="X32" s="874"/>
    </row>
    <row r="33" spans="1:24" ht="13.5" thickBot="1">
      <c r="A33" s="885"/>
      <c r="B33" s="885"/>
      <c r="C33" s="9" t="s">
        <v>2</v>
      </c>
      <c r="D33" s="18">
        <v>2</v>
      </c>
      <c r="E33" s="18">
        <v>0</v>
      </c>
      <c r="F33" s="18">
        <v>0</v>
      </c>
      <c r="G33" s="18">
        <v>13</v>
      </c>
      <c r="H33" s="18">
        <v>6</v>
      </c>
      <c r="I33" s="18">
        <v>1</v>
      </c>
      <c r="J33" s="18">
        <v>0</v>
      </c>
      <c r="K33" s="18">
        <v>10</v>
      </c>
      <c r="L33" s="18">
        <v>3</v>
      </c>
      <c r="M33" s="18">
        <v>2</v>
      </c>
      <c r="N33" s="18">
        <v>1</v>
      </c>
      <c r="O33" s="18">
        <v>15</v>
      </c>
      <c r="P33" s="18">
        <v>11</v>
      </c>
      <c r="Q33" s="18">
        <v>11</v>
      </c>
      <c r="R33" s="18">
        <v>2</v>
      </c>
      <c r="S33" s="18">
        <v>15</v>
      </c>
      <c r="T33" s="823">
        <v>15</v>
      </c>
      <c r="U33" s="823">
        <v>15</v>
      </c>
      <c r="V33" s="782">
        <v>13</v>
      </c>
      <c r="W33" s="18">
        <v>15</v>
      </c>
      <c r="X33" s="874"/>
    </row>
    <row r="34" spans="1:24" ht="13.5" thickBot="1">
      <c r="A34" s="885"/>
      <c r="B34" s="93" t="s">
        <v>145</v>
      </c>
      <c r="C34" s="10" t="s">
        <v>3</v>
      </c>
      <c r="D34" s="986"/>
      <c r="E34" s="987"/>
      <c r="F34" s="987"/>
      <c r="G34" s="988"/>
      <c r="H34" s="68">
        <v>7</v>
      </c>
      <c r="I34" s="68">
        <v>3</v>
      </c>
      <c r="J34" s="68">
        <v>0</v>
      </c>
      <c r="K34" s="68">
        <v>10</v>
      </c>
      <c r="L34" s="68">
        <v>2</v>
      </c>
      <c r="M34" s="68">
        <v>1</v>
      </c>
      <c r="N34" s="68">
        <v>1</v>
      </c>
      <c r="O34" s="68">
        <v>15</v>
      </c>
      <c r="P34" s="68">
        <v>2</v>
      </c>
      <c r="Q34" s="68">
        <v>2</v>
      </c>
      <c r="R34" s="68">
        <v>1</v>
      </c>
      <c r="S34" s="68">
        <v>15</v>
      </c>
      <c r="T34" s="68">
        <v>0</v>
      </c>
      <c r="U34" s="68">
        <v>0</v>
      </c>
      <c r="V34" s="68">
        <v>0</v>
      </c>
      <c r="W34" s="68">
        <v>0</v>
      </c>
      <c r="X34" s="874"/>
    </row>
    <row r="35" spans="1:24" ht="12.95" customHeight="1" thickBot="1">
      <c r="A35" s="885"/>
      <c r="B35" s="93" t="s">
        <v>147</v>
      </c>
      <c r="C35" s="1258" t="s">
        <v>170</v>
      </c>
      <c r="D35" s="927" t="s">
        <v>4</v>
      </c>
      <c r="E35" s="928"/>
      <c r="F35" s="928"/>
      <c r="G35" s="928"/>
      <c r="H35" s="928"/>
      <c r="I35" s="928"/>
      <c r="J35" s="928"/>
      <c r="K35" s="928"/>
      <c r="L35" s="928"/>
      <c r="M35" s="928"/>
      <c r="N35" s="928"/>
      <c r="O35" s="928"/>
      <c r="P35" s="928"/>
      <c r="Q35" s="928"/>
      <c r="R35" s="928"/>
      <c r="S35" s="928"/>
      <c r="T35" s="928"/>
      <c r="U35" s="928"/>
      <c r="V35" s="928"/>
      <c r="W35" s="928"/>
      <c r="X35" s="874"/>
    </row>
    <row r="36" spans="1:24" ht="12.95" customHeight="1" thickBot="1">
      <c r="A36" s="869"/>
      <c r="B36" s="94" t="s">
        <v>146</v>
      </c>
      <c r="C36" s="1259"/>
      <c r="D36" s="930" t="s">
        <v>117</v>
      </c>
      <c r="E36" s="931"/>
      <c r="F36" s="931"/>
      <c r="G36" s="931"/>
      <c r="H36" s="931"/>
      <c r="I36" s="931"/>
      <c r="J36" s="931"/>
      <c r="K36" s="931"/>
      <c r="L36" s="931"/>
      <c r="M36" s="931"/>
      <c r="N36" s="931"/>
      <c r="O36" s="931"/>
      <c r="P36" s="931"/>
      <c r="Q36" s="931"/>
      <c r="R36" s="931"/>
      <c r="S36" s="931"/>
      <c r="T36" s="931"/>
      <c r="U36" s="931"/>
      <c r="V36" s="931"/>
      <c r="W36" s="932"/>
      <c r="X36" s="875"/>
    </row>
    <row r="37" spans="1:24">
      <c r="A37" s="5"/>
      <c r="B37" s="5"/>
      <c r="C37" s="14"/>
      <c r="D37" s="5"/>
      <c r="E37" s="5"/>
      <c r="F37" s="5"/>
      <c r="G37" s="5"/>
      <c r="H37" s="5"/>
      <c r="I37" s="5"/>
      <c r="J37" s="5"/>
      <c r="K37" s="5"/>
      <c r="L37" s="5"/>
      <c r="M37" s="5"/>
      <c r="N37" s="5"/>
      <c r="O37" s="5"/>
      <c r="P37" s="5"/>
      <c r="Q37" s="5"/>
      <c r="R37" s="5"/>
      <c r="S37" s="5"/>
      <c r="T37" s="5"/>
      <c r="U37" s="5"/>
      <c r="V37" s="5"/>
      <c r="W37" s="5"/>
      <c r="X37" s="5"/>
    </row>
    <row r="38" spans="1:24" ht="13.5" thickBot="1">
      <c r="A38" s="5"/>
      <c r="B38" s="5"/>
      <c r="C38" s="6"/>
      <c r="D38" s="5"/>
      <c r="E38" s="5"/>
      <c r="F38" s="5"/>
      <c r="G38" s="5"/>
      <c r="H38" s="5"/>
      <c r="I38" s="5"/>
      <c r="J38" s="5"/>
      <c r="K38" s="5"/>
      <c r="L38" s="5"/>
      <c r="M38" s="5"/>
      <c r="N38" s="5"/>
      <c r="O38" s="5"/>
      <c r="P38" s="5"/>
      <c r="Q38" s="5"/>
      <c r="R38" s="5"/>
      <c r="S38" s="5"/>
      <c r="T38" s="5"/>
      <c r="U38" s="5"/>
      <c r="V38" s="5"/>
      <c r="W38" s="5"/>
      <c r="X38" s="5"/>
    </row>
    <row r="39" spans="1:24" ht="12.95" customHeight="1" thickBot="1">
      <c r="A39" s="7" t="s">
        <v>5</v>
      </c>
      <c r="B39" s="97" t="s">
        <v>22</v>
      </c>
      <c r="C39" s="8"/>
      <c r="D39" s="927" t="s">
        <v>78</v>
      </c>
      <c r="E39" s="928"/>
      <c r="F39" s="928"/>
      <c r="G39" s="929"/>
      <c r="H39" s="927" t="s">
        <v>77</v>
      </c>
      <c r="I39" s="928"/>
      <c r="J39" s="928"/>
      <c r="K39" s="929"/>
      <c r="L39" s="927" t="s">
        <v>81</v>
      </c>
      <c r="M39" s="928"/>
      <c r="N39" s="928"/>
      <c r="O39" s="929"/>
      <c r="P39" s="927" t="s">
        <v>254</v>
      </c>
      <c r="Q39" s="928"/>
      <c r="R39" s="928"/>
      <c r="S39" s="929"/>
      <c r="T39" s="927" t="s">
        <v>76</v>
      </c>
      <c r="U39" s="928"/>
      <c r="V39" s="928"/>
      <c r="W39" s="929"/>
      <c r="X39" s="19" t="s">
        <v>6</v>
      </c>
    </row>
    <row r="40" spans="1:24" ht="12.95" customHeight="1" thickBot="1">
      <c r="A40" s="868" t="s">
        <v>54</v>
      </c>
      <c r="B40" s="868" t="s">
        <v>55</v>
      </c>
      <c r="C40" s="9" t="s">
        <v>2</v>
      </c>
      <c r="D40" s="942">
        <v>2.1</v>
      </c>
      <c r="E40" s="943"/>
      <c r="F40" s="943"/>
      <c r="G40" s="944"/>
      <c r="H40" s="942">
        <v>2.1</v>
      </c>
      <c r="I40" s="943"/>
      <c r="J40" s="943"/>
      <c r="K40" s="944"/>
      <c r="L40" s="942">
        <v>2.6</v>
      </c>
      <c r="M40" s="943"/>
      <c r="N40" s="943"/>
      <c r="O40" s="944"/>
      <c r="P40" s="942">
        <v>3</v>
      </c>
      <c r="Q40" s="943"/>
      <c r="R40" s="943"/>
      <c r="S40" s="944"/>
      <c r="T40" s="942">
        <v>3.2</v>
      </c>
      <c r="U40" s="943"/>
      <c r="V40" s="943"/>
      <c r="W40" s="944"/>
      <c r="X40" s="879" t="s">
        <v>95</v>
      </c>
    </row>
    <row r="41" spans="1:24" ht="13.5" thickBot="1">
      <c r="A41" s="885"/>
      <c r="B41" s="885"/>
      <c r="C41" s="10" t="s">
        <v>3</v>
      </c>
      <c r="D41" s="957"/>
      <c r="E41" s="958"/>
      <c r="F41" s="958"/>
      <c r="G41" s="959"/>
      <c r="H41" s="963">
        <v>3</v>
      </c>
      <c r="I41" s="964"/>
      <c r="J41" s="964"/>
      <c r="K41" s="965"/>
      <c r="L41" s="963">
        <v>2.9</v>
      </c>
      <c r="M41" s="964"/>
      <c r="N41" s="964"/>
      <c r="O41" s="965"/>
      <c r="P41" s="963">
        <v>3.1</v>
      </c>
      <c r="Q41" s="964"/>
      <c r="R41" s="964"/>
      <c r="S41" s="965"/>
      <c r="T41" s="963">
        <v>0</v>
      </c>
      <c r="U41" s="964"/>
      <c r="V41" s="964"/>
      <c r="W41" s="965"/>
      <c r="X41" s="880"/>
    </row>
    <row r="42" spans="1:24" ht="12.95" customHeight="1" thickBot="1">
      <c r="A42" s="885"/>
      <c r="B42" s="885"/>
      <c r="C42" s="1258" t="s">
        <v>170</v>
      </c>
      <c r="D42" s="927" t="s">
        <v>4</v>
      </c>
      <c r="E42" s="928"/>
      <c r="F42" s="928"/>
      <c r="G42" s="928"/>
      <c r="H42" s="928"/>
      <c r="I42" s="928"/>
      <c r="J42" s="928"/>
      <c r="K42" s="928"/>
      <c r="L42" s="928"/>
      <c r="M42" s="928"/>
      <c r="N42" s="928"/>
      <c r="O42" s="928"/>
      <c r="P42" s="928"/>
      <c r="Q42" s="928"/>
      <c r="R42" s="928"/>
      <c r="S42" s="928"/>
      <c r="T42" s="928"/>
      <c r="U42" s="928"/>
      <c r="V42" s="928"/>
      <c r="W42" s="928"/>
      <c r="X42" s="880"/>
    </row>
    <row r="43" spans="1:24" ht="12.95" customHeight="1" thickBot="1">
      <c r="A43" s="885"/>
      <c r="B43" s="869"/>
      <c r="C43" s="1259"/>
      <c r="D43" s="930" t="s">
        <v>115</v>
      </c>
      <c r="E43" s="931"/>
      <c r="F43" s="931"/>
      <c r="G43" s="931"/>
      <c r="H43" s="931"/>
      <c r="I43" s="931"/>
      <c r="J43" s="931"/>
      <c r="K43" s="931"/>
      <c r="L43" s="931"/>
      <c r="M43" s="931"/>
      <c r="N43" s="931"/>
      <c r="O43" s="931"/>
      <c r="P43" s="931"/>
      <c r="Q43" s="931"/>
      <c r="R43" s="931"/>
      <c r="S43" s="931"/>
      <c r="T43" s="931"/>
      <c r="U43" s="931"/>
      <c r="V43" s="931"/>
      <c r="W43" s="932"/>
      <c r="X43" s="880"/>
    </row>
    <row r="44" spans="1:24" ht="12.95" customHeight="1" thickBot="1">
      <c r="A44" s="885"/>
      <c r="B44" s="11" t="s">
        <v>23</v>
      </c>
      <c r="C44" s="12"/>
      <c r="D44" s="927" t="s">
        <v>78</v>
      </c>
      <c r="E44" s="928"/>
      <c r="F44" s="928"/>
      <c r="G44" s="929"/>
      <c r="H44" s="927" t="s">
        <v>77</v>
      </c>
      <c r="I44" s="928"/>
      <c r="J44" s="928"/>
      <c r="K44" s="929"/>
      <c r="L44" s="927" t="s">
        <v>81</v>
      </c>
      <c r="M44" s="928"/>
      <c r="N44" s="928"/>
      <c r="O44" s="929"/>
      <c r="P44" s="927" t="s">
        <v>254</v>
      </c>
      <c r="Q44" s="928"/>
      <c r="R44" s="928"/>
      <c r="S44" s="929"/>
      <c r="T44" s="927" t="s">
        <v>76</v>
      </c>
      <c r="U44" s="928"/>
      <c r="V44" s="928"/>
      <c r="W44" s="929"/>
      <c r="X44" s="880"/>
    </row>
    <row r="45" spans="1:24" ht="13.5" thickBot="1">
      <c r="A45" s="885"/>
      <c r="B45" s="868" t="s">
        <v>56</v>
      </c>
      <c r="C45" s="9" t="s">
        <v>2</v>
      </c>
      <c r="D45" s="942">
        <v>2.2000000000000002</v>
      </c>
      <c r="E45" s="943"/>
      <c r="F45" s="943"/>
      <c r="G45" s="944"/>
      <c r="H45" s="942">
        <v>2.5</v>
      </c>
      <c r="I45" s="943"/>
      <c r="J45" s="943"/>
      <c r="K45" s="944"/>
      <c r="L45" s="942">
        <v>2.9</v>
      </c>
      <c r="M45" s="943"/>
      <c r="N45" s="943"/>
      <c r="O45" s="944"/>
      <c r="P45" s="942">
        <v>3.2</v>
      </c>
      <c r="Q45" s="943"/>
      <c r="R45" s="943"/>
      <c r="S45" s="944"/>
      <c r="T45" s="1188">
        <v>4.3</v>
      </c>
      <c r="U45" s="1189"/>
      <c r="V45" s="1189"/>
      <c r="W45" s="1190"/>
      <c r="X45" s="880"/>
    </row>
    <row r="46" spans="1:24" ht="13.5" thickBot="1">
      <c r="A46" s="885"/>
      <c r="B46" s="885"/>
      <c r="C46" s="10" t="s">
        <v>3</v>
      </c>
      <c r="D46" s="957"/>
      <c r="E46" s="958"/>
      <c r="F46" s="958"/>
      <c r="G46" s="959"/>
      <c r="H46" s="963">
        <v>3</v>
      </c>
      <c r="I46" s="964"/>
      <c r="J46" s="964"/>
      <c r="K46" s="965"/>
      <c r="L46" s="963">
        <v>3.1</v>
      </c>
      <c r="M46" s="964"/>
      <c r="N46" s="964"/>
      <c r="O46" s="965"/>
      <c r="P46" s="963">
        <v>3.3</v>
      </c>
      <c r="Q46" s="964"/>
      <c r="R46" s="964"/>
      <c r="S46" s="965"/>
      <c r="T46" s="963">
        <v>0</v>
      </c>
      <c r="U46" s="964"/>
      <c r="V46" s="964"/>
      <c r="W46" s="965"/>
      <c r="X46" s="880"/>
    </row>
    <row r="47" spans="1:24" ht="12.95" customHeight="1" thickBot="1">
      <c r="A47" s="885"/>
      <c r="B47" s="885"/>
      <c r="C47" s="1258" t="s">
        <v>170</v>
      </c>
      <c r="D47" s="927" t="s">
        <v>4</v>
      </c>
      <c r="E47" s="928"/>
      <c r="F47" s="928"/>
      <c r="G47" s="928"/>
      <c r="H47" s="928"/>
      <c r="I47" s="928"/>
      <c r="J47" s="928"/>
      <c r="K47" s="928"/>
      <c r="L47" s="928"/>
      <c r="M47" s="928"/>
      <c r="N47" s="928"/>
      <c r="O47" s="928"/>
      <c r="P47" s="928"/>
      <c r="Q47" s="928"/>
      <c r="R47" s="928"/>
      <c r="S47" s="928"/>
      <c r="T47" s="928"/>
      <c r="U47" s="928"/>
      <c r="V47" s="928"/>
      <c r="W47" s="928"/>
      <c r="X47" s="880"/>
    </row>
    <row r="48" spans="1:24" ht="12.95" customHeight="1" thickBot="1">
      <c r="A48" s="885"/>
      <c r="B48" s="869"/>
      <c r="C48" s="1259"/>
      <c r="D48" s="930" t="s">
        <v>115</v>
      </c>
      <c r="E48" s="931"/>
      <c r="F48" s="931"/>
      <c r="G48" s="931"/>
      <c r="H48" s="931"/>
      <c r="I48" s="931"/>
      <c r="J48" s="931"/>
      <c r="K48" s="931"/>
      <c r="L48" s="931"/>
      <c r="M48" s="931"/>
      <c r="N48" s="931"/>
      <c r="O48" s="931"/>
      <c r="P48" s="931"/>
      <c r="Q48" s="931"/>
      <c r="R48" s="931"/>
      <c r="S48" s="931"/>
      <c r="T48" s="931"/>
      <c r="U48" s="931"/>
      <c r="V48" s="931"/>
      <c r="W48" s="932"/>
      <c r="X48" s="880"/>
    </row>
    <row r="49" spans="1:24" ht="12.95" customHeight="1" thickBot="1">
      <c r="A49" s="885"/>
      <c r="B49" s="11" t="s">
        <v>38</v>
      </c>
      <c r="C49" s="12"/>
      <c r="D49" s="927" t="s">
        <v>78</v>
      </c>
      <c r="E49" s="928"/>
      <c r="F49" s="928"/>
      <c r="G49" s="929"/>
      <c r="H49" s="927" t="s">
        <v>77</v>
      </c>
      <c r="I49" s="928"/>
      <c r="J49" s="928"/>
      <c r="K49" s="929"/>
      <c r="L49" s="927" t="s">
        <v>81</v>
      </c>
      <c r="M49" s="928"/>
      <c r="N49" s="928"/>
      <c r="O49" s="929"/>
      <c r="P49" s="927" t="s">
        <v>254</v>
      </c>
      <c r="Q49" s="928"/>
      <c r="R49" s="928"/>
      <c r="S49" s="929"/>
      <c r="T49" s="927" t="s">
        <v>76</v>
      </c>
      <c r="U49" s="928"/>
      <c r="V49" s="928"/>
      <c r="W49" s="929"/>
      <c r="X49" s="880"/>
    </row>
    <row r="50" spans="1:24" ht="12.95" customHeight="1" thickBot="1">
      <c r="A50" s="885"/>
      <c r="B50" s="868" t="s">
        <v>155</v>
      </c>
      <c r="C50" s="9" t="s">
        <v>2</v>
      </c>
      <c r="D50" s="933" t="s">
        <v>171</v>
      </c>
      <c r="E50" s="934"/>
      <c r="F50" s="934"/>
      <c r="G50" s="935"/>
      <c r="H50" s="966" t="s">
        <v>572</v>
      </c>
      <c r="I50" s="967"/>
      <c r="J50" s="967"/>
      <c r="K50" s="968"/>
      <c r="L50" s="942">
        <v>3.3</v>
      </c>
      <c r="M50" s="943"/>
      <c r="N50" s="943"/>
      <c r="O50" s="944"/>
      <c r="P50" s="942">
        <v>3.5</v>
      </c>
      <c r="Q50" s="943"/>
      <c r="R50" s="943"/>
      <c r="S50" s="944"/>
      <c r="T50" s="1188">
        <v>3.9</v>
      </c>
      <c r="U50" s="1189"/>
      <c r="V50" s="1189"/>
      <c r="W50" s="1190"/>
      <c r="X50" s="880"/>
    </row>
    <row r="51" spans="1:24" ht="13.5" thickBot="1">
      <c r="A51" s="885"/>
      <c r="B51" s="885"/>
      <c r="C51" s="98" t="s">
        <v>3</v>
      </c>
      <c r="D51" s="933"/>
      <c r="E51" s="934"/>
      <c r="F51" s="934"/>
      <c r="G51" s="935"/>
      <c r="H51" s="933"/>
      <c r="I51" s="934"/>
      <c r="J51" s="934"/>
      <c r="K51" s="935"/>
      <c r="L51" s="1171"/>
      <c r="M51" s="1172"/>
      <c r="N51" s="1172"/>
      <c r="O51" s="1173"/>
      <c r="P51" s="963">
        <v>3.4</v>
      </c>
      <c r="Q51" s="964"/>
      <c r="R51" s="964"/>
      <c r="S51" s="965"/>
      <c r="T51" s="963">
        <v>0</v>
      </c>
      <c r="U51" s="964"/>
      <c r="V51" s="964"/>
      <c r="W51" s="965"/>
      <c r="X51" s="880"/>
    </row>
    <row r="52" spans="1:24" ht="12.95" customHeight="1" thickBot="1">
      <c r="A52" s="885"/>
      <c r="B52" s="885"/>
      <c r="C52" s="922" t="s">
        <v>170</v>
      </c>
      <c r="D52" s="927" t="s">
        <v>4</v>
      </c>
      <c r="E52" s="928"/>
      <c r="F52" s="928"/>
      <c r="G52" s="928"/>
      <c r="H52" s="928"/>
      <c r="I52" s="928"/>
      <c r="J52" s="928"/>
      <c r="K52" s="928"/>
      <c r="L52" s="928"/>
      <c r="M52" s="928"/>
      <c r="N52" s="928"/>
      <c r="O52" s="928"/>
      <c r="P52" s="928"/>
      <c r="Q52" s="928"/>
      <c r="R52" s="928"/>
      <c r="S52" s="928"/>
      <c r="T52" s="928"/>
      <c r="U52" s="928"/>
      <c r="V52" s="928"/>
      <c r="W52" s="928"/>
      <c r="X52" s="880"/>
    </row>
    <row r="53" spans="1:24" ht="12.95" customHeight="1" thickBot="1">
      <c r="A53" s="885"/>
      <c r="B53" s="869"/>
      <c r="C53" s="923"/>
      <c r="D53" s="930" t="s">
        <v>115</v>
      </c>
      <c r="E53" s="931"/>
      <c r="F53" s="931"/>
      <c r="G53" s="931"/>
      <c r="H53" s="931"/>
      <c r="I53" s="931"/>
      <c r="J53" s="931"/>
      <c r="K53" s="931"/>
      <c r="L53" s="931"/>
      <c r="M53" s="931"/>
      <c r="N53" s="931"/>
      <c r="O53" s="931"/>
      <c r="P53" s="931"/>
      <c r="Q53" s="931"/>
      <c r="R53" s="931"/>
      <c r="S53" s="931"/>
      <c r="T53" s="931"/>
      <c r="U53" s="931"/>
      <c r="V53" s="931"/>
      <c r="W53" s="932"/>
      <c r="X53" s="880"/>
    </row>
    <row r="54" spans="1:24" ht="12.95" customHeight="1" thickBot="1">
      <c r="A54" s="885"/>
      <c r="B54" s="11" t="s">
        <v>39</v>
      </c>
      <c r="C54" s="12"/>
      <c r="D54" s="927" t="s">
        <v>78</v>
      </c>
      <c r="E54" s="928"/>
      <c r="F54" s="928"/>
      <c r="G54" s="929"/>
      <c r="H54" s="927" t="s">
        <v>77</v>
      </c>
      <c r="I54" s="928"/>
      <c r="J54" s="928"/>
      <c r="K54" s="929"/>
      <c r="L54" s="927" t="s">
        <v>81</v>
      </c>
      <c r="M54" s="928"/>
      <c r="N54" s="928"/>
      <c r="O54" s="929"/>
      <c r="P54" s="927" t="s">
        <v>254</v>
      </c>
      <c r="Q54" s="928"/>
      <c r="R54" s="928"/>
      <c r="S54" s="929"/>
      <c r="T54" s="927" t="s">
        <v>76</v>
      </c>
      <c r="U54" s="928"/>
      <c r="V54" s="928"/>
      <c r="W54" s="929"/>
      <c r="X54" s="880"/>
    </row>
    <row r="55" spans="1:24" ht="44.1" customHeight="1" thickBot="1">
      <c r="A55" s="885"/>
      <c r="B55" s="978" t="s">
        <v>575</v>
      </c>
      <c r="C55" s="9"/>
      <c r="D55" s="20" t="s">
        <v>105</v>
      </c>
      <c r="E55" s="20" t="s">
        <v>579</v>
      </c>
      <c r="F55" s="20" t="s">
        <v>580</v>
      </c>
      <c r="G55" s="20" t="s">
        <v>581</v>
      </c>
      <c r="H55" s="20" t="s">
        <v>105</v>
      </c>
      <c r="I55" s="20" t="s">
        <v>579</v>
      </c>
      <c r="J55" s="20" t="s">
        <v>580</v>
      </c>
      <c r="K55" s="20" t="s">
        <v>581</v>
      </c>
      <c r="L55" s="20" t="s">
        <v>105</v>
      </c>
      <c r="M55" s="20" t="s">
        <v>579</v>
      </c>
      <c r="N55" s="20" t="s">
        <v>580</v>
      </c>
      <c r="O55" s="20" t="s">
        <v>581</v>
      </c>
      <c r="P55" s="20" t="s">
        <v>105</v>
      </c>
      <c r="Q55" s="20" t="s">
        <v>579</v>
      </c>
      <c r="R55" s="20" t="s">
        <v>580</v>
      </c>
      <c r="S55" s="20" t="s">
        <v>581</v>
      </c>
      <c r="T55" s="20" t="s">
        <v>105</v>
      </c>
      <c r="U55" s="20" t="s">
        <v>579</v>
      </c>
      <c r="V55" s="20" t="s">
        <v>580</v>
      </c>
      <c r="W55" s="20" t="s">
        <v>581</v>
      </c>
      <c r="X55" s="880"/>
    </row>
    <row r="56" spans="1:24" ht="13.5" thickBot="1">
      <c r="A56" s="885"/>
      <c r="B56" s="979"/>
      <c r="C56" s="9" t="s">
        <v>2</v>
      </c>
      <c r="D56" s="18">
        <v>0</v>
      </c>
      <c r="E56" s="18">
        <v>0</v>
      </c>
      <c r="F56" s="18">
        <v>0</v>
      </c>
      <c r="G56" s="18">
        <v>0</v>
      </c>
      <c r="H56" s="18">
        <v>2</v>
      </c>
      <c r="I56" s="18">
        <v>1</v>
      </c>
      <c r="J56" s="18">
        <v>1</v>
      </c>
      <c r="K56" s="18">
        <v>0</v>
      </c>
      <c r="L56" s="18">
        <v>4</v>
      </c>
      <c r="M56" s="18">
        <v>2</v>
      </c>
      <c r="N56" s="18">
        <v>2</v>
      </c>
      <c r="O56" s="18">
        <v>0</v>
      </c>
      <c r="P56" s="18">
        <v>8</v>
      </c>
      <c r="Q56" s="18">
        <v>5</v>
      </c>
      <c r="R56" s="18">
        <v>3</v>
      </c>
      <c r="S56" s="18">
        <v>1</v>
      </c>
      <c r="T56" s="782">
        <v>12</v>
      </c>
      <c r="U56" s="18">
        <v>7</v>
      </c>
      <c r="V56" s="18">
        <v>5</v>
      </c>
      <c r="W56" s="18">
        <v>2</v>
      </c>
      <c r="X56" s="880"/>
    </row>
    <row r="57" spans="1:24" ht="24" customHeight="1" thickBot="1">
      <c r="A57" s="885"/>
      <c r="B57" s="169" t="s">
        <v>159</v>
      </c>
      <c r="C57" s="10" t="s">
        <v>3</v>
      </c>
      <c r="D57" s="933" t="s">
        <v>271</v>
      </c>
      <c r="E57" s="934"/>
      <c r="F57" s="934"/>
      <c r="G57" s="935"/>
      <c r="H57" s="68">
        <v>2</v>
      </c>
      <c r="I57" s="68">
        <v>1</v>
      </c>
      <c r="J57" s="68">
        <v>0</v>
      </c>
      <c r="K57" s="68">
        <v>0</v>
      </c>
      <c r="L57" s="68">
        <v>6</v>
      </c>
      <c r="M57" s="68">
        <v>4</v>
      </c>
      <c r="N57" s="68">
        <v>1</v>
      </c>
      <c r="O57" s="68">
        <v>0</v>
      </c>
      <c r="P57" s="68">
        <v>9</v>
      </c>
      <c r="Q57" s="68">
        <v>6</v>
      </c>
      <c r="R57" s="68">
        <v>2</v>
      </c>
      <c r="S57" s="68">
        <v>0</v>
      </c>
      <c r="T57" s="68">
        <v>0</v>
      </c>
      <c r="U57" s="68">
        <v>0</v>
      </c>
      <c r="V57" s="68">
        <v>0</v>
      </c>
      <c r="W57" s="68">
        <v>0</v>
      </c>
      <c r="X57" s="880"/>
    </row>
    <row r="58" spans="1:24" ht="36.75" thickBot="1">
      <c r="A58" s="885"/>
      <c r="B58" s="169" t="s">
        <v>576</v>
      </c>
      <c r="C58" s="1258" t="s">
        <v>170</v>
      </c>
      <c r="D58" s="927" t="s">
        <v>4</v>
      </c>
      <c r="E58" s="928"/>
      <c r="F58" s="928"/>
      <c r="G58" s="928"/>
      <c r="H58" s="928"/>
      <c r="I58" s="928"/>
      <c r="J58" s="928"/>
      <c r="K58" s="928"/>
      <c r="L58" s="928"/>
      <c r="M58" s="928"/>
      <c r="N58" s="928"/>
      <c r="O58" s="928"/>
      <c r="P58" s="928"/>
      <c r="Q58" s="928"/>
      <c r="R58" s="928"/>
      <c r="S58" s="928"/>
      <c r="T58" s="928"/>
      <c r="U58" s="928"/>
      <c r="V58" s="928"/>
      <c r="W58" s="928"/>
      <c r="X58" s="880"/>
    </row>
    <row r="59" spans="1:24" ht="12.95" customHeight="1" thickBot="1">
      <c r="A59" s="869"/>
      <c r="B59" s="176" t="s">
        <v>577</v>
      </c>
      <c r="C59" s="1259"/>
      <c r="D59" s="930" t="s">
        <v>126</v>
      </c>
      <c r="E59" s="931"/>
      <c r="F59" s="931"/>
      <c r="G59" s="931"/>
      <c r="H59" s="931"/>
      <c r="I59" s="931"/>
      <c r="J59" s="931"/>
      <c r="K59" s="931"/>
      <c r="L59" s="931"/>
      <c r="M59" s="931"/>
      <c r="N59" s="931"/>
      <c r="O59" s="931"/>
      <c r="P59" s="931"/>
      <c r="Q59" s="931"/>
      <c r="R59" s="931"/>
      <c r="S59" s="931"/>
      <c r="T59" s="931"/>
      <c r="U59" s="931"/>
      <c r="V59" s="931"/>
      <c r="W59" s="932"/>
      <c r="X59" s="881"/>
    </row>
    <row r="60" spans="1:24" ht="12.95" customHeight="1" thickBot="1">
      <c r="A60" s="906" t="s">
        <v>7</v>
      </c>
      <c r="B60" s="908" t="s">
        <v>173</v>
      </c>
      <c r="C60" s="909"/>
      <c r="D60" s="908" t="s">
        <v>8</v>
      </c>
      <c r="E60" s="918"/>
      <c r="F60" s="918"/>
      <c r="G60" s="909"/>
      <c r="H60" s="908" t="s">
        <v>88</v>
      </c>
      <c r="I60" s="918"/>
      <c r="J60" s="918"/>
      <c r="K60" s="909"/>
      <c r="L60" s="908" t="s">
        <v>89</v>
      </c>
      <c r="M60" s="918"/>
      <c r="N60" s="918"/>
      <c r="O60" s="909"/>
      <c r="P60" s="908" t="s">
        <v>9</v>
      </c>
      <c r="Q60" s="918"/>
      <c r="R60" s="918"/>
      <c r="S60" s="909"/>
      <c r="T60" s="908" t="s">
        <v>174</v>
      </c>
      <c r="U60" s="918"/>
      <c r="V60" s="918"/>
      <c r="W60" s="918"/>
      <c r="X60" s="909"/>
    </row>
    <row r="61" spans="1:24" ht="13.5" thickBot="1">
      <c r="A61" s="907"/>
      <c r="B61" s="916">
        <f>SUM(B82+B103+B132+B164+B180)</f>
        <v>0</v>
      </c>
      <c r="C61" s="917"/>
      <c r="D61" s="1274" t="e">
        <f>SUM(D82+D103+D132+D164+D180)</f>
        <v>#VALUE!</v>
      </c>
      <c r="E61" s="994"/>
      <c r="F61" s="994">
        <f>SUM(F82+F103+F132+F164+F180)</f>
        <v>0</v>
      </c>
      <c r="G61" s="917"/>
      <c r="H61" s="1274">
        <f>SUM(H82+H103+H132+H164+H180)</f>
        <v>0</v>
      </c>
      <c r="I61" s="994"/>
      <c r="J61" s="994">
        <f>SUM(J82+J103+J132+J164+J180)</f>
        <v>0</v>
      </c>
      <c r="K61" s="917"/>
      <c r="L61" s="1274">
        <f>SUM(L82+L103+L132+L164+L180)</f>
        <v>0</v>
      </c>
      <c r="M61" s="994"/>
      <c r="N61" s="994">
        <f>SUM(N82+N103+N132+N164+N180)</f>
        <v>0</v>
      </c>
      <c r="O61" s="917"/>
      <c r="P61" s="916" t="e">
        <f>SUM(B61:O61)</f>
        <v>#VALUE!</v>
      </c>
      <c r="Q61" s="994"/>
      <c r="R61" s="994"/>
      <c r="S61" s="917"/>
      <c r="T61" s="916" t="e">
        <f>B61/P61%</f>
        <v>#VALUE!</v>
      </c>
      <c r="U61" s="994"/>
      <c r="V61" s="994"/>
      <c r="W61" s="994"/>
      <c r="X61" s="917"/>
    </row>
    <row r="62" spans="1:24" ht="13.5" thickBot="1">
      <c r="A62" s="906" t="s">
        <v>10</v>
      </c>
      <c r="B62" s="908" t="s">
        <v>175</v>
      </c>
      <c r="C62" s="909"/>
      <c r="D62" s="910"/>
      <c r="E62" s="911"/>
      <c r="F62" s="911"/>
      <c r="G62" s="911"/>
      <c r="H62" s="911"/>
      <c r="I62" s="911"/>
      <c r="J62" s="911"/>
      <c r="K62" s="911"/>
      <c r="L62" s="911"/>
      <c r="M62" s="911"/>
      <c r="N62" s="911"/>
      <c r="O62" s="911"/>
      <c r="P62" s="911"/>
      <c r="Q62" s="911"/>
      <c r="R62" s="911"/>
      <c r="S62" s="911"/>
      <c r="T62" s="911"/>
      <c r="U62" s="911"/>
      <c r="V62" s="911"/>
      <c r="W62" s="911"/>
      <c r="X62" s="912"/>
    </row>
    <row r="63" spans="1:24" ht="13.5" thickBot="1">
      <c r="A63" s="907"/>
      <c r="B63" s="916" t="e">
        <f>SUM(B84+B105+B134+B166+B182)</f>
        <v>#VALUE!</v>
      </c>
      <c r="C63" s="917"/>
      <c r="D63" s="913"/>
      <c r="E63" s="914"/>
      <c r="F63" s="914"/>
      <c r="G63" s="914"/>
      <c r="H63" s="914"/>
      <c r="I63" s="914"/>
      <c r="J63" s="914"/>
      <c r="K63" s="914"/>
      <c r="L63" s="914"/>
      <c r="M63" s="914"/>
      <c r="N63" s="914"/>
      <c r="O63" s="914"/>
      <c r="P63" s="914"/>
      <c r="Q63" s="914"/>
      <c r="R63" s="914"/>
      <c r="S63" s="914"/>
      <c r="T63" s="914"/>
      <c r="U63" s="914"/>
      <c r="V63" s="914"/>
      <c r="W63" s="914"/>
      <c r="X63" s="915"/>
    </row>
    <row r="64" spans="1:24">
      <c r="A64" s="5"/>
      <c r="B64" s="5"/>
      <c r="C64" s="6"/>
      <c r="D64" s="5"/>
      <c r="E64" s="5"/>
      <c r="F64" s="5"/>
      <c r="G64" s="5"/>
      <c r="H64" s="5"/>
      <c r="I64" s="5"/>
      <c r="J64" s="5"/>
      <c r="K64" s="5"/>
      <c r="L64" s="5"/>
      <c r="M64" s="5"/>
      <c r="N64" s="5"/>
      <c r="O64" s="5"/>
      <c r="P64" s="5"/>
      <c r="Q64" s="5"/>
      <c r="R64" s="5"/>
      <c r="S64" s="5"/>
      <c r="T64" s="5"/>
      <c r="U64" s="5"/>
      <c r="V64" s="5"/>
      <c r="W64" s="5"/>
      <c r="X64" s="5"/>
    </row>
    <row r="65" spans="1:24" ht="13.5" thickBot="1">
      <c r="A65" s="21"/>
      <c r="B65" s="21"/>
      <c r="C65" s="22"/>
      <c r="D65" s="21"/>
      <c r="E65" s="21"/>
      <c r="F65" s="21"/>
      <c r="G65" s="21"/>
      <c r="H65" s="21"/>
      <c r="I65" s="21"/>
      <c r="J65" s="21"/>
      <c r="K65" s="21"/>
      <c r="L65" s="21"/>
      <c r="M65" s="21"/>
      <c r="N65" s="21"/>
      <c r="O65" s="21"/>
      <c r="P65" s="21"/>
      <c r="Q65" s="21"/>
      <c r="R65" s="21"/>
      <c r="S65" s="21"/>
      <c r="T65" s="21"/>
      <c r="U65" s="21"/>
      <c r="V65" s="21"/>
      <c r="W65" s="21"/>
      <c r="X65" s="21"/>
    </row>
    <row r="66" spans="1:24" ht="12.95" customHeight="1" thickBot="1">
      <c r="A66" s="95" t="s">
        <v>11</v>
      </c>
      <c r="B66" s="97" t="s">
        <v>16</v>
      </c>
      <c r="C66" s="8"/>
      <c r="D66" s="927" t="s">
        <v>78</v>
      </c>
      <c r="E66" s="928"/>
      <c r="F66" s="928"/>
      <c r="G66" s="929"/>
      <c r="H66" s="927" t="s">
        <v>77</v>
      </c>
      <c r="I66" s="928"/>
      <c r="J66" s="928"/>
      <c r="K66" s="929"/>
      <c r="L66" s="927" t="s">
        <v>81</v>
      </c>
      <c r="M66" s="928"/>
      <c r="N66" s="928"/>
      <c r="O66" s="929"/>
      <c r="P66" s="927" t="s">
        <v>254</v>
      </c>
      <c r="Q66" s="928"/>
      <c r="R66" s="928"/>
      <c r="S66" s="929"/>
      <c r="T66" s="927" t="s">
        <v>76</v>
      </c>
      <c r="U66" s="928"/>
      <c r="V66" s="928"/>
      <c r="W66" s="929"/>
      <c r="X66" s="16" t="s">
        <v>12</v>
      </c>
    </row>
    <row r="67" spans="1:24" ht="12.95" customHeight="1" thickBot="1">
      <c r="A67" s="868" t="s">
        <v>57</v>
      </c>
      <c r="B67" s="868" t="s">
        <v>58</v>
      </c>
      <c r="C67" s="9" t="s">
        <v>2</v>
      </c>
      <c r="D67" s="942">
        <v>1</v>
      </c>
      <c r="E67" s="943"/>
      <c r="F67" s="943"/>
      <c r="G67" s="944"/>
      <c r="H67" s="942">
        <v>2</v>
      </c>
      <c r="I67" s="943"/>
      <c r="J67" s="943"/>
      <c r="K67" s="944"/>
      <c r="L67" s="942">
        <v>3</v>
      </c>
      <c r="M67" s="943"/>
      <c r="N67" s="943"/>
      <c r="O67" s="944"/>
      <c r="P67" s="942">
        <v>2.4</v>
      </c>
      <c r="Q67" s="943"/>
      <c r="R67" s="943"/>
      <c r="S67" s="944"/>
      <c r="T67" s="1188">
        <v>3.8</v>
      </c>
      <c r="U67" s="1189"/>
      <c r="V67" s="1189"/>
      <c r="W67" s="1190"/>
      <c r="X67" s="879" t="s">
        <v>97</v>
      </c>
    </row>
    <row r="68" spans="1:24" ht="13.5" thickBot="1">
      <c r="A68" s="885"/>
      <c r="B68" s="885"/>
      <c r="C68" s="10" t="s">
        <v>3</v>
      </c>
      <c r="D68" s="957"/>
      <c r="E68" s="958"/>
      <c r="F68" s="958"/>
      <c r="G68" s="959"/>
      <c r="H68" s="963">
        <v>1.4</v>
      </c>
      <c r="I68" s="964"/>
      <c r="J68" s="964"/>
      <c r="K68" s="965"/>
      <c r="L68" s="963">
        <v>2.2999999999999998</v>
      </c>
      <c r="M68" s="964"/>
      <c r="N68" s="964"/>
      <c r="O68" s="965"/>
      <c r="P68" s="963">
        <v>2.5</v>
      </c>
      <c r="Q68" s="964"/>
      <c r="R68" s="964"/>
      <c r="S68" s="965"/>
      <c r="T68" s="963">
        <v>0</v>
      </c>
      <c r="U68" s="964"/>
      <c r="V68" s="964"/>
      <c r="W68" s="965"/>
      <c r="X68" s="880"/>
    </row>
    <row r="69" spans="1:24" ht="12.95" customHeight="1" thickBot="1">
      <c r="A69" s="885"/>
      <c r="B69" s="885"/>
      <c r="C69" s="1258" t="s">
        <v>170</v>
      </c>
      <c r="D69" s="927" t="s">
        <v>4</v>
      </c>
      <c r="E69" s="928"/>
      <c r="F69" s="928"/>
      <c r="G69" s="928"/>
      <c r="H69" s="928"/>
      <c r="I69" s="928"/>
      <c r="J69" s="928"/>
      <c r="K69" s="928"/>
      <c r="L69" s="928"/>
      <c r="M69" s="928"/>
      <c r="N69" s="928"/>
      <c r="O69" s="928"/>
      <c r="P69" s="928"/>
      <c r="Q69" s="928"/>
      <c r="R69" s="928"/>
      <c r="S69" s="928"/>
      <c r="T69" s="928"/>
      <c r="U69" s="928"/>
      <c r="V69" s="928"/>
      <c r="W69" s="929"/>
      <c r="X69" s="880"/>
    </row>
    <row r="70" spans="1:24" ht="12.95" customHeight="1" thickBot="1">
      <c r="A70" s="885"/>
      <c r="B70" s="869"/>
      <c r="C70" s="1259"/>
      <c r="D70" s="930" t="s">
        <v>272</v>
      </c>
      <c r="E70" s="931"/>
      <c r="F70" s="931"/>
      <c r="G70" s="931"/>
      <c r="H70" s="931"/>
      <c r="I70" s="931"/>
      <c r="J70" s="931"/>
      <c r="K70" s="931"/>
      <c r="L70" s="931"/>
      <c r="M70" s="931"/>
      <c r="N70" s="931"/>
      <c r="O70" s="931"/>
      <c r="P70" s="931"/>
      <c r="Q70" s="931"/>
      <c r="R70" s="931"/>
      <c r="S70" s="931"/>
      <c r="T70" s="931"/>
      <c r="U70" s="931"/>
      <c r="V70" s="931"/>
      <c r="W70" s="932"/>
      <c r="X70" s="880"/>
    </row>
    <row r="71" spans="1:24" ht="12.95" customHeight="1" thickBot="1">
      <c r="A71" s="885"/>
      <c r="B71" s="11" t="s">
        <v>17</v>
      </c>
      <c r="C71" s="12"/>
      <c r="D71" s="927" t="s">
        <v>78</v>
      </c>
      <c r="E71" s="928"/>
      <c r="F71" s="928"/>
      <c r="G71" s="929"/>
      <c r="H71" s="927" t="s">
        <v>77</v>
      </c>
      <c r="I71" s="928"/>
      <c r="J71" s="928"/>
      <c r="K71" s="929"/>
      <c r="L71" s="927" t="s">
        <v>81</v>
      </c>
      <c r="M71" s="928"/>
      <c r="N71" s="928"/>
      <c r="O71" s="929"/>
      <c r="P71" s="927" t="s">
        <v>254</v>
      </c>
      <c r="Q71" s="928"/>
      <c r="R71" s="928"/>
      <c r="S71" s="929"/>
      <c r="T71" s="927" t="s">
        <v>76</v>
      </c>
      <c r="U71" s="928"/>
      <c r="V71" s="928"/>
      <c r="W71" s="929"/>
      <c r="X71" s="880"/>
    </row>
    <row r="72" spans="1:24" ht="13.5" thickBot="1">
      <c r="A72" s="885"/>
      <c r="B72" s="868" t="s">
        <v>59</v>
      </c>
      <c r="C72" s="23" t="s">
        <v>2</v>
      </c>
      <c r="D72" s="942">
        <v>1</v>
      </c>
      <c r="E72" s="943"/>
      <c r="F72" s="943"/>
      <c r="G72" s="944"/>
      <c r="H72" s="942">
        <v>2</v>
      </c>
      <c r="I72" s="943"/>
      <c r="J72" s="943"/>
      <c r="K72" s="944"/>
      <c r="L72" s="942">
        <v>3</v>
      </c>
      <c r="M72" s="943"/>
      <c r="N72" s="943"/>
      <c r="O72" s="944"/>
      <c r="P72" s="942">
        <v>3</v>
      </c>
      <c r="Q72" s="943"/>
      <c r="R72" s="943"/>
      <c r="S72" s="944"/>
      <c r="T72" s="1188">
        <v>4</v>
      </c>
      <c r="U72" s="1189"/>
      <c r="V72" s="1189"/>
      <c r="W72" s="1190"/>
      <c r="X72" s="880"/>
    </row>
    <row r="73" spans="1:24" ht="13.5" thickBot="1">
      <c r="A73" s="885"/>
      <c r="B73" s="885"/>
      <c r="C73" s="9" t="s">
        <v>3</v>
      </c>
      <c r="D73" s="957"/>
      <c r="E73" s="958"/>
      <c r="F73" s="958"/>
      <c r="G73" s="959"/>
      <c r="H73" s="963">
        <v>1.4</v>
      </c>
      <c r="I73" s="964"/>
      <c r="J73" s="964"/>
      <c r="K73" s="965"/>
      <c r="L73" s="963">
        <v>2.9</v>
      </c>
      <c r="M73" s="964"/>
      <c r="N73" s="964"/>
      <c r="O73" s="965"/>
      <c r="P73" s="963">
        <v>3</v>
      </c>
      <c r="Q73" s="964"/>
      <c r="R73" s="964"/>
      <c r="S73" s="965"/>
      <c r="T73" s="963">
        <v>0</v>
      </c>
      <c r="U73" s="964"/>
      <c r="V73" s="964"/>
      <c r="W73" s="965"/>
      <c r="X73" s="880"/>
    </row>
    <row r="74" spans="1:24" ht="12.95" customHeight="1" thickBot="1">
      <c r="A74" s="885"/>
      <c r="B74" s="885"/>
      <c r="C74" s="1258" t="s">
        <v>170</v>
      </c>
      <c r="D74" s="927" t="s">
        <v>4</v>
      </c>
      <c r="E74" s="928"/>
      <c r="F74" s="928"/>
      <c r="G74" s="928"/>
      <c r="H74" s="928"/>
      <c r="I74" s="928"/>
      <c r="J74" s="928"/>
      <c r="K74" s="928"/>
      <c r="L74" s="928"/>
      <c r="M74" s="928"/>
      <c r="N74" s="928"/>
      <c r="O74" s="928"/>
      <c r="P74" s="928"/>
      <c r="Q74" s="928"/>
      <c r="R74" s="928"/>
      <c r="S74" s="928"/>
      <c r="T74" s="928"/>
      <c r="U74" s="928"/>
      <c r="V74" s="928"/>
      <c r="W74" s="929"/>
      <c r="X74" s="880"/>
    </row>
    <row r="75" spans="1:24" ht="12.95" customHeight="1" thickBot="1">
      <c r="A75" s="885"/>
      <c r="B75" s="869"/>
      <c r="C75" s="1259"/>
      <c r="D75" s="930" t="s">
        <v>118</v>
      </c>
      <c r="E75" s="931"/>
      <c r="F75" s="931"/>
      <c r="G75" s="931"/>
      <c r="H75" s="931"/>
      <c r="I75" s="931"/>
      <c r="J75" s="931"/>
      <c r="K75" s="931"/>
      <c r="L75" s="931"/>
      <c r="M75" s="931"/>
      <c r="N75" s="931"/>
      <c r="O75" s="931"/>
      <c r="P75" s="931"/>
      <c r="Q75" s="931"/>
      <c r="R75" s="931"/>
      <c r="S75" s="931"/>
      <c r="T75" s="931"/>
      <c r="U75" s="931"/>
      <c r="V75" s="931"/>
      <c r="W75" s="932"/>
      <c r="X75" s="880"/>
    </row>
    <row r="76" spans="1:24" ht="12.95" customHeight="1" thickBot="1">
      <c r="A76" s="885"/>
      <c r="B76" s="11" t="s">
        <v>18</v>
      </c>
      <c r="C76" s="12"/>
      <c r="D76" s="927" t="s">
        <v>78</v>
      </c>
      <c r="E76" s="928"/>
      <c r="F76" s="928"/>
      <c r="G76" s="929"/>
      <c r="H76" s="927" t="s">
        <v>77</v>
      </c>
      <c r="I76" s="928"/>
      <c r="J76" s="928"/>
      <c r="K76" s="929"/>
      <c r="L76" s="927" t="s">
        <v>81</v>
      </c>
      <c r="M76" s="928"/>
      <c r="N76" s="928"/>
      <c r="O76" s="929"/>
      <c r="P76" s="927" t="s">
        <v>254</v>
      </c>
      <c r="Q76" s="928"/>
      <c r="R76" s="928"/>
      <c r="S76" s="929"/>
      <c r="T76" s="927" t="s">
        <v>76</v>
      </c>
      <c r="U76" s="928"/>
      <c r="V76" s="928"/>
      <c r="W76" s="929"/>
      <c r="X76" s="880"/>
    </row>
    <row r="77" spans="1:24" ht="13.5" thickBot="1">
      <c r="A77" s="885"/>
      <c r="B77" s="868" t="s">
        <v>60</v>
      </c>
      <c r="C77" s="23" t="s">
        <v>2</v>
      </c>
      <c r="D77" s="951">
        <v>0</v>
      </c>
      <c r="E77" s="969"/>
      <c r="F77" s="969"/>
      <c r="G77" s="952"/>
      <c r="H77" s="951">
        <v>2</v>
      </c>
      <c r="I77" s="969"/>
      <c r="J77" s="969"/>
      <c r="K77" s="952"/>
      <c r="L77" s="951">
        <v>7</v>
      </c>
      <c r="M77" s="969"/>
      <c r="N77" s="969"/>
      <c r="O77" s="952"/>
      <c r="P77" s="951">
        <v>5</v>
      </c>
      <c r="Q77" s="969"/>
      <c r="R77" s="969"/>
      <c r="S77" s="952"/>
      <c r="T77" s="951">
        <v>7</v>
      </c>
      <c r="U77" s="969"/>
      <c r="V77" s="969"/>
      <c r="W77" s="952"/>
      <c r="X77" s="880"/>
    </row>
    <row r="78" spans="1:24" ht="12.95" customHeight="1" thickBot="1">
      <c r="A78" s="869"/>
      <c r="B78" s="885"/>
      <c r="C78" s="9" t="s">
        <v>3</v>
      </c>
      <c r="D78" s="933" t="s">
        <v>172</v>
      </c>
      <c r="E78" s="934"/>
      <c r="F78" s="934"/>
      <c r="G78" s="935"/>
      <c r="H78" s="936" t="s">
        <v>249</v>
      </c>
      <c r="I78" s="937"/>
      <c r="J78" s="937"/>
      <c r="K78" s="938"/>
      <c r="L78" s="939">
        <v>4</v>
      </c>
      <c r="M78" s="970"/>
      <c r="N78" s="970"/>
      <c r="O78" s="953"/>
      <c r="P78" s="939">
        <v>7</v>
      </c>
      <c r="Q78" s="970"/>
      <c r="R78" s="970"/>
      <c r="S78" s="953"/>
      <c r="T78" s="939">
        <v>0</v>
      </c>
      <c r="U78" s="970"/>
      <c r="V78" s="970"/>
      <c r="W78" s="953"/>
      <c r="X78" s="881"/>
    </row>
    <row r="79" spans="1:24" ht="12.95" customHeight="1" thickBot="1">
      <c r="A79" s="96" t="s">
        <v>13</v>
      </c>
      <c r="B79" s="885"/>
      <c r="C79" s="1258" t="s">
        <v>170</v>
      </c>
      <c r="D79" s="927" t="s">
        <v>4</v>
      </c>
      <c r="E79" s="928"/>
      <c r="F79" s="928"/>
      <c r="G79" s="928"/>
      <c r="H79" s="928"/>
      <c r="I79" s="928"/>
      <c r="J79" s="928"/>
      <c r="K79" s="928"/>
      <c r="L79" s="928"/>
      <c r="M79" s="928"/>
      <c r="N79" s="928"/>
      <c r="O79" s="928"/>
      <c r="P79" s="928"/>
      <c r="Q79" s="928"/>
      <c r="R79" s="928"/>
      <c r="S79" s="928"/>
      <c r="T79" s="928"/>
      <c r="U79" s="928"/>
      <c r="V79" s="928"/>
      <c r="W79" s="929"/>
      <c r="X79" s="24" t="s">
        <v>14</v>
      </c>
    </row>
    <row r="80" spans="1:24" ht="12.95" customHeight="1" thickBot="1">
      <c r="A80" s="25" t="s">
        <v>75</v>
      </c>
      <c r="B80" s="869"/>
      <c r="C80" s="1259"/>
      <c r="D80" s="930" t="s">
        <v>119</v>
      </c>
      <c r="E80" s="931"/>
      <c r="F80" s="931"/>
      <c r="G80" s="931"/>
      <c r="H80" s="931"/>
      <c r="I80" s="931"/>
      <c r="J80" s="931"/>
      <c r="K80" s="931"/>
      <c r="L80" s="931"/>
      <c r="M80" s="931"/>
      <c r="N80" s="931"/>
      <c r="O80" s="931"/>
      <c r="P80" s="931"/>
      <c r="Q80" s="931"/>
      <c r="R80" s="931"/>
      <c r="S80" s="931"/>
      <c r="T80" s="931"/>
      <c r="U80" s="931"/>
      <c r="V80" s="931"/>
      <c r="W80" s="932"/>
      <c r="X80" s="18" t="s">
        <v>92</v>
      </c>
    </row>
    <row r="81" spans="1:24" ht="12.95" customHeight="1" thickBot="1">
      <c r="A81" s="906" t="s">
        <v>7</v>
      </c>
      <c r="B81" s="908" t="s">
        <v>173</v>
      </c>
      <c r="C81" s="909"/>
      <c r="D81" s="908" t="s">
        <v>8</v>
      </c>
      <c r="E81" s="918"/>
      <c r="F81" s="918"/>
      <c r="G81" s="909"/>
      <c r="H81" s="908" t="s">
        <v>88</v>
      </c>
      <c r="I81" s="918"/>
      <c r="J81" s="918"/>
      <c r="K81" s="909"/>
      <c r="L81" s="908" t="s">
        <v>89</v>
      </c>
      <c r="M81" s="918"/>
      <c r="N81" s="918"/>
      <c r="O81" s="909"/>
      <c r="P81" s="908" t="s">
        <v>9</v>
      </c>
      <c r="Q81" s="918"/>
      <c r="R81" s="918"/>
      <c r="S81" s="909"/>
      <c r="T81" s="908" t="s">
        <v>174</v>
      </c>
      <c r="U81" s="918"/>
      <c r="V81" s="918"/>
      <c r="W81" s="918"/>
      <c r="X81" s="909"/>
    </row>
    <row r="82" spans="1:24" ht="13.5" thickBot="1">
      <c r="A82" s="907"/>
      <c r="B82" s="1256"/>
      <c r="C82" s="1257"/>
      <c r="D82" s="916"/>
      <c r="E82" s="994"/>
      <c r="F82" s="994"/>
      <c r="G82" s="917"/>
      <c r="H82" s="916"/>
      <c r="I82" s="994"/>
      <c r="J82" s="994"/>
      <c r="K82" s="917"/>
      <c r="L82" s="916"/>
      <c r="M82" s="994"/>
      <c r="N82" s="994"/>
      <c r="O82" s="917"/>
      <c r="P82" s="916">
        <f>SUM(B82:O82)</f>
        <v>0</v>
      </c>
      <c r="Q82" s="994"/>
      <c r="R82" s="994"/>
      <c r="S82" s="917"/>
      <c r="T82" s="916" t="e">
        <f>B82/P82%</f>
        <v>#DIV/0!</v>
      </c>
      <c r="U82" s="994"/>
      <c r="V82" s="994"/>
      <c r="W82" s="994"/>
      <c r="X82" s="917"/>
    </row>
    <row r="83" spans="1:24" ht="13.5" thickBot="1">
      <c r="A83" s="906" t="s">
        <v>10</v>
      </c>
      <c r="B83" s="908" t="s">
        <v>175</v>
      </c>
      <c r="C83" s="909"/>
      <c r="D83" s="910"/>
      <c r="E83" s="911"/>
      <c r="F83" s="911"/>
      <c r="G83" s="911"/>
      <c r="H83" s="911"/>
      <c r="I83" s="911"/>
      <c r="J83" s="911"/>
      <c r="K83" s="911"/>
      <c r="L83" s="911"/>
      <c r="M83" s="911"/>
      <c r="N83" s="911"/>
      <c r="O83" s="911"/>
      <c r="P83" s="911"/>
      <c r="Q83" s="911"/>
      <c r="R83" s="911"/>
      <c r="S83" s="911"/>
      <c r="T83" s="911"/>
      <c r="U83" s="911"/>
      <c r="V83" s="911"/>
      <c r="W83" s="911"/>
      <c r="X83" s="912"/>
    </row>
    <row r="84" spans="1:24" ht="13.5" thickBot="1">
      <c r="A84" s="907"/>
      <c r="B84" s="1256"/>
      <c r="C84" s="1257"/>
      <c r="D84" s="913"/>
      <c r="E84" s="914"/>
      <c r="F84" s="914"/>
      <c r="G84" s="914"/>
      <c r="H84" s="914"/>
      <c r="I84" s="914"/>
      <c r="J84" s="914"/>
      <c r="K84" s="914"/>
      <c r="L84" s="914"/>
      <c r="M84" s="914"/>
      <c r="N84" s="914"/>
      <c r="O84" s="914"/>
      <c r="P84" s="914"/>
      <c r="Q84" s="914"/>
      <c r="R84" s="914"/>
      <c r="S84" s="914"/>
      <c r="T84" s="914"/>
      <c r="U84" s="914"/>
      <c r="V84" s="914"/>
      <c r="W84" s="914"/>
      <c r="X84" s="915"/>
    </row>
    <row r="85" spans="1:24">
      <c r="A85" s="5"/>
      <c r="B85" s="5"/>
      <c r="C85" s="6"/>
      <c r="D85" s="5"/>
      <c r="E85" s="5"/>
      <c r="F85" s="5"/>
      <c r="G85" s="5"/>
      <c r="H85" s="5"/>
      <c r="I85" s="5"/>
      <c r="J85" s="5"/>
      <c r="K85" s="5"/>
      <c r="L85" s="5"/>
      <c r="M85" s="5"/>
      <c r="N85" s="5"/>
      <c r="O85" s="5"/>
      <c r="P85" s="5"/>
      <c r="Q85" s="5"/>
      <c r="R85" s="5"/>
      <c r="S85" s="5"/>
      <c r="T85" s="5"/>
      <c r="U85" s="5"/>
      <c r="V85" s="5"/>
      <c r="W85" s="5"/>
      <c r="X85" s="5"/>
    </row>
    <row r="86" spans="1:24" ht="13.5" thickBot="1">
      <c r="A86" s="5"/>
      <c r="B86" s="5"/>
      <c r="C86" s="6"/>
      <c r="D86" s="5"/>
      <c r="E86" s="5"/>
      <c r="F86" s="5"/>
      <c r="G86" s="5"/>
      <c r="H86" s="5"/>
      <c r="I86" s="5"/>
      <c r="J86" s="5"/>
      <c r="K86" s="5"/>
      <c r="L86" s="5"/>
      <c r="M86" s="5"/>
      <c r="N86" s="5"/>
      <c r="O86" s="5"/>
      <c r="P86" s="5"/>
      <c r="Q86" s="5"/>
      <c r="R86" s="5"/>
      <c r="S86" s="5"/>
      <c r="T86" s="5"/>
      <c r="U86" s="5"/>
      <c r="V86" s="5"/>
      <c r="W86" s="5"/>
      <c r="X86" s="5"/>
    </row>
    <row r="87" spans="1:24" ht="12.95" customHeight="1" thickBot="1">
      <c r="A87" s="95" t="s">
        <v>15</v>
      </c>
      <c r="B87" s="97" t="s">
        <v>19</v>
      </c>
      <c r="C87" s="8"/>
      <c r="D87" s="927" t="s">
        <v>78</v>
      </c>
      <c r="E87" s="928"/>
      <c r="F87" s="928"/>
      <c r="G87" s="929"/>
      <c r="H87" s="927" t="s">
        <v>77</v>
      </c>
      <c r="I87" s="928"/>
      <c r="J87" s="928"/>
      <c r="K87" s="929"/>
      <c r="L87" s="927" t="s">
        <v>81</v>
      </c>
      <c r="M87" s="928"/>
      <c r="N87" s="928"/>
      <c r="O87" s="929"/>
      <c r="P87" s="927" t="s">
        <v>254</v>
      </c>
      <c r="Q87" s="928"/>
      <c r="R87" s="928"/>
      <c r="S87" s="929"/>
      <c r="T87" s="927" t="s">
        <v>76</v>
      </c>
      <c r="U87" s="928"/>
      <c r="V87" s="928"/>
      <c r="W87" s="929"/>
      <c r="X87" s="16" t="s">
        <v>6</v>
      </c>
    </row>
    <row r="88" spans="1:24" ht="12.95" customHeight="1" thickBot="1">
      <c r="A88" s="868" t="s">
        <v>61</v>
      </c>
      <c r="B88" s="868" t="s">
        <v>62</v>
      </c>
      <c r="C88" s="9" t="s">
        <v>2</v>
      </c>
      <c r="D88" s="942">
        <v>1</v>
      </c>
      <c r="E88" s="943"/>
      <c r="F88" s="943"/>
      <c r="G88" s="944"/>
      <c r="H88" s="942">
        <v>1.5</v>
      </c>
      <c r="I88" s="943"/>
      <c r="J88" s="943"/>
      <c r="K88" s="944"/>
      <c r="L88" s="942">
        <v>2</v>
      </c>
      <c r="M88" s="943"/>
      <c r="N88" s="943"/>
      <c r="O88" s="944"/>
      <c r="P88" s="942">
        <v>2.5</v>
      </c>
      <c r="Q88" s="943"/>
      <c r="R88" s="943"/>
      <c r="S88" s="944"/>
      <c r="T88" s="942">
        <v>3</v>
      </c>
      <c r="U88" s="943"/>
      <c r="V88" s="943"/>
      <c r="W88" s="944"/>
      <c r="X88" s="879" t="s">
        <v>94</v>
      </c>
    </row>
    <row r="89" spans="1:24" ht="13.5" thickBot="1">
      <c r="A89" s="885"/>
      <c r="B89" s="885"/>
      <c r="C89" s="99" t="s">
        <v>3</v>
      </c>
      <c r="D89" s="957"/>
      <c r="E89" s="958"/>
      <c r="F89" s="958"/>
      <c r="G89" s="959"/>
      <c r="H89" s="963">
        <v>1</v>
      </c>
      <c r="I89" s="964"/>
      <c r="J89" s="964"/>
      <c r="K89" s="965"/>
      <c r="L89" s="963">
        <v>2.5</v>
      </c>
      <c r="M89" s="964"/>
      <c r="N89" s="964"/>
      <c r="O89" s="965"/>
      <c r="P89" s="963">
        <v>2</v>
      </c>
      <c r="Q89" s="964"/>
      <c r="R89" s="964"/>
      <c r="S89" s="965"/>
      <c r="T89" s="963">
        <v>0</v>
      </c>
      <c r="U89" s="964"/>
      <c r="V89" s="964"/>
      <c r="W89" s="965"/>
      <c r="X89" s="880"/>
    </row>
    <row r="90" spans="1:24" ht="12.95" customHeight="1" thickBot="1">
      <c r="A90" s="885"/>
      <c r="B90" s="885"/>
      <c r="C90" s="1258" t="s">
        <v>170</v>
      </c>
      <c r="D90" s="927" t="s">
        <v>4</v>
      </c>
      <c r="E90" s="928"/>
      <c r="F90" s="928"/>
      <c r="G90" s="928"/>
      <c r="H90" s="928"/>
      <c r="I90" s="928"/>
      <c r="J90" s="928"/>
      <c r="K90" s="928"/>
      <c r="L90" s="928"/>
      <c r="M90" s="928"/>
      <c r="N90" s="928"/>
      <c r="O90" s="928"/>
      <c r="P90" s="928"/>
      <c r="Q90" s="928"/>
      <c r="R90" s="928"/>
      <c r="S90" s="928"/>
      <c r="T90" s="928"/>
      <c r="U90" s="928"/>
      <c r="V90" s="928"/>
      <c r="W90" s="929"/>
      <c r="X90" s="880"/>
    </row>
    <row r="91" spans="1:24" ht="12.95" customHeight="1" thickBot="1">
      <c r="A91" s="885"/>
      <c r="B91" s="869"/>
      <c r="C91" s="1259"/>
      <c r="D91" s="930" t="s">
        <v>272</v>
      </c>
      <c r="E91" s="931"/>
      <c r="F91" s="931"/>
      <c r="G91" s="931"/>
      <c r="H91" s="931"/>
      <c r="I91" s="931"/>
      <c r="J91" s="931"/>
      <c r="K91" s="931"/>
      <c r="L91" s="931"/>
      <c r="M91" s="931"/>
      <c r="N91" s="931"/>
      <c r="O91" s="931"/>
      <c r="P91" s="931"/>
      <c r="Q91" s="931"/>
      <c r="R91" s="931"/>
      <c r="S91" s="931"/>
      <c r="T91" s="931"/>
      <c r="U91" s="931"/>
      <c r="V91" s="931"/>
      <c r="W91" s="932"/>
      <c r="X91" s="880"/>
    </row>
    <row r="92" spans="1:24" ht="12.95" customHeight="1" thickBot="1">
      <c r="A92" s="885"/>
      <c r="B92" s="11" t="s">
        <v>20</v>
      </c>
      <c r="C92" s="12"/>
      <c r="D92" s="927" t="s">
        <v>78</v>
      </c>
      <c r="E92" s="928"/>
      <c r="F92" s="928"/>
      <c r="G92" s="929"/>
      <c r="H92" s="927" t="s">
        <v>77</v>
      </c>
      <c r="I92" s="928"/>
      <c r="J92" s="928"/>
      <c r="K92" s="929"/>
      <c r="L92" s="927" t="s">
        <v>81</v>
      </c>
      <c r="M92" s="928"/>
      <c r="N92" s="928"/>
      <c r="O92" s="929"/>
      <c r="P92" s="927" t="s">
        <v>254</v>
      </c>
      <c r="Q92" s="928"/>
      <c r="R92" s="928"/>
      <c r="S92" s="929"/>
      <c r="T92" s="927" t="s">
        <v>76</v>
      </c>
      <c r="U92" s="928"/>
      <c r="V92" s="928"/>
      <c r="W92" s="929"/>
      <c r="X92" s="880"/>
    </row>
    <row r="93" spans="1:24" ht="13.5" thickBot="1">
      <c r="A93" s="885"/>
      <c r="B93" s="868" t="s">
        <v>59</v>
      </c>
      <c r="C93" s="23" t="s">
        <v>2</v>
      </c>
      <c r="D93" s="942">
        <v>1</v>
      </c>
      <c r="E93" s="943"/>
      <c r="F93" s="943"/>
      <c r="G93" s="944"/>
      <c r="H93" s="942">
        <v>1.5</v>
      </c>
      <c r="I93" s="943"/>
      <c r="J93" s="943"/>
      <c r="K93" s="944"/>
      <c r="L93" s="942">
        <v>2</v>
      </c>
      <c r="M93" s="943"/>
      <c r="N93" s="943"/>
      <c r="O93" s="944"/>
      <c r="P93" s="942">
        <v>2.5</v>
      </c>
      <c r="Q93" s="943"/>
      <c r="R93" s="943"/>
      <c r="S93" s="944"/>
      <c r="T93" s="1188">
        <v>3.2</v>
      </c>
      <c r="U93" s="1189"/>
      <c r="V93" s="1189"/>
      <c r="W93" s="1190"/>
      <c r="X93" s="880"/>
    </row>
    <row r="94" spans="1:24" ht="13.5" thickBot="1">
      <c r="A94" s="885"/>
      <c r="B94" s="885"/>
      <c r="C94" s="9" t="s">
        <v>3</v>
      </c>
      <c r="D94" s="957"/>
      <c r="E94" s="958"/>
      <c r="F94" s="958"/>
      <c r="G94" s="959"/>
      <c r="H94" s="963">
        <v>1</v>
      </c>
      <c r="I94" s="964"/>
      <c r="J94" s="964"/>
      <c r="K94" s="965"/>
      <c r="L94" s="963">
        <v>2</v>
      </c>
      <c r="M94" s="964"/>
      <c r="N94" s="964"/>
      <c r="O94" s="965"/>
      <c r="P94" s="963">
        <v>2.6</v>
      </c>
      <c r="Q94" s="964"/>
      <c r="R94" s="964"/>
      <c r="S94" s="965"/>
      <c r="T94" s="963">
        <v>0</v>
      </c>
      <c r="U94" s="964"/>
      <c r="V94" s="964"/>
      <c r="W94" s="965"/>
      <c r="X94" s="880"/>
    </row>
    <row r="95" spans="1:24" ht="12.95" customHeight="1" thickBot="1">
      <c r="A95" s="885"/>
      <c r="B95" s="885"/>
      <c r="C95" s="1258" t="s">
        <v>170</v>
      </c>
      <c r="D95" s="927" t="s">
        <v>4</v>
      </c>
      <c r="E95" s="928"/>
      <c r="F95" s="928"/>
      <c r="G95" s="928"/>
      <c r="H95" s="928"/>
      <c r="I95" s="928"/>
      <c r="J95" s="928"/>
      <c r="K95" s="928"/>
      <c r="L95" s="928"/>
      <c r="M95" s="928"/>
      <c r="N95" s="928"/>
      <c r="O95" s="928"/>
      <c r="P95" s="928"/>
      <c r="Q95" s="928"/>
      <c r="R95" s="928"/>
      <c r="S95" s="928"/>
      <c r="T95" s="928"/>
      <c r="U95" s="928"/>
      <c r="V95" s="928"/>
      <c r="W95" s="929"/>
      <c r="X95" s="880"/>
    </row>
    <row r="96" spans="1:24" ht="12.95" customHeight="1" thickBot="1">
      <c r="A96" s="885"/>
      <c r="B96" s="869"/>
      <c r="C96" s="1259"/>
      <c r="D96" s="930" t="s">
        <v>118</v>
      </c>
      <c r="E96" s="931"/>
      <c r="F96" s="931"/>
      <c r="G96" s="931"/>
      <c r="H96" s="931"/>
      <c r="I96" s="931"/>
      <c r="J96" s="931"/>
      <c r="K96" s="931"/>
      <c r="L96" s="931"/>
      <c r="M96" s="931"/>
      <c r="N96" s="931"/>
      <c r="O96" s="931"/>
      <c r="P96" s="931"/>
      <c r="Q96" s="931"/>
      <c r="R96" s="931"/>
      <c r="S96" s="931"/>
      <c r="T96" s="931"/>
      <c r="U96" s="931"/>
      <c r="V96" s="931"/>
      <c r="W96" s="932"/>
      <c r="X96" s="880"/>
    </row>
    <row r="97" spans="1:24" ht="12.95" customHeight="1" thickBot="1">
      <c r="A97" s="885"/>
      <c r="B97" s="11" t="s">
        <v>21</v>
      </c>
      <c r="C97" s="12"/>
      <c r="D97" s="927" t="s">
        <v>78</v>
      </c>
      <c r="E97" s="928"/>
      <c r="F97" s="928"/>
      <c r="G97" s="929"/>
      <c r="H97" s="927" t="s">
        <v>77</v>
      </c>
      <c r="I97" s="928"/>
      <c r="J97" s="928"/>
      <c r="K97" s="929"/>
      <c r="L97" s="927" t="s">
        <v>81</v>
      </c>
      <c r="M97" s="928"/>
      <c r="N97" s="928"/>
      <c r="O97" s="929"/>
      <c r="P97" s="927" t="s">
        <v>254</v>
      </c>
      <c r="Q97" s="928"/>
      <c r="R97" s="928"/>
      <c r="S97" s="929"/>
      <c r="T97" s="927" t="s">
        <v>76</v>
      </c>
      <c r="U97" s="928"/>
      <c r="V97" s="928"/>
      <c r="W97" s="929"/>
      <c r="X97" s="880"/>
    </row>
    <row r="98" spans="1:24" ht="13.5" thickBot="1">
      <c r="A98" s="885"/>
      <c r="B98" s="868" t="s">
        <v>63</v>
      </c>
      <c r="C98" s="26" t="s">
        <v>2</v>
      </c>
      <c r="D98" s="951">
        <v>0</v>
      </c>
      <c r="E98" s="969"/>
      <c r="F98" s="969"/>
      <c r="G98" s="952"/>
      <c r="H98" s="951">
        <v>2</v>
      </c>
      <c r="I98" s="969"/>
      <c r="J98" s="969"/>
      <c r="K98" s="952"/>
      <c r="L98" s="951">
        <v>3</v>
      </c>
      <c r="M98" s="969"/>
      <c r="N98" s="969"/>
      <c r="O98" s="952"/>
      <c r="P98" s="951">
        <v>5</v>
      </c>
      <c r="Q98" s="969"/>
      <c r="R98" s="969"/>
      <c r="S98" s="952"/>
      <c r="T98" s="951">
        <v>7</v>
      </c>
      <c r="U98" s="969"/>
      <c r="V98" s="969"/>
      <c r="W98" s="952"/>
      <c r="X98" s="880"/>
    </row>
    <row r="99" spans="1:24" ht="12.95" customHeight="1" thickBot="1">
      <c r="A99" s="869"/>
      <c r="B99" s="885"/>
      <c r="C99" s="9" t="s">
        <v>3</v>
      </c>
      <c r="D99" s="933" t="s">
        <v>172</v>
      </c>
      <c r="E99" s="934"/>
      <c r="F99" s="934"/>
      <c r="G99" s="935"/>
      <c r="H99" s="936" t="s">
        <v>249</v>
      </c>
      <c r="I99" s="937"/>
      <c r="J99" s="937"/>
      <c r="K99" s="938"/>
      <c r="L99" s="939">
        <v>5</v>
      </c>
      <c r="M99" s="970"/>
      <c r="N99" s="970"/>
      <c r="O99" s="953"/>
      <c r="P99" s="939">
        <v>9</v>
      </c>
      <c r="Q99" s="970"/>
      <c r="R99" s="970"/>
      <c r="S99" s="953"/>
      <c r="T99" s="939">
        <v>0</v>
      </c>
      <c r="U99" s="970"/>
      <c r="V99" s="970"/>
      <c r="W99" s="953"/>
      <c r="X99" s="881"/>
    </row>
    <row r="100" spans="1:24" ht="12.95" customHeight="1" thickBot="1">
      <c r="A100" s="96" t="s">
        <v>13</v>
      </c>
      <c r="B100" s="885"/>
      <c r="C100" s="1258" t="s">
        <v>170</v>
      </c>
      <c r="D100" s="927" t="s">
        <v>4</v>
      </c>
      <c r="E100" s="928"/>
      <c r="F100" s="928"/>
      <c r="G100" s="928"/>
      <c r="H100" s="928"/>
      <c r="I100" s="928"/>
      <c r="J100" s="928"/>
      <c r="K100" s="928"/>
      <c r="L100" s="928"/>
      <c r="M100" s="928"/>
      <c r="N100" s="928"/>
      <c r="O100" s="928"/>
      <c r="P100" s="928"/>
      <c r="Q100" s="928"/>
      <c r="R100" s="928"/>
      <c r="S100" s="928"/>
      <c r="T100" s="928"/>
      <c r="U100" s="928"/>
      <c r="V100" s="928"/>
      <c r="W100" s="929"/>
      <c r="X100" s="24" t="s">
        <v>14</v>
      </c>
    </row>
    <row r="101" spans="1:24" ht="12.95" customHeight="1" thickBot="1">
      <c r="A101" s="25" t="s">
        <v>75</v>
      </c>
      <c r="B101" s="869"/>
      <c r="C101" s="1259"/>
      <c r="D101" s="930" t="s">
        <v>119</v>
      </c>
      <c r="E101" s="931"/>
      <c r="F101" s="931"/>
      <c r="G101" s="931"/>
      <c r="H101" s="931"/>
      <c r="I101" s="931"/>
      <c r="J101" s="931"/>
      <c r="K101" s="931"/>
      <c r="L101" s="931"/>
      <c r="M101" s="931"/>
      <c r="N101" s="931"/>
      <c r="O101" s="931"/>
      <c r="P101" s="931"/>
      <c r="Q101" s="931"/>
      <c r="R101" s="931"/>
      <c r="S101" s="931"/>
      <c r="T101" s="931"/>
      <c r="U101" s="931"/>
      <c r="V101" s="931"/>
      <c r="W101" s="932"/>
      <c r="X101" s="18" t="s">
        <v>93</v>
      </c>
    </row>
    <row r="102" spans="1:24" ht="12.95" customHeight="1" thickBot="1">
      <c r="A102" s="906" t="s">
        <v>7</v>
      </c>
      <c r="B102" s="908" t="s">
        <v>173</v>
      </c>
      <c r="C102" s="909"/>
      <c r="D102" s="908" t="s">
        <v>8</v>
      </c>
      <c r="E102" s="918"/>
      <c r="F102" s="918"/>
      <c r="G102" s="909"/>
      <c r="H102" s="908" t="s">
        <v>88</v>
      </c>
      <c r="I102" s="918"/>
      <c r="J102" s="918"/>
      <c r="K102" s="909"/>
      <c r="L102" s="908" t="s">
        <v>89</v>
      </c>
      <c r="M102" s="918"/>
      <c r="N102" s="918"/>
      <c r="O102" s="909"/>
      <c r="P102" s="908" t="s">
        <v>9</v>
      </c>
      <c r="Q102" s="918"/>
      <c r="R102" s="918"/>
      <c r="S102" s="909"/>
      <c r="T102" s="908" t="s">
        <v>174</v>
      </c>
      <c r="U102" s="918"/>
      <c r="V102" s="918"/>
      <c r="W102" s="918"/>
      <c r="X102" s="909"/>
    </row>
    <row r="103" spans="1:24" ht="13.5" thickBot="1">
      <c r="A103" s="907"/>
      <c r="B103" s="1256"/>
      <c r="C103" s="1257"/>
      <c r="D103" s="916"/>
      <c r="E103" s="994"/>
      <c r="F103" s="994"/>
      <c r="G103" s="917"/>
      <c r="H103" s="916"/>
      <c r="I103" s="994"/>
      <c r="J103" s="994"/>
      <c r="K103" s="917"/>
      <c r="L103" s="916"/>
      <c r="M103" s="994"/>
      <c r="N103" s="994"/>
      <c r="O103" s="917"/>
      <c r="P103" s="916">
        <f>SUM(B103:O103)</f>
        <v>0</v>
      </c>
      <c r="Q103" s="994"/>
      <c r="R103" s="994"/>
      <c r="S103" s="917"/>
      <c r="T103" s="916" t="e">
        <f>B103/P103%</f>
        <v>#DIV/0!</v>
      </c>
      <c r="U103" s="994"/>
      <c r="V103" s="994"/>
      <c r="W103" s="994"/>
      <c r="X103" s="917"/>
    </row>
    <row r="104" spans="1:24" ht="13.5" thickBot="1">
      <c r="A104" s="906" t="s">
        <v>10</v>
      </c>
      <c r="B104" s="908" t="s">
        <v>175</v>
      </c>
      <c r="C104" s="909"/>
      <c r="D104" s="910"/>
      <c r="E104" s="911"/>
      <c r="F104" s="911"/>
      <c r="G104" s="911"/>
      <c r="H104" s="911"/>
      <c r="I104" s="911"/>
      <c r="J104" s="911"/>
      <c r="K104" s="911"/>
      <c r="L104" s="911"/>
      <c r="M104" s="911"/>
      <c r="N104" s="911"/>
      <c r="O104" s="911"/>
      <c r="P104" s="911"/>
      <c r="Q104" s="911"/>
      <c r="R104" s="911"/>
      <c r="S104" s="911"/>
      <c r="T104" s="911"/>
      <c r="U104" s="911"/>
      <c r="V104" s="911"/>
      <c r="W104" s="911"/>
      <c r="X104" s="912"/>
    </row>
    <row r="105" spans="1:24" ht="13.5" thickBot="1">
      <c r="A105" s="907"/>
      <c r="B105" s="1256"/>
      <c r="C105" s="1257"/>
      <c r="D105" s="913"/>
      <c r="E105" s="914"/>
      <c r="F105" s="914"/>
      <c r="G105" s="914"/>
      <c r="H105" s="914"/>
      <c r="I105" s="914"/>
      <c r="J105" s="914"/>
      <c r="K105" s="914"/>
      <c r="L105" s="914"/>
      <c r="M105" s="914"/>
      <c r="N105" s="914"/>
      <c r="O105" s="914"/>
      <c r="P105" s="914"/>
      <c r="Q105" s="914"/>
      <c r="R105" s="914"/>
      <c r="S105" s="914"/>
      <c r="T105" s="914"/>
      <c r="U105" s="914"/>
      <c r="V105" s="914"/>
      <c r="W105" s="914"/>
      <c r="X105" s="915"/>
    </row>
    <row r="107" spans="1:24" ht="13.5" thickBot="1"/>
    <row r="108" spans="1:24" ht="12.95" customHeight="1" thickBot="1">
      <c r="A108" s="95" t="s">
        <v>26</v>
      </c>
      <c r="B108" s="97" t="s">
        <v>29</v>
      </c>
      <c r="C108" s="8"/>
      <c r="D108" s="927" t="s">
        <v>78</v>
      </c>
      <c r="E108" s="928"/>
      <c r="F108" s="928"/>
      <c r="G108" s="929"/>
      <c r="H108" s="927" t="s">
        <v>77</v>
      </c>
      <c r="I108" s="928"/>
      <c r="J108" s="928"/>
      <c r="K108" s="929"/>
      <c r="L108" s="927" t="s">
        <v>81</v>
      </c>
      <c r="M108" s="928"/>
      <c r="N108" s="928"/>
      <c r="O108" s="929"/>
      <c r="P108" s="927" t="s">
        <v>254</v>
      </c>
      <c r="Q108" s="928"/>
      <c r="R108" s="928"/>
      <c r="S108" s="929"/>
      <c r="T108" s="927" t="s">
        <v>76</v>
      </c>
      <c r="U108" s="928"/>
      <c r="V108" s="928"/>
      <c r="W108" s="929"/>
      <c r="X108" s="16" t="s">
        <v>12</v>
      </c>
    </row>
    <row r="109" spans="1:24" ht="56.1" customHeight="1" thickBot="1">
      <c r="A109" s="868" t="s">
        <v>64</v>
      </c>
      <c r="B109" s="868" t="s">
        <v>156</v>
      </c>
      <c r="C109" s="9"/>
      <c r="D109" s="17" t="s">
        <v>101</v>
      </c>
      <c r="E109" s="17" t="s">
        <v>104</v>
      </c>
      <c r="F109" s="17" t="s">
        <v>102</v>
      </c>
      <c r="G109" s="17" t="s">
        <v>103</v>
      </c>
      <c r="H109" s="17" t="s">
        <v>101</v>
      </c>
      <c r="I109" s="17" t="s">
        <v>104</v>
      </c>
      <c r="J109" s="17" t="s">
        <v>102</v>
      </c>
      <c r="K109" s="17" t="s">
        <v>103</v>
      </c>
      <c r="L109" s="17" t="s">
        <v>101</v>
      </c>
      <c r="M109" s="17" t="s">
        <v>104</v>
      </c>
      <c r="N109" s="17" t="s">
        <v>102</v>
      </c>
      <c r="O109" s="17" t="s">
        <v>103</v>
      </c>
      <c r="P109" s="17" t="s">
        <v>101</v>
      </c>
      <c r="Q109" s="17" t="s">
        <v>104</v>
      </c>
      <c r="R109" s="17" t="s">
        <v>102</v>
      </c>
      <c r="S109" s="17" t="s">
        <v>103</v>
      </c>
      <c r="T109" s="17" t="s">
        <v>101</v>
      </c>
      <c r="U109" s="17" t="s">
        <v>104</v>
      </c>
      <c r="V109" s="17" t="s">
        <v>102</v>
      </c>
      <c r="W109" s="17" t="s">
        <v>103</v>
      </c>
      <c r="X109" s="879" t="s">
        <v>98</v>
      </c>
    </row>
    <row r="110" spans="1:24" ht="13.5" thickBot="1">
      <c r="A110" s="885"/>
      <c r="B110" s="885"/>
      <c r="C110" s="9" t="s">
        <v>2</v>
      </c>
      <c r="D110" s="18">
        <v>2</v>
      </c>
      <c r="E110" s="18">
        <v>0</v>
      </c>
      <c r="F110" s="18">
        <v>0</v>
      </c>
      <c r="G110" s="18">
        <v>0</v>
      </c>
      <c r="H110" s="18">
        <v>3</v>
      </c>
      <c r="I110" s="18">
        <v>2</v>
      </c>
      <c r="J110" s="18">
        <v>1</v>
      </c>
      <c r="K110" s="18">
        <v>0</v>
      </c>
      <c r="L110" s="18">
        <v>5</v>
      </c>
      <c r="M110" s="18">
        <v>4</v>
      </c>
      <c r="N110" s="18">
        <v>3</v>
      </c>
      <c r="O110" s="18">
        <v>1</v>
      </c>
      <c r="P110" s="18">
        <v>8</v>
      </c>
      <c r="Q110" s="18">
        <v>6</v>
      </c>
      <c r="R110" s="18">
        <v>5</v>
      </c>
      <c r="S110" s="18">
        <v>3</v>
      </c>
      <c r="T110" s="18">
        <v>10</v>
      </c>
      <c r="U110" s="18">
        <v>8</v>
      </c>
      <c r="V110" s="18">
        <v>7</v>
      </c>
      <c r="W110" s="820">
        <v>2</v>
      </c>
      <c r="X110" s="880"/>
    </row>
    <row r="111" spans="1:24" ht="12.95" customHeight="1" thickBot="1">
      <c r="A111" s="885"/>
      <c r="B111" s="93" t="s">
        <v>151</v>
      </c>
      <c r="C111" s="10" t="s">
        <v>3</v>
      </c>
      <c r="D111" s="1265" t="s">
        <v>258</v>
      </c>
      <c r="E111" s="1266"/>
      <c r="F111" s="1266"/>
      <c r="G111" s="1267"/>
      <c r="H111" s="68">
        <v>3</v>
      </c>
      <c r="I111" s="68">
        <v>2</v>
      </c>
      <c r="J111" s="68">
        <v>1</v>
      </c>
      <c r="K111" s="68">
        <v>0</v>
      </c>
      <c r="L111" s="68">
        <v>5</v>
      </c>
      <c r="M111" s="68">
        <v>5</v>
      </c>
      <c r="N111" s="68">
        <v>5</v>
      </c>
      <c r="O111" s="68">
        <v>5</v>
      </c>
      <c r="P111" s="68">
        <v>7</v>
      </c>
      <c r="Q111" s="68">
        <v>1</v>
      </c>
      <c r="R111" s="68">
        <v>0</v>
      </c>
      <c r="S111" s="68">
        <v>0</v>
      </c>
      <c r="T111" s="68">
        <v>0</v>
      </c>
      <c r="U111" s="68">
        <v>0</v>
      </c>
      <c r="V111" s="68">
        <v>0</v>
      </c>
      <c r="W111" s="68">
        <v>0</v>
      </c>
      <c r="X111" s="880"/>
    </row>
    <row r="112" spans="1:24" ht="12.95" customHeight="1" thickBot="1">
      <c r="A112" s="885"/>
      <c r="B112" s="93" t="s">
        <v>150</v>
      </c>
      <c r="C112" s="1258" t="s">
        <v>170</v>
      </c>
      <c r="D112" s="927" t="s">
        <v>4</v>
      </c>
      <c r="E112" s="928"/>
      <c r="F112" s="928"/>
      <c r="G112" s="928"/>
      <c r="H112" s="928"/>
      <c r="I112" s="928"/>
      <c r="J112" s="928"/>
      <c r="K112" s="928"/>
      <c r="L112" s="928"/>
      <c r="M112" s="928"/>
      <c r="N112" s="928"/>
      <c r="O112" s="928"/>
      <c r="P112" s="928"/>
      <c r="Q112" s="928"/>
      <c r="R112" s="928"/>
      <c r="S112" s="928"/>
      <c r="T112" s="928"/>
      <c r="U112" s="928"/>
      <c r="V112" s="928"/>
      <c r="W112" s="929"/>
      <c r="X112" s="880"/>
    </row>
    <row r="113" spans="1:24" ht="12.95" customHeight="1" thickBot="1">
      <c r="A113" s="885"/>
      <c r="B113" s="94" t="s">
        <v>149</v>
      </c>
      <c r="C113" s="1259"/>
      <c r="D113" s="930" t="s">
        <v>420</v>
      </c>
      <c r="E113" s="931"/>
      <c r="F113" s="931"/>
      <c r="G113" s="931"/>
      <c r="H113" s="931"/>
      <c r="I113" s="931"/>
      <c r="J113" s="931"/>
      <c r="K113" s="931"/>
      <c r="L113" s="931"/>
      <c r="M113" s="931"/>
      <c r="N113" s="931"/>
      <c r="O113" s="931"/>
      <c r="P113" s="931"/>
      <c r="Q113" s="931"/>
      <c r="R113" s="931"/>
      <c r="S113" s="931"/>
      <c r="T113" s="931"/>
      <c r="U113" s="931"/>
      <c r="V113" s="931"/>
      <c r="W113" s="932"/>
      <c r="X113" s="880"/>
    </row>
    <row r="114" spans="1:24" ht="12.95" customHeight="1" thickBot="1">
      <c r="A114" s="885"/>
      <c r="B114" s="11" t="s">
        <v>30</v>
      </c>
      <c r="C114" s="12"/>
      <c r="D114" s="927" t="s">
        <v>78</v>
      </c>
      <c r="E114" s="928"/>
      <c r="F114" s="928"/>
      <c r="G114" s="929"/>
      <c r="H114" s="927" t="s">
        <v>77</v>
      </c>
      <c r="I114" s="928"/>
      <c r="J114" s="928"/>
      <c r="K114" s="929"/>
      <c r="L114" s="927" t="s">
        <v>81</v>
      </c>
      <c r="M114" s="928"/>
      <c r="N114" s="928"/>
      <c r="O114" s="929"/>
      <c r="P114" s="927" t="s">
        <v>254</v>
      </c>
      <c r="Q114" s="928"/>
      <c r="R114" s="928"/>
      <c r="S114" s="929"/>
      <c r="T114" s="927" t="s">
        <v>76</v>
      </c>
      <c r="U114" s="928"/>
      <c r="V114" s="928"/>
      <c r="W114" s="929"/>
      <c r="X114" s="880"/>
    </row>
    <row r="115" spans="1:24" ht="44.1" customHeight="1" thickBot="1">
      <c r="A115" s="885"/>
      <c r="B115" s="868" t="s">
        <v>157</v>
      </c>
      <c r="C115" s="23"/>
      <c r="D115" s="17" t="s">
        <v>101</v>
      </c>
      <c r="E115" s="17" t="s">
        <v>104</v>
      </c>
      <c r="F115" s="17" t="s">
        <v>102</v>
      </c>
      <c r="G115" s="17" t="s">
        <v>103</v>
      </c>
      <c r="H115" s="17" t="s">
        <v>101</v>
      </c>
      <c r="I115" s="17" t="s">
        <v>104</v>
      </c>
      <c r="J115" s="17" t="s">
        <v>102</v>
      </c>
      <c r="K115" s="17" t="s">
        <v>103</v>
      </c>
      <c r="L115" s="17" t="s">
        <v>101</v>
      </c>
      <c r="M115" s="17" t="s">
        <v>104</v>
      </c>
      <c r="N115" s="17" t="s">
        <v>102</v>
      </c>
      <c r="O115" s="17" t="s">
        <v>103</v>
      </c>
      <c r="P115" s="17" t="s">
        <v>101</v>
      </c>
      <c r="Q115" s="17" t="s">
        <v>104</v>
      </c>
      <c r="R115" s="17" t="s">
        <v>102</v>
      </c>
      <c r="S115" s="17" t="s">
        <v>103</v>
      </c>
      <c r="T115" s="17" t="s">
        <v>101</v>
      </c>
      <c r="U115" s="17" t="s">
        <v>104</v>
      </c>
      <c r="V115" s="17" t="s">
        <v>102</v>
      </c>
      <c r="W115" s="17" t="s">
        <v>103</v>
      </c>
      <c r="X115" s="880"/>
    </row>
    <row r="116" spans="1:24" ht="13.5" thickBot="1">
      <c r="A116" s="885"/>
      <c r="B116" s="885"/>
      <c r="C116" s="9" t="s">
        <v>2</v>
      </c>
      <c r="D116" s="18">
        <v>2</v>
      </c>
      <c r="E116" s="18">
        <v>0</v>
      </c>
      <c r="F116" s="18">
        <v>0</v>
      </c>
      <c r="G116" s="18">
        <v>0</v>
      </c>
      <c r="H116" s="18">
        <v>3</v>
      </c>
      <c r="I116" s="18">
        <v>2</v>
      </c>
      <c r="J116" s="18">
        <v>2</v>
      </c>
      <c r="K116" s="18">
        <v>0</v>
      </c>
      <c r="L116" s="18">
        <v>5</v>
      </c>
      <c r="M116" s="18">
        <v>4</v>
      </c>
      <c r="N116" s="18">
        <v>3</v>
      </c>
      <c r="O116" s="18">
        <v>2</v>
      </c>
      <c r="P116" s="18">
        <v>8</v>
      </c>
      <c r="Q116" s="18">
        <v>6</v>
      </c>
      <c r="R116" s="18">
        <v>5</v>
      </c>
      <c r="S116" s="18">
        <v>3</v>
      </c>
      <c r="T116" s="18">
        <v>10</v>
      </c>
      <c r="U116" s="18">
        <v>8</v>
      </c>
      <c r="V116" s="18">
        <v>7</v>
      </c>
      <c r="W116" s="824">
        <v>5</v>
      </c>
      <c r="X116" s="880"/>
    </row>
    <row r="117" spans="1:24" ht="12.95" customHeight="1" thickBot="1">
      <c r="A117" s="885"/>
      <c r="B117" s="93" t="s">
        <v>151</v>
      </c>
      <c r="C117" s="9" t="s">
        <v>3</v>
      </c>
      <c r="D117" s="933" t="s">
        <v>171</v>
      </c>
      <c r="E117" s="934"/>
      <c r="F117" s="934"/>
      <c r="G117" s="935"/>
      <c r="H117" s="936" t="s">
        <v>249</v>
      </c>
      <c r="I117" s="937"/>
      <c r="J117" s="937"/>
      <c r="K117" s="938"/>
      <c r="L117" s="68">
        <v>4</v>
      </c>
      <c r="M117" s="68">
        <v>4</v>
      </c>
      <c r="N117" s="68">
        <v>4</v>
      </c>
      <c r="O117" s="68">
        <v>4</v>
      </c>
      <c r="P117" s="68">
        <v>7</v>
      </c>
      <c r="Q117" s="68">
        <v>6</v>
      </c>
      <c r="R117" s="68">
        <v>6</v>
      </c>
      <c r="S117" s="68">
        <v>6</v>
      </c>
      <c r="T117" s="68">
        <v>0</v>
      </c>
      <c r="U117" s="68">
        <v>0</v>
      </c>
      <c r="V117" s="68">
        <v>0</v>
      </c>
      <c r="W117" s="68">
        <v>0</v>
      </c>
      <c r="X117" s="880"/>
    </row>
    <row r="118" spans="1:24" ht="12.95" customHeight="1" thickBot="1">
      <c r="A118" s="885"/>
      <c r="B118" s="93" t="s">
        <v>150</v>
      </c>
      <c r="C118" s="1258" t="s">
        <v>170</v>
      </c>
      <c r="D118" s="927" t="s">
        <v>4</v>
      </c>
      <c r="E118" s="928"/>
      <c r="F118" s="928"/>
      <c r="G118" s="928"/>
      <c r="H118" s="928"/>
      <c r="I118" s="928"/>
      <c r="J118" s="928"/>
      <c r="K118" s="928"/>
      <c r="L118" s="928"/>
      <c r="M118" s="928"/>
      <c r="N118" s="928"/>
      <c r="O118" s="928"/>
      <c r="P118" s="928"/>
      <c r="Q118" s="928"/>
      <c r="R118" s="928"/>
      <c r="S118" s="928"/>
      <c r="T118" s="928"/>
      <c r="U118" s="928"/>
      <c r="V118" s="928"/>
      <c r="W118" s="929"/>
      <c r="X118" s="880"/>
    </row>
    <row r="119" spans="1:24" ht="12.95" customHeight="1" thickBot="1">
      <c r="A119" s="885"/>
      <c r="B119" s="94" t="s">
        <v>152</v>
      </c>
      <c r="C119" s="1259"/>
      <c r="D119" s="930" t="s">
        <v>420</v>
      </c>
      <c r="E119" s="931"/>
      <c r="F119" s="931"/>
      <c r="G119" s="931"/>
      <c r="H119" s="931"/>
      <c r="I119" s="931"/>
      <c r="J119" s="931"/>
      <c r="K119" s="931"/>
      <c r="L119" s="931"/>
      <c r="M119" s="931"/>
      <c r="N119" s="931"/>
      <c r="O119" s="931"/>
      <c r="P119" s="931"/>
      <c r="Q119" s="931"/>
      <c r="R119" s="931"/>
      <c r="S119" s="931"/>
      <c r="T119" s="931"/>
      <c r="U119" s="931"/>
      <c r="V119" s="931"/>
      <c r="W119" s="932"/>
      <c r="X119" s="880"/>
    </row>
    <row r="120" spans="1:24" ht="12.95" customHeight="1" thickBot="1">
      <c r="A120" s="885"/>
      <c r="B120" s="11" t="s">
        <v>31</v>
      </c>
      <c r="C120" s="12"/>
      <c r="D120" s="927" t="s">
        <v>78</v>
      </c>
      <c r="E120" s="928"/>
      <c r="F120" s="928"/>
      <c r="G120" s="929"/>
      <c r="H120" s="927" t="s">
        <v>77</v>
      </c>
      <c r="I120" s="928"/>
      <c r="J120" s="928"/>
      <c r="K120" s="929"/>
      <c r="L120" s="927" t="s">
        <v>81</v>
      </c>
      <c r="M120" s="928"/>
      <c r="N120" s="928"/>
      <c r="O120" s="929"/>
      <c r="P120" s="927" t="s">
        <v>254</v>
      </c>
      <c r="Q120" s="928"/>
      <c r="R120" s="928"/>
      <c r="S120" s="929"/>
      <c r="T120" s="927" t="s">
        <v>76</v>
      </c>
      <c r="U120" s="928"/>
      <c r="V120" s="928"/>
      <c r="W120" s="929"/>
      <c r="X120" s="880"/>
    </row>
    <row r="121" spans="1:24" ht="12.95" customHeight="1" thickBot="1">
      <c r="A121" s="885"/>
      <c r="B121" s="868" t="s">
        <v>421</v>
      </c>
      <c r="C121" s="23"/>
      <c r="D121" s="1230" t="s">
        <v>418</v>
      </c>
      <c r="E121" s="1232"/>
      <c r="F121" s="1240" t="s">
        <v>419</v>
      </c>
      <c r="G121" s="1232"/>
      <c r="H121" s="1240" t="s">
        <v>418</v>
      </c>
      <c r="I121" s="1232"/>
      <c r="J121" s="1240" t="s">
        <v>419</v>
      </c>
      <c r="K121" s="1232"/>
      <c r="L121" s="1240" t="s">
        <v>418</v>
      </c>
      <c r="M121" s="1232"/>
      <c r="N121" s="1240" t="s">
        <v>419</v>
      </c>
      <c r="O121" s="1232"/>
      <c r="P121" s="1240" t="s">
        <v>418</v>
      </c>
      <c r="Q121" s="1232"/>
      <c r="R121" s="1240" t="s">
        <v>419</v>
      </c>
      <c r="S121" s="1232"/>
      <c r="T121" s="1240" t="s">
        <v>418</v>
      </c>
      <c r="U121" s="1232"/>
      <c r="V121" s="1240" t="s">
        <v>419</v>
      </c>
      <c r="W121" s="1246"/>
      <c r="X121" s="880"/>
    </row>
    <row r="122" spans="1:24" ht="12.95" customHeight="1" thickBot="1">
      <c r="A122" s="885"/>
      <c r="B122" s="885"/>
      <c r="C122" s="26" t="s">
        <v>2</v>
      </c>
      <c r="D122" s="933" t="s">
        <v>172</v>
      </c>
      <c r="E122" s="934"/>
      <c r="F122" s="934"/>
      <c r="G122" s="935"/>
      <c r="H122" s="966" t="s">
        <v>572</v>
      </c>
      <c r="I122" s="967"/>
      <c r="J122" s="967"/>
      <c r="K122" s="968"/>
      <c r="L122" s="951">
        <v>50</v>
      </c>
      <c r="M122" s="952"/>
      <c r="N122" s="951">
        <v>10</v>
      </c>
      <c r="O122" s="952"/>
      <c r="P122" s="951">
        <v>70</v>
      </c>
      <c r="Q122" s="952"/>
      <c r="R122" s="951">
        <v>15</v>
      </c>
      <c r="S122" s="952"/>
      <c r="T122" s="951">
        <v>80</v>
      </c>
      <c r="U122" s="952"/>
      <c r="V122" s="1290">
        <v>40</v>
      </c>
      <c r="W122" s="1291"/>
      <c r="X122" s="880"/>
    </row>
    <row r="123" spans="1:24" ht="18" customHeight="1" thickBot="1">
      <c r="A123" s="885"/>
      <c r="B123" s="885"/>
      <c r="C123" s="9" t="s">
        <v>3</v>
      </c>
      <c r="D123" s="933"/>
      <c r="E123" s="934"/>
      <c r="F123" s="934"/>
      <c r="G123" s="935"/>
      <c r="H123" s="933"/>
      <c r="I123" s="934"/>
      <c r="J123" s="934"/>
      <c r="K123" s="935"/>
      <c r="L123" s="933"/>
      <c r="M123" s="934"/>
      <c r="N123" s="934"/>
      <c r="O123" s="935"/>
      <c r="P123" s="939">
        <v>85</v>
      </c>
      <c r="Q123" s="953"/>
      <c r="R123" s="939">
        <v>15</v>
      </c>
      <c r="S123" s="953"/>
      <c r="T123" s="939">
        <v>0</v>
      </c>
      <c r="U123" s="953"/>
      <c r="V123" s="939">
        <v>0</v>
      </c>
      <c r="W123" s="953"/>
      <c r="X123" s="880"/>
    </row>
    <row r="124" spans="1:24" ht="12.95" customHeight="1" thickBot="1">
      <c r="A124" s="885"/>
      <c r="B124" s="885"/>
      <c r="C124" s="1258" t="s">
        <v>170</v>
      </c>
      <c r="D124" s="927" t="s">
        <v>4</v>
      </c>
      <c r="E124" s="928"/>
      <c r="F124" s="928"/>
      <c r="G124" s="928"/>
      <c r="H124" s="928"/>
      <c r="I124" s="928"/>
      <c r="J124" s="928"/>
      <c r="K124" s="928"/>
      <c r="L124" s="928"/>
      <c r="M124" s="928"/>
      <c r="N124" s="928"/>
      <c r="O124" s="928"/>
      <c r="P124" s="928"/>
      <c r="Q124" s="928"/>
      <c r="R124" s="928"/>
      <c r="S124" s="928"/>
      <c r="T124" s="928"/>
      <c r="U124" s="928"/>
      <c r="V124" s="928"/>
      <c r="W124" s="929"/>
      <c r="X124" s="880"/>
    </row>
    <row r="125" spans="1:24" ht="12.95" customHeight="1" thickBot="1">
      <c r="A125" s="885"/>
      <c r="B125" s="94" t="s">
        <v>179</v>
      </c>
      <c r="C125" s="1259"/>
      <c r="D125" s="930" t="s">
        <v>121</v>
      </c>
      <c r="E125" s="931"/>
      <c r="F125" s="931"/>
      <c r="G125" s="931"/>
      <c r="H125" s="931"/>
      <c r="I125" s="931"/>
      <c r="J125" s="931"/>
      <c r="K125" s="931"/>
      <c r="L125" s="931"/>
      <c r="M125" s="931"/>
      <c r="N125" s="931"/>
      <c r="O125" s="931"/>
      <c r="P125" s="931"/>
      <c r="Q125" s="931"/>
      <c r="R125" s="931"/>
      <c r="S125" s="931"/>
      <c r="T125" s="931"/>
      <c r="U125" s="931"/>
      <c r="V125" s="931"/>
      <c r="W125" s="932"/>
      <c r="X125" s="880"/>
    </row>
    <row r="126" spans="1:24" ht="12.95" customHeight="1" thickBot="1">
      <c r="A126" s="885"/>
      <c r="B126" s="11" t="s">
        <v>40</v>
      </c>
      <c r="C126" s="12"/>
      <c r="D126" s="927" t="s">
        <v>78</v>
      </c>
      <c r="E126" s="928"/>
      <c r="F126" s="928"/>
      <c r="G126" s="929"/>
      <c r="H126" s="927" t="s">
        <v>77</v>
      </c>
      <c r="I126" s="928"/>
      <c r="J126" s="928"/>
      <c r="K126" s="929"/>
      <c r="L126" s="927" t="s">
        <v>81</v>
      </c>
      <c r="M126" s="928"/>
      <c r="N126" s="928"/>
      <c r="O126" s="929"/>
      <c r="P126" s="927" t="s">
        <v>254</v>
      </c>
      <c r="Q126" s="928"/>
      <c r="R126" s="928"/>
      <c r="S126" s="929"/>
      <c r="T126" s="927" t="s">
        <v>76</v>
      </c>
      <c r="U126" s="928"/>
      <c r="V126" s="928"/>
      <c r="W126" s="929"/>
      <c r="X126" s="880"/>
    </row>
    <row r="127" spans="1:24" ht="12.95" customHeight="1" thickBot="1">
      <c r="A127" s="885"/>
      <c r="B127" s="873" t="s">
        <v>644</v>
      </c>
      <c r="C127" s="23" t="s">
        <v>2</v>
      </c>
      <c r="D127" s="933" t="s">
        <v>171</v>
      </c>
      <c r="E127" s="934"/>
      <c r="F127" s="934"/>
      <c r="G127" s="935"/>
      <c r="H127" s="966" t="s">
        <v>572</v>
      </c>
      <c r="I127" s="967"/>
      <c r="J127" s="967"/>
      <c r="K127" s="968"/>
      <c r="L127" s="942">
        <v>3.5</v>
      </c>
      <c r="M127" s="943"/>
      <c r="N127" s="943"/>
      <c r="O127" s="944"/>
      <c r="P127" s="942">
        <v>3.6</v>
      </c>
      <c r="Q127" s="943"/>
      <c r="R127" s="943"/>
      <c r="S127" s="944"/>
      <c r="T127" s="942">
        <v>4</v>
      </c>
      <c r="U127" s="943"/>
      <c r="V127" s="943"/>
      <c r="W127" s="944"/>
      <c r="X127" s="880"/>
    </row>
    <row r="128" spans="1:24" ht="13.5" thickBot="1">
      <c r="A128" s="869"/>
      <c r="B128" s="874"/>
      <c r="C128" s="9" t="s">
        <v>3</v>
      </c>
      <c r="D128" s="933"/>
      <c r="E128" s="934"/>
      <c r="F128" s="934"/>
      <c r="G128" s="935"/>
      <c r="H128" s="933"/>
      <c r="I128" s="934"/>
      <c r="J128" s="934"/>
      <c r="K128" s="935"/>
      <c r="L128" s="1171"/>
      <c r="M128" s="1172"/>
      <c r="N128" s="1172"/>
      <c r="O128" s="1173"/>
      <c r="P128" s="963">
        <v>3.5</v>
      </c>
      <c r="Q128" s="964"/>
      <c r="R128" s="964"/>
      <c r="S128" s="965"/>
      <c r="T128" s="963">
        <v>0</v>
      </c>
      <c r="U128" s="964"/>
      <c r="V128" s="964"/>
      <c r="W128" s="965"/>
      <c r="X128" s="881"/>
    </row>
    <row r="129" spans="1:24" ht="12.95" customHeight="1" thickBot="1">
      <c r="A129" s="96" t="s">
        <v>13</v>
      </c>
      <c r="B129" s="874"/>
      <c r="C129" s="1258" t="s">
        <v>170</v>
      </c>
      <c r="D129" s="927" t="s">
        <v>4</v>
      </c>
      <c r="E129" s="928"/>
      <c r="F129" s="928"/>
      <c r="G129" s="928"/>
      <c r="H129" s="928"/>
      <c r="I129" s="928"/>
      <c r="J129" s="928"/>
      <c r="K129" s="928"/>
      <c r="L129" s="928"/>
      <c r="M129" s="928"/>
      <c r="N129" s="928"/>
      <c r="O129" s="928"/>
      <c r="P129" s="928"/>
      <c r="Q129" s="928"/>
      <c r="R129" s="928"/>
      <c r="S129" s="928"/>
      <c r="T129" s="928"/>
      <c r="U129" s="928"/>
      <c r="V129" s="928"/>
      <c r="W129" s="929"/>
      <c r="X129" s="24" t="s">
        <v>14</v>
      </c>
    </row>
    <row r="130" spans="1:24" ht="12.95" customHeight="1" thickBot="1">
      <c r="A130" s="25" t="s">
        <v>75</v>
      </c>
      <c r="B130" s="875"/>
      <c r="C130" s="1259"/>
      <c r="D130" s="930" t="s">
        <v>122</v>
      </c>
      <c r="E130" s="931"/>
      <c r="F130" s="931"/>
      <c r="G130" s="931"/>
      <c r="H130" s="931"/>
      <c r="I130" s="931"/>
      <c r="J130" s="931"/>
      <c r="K130" s="931"/>
      <c r="L130" s="931"/>
      <c r="M130" s="931"/>
      <c r="N130" s="931"/>
      <c r="O130" s="931"/>
      <c r="P130" s="931"/>
      <c r="Q130" s="931"/>
      <c r="R130" s="931"/>
      <c r="S130" s="931"/>
      <c r="T130" s="931"/>
      <c r="U130" s="931"/>
      <c r="V130" s="931"/>
      <c r="W130" s="932"/>
      <c r="X130" s="18" t="s">
        <v>92</v>
      </c>
    </row>
    <row r="131" spans="1:24" ht="12.95" customHeight="1" thickBot="1">
      <c r="A131" s="906" t="s">
        <v>7</v>
      </c>
      <c r="B131" s="908" t="s">
        <v>173</v>
      </c>
      <c r="C131" s="909"/>
      <c r="D131" s="908" t="s">
        <v>8</v>
      </c>
      <c r="E131" s="918"/>
      <c r="F131" s="918"/>
      <c r="G131" s="909"/>
      <c r="H131" s="908" t="s">
        <v>88</v>
      </c>
      <c r="I131" s="918"/>
      <c r="J131" s="918"/>
      <c r="K131" s="909"/>
      <c r="L131" s="908" t="s">
        <v>89</v>
      </c>
      <c r="M131" s="918"/>
      <c r="N131" s="918"/>
      <c r="O131" s="909"/>
      <c r="P131" s="908" t="s">
        <v>9</v>
      </c>
      <c r="Q131" s="918"/>
      <c r="R131" s="918"/>
      <c r="S131" s="909"/>
      <c r="T131" s="908" t="s">
        <v>174</v>
      </c>
      <c r="U131" s="918"/>
      <c r="V131" s="918"/>
      <c r="W131" s="918"/>
      <c r="X131" s="909"/>
    </row>
    <row r="132" spans="1:24" ht="13.5" thickBot="1">
      <c r="A132" s="907"/>
      <c r="B132" s="1256"/>
      <c r="C132" s="1257"/>
      <c r="D132" s="916"/>
      <c r="E132" s="994"/>
      <c r="F132" s="994"/>
      <c r="G132" s="917"/>
      <c r="H132" s="916"/>
      <c r="I132" s="994"/>
      <c r="J132" s="994"/>
      <c r="K132" s="917"/>
      <c r="L132" s="916"/>
      <c r="M132" s="994"/>
      <c r="N132" s="994"/>
      <c r="O132" s="917"/>
      <c r="P132" s="916">
        <f>SUM(B132:O132)</f>
        <v>0</v>
      </c>
      <c r="Q132" s="994"/>
      <c r="R132" s="994"/>
      <c r="S132" s="917"/>
      <c r="T132" s="916" t="e">
        <f>B132/P132%</f>
        <v>#DIV/0!</v>
      </c>
      <c r="U132" s="994"/>
      <c r="V132" s="994"/>
      <c r="W132" s="994"/>
      <c r="X132" s="917"/>
    </row>
    <row r="133" spans="1:24" ht="13.5" thickBot="1">
      <c r="A133" s="906" t="s">
        <v>10</v>
      </c>
      <c r="B133" s="908" t="s">
        <v>175</v>
      </c>
      <c r="C133" s="909"/>
      <c r="D133" s="910"/>
      <c r="E133" s="911"/>
      <c r="F133" s="911"/>
      <c r="G133" s="911"/>
      <c r="H133" s="911"/>
      <c r="I133" s="911"/>
      <c r="J133" s="911"/>
      <c r="K133" s="911"/>
      <c r="L133" s="911"/>
      <c r="M133" s="911"/>
      <c r="N133" s="911"/>
      <c r="O133" s="911"/>
      <c r="P133" s="911"/>
      <c r="Q133" s="911"/>
      <c r="R133" s="911"/>
      <c r="S133" s="911"/>
      <c r="T133" s="911"/>
      <c r="U133" s="911"/>
      <c r="V133" s="911"/>
      <c r="W133" s="911"/>
      <c r="X133" s="912"/>
    </row>
    <row r="134" spans="1:24" ht="13.5" thickBot="1">
      <c r="A134" s="907"/>
      <c r="B134" s="1256"/>
      <c r="C134" s="1257"/>
      <c r="D134" s="913"/>
      <c r="E134" s="914"/>
      <c r="F134" s="914"/>
      <c r="G134" s="914"/>
      <c r="H134" s="914"/>
      <c r="I134" s="914"/>
      <c r="J134" s="914"/>
      <c r="K134" s="914"/>
      <c r="L134" s="914"/>
      <c r="M134" s="914"/>
      <c r="N134" s="914"/>
      <c r="O134" s="914"/>
      <c r="P134" s="914"/>
      <c r="Q134" s="914"/>
      <c r="R134" s="914"/>
      <c r="S134" s="914"/>
      <c r="T134" s="914"/>
      <c r="U134" s="914"/>
      <c r="V134" s="914"/>
      <c r="W134" s="914"/>
      <c r="X134" s="915"/>
    </row>
    <row r="135" spans="1:24">
      <c r="A135" s="5"/>
      <c r="B135" s="5"/>
      <c r="C135" s="6"/>
      <c r="D135" s="5"/>
      <c r="E135" s="5"/>
      <c r="F135" s="5"/>
      <c r="G135" s="5"/>
      <c r="H135" s="5"/>
      <c r="I135" s="5"/>
      <c r="J135" s="5"/>
      <c r="K135" s="5"/>
      <c r="L135" s="5"/>
      <c r="M135" s="5"/>
      <c r="N135" s="5"/>
      <c r="O135" s="5"/>
      <c r="P135" s="5"/>
      <c r="Q135" s="5"/>
      <c r="R135" s="5"/>
      <c r="S135" s="5"/>
      <c r="T135" s="5"/>
      <c r="U135" s="5"/>
      <c r="V135" s="5"/>
      <c r="W135" s="5"/>
      <c r="X135" s="5"/>
    </row>
    <row r="136" spans="1:24" ht="13.5" thickBot="1">
      <c r="A136" s="5"/>
      <c r="B136" s="5"/>
      <c r="C136" s="6"/>
      <c r="D136" s="5"/>
      <c r="E136" s="5"/>
      <c r="F136" s="5"/>
      <c r="G136" s="5"/>
      <c r="H136" s="5"/>
      <c r="I136" s="5"/>
      <c r="J136" s="5"/>
      <c r="K136" s="5"/>
      <c r="L136" s="5"/>
      <c r="M136" s="5"/>
      <c r="N136" s="5"/>
      <c r="O136" s="5"/>
      <c r="P136" s="5"/>
      <c r="Q136" s="5"/>
      <c r="R136" s="5"/>
      <c r="S136" s="5"/>
      <c r="T136" s="5"/>
      <c r="U136" s="5"/>
      <c r="V136" s="5"/>
      <c r="W136" s="5"/>
      <c r="X136" s="5"/>
    </row>
    <row r="137" spans="1:24" ht="12.95" customHeight="1" thickBot="1">
      <c r="A137" s="95" t="s">
        <v>28</v>
      </c>
      <c r="B137" s="97" t="s">
        <v>32</v>
      </c>
      <c r="C137" s="8"/>
      <c r="D137" s="927" t="s">
        <v>78</v>
      </c>
      <c r="E137" s="928"/>
      <c r="F137" s="928"/>
      <c r="G137" s="929"/>
      <c r="H137" s="927" t="s">
        <v>77</v>
      </c>
      <c r="I137" s="928"/>
      <c r="J137" s="928"/>
      <c r="K137" s="929"/>
      <c r="L137" s="927" t="s">
        <v>81</v>
      </c>
      <c r="M137" s="928"/>
      <c r="N137" s="928"/>
      <c r="O137" s="929"/>
      <c r="P137" s="927" t="s">
        <v>254</v>
      </c>
      <c r="Q137" s="928"/>
      <c r="R137" s="928"/>
      <c r="S137" s="929"/>
      <c r="T137" s="927" t="s">
        <v>76</v>
      </c>
      <c r="U137" s="928"/>
      <c r="V137" s="928"/>
      <c r="W137" s="929"/>
      <c r="X137" s="16" t="s">
        <v>6</v>
      </c>
    </row>
    <row r="138" spans="1:24" ht="12.95" customHeight="1" thickBot="1">
      <c r="A138" s="868" t="s">
        <v>65</v>
      </c>
      <c r="B138" s="868" t="s">
        <v>66</v>
      </c>
      <c r="C138" s="9" t="s">
        <v>2</v>
      </c>
      <c r="D138" s="942">
        <v>1</v>
      </c>
      <c r="E138" s="943"/>
      <c r="F138" s="943"/>
      <c r="G138" s="944"/>
      <c r="H138" s="942">
        <v>1</v>
      </c>
      <c r="I138" s="943"/>
      <c r="J138" s="943"/>
      <c r="K138" s="944"/>
      <c r="L138" s="942">
        <v>2</v>
      </c>
      <c r="M138" s="943"/>
      <c r="N138" s="943"/>
      <c r="O138" s="944"/>
      <c r="P138" s="942">
        <v>2.1</v>
      </c>
      <c r="Q138" s="943"/>
      <c r="R138" s="943"/>
      <c r="S138" s="944"/>
      <c r="T138" s="1188">
        <v>3.5</v>
      </c>
      <c r="U138" s="1189"/>
      <c r="V138" s="1189"/>
      <c r="W138" s="1190"/>
      <c r="X138" s="879" t="s">
        <v>91</v>
      </c>
    </row>
    <row r="139" spans="1:24" ht="13.5" thickBot="1">
      <c r="A139" s="885"/>
      <c r="B139" s="885"/>
      <c r="C139" s="99" t="s">
        <v>3</v>
      </c>
      <c r="D139" s="957"/>
      <c r="E139" s="958"/>
      <c r="F139" s="958"/>
      <c r="G139" s="959"/>
      <c r="H139" s="963">
        <v>1.5</v>
      </c>
      <c r="I139" s="964"/>
      <c r="J139" s="964"/>
      <c r="K139" s="965"/>
      <c r="L139" s="963">
        <v>2</v>
      </c>
      <c r="M139" s="964"/>
      <c r="N139" s="964"/>
      <c r="O139" s="965"/>
      <c r="P139" s="963">
        <v>2.8</v>
      </c>
      <c r="Q139" s="964"/>
      <c r="R139" s="964"/>
      <c r="S139" s="965"/>
      <c r="T139" s="963">
        <v>0</v>
      </c>
      <c r="U139" s="964"/>
      <c r="V139" s="964"/>
      <c r="W139" s="965"/>
      <c r="X139" s="880"/>
    </row>
    <row r="140" spans="1:24" ht="12.95" customHeight="1" thickBot="1">
      <c r="A140" s="885"/>
      <c r="B140" s="885"/>
      <c r="C140" s="1258" t="s">
        <v>170</v>
      </c>
      <c r="D140" s="927" t="s">
        <v>4</v>
      </c>
      <c r="E140" s="928"/>
      <c r="F140" s="928"/>
      <c r="G140" s="928"/>
      <c r="H140" s="928"/>
      <c r="I140" s="928"/>
      <c r="J140" s="928"/>
      <c r="K140" s="928"/>
      <c r="L140" s="928"/>
      <c r="M140" s="928"/>
      <c r="N140" s="928"/>
      <c r="O140" s="928"/>
      <c r="P140" s="928"/>
      <c r="Q140" s="928"/>
      <c r="R140" s="928"/>
      <c r="S140" s="928"/>
      <c r="T140" s="928"/>
      <c r="U140" s="928"/>
      <c r="V140" s="928"/>
      <c r="W140" s="929"/>
      <c r="X140" s="880"/>
    </row>
    <row r="141" spans="1:24" ht="12.95" customHeight="1" thickBot="1">
      <c r="A141" s="885"/>
      <c r="B141" s="869"/>
      <c r="C141" s="1259"/>
      <c r="D141" s="930" t="s">
        <v>123</v>
      </c>
      <c r="E141" s="931"/>
      <c r="F141" s="931"/>
      <c r="G141" s="931"/>
      <c r="H141" s="931"/>
      <c r="I141" s="931"/>
      <c r="J141" s="931"/>
      <c r="K141" s="931"/>
      <c r="L141" s="931"/>
      <c r="M141" s="931"/>
      <c r="N141" s="931"/>
      <c r="O141" s="931"/>
      <c r="P141" s="931"/>
      <c r="Q141" s="931"/>
      <c r="R141" s="931"/>
      <c r="S141" s="931"/>
      <c r="T141" s="931"/>
      <c r="U141" s="931"/>
      <c r="V141" s="931"/>
      <c r="W141" s="932"/>
      <c r="X141" s="880"/>
    </row>
    <row r="142" spans="1:24" ht="12.95" customHeight="1" thickBot="1">
      <c r="A142" s="885"/>
      <c r="B142" s="11" t="s">
        <v>33</v>
      </c>
      <c r="C142" s="12"/>
      <c r="D142" s="927" t="s">
        <v>78</v>
      </c>
      <c r="E142" s="928"/>
      <c r="F142" s="928"/>
      <c r="G142" s="929"/>
      <c r="H142" s="927" t="s">
        <v>77</v>
      </c>
      <c r="I142" s="928"/>
      <c r="J142" s="928"/>
      <c r="K142" s="929"/>
      <c r="L142" s="927" t="s">
        <v>81</v>
      </c>
      <c r="M142" s="928"/>
      <c r="N142" s="928"/>
      <c r="O142" s="929"/>
      <c r="P142" s="927" t="s">
        <v>254</v>
      </c>
      <c r="Q142" s="928"/>
      <c r="R142" s="928"/>
      <c r="S142" s="929"/>
      <c r="T142" s="927" t="s">
        <v>76</v>
      </c>
      <c r="U142" s="928"/>
      <c r="V142" s="928"/>
      <c r="W142" s="929"/>
      <c r="X142" s="880"/>
    </row>
    <row r="143" spans="1:24" ht="13.5" thickBot="1">
      <c r="A143" s="885"/>
      <c r="B143" s="868" t="s">
        <v>67</v>
      </c>
      <c r="C143" s="23" t="s">
        <v>2</v>
      </c>
      <c r="D143" s="942">
        <v>1</v>
      </c>
      <c r="E143" s="943"/>
      <c r="F143" s="943"/>
      <c r="G143" s="944"/>
      <c r="H143" s="942">
        <v>1</v>
      </c>
      <c r="I143" s="943"/>
      <c r="J143" s="943"/>
      <c r="K143" s="944"/>
      <c r="L143" s="942">
        <v>2</v>
      </c>
      <c r="M143" s="943"/>
      <c r="N143" s="943"/>
      <c r="O143" s="944"/>
      <c r="P143" s="942">
        <v>2.1</v>
      </c>
      <c r="Q143" s="943"/>
      <c r="R143" s="943"/>
      <c r="S143" s="944"/>
      <c r="T143" s="1188">
        <v>4.5</v>
      </c>
      <c r="U143" s="1189"/>
      <c r="V143" s="1189"/>
      <c r="W143" s="1190"/>
      <c r="X143" s="880"/>
    </row>
    <row r="144" spans="1:24" ht="13.5" thickBot="1">
      <c r="A144" s="885"/>
      <c r="B144" s="885"/>
      <c r="C144" s="9" t="s">
        <v>3</v>
      </c>
      <c r="D144" s="957"/>
      <c r="E144" s="958"/>
      <c r="F144" s="958"/>
      <c r="G144" s="959"/>
      <c r="H144" s="963">
        <v>1</v>
      </c>
      <c r="I144" s="964"/>
      <c r="J144" s="964"/>
      <c r="K144" s="965"/>
      <c r="L144" s="963">
        <v>2</v>
      </c>
      <c r="M144" s="964"/>
      <c r="N144" s="964"/>
      <c r="O144" s="965"/>
      <c r="P144" s="963">
        <v>4.3</v>
      </c>
      <c r="Q144" s="964"/>
      <c r="R144" s="964"/>
      <c r="S144" s="965"/>
      <c r="T144" s="963">
        <v>0</v>
      </c>
      <c r="U144" s="964"/>
      <c r="V144" s="964"/>
      <c r="W144" s="965"/>
      <c r="X144" s="880"/>
    </row>
    <row r="145" spans="1:24" ht="12.95" customHeight="1" thickBot="1">
      <c r="A145" s="885"/>
      <c r="B145" s="885"/>
      <c r="C145" s="1258" t="s">
        <v>170</v>
      </c>
      <c r="D145" s="927" t="s">
        <v>4</v>
      </c>
      <c r="E145" s="928"/>
      <c r="F145" s="928"/>
      <c r="G145" s="928"/>
      <c r="H145" s="928"/>
      <c r="I145" s="928"/>
      <c r="J145" s="928"/>
      <c r="K145" s="928"/>
      <c r="L145" s="928"/>
      <c r="M145" s="928"/>
      <c r="N145" s="928"/>
      <c r="O145" s="928"/>
      <c r="P145" s="928"/>
      <c r="Q145" s="928"/>
      <c r="R145" s="928"/>
      <c r="S145" s="928"/>
      <c r="T145" s="928"/>
      <c r="U145" s="928"/>
      <c r="V145" s="928"/>
      <c r="W145" s="929"/>
      <c r="X145" s="880"/>
    </row>
    <row r="146" spans="1:24" ht="12.95" customHeight="1" thickBot="1">
      <c r="A146" s="885"/>
      <c r="B146" s="869"/>
      <c r="C146" s="1259"/>
      <c r="D146" s="930" t="s">
        <v>123</v>
      </c>
      <c r="E146" s="931"/>
      <c r="F146" s="931"/>
      <c r="G146" s="931"/>
      <c r="H146" s="931"/>
      <c r="I146" s="931"/>
      <c r="J146" s="931"/>
      <c r="K146" s="931"/>
      <c r="L146" s="931"/>
      <c r="M146" s="931"/>
      <c r="N146" s="931"/>
      <c r="O146" s="931"/>
      <c r="P146" s="931"/>
      <c r="Q146" s="931"/>
      <c r="R146" s="931"/>
      <c r="S146" s="931"/>
      <c r="T146" s="931"/>
      <c r="U146" s="931"/>
      <c r="V146" s="931"/>
      <c r="W146" s="932"/>
      <c r="X146" s="880"/>
    </row>
    <row r="147" spans="1:24" ht="12.95" customHeight="1" thickBot="1">
      <c r="A147" s="885"/>
      <c r="B147" s="11" t="s">
        <v>34</v>
      </c>
      <c r="C147" s="12"/>
      <c r="D147" s="927" t="s">
        <v>78</v>
      </c>
      <c r="E147" s="928"/>
      <c r="F147" s="928"/>
      <c r="G147" s="929"/>
      <c r="H147" s="927" t="s">
        <v>77</v>
      </c>
      <c r="I147" s="928"/>
      <c r="J147" s="928"/>
      <c r="K147" s="929"/>
      <c r="L147" s="927" t="s">
        <v>81</v>
      </c>
      <c r="M147" s="928"/>
      <c r="N147" s="928"/>
      <c r="O147" s="929"/>
      <c r="P147" s="927" t="s">
        <v>254</v>
      </c>
      <c r="Q147" s="928"/>
      <c r="R147" s="928"/>
      <c r="S147" s="929"/>
      <c r="T147" s="927" t="s">
        <v>76</v>
      </c>
      <c r="U147" s="928"/>
      <c r="V147" s="928"/>
      <c r="W147" s="929"/>
      <c r="X147" s="880"/>
    </row>
    <row r="148" spans="1:24" ht="13.5" thickBot="1">
      <c r="A148" s="885"/>
      <c r="B148" s="868" t="s">
        <v>68</v>
      </c>
      <c r="C148" s="23" t="s">
        <v>2</v>
      </c>
      <c r="D148" s="942">
        <v>1</v>
      </c>
      <c r="E148" s="943"/>
      <c r="F148" s="943"/>
      <c r="G148" s="944"/>
      <c r="H148" s="942">
        <v>1</v>
      </c>
      <c r="I148" s="943"/>
      <c r="J148" s="943"/>
      <c r="K148" s="944"/>
      <c r="L148" s="942">
        <v>2</v>
      </c>
      <c r="M148" s="943"/>
      <c r="N148" s="943"/>
      <c r="O148" s="944"/>
      <c r="P148" s="942">
        <v>2.5</v>
      </c>
      <c r="Q148" s="943"/>
      <c r="R148" s="943"/>
      <c r="S148" s="944"/>
      <c r="T148" s="942">
        <v>2.8</v>
      </c>
      <c r="U148" s="943"/>
      <c r="V148" s="943"/>
      <c r="W148" s="944"/>
      <c r="X148" s="880"/>
    </row>
    <row r="149" spans="1:24" ht="13.5" thickBot="1">
      <c r="A149" s="885"/>
      <c r="B149" s="885"/>
      <c r="C149" s="9" t="s">
        <v>3</v>
      </c>
      <c r="D149" s="957"/>
      <c r="E149" s="958"/>
      <c r="F149" s="958"/>
      <c r="G149" s="959"/>
      <c r="H149" s="963">
        <v>1</v>
      </c>
      <c r="I149" s="964"/>
      <c r="J149" s="964"/>
      <c r="K149" s="965"/>
      <c r="L149" s="963">
        <v>2.2999999999999998</v>
      </c>
      <c r="M149" s="964"/>
      <c r="N149" s="964"/>
      <c r="O149" s="965"/>
      <c r="P149" s="963">
        <v>2.6</v>
      </c>
      <c r="Q149" s="964"/>
      <c r="R149" s="964"/>
      <c r="S149" s="965"/>
      <c r="T149" s="963">
        <v>0</v>
      </c>
      <c r="U149" s="964"/>
      <c r="V149" s="964"/>
      <c r="W149" s="965"/>
      <c r="X149" s="880"/>
    </row>
    <row r="150" spans="1:24" ht="12.95" customHeight="1" thickBot="1">
      <c r="A150" s="885"/>
      <c r="B150" s="885"/>
      <c r="C150" s="1258" t="s">
        <v>170</v>
      </c>
      <c r="D150" s="927" t="s">
        <v>4</v>
      </c>
      <c r="E150" s="928"/>
      <c r="F150" s="928"/>
      <c r="G150" s="928"/>
      <c r="H150" s="928"/>
      <c r="I150" s="928"/>
      <c r="J150" s="928"/>
      <c r="K150" s="928"/>
      <c r="L150" s="928"/>
      <c r="M150" s="928"/>
      <c r="N150" s="928"/>
      <c r="O150" s="928"/>
      <c r="P150" s="928"/>
      <c r="Q150" s="928"/>
      <c r="R150" s="928"/>
      <c r="S150" s="928"/>
      <c r="T150" s="928"/>
      <c r="U150" s="928"/>
      <c r="V150" s="928"/>
      <c r="W150" s="929"/>
      <c r="X150" s="880"/>
    </row>
    <row r="151" spans="1:24" ht="12.95" customHeight="1" thickBot="1">
      <c r="A151" s="885"/>
      <c r="B151" s="869"/>
      <c r="C151" s="1259"/>
      <c r="D151" s="930" t="s">
        <v>123</v>
      </c>
      <c r="E151" s="931"/>
      <c r="F151" s="931"/>
      <c r="G151" s="931"/>
      <c r="H151" s="931"/>
      <c r="I151" s="931"/>
      <c r="J151" s="931"/>
      <c r="K151" s="931"/>
      <c r="L151" s="931"/>
      <c r="M151" s="931"/>
      <c r="N151" s="931"/>
      <c r="O151" s="931"/>
      <c r="P151" s="931"/>
      <c r="Q151" s="931"/>
      <c r="R151" s="931"/>
      <c r="S151" s="931"/>
      <c r="T151" s="931"/>
      <c r="U151" s="931"/>
      <c r="V151" s="931"/>
      <c r="W151" s="932"/>
      <c r="X151" s="880"/>
    </row>
    <row r="152" spans="1:24" ht="12.95" customHeight="1" thickBot="1">
      <c r="A152" s="885"/>
      <c r="B152" s="11" t="s">
        <v>41</v>
      </c>
      <c r="C152" s="12"/>
      <c r="D152" s="927" t="s">
        <v>78</v>
      </c>
      <c r="E152" s="928"/>
      <c r="F152" s="928"/>
      <c r="G152" s="929"/>
      <c r="H152" s="927" t="s">
        <v>77</v>
      </c>
      <c r="I152" s="928"/>
      <c r="J152" s="928"/>
      <c r="K152" s="929"/>
      <c r="L152" s="927" t="s">
        <v>81</v>
      </c>
      <c r="M152" s="928"/>
      <c r="N152" s="928"/>
      <c r="O152" s="929"/>
      <c r="P152" s="927" t="s">
        <v>254</v>
      </c>
      <c r="Q152" s="928"/>
      <c r="R152" s="928"/>
      <c r="S152" s="929"/>
      <c r="T152" s="927" t="s">
        <v>76</v>
      </c>
      <c r="U152" s="928"/>
      <c r="V152" s="928"/>
      <c r="W152" s="929"/>
      <c r="X152" s="880"/>
    </row>
    <row r="153" spans="1:24" ht="13.5" thickBot="1">
      <c r="A153" s="885"/>
      <c r="B153" s="868" t="s">
        <v>69</v>
      </c>
      <c r="C153" s="23" t="s">
        <v>2</v>
      </c>
      <c r="D153" s="942">
        <v>1</v>
      </c>
      <c r="E153" s="943"/>
      <c r="F153" s="943"/>
      <c r="G153" s="944"/>
      <c r="H153" s="942">
        <v>1</v>
      </c>
      <c r="I153" s="943"/>
      <c r="J153" s="943"/>
      <c r="K153" s="944"/>
      <c r="L153" s="942">
        <v>2</v>
      </c>
      <c r="M153" s="943"/>
      <c r="N153" s="943"/>
      <c r="O153" s="944"/>
      <c r="P153" s="942">
        <v>2.2999999999999998</v>
      </c>
      <c r="Q153" s="943"/>
      <c r="R153" s="943"/>
      <c r="S153" s="944"/>
      <c r="T153" s="1188">
        <v>3</v>
      </c>
      <c r="U153" s="1189"/>
      <c r="V153" s="1189"/>
      <c r="W153" s="1190"/>
      <c r="X153" s="880"/>
    </row>
    <row r="154" spans="1:24" ht="13.5" thickBot="1">
      <c r="A154" s="885"/>
      <c r="B154" s="885"/>
      <c r="C154" s="9" t="s">
        <v>3</v>
      </c>
      <c r="D154" s="957"/>
      <c r="E154" s="958"/>
      <c r="F154" s="958"/>
      <c r="G154" s="959"/>
      <c r="H154" s="963">
        <v>1</v>
      </c>
      <c r="I154" s="964"/>
      <c r="J154" s="964"/>
      <c r="K154" s="965"/>
      <c r="L154" s="963">
        <v>2</v>
      </c>
      <c r="M154" s="964"/>
      <c r="N154" s="964"/>
      <c r="O154" s="965"/>
      <c r="P154" s="963">
        <v>3.1</v>
      </c>
      <c r="Q154" s="964"/>
      <c r="R154" s="964"/>
      <c r="S154" s="965"/>
      <c r="T154" s="963">
        <v>0</v>
      </c>
      <c r="U154" s="964"/>
      <c r="V154" s="964"/>
      <c r="W154" s="965"/>
      <c r="X154" s="880"/>
    </row>
    <row r="155" spans="1:24" ht="12.95" customHeight="1" thickBot="1">
      <c r="A155" s="885"/>
      <c r="B155" s="885"/>
      <c r="C155" s="1258" t="s">
        <v>170</v>
      </c>
      <c r="D155" s="927" t="s">
        <v>4</v>
      </c>
      <c r="E155" s="928"/>
      <c r="F155" s="928"/>
      <c r="G155" s="928"/>
      <c r="H155" s="928"/>
      <c r="I155" s="928"/>
      <c r="J155" s="928"/>
      <c r="K155" s="928"/>
      <c r="L155" s="928"/>
      <c r="M155" s="928"/>
      <c r="N155" s="928"/>
      <c r="O155" s="928"/>
      <c r="P155" s="928"/>
      <c r="Q155" s="928"/>
      <c r="R155" s="928"/>
      <c r="S155" s="928"/>
      <c r="T155" s="928"/>
      <c r="U155" s="928"/>
      <c r="V155" s="928"/>
      <c r="W155" s="929"/>
      <c r="X155" s="880"/>
    </row>
    <row r="156" spans="1:24" ht="12.95" customHeight="1" thickBot="1">
      <c r="A156" s="885"/>
      <c r="B156" s="869"/>
      <c r="C156" s="1259"/>
      <c r="D156" s="930" t="s">
        <v>123</v>
      </c>
      <c r="E156" s="931"/>
      <c r="F156" s="931"/>
      <c r="G156" s="931"/>
      <c r="H156" s="931"/>
      <c r="I156" s="931"/>
      <c r="J156" s="931"/>
      <c r="K156" s="931"/>
      <c r="L156" s="931"/>
      <c r="M156" s="931"/>
      <c r="N156" s="931"/>
      <c r="O156" s="931"/>
      <c r="P156" s="931"/>
      <c r="Q156" s="931"/>
      <c r="R156" s="931"/>
      <c r="S156" s="931"/>
      <c r="T156" s="931"/>
      <c r="U156" s="931"/>
      <c r="V156" s="931"/>
      <c r="W156" s="932"/>
      <c r="X156" s="880"/>
    </row>
    <row r="157" spans="1:24" ht="12.95" customHeight="1" thickBot="1">
      <c r="A157" s="885"/>
      <c r="B157" s="11" t="s">
        <v>42</v>
      </c>
      <c r="C157" s="28"/>
      <c r="D157" s="927" t="s">
        <v>78</v>
      </c>
      <c r="E157" s="928"/>
      <c r="F157" s="928"/>
      <c r="G157" s="929"/>
      <c r="H157" s="927" t="s">
        <v>77</v>
      </c>
      <c r="I157" s="928"/>
      <c r="J157" s="928"/>
      <c r="K157" s="929"/>
      <c r="L157" s="927" t="s">
        <v>81</v>
      </c>
      <c r="M157" s="928"/>
      <c r="N157" s="928"/>
      <c r="O157" s="929"/>
      <c r="P157" s="927" t="s">
        <v>254</v>
      </c>
      <c r="Q157" s="928"/>
      <c r="R157" s="928"/>
      <c r="S157" s="929"/>
      <c r="T157" s="927" t="s">
        <v>76</v>
      </c>
      <c r="U157" s="928"/>
      <c r="V157" s="928"/>
      <c r="W157" s="929"/>
      <c r="X157" s="880"/>
    </row>
    <row r="158" spans="1:24" ht="18.95" customHeight="1" thickBot="1">
      <c r="A158" s="885"/>
      <c r="B158" s="868" t="s">
        <v>180</v>
      </c>
      <c r="C158" s="26"/>
      <c r="D158" s="955" t="s">
        <v>99</v>
      </c>
      <c r="E158" s="956"/>
      <c r="F158" s="955" t="s">
        <v>100</v>
      </c>
      <c r="G158" s="956"/>
      <c r="H158" s="955" t="s">
        <v>99</v>
      </c>
      <c r="I158" s="956"/>
      <c r="J158" s="955" t="s">
        <v>100</v>
      </c>
      <c r="K158" s="956"/>
      <c r="L158" s="955" t="s">
        <v>99</v>
      </c>
      <c r="M158" s="956"/>
      <c r="N158" s="955" t="s">
        <v>100</v>
      </c>
      <c r="O158" s="956"/>
      <c r="P158" s="955" t="s">
        <v>99</v>
      </c>
      <c r="Q158" s="956"/>
      <c r="R158" s="955" t="s">
        <v>100</v>
      </c>
      <c r="S158" s="956"/>
      <c r="T158" s="955" t="s">
        <v>99</v>
      </c>
      <c r="U158" s="956"/>
      <c r="V158" s="955" t="s">
        <v>100</v>
      </c>
      <c r="W158" s="956"/>
      <c r="X158" s="880"/>
    </row>
    <row r="159" spans="1:24" ht="13.5" thickBot="1">
      <c r="A159" s="885"/>
      <c r="B159" s="885"/>
      <c r="C159" s="26" t="s">
        <v>2</v>
      </c>
      <c r="D159" s="951">
        <v>0</v>
      </c>
      <c r="E159" s="952"/>
      <c r="F159" s="951">
        <v>0</v>
      </c>
      <c r="G159" s="952"/>
      <c r="H159" s="951">
        <v>4</v>
      </c>
      <c r="I159" s="952"/>
      <c r="J159" s="951">
        <v>1</v>
      </c>
      <c r="K159" s="952"/>
      <c r="L159" s="951">
        <v>5</v>
      </c>
      <c r="M159" s="952"/>
      <c r="N159" s="951">
        <v>1</v>
      </c>
      <c r="O159" s="952"/>
      <c r="P159" s="951">
        <v>8</v>
      </c>
      <c r="Q159" s="952"/>
      <c r="R159" s="951">
        <v>3</v>
      </c>
      <c r="S159" s="952"/>
      <c r="T159" s="951">
        <v>10</v>
      </c>
      <c r="U159" s="952"/>
      <c r="V159" s="951">
        <v>4</v>
      </c>
      <c r="W159" s="952"/>
      <c r="X159" s="880"/>
    </row>
    <row r="160" spans="1:24" ht="12.95" customHeight="1" thickBot="1">
      <c r="A160" s="869"/>
      <c r="B160" s="885"/>
      <c r="C160" s="9" t="s">
        <v>3</v>
      </c>
      <c r="D160" s="933" t="s">
        <v>171</v>
      </c>
      <c r="E160" s="934"/>
      <c r="F160" s="934"/>
      <c r="G160" s="935"/>
      <c r="H160" s="936" t="s">
        <v>249</v>
      </c>
      <c r="I160" s="937"/>
      <c r="J160" s="937"/>
      <c r="K160" s="938"/>
      <c r="L160" s="939">
        <v>6</v>
      </c>
      <c r="M160" s="953"/>
      <c r="N160" s="939">
        <v>2</v>
      </c>
      <c r="O160" s="953"/>
      <c r="P160" s="939">
        <v>4</v>
      </c>
      <c r="Q160" s="953"/>
      <c r="R160" s="939">
        <v>2</v>
      </c>
      <c r="S160" s="953"/>
      <c r="T160" s="939">
        <v>0</v>
      </c>
      <c r="U160" s="953"/>
      <c r="V160" s="939">
        <v>0</v>
      </c>
      <c r="W160" s="953"/>
      <c r="X160" s="881"/>
    </row>
    <row r="161" spans="1:24" ht="12.95" customHeight="1" thickBot="1">
      <c r="A161" s="96" t="s">
        <v>13</v>
      </c>
      <c r="B161" s="885" t="s">
        <v>178</v>
      </c>
      <c r="C161" s="1258" t="s">
        <v>170</v>
      </c>
      <c r="D161" s="927" t="s">
        <v>4</v>
      </c>
      <c r="E161" s="928"/>
      <c r="F161" s="928"/>
      <c r="G161" s="928"/>
      <c r="H161" s="928"/>
      <c r="I161" s="928"/>
      <c r="J161" s="928"/>
      <c r="K161" s="928"/>
      <c r="L161" s="928"/>
      <c r="M161" s="928"/>
      <c r="N161" s="928"/>
      <c r="O161" s="928"/>
      <c r="P161" s="928"/>
      <c r="Q161" s="928"/>
      <c r="R161" s="928"/>
      <c r="S161" s="928"/>
      <c r="T161" s="928"/>
      <c r="U161" s="928"/>
      <c r="V161" s="928"/>
      <c r="W161" s="929"/>
      <c r="X161" s="24" t="s">
        <v>14</v>
      </c>
    </row>
    <row r="162" spans="1:24" ht="12.95" customHeight="1" thickBot="1">
      <c r="A162" s="25" t="s">
        <v>74</v>
      </c>
      <c r="B162" s="869"/>
      <c r="C162" s="1259"/>
      <c r="D162" s="930" t="s">
        <v>124</v>
      </c>
      <c r="E162" s="931"/>
      <c r="F162" s="931"/>
      <c r="G162" s="931"/>
      <c r="H162" s="931"/>
      <c r="I162" s="931"/>
      <c r="J162" s="931"/>
      <c r="K162" s="931"/>
      <c r="L162" s="931"/>
      <c r="M162" s="931"/>
      <c r="N162" s="931"/>
      <c r="O162" s="931"/>
      <c r="P162" s="931"/>
      <c r="Q162" s="931"/>
      <c r="R162" s="931"/>
      <c r="S162" s="931"/>
      <c r="T162" s="931"/>
      <c r="U162" s="931"/>
      <c r="V162" s="931"/>
      <c r="W162" s="932"/>
      <c r="X162" s="18" t="s">
        <v>93</v>
      </c>
    </row>
    <row r="163" spans="1:24" ht="12.95" customHeight="1" thickBot="1">
      <c r="A163" s="906" t="s">
        <v>7</v>
      </c>
      <c r="B163" s="908" t="s">
        <v>173</v>
      </c>
      <c r="C163" s="909"/>
      <c r="D163" s="908" t="s">
        <v>8</v>
      </c>
      <c r="E163" s="918"/>
      <c r="F163" s="918"/>
      <c r="G163" s="909"/>
      <c r="H163" s="908" t="s">
        <v>88</v>
      </c>
      <c r="I163" s="918"/>
      <c r="J163" s="918"/>
      <c r="K163" s="909"/>
      <c r="L163" s="908" t="s">
        <v>89</v>
      </c>
      <c r="M163" s="918"/>
      <c r="N163" s="918"/>
      <c r="O163" s="909"/>
      <c r="P163" s="908" t="s">
        <v>9</v>
      </c>
      <c r="Q163" s="918"/>
      <c r="R163" s="918"/>
      <c r="S163" s="909"/>
      <c r="T163" s="908" t="s">
        <v>174</v>
      </c>
      <c r="U163" s="918"/>
      <c r="V163" s="918"/>
      <c r="W163" s="918"/>
      <c r="X163" s="909"/>
    </row>
    <row r="164" spans="1:24" ht="13.5" thickBot="1">
      <c r="A164" s="907"/>
      <c r="B164" s="1256"/>
      <c r="C164" s="1257"/>
      <c r="D164" s="916"/>
      <c r="E164" s="994"/>
      <c r="F164" s="994"/>
      <c r="G164" s="917"/>
      <c r="H164" s="916"/>
      <c r="I164" s="994"/>
      <c r="J164" s="994"/>
      <c r="K164" s="917"/>
      <c r="L164" s="916"/>
      <c r="M164" s="994"/>
      <c r="N164" s="994"/>
      <c r="O164" s="917"/>
      <c r="P164" s="916">
        <f>SUM(B164:O164)</f>
        <v>0</v>
      </c>
      <c r="Q164" s="994"/>
      <c r="R164" s="994"/>
      <c r="S164" s="917"/>
      <c r="T164" s="916" t="e">
        <f>B164/P164%</f>
        <v>#DIV/0!</v>
      </c>
      <c r="U164" s="994"/>
      <c r="V164" s="994"/>
      <c r="W164" s="994"/>
      <c r="X164" s="917"/>
    </row>
    <row r="165" spans="1:24" ht="13.5" thickBot="1">
      <c r="A165" s="906" t="s">
        <v>10</v>
      </c>
      <c r="B165" s="908" t="s">
        <v>175</v>
      </c>
      <c r="C165" s="909"/>
      <c r="D165" s="910"/>
      <c r="E165" s="911"/>
      <c r="F165" s="911"/>
      <c r="G165" s="911"/>
      <c r="H165" s="911"/>
      <c r="I165" s="911"/>
      <c r="J165" s="911"/>
      <c r="K165" s="911"/>
      <c r="L165" s="911"/>
      <c r="M165" s="911"/>
      <c r="N165" s="911"/>
      <c r="O165" s="911"/>
      <c r="P165" s="911"/>
      <c r="Q165" s="911"/>
      <c r="R165" s="911"/>
      <c r="S165" s="911"/>
      <c r="T165" s="911"/>
      <c r="U165" s="911"/>
      <c r="V165" s="911"/>
      <c r="W165" s="911"/>
      <c r="X165" s="912"/>
    </row>
    <row r="166" spans="1:24" ht="13.5" thickBot="1">
      <c r="A166" s="907"/>
      <c r="B166" s="1256"/>
      <c r="C166" s="1257"/>
      <c r="D166" s="913"/>
      <c r="E166" s="914"/>
      <c r="F166" s="914"/>
      <c r="G166" s="914"/>
      <c r="H166" s="914"/>
      <c r="I166" s="914"/>
      <c r="J166" s="914"/>
      <c r="K166" s="914"/>
      <c r="L166" s="914"/>
      <c r="M166" s="914"/>
      <c r="N166" s="914"/>
      <c r="O166" s="914"/>
      <c r="P166" s="914"/>
      <c r="Q166" s="914"/>
      <c r="R166" s="914"/>
      <c r="S166" s="914"/>
      <c r="T166" s="914"/>
      <c r="U166" s="914"/>
      <c r="V166" s="914"/>
      <c r="W166" s="914"/>
      <c r="X166" s="915"/>
    </row>
    <row r="168" spans="1:24" ht="13.5" thickBot="1"/>
    <row r="169" spans="1:24" ht="12.95" customHeight="1" thickBot="1">
      <c r="A169" s="472" t="s">
        <v>27</v>
      </c>
      <c r="B169" s="473" t="s">
        <v>35</v>
      </c>
      <c r="C169" s="474"/>
      <c r="D169" s="1230" t="s">
        <v>78</v>
      </c>
      <c r="E169" s="1231"/>
      <c r="F169" s="1231"/>
      <c r="G169" s="1232"/>
      <c r="H169" s="1240" t="s">
        <v>77</v>
      </c>
      <c r="I169" s="1231"/>
      <c r="J169" s="1231"/>
      <c r="K169" s="1232"/>
      <c r="L169" s="1240" t="s">
        <v>81</v>
      </c>
      <c r="M169" s="1231"/>
      <c r="N169" s="1231"/>
      <c r="O169" s="1232"/>
      <c r="P169" s="1240" t="s">
        <v>254</v>
      </c>
      <c r="Q169" s="1231"/>
      <c r="R169" s="1231"/>
      <c r="S169" s="1232"/>
      <c r="T169" s="1240" t="s">
        <v>76</v>
      </c>
      <c r="U169" s="1231"/>
      <c r="V169" s="1231"/>
      <c r="W169" s="1232"/>
      <c r="X169" s="475" t="s">
        <v>12</v>
      </c>
    </row>
    <row r="170" spans="1:24" ht="12.95" customHeight="1" thickBot="1">
      <c r="A170" s="1253" t="s">
        <v>70</v>
      </c>
      <c r="B170" s="873" t="s">
        <v>609</v>
      </c>
      <c r="C170" s="90"/>
      <c r="D170" s="1215" t="s">
        <v>636</v>
      </c>
      <c r="E170" s="1216"/>
      <c r="F170" s="1216"/>
      <c r="G170" s="1217"/>
      <c r="H170" s="1215" t="s">
        <v>636</v>
      </c>
      <c r="I170" s="1216"/>
      <c r="J170" s="1216"/>
      <c r="K170" s="1217"/>
      <c r="L170" s="1215" t="s">
        <v>636</v>
      </c>
      <c r="M170" s="1216"/>
      <c r="N170" s="1216"/>
      <c r="O170" s="1217"/>
      <c r="P170" s="476" t="s">
        <v>602</v>
      </c>
      <c r="Q170" s="476" t="s">
        <v>603</v>
      </c>
      <c r="R170" s="476" t="s">
        <v>608</v>
      </c>
      <c r="S170" s="476" t="s">
        <v>604</v>
      </c>
      <c r="T170" s="476" t="s">
        <v>602</v>
      </c>
      <c r="U170" s="476" t="s">
        <v>603</v>
      </c>
      <c r="V170" s="476" t="s">
        <v>608</v>
      </c>
      <c r="W170" s="476" t="s">
        <v>604</v>
      </c>
      <c r="X170" s="879" t="s">
        <v>90</v>
      </c>
    </row>
    <row r="171" spans="1:24" ht="12.95" customHeight="1" thickBot="1">
      <c r="A171" s="1254"/>
      <c r="B171" s="874"/>
      <c r="C171" s="26" t="s">
        <v>2</v>
      </c>
      <c r="D171" s="924">
        <v>3</v>
      </c>
      <c r="E171" s="925"/>
      <c r="F171" s="925"/>
      <c r="G171" s="926"/>
      <c r="H171" s="924">
        <v>5</v>
      </c>
      <c r="I171" s="925"/>
      <c r="J171" s="925"/>
      <c r="K171" s="926"/>
      <c r="L171" s="924">
        <v>10</v>
      </c>
      <c r="M171" s="925"/>
      <c r="N171" s="925"/>
      <c r="O171" s="926"/>
      <c r="P171" s="939">
        <v>10</v>
      </c>
      <c r="Q171" s="940"/>
      <c r="R171" s="940"/>
      <c r="S171" s="941"/>
      <c r="T171" s="150">
        <v>14</v>
      </c>
      <c r="U171" s="150">
        <v>7</v>
      </c>
      <c r="V171" s="150">
        <v>4</v>
      </c>
      <c r="W171" s="150">
        <v>3</v>
      </c>
      <c r="X171" s="880"/>
    </row>
    <row r="172" spans="1:24" ht="12.95" customHeight="1" thickBot="1">
      <c r="A172" s="1254"/>
      <c r="B172" s="874"/>
      <c r="C172" s="9" t="s">
        <v>3</v>
      </c>
      <c r="D172" s="1241" t="s">
        <v>837</v>
      </c>
      <c r="E172" s="1242"/>
      <c r="F172" s="1242"/>
      <c r="G172" s="1243"/>
      <c r="H172" s="1247">
        <v>7</v>
      </c>
      <c r="I172" s="940"/>
      <c r="J172" s="940"/>
      <c r="K172" s="1248"/>
      <c r="L172" s="1247">
        <v>8</v>
      </c>
      <c r="M172" s="940"/>
      <c r="N172" s="940"/>
      <c r="O172" s="1248"/>
      <c r="P172" s="150">
        <v>12</v>
      </c>
      <c r="Q172" s="777">
        <v>4</v>
      </c>
      <c r="R172" s="777">
        <v>4</v>
      </c>
      <c r="S172" s="777">
        <v>2</v>
      </c>
      <c r="T172" s="150">
        <v>0</v>
      </c>
      <c r="U172" s="150">
        <v>0</v>
      </c>
      <c r="V172" s="150">
        <v>0</v>
      </c>
      <c r="W172" s="150">
        <v>0</v>
      </c>
      <c r="X172" s="880"/>
    </row>
    <row r="173" spans="1:24" ht="12.95" customHeight="1" thickBot="1">
      <c r="A173" s="1254"/>
      <c r="B173" s="874"/>
      <c r="C173" s="1244" t="s">
        <v>838</v>
      </c>
      <c r="D173" s="1230" t="s">
        <v>839</v>
      </c>
      <c r="E173" s="1231"/>
      <c r="F173" s="1231"/>
      <c r="G173" s="1231"/>
      <c r="H173" s="1231"/>
      <c r="I173" s="1231"/>
      <c r="J173" s="1231"/>
      <c r="K173" s="1231"/>
      <c r="L173" s="1231"/>
      <c r="M173" s="1231"/>
      <c r="N173" s="1231"/>
      <c r="O173" s="1231"/>
      <c r="P173" s="1231"/>
      <c r="Q173" s="1231"/>
      <c r="R173" s="1231"/>
      <c r="S173" s="1231"/>
      <c r="T173" s="1231"/>
      <c r="U173" s="1231"/>
      <c r="V173" s="1231"/>
      <c r="W173" s="1232"/>
      <c r="X173" s="880"/>
    </row>
    <row r="174" spans="1:24" ht="12.95" customHeight="1" thickBot="1">
      <c r="A174" s="1254"/>
      <c r="B174" s="1249"/>
      <c r="C174" s="1245"/>
      <c r="D174" s="930" t="s">
        <v>125</v>
      </c>
      <c r="E174" s="931"/>
      <c r="F174" s="931"/>
      <c r="G174" s="931"/>
      <c r="H174" s="931"/>
      <c r="I174" s="931"/>
      <c r="J174" s="931"/>
      <c r="K174" s="931"/>
      <c r="L174" s="931"/>
      <c r="M174" s="931"/>
      <c r="N174" s="931"/>
      <c r="O174" s="931"/>
      <c r="P174" s="931"/>
      <c r="Q174" s="931"/>
      <c r="R174" s="931"/>
      <c r="S174" s="931"/>
      <c r="T174" s="931"/>
      <c r="U174" s="931"/>
      <c r="V174" s="931"/>
      <c r="W174" s="932"/>
      <c r="X174" s="880"/>
    </row>
    <row r="175" spans="1:24" ht="12.95" customHeight="1" thickBot="1">
      <c r="A175" s="1254"/>
      <c r="B175" s="477" t="s">
        <v>36</v>
      </c>
      <c r="C175" s="478"/>
      <c r="D175" s="1230" t="s">
        <v>78</v>
      </c>
      <c r="E175" s="1231"/>
      <c r="F175" s="1231"/>
      <c r="G175" s="1232"/>
      <c r="H175" s="1240" t="s">
        <v>77</v>
      </c>
      <c r="I175" s="1231"/>
      <c r="J175" s="1231"/>
      <c r="K175" s="1232"/>
      <c r="L175" s="1240" t="s">
        <v>81</v>
      </c>
      <c r="M175" s="1231"/>
      <c r="N175" s="1231"/>
      <c r="O175" s="1232"/>
      <c r="P175" s="1240" t="s">
        <v>254</v>
      </c>
      <c r="Q175" s="1231"/>
      <c r="R175" s="1231"/>
      <c r="S175" s="1232"/>
      <c r="T175" s="1240" t="s">
        <v>76</v>
      </c>
      <c r="U175" s="1231"/>
      <c r="V175" s="1231"/>
      <c r="W175" s="1246"/>
      <c r="X175" s="880"/>
    </row>
    <row r="176" spans="1:24" ht="12.95" customHeight="1" thickBot="1">
      <c r="A176" s="1254"/>
      <c r="B176" s="873" t="s">
        <v>601</v>
      </c>
      <c r="C176" s="90"/>
      <c r="D176" s="1215" t="s">
        <v>636</v>
      </c>
      <c r="E176" s="1216"/>
      <c r="F176" s="1216"/>
      <c r="G176" s="1217"/>
      <c r="H176" s="1215" t="s">
        <v>636</v>
      </c>
      <c r="I176" s="1216"/>
      <c r="J176" s="1216"/>
      <c r="K176" s="1217"/>
      <c r="L176" s="1215" t="s">
        <v>636</v>
      </c>
      <c r="M176" s="1216"/>
      <c r="N176" s="1216"/>
      <c r="O176" s="1217"/>
      <c r="P176" s="479" t="s">
        <v>101</v>
      </c>
      <c r="Q176" s="479" t="s">
        <v>104</v>
      </c>
      <c r="R176" s="479" t="s">
        <v>102</v>
      </c>
      <c r="S176" s="479" t="s">
        <v>103</v>
      </c>
      <c r="T176" s="479" t="s">
        <v>101</v>
      </c>
      <c r="U176" s="479" t="s">
        <v>104</v>
      </c>
      <c r="V176" s="479" t="s">
        <v>102</v>
      </c>
      <c r="W176" s="479" t="s">
        <v>103</v>
      </c>
      <c r="X176" s="880"/>
    </row>
    <row r="177" spans="1:24" ht="13.5" thickBot="1">
      <c r="A177" s="1254"/>
      <c r="B177" s="874"/>
      <c r="C177" s="26" t="s">
        <v>2</v>
      </c>
      <c r="D177" s="924">
        <v>0</v>
      </c>
      <c r="E177" s="925"/>
      <c r="F177" s="925"/>
      <c r="G177" s="926"/>
      <c r="H177" s="924">
        <v>2</v>
      </c>
      <c r="I177" s="925"/>
      <c r="J177" s="925"/>
      <c r="K177" s="926"/>
      <c r="L177" s="924">
        <v>5</v>
      </c>
      <c r="M177" s="925"/>
      <c r="N177" s="925"/>
      <c r="O177" s="926"/>
      <c r="P177" s="939">
        <v>5</v>
      </c>
      <c r="Q177" s="940"/>
      <c r="R177" s="940"/>
      <c r="S177" s="941"/>
      <c r="T177" s="150">
        <v>8</v>
      </c>
      <c r="U177" s="150">
        <v>4</v>
      </c>
      <c r="V177" s="150">
        <v>2</v>
      </c>
      <c r="W177" s="150">
        <v>1</v>
      </c>
      <c r="X177" s="880"/>
    </row>
    <row r="178" spans="1:24" ht="12.95" customHeight="1" thickBot="1">
      <c r="A178" s="1254"/>
      <c r="B178" s="874"/>
      <c r="C178" s="9" t="s">
        <v>3</v>
      </c>
      <c r="D178" s="1241" t="s">
        <v>837</v>
      </c>
      <c r="E178" s="1242"/>
      <c r="F178" s="1242"/>
      <c r="G178" s="1243"/>
      <c r="H178" s="1250" t="s">
        <v>637</v>
      </c>
      <c r="I178" s="1242"/>
      <c r="J178" s="1242"/>
      <c r="K178" s="1243"/>
      <c r="L178" s="1251">
        <v>4</v>
      </c>
      <c r="M178" s="925"/>
      <c r="N178" s="925"/>
      <c r="O178" s="926"/>
      <c r="P178" s="150">
        <v>6</v>
      </c>
      <c r="Q178" s="777">
        <v>2</v>
      </c>
      <c r="R178" s="777">
        <v>2</v>
      </c>
      <c r="S178" s="777">
        <v>1</v>
      </c>
      <c r="T178" s="150">
        <v>0</v>
      </c>
      <c r="U178" s="150">
        <v>0</v>
      </c>
      <c r="V178" s="150">
        <v>0</v>
      </c>
      <c r="W178" s="150">
        <v>0</v>
      </c>
      <c r="X178" s="880"/>
    </row>
    <row r="179" spans="1:24" ht="12.95" customHeight="1" thickBot="1">
      <c r="A179" s="1254"/>
      <c r="B179" s="874"/>
      <c r="C179" s="1252" t="s">
        <v>838</v>
      </c>
      <c r="D179" s="1230" t="s">
        <v>839</v>
      </c>
      <c r="E179" s="1231"/>
      <c r="F179" s="1231"/>
      <c r="G179" s="1231"/>
      <c r="H179" s="1231"/>
      <c r="I179" s="1231"/>
      <c r="J179" s="1231"/>
      <c r="K179" s="1231"/>
      <c r="L179" s="1231"/>
      <c r="M179" s="1231"/>
      <c r="N179" s="1231"/>
      <c r="O179" s="1231"/>
      <c r="P179" s="1231"/>
      <c r="Q179" s="1231"/>
      <c r="R179" s="1231"/>
      <c r="S179" s="1231"/>
      <c r="T179" s="1231"/>
      <c r="U179" s="1231"/>
      <c r="V179" s="1231"/>
      <c r="W179" s="1232"/>
      <c r="X179" s="880"/>
    </row>
    <row r="180" spans="1:24" ht="12.95" customHeight="1" thickBot="1">
      <c r="A180" s="1254"/>
      <c r="B180" s="1249"/>
      <c r="C180" s="1229"/>
      <c r="D180" s="930" t="s">
        <v>125</v>
      </c>
      <c r="E180" s="931"/>
      <c r="F180" s="931"/>
      <c r="G180" s="931"/>
      <c r="H180" s="931"/>
      <c r="I180" s="931"/>
      <c r="J180" s="931"/>
      <c r="K180" s="931"/>
      <c r="L180" s="931"/>
      <c r="M180" s="931"/>
      <c r="N180" s="931"/>
      <c r="O180" s="931"/>
      <c r="P180" s="931"/>
      <c r="Q180" s="931"/>
      <c r="R180" s="931"/>
      <c r="S180" s="931"/>
      <c r="T180" s="931"/>
      <c r="U180" s="931"/>
      <c r="V180" s="931"/>
      <c r="W180" s="1233"/>
      <c r="X180" s="880"/>
    </row>
    <row r="181" spans="1:24" ht="12.95" customHeight="1" thickBot="1">
      <c r="A181" s="1254"/>
      <c r="B181" s="477" t="s">
        <v>600</v>
      </c>
      <c r="C181" s="478"/>
      <c r="D181" s="1230" t="s">
        <v>78</v>
      </c>
      <c r="E181" s="1231"/>
      <c r="F181" s="1231"/>
      <c r="G181" s="1232"/>
      <c r="H181" s="1240" t="s">
        <v>77</v>
      </c>
      <c r="I181" s="1231"/>
      <c r="J181" s="1231"/>
      <c r="K181" s="1232"/>
      <c r="L181" s="1240" t="s">
        <v>81</v>
      </c>
      <c r="M181" s="1231"/>
      <c r="N181" s="1231"/>
      <c r="O181" s="1232"/>
      <c r="P181" s="1240" t="s">
        <v>254</v>
      </c>
      <c r="Q181" s="1231"/>
      <c r="R181" s="1231"/>
      <c r="S181" s="1232"/>
      <c r="T181" s="1240" t="s">
        <v>76</v>
      </c>
      <c r="U181" s="1231"/>
      <c r="V181" s="1231"/>
      <c r="W181" s="1232"/>
      <c r="X181" s="880"/>
    </row>
    <row r="182" spans="1:24" ht="14.25" thickBot="1">
      <c r="A182" s="1254"/>
      <c r="B182" s="1132" t="s">
        <v>648</v>
      </c>
      <c r="C182" s="90"/>
      <c r="D182" s="1215"/>
      <c r="E182" s="1216"/>
      <c r="F182" s="1216"/>
      <c r="G182" s="1217"/>
      <c r="H182" s="1215"/>
      <c r="I182" s="1216"/>
      <c r="J182" s="1216"/>
      <c r="K182" s="1217"/>
      <c r="L182" s="1215"/>
      <c r="M182" s="1216"/>
      <c r="N182" s="1216"/>
      <c r="O182" s="1217"/>
      <c r="P182" s="479" t="s">
        <v>840</v>
      </c>
      <c r="Q182" s="476" t="s">
        <v>607</v>
      </c>
      <c r="R182" s="479" t="s">
        <v>606</v>
      </c>
      <c r="S182" s="479" t="s">
        <v>605</v>
      </c>
      <c r="T182" s="479" t="s">
        <v>840</v>
      </c>
      <c r="U182" s="476" t="s">
        <v>607</v>
      </c>
      <c r="V182" s="479" t="s">
        <v>606</v>
      </c>
      <c r="W182" s="479" t="s">
        <v>605</v>
      </c>
      <c r="X182" s="880"/>
    </row>
    <row r="183" spans="1:24" ht="12.95" customHeight="1" thickBot="1">
      <c r="A183" s="1254"/>
      <c r="B183" s="1133"/>
      <c r="C183" s="26" t="s">
        <v>2</v>
      </c>
      <c r="D183" s="957"/>
      <c r="E183" s="958"/>
      <c r="F183" s="958"/>
      <c r="G183" s="959"/>
      <c r="H183" s="1241" t="s">
        <v>635</v>
      </c>
      <c r="I183" s="1242"/>
      <c r="J183" s="1242"/>
      <c r="K183" s="1243"/>
      <c r="L183" s="966" t="s">
        <v>841</v>
      </c>
      <c r="M183" s="967"/>
      <c r="N183" s="967"/>
      <c r="O183" s="968"/>
      <c r="P183" s="150">
        <v>5</v>
      </c>
      <c r="Q183" s="150">
        <v>4</v>
      </c>
      <c r="R183" s="150">
        <v>2</v>
      </c>
      <c r="S183" s="150">
        <v>0</v>
      </c>
      <c r="T183" s="150">
        <v>6</v>
      </c>
      <c r="U183" s="150">
        <v>6</v>
      </c>
      <c r="V183" s="150">
        <v>4</v>
      </c>
      <c r="W183" s="150">
        <v>1</v>
      </c>
      <c r="X183" s="880"/>
    </row>
    <row r="184" spans="1:24" ht="12.95" customHeight="1" thickBot="1">
      <c r="A184" s="1255"/>
      <c r="B184" s="1133"/>
      <c r="C184" s="9" t="s">
        <v>3</v>
      </c>
      <c r="D184" s="957"/>
      <c r="E184" s="958"/>
      <c r="F184" s="958"/>
      <c r="G184" s="959"/>
      <c r="H184" s="957"/>
      <c r="I184" s="958"/>
      <c r="J184" s="958"/>
      <c r="K184" s="959"/>
      <c r="L184" s="957"/>
      <c r="M184" s="958"/>
      <c r="N184" s="958"/>
      <c r="O184" s="959"/>
      <c r="P184" s="957"/>
      <c r="Q184" s="958"/>
      <c r="R184" s="958"/>
      <c r="S184" s="959"/>
      <c r="T184" s="150">
        <v>0</v>
      </c>
      <c r="U184" s="104">
        <v>0</v>
      </c>
      <c r="V184" s="104">
        <v>0</v>
      </c>
      <c r="W184" s="104">
        <v>0</v>
      </c>
      <c r="X184" s="881"/>
    </row>
    <row r="185" spans="1:24" ht="12.95" customHeight="1" thickBot="1">
      <c r="A185" s="480" t="s">
        <v>13</v>
      </c>
      <c r="B185" s="1133"/>
      <c r="C185" s="1228" t="s">
        <v>838</v>
      </c>
      <c r="D185" s="1230" t="s">
        <v>4</v>
      </c>
      <c r="E185" s="1231"/>
      <c r="F185" s="1231"/>
      <c r="G185" s="1231"/>
      <c r="H185" s="1231"/>
      <c r="I185" s="1231"/>
      <c r="J185" s="1231"/>
      <c r="K185" s="1231"/>
      <c r="L185" s="1231"/>
      <c r="M185" s="1231"/>
      <c r="N185" s="1231"/>
      <c r="O185" s="1231"/>
      <c r="P185" s="1231"/>
      <c r="Q185" s="1231"/>
      <c r="R185" s="1231"/>
      <c r="S185" s="1231"/>
      <c r="T185" s="1231"/>
      <c r="U185" s="1231"/>
      <c r="V185" s="1231"/>
      <c r="W185" s="1232"/>
      <c r="X185" s="24" t="s">
        <v>14</v>
      </c>
    </row>
    <row r="186" spans="1:24" ht="12.95" customHeight="1" thickBot="1">
      <c r="A186" s="481" t="s">
        <v>73</v>
      </c>
      <c r="B186" s="1134"/>
      <c r="C186" s="1229"/>
      <c r="D186" s="930" t="s">
        <v>125</v>
      </c>
      <c r="E186" s="931"/>
      <c r="F186" s="931"/>
      <c r="G186" s="931"/>
      <c r="H186" s="931"/>
      <c r="I186" s="931"/>
      <c r="J186" s="931"/>
      <c r="K186" s="931"/>
      <c r="L186" s="931"/>
      <c r="M186" s="931"/>
      <c r="N186" s="931"/>
      <c r="O186" s="931"/>
      <c r="P186" s="931"/>
      <c r="Q186" s="931"/>
      <c r="R186" s="931"/>
      <c r="S186" s="931"/>
      <c r="T186" s="931"/>
      <c r="U186" s="931"/>
      <c r="V186" s="931"/>
      <c r="W186" s="1233"/>
      <c r="X186" s="18" t="s">
        <v>92</v>
      </c>
    </row>
    <row r="187" spans="1:24" ht="12.95" customHeight="1" thickBot="1">
      <c r="A187" s="1218" t="s">
        <v>7</v>
      </c>
      <c r="B187" s="1220" t="s">
        <v>173</v>
      </c>
      <c r="C187" s="1221"/>
      <c r="D187" s="1220" t="s">
        <v>8</v>
      </c>
      <c r="E187" s="1235"/>
      <c r="F187" s="1235"/>
      <c r="G187" s="1236"/>
      <c r="H187" s="1237" t="s">
        <v>88</v>
      </c>
      <c r="I187" s="1235"/>
      <c r="J187" s="1235"/>
      <c r="K187" s="1236"/>
      <c r="L187" s="1237" t="s">
        <v>89</v>
      </c>
      <c r="M187" s="1235"/>
      <c r="N187" s="1235"/>
      <c r="O187" s="1236"/>
      <c r="P187" s="1237" t="s">
        <v>9</v>
      </c>
      <c r="Q187" s="1235"/>
      <c r="R187" s="1235"/>
      <c r="S187" s="1236"/>
      <c r="T187" s="1237" t="s">
        <v>174</v>
      </c>
      <c r="U187" s="1235"/>
      <c r="V187" s="1235"/>
      <c r="W187" s="1235"/>
      <c r="X187" s="1236"/>
    </row>
    <row r="188" spans="1:24" ht="13.5" thickBot="1">
      <c r="A188" s="1234"/>
      <c r="B188" s="975"/>
      <c r="C188" s="976"/>
      <c r="D188" s="975"/>
      <c r="E188" s="977"/>
      <c r="F188" s="977"/>
      <c r="G188" s="1238"/>
      <c r="H188" s="1239"/>
      <c r="I188" s="977"/>
      <c r="J188" s="977"/>
      <c r="K188" s="1238"/>
      <c r="L188" s="1239"/>
      <c r="M188" s="977"/>
      <c r="N188" s="977"/>
      <c r="O188" s="1238"/>
      <c r="P188" s="916">
        <f>SUM(B188:O188)</f>
        <v>0</v>
      </c>
      <c r="Q188" s="994"/>
      <c r="R188" s="994"/>
      <c r="S188" s="917"/>
      <c r="T188" s="916" t="e">
        <f>B188/P188%</f>
        <v>#DIV/0!</v>
      </c>
      <c r="U188" s="994"/>
      <c r="V188" s="994"/>
      <c r="W188" s="994"/>
      <c r="X188" s="917"/>
    </row>
    <row r="189" spans="1:24" ht="13.5" thickBot="1">
      <c r="A189" s="1218" t="s">
        <v>10</v>
      </c>
      <c r="B189" s="1220" t="s">
        <v>175</v>
      </c>
      <c r="C189" s="1221"/>
      <c r="D189" s="1222"/>
      <c r="E189" s="1223"/>
      <c r="F189" s="1223"/>
      <c r="G189" s="1223"/>
      <c r="H189" s="1223"/>
      <c r="I189" s="1223"/>
      <c r="J189" s="1223"/>
      <c r="K189" s="1223"/>
      <c r="L189" s="1223"/>
      <c r="M189" s="1223"/>
      <c r="N189" s="1223"/>
      <c r="O189" s="1223"/>
      <c r="P189" s="1223"/>
      <c r="Q189" s="1223"/>
      <c r="R189" s="1223"/>
      <c r="S189" s="1223"/>
      <c r="T189" s="1223"/>
      <c r="U189" s="1223"/>
      <c r="V189" s="1223"/>
      <c r="W189" s="1223"/>
      <c r="X189" s="1224"/>
    </row>
    <row r="190" spans="1:24" ht="13.5" thickBot="1">
      <c r="A190" s="1219"/>
      <c r="B190" s="916"/>
      <c r="C190" s="917"/>
      <c r="D190" s="1225"/>
      <c r="E190" s="1226"/>
      <c r="F190" s="1226"/>
      <c r="G190" s="1226"/>
      <c r="H190" s="1226"/>
      <c r="I190" s="1226"/>
      <c r="J190" s="1226"/>
      <c r="K190" s="1226"/>
      <c r="L190" s="1226"/>
      <c r="M190" s="1226"/>
      <c r="N190" s="1226"/>
      <c r="O190" s="1226"/>
      <c r="P190" s="1226"/>
      <c r="Q190" s="1226"/>
      <c r="R190" s="1226"/>
      <c r="S190" s="1226"/>
      <c r="T190" s="1226"/>
      <c r="U190" s="1226"/>
      <c r="V190" s="1226"/>
      <c r="W190" s="1226"/>
      <c r="X190" s="1227"/>
    </row>
  </sheetData>
  <sheetProtection password="CF55" sheet="1" objects="1" scenarios="1" selectLockedCells="1" selectUnlockedCells="1"/>
  <mergeCells count="625">
    <mergeCell ref="D12:W12"/>
    <mergeCell ref="D13:W13"/>
    <mergeCell ref="D4:G4"/>
    <mergeCell ref="H4:K4"/>
    <mergeCell ref="L4:O4"/>
    <mergeCell ref="P4:S4"/>
    <mergeCell ref="T4:W4"/>
    <mergeCell ref="X4:X18"/>
    <mergeCell ref="P9:S9"/>
    <mergeCell ref="T9:W9"/>
    <mergeCell ref="D14:G14"/>
    <mergeCell ref="H14:K14"/>
    <mergeCell ref="A22:A36"/>
    <mergeCell ref="B22:B25"/>
    <mergeCell ref="D22:G22"/>
    <mergeCell ref="H22:K22"/>
    <mergeCell ref="L22:O22"/>
    <mergeCell ref="L14:O14"/>
    <mergeCell ref="C24:C25"/>
    <mergeCell ref="C29:C30"/>
    <mergeCell ref="H31:K31"/>
    <mergeCell ref="L31:O31"/>
    <mergeCell ref="A5:A18"/>
    <mergeCell ref="B5:B8"/>
    <mergeCell ref="D5:W5"/>
    <mergeCell ref="D6:W6"/>
    <mergeCell ref="C7:C8"/>
    <mergeCell ref="D7:W7"/>
    <mergeCell ref="D8:W8"/>
    <mergeCell ref="D9:G9"/>
    <mergeCell ref="H9:K9"/>
    <mergeCell ref="L9:O9"/>
    <mergeCell ref="B10:B13"/>
    <mergeCell ref="D10:W10"/>
    <mergeCell ref="D11:W11"/>
    <mergeCell ref="C12:C13"/>
    <mergeCell ref="B27:B30"/>
    <mergeCell ref="D27:G27"/>
    <mergeCell ref="H27:K27"/>
    <mergeCell ref="L27:O27"/>
    <mergeCell ref="D30:W30"/>
    <mergeCell ref="D31:G31"/>
    <mergeCell ref="L28:O28"/>
    <mergeCell ref="P28:S28"/>
    <mergeCell ref="P14:S14"/>
    <mergeCell ref="T14:W14"/>
    <mergeCell ref="B15:B18"/>
    <mergeCell ref="D15:W15"/>
    <mergeCell ref="D16:W16"/>
    <mergeCell ref="C17:C18"/>
    <mergeCell ref="D17:W17"/>
    <mergeCell ref="D18:W18"/>
    <mergeCell ref="D21:G21"/>
    <mergeCell ref="H21:K21"/>
    <mergeCell ref="L21:O21"/>
    <mergeCell ref="P21:S21"/>
    <mergeCell ref="T21:W21"/>
    <mergeCell ref="D24:W24"/>
    <mergeCell ref="X22:X36"/>
    <mergeCell ref="D23:G23"/>
    <mergeCell ref="H23:K23"/>
    <mergeCell ref="L23:O23"/>
    <mergeCell ref="P23:S23"/>
    <mergeCell ref="T23:W23"/>
    <mergeCell ref="T28:W28"/>
    <mergeCell ref="D25:W25"/>
    <mergeCell ref="D26:G26"/>
    <mergeCell ref="H26:K26"/>
    <mergeCell ref="P31:S31"/>
    <mergeCell ref="T31:W31"/>
    <mergeCell ref="L26:O26"/>
    <mergeCell ref="P26:S26"/>
    <mergeCell ref="T26:W26"/>
    <mergeCell ref="P22:S22"/>
    <mergeCell ref="T22:W22"/>
    <mergeCell ref="D29:W29"/>
    <mergeCell ref="P27:S27"/>
    <mergeCell ref="T27:W27"/>
    <mergeCell ref="D28:G28"/>
    <mergeCell ref="H28:K28"/>
    <mergeCell ref="P44:S44"/>
    <mergeCell ref="P46:S46"/>
    <mergeCell ref="L45:O45"/>
    <mergeCell ref="P45:S45"/>
    <mergeCell ref="H46:K46"/>
    <mergeCell ref="D45:G45"/>
    <mergeCell ref="B32:B33"/>
    <mergeCell ref="D34:G34"/>
    <mergeCell ref="C35:C36"/>
    <mergeCell ref="D35:W35"/>
    <mergeCell ref="D36:W36"/>
    <mergeCell ref="B40:B43"/>
    <mergeCell ref="D40:G40"/>
    <mergeCell ref="H40:K40"/>
    <mergeCell ref="L40:O40"/>
    <mergeCell ref="D39:G39"/>
    <mergeCell ref="H39:K39"/>
    <mergeCell ref="L39:O39"/>
    <mergeCell ref="P39:S39"/>
    <mergeCell ref="T39:W39"/>
    <mergeCell ref="T40:W40"/>
    <mergeCell ref="P40:S40"/>
    <mergeCell ref="H41:K41"/>
    <mergeCell ref="T50:W50"/>
    <mergeCell ref="D51:G51"/>
    <mergeCell ref="A60:A61"/>
    <mergeCell ref="B60:C60"/>
    <mergeCell ref="D60:G60"/>
    <mergeCell ref="H60:K60"/>
    <mergeCell ref="L60:O60"/>
    <mergeCell ref="D59:W59"/>
    <mergeCell ref="L61:O61"/>
    <mergeCell ref="P61:S61"/>
    <mergeCell ref="T61:X61"/>
    <mergeCell ref="P60:S60"/>
    <mergeCell ref="A40:A59"/>
    <mergeCell ref="T45:W45"/>
    <mergeCell ref="L49:O49"/>
    <mergeCell ref="P49:S49"/>
    <mergeCell ref="D47:W47"/>
    <mergeCell ref="D48:W48"/>
    <mergeCell ref="D49:G49"/>
    <mergeCell ref="H49:K49"/>
    <mergeCell ref="T49:W49"/>
    <mergeCell ref="C42:C43"/>
    <mergeCell ref="H44:K44"/>
    <mergeCell ref="L44:O44"/>
    <mergeCell ref="C47:C48"/>
    <mergeCell ref="H45:K45"/>
    <mergeCell ref="A62:A63"/>
    <mergeCell ref="B62:C62"/>
    <mergeCell ref="D62:X63"/>
    <mergeCell ref="B63:C63"/>
    <mergeCell ref="B55:B56"/>
    <mergeCell ref="D57:G57"/>
    <mergeCell ref="T60:X60"/>
    <mergeCell ref="H54:K54"/>
    <mergeCell ref="L54:O54"/>
    <mergeCell ref="P54:S54"/>
    <mergeCell ref="T54:W54"/>
    <mergeCell ref="D58:W58"/>
    <mergeCell ref="X40:X59"/>
    <mergeCell ref="T46:W46"/>
    <mergeCell ref="D42:W42"/>
    <mergeCell ref="T44:W44"/>
    <mergeCell ref="B50:B53"/>
    <mergeCell ref="D50:G50"/>
    <mergeCell ref="H50:K50"/>
    <mergeCell ref="L50:O50"/>
    <mergeCell ref="L41:O41"/>
    <mergeCell ref="P50:S50"/>
    <mergeCell ref="H73:K73"/>
    <mergeCell ref="L73:O73"/>
    <mergeCell ref="C58:C59"/>
    <mergeCell ref="B61:C61"/>
    <mergeCell ref="D61:G61"/>
    <mergeCell ref="H61:K61"/>
    <mergeCell ref="D66:G66"/>
    <mergeCell ref="H66:K66"/>
    <mergeCell ref="T41:W41"/>
    <mergeCell ref="D41:G41"/>
    <mergeCell ref="P41:S41"/>
    <mergeCell ref="H51:K51"/>
    <mergeCell ref="L51:O51"/>
    <mergeCell ref="P51:S51"/>
    <mergeCell ref="T51:W51"/>
    <mergeCell ref="C52:C53"/>
    <mergeCell ref="D52:W52"/>
    <mergeCell ref="D53:W53"/>
    <mergeCell ref="D54:G54"/>
    <mergeCell ref="D44:G44"/>
    <mergeCell ref="D43:W43"/>
    <mergeCell ref="D46:G46"/>
    <mergeCell ref="L46:O46"/>
    <mergeCell ref="B45:B48"/>
    <mergeCell ref="L66:O66"/>
    <mergeCell ref="P66:S66"/>
    <mergeCell ref="T66:W66"/>
    <mergeCell ref="T67:W67"/>
    <mergeCell ref="H67:K67"/>
    <mergeCell ref="L67:O67"/>
    <mergeCell ref="P67:S67"/>
    <mergeCell ref="L72:O72"/>
    <mergeCell ref="P72:S72"/>
    <mergeCell ref="T72:W72"/>
    <mergeCell ref="X67:X78"/>
    <mergeCell ref="D68:G68"/>
    <mergeCell ref="H68:K68"/>
    <mergeCell ref="L68:O68"/>
    <mergeCell ref="P68:S68"/>
    <mergeCell ref="T68:W68"/>
    <mergeCell ref="D69:W69"/>
    <mergeCell ref="D70:W70"/>
    <mergeCell ref="D71:G71"/>
    <mergeCell ref="D67:G67"/>
    <mergeCell ref="H71:K71"/>
    <mergeCell ref="L71:O71"/>
    <mergeCell ref="P71:S71"/>
    <mergeCell ref="T71:W71"/>
    <mergeCell ref="T77:W77"/>
    <mergeCell ref="D78:G78"/>
    <mergeCell ref="H78:K78"/>
    <mergeCell ref="L78:O78"/>
    <mergeCell ref="P78:S78"/>
    <mergeCell ref="D76:G76"/>
    <mergeCell ref="H77:K77"/>
    <mergeCell ref="L77:O77"/>
    <mergeCell ref="P77:S77"/>
    <mergeCell ref="D73:G73"/>
    <mergeCell ref="A67:A78"/>
    <mergeCell ref="B67:B70"/>
    <mergeCell ref="C69:C70"/>
    <mergeCell ref="C79:C80"/>
    <mergeCell ref="D79:W79"/>
    <mergeCell ref="A81:A82"/>
    <mergeCell ref="B81:C81"/>
    <mergeCell ref="D81:G81"/>
    <mergeCell ref="H81:K81"/>
    <mergeCell ref="L81:O81"/>
    <mergeCell ref="P81:S81"/>
    <mergeCell ref="P73:S73"/>
    <mergeCell ref="C74:C75"/>
    <mergeCell ref="D74:W74"/>
    <mergeCell ref="D75:W75"/>
    <mergeCell ref="H76:K76"/>
    <mergeCell ref="L76:O76"/>
    <mergeCell ref="P76:S76"/>
    <mergeCell ref="T76:W76"/>
    <mergeCell ref="T73:W73"/>
    <mergeCell ref="T78:W78"/>
    <mergeCell ref="B72:B75"/>
    <mergeCell ref="D72:G72"/>
    <mergeCell ref="H72:K72"/>
    <mergeCell ref="D87:G87"/>
    <mergeCell ref="H87:K87"/>
    <mergeCell ref="L87:O87"/>
    <mergeCell ref="D89:G89"/>
    <mergeCell ref="H89:K89"/>
    <mergeCell ref="L89:O89"/>
    <mergeCell ref="D80:W80"/>
    <mergeCell ref="A83:A84"/>
    <mergeCell ref="B83:C83"/>
    <mergeCell ref="D83:X84"/>
    <mergeCell ref="B84:C84"/>
    <mergeCell ref="P87:S87"/>
    <mergeCell ref="T87:W87"/>
    <mergeCell ref="T88:W88"/>
    <mergeCell ref="P89:S89"/>
    <mergeCell ref="T81:X81"/>
    <mergeCell ref="B82:C82"/>
    <mergeCell ref="D82:G82"/>
    <mergeCell ref="H82:K82"/>
    <mergeCell ref="L82:O82"/>
    <mergeCell ref="P82:S82"/>
    <mergeCell ref="T82:X82"/>
    <mergeCell ref="B77:B80"/>
    <mergeCell ref="D77:G77"/>
    <mergeCell ref="T89:W89"/>
    <mergeCell ref="D90:W90"/>
    <mergeCell ref="D91:W91"/>
    <mergeCell ref="D92:G92"/>
    <mergeCell ref="D88:G88"/>
    <mergeCell ref="H88:K88"/>
    <mergeCell ref="L88:O88"/>
    <mergeCell ref="P88:S88"/>
    <mergeCell ref="H92:K92"/>
    <mergeCell ref="L92:O92"/>
    <mergeCell ref="A88:A99"/>
    <mergeCell ref="B88:B91"/>
    <mergeCell ref="C90:C91"/>
    <mergeCell ref="D99:G99"/>
    <mergeCell ref="H99:K99"/>
    <mergeCell ref="A102:A103"/>
    <mergeCell ref="B102:C102"/>
    <mergeCell ref="D102:G102"/>
    <mergeCell ref="H102:K102"/>
    <mergeCell ref="D103:G103"/>
    <mergeCell ref="H103:K103"/>
    <mergeCell ref="T103:X103"/>
    <mergeCell ref="B93:B96"/>
    <mergeCell ref="D93:G93"/>
    <mergeCell ref="H93:K93"/>
    <mergeCell ref="L93:O93"/>
    <mergeCell ref="P93:S93"/>
    <mergeCell ref="D95:W95"/>
    <mergeCell ref="D96:W96"/>
    <mergeCell ref="D94:G94"/>
    <mergeCell ref="H94:K94"/>
    <mergeCell ref="L94:O94"/>
    <mergeCell ref="B98:B101"/>
    <mergeCell ref="D98:G98"/>
    <mergeCell ref="H98:K98"/>
    <mergeCell ref="L98:O98"/>
    <mergeCell ref="P98:S98"/>
    <mergeCell ref="L102:O102"/>
    <mergeCell ref="P102:S102"/>
    <mergeCell ref="T93:W93"/>
    <mergeCell ref="D97:G97"/>
    <mergeCell ref="H97:K97"/>
    <mergeCell ref="L97:O97"/>
    <mergeCell ref="H120:K120"/>
    <mergeCell ref="P97:S97"/>
    <mergeCell ref="A104:A105"/>
    <mergeCell ref="B104:C104"/>
    <mergeCell ref="D104:X105"/>
    <mergeCell ref="B105:C105"/>
    <mergeCell ref="T99:W99"/>
    <mergeCell ref="C100:C101"/>
    <mergeCell ref="D100:W100"/>
    <mergeCell ref="D101:W101"/>
    <mergeCell ref="X88:X99"/>
    <mergeCell ref="P92:S92"/>
    <mergeCell ref="T92:W92"/>
    <mergeCell ref="T98:W98"/>
    <mergeCell ref="T94:W94"/>
    <mergeCell ref="C95:C96"/>
    <mergeCell ref="L99:O99"/>
    <mergeCell ref="P99:S99"/>
    <mergeCell ref="P94:S94"/>
    <mergeCell ref="T97:W97"/>
    <mergeCell ref="T102:X102"/>
    <mergeCell ref="B103:C103"/>
    <mergeCell ref="L103:O103"/>
    <mergeCell ref="P103:S103"/>
    <mergeCell ref="P127:S127"/>
    <mergeCell ref="P114:S114"/>
    <mergeCell ref="T114:W114"/>
    <mergeCell ref="V121:W121"/>
    <mergeCell ref="L108:O108"/>
    <mergeCell ref="P108:S108"/>
    <mergeCell ref="B115:B116"/>
    <mergeCell ref="D117:G117"/>
    <mergeCell ref="H117:K117"/>
    <mergeCell ref="C118:C119"/>
    <mergeCell ref="D118:W118"/>
    <mergeCell ref="D119:W119"/>
    <mergeCell ref="L114:O114"/>
    <mergeCell ref="T108:W108"/>
    <mergeCell ref="B121:B124"/>
    <mergeCell ref="D121:E121"/>
    <mergeCell ref="F121:G121"/>
    <mergeCell ref="H121:I121"/>
    <mergeCell ref="J121:K121"/>
    <mergeCell ref="D114:G114"/>
    <mergeCell ref="H114:K114"/>
    <mergeCell ref="D108:G108"/>
    <mergeCell ref="H108:K108"/>
    <mergeCell ref="D120:G120"/>
    <mergeCell ref="T120:W120"/>
    <mergeCell ref="T122:U122"/>
    <mergeCell ref="V122:W122"/>
    <mergeCell ref="L121:M121"/>
    <mergeCell ref="N121:O121"/>
    <mergeCell ref="P121:Q121"/>
    <mergeCell ref="R121:S121"/>
    <mergeCell ref="P126:S126"/>
    <mergeCell ref="T126:W126"/>
    <mergeCell ref="T121:U121"/>
    <mergeCell ref="V123:W123"/>
    <mergeCell ref="T123:U123"/>
    <mergeCell ref="X109:X128"/>
    <mergeCell ref="A133:A134"/>
    <mergeCell ref="B133:C133"/>
    <mergeCell ref="D133:X134"/>
    <mergeCell ref="B134:C134"/>
    <mergeCell ref="P131:S131"/>
    <mergeCell ref="B127:B130"/>
    <mergeCell ref="P128:S128"/>
    <mergeCell ref="C124:C125"/>
    <mergeCell ref="D124:W124"/>
    <mergeCell ref="D125:W125"/>
    <mergeCell ref="D126:G126"/>
    <mergeCell ref="H126:K126"/>
    <mergeCell ref="L126:O126"/>
    <mergeCell ref="D127:G127"/>
    <mergeCell ref="H127:K127"/>
    <mergeCell ref="L127:O127"/>
    <mergeCell ref="T131:X131"/>
    <mergeCell ref="B132:C132"/>
    <mergeCell ref="D132:G132"/>
    <mergeCell ref="H132:K132"/>
    <mergeCell ref="L132:O132"/>
    <mergeCell ref="P132:S132"/>
    <mergeCell ref="T132:X132"/>
    <mergeCell ref="T137:W137"/>
    <mergeCell ref="A131:A132"/>
    <mergeCell ref="B131:C131"/>
    <mergeCell ref="D131:G131"/>
    <mergeCell ref="H131:K131"/>
    <mergeCell ref="L131:O131"/>
    <mergeCell ref="C129:C130"/>
    <mergeCell ref="D129:W129"/>
    <mergeCell ref="D130:W130"/>
    <mergeCell ref="D137:G137"/>
    <mergeCell ref="H137:K137"/>
    <mergeCell ref="L137:O137"/>
    <mergeCell ref="P137:S137"/>
    <mergeCell ref="A138:A160"/>
    <mergeCell ref="B138:B141"/>
    <mergeCell ref="D138:G138"/>
    <mergeCell ref="H138:K138"/>
    <mergeCell ref="L138:O138"/>
    <mergeCell ref="P138:S138"/>
    <mergeCell ref="C140:C141"/>
    <mergeCell ref="H142:K142"/>
    <mergeCell ref="L142:O142"/>
    <mergeCell ref="P142:S142"/>
    <mergeCell ref="B143:B146"/>
    <mergeCell ref="C145:C146"/>
    <mergeCell ref="D145:W145"/>
    <mergeCell ref="D146:W146"/>
    <mergeCell ref="L147:O147"/>
    <mergeCell ref="P147:S147"/>
    <mergeCell ref="T143:W143"/>
    <mergeCell ref="D144:G144"/>
    <mergeCell ref="H144:K144"/>
    <mergeCell ref="B153:B156"/>
    <mergeCell ref="D153:G153"/>
    <mergeCell ref="H153:K153"/>
    <mergeCell ref="L153:O153"/>
    <mergeCell ref="P153:S153"/>
    <mergeCell ref="A109:A128"/>
    <mergeCell ref="B109:B110"/>
    <mergeCell ref="D111:G111"/>
    <mergeCell ref="C112:C113"/>
    <mergeCell ref="D112:W112"/>
    <mergeCell ref="D113:W113"/>
    <mergeCell ref="T127:W127"/>
    <mergeCell ref="D128:G128"/>
    <mergeCell ref="H128:K128"/>
    <mergeCell ref="L128:O128"/>
    <mergeCell ref="D122:G122"/>
    <mergeCell ref="H122:K122"/>
    <mergeCell ref="L122:M122"/>
    <mergeCell ref="N122:O122"/>
    <mergeCell ref="P122:Q122"/>
    <mergeCell ref="R122:S122"/>
    <mergeCell ref="D123:G123"/>
    <mergeCell ref="H123:K123"/>
    <mergeCell ref="L123:O123"/>
    <mergeCell ref="P123:Q123"/>
    <mergeCell ref="R123:S123"/>
    <mergeCell ref="T128:W128"/>
    <mergeCell ref="L120:O120"/>
    <mergeCell ref="P120:S120"/>
    <mergeCell ref="X138:X160"/>
    <mergeCell ref="D139:G139"/>
    <mergeCell ref="H139:K139"/>
    <mergeCell ref="L139:O139"/>
    <mergeCell ref="P139:S139"/>
    <mergeCell ref="T139:W139"/>
    <mergeCell ref="D140:W140"/>
    <mergeCell ref="D141:W141"/>
    <mergeCell ref="D142:G142"/>
    <mergeCell ref="T142:W142"/>
    <mergeCell ref="H157:K157"/>
    <mergeCell ref="L157:O157"/>
    <mergeCell ref="P157:S157"/>
    <mergeCell ref="R160:S160"/>
    <mergeCell ref="T138:W138"/>
    <mergeCell ref="D143:G143"/>
    <mergeCell ref="H143:K143"/>
    <mergeCell ref="L143:O143"/>
    <mergeCell ref="P143:S143"/>
    <mergeCell ref="H147:K147"/>
    <mergeCell ref="D152:G152"/>
    <mergeCell ref="H152:K152"/>
    <mergeCell ref="L152:O152"/>
    <mergeCell ref="P152:S152"/>
    <mergeCell ref="L144:O144"/>
    <mergeCell ref="P144:S144"/>
    <mergeCell ref="T144:W144"/>
    <mergeCell ref="T147:W147"/>
    <mergeCell ref="B148:B151"/>
    <mergeCell ref="D148:G148"/>
    <mergeCell ref="H148:K148"/>
    <mergeCell ref="L148:O148"/>
    <mergeCell ref="P148:S148"/>
    <mergeCell ref="T148:W148"/>
    <mergeCell ref="D147:G147"/>
    <mergeCell ref="P149:S149"/>
    <mergeCell ref="D149:G149"/>
    <mergeCell ref="H149:K149"/>
    <mergeCell ref="L149:O149"/>
    <mergeCell ref="T153:W153"/>
    <mergeCell ref="D154:G154"/>
    <mergeCell ref="H154:K154"/>
    <mergeCell ref="L154:O154"/>
    <mergeCell ref="P154:S154"/>
    <mergeCell ref="T154:W154"/>
    <mergeCell ref="T149:W149"/>
    <mergeCell ref="C150:C151"/>
    <mergeCell ref="D150:W150"/>
    <mergeCell ref="D151:W151"/>
    <mergeCell ref="T152:W152"/>
    <mergeCell ref="C155:C156"/>
    <mergeCell ref="D155:W155"/>
    <mergeCell ref="D156:W156"/>
    <mergeCell ref="T157:W157"/>
    <mergeCell ref="N158:O158"/>
    <mergeCell ref="P158:Q158"/>
    <mergeCell ref="R158:S158"/>
    <mergeCell ref="T158:U158"/>
    <mergeCell ref="V158:W158"/>
    <mergeCell ref="D157:G157"/>
    <mergeCell ref="D158:E158"/>
    <mergeCell ref="F158:G158"/>
    <mergeCell ref="H158:I158"/>
    <mergeCell ref="J158:K158"/>
    <mergeCell ref="L158:M158"/>
    <mergeCell ref="B161:B162"/>
    <mergeCell ref="C161:C162"/>
    <mergeCell ref="D161:W161"/>
    <mergeCell ref="D162:W162"/>
    <mergeCell ref="B158:B160"/>
    <mergeCell ref="D159:E159"/>
    <mergeCell ref="R159:S159"/>
    <mergeCell ref="T159:U159"/>
    <mergeCell ref="V159:W159"/>
    <mergeCell ref="D160:G160"/>
    <mergeCell ref="H160:K160"/>
    <mergeCell ref="L160:M160"/>
    <mergeCell ref="N160:O160"/>
    <mergeCell ref="J159:K159"/>
    <mergeCell ref="L159:M159"/>
    <mergeCell ref="F159:G159"/>
    <mergeCell ref="H159:I159"/>
    <mergeCell ref="N159:O159"/>
    <mergeCell ref="P159:Q159"/>
    <mergeCell ref="P160:Q160"/>
    <mergeCell ref="T160:U160"/>
    <mergeCell ref="V160:W160"/>
    <mergeCell ref="A163:A164"/>
    <mergeCell ref="B163:C163"/>
    <mergeCell ref="D163:G163"/>
    <mergeCell ref="H163:K163"/>
    <mergeCell ref="L163:O163"/>
    <mergeCell ref="P163:S163"/>
    <mergeCell ref="T163:X163"/>
    <mergeCell ref="B164:C164"/>
    <mergeCell ref="A165:A166"/>
    <mergeCell ref="B165:C165"/>
    <mergeCell ref="D165:X166"/>
    <mergeCell ref="B166:C166"/>
    <mergeCell ref="D164:G164"/>
    <mergeCell ref="H164:K164"/>
    <mergeCell ref="L164:O164"/>
    <mergeCell ref="P164:S164"/>
    <mergeCell ref="T164:X164"/>
    <mergeCell ref="D169:G169"/>
    <mergeCell ref="H169:K169"/>
    <mergeCell ref="L169:O169"/>
    <mergeCell ref="P169:S169"/>
    <mergeCell ref="T169:W169"/>
    <mergeCell ref="A170:A184"/>
    <mergeCell ref="B170:B174"/>
    <mergeCell ref="D170:G170"/>
    <mergeCell ref="H170:K170"/>
    <mergeCell ref="L170:O170"/>
    <mergeCell ref="B176:B180"/>
    <mergeCell ref="H178:K178"/>
    <mergeCell ref="L178:O178"/>
    <mergeCell ref="C179:C180"/>
    <mergeCell ref="D179:W179"/>
    <mergeCell ref="D180:W180"/>
    <mergeCell ref="D181:G181"/>
    <mergeCell ref="H181:K181"/>
    <mergeCell ref="L181:O181"/>
    <mergeCell ref="P181:S181"/>
    <mergeCell ref="T181:W181"/>
    <mergeCell ref="B182:B186"/>
    <mergeCell ref="D182:G182"/>
    <mergeCell ref="H182:K182"/>
    <mergeCell ref="X170:X184"/>
    <mergeCell ref="D171:G171"/>
    <mergeCell ref="H171:K171"/>
    <mergeCell ref="L171:O171"/>
    <mergeCell ref="P171:S171"/>
    <mergeCell ref="D172:G172"/>
    <mergeCell ref="H172:K172"/>
    <mergeCell ref="L172:O172"/>
    <mergeCell ref="C173:C174"/>
    <mergeCell ref="D173:W173"/>
    <mergeCell ref="D174:W174"/>
    <mergeCell ref="D175:G175"/>
    <mergeCell ref="H175:K175"/>
    <mergeCell ref="L175:O175"/>
    <mergeCell ref="P175:S175"/>
    <mergeCell ref="T175:W175"/>
    <mergeCell ref="D176:G176"/>
    <mergeCell ref="H176:K176"/>
    <mergeCell ref="L176:O176"/>
    <mergeCell ref="D177:G177"/>
    <mergeCell ref="H177:K177"/>
    <mergeCell ref="L177:O177"/>
    <mergeCell ref="P177:S177"/>
    <mergeCell ref="D178:G178"/>
    <mergeCell ref="L182:O182"/>
    <mergeCell ref="D183:G183"/>
    <mergeCell ref="H183:K183"/>
    <mergeCell ref="L183:O183"/>
    <mergeCell ref="D184:G184"/>
    <mergeCell ref="H184:K184"/>
    <mergeCell ref="L184:O184"/>
    <mergeCell ref="P184:S184"/>
    <mergeCell ref="C185:C186"/>
    <mergeCell ref="D185:W185"/>
    <mergeCell ref="D186:W186"/>
    <mergeCell ref="A189:A190"/>
    <mergeCell ref="B189:C189"/>
    <mergeCell ref="D189:X190"/>
    <mergeCell ref="B190:C190"/>
    <mergeCell ref="A187:A188"/>
    <mergeCell ref="B187:C187"/>
    <mergeCell ref="D187:G187"/>
    <mergeCell ref="H187:K187"/>
    <mergeCell ref="L187:O187"/>
    <mergeCell ref="P187:S187"/>
    <mergeCell ref="T187:X187"/>
    <mergeCell ref="B188:C188"/>
    <mergeCell ref="D188:G188"/>
    <mergeCell ref="H188:K188"/>
    <mergeCell ref="L188:O188"/>
    <mergeCell ref="P188:S188"/>
    <mergeCell ref="T188:X188"/>
  </mergeCells>
  <hyperlinks>
    <hyperlink ref="C24" location="Reference!C12" display="press for guidance"/>
    <hyperlink ref="C25" location="Reference!C12" display="Reference!C12"/>
    <hyperlink ref="C17" location="Reference!C10" display="press for guidance"/>
    <hyperlink ref="C18" location="Reference!C10" display="Reference!C10"/>
    <hyperlink ref="C12" location="Reference!C8" display="press for guidance"/>
    <hyperlink ref="C13" location="Reference!C8" display="Reference!C8"/>
    <hyperlink ref="C7" location="Reference!C6" display="press for guidance"/>
    <hyperlink ref="C8" location="Reference!C6" display="Reference!C6"/>
    <hyperlink ref="C29" location="Reference!C14" display="press for guidance"/>
    <hyperlink ref="C30" location="Reference!C14" display="Reference!C14"/>
    <hyperlink ref="C35" location="Reference!C16" display="press for guidance"/>
    <hyperlink ref="C36" location="Reference!C16" display="Reference!C16"/>
    <hyperlink ref="C42" location="Reference!C18" display="press for guidance"/>
    <hyperlink ref="C43" location="Reference!C18" display="Reference!C18"/>
    <hyperlink ref="C47" location="Reference!C20" display="press for guidance"/>
    <hyperlink ref="C48" location="Reference!C20" display="Reference!C20"/>
    <hyperlink ref="C52" location="Reference!C22" display="press for guidance"/>
    <hyperlink ref="C53" location="Reference!C22" display="Reference!C22"/>
    <hyperlink ref="C58" location="Reference!C24" display="press for guidance"/>
    <hyperlink ref="C59" location="Reference!C24" display="Reference!C24"/>
    <hyperlink ref="C69" location="Reference!C26" display="press for guidance"/>
    <hyperlink ref="C70" location="Reference!C26" display="Reference!C26"/>
    <hyperlink ref="C74" location="Reference!C28" display="press for guidance"/>
    <hyperlink ref="C75" location="Reference!C28" display="Reference!C28"/>
    <hyperlink ref="C79" location="Reference!C30" display="press for guidance"/>
    <hyperlink ref="C80" location="Reference!C30" display="Reference!C30"/>
    <hyperlink ref="C90" location="Reference!C32" display="press for guidance"/>
    <hyperlink ref="C91" location="Reference!C32" display="Reference!C32"/>
    <hyperlink ref="C95" location="Reference'C34" display="press for guidance"/>
    <hyperlink ref="C96" location="Reference'C34" display="Reference'C34"/>
    <hyperlink ref="C100" location="Reference!C36" display="press for guidance"/>
    <hyperlink ref="C101" location="Reference!C36" display="Reference!C36"/>
    <hyperlink ref="C112" location="Reference!C38" display="press for guidance"/>
    <hyperlink ref="C113" location="Reference!C38" display="Reference!C38"/>
    <hyperlink ref="C118" location="Reference!C40" display="press for guidance"/>
    <hyperlink ref="C119" location="Reference!C40" display="Reference!C40"/>
    <hyperlink ref="C124" location="Reference!C42" display="press for guidance"/>
    <hyperlink ref="C125" location="Reference!C42" display="Reference!C42"/>
    <hyperlink ref="C129" location="Reference!C44" display="press for guidance"/>
    <hyperlink ref="C130" location="Reference!C44" display="Reference!C44"/>
    <hyperlink ref="C140" location="Reference!C46" display="press for guidance"/>
    <hyperlink ref="C141" location="Reference!C46" display="Reference!C46"/>
    <hyperlink ref="C145" location="Reference!C48" display="press for guidance"/>
    <hyperlink ref="C146" location="Reference!C48" display="Reference!C48"/>
    <hyperlink ref="C150" location="Reference!C50" display="press for guidance"/>
    <hyperlink ref="C151" location="Reference!C50" display="Reference!C50"/>
    <hyperlink ref="C155" location="Reference!C52" display="press for guidance"/>
    <hyperlink ref="C156" location="Reference!C52" display="Reference!C52"/>
    <hyperlink ref="C161" location="Reference!C54" display="press for guidance"/>
    <hyperlink ref="C162" location="Reference!C54" display="Reference!C54"/>
    <hyperlink ref="C173" location="Reference!C71" display="★ click here for guidance"/>
    <hyperlink ref="C174" location="Reference!C71" display="Reference!C71"/>
    <hyperlink ref="C179" location="Reference!C73" display="★ click here for guidance"/>
    <hyperlink ref="C180" location="Reference!C73" display="Reference!C73"/>
    <hyperlink ref="C185" location="Reference!C75" display="★ click here for guidance"/>
    <hyperlink ref="C186" location="Reference!C75" display="Reference!C75"/>
  </hyperlinks>
  <pageMargins left="0.79000000000000015" right="0.79000000000000015" top="0.79000000000000015" bottom="0.79000000000000015" header="0.39000000000000007" footer="0.39000000000000007"/>
  <pageSetup paperSize="9" scale="55" fitToHeight="3" orientation="landscape"/>
  <headerFooter>
    <oddFooter>&amp;L&amp;K000000&amp;F&amp;C&amp;K000000&amp;D&amp;R&amp;K000000Page &amp;P</oddFooter>
  </headerFooter>
  <legacy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FFFF00"/>
    <pageSetUpPr fitToPage="1"/>
  </sheetPr>
  <dimension ref="A1:X190"/>
  <sheetViews>
    <sheetView workbookViewId="0">
      <pane xSplit="2" ySplit="1" topLeftCell="C108" activePane="bottomRight" state="frozen"/>
      <selection activeCell="D136" sqref="D136:W136"/>
      <selection pane="topRight" activeCell="D136" sqref="D136:W136"/>
      <selection pane="bottomLeft" activeCell="D136" sqref="D136:W136"/>
      <selection pane="bottomRight" activeCell="D136" sqref="D136:W136"/>
    </sheetView>
  </sheetViews>
  <sheetFormatPr defaultColWidth="8.85546875" defaultRowHeight="12.75"/>
  <cols>
    <col min="1" max="1" width="20.85546875" style="4" customWidth="1"/>
    <col min="2" max="2" width="40.85546875" style="4" customWidth="1"/>
    <col min="3" max="3" width="10.85546875" style="27" customWidth="1"/>
    <col min="4" max="23" width="5.85546875" style="4" customWidth="1"/>
    <col min="24" max="24" width="30.85546875" style="4" customWidth="1"/>
    <col min="25" max="16384" width="8.85546875" style="4"/>
  </cols>
  <sheetData>
    <row r="1" spans="1:24" s="67" customFormat="1" ht="32.25" thickBot="1">
      <c r="A1" s="3" t="s">
        <v>0</v>
      </c>
      <c r="B1" s="64" t="s">
        <v>231</v>
      </c>
      <c r="C1" s="65" t="s">
        <v>276</v>
      </c>
      <c r="D1" s="65"/>
      <c r="E1" s="65"/>
      <c r="F1" s="65"/>
      <c r="G1" s="65"/>
      <c r="H1" s="65"/>
      <c r="I1" s="65"/>
      <c r="J1" s="65"/>
      <c r="K1" s="65"/>
      <c r="L1" s="65"/>
      <c r="M1" s="65"/>
      <c r="N1" s="65"/>
      <c r="O1" s="65"/>
      <c r="P1" s="65"/>
      <c r="Q1" s="65"/>
      <c r="R1" s="65"/>
      <c r="S1" s="65"/>
      <c r="T1" s="65"/>
      <c r="U1" s="65"/>
      <c r="V1" s="65"/>
      <c r="W1" s="65"/>
      <c r="X1" s="66"/>
    </row>
    <row r="2" spans="1:24">
      <c r="A2" s="5"/>
      <c r="B2" s="5"/>
      <c r="C2" s="6"/>
      <c r="D2" s="5"/>
      <c r="E2" s="5"/>
      <c r="F2" s="5"/>
      <c r="G2" s="5"/>
      <c r="H2" s="5"/>
      <c r="I2" s="5"/>
      <c r="J2" s="5"/>
      <c r="K2" s="5"/>
      <c r="L2" s="5"/>
      <c r="M2" s="5"/>
      <c r="N2" s="5"/>
      <c r="O2" s="5"/>
      <c r="P2" s="5"/>
      <c r="Q2" s="5"/>
      <c r="R2" s="5"/>
      <c r="S2" s="5"/>
      <c r="T2" s="5"/>
      <c r="U2" s="5"/>
      <c r="V2" s="5"/>
      <c r="W2" s="5"/>
      <c r="X2" s="5"/>
    </row>
    <row r="3" spans="1:24" ht="13.5" thickBot="1">
      <c r="A3" s="5"/>
      <c r="B3" s="5"/>
      <c r="C3" s="6"/>
      <c r="D3" s="5"/>
      <c r="E3" s="5"/>
      <c r="F3" s="5"/>
      <c r="G3" s="5"/>
      <c r="H3" s="5"/>
      <c r="I3" s="5"/>
      <c r="J3" s="5"/>
      <c r="K3" s="5"/>
      <c r="L3" s="5"/>
      <c r="M3" s="5"/>
      <c r="N3" s="5"/>
      <c r="O3" s="5"/>
      <c r="P3" s="5"/>
      <c r="Q3" s="5"/>
      <c r="R3" s="5"/>
      <c r="S3" s="5"/>
      <c r="T3" s="5"/>
      <c r="U3" s="5"/>
      <c r="V3" s="5"/>
      <c r="W3" s="5"/>
      <c r="X3" s="5"/>
    </row>
    <row r="4" spans="1:24" ht="12.95" customHeight="1" thickBot="1">
      <c r="A4" s="7" t="s">
        <v>50</v>
      </c>
      <c r="B4" s="97" t="s">
        <v>51</v>
      </c>
      <c r="C4" s="8"/>
      <c r="D4" s="927" t="s">
        <v>79</v>
      </c>
      <c r="E4" s="928"/>
      <c r="F4" s="928"/>
      <c r="G4" s="929"/>
      <c r="H4" s="927" t="s">
        <v>80</v>
      </c>
      <c r="I4" s="928"/>
      <c r="J4" s="928"/>
      <c r="K4" s="929"/>
      <c r="L4" s="927" t="s">
        <v>81</v>
      </c>
      <c r="M4" s="928"/>
      <c r="N4" s="928"/>
      <c r="O4" s="929"/>
      <c r="P4" s="927" t="s">
        <v>254</v>
      </c>
      <c r="Q4" s="928"/>
      <c r="R4" s="928"/>
      <c r="S4" s="929"/>
      <c r="T4" s="927" t="s">
        <v>76</v>
      </c>
      <c r="U4" s="928"/>
      <c r="V4" s="928"/>
      <c r="W4" s="929"/>
      <c r="X4" s="991"/>
    </row>
    <row r="5" spans="1:24" ht="13.5" thickBot="1">
      <c r="A5" s="868" t="s">
        <v>43</v>
      </c>
      <c r="B5" s="868" t="s">
        <v>46</v>
      </c>
      <c r="C5" s="9" t="s">
        <v>2</v>
      </c>
      <c r="D5" s="983" t="s">
        <v>82</v>
      </c>
      <c r="E5" s="984"/>
      <c r="F5" s="984"/>
      <c r="G5" s="984"/>
      <c r="H5" s="984"/>
      <c r="I5" s="984"/>
      <c r="J5" s="984"/>
      <c r="K5" s="984"/>
      <c r="L5" s="984"/>
      <c r="M5" s="984"/>
      <c r="N5" s="984"/>
      <c r="O5" s="984"/>
      <c r="P5" s="984"/>
      <c r="Q5" s="984"/>
      <c r="R5" s="984"/>
      <c r="S5" s="984"/>
      <c r="T5" s="984"/>
      <c r="U5" s="984"/>
      <c r="V5" s="984"/>
      <c r="W5" s="985"/>
      <c r="X5" s="992"/>
    </row>
    <row r="6" spans="1:24" ht="13.5" thickBot="1">
      <c r="A6" s="885"/>
      <c r="B6" s="885"/>
      <c r="C6" s="10" t="s">
        <v>3</v>
      </c>
      <c r="D6" s="986"/>
      <c r="E6" s="987"/>
      <c r="F6" s="987"/>
      <c r="G6" s="987"/>
      <c r="H6" s="987"/>
      <c r="I6" s="987"/>
      <c r="J6" s="987"/>
      <c r="K6" s="987"/>
      <c r="L6" s="987"/>
      <c r="M6" s="987"/>
      <c r="N6" s="987"/>
      <c r="O6" s="987"/>
      <c r="P6" s="987"/>
      <c r="Q6" s="987"/>
      <c r="R6" s="987"/>
      <c r="S6" s="987"/>
      <c r="T6" s="987"/>
      <c r="U6" s="987"/>
      <c r="V6" s="987"/>
      <c r="W6" s="988"/>
      <c r="X6" s="992"/>
    </row>
    <row r="7" spans="1:24" ht="12.95" customHeight="1" thickBot="1">
      <c r="A7" s="885"/>
      <c r="B7" s="885"/>
      <c r="C7" s="1278" t="s">
        <v>170</v>
      </c>
      <c r="D7" s="989" t="s">
        <v>4</v>
      </c>
      <c r="E7" s="990"/>
      <c r="F7" s="990"/>
      <c r="G7" s="990"/>
      <c r="H7" s="990"/>
      <c r="I7" s="990"/>
      <c r="J7" s="990"/>
      <c r="K7" s="990"/>
      <c r="L7" s="990"/>
      <c r="M7" s="990"/>
      <c r="N7" s="990"/>
      <c r="O7" s="990"/>
      <c r="P7" s="990"/>
      <c r="Q7" s="990"/>
      <c r="R7" s="990"/>
      <c r="S7" s="990"/>
      <c r="T7" s="990"/>
      <c r="U7" s="990"/>
      <c r="V7" s="990"/>
      <c r="W7" s="990"/>
      <c r="X7" s="992"/>
    </row>
    <row r="8" spans="1:24" ht="12.95" customHeight="1" thickBot="1">
      <c r="A8" s="885"/>
      <c r="B8" s="869"/>
      <c r="C8" s="1279"/>
      <c r="D8" s="930" t="s">
        <v>85</v>
      </c>
      <c r="E8" s="931"/>
      <c r="F8" s="931"/>
      <c r="G8" s="931"/>
      <c r="H8" s="931"/>
      <c r="I8" s="931"/>
      <c r="J8" s="931"/>
      <c r="K8" s="931"/>
      <c r="L8" s="931"/>
      <c r="M8" s="931"/>
      <c r="N8" s="931"/>
      <c r="O8" s="931"/>
      <c r="P8" s="931"/>
      <c r="Q8" s="931"/>
      <c r="R8" s="931"/>
      <c r="S8" s="931"/>
      <c r="T8" s="931"/>
      <c r="U8" s="931"/>
      <c r="V8" s="931"/>
      <c r="W8" s="932"/>
      <c r="X8" s="992"/>
    </row>
    <row r="9" spans="1:24" ht="12.95" customHeight="1" thickBot="1">
      <c r="A9" s="885"/>
      <c r="B9" s="11" t="s">
        <v>52</v>
      </c>
      <c r="C9" s="12"/>
      <c r="D9" s="927" t="s">
        <v>79</v>
      </c>
      <c r="E9" s="928"/>
      <c r="F9" s="928"/>
      <c r="G9" s="929"/>
      <c r="H9" s="927" t="s">
        <v>80</v>
      </c>
      <c r="I9" s="928"/>
      <c r="J9" s="928"/>
      <c r="K9" s="929"/>
      <c r="L9" s="927" t="s">
        <v>81</v>
      </c>
      <c r="M9" s="928"/>
      <c r="N9" s="928"/>
      <c r="O9" s="929"/>
      <c r="P9" s="927" t="s">
        <v>254</v>
      </c>
      <c r="Q9" s="928"/>
      <c r="R9" s="928"/>
      <c r="S9" s="929"/>
      <c r="T9" s="927" t="s">
        <v>76</v>
      </c>
      <c r="U9" s="928"/>
      <c r="V9" s="928"/>
      <c r="W9" s="929"/>
      <c r="X9" s="992"/>
    </row>
    <row r="10" spans="1:24" ht="36" customHeight="1" thickBot="1">
      <c r="A10" s="885"/>
      <c r="B10" s="868" t="s">
        <v>45</v>
      </c>
      <c r="C10" s="13" t="s">
        <v>2</v>
      </c>
      <c r="D10" s="930" t="s">
        <v>86</v>
      </c>
      <c r="E10" s="931"/>
      <c r="F10" s="931"/>
      <c r="G10" s="931"/>
      <c r="H10" s="931"/>
      <c r="I10" s="931"/>
      <c r="J10" s="931"/>
      <c r="K10" s="931"/>
      <c r="L10" s="931"/>
      <c r="M10" s="931"/>
      <c r="N10" s="931"/>
      <c r="O10" s="931"/>
      <c r="P10" s="931"/>
      <c r="Q10" s="931"/>
      <c r="R10" s="931"/>
      <c r="S10" s="931"/>
      <c r="T10" s="931"/>
      <c r="U10" s="931"/>
      <c r="V10" s="931"/>
      <c r="W10" s="932"/>
      <c r="X10" s="992"/>
    </row>
    <row r="11" spans="1:24" ht="13.5" thickBot="1">
      <c r="A11" s="885"/>
      <c r="B11" s="885"/>
      <c r="C11" s="10" t="s">
        <v>3</v>
      </c>
      <c r="D11" s="986"/>
      <c r="E11" s="987"/>
      <c r="F11" s="987"/>
      <c r="G11" s="987"/>
      <c r="H11" s="987"/>
      <c r="I11" s="987"/>
      <c r="J11" s="987"/>
      <c r="K11" s="987"/>
      <c r="L11" s="987"/>
      <c r="M11" s="987"/>
      <c r="N11" s="987"/>
      <c r="O11" s="987"/>
      <c r="P11" s="987"/>
      <c r="Q11" s="987"/>
      <c r="R11" s="987"/>
      <c r="S11" s="987"/>
      <c r="T11" s="987"/>
      <c r="U11" s="987"/>
      <c r="V11" s="987"/>
      <c r="W11" s="988"/>
      <c r="X11" s="992"/>
    </row>
    <row r="12" spans="1:24" ht="12.95" customHeight="1" thickBot="1">
      <c r="A12" s="885"/>
      <c r="B12" s="885"/>
      <c r="C12" s="1258" t="s">
        <v>170</v>
      </c>
      <c r="D12" s="927" t="s">
        <v>4</v>
      </c>
      <c r="E12" s="928"/>
      <c r="F12" s="928"/>
      <c r="G12" s="928"/>
      <c r="H12" s="928"/>
      <c r="I12" s="928"/>
      <c r="J12" s="928"/>
      <c r="K12" s="928"/>
      <c r="L12" s="928"/>
      <c r="M12" s="928"/>
      <c r="N12" s="928"/>
      <c r="O12" s="928"/>
      <c r="P12" s="928"/>
      <c r="Q12" s="928"/>
      <c r="R12" s="928"/>
      <c r="S12" s="928"/>
      <c r="T12" s="928"/>
      <c r="U12" s="928"/>
      <c r="V12" s="928"/>
      <c r="W12" s="928"/>
      <c r="X12" s="992"/>
    </row>
    <row r="13" spans="1:24" ht="24" customHeight="1" thickBot="1">
      <c r="A13" s="885"/>
      <c r="B13" s="869"/>
      <c r="C13" s="1259"/>
      <c r="D13" s="930" t="s">
        <v>87</v>
      </c>
      <c r="E13" s="931"/>
      <c r="F13" s="931"/>
      <c r="G13" s="931"/>
      <c r="H13" s="931"/>
      <c r="I13" s="931"/>
      <c r="J13" s="931"/>
      <c r="K13" s="931"/>
      <c r="L13" s="931"/>
      <c r="M13" s="931"/>
      <c r="N13" s="931"/>
      <c r="O13" s="931"/>
      <c r="P13" s="931"/>
      <c r="Q13" s="931"/>
      <c r="R13" s="931"/>
      <c r="S13" s="931"/>
      <c r="T13" s="931"/>
      <c r="U13" s="931"/>
      <c r="V13" s="931"/>
      <c r="W13" s="932"/>
      <c r="X13" s="992"/>
    </row>
    <row r="14" spans="1:24" ht="12.95" customHeight="1" thickBot="1">
      <c r="A14" s="885"/>
      <c r="B14" s="11" t="s">
        <v>53</v>
      </c>
      <c r="C14" s="12"/>
      <c r="D14" s="927" t="s">
        <v>79</v>
      </c>
      <c r="E14" s="928"/>
      <c r="F14" s="928"/>
      <c r="G14" s="929"/>
      <c r="H14" s="927" t="s">
        <v>80</v>
      </c>
      <c r="I14" s="928"/>
      <c r="J14" s="928"/>
      <c r="K14" s="929"/>
      <c r="L14" s="927" t="s">
        <v>81</v>
      </c>
      <c r="M14" s="928"/>
      <c r="N14" s="928"/>
      <c r="O14" s="929"/>
      <c r="P14" s="927" t="s">
        <v>254</v>
      </c>
      <c r="Q14" s="928"/>
      <c r="R14" s="928"/>
      <c r="S14" s="929"/>
      <c r="T14" s="927" t="s">
        <v>76</v>
      </c>
      <c r="U14" s="928"/>
      <c r="V14" s="928"/>
      <c r="W14" s="929"/>
      <c r="X14" s="992"/>
    </row>
    <row r="15" spans="1:24" ht="12.95" customHeight="1" thickBot="1">
      <c r="A15" s="885"/>
      <c r="B15" s="868" t="s">
        <v>44</v>
      </c>
      <c r="C15" s="9" t="s">
        <v>2</v>
      </c>
      <c r="D15" s="930" t="s">
        <v>83</v>
      </c>
      <c r="E15" s="931"/>
      <c r="F15" s="931"/>
      <c r="G15" s="931"/>
      <c r="H15" s="931"/>
      <c r="I15" s="931"/>
      <c r="J15" s="931"/>
      <c r="K15" s="931"/>
      <c r="L15" s="931"/>
      <c r="M15" s="931"/>
      <c r="N15" s="931"/>
      <c r="O15" s="931"/>
      <c r="P15" s="931"/>
      <c r="Q15" s="931"/>
      <c r="R15" s="931"/>
      <c r="S15" s="931"/>
      <c r="T15" s="931"/>
      <c r="U15" s="931"/>
      <c r="V15" s="931"/>
      <c r="W15" s="932"/>
      <c r="X15" s="992"/>
    </row>
    <row r="16" spans="1:24" ht="13.5" thickBot="1">
      <c r="A16" s="885"/>
      <c r="B16" s="885"/>
      <c r="C16" s="10" t="s">
        <v>3</v>
      </c>
      <c r="D16" s="986"/>
      <c r="E16" s="987"/>
      <c r="F16" s="987"/>
      <c r="G16" s="987"/>
      <c r="H16" s="987"/>
      <c r="I16" s="987"/>
      <c r="J16" s="987"/>
      <c r="K16" s="987"/>
      <c r="L16" s="987"/>
      <c r="M16" s="987"/>
      <c r="N16" s="987"/>
      <c r="O16" s="987"/>
      <c r="P16" s="987"/>
      <c r="Q16" s="987"/>
      <c r="R16" s="987"/>
      <c r="S16" s="987"/>
      <c r="T16" s="987"/>
      <c r="U16" s="987"/>
      <c r="V16" s="987"/>
      <c r="W16" s="988"/>
      <c r="X16" s="992"/>
    </row>
    <row r="17" spans="1:24" ht="12.95" customHeight="1" thickBot="1">
      <c r="A17" s="885"/>
      <c r="B17" s="885"/>
      <c r="C17" s="1258" t="s">
        <v>170</v>
      </c>
      <c r="D17" s="989" t="s">
        <v>4</v>
      </c>
      <c r="E17" s="990"/>
      <c r="F17" s="990"/>
      <c r="G17" s="990"/>
      <c r="H17" s="990"/>
      <c r="I17" s="990"/>
      <c r="J17" s="990"/>
      <c r="K17" s="990"/>
      <c r="L17" s="990"/>
      <c r="M17" s="990"/>
      <c r="N17" s="990"/>
      <c r="O17" s="990"/>
      <c r="P17" s="990"/>
      <c r="Q17" s="990"/>
      <c r="R17" s="990"/>
      <c r="S17" s="990"/>
      <c r="T17" s="990"/>
      <c r="U17" s="990"/>
      <c r="V17" s="990"/>
      <c r="W17" s="990"/>
      <c r="X17" s="992"/>
    </row>
    <row r="18" spans="1:24" ht="12.95" customHeight="1" thickBot="1">
      <c r="A18" s="869"/>
      <c r="B18" s="869"/>
      <c r="C18" s="1259"/>
      <c r="D18" s="930" t="s">
        <v>84</v>
      </c>
      <c r="E18" s="931"/>
      <c r="F18" s="931"/>
      <c r="G18" s="931"/>
      <c r="H18" s="931"/>
      <c r="I18" s="931"/>
      <c r="J18" s="931"/>
      <c r="K18" s="931"/>
      <c r="L18" s="931"/>
      <c r="M18" s="931"/>
      <c r="N18" s="931"/>
      <c r="O18" s="931"/>
      <c r="P18" s="931"/>
      <c r="Q18" s="931"/>
      <c r="R18" s="931"/>
      <c r="S18" s="931"/>
      <c r="T18" s="931"/>
      <c r="U18" s="931"/>
      <c r="V18" s="931"/>
      <c r="W18" s="932"/>
      <c r="X18" s="993"/>
    </row>
    <row r="19" spans="1:24">
      <c r="A19" s="5"/>
      <c r="B19" s="5"/>
      <c r="C19" s="14"/>
      <c r="D19" s="5"/>
      <c r="E19" s="5"/>
      <c r="F19" s="5"/>
      <c r="G19" s="5"/>
      <c r="H19" s="5"/>
      <c r="I19" s="5"/>
      <c r="J19" s="5"/>
      <c r="K19" s="5"/>
      <c r="L19" s="5"/>
      <c r="M19" s="5"/>
      <c r="N19" s="5"/>
      <c r="O19" s="5"/>
      <c r="P19" s="5"/>
      <c r="Q19" s="5"/>
      <c r="R19" s="5"/>
      <c r="S19" s="5"/>
      <c r="T19" s="5"/>
      <c r="U19" s="5"/>
      <c r="V19" s="5"/>
      <c r="W19" s="5"/>
      <c r="X19" s="5"/>
    </row>
    <row r="20" spans="1:24" ht="13.5" thickBot="1">
      <c r="A20" s="5"/>
      <c r="B20" s="5"/>
      <c r="C20" s="6"/>
      <c r="D20" s="5"/>
      <c r="E20" s="5"/>
      <c r="F20" s="5"/>
      <c r="G20" s="5"/>
      <c r="H20" s="5"/>
      <c r="I20" s="5"/>
      <c r="J20" s="5"/>
      <c r="K20" s="5"/>
      <c r="L20" s="5"/>
      <c r="M20" s="5"/>
      <c r="N20" s="5"/>
      <c r="O20" s="5"/>
      <c r="P20" s="5"/>
      <c r="Q20" s="5"/>
      <c r="R20" s="5"/>
      <c r="S20" s="5"/>
      <c r="T20" s="5"/>
      <c r="U20" s="5"/>
      <c r="V20" s="5"/>
      <c r="W20" s="5"/>
      <c r="X20" s="5"/>
    </row>
    <row r="21" spans="1:24" ht="12.95" customHeight="1" thickBot="1">
      <c r="A21" s="15" t="s">
        <v>1</v>
      </c>
      <c r="B21" s="97" t="s">
        <v>24</v>
      </c>
      <c r="C21" s="8"/>
      <c r="D21" s="927" t="s">
        <v>78</v>
      </c>
      <c r="E21" s="928"/>
      <c r="F21" s="928"/>
      <c r="G21" s="929"/>
      <c r="H21" s="927" t="s">
        <v>77</v>
      </c>
      <c r="I21" s="928"/>
      <c r="J21" s="928"/>
      <c r="K21" s="929"/>
      <c r="L21" s="927" t="s">
        <v>81</v>
      </c>
      <c r="M21" s="928"/>
      <c r="N21" s="928"/>
      <c r="O21" s="929"/>
      <c r="P21" s="927" t="s">
        <v>254</v>
      </c>
      <c r="Q21" s="928"/>
      <c r="R21" s="928"/>
      <c r="S21" s="929"/>
      <c r="T21" s="927" t="s">
        <v>76</v>
      </c>
      <c r="U21" s="928"/>
      <c r="V21" s="928"/>
      <c r="W21" s="929"/>
      <c r="X21" s="16" t="s">
        <v>6</v>
      </c>
    </row>
    <row r="22" spans="1:24" ht="12.95" customHeight="1" thickBot="1">
      <c r="A22" s="868" t="s">
        <v>47</v>
      </c>
      <c r="B22" s="868" t="s">
        <v>48</v>
      </c>
      <c r="C22" s="9" t="s">
        <v>2</v>
      </c>
      <c r="D22" s="942">
        <v>2</v>
      </c>
      <c r="E22" s="943"/>
      <c r="F22" s="943"/>
      <c r="G22" s="944"/>
      <c r="H22" s="942">
        <v>2</v>
      </c>
      <c r="I22" s="943"/>
      <c r="J22" s="943"/>
      <c r="K22" s="944"/>
      <c r="L22" s="942">
        <v>3</v>
      </c>
      <c r="M22" s="943"/>
      <c r="N22" s="943"/>
      <c r="O22" s="944"/>
      <c r="P22" s="942">
        <v>3</v>
      </c>
      <c r="Q22" s="943"/>
      <c r="R22" s="943"/>
      <c r="S22" s="944"/>
      <c r="T22" s="942">
        <v>3.2</v>
      </c>
      <c r="U22" s="943"/>
      <c r="V22" s="943"/>
      <c r="W22" s="944"/>
      <c r="X22" s="873" t="s">
        <v>96</v>
      </c>
    </row>
    <row r="23" spans="1:24" ht="13.5" thickBot="1">
      <c r="A23" s="885"/>
      <c r="B23" s="885"/>
      <c r="C23" s="10" t="s">
        <v>3</v>
      </c>
      <c r="D23" s="957"/>
      <c r="E23" s="958"/>
      <c r="F23" s="958"/>
      <c r="G23" s="959"/>
      <c r="H23" s="963">
        <v>2</v>
      </c>
      <c r="I23" s="964"/>
      <c r="J23" s="964"/>
      <c r="K23" s="965"/>
      <c r="L23" s="963">
        <v>2.7</v>
      </c>
      <c r="M23" s="964"/>
      <c r="N23" s="964"/>
      <c r="O23" s="965"/>
      <c r="P23" s="963">
        <v>2.8</v>
      </c>
      <c r="Q23" s="964"/>
      <c r="R23" s="964"/>
      <c r="S23" s="965"/>
      <c r="T23" s="963">
        <v>0</v>
      </c>
      <c r="U23" s="964"/>
      <c r="V23" s="964"/>
      <c r="W23" s="965"/>
      <c r="X23" s="874"/>
    </row>
    <row r="24" spans="1:24" ht="12.95" customHeight="1" thickBot="1">
      <c r="A24" s="885"/>
      <c r="B24" s="885"/>
      <c r="C24" s="1258" t="s">
        <v>170</v>
      </c>
      <c r="D24" s="927" t="s">
        <v>4</v>
      </c>
      <c r="E24" s="928"/>
      <c r="F24" s="928"/>
      <c r="G24" s="928"/>
      <c r="H24" s="928"/>
      <c r="I24" s="928"/>
      <c r="J24" s="928"/>
      <c r="K24" s="928"/>
      <c r="L24" s="928"/>
      <c r="M24" s="928"/>
      <c r="N24" s="928"/>
      <c r="O24" s="928"/>
      <c r="P24" s="928"/>
      <c r="Q24" s="928"/>
      <c r="R24" s="928"/>
      <c r="S24" s="928"/>
      <c r="T24" s="928"/>
      <c r="U24" s="928"/>
      <c r="V24" s="928"/>
      <c r="W24" s="928"/>
      <c r="X24" s="874"/>
    </row>
    <row r="25" spans="1:24" ht="12.95" customHeight="1" thickBot="1">
      <c r="A25" s="885"/>
      <c r="B25" s="869"/>
      <c r="C25" s="1259"/>
      <c r="D25" s="930" t="s">
        <v>115</v>
      </c>
      <c r="E25" s="931"/>
      <c r="F25" s="931"/>
      <c r="G25" s="931"/>
      <c r="H25" s="931"/>
      <c r="I25" s="931"/>
      <c r="J25" s="931"/>
      <c r="K25" s="931"/>
      <c r="L25" s="931"/>
      <c r="M25" s="931"/>
      <c r="N25" s="931"/>
      <c r="O25" s="931"/>
      <c r="P25" s="931"/>
      <c r="Q25" s="931"/>
      <c r="R25" s="931"/>
      <c r="S25" s="931"/>
      <c r="T25" s="931"/>
      <c r="U25" s="931"/>
      <c r="V25" s="931"/>
      <c r="W25" s="932"/>
      <c r="X25" s="874"/>
    </row>
    <row r="26" spans="1:24" ht="12.95" customHeight="1" thickBot="1">
      <c r="A26" s="885"/>
      <c r="B26" s="11" t="s">
        <v>25</v>
      </c>
      <c r="C26" s="12"/>
      <c r="D26" s="927" t="s">
        <v>78</v>
      </c>
      <c r="E26" s="928"/>
      <c r="F26" s="928"/>
      <c r="G26" s="929"/>
      <c r="H26" s="927" t="s">
        <v>77</v>
      </c>
      <c r="I26" s="928"/>
      <c r="J26" s="928"/>
      <c r="K26" s="929"/>
      <c r="L26" s="927" t="s">
        <v>81</v>
      </c>
      <c r="M26" s="928"/>
      <c r="N26" s="928"/>
      <c r="O26" s="929"/>
      <c r="P26" s="927" t="s">
        <v>254</v>
      </c>
      <c r="Q26" s="928"/>
      <c r="R26" s="928"/>
      <c r="S26" s="929"/>
      <c r="T26" s="927" t="s">
        <v>76</v>
      </c>
      <c r="U26" s="928"/>
      <c r="V26" s="928"/>
      <c r="W26" s="929"/>
      <c r="X26" s="874"/>
    </row>
    <row r="27" spans="1:24" ht="13.5" thickBot="1">
      <c r="A27" s="885"/>
      <c r="B27" s="868" t="s">
        <v>49</v>
      </c>
      <c r="C27" s="9" t="s">
        <v>2</v>
      </c>
      <c r="D27" s="942">
        <v>1</v>
      </c>
      <c r="E27" s="943"/>
      <c r="F27" s="943"/>
      <c r="G27" s="944"/>
      <c r="H27" s="942">
        <v>1</v>
      </c>
      <c r="I27" s="943"/>
      <c r="J27" s="943"/>
      <c r="K27" s="944"/>
      <c r="L27" s="942">
        <v>1.25</v>
      </c>
      <c r="M27" s="943"/>
      <c r="N27" s="943"/>
      <c r="O27" s="944"/>
      <c r="P27" s="942">
        <v>1.5</v>
      </c>
      <c r="Q27" s="943"/>
      <c r="R27" s="943"/>
      <c r="S27" s="944"/>
      <c r="T27" s="1188">
        <v>2.5</v>
      </c>
      <c r="U27" s="1189"/>
      <c r="V27" s="1189"/>
      <c r="W27" s="1190"/>
      <c r="X27" s="874"/>
    </row>
    <row r="28" spans="1:24" ht="13.5" thickBot="1">
      <c r="A28" s="885"/>
      <c r="B28" s="885"/>
      <c r="C28" s="10" t="s">
        <v>3</v>
      </c>
      <c r="D28" s="957"/>
      <c r="E28" s="958"/>
      <c r="F28" s="958"/>
      <c r="G28" s="959"/>
      <c r="H28" s="963">
        <v>2</v>
      </c>
      <c r="I28" s="964"/>
      <c r="J28" s="964"/>
      <c r="K28" s="965"/>
      <c r="L28" s="963">
        <v>2.2999999999999998</v>
      </c>
      <c r="M28" s="964"/>
      <c r="N28" s="964"/>
      <c r="O28" s="965"/>
      <c r="P28" s="963">
        <v>2.2999999999999998</v>
      </c>
      <c r="Q28" s="964"/>
      <c r="R28" s="964"/>
      <c r="S28" s="965"/>
      <c r="T28" s="963">
        <v>0</v>
      </c>
      <c r="U28" s="964"/>
      <c r="V28" s="964"/>
      <c r="W28" s="965"/>
      <c r="X28" s="874"/>
    </row>
    <row r="29" spans="1:24" ht="12.95" customHeight="1" thickBot="1">
      <c r="A29" s="885"/>
      <c r="B29" s="885"/>
      <c r="C29" s="1258" t="s">
        <v>170</v>
      </c>
      <c r="D29" s="927" t="s">
        <v>4</v>
      </c>
      <c r="E29" s="928"/>
      <c r="F29" s="928"/>
      <c r="G29" s="928"/>
      <c r="H29" s="928"/>
      <c r="I29" s="928"/>
      <c r="J29" s="928"/>
      <c r="K29" s="928"/>
      <c r="L29" s="928"/>
      <c r="M29" s="928"/>
      <c r="N29" s="928"/>
      <c r="O29" s="928"/>
      <c r="P29" s="928"/>
      <c r="Q29" s="928"/>
      <c r="R29" s="928"/>
      <c r="S29" s="928"/>
      <c r="T29" s="928"/>
      <c r="U29" s="928"/>
      <c r="V29" s="928"/>
      <c r="W29" s="928"/>
      <c r="X29" s="874"/>
    </row>
    <row r="30" spans="1:24" ht="12.95" customHeight="1" thickBot="1">
      <c r="A30" s="885"/>
      <c r="B30" s="869"/>
      <c r="C30" s="1259"/>
      <c r="D30" s="930" t="s">
        <v>116</v>
      </c>
      <c r="E30" s="931"/>
      <c r="F30" s="931"/>
      <c r="G30" s="931"/>
      <c r="H30" s="931"/>
      <c r="I30" s="931"/>
      <c r="J30" s="931"/>
      <c r="K30" s="931"/>
      <c r="L30" s="931"/>
      <c r="M30" s="931"/>
      <c r="N30" s="931"/>
      <c r="O30" s="931"/>
      <c r="P30" s="931"/>
      <c r="Q30" s="931"/>
      <c r="R30" s="931"/>
      <c r="S30" s="931"/>
      <c r="T30" s="931"/>
      <c r="U30" s="931"/>
      <c r="V30" s="931"/>
      <c r="W30" s="932"/>
      <c r="X30" s="874"/>
    </row>
    <row r="31" spans="1:24" ht="12.95" customHeight="1" thickBot="1">
      <c r="A31" s="885"/>
      <c r="B31" s="11" t="s">
        <v>37</v>
      </c>
      <c r="C31" s="12"/>
      <c r="D31" s="927" t="s">
        <v>78</v>
      </c>
      <c r="E31" s="928"/>
      <c r="F31" s="928"/>
      <c r="G31" s="929"/>
      <c r="H31" s="927" t="s">
        <v>77</v>
      </c>
      <c r="I31" s="928"/>
      <c r="J31" s="928"/>
      <c r="K31" s="929"/>
      <c r="L31" s="927" t="s">
        <v>81</v>
      </c>
      <c r="M31" s="928"/>
      <c r="N31" s="928"/>
      <c r="O31" s="929"/>
      <c r="P31" s="927" t="s">
        <v>254</v>
      </c>
      <c r="Q31" s="928"/>
      <c r="R31" s="928"/>
      <c r="S31" s="929"/>
      <c r="T31" s="927" t="s">
        <v>76</v>
      </c>
      <c r="U31" s="928"/>
      <c r="V31" s="928"/>
      <c r="W31" s="929"/>
      <c r="X31" s="874"/>
    </row>
    <row r="32" spans="1:24" ht="33" customHeight="1" thickBot="1">
      <c r="A32" s="885"/>
      <c r="B32" s="868" t="s">
        <v>148</v>
      </c>
      <c r="C32" s="9"/>
      <c r="D32" s="17" t="s">
        <v>106</v>
      </c>
      <c r="E32" s="17" t="s">
        <v>107</v>
      </c>
      <c r="F32" s="17" t="s">
        <v>108</v>
      </c>
      <c r="G32" s="17" t="s">
        <v>109</v>
      </c>
      <c r="H32" s="17" t="s">
        <v>106</v>
      </c>
      <c r="I32" s="17" t="s">
        <v>107</v>
      </c>
      <c r="J32" s="17" t="s">
        <v>108</v>
      </c>
      <c r="K32" s="17" t="s">
        <v>109</v>
      </c>
      <c r="L32" s="17" t="s">
        <v>106</v>
      </c>
      <c r="M32" s="17" t="s">
        <v>107</v>
      </c>
      <c r="N32" s="17" t="s">
        <v>108</v>
      </c>
      <c r="O32" s="17" t="s">
        <v>109</v>
      </c>
      <c r="P32" s="17" t="s">
        <v>106</v>
      </c>
      <c r="Q32" s="17" t="s">
        <v>107</v>
      </c>
      <c r="R32" s="17" t="s">
        <v>108</v>
      </c>
      <c r="S32" s="17" t="s">
        <v>109</v>
      </c>
      <c r="T32" s="17" t="s">
        <v>106</v>
      </c>
      <c r="U32" s="17" t="s">
        <v>107</v>
      </c>
      <c r="V32" s="17" t="s">
        <v>108</v>
      </c>
      <c r="W32" s="17" t="s">
        <v>109</v>
      </c>
      <c r="X32" s="874"/>
    </row>
    <row r="33" spans="1:24" ht="13.5" thickBot="1">
      <c r="A33" s="885"/>
      <c r="B33" s="885"/>
      <c r="C33" s="9" t="s">
        <v>2</v>
      </c>
      <c r="D33" s="18">
        <v>1</v>
      </c>
      <c r="E33" s="18">
        <v>1</v>
      </c>
      <c r="F33" s="18">
        <v>0</v>
      </c>
      <c r="G33" s="18">
        <v>2</v>
      </c>
      <c r="H33" s="18">
        <v>2</v>
      </c>
      <c r="I33" s="18">
        <v>2</v>
      </c>
      <c r="J33" s="18">
        <v>1</v>
      </c>
      <c r="K33" s="18">
        <v>11</v>
      </c>
      <c r="L33" s="18">
        <v>3</v>
      </c>
      <c r="M33" s="18">
        <v>3</v>
      </c>
      <c r="N33" s="18">
        <v>1</v>
      </c>
      <c r="O33" s="18">
        <v>15</v>
      </c>
      <c r="P33" s="18">
        <v>3</v>
      </c>
      <c r="Q33" s="18">
        <v>3</v>
      </c>
      <c r="R33" s="18">
        <v>2</v>
      </c>
      <c r="S33" s="18">
        <v>13</v>
      </c>
      <c r="T33" s="18">
        <v>7</v>
      </c>
      <c r="U33" s="18">
        <v>7</v>
      </c>
      <c r="V33" s="782">
        <v>12</v>
      </c>
      <c r="W33" s="18">
        <v>14</v>
      </c>
      <c r="X33" s="874"/>
    </row>
    <row r="34" spans="1:24" ht="13.5" thickBot="1">
      <c r="A34" s="885"/>
      <c r="B34" s="93" t="s">
        <v>145</v>
      </c>
      <c r="C34" s="10" t="s">
        <v>3</v>
      </c>
      <c r="D34" s="986"/>
      <c r="E34" s="987"/>
      <c r="F34" s="987"/>
      <c r="G34" s="988"/>
      <c r="H34" s="68">
        <v>3</v>
      </c>
      <c r="I34" s="68">
        <v>3</v>
      </c>
      <c r="J34" s="68">
        <v>1</v>
      </c>
      <c r="K34" s="68">
        <v>7</v>
      </c>
      <c r="L34" s="68">
        <v>1</v>
      </c>
      <c r="M34" s="68">
        <v>1</v>
      </c>
      <c r="N34" s="68">
        <v>1</v>
      </c>
      <c r="O34" s="68">
        <v>13</v>
      </c>
      <c r="P34" s="68">
        <v>6</v>
      </c>
      <c r="Q34" s="68">
        <v>6</v>
      </c>
      <c r="R34" s="68">
        <v>1</v>
      </c>
      <c r="S34" s="68">
        <v>15</v>
      </c>
      <c r="T34" s="68">
        <v>0</v>
      </c>
      <c r="U34" s="68">
        <v>0</v>
      </c>
      <c r="V34" s="68">
        <v>0</v>
      </c>
      <c r="W34" s="68">
        <v>0</v>
      </c>
      <c r="X34" s="874"/>
    </row>
    <row r="35" spans="1:24" ht="12.95" customHeight="1" thickBot="1">
      <c r="A35" s="885"/>
      <c r="B35" s="93" t="s">
        <v>147</v>
      </c>
      <c r="C35" s="1258" t="s">
        <v>170</v>
      </c>
      <c r="D35" s="927" t="s">
        <v>4</v>
      </c>
      <c r="E35" s="928"/>
      <c r="F35" s="928"/>
      <c r="G35" s="928"/>
      <c r="H35" s="928"/>
      <c r="I35" s="928"/>
      <c r="J35" s="928"/>
      <c r="K35" s="928"/>
      <c r="L35" s="928"/>
      <c r="M35" s="928"/>
      <c r="N35" s="928"/>
      <c r="O35" s="928"/>
      <c r="P35" s="928"/>
      <c r="Q35" s="928"/>
      <c r="R35" s="928"/>
      <c r="S35" s="928"/>
      <c r="T35" s="928"/>
      <c r="U35" s="928"/>
      <c r="V35" s="928"/>
      <c r="W35" s="928"/>
      <c r="X35" s="874"/>
    </row>
    <row r="36" spans="1:24" ht="12.95" customHeight="1" thickBot="1">
      <c r="A36" s="869"/>
      <c r="B36" s="94" t="s">
        <v>146</v>
      </c>
      <c r="C36" s="1259"/>
      <c r="D36" s="930" t="s">
        <v>117</v>
      </c>
      <c r="E36" s="931"/>
      <c r="F36" s="931"/>
      <c r="G36" s="931"/>
      <c r="H36" s="931"/>
      <c r="I36" s="931"/>
      <c r="J36" s="931"/>
      <c r="K36" s="931"/>
      <c r="L36" s="931"/>
      <c r="M36" s="931"/>
      <c r="N36" s="931"/>
      <c r="O36" s="931"/>
      <c r="P36" s="931"/>
      <c r="Q36" s="931"/>
      <c r="R36" s="931"/>
      <c r="S36" s="931"/>
      <c r="T36" s="931"/>
      <c r="U36" s="931"/>
      <c r="V36" s="931"/>
      <c r="W36" s="932"/>
      <c r="X36" s="875"/>
    </row>
    <row r="37" spans="1:24">
      <c r="A37" s="5"/>
      <c r="B37" s="5"/>
      <c r="C37" s="14"/>
      <c r="D37" s="5"/>
      <c r="E37" s="5"/>
      <c r="F37" s="5"/>
      <c r="G37" s="5"/>
      <c r="H37" s="5"/>
      <c r="I37" s="5"/>
      <c r="J37" s="5"/>
      <c r="K37" s="5"/>
      <c r="L37" s="5"/>
      <c r="M37" s="5"/>
      <c r="N37" s="5"/>
      <c r="O37" s="5"/>
      <c r="P37" s="5"/>
      <c r="Q37" s="5"/>
      <c r="R37" s="5"/>
      <c r="S37" s="5"/>
      <c r="T37" s="5"/>
      <c r="U37" s="5"/>
      <c r="V37" s="5"/>
      <c r="W37" s="5"/>
      <c r="X37" s="5"/>
    </row>
    <row r="38" spans="1:24" ht="13.5" thickBot="1">
      <c r="A38" s="5"/>
      <c r="B38" s="5"/>
      <c r="C38" s="6"/>
      <c r="D38" s="5"/>
      <c r="E38" s="5"/>
      <c r="F38" s="5"/>
      <c r="G38" s="5"/>
      <c r="H38" s="5"/>
      <c r="I38" s="5"/>
      <c r="J38" s="5"/>
      <c r="K38" s="5"/>
      <c r="L38" s="5"/>
      <c r="M38" s="5"/>
      <c r="N38" s="5"/>
      <c r="O38" s="5"/>
      <c r="P38" s="5"/>
      <c r="Q38" s="5"/>
      <c r="R38" s="5"/>
      <c r="S38" s="5"/>
      <c r="T38" s="5"/>
      <c r="U38" s="5"/>
      <c r="V38" s="5"/>
      <c r="W38" s="5"/>
      <c r="X38" s="5"/>
    </row>
    <row r="39" spans="1:24" ht="12.95" customHeight="1" thickBot="1">
      <c r="A39" s="7" t="s">
        <v>5</v>
      </c>
      <c r="B39" s="97" t="s">
        <v>22</v>
      </c>
      <c r="C39" s="8"/>
      <c r="D39" s="927" t="s">
        <v>78</v>
      </c>
      <c r="E39" s="928"/>
      <c r="F39" s="928"/>
      <c r="G39" s="929"/>
      <c r="H39" s="927" t="s">
        <v>77</v>
      </c>
      <c r="I39" s="928"/>
      <c r="J39" s="928"/>
      <c r="K39" s="929"/>
      <c r="L39" s="927" t="s">
        <v>81</v>
      </c>
      <c r="M39" s="928"/>
      <c r="N39" s="928"/>
      <c r="O39" s="929"/>
      <c r="P39" s="927" t="s">
        <v>254</v>
      </c>
      <c r="Q39" s="928"/>
      <c r="R39" s="928"/>
      <c r="S39" s="929"/>
      <c r="T39" s="927" t="s">
        <v>76</v>
      </c>
      <c r="U39" s="928"/>
      <c r="V39" s="928"/>
      <c r="W39" s="929"/>
      <c r="X39" s="19" t="s">
        <v>6</v>
      </c>
    </row>
    <row r="40" spans="1:24" ht="12.95" customHeight="1" thickBot="1">
      <c r="A40" s="868" t="s">
        <v>54</v>
      </c>
      <c r="B40" s="868" t="s">
        <v>55</v>
      </c>
      <c r="C40" s="9" t="s">
        <v>2</v>
      </c>
      <c r="D40" s="942">
        <v>1.9</v>
      </c>
      <c r="E40" s="943"/>
      <c r="F40" s="943"/>
      <c r="G40" s="944"/>
      <c r="H40" s="942">
        <v>2</v>
      </c>
      <c r="I40" s="943"/>
      <c r="J40" s="943"/>
      <c r="K40" s="944"/>
      <c r="L40" s="942">
        <v>3</v>
      </c>
      <c r="M40" s="943"/>
      <c r="N40" s="943"/>
      <c r="O40" s="944"/>
      <c r="P40" s="942">
        <v>3.2</v>
      </c>
      <c r="Q40" s="943"/>
      <c r="R40" s="943"/>
      <c r="S40" s="944"/>
      <c r="T40" s="942">
        <v>4</v>
      </c>
      <c r="U40" s="943"/>
      <c r="V40" s="943"/>
      <c r="W40" s="944"/>
      <c r="X40" s="879" t="s">
        <v>95</v>
      </c>
    </row>
    <row r="41" spans="1:24" ht="13.5" thickBot="1">
      <c r="A41" s="885"/>
      <c r="B41" s="885"/>
      <c r="C41" s="10" t="s">
        <v>3</v>
      </c>
      <c r="D41" s="957"/>
      <c r="E41" s="958"/>
      <c r="F41" s="958"/>
      <c r="G41" s="959"/>
      <c r="H41" s="963">
        <v>2</v>
      </c>
      <c r="I41" s="964"/>
      <c r="J41" s="964"/>
      <c r="K41" s="965"/>
      <c r="L41" s="963">
        <v>3</v>
      </c>
      <c r="M41" s="964"/>
      <c r="N41" s="964"/>
      <c r="O41" s="965"/>
      <c r="P41" s="963">
        <v>2.8</v>
      </c>
      <c r="Q41" s="964"/>
      <c r="R41" s="964"/>
      <c r="S41" s="965"/>
      <c r="T41" s="963">
        <v>0</v>
      </c>
      <c r="U41" s="964"/>
      <c r="V41" s="964"/>
      <c r="W41" s="965"/>
      <c r="X41" s="880"/>
    </row>
    <row r="42" spans="1:24" ht="12.95" customHeight="1" thickBot="1">
      <c r="A42" s="885"/>
      <c r="B42" s="885"/>
      <c r="C42" s="1258" t="s">
        <v>170</v>
      </c>
      <c r="D42" s="927" t="s">
        <v>4</v>
      </c>
      <c r="E42" s="928"/>
      <c r="F42" s="928"/>
      <c r="G42" s="928"/>
      <c r="H42" s="928"/>
      <c r="I42" s="928"/>
      <c r="J42" s="928"/>
      <c r="K42" s="928"/>
      <c r="L42" s="928"/>
      <c r="M42" s="928"/>
      <c r="N42" s="928"/>
      <c r="O42" s="928"/>
      <c r="P42" s="928"/>
      <c r="Q42" s="928"/>
      <c r="R42" s="928"/>
      <c r="S42" s="928"/>
      <c r="T42" s="928"/>
      <c r="U42" s="928"/>
      <c r="V42" s="928"/>
      <c r="W42" s="928"/>
      <c r="X42" s="880"/>
    </row>
    <row r="43" spans="1:24" ht="12.95" customHeight="1" thickBot="1">
      <c r="A43" s="885"/>
      <c r="B43" s="869"/>
      <c r="C43" s="1259"/>
      <c r="D43" s="930" t="s">
        <v>115</v>
      </c>
      <c r="E43" s="931"/>
      <c r="F43" s="931"/>
      <c r="G43" s="931"/>
      <c r="H43" s="931"/>
      <c r="I43" s="931"/>
      <c r="J43" s="931"/>
      <c r="K43" s="931"/>
      <c r="L43" s="931"/>
      <c r="M43" s="931"/>
      <c r="N43" s="931"/>
      <c r="O43" s="931"/>
      <c r="P43" s="931"/>
      <c r="Q43" s="931"/>
      <c r="R43" s="931"/>
      <c r="S43" s="931"/>
      <c r="T43" s="931"/>
      <c r="U43" s="931"/>
      <c r="V43" s="931"/>
      <c r="W43" s="932"/>
      <c r="X43" s="880"/>
    </row>
    <row r="44" spans="1:24" ht="12.95" customHeight="1" thickBot="1">
      <c r="A44" s="885"/>
      <c r="B44" s="11" t="s">
        <v>23</v>
      </c>
      <c r="C44" s="12"/>
      <c r="D44" s="927" t="s">
        <v>78</v>
      </c>
      <c r="E44" s="928"/>
      <c r="F44" s="928"/>
      <c r="G44" s="929"/>
      <c r="H44" s="927" t="s">
        <v>77</v>
      </c>
      <c r="I44" s="928"/>
      <c r="J44" s="928"/>
      <c r="K44" s="929"/>
      <c r="L44" s="927" t="s">
        <v>81</v>
      </c>
      <c r="M44" s="928"/>
      <c r="N44" s="928"/>
      <c r="O44" s="929"/>
      <c r="P44" s="927" t="s">
        <v>254</v>
      </c>
      <c r="Q44" s="928"/>
      <c r="R44" s="928"/>
      <c r="S44" s="929"/>
      <c r="T44" s="927" t="s">
        <v>76</v>
      </c>
      <c r="U44" s="928"/>
      <c r="V44" s="928"/>
      <c r="W44" s="929"/>
      <c r="X44" s="880"/>
    </row>
    <row r="45" spans="1:24" ht="13.5" thickBot="1">
      <c r="A45" s="885"/>
      <c r="B45" s="868" t="s">
        <v>56</v>
      </c>
      <c r="C45" s="9" t="s">
        <v>2</v>
      </c>
      <c r="D45" s="942">
        <v>2</v>
      </c>
      <c r="E45" s="943"/>
      <c r="F45" s="943"/>
      <c r="G45" s="944"/>
      <c r="H45" s="942">
        <v>2</v>
      </c>
      <c r="I45" s="943"/>
      <c r="J45" s="943"/>
      <c r="K45" s="944"/>
      <c r="L45" s="942">
        <v>3.5</v>
      </c>
      <c r="M45" s="943"/>
      <c r="N45" s="943"/>
      <c r="O45" s="944"/>
      <c r="P45" s="942">
        <v>3.8</v>
      </c>
      <c r="Q45" s="943"/>
      <c r="R45" s="943"/>
      <c r="S45" s="944"/>
      <c r="T45" s="942">
        <v>4</v>
      </c>
      <c r="U45" s="943"/>
      <c r="V45" s="943"/>
      <c r="W45" s="944"/>
      <c r="X45" s="880"/>
    </row>
    <row r="46" spans="1:24" ht="13.5" thickBot="1">
      <c r="A46" s="885"/>
      <c r="B46" s="885"/>
      <c r="C46" s="10" t="s">
        <v>3</v>
      </c>
      <c r="D46" s="957"/>
      <c r="E46" s="958"/>
      <c r="F46" s="958"/>
      <c r="G46" s="959"/>
      <c r="H46" s="963">
        <v>2</v>
      </c>
      <c r="I46" s="964"/>
      <c r="J46" s="964"/>
      <c r="K46" s="965"/>
      <c r="L46" s="963">
        <v>3.5</v>
      </c>
      <c r="M46" s="964"/>
      <c r="N46" s="964"/>
      <c r="O46" s="965"/>
      <c r="P46" s="963">
        <v>3.5</v>
      </c>
      <c r="Q46" s="964"/>
      <c r="R46" s="964"/>
      <c r="S46" s="965"/>
      <c r="T46" s="963">
        <v>0</v>
      </c>
      <c r="U46" s="964"/>
      <c r="V46" s="964"/>
      <c r="W46" s="965"/>
      <c r="X46" s="880"/>
    </row>
    <row r="47" spans="1:24" ht="12.95" customHeight="1" thickBot="1">
      <c r="A47" s="885"/>
      <c r="B47" s="885"/>
      <c r="C47" s="1258" t="s">
        <v>170</v>
      </c>
      <c r="D47" s="927" t="s">
        <v>4</v>
      </c>
      <c r="E47" s="928"/>
      <c r="F47" s="928"/>
      <c r="G47" s="928"/>
      <c r="H47" s="928"/>
      <c r="I47" s="928"/>
      <c r="J47" s="928"/>
      <c r="K47" s="928"/>
      <c r="L47" s="928"/>
      <c r="M47" s="928"/>
      <c r="N47" s="928"/>
      <c r="O47" s="928"/>
      <c r="P47" s="928"/>
      <c r="Q47" s="928"/>
      <c r="R47" s="928"/>
      <c r="S47" s="928"/>
      <c r="T47" s="928"/>
      <c r="U47" s="928"/>
      <c r="V47" s="928"/>
      <c r="W47" s="928"/>
      <c r="X47" s="880"/>
    </row>
    <row r="48" spans="1:24" ht="12.95" customHeight="1" thickBot="1">
      <c r="A48" s="885"/>
      <c r="B48" s="869"/>
      <c r="C48" s="1259"/>
      <c r="D48" s="930" t="s">
        <v>115</v>
      </c>
      <c r="E48" s="931"/>
      <c r="F48" s="931"/>
      <c r="G48" s="931"/>
      <c r="H48" s="931"/>
      <c r="I48" s="931"/>
      <c r="J48" s="931"/>
      <c r="K48" s="931"/>
      <c r="L48" s="931"/>
      <c r="M48" s="931"/>
      <c r="N48" s="931"/>
      <c r="O48" s="931"/>
      <c r="P48" s="931"/>
      <c r="Q48" s="931"/>
      <c r="R48" s="931"/>
      <c r="S48" s="931"/>
      <c r="T48" s="931"/>
      <c r="U48" s="931"/>
      <c r="V48" s="931"/>
      <c r="W48" s="932"/>
      <c r="X48" s="880"/>
    </row>
    <row r="49" spans="1:24" ht="12.95" customHeight="1" thickBot="1">
      <c r="A49" s="885"/>
      <c r="B49" s="11" t="s">
        <v>38</v>
      </c>
      <c r="C49" s="12"/>
      <c r="D49" s="927" t="s">
        <v>78</v>
      </c>
      <c r="E49" s="928"/>
      <c r="F49" s="928"/>
      <c r="G49" s="929"/>
      <c r="H49" s="927" t="s">
        <v>77</v>
      </c>
      <c r="I49" s="928"/>
      <c r="J49" s="928"/>
      <c r="K49" s="929"/>
      <c r="L49" s="927" t="s">
        <v>81</v>
      </c>
      <c r="M49" s="928"/>
      <c r="N49" s="928"/>
      <c r="O49" s="929"/>
      <c r="P49" s="927" t="s">
        <v>254</v>
      </c>
      <c r="Q49" s="928"/>
      <c r="R49" s="928"/>
      <c r="S49" s="929"/>
      <c r="T49" s="927" t="s">
        <v>76</v>
      </c>
      <c r="U49" s="928"/>
      <c r="V49" s="928"/>
      <c r="W49" s="929"/>
      <c r="X49" s="880"/>
    </row>
    <row r="50" spans="1:24" ht="12.95" customHeight="1" thickBot="1">
      <c r="A50" s="885"/>
      <c r="B50" s="868" t="s">
        <v>155</v>
      </c>
      <c r="C50" s="9" t="s">
        <v>2</v>
      </c>
      <c r="D50" s="933" t="s">
        <v>171</v>
      </c>
      <c r="E50" s="934"/>
      <c r="F50" s="934"/>
      <c r="G50" s="935"/>
      <c r="H50" s="966" t="s">
        <v>572</v>
      </c>
      <c r="I50" s="967"/>
      <c r="J50" s="967"/>
      <c r="K50" s="968"/>
      <c r="L50" s="942">
        <v>2.8</v>
      </c>
      <c r="M50" s="943"/>
      <c r="N50" s="943"/>
      <c r="O50" s="944"/>
      <c r="P50" s="942">
        <v>3.2</v>
      </c>
      <c r="Q50" s="943"/>
      <c r="R50" s="943"/>
      <c r="S50" s="944"/>
      <c r="T50" s="942">
        <v>4</v>
      </c>
      <c r="U50" s="943"/>
      <c r="V50" s="943"/>
      <c r="W50" s="944"/>
      <c r="X50" s="880"/>
    </row>
    <row r="51" spans="1:24" ht="13.5" thickBot="1">
      <c r="A51" s="885"/>
      <c r="B51" s="885"/>
      <c r="C51" s="98" t="s">
        <v>3</v>
      </c>
      <c r="D51" s="933"/>
      <c r="E51" s="934"/>
      <c r="F51" s="934"/>
      <c r="G51" s="935"/>
      <c r="H51" s="933"/>
      <c r="I51" s="934"/>
      <c r="J51" s="934"/>
      <c r="K51" s="935"/>
      <c r="L51" s="1171"/>
      <c r="M51" s="1172"/>
      <c r="N51" s="1172"/>
      <c r="O51" s="1173"/>
      <c r="P51" s="963">
        <v>3.7</v>
      </c>
      <c r="Q51" s="964"/>
      <c r="R51" s="964"/>
      <c r="S51" s="965"/>
      <c r="T51" s="963">
        <v>0</v>
      </c>
      <c r="U51" s="964"/>
      <c r="V51" s="964"/>
      <c r="W51" s="965"/>
      <c r="X51" s="880"/>
    </row>
    <row r="52" spans="1:24" ht="12.95" customHeight="1" thickBot="1">
      <c r="A52" s="885"/>
      <c r="B52" s="885"/>
      <c r="C52" s="922" t="s">
        <v>170</v>
      </c>
      <c r="D52" s="927" t="s">
        <v>4</v>
      </c>
      <c r="E52" s="928"/>
      <c r="F52" s="928"/>
      <c r="G52" s="928"/>
      <c r="H52" s="928"/>
      <c r="I52" s="928"/>
      <c r="J52" s="928"/>
      <c r="K52" s="928"/>
      <c r="L52" s="928"/>
      <c r="M52" s="928"/>
      <c r="N52" s="928"/>
      <c r="O52" s="928"/>
      <c r="P52" s="928"/>
      <c r="Q52" s="928"/>
      <c r="R52" s="928"/>
      <c r="S52" s="928"/>
      <c r="T52" s="928"/>
      <c r="U52" s="928"/>
      <c r="V52" s="928"/>
      <c r="W52" s="928"/>
      <c r="X52" s="880"/>
    </row>
    <row r="53" spans="1:24" ht="12.95" customHeight="1" thickBot="1">
      <c r="A53" s="885"/>
      <c r="B53" s="869"/>
      <c r="C53" s="923"/>
      <c r="D53" s="930" t="s">
        <v>115</v>
      </c>
      <c r="E53" s="931"/>
      <c r="F53" s="931"/>
      <c r="G53" s="931"/>
      <c r="H53" s="931"/>
      <c r="I53" s="931"/>
      <c r="J53" s="931"/>
      <c r="K53" s="931"/>
      <c r="L53" s="931"/>
      <c r="M53" s="931"/>
      <c r="N53" s="931"/>
      <c r="O53" s="931"/>
      <c r="P53" s="931"/>
      <c r="Q53" s="931"/>
      <c r="R53" s="931"/>
      <c r="S53" s="931"/>
      <c r="T53" s="931"/>
      <c r="U53" s="931"/>
      <c r="V53" s="931"/>
      <c r="W53" s="932"/>
      <c r="X53" s="880"/>
    </row>
    <row r="54" spans="1:24" ht="12.95" customHeight="1" thickBot="1">
      <c r="A54" s="885"/>
      <c r="B54" s="11" t="s">
        <v>39</v>
      </c>
      <c r="C54" s="12"/>
      <c r="D54" s="927" t="s">
        <v>78</v>
      </c>
      <c r="E54" s="928"/>
      <c r="F54" s="928"/>
      <c r="G54" s="929"/>
      <c r="H54" s="927" t="s">
        <v>77</v>
      </c>
      <c r="I54" s="928"/>
      <c r="J54" s="928"/>
      <c r="K54" s="929"/>
      <c r="L54" s="927" t="s">
        <v>81</v>
      </c>
      <c r="M54" s="928"/>
      <c r="N54" s="928"/>
      <c r="O54" s="929"/>
      <c r="P54" s="927" t="s">
        <v>254</v>
      </c>
      <c r="Q54" s="928"/>
      <c r="R54" s="928"/>
      <c r="S54" s="929"/>
      <c r="T54" s="927" t="s">
        <v>76</v>
      </c>
      <c r="U54" s="928"/>
      <c r="V54" s="928"/>
      <c r="W54" s="929"/>
      <c r="X54" s="880"/>
    </row>
    <row r="55" spans="1:24" ht="44.1" customHeight="1" thickBot="1">
      <c r="A55" s="885"/>
      <c r="B55" s="978" t="s">
        <v>575</v>
      </c>
      <c r="C55" s="9"/>
      <c r="D55" s="20" t="s">
        <v>105</v>
      </c>
      <c r="E55" s="20" t="s">
        <v>579</v>
      </c>
      <c r="F55" s="20" t="s">
        <v>580</v>
      </c>
      <c r="G55" s="20" t="s">
        <v>581</v>
      </c>
      <c r="H55" s="20" t="s">
        <v>105</v>
      </c>
      <c r="I55" s="20" t="s">
        <v>579</v>
      </c>
      <c r="J55" s="20" t="s">
        <v>580</v>
      </c>
      <c r="K55" s="20" t="s">
        <v>581</v>
      </c>
      <c r="L55" s="20" t="s">
        <v>105</v>
      </c>
      <c r="M55" s="20" t="s">
        <v>579</v>
      </c>
      <c r="N55" s="20" t="s">
        <v>580</v>
      </c>
      <c r="O55" s="20" t="s">
        <v>581</v>
      </c>
      <c r="P55" s="20" t="s">
        <v>105</v>
      </c>
      <c r="Q55" s="20" t="s">
        <v>579</v>
      </c>
      <c r="R55" s="20" t="s">
        <v>580</v>
      </c>
      <c r="S55" s="20" t="s">
        <v>581</v>
      </c>
      <c r="T55" s="20" t="s">
        <v>105</v>
      </c>
      <c r="U55" s="20" t="s">
        <v>579</v>
      </c>
      <c r="V55" s="20" t="s">
        <v>580</v>
      </c>
      <c r="W55" s="20" t="s">
        <v>581</v>
      </c>
      <c r="X55" s="880"/>
    </row>
    <row r="56" spans="1:24" ht="13.5" thickBot="1">
      <c r="A56" s="885"/>
      <c r="B56" s="979"/>
      <c r="C56" s="9" t="s">
        <v>2</v>
      </c>
      <c r="D56" s="18">
        <v>0</v>
      </c>
      <c r="E56" s="18">
        <v>0</v>
      </c>
      <c r="F56" s="18">
        <v>0</v>
      </c>
      <c r="G56" s="18">
        <v>0</v>
      </c>
      <c r="H56" s="18">
        <v>2</v>
      </c>
      <c r="I56" s="18">
        <v>1</v>
      </c>
      <c r="J56" s="18">
        <v>0</v>
      </c>
      <c r="K56" s="18">
        <v>0</v>
      </c>
      <c r="L56" s="18">
        <v>4</v>
      </c>
      <c r="M56" s="18">
        <v>2</v>
      </c>
      <c r="N56" s="18">
        <v>1</v>
      </c>
      <c r="O56" s="18">
        <v>0</v>
      </c>
      <c r="P56" s="18">
        <v>10</v>
      </c>
      <c r="Q56" s="18">
        <v>5</v>
      </c>
      <c r="R56" s="18">
        <v>3</v>
      </c>
      <c r="S56" s="18">
        <v>0</v>
      </c>
      <c r="T56" s="18">
        <v>13</v>
      </c>
      <c r="U56" s="18">
        <v>7</v>
      </c>
      <c r="V56" s="782">
        <v>8</v>
      </c>
      <c r="W56" s="18">
        <v>1</v>
      </c>
      <c r="X56" s="880"/>
    </row>
    <row r="57" spans="1:24" ht="24" customHeight="1" thickBot="1">
      <c r="A57" s="885"/>
      <c r="B57" s="169" t="s">
        <v>159</v>
      </c>
      <c r="C57" s="10" t="s">
        <v>3</v>
      </c>
      <c r="D57" s="933" t="s">
        <v>271</v>
      </c>
      <c r="E57" s="934"/>
      <c r="F57" s="934"/>
      <c r="G57" s="935"/>
      <c r="H57" s="68">
        <v>2</v>
      </c>
      <c r="I57" s="68">
        <v>1</v>
      </c>
      <c r="J57" s="68">
        <v>0</v>
      </c>
      <c r="K57" s="68">
        <v>0</v>
      </c>
      <c r="L57" s="68">
        <v>7</v>
      </c>
      <c r="M57" s="68">
        <v>4</v>
      </c>
      <c r="N57" s="68">
        <v>2</v>
      </c>
      <c r="O57" s="68">
        <v>0</v>
      </c>
      <c r="P57" s="68">
        <v>14</v>
      </c>
      <c r="Q57" s="68">
        <v>8</v>
      </c>
      <c r="R57" s="68">
        <v>4</v>
      </c>
      <c r="S57" s="68">
        <v>0</v>
      </c>
      <c r="T57" s="68">
        <v>0</v>
      </c>
      <c r="U57" s="68">
        <v>0</v>
      </c>
      <c r="V57" s="68">
        <v>0</v>
      </c>
      <c r="W57" s="68">
        <v>0</v>
      </c>
      <c r="X57" s="880"/>
    </row>
    <row r="58" spans="1:24" ht="36.75" thickBot="1">
      <c r="A58" s="885"/>
      <c r="B58" s="169" t="s">
        <v>576</v>
      </c>
      <c r="C58" s="1258" t="s">
        <v>170</v>
      </c>
      <c r="D58" s="927" t="s">
        <v>4</v>
      </c>
      <c r="E58" s="928"/>
      <c r="F58" s="928"/>
      <c r="G58" s="928"/>
      <c r="H58" s="928"/>
      <c r="I58" s="928"/>
      <c r="J58" s="928"/>
      <c r="K58" s="928"/>
      <c r="L58" s="928"/>
      <c r="M58" s="928"/>
      <c r="N58" s="928"/>
      <c r="O58" s="928"/>
      <c r="P58" s="928"/>
      <c r="Q58" s="928"/>
      <c r="R58" s="928"/>
      <c r="S58" s="928"/>
      <c r="T58" s="928"/>
      <c r="U58" s="928"/>
      <c r="V58" s="928"/>
      <c r="W58" s="928"/>
      <c r="X58" s="880"/>
    </row>
    <row r="59" spans="1:24" ht="12.95" customHeight="1" thickBot="1">
      <c r="A59" s="869"/>
      <c r="B59" s="176" t="s">
        <v>577</v>
      </c>
      <c r="C59" s="1259"/>
      <c r="D59" s="930" t="s">
        <v>126</v>
      </c>
      <c r="E59" s="931"/>
      <c r="F59" s="931"/>
      <c r="G59" s="931"/>
      <c r="H59" s="931"/>
      <c r="I59" s="931"/>
      <c r="J59" s="931"/>
      <c r="K59" s="931"/>
      <c r="L59" s="931"/>
      <c r="M59" s="931"/>
      <c r="N59" s="931"/>
      <c r="O59" s="931"/>
      <c r="P59" s="931"/>
      <c r="Q59" s="931"/>
      <c r="R59" s="931"/>
      <c r="S59" s="931"/>
      <c r="T59" s="931"/>
      <c r="U59" s="931"/>
      <c r="V59" s="931"/>
      <c r="W59" s="932"/>
      <c r="X59" s="881"/>
    </row>
    <row r="60" spans="1:24" ht="12.95" customHeight="1" thickBot="1">
      <c r="A60" s="906" t="s">
        <v>7</v>
      </c>
      <c r="B60" s="908" t="s">
        <v>173</v>
      </c>
      <c r="C60" s="909"/>
      <c r="D60" s="908" t="s">
        <v>8</v>
      </c>
      <c r="E60" s="918"/>
      <c r="F60" s="918"/>
      <c r="G60" s="909"/>
      <c r="H60" s="908" t="s">
        <v>88</v>
      </c>
      <c r="I60" s="918"/>
      <c r="J60" s="918"/>
      <c r="K60" s="909"/>
      <c r="L60" s="908" t="s">
        <v>89</v>
      </c>
      <c r="M60" s="918"/>
      <c r="N60" s="918"/>
      <c r="O60" s="909"/>
      <c r="P60" s="908" t="s">
        <v>9</v>
      </c>
      <c r="Q60" s="918"/>
      <c r="R60" s="918"/>
      <c r="S60" s="909"/>
      <c r="T60" s="908" t="s">
        <v>174</v>
      </c>
      <c r="U60" s="918"/>
      <c r="V60" s="918"/>
      <c r="W60" s="918"/>
      <c r="X60" s="909"/>
    </row>
    <row r="61" spans="1:24" ht="13.5" thickBot="1">
      <c r="A61" s="907"/>
      <c r="B61" s="916">
        <f>SUM(B82+B103+B132+B164+B180)</f>
        <v>0</v>
      </c>
      <c r="C61" s="917"/>
      <c r="D61" s="1274" t="e">
        <f>SUM(D82+D103+D132+D164+D180)</f>
        <v>#VALUE!</v>
      </c>
      <c r="E61" s="994"/>
      <c r="F61" s="994">
        <f>SUM(F82+F103+F132+F164+F180)</f>
        <v>0</v>
      </c>
      <c r="G61" s="917"/>
      <c r="H61" s="1274">
        <f>SUM(H82+H103+H132+H164+H180)</f>
        <v>0</v>
      </c>
      <c r="I61" s="994"/>
      <c r="J61" s="994">
        <f>SUM(J82+J103+J132+J164+J180)</f>
        <v>0</v>
      </c>
      <c r="K61" s="917"/>
      <c r="L61" s="1274">
        <f>SUM(L82+L103+L132+L164+L180)</f>
        <v>0</v>
      </c>
      <c r="M61" s="994"/>
      <c r="N61" s="994">
        <f>SUM(N82+N103+N132+N164+N180)</f>
        <v>0</v>
      </c>
      <c r="O61" s="917"/>
      <c r="P61" s="916"/>
      <c r="Q61" s="994"/>
      <c r="R61" s="994"/>
      <c r="S61" s="917"/>
      <c r="T61" s="916" t="e">
        <f>B61/P61%</f>
        <v>#DIV/0!</v>
      </c>
      <c r="U61" s="994"/>
      <c r="V61" s="994"/>
      <c r="W61" s="994"/>
      <c r="X61" s="917"/>
    </row>
    <row r="62" spans="1:24" ht="13.5" thickBot="1">
      <c r="A62" s="906" t="s">
        <v>10</v>
      </c>
      <c r="B62" s="908" t="s">
        <v>175</v>
      </c>
      <c r="C62" s="909"/>
      <c r="D62" s="910"/>
      <c r="E62" s="911"/>
      <c r="F62" s="911"/>
      <c r="G62" s="911"/>
      <c r="H62" s="911"/>
      <c r="I62" s="911"/>
      <c r="J62" s="911"/>
      <c r="K62" s="911"/>
      <c r="L62" s="911"/>
      <c r="M62" s="911"/>
      <c r="N62" s="911"/>
      <c r="O62" s="911"/>
      <c r="P62" s="911"/>
      <c r="Q62" s="911"/>
      <c r="R62" s="911"/>
      <c r="S62" s="911"/>
      <c r="T62" s="911"/>
      <c r="U62" s="911"/>
      <c r="V62" s="911"/>
      <c r="W62" s="911"/>
      <c r="X62" s="912"/>
    </row>
    <row r="63" spans="1:24" ht="13.5" thickBot="1">
      <c r="A63" s="907"/>
      <c r="B63" s="916" t="e">
        <f>SUM(B84+B105+B134+B166+B182)</f>
        <v>#VALUE!</v>
      </c>
      <c r="C63" s="917"/>
      <c r="D63" s="913"/>
      <c r="E63" s="914"/>
      <c r="F63" s="914"/>
      <c r="G63" s="914"/>
      <c r="H63" s="914"/>
      <c r="I63" s="914"/>
      <c r="J63" s="914"/>
      <c r="K63" s="914"/>
      <c r="L63" s="914"/>
      <c r="M63" s="914"/>
      <c r="N63" s="914"/>
      <c r="O63" s="914"/>
      <c r="P63" s="914"/>
      <c r="Q63" s="914"/>
      <c r="R63" s="914"/>
      <c r="S63" s="914"/>
      <c r="T63" s="914"/>
      <c r="U63" s="914"/>
      <c r="V63" s="914"/>
      <c r="W63" s="914"/>
      <c r="X63" s="915"/>
    </row>
    <row r="64" spans="1:24">
      <c r="A64" s="5"/>
      <c r="B64" s="5"/>
      <c r="C64" s="6"/>
      <c r="D64" s="5"/>
      <c r="E64" s="5"/>
      <c r="F64" s="5"/>
      <c r="G64" s="5"/>
      <c r="H64" s="5"/>
      <c r="I64" s="5"/>
      <c r="J64" s="5"/>
      <c r="K64" s="5"/>
      <c r="L64" s="5"/>
      <c r="M64" s="5"/>
      <c r="N64" s="5"/>
      <c r="O64" s="5"/>
      <c r="P64" s="5"/>
      <c r="Q64" s="5"/>
      <c r="R64" s="5"/>
      <c r="S64" s="5"/>
      <c r="T64" s="5"/>
      <c r="U64" s="5"/>
      <c r="V64" s="5"/>
      <c r="W64" s="5"/>
      <c r="X64" s="5"/>
    </row>
    <row r="65" spans="1:24" ht="13.5" thickBot="1">
      <c r="A65" s="21"/>
      <c r="B65" s="21"/>
      <c r="C65" s="22"/>
      <c r="D65" s="21"/>
      <c r="E65" s="21"/>
      <c r="F65" s="21"/>
      <c r="G65" s="21"/>
      <c r="H65" s="21"/>
      <c r="I65" s="21"/>
      <c r="J65" s="21"/>
      <c r="K65" s="21"/>
      <c r="L65" s="21"/>
      <c r="M65" s="21"/>
      <c r="N65" s="21"/>
      <c r="O65" s="21"/>
      <c r="P65" s="21"/>
      <c r="Q65" s="21"/>
      <c r="R65" s="21"/>
      <c r="S65" s="21"/>
      <c r="T65" s="21"/>
      <c r="U65" s="21"/>
      <c r="V65" s="21"/>
      <c r="W65" s="21"/>
      <c r="X65" s="21"/>
    </row>
    <row r="66" spans="1:24" ht="12.95" customHeight="1" thickBot="1">
      <c r="A66" s="95" t="s">
        <v>11</v>
      </c>
      <c r="B66" s="97" t="s">
        <v>16</v>
      </c>
      <c r="C66" s="8"/>
      <c r="D66" s="927" t="s">
        <v>78</v>
      </c>
      <c r="E66" s="928"/>
      <c r="F66" s="928"/>
      <c r="G66" s="929"/>
      <c r="H66" s="927" t="s">
        <v>77</v>
      </c>
      <c r="I66" s="928"/>
      <c r="J66" s="928"/>
      <c r="K66" s="929"/>
      <c r="L66" s="927" t="s">
        <v>81</v>
      </c>
      <c r="M66" s="928"/>
      <c r="N66" s="928"/>
      <c r="O66" s="929"/>
      <c r="P66" s="927" t="s">
        <v>254</v>
      </c>
      <c r="Q66" s="928"/>
      <c r="R66" s="928"/>
      <c r="S66" s="929"/>
      <c r="T66" s="927" t="s">
        <v>76</v>
      </c>
      <c r="U66" s="928"/>
      <c r="V66" s="928"/>
      <c r="W66" s="929"/>
      <c r="X66" s="16" t="s">
        <v>12</v>
      </c>
    </row>
    <row r="67" spans="1:24" ht="12.95" customHeight="1" thickBot="1">
      <c r="A67" s="868" t="s">
        <v>57</v>
      </c>
      <c r="B67" s="868" t="s">
        <v>58</v>
      </c>
      <c r="C67" s="9" t="s">
        <v>2</v>
      </c>
      <c r="D67" s="942">
        <v>1</v>
      </c>
      <c r="E67" s="943"/>
      <c r="F67" s="943"/>
      <c r="G67" s="944"/>
      <c r="H67" s="942">
        <v>1.5</v>
      </c>
      <c r="I67" s="943"/>
      <c r="J67" s="943"/>
      <c r="K67" s="944"/>
      <c r="L67" s="942">
        <v>2.5</v>
      </c>
      <c r="M67" s="943"/>
      <c r="N67" s="943"/>
      <c r="O67" s="944"/>
      <c r="P67" s="942">
        <v>3.5</v>
      </c>
      <c r="Q67" s="943"/>
      <c r="R67" s="943"/>
      <c r="S67" s="944"/>
      <c r="T67" s="942">
        <v>4</v>
      </c>
      <c r="U67" s="943"/>
      <c r="V67" s="943"/>
      <c r="W67" s="944"/>
      <c r="X67" s="879" t="s">
        <v>97</v>
      </c>
    </row>
    <row r="68" spans="1:24" ht="13.5" thickBot="1">
      <c r="A68" s="885"/>
      <c r="B68" s="885"/>
      <c r="C68" s="10" t="s">
        <v>3</v>
      </c>
      <c r="D68" s="957"/>
      <c r="E68" s="958"/>
      <c r="F68" s="958"/>
      <c r="G68" s="959"/>
      <c r="H68" s="963">
        <v>2</v>
      </c>
      <c r="I68" s="964"/>
      <c r="J68" s="964"/>
      <c r="K68" s="965"/>
      <c r="L68" s="963">
        <v>2.5</v>
      </c>
      <c r="M68" s="964"/>
      <c r="N68" s="964"/>
      <c r="O68" s="965"/>
      <c r="P68" s="963">
        <v>3.6</v>
      </c>
      <c r="Q68" s="964"/>
      <c r="R68" s="964"/>
      <c r="S68" s="965"/>
      <c r="T68" s="963">
        <v>0</v>
      </c>
      <c r="U68" s="964"/>
      <c r="V68" s="964"/>
      <c r="W68" s="965"/>
      <c r="X68" s="880"/>
    </row>
    <row r="69" spans="1:24" ht="12.95" customHeight="1" thickBot="1">
      <c r="A69" s="885"/>
      <c r="B69" s="885"/>
      <c r="C69" s="1258" t="s">
        <v>170</v>
      </c>
      <c r="D69" s="927" t="s">
        <v>4</v>
      </c>
      <c r="E69" s="928"/>
      <c r="F69" s="928"/>
      <c r="G69" s="928"/>
      <c r="H69" s="928"/>
      <c r="I69" s="928"/>
      <c r="J69" s="928"/>
      <c r="K69" s="928"/>
      <c r="L69" s="928"/>
      <c r="M69" s="928"/>
      <c r="N69" s="928"/>
      <c r="O69" s="928"/>
      <c r="P69" s="928"/>
      <c r="Q69" s="928"/>
      <c r="R69" s="928"/>
      <c r="S69" s="928"/>
      <c r="T69" s="928"/>
      <c r="U69" s="928"/>
      <c r="V69" s="928"/>
      <c r="W69" s="929"/>
      <c r="X69" s="880"/>
    </row>
    <row r="70" spans="1:24" ht="12.95" customHeight="1" thickBot="1">
      <c r="A70" s="885"/>
      <c r="B70" s="869"/>
      <c r="C70" s="1259"/>
      <c r="D70" s="930" t="s">
        <v>272</v>
      </c>
      <c r="E70" s="931"/>
      <c r="F70" s="931"/>
      <c r="G70" s="931"/>
      <c r="H70" s="931"/>
      <c r="I70" s="931"/>
      <c r="J70" s="931"/>
      <c r="K70" s="931"/>
      <c r="L70" s="931"/>
      <c r="M70" s="931"/>
      <c r="N70" s="931"/>
      <c r="O70" s="931"/>
      <c r="P70" s="931"/>
      <c r="Q70" s="931"/>
      <c r="R70" s="931"/>
      <c r="S70" s="931"/>
      <c r="T70" s="931"/>
      <c r="U70" s="931"/>
      <c r="V70" s="931"/>
      <c r="W70" s="932"/>
      <c r="X70" s="880"/>
    </row>
    <row r="71" spans="1:24" ht="12.95" customHeight="1" thickBot="1">
      <c r="A71" s="885"/>
      <c r="B71" s="11" t="s">
        <v>17</v>
      </c>
      <c r="C71" s="12"/>
      <c r="D71" s="927" t="s">
        <v>78</v>
      </c>
      <c r="E71" s="928"/>
      <c r="F71" s="928"/>
      <c r="G71" s="929"/>
      <c r="H71" s="927" t="s">
        <v>77</v>
      </c>
      <c r="I71" s="928"/>
      <c r="J71" s="928"/>
      <c r="K71" s="929"/>
      <c r="L71" s="927" t="s">
        <v>81</v>
      </c>
      <c r="M71" s="928"/>
      <c r="N71" s="928"/>
      <c r="O71" s="929"/>
      <c r="P71" s="927" t="s">
        <v>254</v>
      </c>
      <c r="Q71" s="928"/>
      <c r="R71" s="928"/>
      <c r="S71" s="929"/>
      <c r="T71" s="927" t="s">
        <v>76</v>
      </c>
      <c r="U71" s="928"/>
      <c r="V71" s="928"/>
      <c r="W71" s="929"/>
      <c r="X71" s="880"/>
    </row>
    <row r="72" spans="1:24" ht="13.5" thickBot="1">
      <c r="A72" s="885"/>
      <c r="B72" s="868" t="s">
        <v>59</v>
      </c>
      <c r="C72" s="23" t="s">
        <v>2</v>
      </c>
      <c r="D72" s="942">
        <v>1</v>
      </c>
      <c r="E72" s="943"/>
      <c r="F72" s="943"/>
      <c r="G72" s="944"/>
      <c r="H72" s="942">
        <v>1.5</v>
      </c>
      <c r="I72" s="943"/>
      <c r="J72" s="943"/>
      <c r="K72" s="944"/>
      <c r="L72" s="942">
        <v>3</v>
      </c>
      <c r="M72" s="943"/>
      <c r="N72" s="943"/>
      <c r="O72" s="944"/>
      <c r="P72" s="942">
        <v>4</v>
      </c>
      <c r="Q72" s="943"/>
      <c r="R72" s="943"/>
      <c r="S72" s="944"/>
      <c r="T72" s="942">
        <v>4.5</v>
      </c>
      <c r="U72" s="943"/>
      <c r="V72" s="943"/>
      <c r="W72" s="944"/>
      <c r="X72" s="880"/>
    </row>
    <row r="73" spans="1:24" ht="13.5" thickBot="1">
      <c r="A73" s="885"/>
      <c r="B73" s="885"/>
      <c r="C73" s="9" t="s">
        <v>3</v>
      </c>
      <c r="D73" s="957"/>
      <c r="E73" s="958"/>
      <c r="F73" s="958"/>
      <c r="G73" s="959"/>
      <c r="H73" s="963">
        <v>1</v>
      </c>
      <c r="I73" s="964"/>
      <c r="J73" s="964"/>
      <c r="K73" s="965"/>
      <c r="L73" s="963">
        <v>3.4</v>
      </c>
      <c r="M73" s="964"/>
      <c r="N73" s="964"/>
      <c r="O73" s="965"/>
      <c r="P73" s="963">
        <v>3.9</v>
      </c>
      <c r="Q73" s="964"/>
      <c r="R73" s="964"/>
      <c r="S73" s="965"/>
      <c r="T73" s="963">
        <v>0</v>
      </c>
      <c r="U73" s="964"/>
      <c r="V73" s="964"/>
      <c r="W73" s="965"/>
      <c r="X73" s="880"/>
    </row>
    <row r="74" spans="1:24" ht="12.95" customHeight="1" thickBot="1">
      <c r="A74" s="885"/>
      <c r="B74" s="885"/>
      <c r="C74" s="1258" t="s">
        <v>170</v>
      </c>
      <c r="D74" s="927" t="s">
        <v>4</v>
      </c>
      <c r="E74" s="928"/>
      <c r="F74" s="928"/>
      <c r="G74" s="928"/>
      <c r="H74" s="928"/>
      <c r="I74" s="928"/>
      <c r="J74" s="928"/>
      <c r="K74" s="928"/>
      <c r="L74" s="928"/>
      <c r="M74" s="928"/>
      <c r="N74" s="928"/>
      <c r="O74" s="928"/>
      <c r="P74" s="928"/>
      <c r="Q74" s="928"/>
      <c r="R74" s="928"/>
      <c r="S74" s="928"/>
      <c r="T74" s="928"/>
      <c r="U74" s="928"/>
      <c r="V74" s="928"/>
      <c r="W74" s="929"/>
      <c r="X74" s="880"/>
    </row>
    <row r="75" spans="1:24" ht="12.95" customHeight="1" thickBot="1">
      <c r="A75" s="885"/>
      <c r="B75" s="869"/>
      <c r="C75" s="1259"/>
      <c r="D75" s="930" t="s">
        <v>118</v>
      </c>
      <c r="E75" s="931"/>
      <c r="F75" s="931"/>
      <c r="G75" s="931"/>
      <c r="H75" s="931"/>
      <c r="I75" s="931"/>
      <c r="J75" s="931"/>
      <c r="K75" s="931"/>
      <c r="L75" s="931"/>
      <c r="M75" s="931"/>
      <c r="N75" s="931"/>
      <c r="O75" s="931"/>
      <c r="P75" s="931"/>
      <c r="Q75" s="931"/>
      <c r="R75" s="931"/>
      <c r="S75" s="931"/>
      <c r="T75" s="931"/>
      <c r="U75" s="931"/>
      <c r="V75" s="931"/>
      <c r="W75" s="932"/>
      <c r="X75" s="880"/>
    </row>
    <row r="76" spans="1:24" ht="12.95" customHeight="1" thickBot="1">
      <c r="A76" s="885"/>
      <c r="B76" s="11" t="s">
        <v>18</v>
      </c>
      <c r="C76" s="12"/>
      <c r="D76" s="927" t="s">
        <v>78</v>
      </c>
      <c r="E76" s="928"/>
      <c r="F76" s="928"/>
      <c r="G76" s="929"/>
      <c r="H76" s="927" t="s">
        <v>77</v>
      </c>
      <c r="I76" s="928"/>
      <c r="J76" s="928"/>
      <c r="K76" s="929"/>
      <c r="L76" s="927" t="s">
        <v>81</v>
      </c>
      <c r="M76" s="928"/>
      <c r="N76" s="928"/>
      <c r="O76" s="929"/>
      <c r="P76" s="927" t="s">
        <v>254</v>
      </c>
      <c r="Q76" s="928"/>
      <c r="R76" s="928"/>
      <c r="S76" s="929"/>
      <c r="T76" s="927" t="s">
        <v>76</v>
      </c>
      <c r="U76" s="928"/>
      <c r="V76" s="928"/>
      <c r="W76" s="929"/>
      <c r="X76" s="880"/>
    </row>
    <row r="77" spans="1:24" ht="13.5" thickBot="1">
      <c r="A77" s="885"/>
      <c r="B77" s="868" t="s">
        <v>60</v>
      </c>
      <c r="C77" s="23" t="s">
        <v>2</v>
      </c>
      <c r="D77" s="951">
        <v>1</v>
      </c>
      <c r="E77" s="969"/>
      <c r="F77" s="969"/>
      <c r="G77" s="952"/>
      <c r="H77" s="951">
        <v>1</v>
      </c>
      <c r="I77" s="969"/>
      <c r="J77" s="969"/>
      <c r="K77" s="952"/>
      <c r="L77" s="951">
        <v>1</v>
      </c>
      <c r="M77" s="969"/>
      <c r="N77" s="969"/>
      <c r="O77" s="952"/>
      <c r="P77" s="951">
        <v>2</v>
      </c>
      <c r="Q77" s="969"/>
      <c r="R77" s="969"/>
      <c r="S77" s="952"/>
      <c r="T77" s="1290">
        <v>12</v>
      </c>
      <c r="U77" s="1302"/>
      <c r="V77" s="1302"/>
      <c r="W77" s="1291"/>
      <c r="X77" s="880"/>
    </row>
    <row r="78" spans="1:24" ht="12.95" customHeight="1" thickBot="1">
      <c r="A78" s="869"/>
      <c r="B78" s="885"/>
      <c r="C78" s="9" t="s">
        <v>3</v>
      </c>
      <c r="D78" s="933" t="s">
        <v>172</v>
      </c>
      <c r="E78" s="934"/>
      <c r="F78" s="934"/>
      <c r="G78" s="935"/>
      <c r="H78" s="936" t="s">
        <v>249</v>
      </c>
      <c r="I78" s="937"/>
      <c r="J78" s="937"/>
      <c r="K78" s="938"/>
      <c r="L78" s="939">
        <v>3</v>
      </c>
      <c r="M78" s="970"/>
      <c r="N78" s="970"/>
      <c r="O78" s="953"/>
      <c r="P78" s="939">
        <v>8</v>
      </c>
      <c r="Q78" s="970"/>
      <c r="R78" s="970"/>
      <c r="S78" s="953"/>
      <c r="T78" s="939">
        <v>0</v>
      </c>
      <c r="U78" s="970"/>
      <c r="V78" s="970"/>
      <c r="W78" s="953"/>
      <c r="X78" s="881"/>
    </row>
    <row r="79" spans="1:24" ht="12.95" customHeight="1" thickBot="1">
      <c r="A79" s="96" t="s">
        <v>13</v>
      </c>
      <c r="B79" s="885"/>
      <c r="C79" s="1258" t="s">
        <v>170</v>
      </c>
      <c r="D79" s="927" t="s">
        <v>4</v>
      </c>
      <c r="E79" s="928"/>
      <c r="F79" s="928"/>
      <c r="G79" s="928"/>
      <c r="H79" s="928"/>
      <c r="I79" s="928"/>
      <c r="J79" s="928"/>
      <c r="K79" s="928"/>
      <c r="L79" s="928"/>
      <c r="M79" s="928"/>
      <c r="N79" s="928"/>
      <c r="O79" s="928"/>
      <c r="P79" s="928"/>
      <c r="Q79" s="928"/>
      <c r="R79" s="928"/>
      <c r="S79" s="928"/>
      <c r="T79" s="928"/>
      <c r="U79" s="928"/>
      <c r="V79" s="928"/>
      <c r="W79" s="929"/>
      <c r="X79" s="24" t="s">
        <v>14</v>
      </c>
    </row>
    <row r="80" spans="1:24" ht="12.95" customHeight="1" thickBot="1">
      <c r="A80" s="25" t="s">
        <v>75</v>
      </c>
      <c r="B80" s="869"/>
      <c r="C80" s="1259"/>
      <c r="D80" s="930" t="s">
        <v>119</v>
      </c>
      <c r="E80" s="931"/>
      <c r="F80" s="931"/>
      <c r="G80" s="931"/>
      <c r="H80" s="931"/>
      <c r="I80" s="931"/>
      <c r="J80" s="931"/>
      <c r="K80" s="931"/>
      <c r="L80" s="931"/>
      <c r="M80" s="931"/>
      <c r="N80" s="931"/>
      <c r="O80" s="931"/>
      <c r="P80" s="931"/>
      <c r="Q80" s="931"/>
      <c r="R80" s="931"/>
      <c r="S80" s="931"/>
      <c r="T80" s="931"/>
      <c r="U80" s="931"/>
      <c r="V80" s="931"/>
      <c r="W80" s="932"/>
      <c r="X80" s="18" t="s">
        <v>92</v>
      </c>
    </row>
    <row r="81" spans="1:24" ht="12.95" customHeight="1" thickBot="1">
      <c r="A81" s="906" t="s">
        <v>7</v>
      </c>
      <c r="B81" s="908" t="s">
        <v>173</v>
      </c>
      <c r="C81" s="909"/>
      <c r="D81" s="908" t="s">
        <v>8</v>
      </c>
      <c r="E81" s="918"/>
      <c r="F81" s="918"/>
      <c r="G81" s="909"/>
      <c r="H81" s="908" t="s">
        <v>88</v>
      </c>
      <c r="I81" s="918"/>
      <c r="J81" s="918"/>
      <c r="K81" s="909"/>
      <c r="L81" s="908" t="s">
        <v>89</v>
      </c>
      <c r="M81" s="918"/>
      <c r="N81" s="918"/>
      <c r="O81" s="909"/>
      <c r="P81" s="908" t="s">
        <v>9</v>
      </c>
      <c r="Q81" s="918"/>
      <c r="R81" s="918"/>
      <c r="S81" s="909"/>
      <c r="T81" s="908" t="s">
        <v>174</v>
      </c>
      <c r="U81" s="918"/>
      <c r="V81" s="918"/>
      <c r="W81" s="918"/>
      <c r="X81" s="909"/>
    </row>
    <row r="82" spans="1:24" ht="13.5" thickBot="1">
      <c r="A82" s="907"/>
      <c r="B82" s="1256"/>
      <c r="C82" s="1257"/>
      <c r="D82" s="916"/>
      <c r="E82" s="994"/>
      <c r="F82" s="994"/>
      <c r="G82" s="917"/>
      <c r="H82" s="916"/>
      <c r="I82" s="994"/>
      <c r="J82" s="994"/>
      <c r="K82" s="917"/>
      <c r="L82" s="916"/>
      <c r="M82" s="994"/>
      <c r="N82" s="994"/>
      <c r="O82" s="917"/>
      <c r="P82" s="916">
        <f>SUM(B82:O82)</f>
        <v>0</v>
      </c>
      <c r="Q82" s="994"/>
      <c r="R82" s="994"/>
      <c r="S82" s="917"/>
      <c r="T82" s="916" t="e">
        <f>B82/P82%</f>
        <v>#DIV/0!</v>
      </c>
      <c r="U82" s="994"/>
      <c r="V82" s="994"/>
      <c r="W82" s="994"/>
      <c r="X82" s="917"/>
    </row>
    <row r="83" spans="1:24" ht="13.5" thickBot="1">
      <c r="A83" s="906" t="s">
        <v>10</v>
      </c>
      <c r="B83" s="908" t="s">
        <v>175</v>
      </c>
      <c r="C83" s="909"/>
      <c r="D83" s="910"/>
      <c r="E83" s="911"/>
      <c r="F83" s="911"/>
      <c r="G83" s="911"/>
      <c r="H83" s="911"/>
      <c r="I83" s="911"/>
      <c r="J83" s="911"/>
      <c r="K83" s="911"/>
      <c r="L83" s="911"/>
      <c r="M83" s="911"/>
      <c r="N83" s="911"/>
      <c r="O83" s="911"/>
      <c r="P83" s="911"/>
      <c r="Q83" s="911"/>
      <c r="R83" s="911"/>
      <c r="S83" s="911"/>
      <c r="T83" s="911"/>
      <c r="U83" s="911"/>
      <c r="V83" s="911"/>
      <c r="W83" s="911"/>
      <c r="X83" s="912"/>
    </row>
    <row r="84" spans="1:24" ht="13.5" thickBot="1">
      <c r="A84" s="907"/>
      <c r="B84" s="1256"/>
      <c r="C84" s="1257"/>
      <c r="D84" s="913"/>
      <c r="E84" s="914"/>
      <c r="F84" s="914"/>
      <c r="G84" s="914"/>
      <c r="H84" s="914"/>
      <c r="I84" s="914"/>
      <c r="J84" s="914"/>
      <c r="K84" s="914"/>
      <c r="L84" s="914"/>
      <c r="M84" s="914"/>
      <c r="N84" s="914"/>
      <c r="O84" s="914"/>
      <c r="P84" s="914"/>
      <c r="Q84" s="914"/>
      <c r="R84" s="914"/>
      <c r="S84" s="914"/>
      <c r="T84" s="914"/>
      <c r="U84" s="914"/>
      <c r="V84" s="914"/>
      <c r="W84" s="914"/>
      <c r="X84" s="915"/>
    </row>
    <row r="85" spans="1:24">
      <c r="A85" s="5"/>
      <c r="B85" s="5"/>
      <c r="C85" s="6"/>
      <c r="D85" s="5"/>
      <c r="E85" s="5"/>
      <c r="F85" s="5"/>
      <c r="G85" s="5"/>
      <c r="H85" s="5"/>
      <c r="I85" s="5"/>
      <c r="J85" s="5"/>
      <c r="K85" s="5"/>
      <c r="L85" s="5"/>
      <c r="M85" s="5"/>
      <c r="N85" s="5"/>
      <c r="O85" s="5"/>
      <c r="P85" s="5"/>
      <c r="Q85" s="5"/>
      <c r="R85" s="5"/>
      <c r="S85" s="5"/>
      <c r="T85" s="5"/>
      <c r="U85" s="5"/>
      <c r="V85" s="5"/>
      <c r="W85" s="5"/>
      <c r="X85" s="5"/>
    </row>
    <row r="86" spans="1:24" ht="13.5" thickBot="1">
      <c r="A86" s="5"/>
      <c r="B86" s="5"/>
      <c r="C86" s="6"/>
      <c r="D86" s="5"/>
      <c r="E86" s="5"/>
      <c r="F86" s="5"/>
      <c r="G86" s="5"/>
      <c r="H86" s="5"/>
      <c r="I86" s="5"/>
      <c r="J86" s="5"/>
      <c r="K86" s="5"/>
      <c r="L86" s="5"/>
      <c r="M86" s="5"/>
      <c r="N86" s="5"/>
      <c r="O86" s="5"/>
      <c r="P86" s="5"/>
      <c r="Q86" s="5"/>
      <c r="R86" s="5"/>
      <c r="S86" s="5"/>
      <c r="T86" s="5"/>
      <c r="U86" s="5"/>
      <c r="V86" s="5"/>
      <c r="W86" s="5"/>
      <c r="X86" s="5"/>
    </row>
    <row r="87" spans="1:24" ht="12.95" customHeight="1" thickBot="1">
      <c r="A87" s="95" t="s">
        <v>15</v>
      </c>
      <c r="B87" s="97" t="s">
        <v>19</v>
      </c>
      <c r="C87" s="8"/>
      <c r="D87" s="927" t="s">
        <v>78</v>
      </c>
      <c r="E87" s="928"/>
      <c r="F87" s="928"/>
      <c r="G87" s="929"/>
      <c r="H87" s="927" t="s">
        <v>77</v>
      </c>
      <c r="I87" s="928"/>
      <c r="J87" s="928"/>
      <c r="K87" s="929"/>
      <c r="L87" s="927" t="s">
        <v>81</v>
      </c>
      <c r="M87" s="928"/>
      <c r="N87" s="928"/>
      <c r="O87" s="929"/>
      <c r="P87" s="927" t="s">
        <v>254</v>
      </c>
      <c r="Q87" s="928"/>
      <c r="R87" s="928"/>
      <c r="S87" s="929"/>
      <c r="T87" s="927" t="s">
        <v>76</v>
      </c>
      <c r="U87" s="928"/>
      <c r="V87" s="928"/>
      <c r="W87" s="929"/>
      <c r="X87" s="16" t="s">
        <v>6</v>
      </c>
    </row>
    <row r="88" spans="1:24" ht="12.95" customHeight="1" thickBot="1">
      <c r="A88" s="868" t="s">
        <v>61</v>
      </c>
      <c r="B88" s="868" t="s">
        <v>62</v>
      </c>
      <c r="C88" s="9" t="s">
        <v>2</v>
      </c>
      <c r="D88" s="942">
        <v>1</v>
      </c>
      <c r="E88" s="943"/>
      <c r="F88" s="943"/>
      <c r="G88" s="944"/>
      <c r="H88" s="942">
        <v>2</v>
      </c>
      <c r="I88" s="943"/>
      <c r="J88" s="943"/>
      <c r="K88" s="944"/>
      <c r="L88" s="942">
        <v>2.5</v>
      </c>
      <c r="M88" s="943"/>
      <c r="N88" s="943"/>
      <c r="O88" s="944"/>
      <c r="P88" s="942">
        <v>3.5</v>
      </c>
      <c r="Q88" s="943"/>
      <c r="R88" s="943"/>
      <c r="S88" s="944"/>
      <c r="T88" s="942">
        <v>4</v>
      </c>
      <c r="U88" s="943"/>
      <c r="V88" s="943"/>
      <c r="W88" s="944"/>
      <c r="X88" s="879" t="s">
        <v>94</v>
      </c>
    </row>
    <row r="89" spans="1:24" ht="13.5" thickBot="1">
      <c r="A89" s="885"/>
      <c r="B89" s="885"/>
      <c r="C89" s="99" t="s">
        <v>3</v>
      </c>
      <c r="D89" s="957"/>
      <c r="E89" s="958"/>
      <c r="F89" s="958"/>
      <c r="G89" s="959"/>
      <c r="H89" s="963">
        <v>2</v>
      </c>
      <c r="I89" s="964"/>
      <c r="J89" s="964"/>
      <c r="K89" s="965"/>
      <c r="L89" s="963">
        <v>3</v>
      </c>
      <c r="M89" s="964"/>
      <c r="N89" s="964"/>
      <c r="O89" s="965"/>
      <c r="P89" s="963">
        <v>3.8</v>
      </c>
      <c r="Q89" s="964"/>
      <c r="R89" s="964"/>
      <c r="S89" s="965"/>
      <c r="T89" s="963">
        <v>0</v>
      </c>
      <c r="U89" s="964"/>
      <c r="V89" s="964"/>
      <c r="W89" s="965"/>
      <c r="X89" s="880"/>
    </row>
    <row r="90" spans="1:24" ht="12.95" customHeight="1" thickBot="1">
      <c r="A90" s="885"/>
      <c r="B90" s="885"/>
      <c r="C90" s="1258" t="s">
        <v>170</v>
      </c>
      <c r="D90" s="927" t="s">
        <v>4</v>
      </c>
      <c r="E90" s="928"/>
      <c r="F90" s="928"/>
      <c r="G90" s="928"/>
      <c r="H90" s="928"/>
      <c r="I90" s="928"/>
      <c r="J90" s="928"/>
      <c r="K90" s="928"/>
      <c r="L90" s="928"/>
      <c r="M90" s="928"/>
      <c r="N90" s="928"/>
      <c r="O90" s="928"/>
      <c r="P90" s="928"/>
      <c r="Q90" s="928"/>
      <c r="R90" s="928"/>
      <c r="S90" s="928"/>
      <c r="T90" s="928"/>
      <c r="U90" s="928"/>
      <c r="V90" s="928"/>
      <c r="W90" s="929"/>
      <c r="X90" s="880"/>
    </row>
    <row r="91" spans="1:24" ht="12.95" customHeight="1" thickBot="1">
      <c r="A91" s="885"/>
      <c r="B91" s="869"/>
      <c r="C91" s="1259"/>
      <c r="D91" s="930" t="s">
        <v>272</v>
      </c>
      <c r="E91" s="931"/>
      <c r="F91" s="931"/>
      <c r="G91" s="931"/>
      <c r="H91" s="931"/>
      <c r="I91" s="931"/>
      <c r="J91" s="931"/>
      <c r="K91" s="931"/>
      <c r="L91" s="931"/>
      <c r="M91" s="931"/>
      <c r="N91" s="931"/>
      <c r="O91" s="931"/>
      <c r="P91" s="931"/>
      <c r="Q91" s="931"/>
      <c r="R91" s="931"/>
      <c r="S91" s="931"/>
      <c r="T91" s="931"/>
      <c r="U91" s="931"/>
      <c r="V91" s="931"/>
      <c r="W91" s="932"/>
      <c r="X91" s="880"/>
    </row>
    <row r="92" spans="1:24" ht="12.95" customHeight="1" thickBot="1">
      <c r="A92" s="885"/>
      <c r="B92" s="11" t="s">
        <v>20</v>
      </c>
      <c r="C92" s="12"/>
      <c r="D92" s="927" t="s">
        <v>78</v>
      </c>
      <c r="E92" s="928"/>
      <c r="F92" s="928"/>
      <c r="G92" s="929"/>
      <c r="H92" s="927" t="s">
        <v>77</v>
      </c>
      <c r="I92" s="928"/>
      <c r="J92" s="928"/>
      <c r="K92" s="929"/>
      <c r="L92" s="927" t="s">
        <v>81</v>
      </c>
      <c r="M92" s="928"/>
      <c r="N92" s="928"/>
      <c r="O92" s="929"/>
      <c r="P92" s="927" t="s">
        <v>254</v>
      </c>
      <c r="Q92" s="928"/>
      <c r="R92" s="928"/>
      <c r="S92" s="929"/>
      <c r="T92" s="927" t="s">
        <v>76</v>
      </c>
      <c r="U92" s="928"/>
      <c r="V92" s="928"/>
      <c r="W92" s="929"/>
      <c r="X92" s="880"/>
    </row>
    <row r="93" spans="1:24" ht="13.5" thickBot="1">
      <c r="A93" s="885"/>
      <c r="B93" s="868" t="s">
        <v>59</v>
      </c>
      <c r="C93" s="23" t="s">
        <v>2</v>
      </c>
      <c r="D93" s="942">
        <v>1</v>
      </c>
      <c r="E93" s="943"/>
      <c r="F93" s="943"/>
      <c r="G93" s="944"/>
      <c r="H93" s="942">
        <v>2</v>
      </c>
      <c r="I93" s="943"/>
      <c r="J93" s="943"/>
      <c r="K93" s="944"/>
      <c r="L93" s="942">
        <v>3</v>
      </c>
      <c r="M93" s="943"/>
      <c r="N93" s="943"/>
      <c r="O93" s="944"/>
      <c r="P93" s="942">
        <v>4</v>
      </c>
      <c r="Q93" s="943"/>
      <c r="R93" s="943"/>
      <c r="S93" s="944"/>
      <c r="T93" s="942">
        <v>4.5</v>
      </c>
      <c r="U93" s="943"/>
      <c r="V93" s="943"/>
      <c r="W93" s="944"/>
      <c r="X93" s="880"/>
    </row>
    <row r="94" spans="1:24" ht="13.5" thickBot="1">
      <c r="A94" s="885"/>
      <c r="B94" s="885"/>
      <c r="C94" s="9" t="s">
        <v>3</v>
      </c>
      <c r="D94" s="957"/>
      <c r="E94" s="958"/>
      <c r="F94" s="958"/>
      <c r="G94" s="959"/>
      <c r="H94" s="963">
        <v>1</v>
      </c>
      <c r="I94" s="964"/>
      <c r="J94" s="964"/>
      <c r="K94" s="965"/>
      <c r="L94" s="963">
        <v>3.6</v>
      </c>
      <c r="M94" s="964"/>
      <c r="N94" s="964"/>
      <c r="O94" s="965"/>
      <c r="P94" s="963">
        <v>4</v>
      </c>
      <c r="Q94" s="964"/>
      <c r="R94" s="964"/>
      <c r="S94" s="965"/>
      <c r="T94" s="963">
        <v>0</v>
      </c>
      <c r="U94" s="964"/>
      <c r="V94" s="964"/>
      <c r="W94" s="965"/>
      <c r="X94" s="880"/>
    </row>
    <row r="95" spans="1:24" ht="12.95" customHeight="1" thickBot="1">
      <c r="A95" s="885"/>
      <c r="B95" s="885"/>
      <c r="C95" s="1258" t="s">
        <v>170</v>
      </c>
      <c r="D95" s="927" t="s">
        <v>4</v>
      </c>
      <c r="E95" s="928"/>
      <c r="F95" s="928"/>
      <c r="G95" s="928"/>
      <c r="H95" s="928"/>
      <c r="I95" s="928"/>
      <c r="J95" s="928"/>
      <c r="K95" s="928"/>
      <c r="L95" s="928"/>
      <c r="M95" s="928"/>
      <c r="N95" s="928"/>
      <c r="O95" s="928"/>
      <c r="P95" s="928"/>
      <c r="Q95" s="928"/>
      <c r="R95" s="928"/>
      <c r="S95" s="928"/>
      <c r="T95" s="928"/>
      <c r="U95" s="928"/>
      <c r="V95" s="928"/>
      <c r="W95" s="929"/>
      <c r="X95" s="880"/>
    </row>
    <row r="96" spans="1:24" ht="12.95" customHeight="1" thickBot="1">
      <c r="A96" s="885"/>
      <c r="B96" s="869"/>
      <c r="C96" s="1259"/>
      <c r="D96" s="930" t="s">
        <v>118</v>
      </c>
      <c r="E96" s="931"/>
      <c r="F96" s="931"/>
      <c r="G96" s="931"/>
      <c r="H96" s="931"/>
      <c r="I96" s="931"/>
      <c r="J96" s="931"/>
      <c r="K96" s="931"/>
      <c r="L96" s="931"/>
      <c r="M96" s="931"/>
      <c r="N96" s="931"/>
      <c r="O96" s="931"/>
      <c r="P96" s="931"/>
      <c r="Q96" s="931"/>
      <c r="R96" s="931"/>
      <c r="S96" s="931"/>
      <c r="T96" s="931"/>
      <c r="U96" s="931"/>
      <c r="V96" s="931"/>
      <c r="W96" s="932"/>
      <c r="X96" s="880"/>
    </row>
    <row r="97" spans="1:24" ht="12.95" customHeight="1" thickBot="1">
      <c r="A97" s="885"/>
      <c r="B97" s="11" t="s">
        <v>21</v>
      </c>
      <c r="C97" s="12"/>
      <c r="D97" s="927" t="s">
        <v>78</v>
      </c>
      <c r="E97" s="928"/>
      <c r="F97" s="928"/>
      <c r="G97" s="929"/>
      <c r="H97" s="927" t="s">
        <v>77</v>
      </c>
      <c r="I97" s="928"/>
      <c r="J97" s="928"/>
      <c r="K97" s="929"/>
      <c r="L97" s="927" t="s">
        <v>81</v>
      </c>
      <c r="M97" s="928"/>
      <c r="N97" s="928"/>
      <c r="O97" s="929"/>
      <c r="P97" s="927" t="s">
        <v>254</v>
      </c>
      <c r="Q97" s="928"/>
      <c r="R97" s="928"/>
      <c r="S97" s="929"/>
      <c r="T97" s="927" t="s">
        <v>76</v>
      </c>
      <c r="U97" s="928"/>
      <c r="V97" s="928"/>
      <c r="W97" s="929"/>
      <c r="X97" s="880"/>
    </row>
    <row r="98" spans="1:24" ht="13.5" thickBot="1">
      <c r="A98" s="885"/>
      <c r="B98" s="868" t="s">
        <v>63</v>
      </c>
      <c r="C98" s="26" t="s">
        <v>2</v>
      </c>
      <c r="D98" s="951">
        <v>0</v>
      </c>
      <c r="E98" s="969"/>
      <c r="F98" s="969"/>
      <c r="G98" s="952"/>
      <c r="H98" s="951">
        <v>2</v>
      </c>
      <c r="I98" s="969"/>
      <c r="J98" s="969"/>
      <c r="K98" s="952"/>
      <c r="L98" s="951">
        <v>3</v>
      </c>
      <c r="M98" s="969"/>
      <c r="N98" s="969"/>
      <c r="O98" s="952"/>
      <c r="P98" s="951">
        <v>5</v>
      </c>
      <c r="Q98" s="969"/>
      <c r="R98" s="969"/>
      <c r="S98" s="952"/>
      <c r="T98" s="1290">
        <v>10</v>
      </c>
      <c r="U98" s="1302"/>
      <c r="V98" s="1302"/>
      <c r="W98" s="1291"/>
      <c r="X98" s="880"/>
    </row>
    <row r="99" spans="1:24" ht="12.95" customHeight="1" thickBot="1">
      <c r="A99" s="869"/>
      <c r="B99" s="885"/>
      <c r="C99" s="9" t="s">
        <v>3</v>
      </c>
      <c r="D99" s="933" t="s">
        <v>172</v>
      </c>
      <c r="E99" s="934"/>
      <c r="F99" s="934"/>
      <c r="G99" s="935"/>
      <c r="H99" s="936" t="s">
        <v>249</v>
      </c>
      <c r="I99" s="937"/>
      <c r="J99" s="937"/>
      <c r="K99" s="938"/>
      <c r="L99" s="939">
        <v>4</v>
      </c>
      <c r="M99" s="970"/>
      <c r="N99" s="970"/>
      <c r="O99" s="953"/>
      <c r="P99" s="939">
        <v>8</v>
      </c>
      <c r="Q99" s="970"/>
      <c r="R99" s="970"/>
      <c r="S99" s="953"/>
      <c r="T99" s="939">
        <v>0</v>
      </c>
      <c r="U99" s="970"/>
      <c r="V99" s="970"/>
      <c r="W99" s="953"/>
      <c r="X99" s="881"/>
    </row>
    <row r="100" spans="1:24" ht="12.95" customHeight="1" thickBot="1">
      <c r="A100" s="96" t="s">
        <v>13</v>
      </c>
      <c r="B100" s="885"/>
      <c r="C100" s="1258" t="s">
        <v>170</v>
      </c>
      <c r="D100" s="927" t="s">
        <v>4</v>
      </c>
      <c r="E100" s="928"/>
      <c r="F100" s="928"/>
      <c r="G100" s="928"/>
      <c r="H100" s="928"/>
      <c r="I100" s="928"/>
      <c r="J100" s="928"/>
      <c r="K100" s="928"/>
      <c r="L100" s="928"/>
      <c r="M100" s="928"/>
      <c r="N100" s="928"/>
      <c r="O100" s="928"/>
      <c r="P100" s="928"/>
      <c r="Q100" s="928"/>
      <c r="R100" s="928"/>
      <c r="S100" s="928"/>
      <c r="T100" s="928"/>
      <c r="U100" s="928"/>
      <c r="V100" s="928"/>
      <c r="W100" s="929"/>
      <c r="X100" s="24" t="s">
        <v>14</v>
      </c>
    </row>
    <row r="101" spans="1:24" ht="12.95" customHeight="1" thickBot="1">
      <c r="A101" s="25" t="s">
        <v>75</v>
      </c>
      <c r="B101" s="869"/>
      <c r="C101" s="1259"/>
      <c r="D101" s="930" t="s">
        <v>119</v>
      </c>
      <c r="E101" s="931"/>
      <c r="F101" s="931"/>
      <c r="G101" s="931"/>
      <c r="H101" s="931"/>
      <c r="I101" s="931"/>
      <c r="J101" s="931"/>
      <c r="K101" s="931"/>
      <c r="L101" s="931"/>
      <c r="M101" s="931"/>
      <c r="N101" s="931"/>
      <c r="O101" s="931"/>
      <c r="P101" s="931"/>
      <c r="Q101" s="931"/>
      <c r="R101" s="931"/>
      <c r="S101" s="931"/>
      <c r="T101" s="931"/>
      <c r="U101" s="931"/>
      <c r="V101" s="931"/>
      <c r="W101" s="932"/>
      <c r="X101" s="18" t="s">
        <v>93</v>
      </c>
    </row>
    <row r="102" spans="1:24" ht="12.95" customHeight="1" thickBot="1">
      <c r="A102" s="906" t="s">
        <v>7</v>
      </c>
      <c r="B102" s="908" t="s">
        <v>173</v>
      </c>
      <c r="C102" s="909"/>
      <c r="D102" s="908" t="s">
        <v>8</v>
      </c>
      <c r="E102" s="918"/>
      <c r="F102" s="918"/>
      <c r="G102" s="909"/>
      <c r="H102" s="908" t="s">
        <v>88</v>
      </c>
      <c r="I102" s="918"/>
      <c r="J102" s="918"/>
      <c r="K102" s="909"/>
      <c r="L102" s="908" t="s">
        <v>89</v>
      </c>
      <c r="M102" s="918"/>
      <c r="N102" s="918"/>
      <c r="O102" s="909"/>
      <c r="P102" s="908" t="s">
        <v>9</v>
      </c>
      <c r="Q102" s="918"/>
      <c r="R102" s="918"/>
      <c r="S102" s="909"/>
      <c r="T102" s="908" t="s">
        <v>174</v>
      </c>
      <c r="U102" s="918"/>
      <c r="V102" s="918"/>
      <c r="W102" s="918"/>
      <c r="X102" s="909"/>
    </row>
    <row r="103" spans="1:24" ht="13.5" thickBot="1">
      <c r="A103" s="907"/>
      <c r="B103" s="1256"/>
      <c r="C103" s="1257"/>
      <c r="D103" s="916"/>
      <c r="E103" s="994"/>
      <c r="F103" s="994"/>
      <c r="G103" s="917"/>
      <c r="H103" s="916"/>
      <c r="I103" s="994"/>
      <c r="J103" s="994"/>
      <c r="K103" s="917"/>
      <c r="L103" s="916"/>
      <c r="M103" s="994"/>
      <c r="N103" s="994"/>
      <c r="O103" s="917"/>
      <c r="P103" s="916">
        <f>SUM(B103:O103)</f>
        <v>0</v>
      </c>
      <c r="Q103" s="994"/>
      <c r="R103" s="994"/>
      <c r="S103" s="917"/>
      <c r="T103" s="916" t="e">
        <f>B103/P103%</f>
        <v>#DIV/0!</v>
      </c>
      <c r="U103" s="994"/>
      <c r="V103" s="994"/>
      <c r="W103" s="994"/>
      <c r="X103" s="917"/>
    </row>
    <row r="104" spans="1:24" ht="13.5" thickBot="1">
      <c r="A104" s="906" t="s">
        <v>10</v>
      </c>
      <c r="B104" s="908" t="s">
        <v>175</v>
      </c>
      <c r="C104" s="909"/>
      <c r="D104" s="910"/>
      <c r="E104" s="911"/>
      <c r="F104" s="911"/>
      <c r="G104" s="911"/>
      <c r="H104" s="911"/>
      <c r="I104" s="911"/>
      <c r="J104" s="911"/>
      <c r="K104" s="911"/>
      <c r="L104" s="911"/>
      <c r="M104" s="911"/>
      <c r="N104" s="911"/>
      <c r="O104" s="911"/>
      <c r="P104" s="911"/>
      <c r="Q104" s="911"/>
      <c r="R104" s="911"/>
      <c r="S104" s="911"/>
      <c r="T104" s="911"/>
      <c r="U104" s="911"/>
      <c r="V104" s="911"/>
      <c r="W104" s="911"/>
      <c r="X104" s="912"/>
    </row>
    <row r="105" spans="1:24" ht="13.5" thickBot="1">
      <c r="A105" s="907"/>
      <c r="B105" s="1256"/>
      <c r="C105" s="1257"/>
      <c r="D105" s="913"/>
      <c r="E105" s="914"/>
      <c r="F105" s="914"/>
      <c r="G105" s="914"/>
      <c r="H105" s="914"/>
      <c r="I105" s="914"/>
      <c r="J105" s="914"/>
      <c r="K105" s="914"/>
      <c r="L105" s="914"/>
      <c r="M105" s="914"/>
      <c r="N105" s="914"/>
      <c r="O105" s="914"/>
      <c r="P105" s="914"/>
      <c r="Q105" s="914"/>
      <c r="R105" s="914"/>
      <c r="S105" s="914"/>
      <c r="T105" s="914"/>
      <c r="U105" s="914"/>
      <c r="V105" s="914"/>
      <c r="W105" s="914"/>
      <c r="X105" s="915"/>
    </row>
    <row r="107" spans="1:24" ht="13.5" thickBot="1"/>
    <row r="108" spans="1:24" ht="12.95" customHeight="1" thickBot="1">
      <c r="A108" s="95" t="s">
        <v>26</v>
      </c>
      <c r="B108" s="97" t="s">
        <v>29</v>
      </c>
      <c r="C108" s="8"/>
      <c r="D108" s="927" t="s">
        <v>78</v>
      </c>
      <c r="E108" s="928"/>
      <c r="F108" s="928"/>
      <c r="G108" s="929"/>
      <c r="H108" s="927" t="s">
        <v>77</v>
      </c>
      <c r="I108" s="928"/>
      <c r="J108" s="928"/>
      <c r="K108" s="929"/>
      <c r="L108" s="927" t="s">
        <v>81</v>
      </c>
      <c r="M108" s="928"/>
      <c r="N108" s="928"/>
      <c r="O108" s="929"/>
      <c r="P108" s="927" t="s">
        <v>254</v>
      </c>
      <c r="Q108" s="928"/>
      <c r="R108" s="928"/>
      <c r="S108" s="929"/>
      <c r="T108" s="927" t="s">
        <v>76</v>
      </c>
      <c r="U108" s="928"/>
      <c r="V108" s="928"/>
      <c r="W108" s="929"/>
      <c r="X108" s="16" t="s">
        <v>12</v>
      </c>
    </row>
    <row r="109" spans="1:24" ht="56.1" customHeight="1" thickBot="1">
      <c r="A109" s="868" t="s">
        <v>64</v>
      </c>
      <c r="B109" s="868" t="s">
        <v>156</v>
      </c>
      <c r="C109" s="9"/>
      <c r="D109" s="17" t="s">
        <v>101</v>
      </c>
      <c r="E109" s="17" t="s">
        <v>104</v>
      </c>
      <c r="F109" s="17" t="s">
        <v>102</v>
      </c>
      <c r="G109" s="17" t="s">
        <v>103</v>
      </c>
      <c r="H109" s="17" t="s">
        <v>101</v>
      </c>
      <c r="I109" s="17" t="s">
        <v>104</v>
      </c>
      <c r="J109" s="17" t="s">
        <v>102</v>
      </c>
      <c r="K109" s="17" t="s">
        <v>103</v>
      </c>
      <c r="L109" s="17" t="s">
        <v>101</v>
      </c>
      <c r="M109" s="17" t="s">
        <v>104</v>
      </c>
      <c r="N109" s="17" t="s">
        <v>102</v>
      </c>
      <c r="O109" s="17" t="s">
        <v>103</v>
      </c>
      <c r="P109" s="17" t="s">
        <v>101</v>
      </c>
      <c r="Q109" s="17" t="s">
        <v>104</v>
      </c>
      <c r="R109" s="17" t="s">
        <v>102</v>
      </c>
      <c r="S109" s="17" t="s">
        <v>103</v>
      </c>
      <c r="T109" s="17" t="s">
        <v>101</v>
      </c>
      <c r="U109" s="17" t="s">
        <v>104</v>
      </c>
      <c r="V109" s="17" t="s">
        <v>102</v>
      </c>
      <c r="W109" s="17" t="s">
        <v>103</v>
      </c>
      <c r="X109" s="879" t="s">
        <v>98</v>
      </c>
    </row>
    <row r="110" spans="1:24" ht="13.5" thickBot="1">
      <c r="A110" s="885"/>
      <c r="B110" s="885"/>
      <c r="C110" s="9" t="s">
        <v>2</v>
      </c>
      <c r="D110" s="18">
        <v>0</v>
      </c>
      <c r="E110" s="18">
        <v>0</v>
      </c>
      <c r="F110" s="18">
        <v>0</v>
      </c>
      <c r="G110" s="18">
        <v>0</v>
      </c>
      <c r="H110" s="18">
        <v>4</v>
      </c>
      <c r="I110" s="18">
        <v>2</v>
      </c>
      <c r="J110" s="18">
        <v>2</v>
      </c>
      <c r="K110" s="18">
        <v>1</v>
      </c>
      <c r="L110" s="18">
        <v>8</v>
      </c>
      <c r="M110" s="18">
        <v>4</v>
      </c>
      <c r="N110" s="18">
        <v>4</v>
      </c>
      <c r="O110" s="18">
        <v>1</v>
      </c>
      <c r="P110" s="18">
        <v>9</v>
      </c>
      <c r="Q110" s="18">
        <v>5</v>
      </c>
      <c r="R110" s="18">
        <v>5</v>
      </c>
      <c r="S110" s="18">
        <v>3</v>
      </c>
      <c r="T110" s="18">
        <v>12</v>
      </c>
      <c r="U110" s="782">
        <v>10</v>
      </c>
      <c r="V110" s="18">
        <v>8</v>
      </c>
      <c r="W110" s="18">
        <v>5</v>
      </c>
      <c r="X110" s="880"/>
    </row>
    <row r="111" spans="1:24" ht="12.95" customHeight="1" thickBot="1">
      <c r="A111" s="885"/>
      <c r="B111" s="93" t="s">
        <v>151</v>
      </c>
      <c r="C111" s="10" t="s">
        <v>3</v>
      </c>
      <c r="D111" s="1265" t="s">
        <v>258</v>
      </c>
      <c r="E111" s="1266"/>
      <c r="F111" s="1266"/>
      <c r="G111" s="1267"/>
      <c r="H111" s="68">
        <v>3</v>
      </c>
      <c r="I111" s="68">
        <v>2</v>
      </c>
      <c r="J111" s="68">
        <v>2</v>
      </c>
      <c r="K111" s="68">
        <v>1</v>
      </c>
      <c r="L111" s="68">
        <v>6</v>
      </c>
      <c r="M111" s="68">
        <v>3</v>
      </c>
      <c r="N111" s="68">
        <v>3</v>
      </c>
      <c r="O111" s="68">
        <v>0</v>
      </c>
      <c r="P111" s="68">
        <v>9</v>
      </c>
      <c r="Q111" s="68">
        <v>8</v>
      </c>
      <c r="R111" s="68">
        <v>6</v>
      </c>
      <c r="S111" s="68">
        <v>1</v>
      </c>
      <c r="T111" s="68">
        <v>0</v>
      </c>
      <c r="U111" s="68">
        <v>0</v>
      </c>
      <c r="V111" s="68">
        <v>0</v>
      </c>
      <c r="W111" s="68">
        <v>0</v>
      </c>
      <c r="X111" s="880"/>
    </row>
    <row r="112" spans="1:24" ht="12.95" customHeight="1" thickBot="1">
      <c r="A112" s="885"/>
      <c r="B112" s="93" t="s">
        <v>150</v>
      </c>
      <c r="C112" s="1258" t="s">
        <v>170</v>
      </c>
      <c r="D112" s="927" t="s">
        <v>4</v>
      </c>
      <c r="E112" s="928"/>
      <c r="F112" s="928"/>
      <c r="G112" s="928"/>
      <c r="H112" s="928"/>
      <c r="I112" s="928"/>
      <c r="J112" s="928"/>
      <c r="K112" s="928"/>
      <c r="L112" s="928"/>
      <c r="M112" s="928"/>
      <c r="N112" s="928"/>
      <c r="O112" s="928"/>
      <c r="P112" s="928"/>
      <c r="Q112" s="928"/>
      <c r="R112" s="928"/>
      <c r="S112" s="928"/>
      <c r="T112" s="928"/>
      <c r="U112" s="928"/>
      <c r="V112" s="928"/>
      <c r="W112" s="929"/>
      <c r="X112" s="880"/>
    </row>
    <row r="113" spans="1:24" ht="12.95" customHeight="1" thickBot="1">
      <c r="A113" s="885"/>
      <c r="B113" s="94" t="s">
        <v>149</v>
      </c>
      <c r="C113" s="1259"/>
      <c r="D113" s="930" t="s">
        <v>420</v>
      </c>
      <c r="E113" s="931"/>
      <c r="F113" s="931"/>
      <c r="G113" s="931"/>
      <c r="H113" s="931"/>
      <c r="I113" s="931"/>
      <c r="J113" s="931"/>
      <c r="K113" s="931"/>
      <c r="L113" s="931"/>
      <c r="M113" s="931"/>
      <c r="N113" s="931"/>
      <c r="O113" s="931"/>
      <c r="P113" s="931"/>
      <c r="Q113" s="931"/>
      <c r="R113" s="931"/>
      <c r="S113" s="931"/>
      <c r="T113" s="931"/>
      <c r="U113" s="931"/>
      <c r="V113" s="931"/>
      <c r="W113" s="932"/>
      <c r="X113" s="880"/>
    </row>
    <row r="114" spans="1:24" ht="12.95" customHeight="1" thickBot="1">
      <c r="A114" s="885"/>
      <c r="B114" s="11" t="s">
        <v>30</v>
      </c>
      <c r="C114" s="12"/>
      <c r="D114" s="927" t="s">
        <v>78</v>
      </c>
      <c r="E114" s="928"/>
      <c r="F114" s="928"/>
      <c r="G114" s="929"/>
      <c r="H114" s="927" t="s">
        <v>77</v>
      </c>
      <c r="I114" s="928"/>
      <c r="J114" s="928"/>
      <c r="K114" s="929"/>
      <c r="L114" s="927" t="s">
        <v>81</v>
      </c>
      <c r="M114" s="928"/>
      <c r="N114" s="928"/>
      <c r="O114" s="929"/>
      <c r="P114" s="927" t="s">
        <v>254</v>
      </c>
      <c r="Q114" s="928"/>
      <c r="R114" s="928"/>
      <c r="S114" s="929"/>
      <c r="T114" s="927" t="s">
        <v>76</v>
      </c>
      <c r="U114" s="928"/>
      <c r="V114" s="928"/>
      <c r="W114" s="929"/>
      <c r="X114" s="880"/>
    </row>
    <row r="115" spans="1:24" ht="44.1" customHeight="1" thickBot="1">
      <c r="A115" s="885"/>
      <c r="B115" s="868" t="s">
        <v>157</v>
      </c>
      <c r="C115" s="23"/>
      <c r="D115" s="17" t="s">
        <v>101</v>
      </c>
      <c r="E115" s="17" t="s">
        <v>104</v>
      </c>
      <c r="F115" s="17" t="s">
        <v>102</v>
      </c>
      <c r="G115" s="17" t="s">
        <v>103</v>
      </c>
      <c r="H115" s="17" t="s">
        <v>101</v>
      </c>
      <c r="I115" s="17" t="s">
        <v>104</v>
      </c>
      <c r="J115" s="17" t="s">
        <v>102</v>
      </c>
      <c r="K115" s="17" t="s">
        <v>103</v>
      </c>
      <c r="L115" s="17" t="s">
        <v>101</v>
      </c>
      <c r="M115" s="17" t="s">
        <v>104</v>
      </c>
      <c r="N115" s="17" t="s">
        <v>102</v>
      </c>
      <c r="O115" s="17" t="s">
        <v>103</v>
      </c>
      <c r="P115" s="17" t="s">
        <v>101</v>
      </c>
      <c r="Q115" s="17" t="s">
        <v>104</v>
      </c>
      <c r="R115" s="17" t="s">
        <v>102</v>
      </c>
      <c r="S115" s="17" t="s">
        <v>103</v>
      </c>
      <c r="T115" s="17" t="s">
        <v>101</v>
      </c>
      <c r="U115" s="17" t="s">
        <v>104</v>
      </c>
      <c r="V115" s="17" t="s">
        <v>102</v>
      </c>
      <c r="W115" s="17" t="s">
        <v>103</v>
      </c>
      <c r="X115" s="880"/>
    </row>
    <row r="116" spans="1:24" ht="13.5" thickBot="1">
      <c r="A116" s="885"/>
      <c r="B116" s="885"/>
      <c r="C116" s="9" t="s">
        <v>2</v>
      </c>
      <c r="D116" s="18">
        <v>0</v>
      </c>
      <c r="E116" s="18">
        <v>0</v>
      </c>
      <c r="F116" s="18">
        <v>0</v>
      </c>
      <c r="G116" s="18">
        <v>0</v>
      </c>
      <c r="H116" s="18">
        <v>2</v>
      </c>
      <c r="I116" s="18">
        <v>2</v>
      </c>
      <c r="J116" s="18">
        <v>2</v>
      </c>
      <c r="K116" s="18">
        <v>1</v>
      </c>
      <c r="L116" s="18">
        <v>5</v>
      </c>
      <c r="M116" s="18">
        <v>5</v>
      </c>
      <c r="N116" s="18">
        <v>3</v>
      </c>
      <c r="O116" s="18">
        <v>1</v>
      </c>
      <c r="P116" s="18">
        <v>7</v>
      </c>
      <c r="Q116" s="18">
        <v>7</v>
      </c>
      <c r="R116" s="18">
        <v>5</v>
      </c>
      <c r="S116" s="18">
        <v>2</v>
      </c>
      <c r="T116" s="782">
        <v>10</v>
      </c>
      <c r="U116" s="782">
        <v>9</v>
      </c>
      <c r="V116" s="18">
        <v>6</v>
      </c>
      <c r="W116" s="823">
        <v>3</v>
      </c>
      <c r="X116" s="880"/>
    </row>
    <row r="117" spans="1:24" ht="12.95" customHeight="1" thickBot="1">
      <c r="A117" s="885"/>
      <c r="B117" s="93" t="s">
        <v>151</v>
      </c>
      <c r="C117" s="9" t="s">
        <v>3</v>
      </c>
      <c r="D117" s="933" t="s">
        <v>171</v>
      </c>
      <c r="E117" s="934"/>
      <c r="F117" s="934"/>
      <c r="G117" s="935"/>
      <c r="H117" s="936" t="s">
        <v>249</v>
      </c>
      <c r="I117" s="937"/>
      <c r="J117" s="937"/>
      <c r="K117" s="938"/>
      <c r="L117" s="68">
        <v>3</v>
      </c>
      <c r="M117" s="68">
        <v>3</v>
      </c>
      <c r="N117" s="68">
        <v>3</v>
      </c>
      <c r="O117" s="68">
        <v>0</v>
      </c>
      <c r="P117" s="68">
        <v>6</v>
      </c>
      <c r="Q117" s="68">
        <v>6</v>
      </c>
      <c r="R117" s="68">
        <v>5</v>
      </c>
      <c r="S117" s="68">
        <v>2</v>
      </c>
      <c r="T117" s="68">
        <v>0</v>
      </c>
      <c r="U117" s="68">
        <v>0</v>
      </c>
      <c r="V117" s="68">
        <v>0</v>
      </c>
      <c r="W117" s="68">
        <v>0</v>
      </c>
      <c r="X117" s="880"/>
    </row>
    <row r="118" spans="1:24" ht="12.95" customHeight="1" thickBot="1">
      <c r="A118" s="885"/>
      <c r="B118" s="93" t="s">
        <v>150</v>
      </c>
      <c r="C118" s="1258" t="s">
        <v>170</v>
      </c>
      <c r="D118" s="927" t="s">
        <v>4</v>
      </c>
      <c r="E118" s="928"/>
      <c r="F118" s="928"/>
      <c r="G118" s="928"/>
      <c r="H118" s="928"/>
      <c r="I118" s="928"/>
      <c r="J118" s="928"/>
      <c r="K118" s="928"/>
      <c r="L118" s="928"/>
      <c r="M118" s="928"/>
      <c r="N118" s="928"/>
      <c r="O118" s="928"/>
      <c r="P118" s="928"/>
      <c r="Q118" s="928"/>
      <c r="R118" s="928"/>
      <c r="S118" s="928"/>
      <c r="T118" s="928"/>
      <c r="U118" s="928"/>
      <c r="V118" s="928"/>
      <c r="W118" s="929"/>
      <c r="X118" s="880"/>
    </row>
    <row r="119" spans="1:24" ht="12.95" customHeight="1" thickBot="1">
      <c r="A119" s="885"/>
      <c r="B119" s="94" t="s">
        <v>152</v>
      </c>
      <c r="C119" s="1259"/>
      <c r="D119" s="930" t="s">
        <v>420</v>
      </c>
      <c r="E119" s="931"/>
      <c r="F119" s="931"/>
      <c r="G119" s="931"/>
      <c r="H119" s="931"/>
      <c r="I119" s="931"/>
      <c r="J119" s="931"/>
      <c r="K119" s="931"/>
      <c r="L119" s="931"/>
      <c r="M119" s="931"/>
      <c r="N119" s="931"/>
      <c r="O119" s="931"/>
      <c r="P119" s="931"/>
      <c r="Q119" s="931"/>
      <c r="R119" s="931"/>
      <c r="S119" s="931"/>
      <c r="T119" s="931"/>
      <c r="U119" s="931"/>
      <c r="V119" s="931"/>
      <c r="W119" s="932"/>
      <c r="X119" s="880"/>
    </row>
    <row r="120" spans="1:24" ht="12.95" customHeight="1" thickBot="1">
      <c r="A120" s="885"/>
      <c r="B120" s="11" t="s">
        <v>31</v>
      </c>
      <c r="C120" s="12"/>
      <c r="D120" s="927" t="s">
        <v>78</v>
      </c>
      <c r="E120" s="928"/>
      <c r="F120" s="928"/>
      <c r="G120" s="929"/>
      <c r="H120" s="927" t="s">
        <v>77</v>
      </c>
      <c r="I120" s="928"/>
      <c r="J120" s="928"/>
      <c r="K120" s="929"/>
      <c r="L120" s="927" t="s">
        <v>81</v>
      </c>
      <c r="M120" s="928"/>
      <c r="N120" s="928"/>
      <c r="O120" s="929"/>
      <c r="P120" s="927" t="s">
        <v>254</v>
      </c>
      <c r="Q120" s="928"/>
      <c r="R120" s="928"/>
      <c r="S120" s="929"/>
      <c r="T120" s="927" t="s">
        <v>76</v>
      </c>
      <c r="U120" s="928"/>
      <c r="V120" s="928"/>
      <c r="W120" s="929"/>
      <c r="X120" s="880"/>
    </row>
    <row r="121" spans="1:24" ht="12.95" customHeight="1" thickBot="1">
      <c r="A121" s="885"/>
      <c r="B121" s="868" t="s">
        <v>421</v>
      </c>
      <c r="C121" s="23"/>
      <c r="D121" s="1230" t="s">
        <v>418</v>
      </c>
      <c r="E121" s="1232"/>
      <c r="F121" s="1240" t="s">
        <v>419</v>
      </c>
      <c r="G121" s="1232"/>
      <c r="H121" s="1240" t="s">
        <v>418</v>
      </c>
      <c r="I121" s="1232"/>
      <c r="J121" s="1240" t="s">
        <v>419</v>
      </c>
      <c r="K121" s="1232"/>
      <c r="L121" s="1240" t="s">
        <v>418</v>
      </c>
      <c r="M121" s="1232"/>
      <c r="N121" s="1240" t="s">
        <v>419</v>
      </c>
      <c r="O121" s="1232"/>
      <c r="P121" s="1240" t="s">
        <v>418</v>
      </c>
      <c r="Q121" s="1232"/>
      <c r="R121" s="1240" t="s">
        <v>419</v>
      </c>
      <c r="S121" s="1232"/>
      <c r="T121" s="1240" t="s">
        <v>418</v>
      </c>
      <c r="U121" s="1232"/>
      <c r="V121" s="1240" t="s">
        <v>419</v>
      </c>
      <c r="W121" s="1246"/>
      <c r="X121" s="880"/>
    </row>
    <row r="122" spans="1:24" ht="12.95" customHeight="1" thickBot="1">
      <c r="A122" s="885"/>
      <c r="B122" s="885"/>
      <c r="C122" s="26" t="s">
        <v>2</v>
      </c>
      <c r="D122" s="933" t="s">
        <v>172</v>
      </c>
      <c r="E122" s="934"/>
      <c r="F122" s="934"/>
      <c r="G122" s="935"/>
      <c r="H122" s="966" t="s">
        <v>572</v>
      </c>
      <c r="I122" s="967"/>
      <c r="J122" s="967"/>
      <c r="K122" s="968"/>
      <c r="L122" s="951">
        <v>50</v>
      </c>
      <c r="M122" s="952"/>
      <c r="N122" s="951">
        <v>55</v>
      </c>
      <c r="O122" s="952"/>
      <c r="P122" s="951">
        <v>70</v>
      </c>
      <c r="Q122" s="952"/>
      <c r="R122" s="951">
        <v>60</v>
      </c>
      <c r="S122" s="952"/>
      <c r="T122" s="1300">
        <v>80</v>
      </c>
      <c r="U122" s="1301"/>
      <c r="V122" s="1290">
        <v>85</v>
      </c>
      <c r="W122" s="1291"/>
      <c r="X122" s="880"/>
    </row>
    <row r="123" spans="1:24" ht="18" customHeight="1" thickBot="1">
      <c r="A123" s="885"/>
      <c r="B123" s="885"/>
      <c r="C123" s="9" t="s">
        <v>3</v>
      </c>
      <c r="D123" s="933"/>
      <c r="E123" s="934"/>
      <c r="F123" s="934"/>
      <c r="G123" s="935"/>
      <c r="H123" s="933"/>
      <c r="I123" s="934"/>
      <c r="J123" s="934"/>
      <c r="K123" s="935"/>
      <c r="L123" s="933"/>
      <c r="M123" s="934"/>
      <c r="N123" s="934"/>
      <c r="O123" s="935"/>
      <c r="P123" s="939">
        <v>66</v>
      </c>
      <c r="Q123" s="953"/>
      <c r="R123" s="939">
        <v>86</v>
      </c>
      <c r="S123" s="953"/>
      <c r="T123" s="939">
        <v>0</v>
      </c>
      <c r="U123" s="953"/>
      <c r="V123" s="939">
        <v>0</v>
      </c>
      <c r="W123" s="953"/>
      <c r="X123" s="880"/>
    </row>
    <row r="124" spans="1:24" ht="12.95" customHeight="1" thickBot="1">
      <c r="A124" s="885"/>
      <c r="B124" s="885"/>
      <c r="C124" s="1258" t="s">
        <v>170</v>
      </c>
      <c r="D124" s="927" t="s">
        <v>4</v>
      </c>
      <c r="E124" s="928"/>
      <c r="F124" s="928"/>
      <c r="G124" s="928"/>
      <c r="H124" s="928"/>
      <c r="I124" s="928"/>
      <c r="J124" s="928"/>
      <c r="K124" s="928"/>
      <c r="L124" s="928"/>
      <c r="M124" s="928"/>
      <c r="N124" s="928"/>
      <c r="O124" s="928"/>
      <c r="P124" s="928"/>
      <c r="Q124" s="928"/>
      <c r="R124" s="928"/>
      <c r="S124" s="928"/>
      <c r="T124" s="928"/>
      <c r="U124" s="928"/>
      <c r="V124" s="928"/>
      <c r="W124" s="929"/>
      <c r="X124" s="880"/>
    </row>
    <row r="125" spans="1:24" ht="12.95" customHeight="1" thickBot="1">
      <c r="A125" s="885"/>
      <c r="B125" s="94" t="s">
        <v>179</v>
      </c>
      <c r="C125" s="1259"/>
      <c r="D125" s="930" t="s">
        <v>121</v>
      </c>
      <c r="E125" s="931"/>
      <c r="F125" s="931"/>
      <c r="G125" s="931"/>
      <c r="H125" s="931"/>
      <c r="I125" s="931"/>
      <c r="J125" s="931"/>
      <c r="K125" s="931"/>
      <c r="L125" s="931"/>
      <c r="M125" s="931"/>
      <c r="N125" s="931"/>
      <c r="O125" s="931"/>
      <c r="P125" s="931"/>
      <c r="Q125" s="931"/>
      <c r="R125" s="931"/>
      <c r="S125" s="931"/>
      <c r="T125" s="931"/>
      <c r="U125" s="931"/>
      <c r="V125" s="931"/>
      <c r="W125" s="932"/>
      <c r="X125" s="880"/>
    </row>
    <row r="126" spans="1:24" ht="12.95" customHeight="1" thickBot="1">
      <c r="A126" s="885"/>
      <c r="B126" s="11" t="s">
        <v>40</v>
      </c>
      <c r="C126" s="12"/>
      <c r="D126" s="927" t="s">
        <v>78</v>
      </c>
      <c r="E126" s="928"/>
      <c r="F126" s="928"/>
      <c r="G126" s="929"/>
      <c r="H126" s="927" t="s">
        <v>77</v>
      </c>
      <c r="I126" s="928"/>
      <c r="J126" s="928"/>
      <c r="K126" s="929"/>
      <c r="L126" s="927" t="s">
        <v>81</v>
      </c>
      <c r="M126" s="928"/>
      <c r="N126" s="928"/>
      <c r="O126" s="929"/>
      <c r="P126" s="927" t="s">
        <v>254</v>
      </c>
      <c r="Q126" s="928"/>
      <c r="R126" s="928"/>
      <c r="S126" s="929"/>
      <c r="T126" s="927" t="s">
        <v>76</v>
      </c>
      <c r="U126" s="928"/>
      <c r="V126" s="928"/>
      <c r="W126" s="929"/>
      <c r="X126" s="880"/>
    </row>
    <row r="127" spans="1:24" ht="12.95" customHeight="1" thickBot="1">
      <c r="A127" s="885"/>
      <c r="B127" s="873" t="s">
        <v>644</v>
      </c>
      <c r="C127" s="23" t="s">
        <v>2</v>
      </c>
      <c r="D127" s="933" t="s">
        <v>171</v>
      </c>
      <c r="E127" s="934"/>
      <c r="F127" s="934"/>
      <c r="G127" s="935"/>
      <c r="H127" s="966" t="s">
        <v>572</v>
      </c>
      <c r="I127" s="967"/>
      <c r="J127" s="967"/>
      <c r="K127" s="968"/>
      <c r="L127" s="942">
        <v>3</v>
      </c>
      <c r="M127" s="943"/>
      <c r="N127" s="943"/>
      <c r="O127" s="944"/>
      <c r="P127" s="942">
        <v>3.5</v>
      </c>
      <c r="Q127" s="943"/>
      <c r="R127" s="943"/>
      <c r="S127" s="944"/>
      <c r="T127" s="963">
        <v>4</v>
      </c>
      <c r="U127" s="964"/>
      <c r="V127" s="964"/>
      <c r="W127" s="965"/>
      <c r="X127" s="880"/>
    </row>
    <row r="128" spans="1:24" ht="13.5" thickBot="1">
      <c r="A128" s="869"/>
      <c r="B128" s="874"/>
      <c r="C128" s="9" t="s">
        <v>3</v>
      </c>
      <c r="D128" s="933"/>
      <c r="E128" s="934"/>
      <c r="F128" s="934"/>
      <c r="G128" s="935"/>
      <c r="H128" s="933"/>
      <c r="I128" s="934"/>
      <c r="J128" s="934"/>
      <c r="K128" s="935"/>
      <c r="L128" s="1171"/>
      <c r="M128" s="1172"/>
      <c r="N128" s="1172"/>
      <c r="O128" s="1173"/>
      <c r="P128" s="963">
        <v>3.6</v>
      </c>
      <c r="Q128" s="964"/>
      <c r="R128" s="964"/>
      <c r="S128" s="965"/>
      <c r="T128" s="963">
        <v>0</v>
      </c>
      <c r="U128" s="964"/>
      <c r="V128" s="964"/>
      <c r="W128" s="965"/>
      <c r="X128" s="881"/>
    </row>
    <row r="129" spans="1:24" ht="12.95" customHeight="1" thickBot="1">
      <c r="A129" s="96" t="s">
        <v>13</v>
      </c>
      <c r="B129" s="874"/>
      <c r="C129" s="1258" t="s">
        <v>170</v>
      </c>
      <c r="D129" s="927" t="s">
        <v>4</v>
      </c>
      <c r="E129" s="928"/>
      <c r="F129" s="928"/>
      <c r="G129" s="928"/>
      <c r="H129" s="928"/>
      <c r="I129" s="928"/>
      <c r="J129" s="928"/>
      <c r="K129" s="928"/>
      <c r="L129" s="928"/>
      <c r="M129" s="928"/>
      <c r="N129" s="928"/>
      <c r="O129" s="928"/>
      <c r="P129" s="928"/>
      <c r="Q129" s="928"/>
      <c r="R129" s="928"/>
      <c r="S129" s="928"/>
      <c r="T129" s="928"/>
      <c r="U129" s="928"/>
      <c r="V129" s="928"/>
      <c r="W129" s="929"/>
      <c r="X129" s="24" t="s">
        <v>14</v>
      </c>
    </row>
    <row r="130" spans="1:24" ht="12.95" customHeight="1" thickBot="1">
      <c r="A130" s="25" t="s">
        <v>75</v>
      </c>
      <c r="B130" s="875"/>
      <c r="C130" s="1259"/>
      <c r="D130" s="930" t="s">
        <v>122</v>
      </c>
      <c r="E130" s="931"/>
      <c r="F130" s="931"/>
      <c r="G130" s="931"/>
      <c r="H130" s="931"/>
      <c r="I130" s="931"/>
      <c r="J130" s="931"/>
      <c r="K130" s="931"/>
      <c r="L130" s="931"/>
      <c r="M130" s="931"/>
      <c r="N130" s="931"/>
      <c r="O130" s="931"/>
      <c r="P130" s="931"/>
      <c r="Q130" s="931"/>
      <c r="R130" s="931"/>
      <c r="S130" s="931"/>
      <c r="T130" s="931"/>
      <c r="U130" s="931"/>
      <c r="V130" s="931"/>
      <c r="W130" s="932"/>
      <c r="X130" s="18" t="s">
        <v>92</v>
      </c>
    </row>
    <row r="131" spans="1:24" ht="12.95" customHeight="1" thickBot="1">
      <c r="A131" s="906" t="s">
        <v>7</v>
      </c>
      <c r="B131" s="908" t="s">
        <v>173</v>
      </c>
      <c r="C131" s="909"/>
      <c r="D131" s="908" t="s">
        <v>8</v>
      </c>
      <c r="E131" s="918"/>
      <c r="F131" s="918"/>
      <c r="G131" s="909"/>
      <c r="H131" s="908" t="s">
        <v>88</v>
      </c>
      <c r="I131" s="918"/>
      <c r="J131" s="918"/>
      <c r="K131" s="909"/>
      <c r="L131" s="908" t="s">
        <v>89</v>
      </c>
      <c r="M131" s="918"/>
      <c r="N131" s="918"/>
      <c r="O131" s="909"/>
      <c r="P131" s="908" t="s">
        <v>9</v>
      </c>
      <c r="Q131" s="918"/>
      <c r="R131" s="918"/>
      <c r="S131" s="909"/>
      <c r="T131" s="908" t="s">
        <v>174</v>
      </c>
      <c r="U131" s="918"/>
      <c r="V131" s="918"/>
      <c r="W131" s="918"/>
      <c r="X131" s="909"/>
    </row>
    <row r="132" spans="1:24" ht="13.5" thickBot="1">
      <c r="A132" s="907"/>
      <c r="B132" s="1256"/>
      <c r="C132" s="1257"/>
      <c r="D132" s="916"/>
      <c r="E132" s="994"/>
      <c r="F132" s="994"/>
      <c r="G132" s="917"/>
      <c r="H132" s="916"/>
      <c r="I132" s="994"/>
      <c r="J132" s="994"/>
      <c r="K132" s="917"/>
      <c r="L132" s="916"/>
      <c r="M132" s="994"/>
      <c r="N132" s="994"/>
      <c r="O132" s="917"/>
      <c r="P132" s="916">
        <f>SUM(B132:O132)</f>
        <v>0</v>
      </c>
      <c r="Q132" s="994"/>
      <c r="R132" s="994"/>
      <c r="S132" s="917"/>
      <c r="T132" s="916" t="e">
        <f>B132/P132%</f>
        <v>#DIV/0!</v>
      </c>
      <c r="U132" s="994"/>
      <c r="V132" s="994"/>
      <c r="W132" s="994"/>
      <c r="X132" s="917"/>
    </row>
    <row r="133" spans="1:24" ht="13.5" thickBot="1">
      <c r="A133" s="906" t="s">
        <v>10</v>
      </c>
      <c r="B133" s="908" t="s">
        <v>175</v>
      </c>
      <c r="C133" s="909"/>
      <c r="D133" s="910"/>
      <c r="E133" s="911"/>
      <c r="F133" s="911"/>
      <c r="G133" s="911"/>
      <c r="H133" s="911"/>
      <c r="I133" s="911"/>
      <c r="J133" s="911"/>
      <c r="K133" s="911"/>
      <c r="L133" s="911"/>
      <c r="M133" s="911"/>
      <c r="N133" s="911"/>
      <c r="O133" s="911"/>
      <c r="P133" s="911"/>
      <c r="Q133" s="911"/>
      <c r="R133" s="911"/>
      <c r="S133" s="911"/>
      <c r="T133" s="911"/>
      <c r="U133" s="911"/>
      <c r="V133" s="911"/>
      <c r="W133" s="911"/>
      <c r="X133" s="912"/>
    </row>
    <row r="134" spans="1:24" ht="13.5" thickBot="1">
      <c r="A134" s="907"/>
      <c r="B134" s="1256"/>
      <c r="C134" s="1257"/>
      <c r="D134" s="913"/>
      <c r="E134" s="914"/>
      <c r="F134" s="914"/>
      <c r="G134" s="914"/>
      <c r="H134" s="914"/>
      <c r="I134" s="914"/>
      <c r="J134" s="914"/>
      <c r="K134" s="914"/>
      <c r="L134" s="914"/>
      <c r="M134" s="914"/>
      <c r="N134" s="914"/>
      <c r="O134" s="914"/>
      <c r="P134" s="914"/>
      <c r="Q134" s="914"/>
      <c r="R134" s="914"/>
      <c r="S134" s="914"/>
      <c r="T134" s="914"/>
      <c r="U134" s="914"/>
      <c r="V134" s="914"/>
      <c r="W134" s="914"/>
      <c r="X134" s="915"/>
    </row>
    <row r="135" spans="1:24">
      <c r="A135" s="5"/>
      <c r="B135" s="5"/>
      <c r="C135" s="6"/>
      <c r="D135" s="5"/>
      <c r="E135" s="5"/>
      <c r="F135" s="5"/>
      <c r="G135" s="5"/>
      <c r="H135" s="5"/>
      <c r="I135" s="5"/>
      <c r="J135" s="5"/>
      <c r="K135" s="5"/>
      <c r="L135" s="5"/>
      <c r="M135" s="5"/>
      <c r="N135" s="5"/>
      <c r="O135" s="5"/>
      <c r="P135" s="5"/>
      <c r="Q135" s="5"/>
      <c r="R135" s="5"/>
      <c r="S135" s="5"/>
      <c r="T135" s="5"/>
      <c r="U135" s="5"/>
      <c r="V135" s="5"/>
      <c r="W135" s="5"/>
      <c r="X135" s="5"/>
    </row>
    <row r="136" spans="1:24" ht="13.5" thickBot="1">
      <c r="A136" s="5"/>
      <c r="B136" s="5"/>
      <c r="C136" s="6"/>
      <c r="D136" s="5"/>
      <c r="E136" s="5"/>
      <c r="F136" s="5"/>
      <c r="G136" s="5"/>
      <c r="H136" s="5"/>
      <c r="I136" s="5"/>
      <c r="J136" s="5"/>
      <c r="K136" s="5"/>
      <c r="L136" s="5"/>
      <c r="M136" s="5"/>
      <c r="N136" s="5"/>
      <c r="O136" s="5"/>
      <c r="P136" s="5"/>
      <c r="Q136" s="5"/>
      <c r="R136" s="5"/>
      <c r="S136" s="5"/>
      <c r="T136" s="5"/>
      <c r="U136" s="5"/>
      <c r="V136" s="5"/>
      <c r="W136" s="5"/>
      <c r="X136" s="5"/>
    </row>
    <row r="137" spans="1:24" ht="12.95" customHeight="1" thickBot="1">
      <c r="A137" s="95" t="s">
        <v>28</v>
      </c>
      <c r="B137" s="97" t="s">
        <v>32</v>
      </c>
      <c r="C137" s="8"/>
      <c r="D137" s="927" t="s">
        <v>78</v>
      </c>
      <c r="E137" s="928"/>
      <c r="F137" s="928"/>
      <c r="G137" s="929"/>
      <c r="H137" s="927" t="s">
        <v>77</v>
      </c>
      <c r="I137" s="928"/>
      <c r="J137" s="928"/>
      <c r="K137" s="929"/>
      <c r="L137" s="927" t="s">
        <v>81</v>
      </c>
      <c r="M137" s="928"/>
      <c r="N137" s="928"/>
      <c r="O137" s="929"/>
      <c r="P137" s="927" t="s">
        <v>254</v>
      </c>
      <c r="Q137" s="928"/>
      <c r="R137" s="928"/>
      <c r="S137" s="929"/>
      <c r="T137" s="927" t="s">
        <v>76</v>
      </c>
      <c r="U137" s="928"/>
      <c r="V137" s="928"/>
      <c r="W137" s="929"/>
      <c r="X137" s="16" t="s">
        <v>6</v>
      </c>
    </row>
    <row r="138" spans="1:24" ht="12.95" customHeight="1" thickBot="1">
      <c r="A138" s="868" t="s">
        <v>65</v>
      </c>
      <c r="B138" s="868" t="s">
        <v>66</v>
      </c>
      <c r="C138" s="9" t="s">
        <v>2</v>
      </c>
      <c r="D138" s="942">
        <v>2</v>
      </c>
      <c r="E138" s="943"/>
      <c r="F138" s="943"/>
      <c r="G138" s="944"/>
      <c r="H138" s="942">
        <v>2</v>
      </c>
      <c r="I138" s="943"/>
      <c r="J138" s="943"/>
      <c r="K138" s="944"/>
      <c r="L138" s="942">
        <v>2.5</v>
      </c>
      <c r="M138" s="943"/>
      <c r="N138" s="943"/>
      <c r="O138" s="944"/>
      <c r="P138" s="942">
        <v>2.5</v>
      </c>
      <c r="Q138" s="943"/>
      <c r="R138" s="943"/>
      <c r="S138" s="944"/>
      <c r="T138" s="942">
        <v>3</v>
      </c>
      <c r="U138" s="943"/>
      <c r="V138" s="943"/>
      <c r="W138" s="944"/>
      <c r="X138" s="879" t="s">
        <v>91</v>
      </c>
    </row>
    <row r="139" spans="1:24" ht="13.5" thickBot="1">
      <c r="A139" s="885"/>
      <c r="B139" s="885"/>
      <c r="C139" s="99" t="s">
        <v>3</v>
      </c>
      <c r="D139" s="957"/>
      <c r="E139" s="958"/>
      <c r="F139" s="958"/>
      <c r="G139" s="959"/>
      <c r="H139" s="963">
        <v>2</v>
      </c>
      <c r="I139" s="964"/>
      <c r="J139" s="964"/>
      <c r="K139" s="965"/>
      <c r="L139" s="963">
        <v>3.3</v>
      </c>
      <c r="M139" s="964"/>
      <c r="N139" s="964"/>
      <c r="O139" s="965"/>
      <c r="P139" s="963">
        <v>2.8</v>
      </c>
      <c r="Q139" s="964"/>
      <c r="R139" s="964"/>
      <c r="S139" s="965"/>
      <c r="T139" s="963">
        <v>0</v>
      </c>
      <c r="U139" s="964"/>
      <c r="V139" s="964"/>
      <c r="W139" s="965"/>
      <c r="X139" s="880"/>
    </row>
    <row r="140" spans="1:24" ht="12.95" customHeight="1" thickBot="1">
      <c r="A140" s="885"/>
      <c r="B140" s="885"/>
      <c r="C140" s="1258" t="s">
        <v>170</v>
      </c>
      <c r="D140" s="927" t="s">
        <v>4</v>
      </c>
      <c r="E140" s="928"/>
      <c r="F140" s="928"/>
      <c r="G140" s="928"/>
      <c r="H140" s="928"/>
      <c r="I140" s="928"/>
      <c r="J140" s="928"/>
      <c r="K140" s="928"/>
      <c r="L140" s="928"/>
      <c r="M140" s="928"/>
      <c r="N140" s="928"/>
      <c r="O140" s="928"/>
      <c r="P140" s="928"/>
      <c r="Q140" s="928"/>
      <c r="R140" s="928"/>
      <c r="S140" s="928"/>
      <c r="T140" s="928"/>
      <c r="U140" s="928"/>
      <c r="V140" s="928"/>
      <c r="W140" s="929"/>
      <c r="X140" s="880"/>
    </row>
    <row r="141" spans="1:24" ht="12.95" customHeight="1" thickBot="1">
      <c r="A141" s="885"/>
      <c r="B141" s="869"/>
      <c r="C141" s="1259"/>
      <c r="D141" s="930" t="s">
        <v>123</v>
      </c>
      <c r="E141" s="931"/>
      <c r="F141" s="931"/>
      <c r="G141" s="931"/>
      <c r="H141" s="931"/>
      <c r="I141" s="931"/>
      <c r="J141" s="931"/>
      <c r="K141" s="931"/>
      <c r="L141" s="931"/>
      <c r="M141" s="931"/>
      <c r="N141" s="931"/>
      <c r="O141" s="931"/>
      <c r="P141" s="931"/>
      <c r="Q141" s="931"/>
      <c r="R141" s="931"/>
      <c r="S141" s="931"/>
      <c r="T141" s="931"/>
      <c r="U141" s="931"/>
      <c r="V141" s="931"/>
      <c r="W141" s="932"/>
      <c r="X141" s="880"/>
    </row>
    <row r="142" spans="1:24" ht="12.95" customHeight="1" thickBot="1">
      <c r="A142" s="885"/>
      <c r="B142" s="11" t="s">
        <v>33</v>
      </c>
      <c r="C142" s="12"/>
      <c r="D142" s="927" t="s">
        <v>78</v>
      </c>
      <c r="E142" s="928"/>
      <c r="F142" s="928"/>
      <c r="G142" s="929"/>
      <c r="H142" s="927" t="s">
        <v>77</v>
      </c>
      <c r="I142" s="928"/>
      <c r="J142" s="928"/>
      <c r="K142" s="929"/>
      <c r="L142" s="927" t="s">
        <v>81</v>
      </c>
      <c r="M142" s="928"/>
      <c r="N142" s="928"/>
      <c r="O142" s="929"/>
      <c r="P142" s="927" t="s">
        <v>254</v>
      </c>
      <c r="Q142" s="928"/>
      <c r="R142" s="928"/>
      <c r="S142" s="929"/>
      <c r="T142" s="927" t="s">
        <v>76</v>
      </c>
      <c r="U142" s="928"/>
      <c r="V142" s="928"/>
      <c r="W142" s="929"/>
      <c r="X142" s="880"/>
    </row>
    <row r="143" spans="1:24" ht="13.5" thickBot="1">
      <c r="A143" s="885"/>
      <c r="B143" s="868" t="s">
        <v>67</v>
      </c>
      <c r="C143" s="23" t="s">
        <v>2</v>
      </c>
      <c r="D143" s="942">
        <v>2</v>
      </c>
      <c r="E143" s="943"/>
      <c r="F143" s="943"/>
      <c r="G143" s="944"/>
      <c r="H143" s="942">
        <v>2</v>
      </c>
      <c r="I143" s="943"/>
      <c r="J143" s="943"/>
      <c r="K143" s="944"/>
      <c r="L143" s="942">
        <v>3</v>
      </c>
      <c r="M143" s="943"/>
      <c r="N143" s="943"/>
      <c r="O143" s="944"/>
      <c r="P143" s="942">
        <v>3</v>
      </c>
      <c r="Q143" s="943"/>
      <c r="R143" s="943"/>
      <c r="S143" s="944"/>
      <c r="T143" s="1188">
        <v>4.5</v>
      </c>
      <c r="U143" s="1189"/>
      <c r="V143" s="1189"/>
      <c r="W143" s="1190"/>
      <c r="X143" s="880"/>
    </row>
    <row r="144" spans="1:24" ht="13.5" thickBot="1">
      <c r="A144" s="885"/>
      <c r="B144" s="885"/>
      <c r="C144" s="9" t="s">
        <v>3</v>
      </c>
      <c r="D144" s="957"/>
      <c r="E144" s="958"/>
      <c r="F144" s="958"/>
      <c r="G144" s="959"/>
      <c r="H144" s="963">
        <v>1</v>
      </c>
      <c r="I144" s="964"/>
      <c r="J144" s="964"/>
      <c r="K144" s="965"/>
      <c r="L144" s="963">
        <v>2.7</v>
      </c>
      <c r="M144" s="964"/>
      <c r="N144" s="964"/>
      <c r="O144" s="965"/>
      <c r="P144" s="963">
        <v>4.3</v>
      </c>
      <c r="Q144" s="964"/>
      <c r="R144" s="964"/>
      <c r="S144" s="965"/>
      <c r="T144" s="963">
        <v>0</v>
      </c>
      <c r="U144" s="964"/>
      <c r="V144" s="964"/>
      <c r="W144" s="965"/>
      <c r="X144" s="880"/>
    </row>
    <row r="145" spans="1:24" ht="12.95" customHeight="1" thickBot="1">
      <c r="A145" s="885"/>
      <c r="B145" s="885"/>
      <c r="C145" s="1258" t="s">
        <v>170</v>
      </c>
      <c r="D145" s="927" t="s">
        <v>4</v>
      </c>
      <c r="E145" s="928"/>
      <c r="F145" s="928"/>
      <c r="G145" s="928"/>
      <c r="H145" s="928"/>
      <c r="I145" s="928"/>
      <c r="J145" s="928"/>
      <c r="K145" s="928"/>
      <c r="L145" s="928"/>
      <c r="M145" s="928"/>
      <c r="N145" s="928"/>
      <c r="O145" s="928"/>
      <c r="P145" s="928"/>
      <c r="Q145" s="928"/>
      <c r="R145" s="928"/>
      <c r="S145" s="928"/>
      <c r="T145" s="928"/>
      <c r="U145" s="928"/>
      <c r="V145" s="928"/>
      <c r="W145" s="929"/>
      <c r="X145" s="880"/>
    </row>
    <row r="146" spans="1:24" ht="12.95" customHeight="1" thickBot="1">
      <c r="A146" s="885"/>
      <c r="B146" s="869"/>
      <c r="C146" s="1259"/>
      <c r="D146" s="930" t="s">
        <v>123</v>
      </c>
      <c r="E146" s="931"/>
      <c r="F146" s="931"/>
      <c r="G146" s="931"/>
      <c r="H146" s="931"/>
      <c r="I146" s="931"/>
      <c r="J146" s="931"/>
      <c r="K146" s="931"/>
      <c r="L146" s="931"/>
      <c r="M146" s="931"/>
      <c r="N146" s="931"/>
      <c r="O146" s="931"/>
      <c r="P146" s="931"/>
      <c r="Q146" s="931"/>
      <c r="R146" s="931"/>
      <c r="S146" s="931"/>
      <c r="T146" s="931"/>
      <c r="U146" s="931"/>
      <c r="V146" s="931"/>
      <c r="W146" s="932"/>
      <c r="X146" s="880"/>
    </row>
    <row r="147" spans="1:24" ht="12.95" customHeight="1" thickBot="1">
      <c r="A147" s="885"/>
      <c r="B147" s="11" t="s">
        <v>34</v>
      </c>
      <c r="C147" s="12"/>
      <c r="D147" s="927" t="s">
        <v>78</v>
      </c>
      <c r="E147" s="928"/>
      <c r="F147" s="928"/>
      <c r="G147" s="929"/>
      <c r="H147" s="927" t="s">
        <v>77</v>
      </c>
      <c r="I147" s="928"/>
      <c r="J147" s="928"/>
      <c r="K147" s="929"/>
      <c r="L147" s="927" t="s">
        <v>81</v>
      </c>
      <c r="M147" s="928"/>
      <c r="N147" s="928"/>
      <c r="O147" s="929"/>
      <c r="P147" s="927" t="s">
        <v>254</v>
      </c>
      <c r="Q147" s="928"/>
      <c r="R147" s="928"/>
      <c r="S147" s="929"/>
      <c r="T147" s="927" t="s">
        <v>76</v>
      </c>
      <c r="U147" s="928"/>
      <c r="V147" s="928"/>
      <c r="W147" s="929"/>
      <c r="X147" s="880"/>
    </row>
    <row r="148" spans="1:24" ht="13.5" thickBot="1">
      <c r="A148" s="885"/>
      <c r="B148" s="868" t="s">
        <v>68</v>
      </c>
      <c r="C148" s="23" t="s">
        <v>2</v>
      </c>
      <c r="D148" s="942">
        <v>1</v>
      </c>
      <c r="E148" s="943"/>
      <c r="F148" s="943"/>
      <c r="G148" s="944"/>
      <c r="H148" s="942">
        <v>1</v>
      </c>
      <c r="I148" s="943"/>
      <c r="J148" s="943"/>
      <c r="K148" s="944"/>
      <c r="L148" s="942">
        <v>2</v>
      </c>
      <c r="M148" s="943"/>
      <c r="N148" s="943"/>
      <c r="O148" s="944"/>
      <c r="P148" s="942">
        <v>2.5</v>
      </c>
      <c r="Q148" s="943"/>
      <c r="R148" s="943"/>
      <c r="S148" s="944"/>
      <c r="T148" s="942">
        <v>3</v>
      </c>
      <c r="U148" s="943"/>
      <c r="V148" s="943"/>
      <c r="W148" s="944"/>
      <c r="X148" s="880"/>
    </row>
    <row r="149" spans="1:24" ht="13.5" thickBot="1">
      <c r="A149" s="885"/>
      <c r="B149" s="885"/>
      <c r="C149" s="9" t="s">
        <v>3</v>
      </c>
      <c r="D149" s="957"/>
      <c r="E149" s="958"/>
      <c r="F149" s="958"/>
      <c r="G149" s="959"/>
      <c r="H149" s="963">
        <v>2</v>
      </c>
      <c r="I149" s="964"/>
      <c r="J149" s="964"/>
      <c r="K149" s="965"/>
      <c r="L149" s="963">
        <v>1.6</v>
      </c>
      <c r="M149" s="964"/>
      <c r="N149" s="964"/>
      <c r="O149" s="965"/>
      <c r="P149" s="963">
        <v>2.6</v>
      </c>
      <c r="Q149" s="964"/>
      <c r="R149" s="964"/>
      <c r="S149" s="965"/>
      <c r="T149" s="963">
        <v>0</v>
      </c>
      <c r="U149" s="964"/>
      <c r="V149" s="964"/>
      <c r="W149" s="965"/>
      <c r="X149" s="880"/>
    </row>
    <row r="150" spans="1:24" ht="12.95" customHeight="1" thickBot="1">
      <c r="A150" s="885"/>
      <c r="B150" s="885"/>
      <c r="C150" s="1258" t="s">
        <v>170</v>
      </c>
      <c r="D150" s="927" t="s">
        <v>4</v>
      </c>
      <c r="E150" s="928"/>
      <c r="F150" s="928"/>
      <c r="G150" s="928"/>
      <c r="H150" s="928"/>
      <c r="I150" s="928"/>
      <c r="J150" s="928"/>
      <c r="K150" s="928"/>
      <c r="L150" s="928"/>
      <c r="M150" s="928"/>
      <c r="N150" s="928"/>
      <c r="O150" s="928"/>
      <c r="P150" s="928"/>
      <c r="Q150" s="928"/>
      <c r="R150" s="928"/>
      <c r="S150" s="928"/>
      <c r="T150" s="928"/>
      <c r="U150" s="928"/>
      <c r="V150" s="928"/>
      <c r="W150" s="929"/>
      <c r="X150" s="880"/>
    </row>
    <row r="151" spans="1:24" ht="12.95" customHeight="1" thickBot="1">
      <c r="A151" s="885"/>
      <c r="B151" s="869"/>
      <c r="C151" s="1259"/>
      <c r="D151" s="930" t="s">
        <v>123</v>
      </c>
      <c r="E151" s="931"/>
      <c r="F151" s="931"/>
      <c r="G151" s="931"/>
      <c r="H151" s="931"/>
      <c r="I151" s="931"/>
      <c r="J151" s="931"/>
      <c r="K151" s="931"/>
      <c r="L151" s="931"/>
      <c r="M151" s="931"/>
      <c r="N151" s="931"/>
      <c r="O151" s="931"/>
      <c r="P151" s="931"/>
      <c r="Q151" s="931"/>
      <c r="R151" s="931"/>
      <c r="S151" s="931"/>
      <c r="T151" s="931"/>
      <c r="U151" s="931"/>
      <c r="V151" s="931"/>
      <c r="W151" s="932"/>
      <c r="X151" s="880"/>
    </row>
    <row r="152" spans="1:24" ht="12.95" customHeight="1" thickBot="1">
      <c r="A152" s="885"/>
      <c r="B152" s="11" t="s">
        <v>41</v>
      </c>
      <c r="C152" s="12"/>
      <c r="D152" s="927" t="s">
        <v>78</v>
      </c>
      <c r="E152" s="928"/>
      <c r="F152" s="928"/>
      <c r="G152" s="929"/>
      <c r="H152" s="927" t="s">
        <v>77</v>
      </c>
      <c r="I152" s="928"/>
      <c r="J152" s="928"/>
      <c r="K152" s="929"/>
      <c r="L152" s="927" t="s">
        <v>81</v>
      </c>
      <c r="M152" s="928"/>
      <c r="N152" s="928"/>
      <c r="O152" s="929"/>
      <c r="P152" s="927" t="s">
        <v>254</v>
      </c>
      <c r="Q152" s="928"/>
      <c r="R152" s="928"/>
      <c r="S152" s="929"/>
      <c r="T152" s="927" t="s">
        <v>76</v>
      </c>
      <c r="U152" s="928"/>
      <c r="V152" s="928"/>
      <c r="W152" s="929"/>
      <c r="X152" s="880"/>
    </row>
    <row r="153" spans="1:24" ht="13.5" thickBot="1">
      <c r="A153" s="885"/>
      <c r="B153" s="868" t="s">
        <v>69</v>
      </c>
      <c r="C153" s="23" t="s">
        <v>2</v>
      </c>
      <c r="D153" s="942">
        <v>1</v>
      </c>
      <c r="E153" s="943"/>
      <c r="F153" s="943"/>
      <c r="G153" s="944"/>
      <c r="H153" s="942">
        <v>2</v>
      </c>
      <c r="I153" s="943"/>
      <c r="J153" s="943"/>
      <c r="K153" s="944"/>
      <c r="L153" s="942">
        <v>3</v>
      </c>
      <c r="M153" s="943"/>
      <c r="N153" s="943"/>
      <c r="O153" s="944"/>
      <c r="P153" s="942">
        <v>3.1</v>
      </c>
      <c r="Q153" s="943"/>
      <c r="R153" s="943"/>
      <c r="S153" s="944"/>
      <c r="T153" s="942">
        <v>3.5</v>
      </c>
      <c r="U153" s="943"/>
      <c r="V153" s="943"/>
      <c r="W153" s="944"/>
      <c r="X153" s="880"/>
    </row>
    <row r="154" spans="1:24" ht="13.5" thickBot="1">
      <c r="A154" s="885"/>
      <c r="B154" s="885"/>
      <c r="C154" s="9" t="s">
        <v>3</v>
      </c>
      <c r="D154" s="957"/>
      <c r="E154" s="958"/>
      <c r="F154" s="958"/>
      <c r="G154" s="959"/>
      <c r="H154" s="963">
        <v>2</v>
      </c>
      <c r="I154" s="964"/>
      <c r="J154" s="964"/>
      <c r="K154" s="965"/>
      <c r="L154" s="963">
        <v>2</v>
      </c>
      <c r="M154" s="964"/>
      <c r="N154" s="964"/>
      <c r="O154" s="965"/>
      <c r="P154" s="963">
        <v>2.4</v>
      </c>
      <c r="Q154" s="964"/>
      <c r="R154" s="964"/>
      <c r="S154" s="965"/>
      <c r="T154" s="963">
        <v>0</v>
      </c>
      <c r="U154" s="964"/>
      <c r="V154" s="964"/>
      <c r="W154" s="965"/>
      <c r="X154" s="880"/>
    </row>
    <row r="155" spans="1:24" ht="12.95" customHeight="1" thickBot="1">
      <c r="A155" s="885"/>
      <c r="B155" s="885"/>
      <c r="C155" s="1258" t="s">
        <v>170</v>
      </c>
      <c r="D155" s="927" t="s">
        <v>4</v>
      </c>
      <c r="E155" s="928"/>
      <c r="F155" s="928"/>
      <c r="G155" s="928"/>
      <c r="H155" s="928"/>
      <c r="I155" s="928"/>
      <c r="J155" s="928"/>
      <c r="K155" s="928"/>
      <c r="L155" s="928"/>
      <c r="M155" s="928"/>
      <c r="N155" s="928"/>
      <c r="O155" s="928"/>
      <c r="P155" s="928"/>
      <c r="Q155" s="928"/>
      <c r="R155" s="928"/>
      <c r="S155" s="928"/>
      <c r="T155" s="928"/>
      <c r="U155" s="928"/>
      <c r="V155" s="928"/>
      <c r="W155" s="929"/>
      <c r="X155" s="880"/>
    </row>
    <row r="156" spans="1:24" ht="12.95" customHeight="1" thickBot="1">
      <c r="A156" s="885"/>
      <c r="B156" s="869"/>
      <c r="C156" s="1259"/>
      <c r="D156" s="930" t="s">
        <v>123</v>
      </c>
      <c r="E156" s="931"/>
      <c r="F156" s="931"/>
      <c r="G156" s="931"/>
      <c r="H156" s="931"/>
      <c r="I156" s="931"/>
      <c r="J156" s="931"/>
      <c r="K156" s="931"/>
      <c r="L156" s="931"/>
      <c r="M156" s="931"/>
      <c r="N156" s="931"/>
      <c r="O156" s="931"/>
      <c r="P156" s="931"/>
      <c r="Q156" s="931"/>
      <c r="R156" s="931"/>
      <c r="S156" s="931"/>
      <c r="T156" s="931"/>
      <c r="U156" s="931"/>
      <c r="V156" s="931"/>
      <c r="W156" s="932"/>
      <c r="X156" s="880"/>
    </row>
    <row r="157" spans="1:24" ht="12.95" customHeight="1" thickBot="1">
      <c r="A157" s="885"/>
      <c r="B157" s="11" t="s">
        <v>42</v>
      </c>
      <c r="C157" s="28"/>
      <c r="D157" s="927" t="s">
        <v>78</v>
      </c>
      <c r="E157" s="928"/>
      <c r="F157" s="928"/>
      <c r="G157" s="929"/>
      <c r="H157" s="927" t="s">
        <v>77</v>
      </c>
      <c r="I157" s="928"/>
      <c r="J157" s="928"/>
      <c r="K157" s="929"/>
      <c r="L157" s="927" t="s">
        <v>81</v>
      </c>
      <c r="M157" s="928"/>
      <c r="N157" s="928"/>
      <c r="O157" s="929"/>
      <c r="P157" s="927" t="s">
        <v>254</v>
      </c>
      <c r="Q157" s="928"/>
      <c r="R157" s="928"/>
      <c r="S157" s="929"/>
      <c r="T157" s="927" t="s">
        <v>76</v>
      </c>
      <c r="U157" s="928"/>
      <c r="V157" s="928"/>
      <c r="W157" s="929"/>
      <c r="X157" s="880"/>
    </row>
    <row r="158" spans="1:24" ht="18.95" customHeight="1" thickBot="1">
      <c r="A158" s="885"/>
      <c r="B158" s="868" t="s">
        <v>180</v>
      </c>
      <c r="C158" s="26"/>
      <c r="D158" s="955" t="s">
        <v>99</v>
      </c>
      <c r="E158" s="956"/>
      <c r="F158" s="955" t="s">
        <v>100</v>
      </c>
      <c r="G158" s="956"/>
      <c r="H158" s="955" t="s">
        <v>99</v>
      </c>
      <c r="I158" s="956"/>
      <c r="J158" s="955" t="s">
        <v>100</v>
      </c>
      <c r="K158" s="956"/>
      <c r="L158" s="955" t="s">
        <v>99</v>
      </c>
      <c r="M158" s="956"/>
      <c r="N158" s="955" t="s">
        <v>100</v>
      </c>
      <c r="O158" s="956"/>
      <c r="P158" s="955" t="s">
        <v>99</v>
      </c>
      <c r="Q158" s="956"/>
      <c r="R158" s="955" t="s">
        <v>100</v>
      </c>
      <c r="S158" s="956"/>
      <c r="T158" s="955" t="s">
        <v>99</v>
      </c>
      <c r="U158" s="956"/>
      <c r="V158" s="955" t="s">
        <v>100</v>
      </c>
      <c r="W158" s="956"/>
      <c r="X158" s="880"/>
    </row>
    <row r="159" spans="1:24" ht="13.5" thickBot="1">
      <c r="A159" s="885"/>
      <c r="B159" s="885"/>
      <c r="C159" s="26" t="s">
        <v>2</v>
      </c>
      <c r="D159" s="951">
        <v>0</v>
      </c>
      <c r="E159" s="952"/>
      <c r="F159" s="951">
        <v>0</v>
      </c>
      <c r="G159" s="952"/>
      <c r="H159" s="951">
        <v>6</v>
      </c>
      <c r="I159" s="952"/>
      <c r="J159" s="951">
        <v>1</v>
      </c>
      <c r="K159" s="952"/>
      <c r="L159" s="951">
        <v>10</v>
      </c>
      <c r="M159" s="952"/>
      <c r="N159" s="951">
        <v>2</v>
      </c>
      <c r="O159" s="952"/>
      <c r="P159" s="951">
        <v>10</v>
      </c>
      <c r="Q159" s="952"/>
      <c r="R159" s="951">
        <v>2</v>
      </c>
      <c r="S159" s="952"/>
      <c r="T159" s="1300">
        <v>12</v>
      </c>
      <c r="U159" s="1301"/>
      <c r="V159" s="1290">
        <v>6</v>
      </c>
      <c r="W159" s="1291"/>
      <c r="X159" s="880"/>
    </row>
    <row r="160" spans="1:24" ht="12.95" customHeight="1" thickBot="1">
      <c r="A160" s="869"/>
      <c r="B160" s="885"/>
      <c r="C160" s="9" t="s">
        <v>3</v>
      </c>
      <c r="D160" s="933" t="s">
        <v>171</v>
      </c>
      <c r="E160" s="934"/>
      <c r="F160" s="934"/>
      <c r="G160" s="935"/>
      <c r="H160" s="936" t="s">
        <v>249</v>
      </c>
      <c r="I160" s="937"/>
      <c r="J160" s="937"/>
      <c r="K160" s="938"/>
      <c r="L160" s="939">
        <v>7</v>
      </c>
      <c r="M160" s="953"/>
      <c r="N160" s="939">
        <v>1</v>
      </c>
      <c r="O160" s="953"/>
      <c r="P160" s="939">
        <v>10</v>
      </c>
      <c r="Q160" s="953"/>
      <c r="R160" s="939">
        <v>2</v>
      </c>
      <c r="S160" s="953"/>
      <c r="T160" s="939">
        <v>0</v>
      </c>
      <c r="U160" s="953"/>
      <c r="V160" s="939">
        <v>0</v>
      </c>
      <c r="W160" s="953"/>
      <c r="X160" s="881"/>
    </row>
    <row r="161" spans="1:24" ht="12.95" customHeight="1" thickBot="1">
      <c r="A161" s="96" t="s">
        <v>13</v>
      </c>
      <c r="B161" s="885" t="s">
        <v>178</v>
      </c>
      <c r="C161" s="1258" t="s">
        <v>170</v>
      </c>
      <c r="D161" s="927" t="s">
        <v>4</v>
      </c>
      <c r="E161" s="928"/>
      <c r="F161" s="928"/>
      <c r="G161" s="928"/>
      <c r="H161" s="928"/>
      <c r="I161" s="928"/>
      <c r="J161" s="928"/>
      <c r="K161" s="928"/>
      <c r="L161" s="928"/>
      <c r="M161" s="928"/>
      <c r="N161" s="928"/>
      <c r="O161" s="928"/>
      <c r="P161" s="928"/>
      <c r="Q161" s="928"/>
      <c r="R161" s="928"/>
      <c r="S161" s="928"/>
      <c r="T161" s="928"/>
      <c r="U161" s="928"/>
      <c r="V161" s="928"/>
      <c r="W161" s="929"/>
      <c r="X161" s="24" t="s">
        <v>14</v>
      </c>
    </row>
    <row r="162" spans="1:24" ht="12.95" customHeight="1" thickBot="1">
      <c r="A162" s="25" t="s">
        <v>74</v>
      </c>
      <c r="B162" s="869"/>
      <c r="C162" s="1259"/>
      <c r="D162" s="930" t="s">
        <v>124</v>
      </c>
      <c r="E162" s="931"/>
      <c r="F162" s="931"/>
      <c r="G162" s="931"/>
      <c r="H162" s="931"/>
      <c r="I162" s="931"/>
      <c r="J162" s="931"/>
      <c r="K162" s="931"/>
      <c r="L162" s="931"/>
      <c r="M162" s="931"/>
      <c r="N162" s="931"/>
      <c r="O162" s="931"/>
      <c r="P162" s="931"/>
      <c r="Q162" s="931"/>
      <c r="R162" s="931"/>
      <c r="S162" s="931"/>
      <c r="T162" s="931"/>
      <c r="U162" s="931"/>
      <c r="V162" s="931"/>
      <c r="W162" s="932"/>
      <c r="X162" s="18" t="s">
        <v>93</v>
      </c>
    </row>
    <row r="163" spans="1:24" ht="12.95" customHeight="1" thickBot="1">
      <c r="A163" s="906" t="s">
        <v>7</v>
      </c>
      <c r="B163" s="908" t="s">
        <v>173</v>
      </c>
      <c r="C163" s="909"/>
      <c r="D163" s="908" t="s">
        <v>8</v>
      </c>
      <c r="E163" s="918"/>
      <c r="F163" s="918"/>
      <c r="G163" s="909"/>
      <c r="H163" s="908" t="s">
        <v>88</v>
      </c>
      <c r="I163" s="918"/>
      <c r="J163" s="918"/>
      <c r="K163" s="909"/>
      <c r="L163" s="908" t="s">
        <v>89</v>
      </c>
      <c r="M163" s="918"/>
      <c r="N163" s="918"/>
      <c r="O163" s="909"/>
      <c r="P163" s="908" t="s">
        <v>9</v>
      </c>
      <c r="Q163" s="918"/>
      <c r="R163" s="918"/>
      <c r="S163" s="909"/>
      <c r="T163" s="908" t="s">
        <v>174</v>
      </c>
      <c r="U163" s="918"/>
      <c r="V163" s="918"/>
      <c r="W163" s="918"/>
      <c r="X163" s="909"/>
    </row>
    <row r="164" spans="1:24" ht="13.5" thickBot="1">
      <c r="A164" s="907"/>
      <c r="B164" s="1256"/>
      <c r="C164" s="1257"/>
      <c r="D164" s="916"/>
      <c r="E164" s="994"/>
      <c r="F164" s="994"/>
      <c r="G164" s="917"/>
      <c r="H164" s="916"/>
      <c r="I164" s="994"/>
      <c r="J164" s="994"/>
      <c r="K164" s="917"/>
      <c r="L164" s="916"/>
      <c r="M164" s="994"/>
      <c r="N164" s="994"/>
      <c r="O164" s="917"/>
      <c r="P164" s="916">
        <f>SUM(B164:O164)</f>
        <v>0</v>
      </c>
      <c r="Q164" s="994"/>
      <c r="R164" s="994"/>
      <c r="S164" s="917"/>
      <c r="T164" s="916" t="e">
        <f>B164/P164%</f>
        <v>#DIV/0!</v>
      </c>
      <c r="U164" s="994"/>
      <c r="V164" s="994"/>
      <c r="W164" s="994"/>
      <c r="X164" s="917"/>
    </row>
    <row r="165" spans="1:24" ht="13.5" thickBot="1">
      <c r="A165" s="906" t="s">
        <v>10</v>
      </c>
      <c r="B165" s="908" t="s">
        <v>175</v>
      </c>
      <c r="C165" s="909"/>
      <c r="D165" s="910"/>
      <c r="E165" s="911"/>
      <c r="F165" s="911"/>
      <c r="G165" s="911"/>
      <c r="H165" s="911"/>
      <c r="I165" s="911"/>
      <c r="J165" s="911"/>
      <c r="K165" s="911"/>
      <c r="L165" s="911"/>
      <c r="M165" s="911"/>
      <c r="N165" s="911"/>
      <c r="O165" s="911"/>
      <c r="P165" s="911"/>
      <c r="Q165" s="911"/>
      <c r="R165" s="911"/>
      <c r="S165" s="911"/>
      <c r="T165" s="911"/>
      <c r="U165" s="911"/>
      <c r="V165" s="911"/>
      <c r="W165" s="911"/>
      <c r="X165" s="912"/>
    </row>
    <row r="166" spans="1:24" ht="13.5" thickBot="1">
      <c r="A166" s="907"/>
      <c r="B166" s="1256"/>
      <c r="C166" s="1257"/>
      <c r="D166" s="913"/>
      <c r="E166" s="914"/>
      <c r="F166" s="914"/>
      <c r="G166" s="914"/>
      <c r="H166" s="914"/>
      <c r="I166" s="914"/>
      <c r="J166" s="914"/>
      <c r="K166" s="914"/>
      <c r="L166" s="914"/>
      <c r="M166" s="914"/>
      <c r="N166" s="914"/>
      <c r="O166" s="914"/>
      <c r="P166" s="914"/>
      <c r="Q166" s="914"/>
      <c r="R166" s="914"/>
      <c r="S166" s="914"/>
      <c r="T166" s="914"/>
      <c r="U166" s="914"/>
      <c r="V166" s="914"/>
      <c r="W166" s="914"/>
      <c r="X166" s="915"/>
    </row>
    <row r="168" spans="1:24" ht="13.5" thickBot="1"/>
    <row r="169" spans="1:24" ht="12.95" customHeight="1" thickBot="1">
      <c r="A169" s="472" t="s">
        <v>27</v>
      </c>
      <c r="B169" s="473" t="s">
        <v>35</v>
      </c>
      <c r="C169" s="474"/>
      <c r="D169" s="1230" t="s">
        <v>78</v>
      </c>
      <c r="E169" s="1231"/>
      <c r="F169" s="1231"/>
      <c r="G169" s="1232"/>
      <c r="H169" s="1240" t="s">
        <v>77</v>
      </c>
      <c r="I169" s="1231"/>
      <c r="J169" s="1231"/>
      <c r="K169" s="1232"/>
      <c r="L169" s="1240" t="s">
        <v>81</v>
      </c>
      <c r="M169" s="1231"/>
      <c r="N169" s="1231"/>
      <c r="O169" s="1232"/>
      <c r="P169" s="1240" t="s">
        <v>254</v>
      </c>
      <c r="Q169" s="1231"/>
      <c r="R169" s="1231"/>
      <c r="S169" s="1232"/>
      <c r="T169" s="1240" t="s">
        <v>76</v>
      </c>
      <c r="U169" s="1231"/>
      <c r="V169" s="1231"/>
      <c r="W169" s="1232"/>
      <c r="X169" s="475" t="s">
        <v>12</v>
      </c>
    </row>
    <row r="170" spans="1:24" ht="12.95" customHeight="1" thickBot="1">
      <c r="A170" s="1253" t="s">
        <v>70</v>
      </c>
      <c r="B170" s="873" t="s">
        <v>609</v>
      </c>
      <c r="C170" s="90"/>
      <c r="D170" s="1215" t="s">
        <v>636</v>
      </c>
      <c r="E170" s="1216"/>
      <c r="F170" s="1216"/>
      <c r="G170" s="1217"/>
      <c r="H170" s="1215" t="s">
        <v>636</v>
      </c>
      <c r="I170" s="1216"/>
      <c r="J170" s="1216"/>
      <c r="K170" s="1217"/>
      <c r="L170" s="1215" t="s">
        <v>636</v>
      </c>
      <c r="M170" s="1216"/>
      <c r="N170" s="1216"/>
      <c r="O170" s="1217"/>
      <c r="P170" s="476" t="s">
        <v>602</v>
      </c>
      <c r="Q170" s="476" t="s">
        <v>603</v>
      </c>
      <c r="R170" s="476" t="s">
        <v>608</v>
      </c>
      <c r="S170" s="476" t="s">
        <v>604</v>
      </c>
      <c r="T170" s="476" t="s">
        <v>602</v>
      </c>
      <c r="U170" s="476" t="s">
        <v>603</v>
      </c>
      <c r="V170" s="476" t="s">
        <v>608</v>
      </c>
      <c r="W170" s="476" t="s">
        <v>604</v>
      </c>
      <c r="X170" s="879" t="s">
        <v>90</v>
      </c>
    </row>
    <row r="171" spans="1:24" ht="12.95" customHeight="1" thickBot="1">
      <c r="A171" s="1254"/>
      <c r="B171" s="874"/>
      <c r="C171" s="26" t="s">
        <v>2</v>
      </c>
      <c r="D171" s="924">
        <v>0</v>
      </c>
      <c r="E171" s="925"/>
      <c r="F171" s="925"/>
      <c r="G171" s="926"/>
      <c r="H171" s="924">
        <v>3</v>
      </c>
      <c r="I171" s="925"/>
      <c r="J171" s="925"/>
      <c r="K171" s="926"/>
      <c r="L171" s="924">
        <v>6</v>
      </c>
      <c r="M171" s="925"/>
      <c r="N171" s="925"/>
      <c r="O171" s="926"/>
      <c r="P171" s="939">
        <v>10</v>
      </c>
      <c r="Q171" s="940"/>
      <c r="R171" s="940"/>
      <c r="S171" s="941"/>
      <c r="T171" s="150">
        <v>24</v>
      </c>
      <c r="U171" s="784">
        <v>10</v>
      </c>
      <c r="V171" s="785">
        <v>7</v>
      </c>
      <c r="W171" s="785">
        <v>7</v>
      </c>
      <c r="X171" s="880"/>
    </row>
    <row r="172" spans="1:24" ht="12.95" customHeight="1" thickBot="1">
      <c r="A172" s="1254"/>
      <c r="B172" s="874"/>
      <c r="C172" s="9" t="s">
        <v>3</v>
      </c>
      <c r="D172" s="1241" t="s">
        <v>837</v>
      </c>
      <c r="E172" s="1242"/>
      <c r="F172" s="1242"/>
      <c r="G172" s="1243"/>
      <c r="H172" s="1247">
        <v>3</v>
      </c>
      <c r="I172" s="940"/>
      <c r="J172" s="940"/>
      <c r="K172" s="1248"/>
      <c r="L172" s="1247">
        <v>8</v>
      </c>
      <c r="M172" s="940"/>
      <c r="N172" s="940"/>
      <c r="O172" s="1248"/>
      <c r="P172" s="150">
        <v>13</v>
      </c>
      <c r="Q172" s="777">
        <v>5</v>
      </c>
      <c r="R172" s="777">
        <v>3</v>
      </c>
      <c r="S172" s="777">
        <v>5</v>
      </c>
      <c r="T172" s="150">
        <v>0</v>
      </c>
      <c r="U172" s="150">
        <v>0</v>
      </c>
      <c r="V172" s="150">
        <v>0</v>
      </c>
      <c r="W172" s="150">
        <v>0</v>
      </c>
      <c r="X172" s="880"/>
    </row>
    <row r="173" spans="1:24" ht="12.95" customHeight="1" thickBot="1">
      <c r="A173" s="1254"/>
      <c r="B173" s="874"/>
      <c r="C173" s="1297" t="s">
        <v>838</v>
      </c>
      <c r="D173" s="1230" t="s">
        <v>839</v>
      </c>
      <c r="E173" s="1231"/>
      <c r="F173" s="1231"/>
      <c r="G173" s="1231"/>
      <c r="H173" s="1231"/>
      <c r="I173" s="1231"/>
      <c r="J173" s="1231"/>
      <c r="K173" s="1231"/>
      <c r="L173" s="1231"/>
      <c r="M173" s="1231"/>
      <c r="N173" s="1231"/>
      <c r="O173" s="1231"/>
      <c r="P173" s="1231"/>
      <c r="Q173" s="1231"/>
      <c r="R173" s="1231"/>
      <c r="S173" s="1231"/>
      <c r="T173" s="1231"/>
      <c r="U173" s="1231"/>
      <c r="V173" s="1231"/>
      <c r="W173" s="1232"/>
      <c r="X173" s="880"/>
    </row>
    <row r="174" spans="1:24" ht="12.95" customHeight="1" thickBot="1">
      <c r="A174" s="1254"/>
      <c r="B174" s="1249"/>
      <c r="C174" s="1298"/>
      <c r="D174" s="930" t="s">
        <v>125</v>
      </c>
      <c r="E174" s="931"/>
      <c r="F174" s="931"/>
      <c r="G174" s="931"/>
      <c r="H174" s="931"/>
      <c r="I174" s="931"/>
      <c r="J174" s="931"/>
      <c r="K174" s="931"/>
      <c r="L174" s="931"/>
      <c r="M174" s="931"/>
      <c r="N174" s="931"/>
      <c r="O174" s="931"/>
      <c r="P174" s="931"/>
      <c r="Q174" s="931"/>
      <c r="R174" s="931"/>
      <c r="S174" s="931"/>
      <c r="T174" s="931"/>
      <c r="U174" s="931"/>
      <c r="V174" s="931"/>
      <c r="W174" s="932"/>
      <c r="X174" s="880"/>
    </row>
    <row r="175" spans="1:24" ht="12.95" customHeight="1" thickBot="1">
      <c r="A175" s="1254"/>
      <c r="B175" s="477" t="s">
        <v>36</v>
      </c>
      <c r="C175" s="478"/>
      <c r="D175" s="1230" t="s">
        <v>78</v>
      </c>
      <c r="E175" s="1231"/>
      <c r="F175" s="1231"/>
      <c r="G175" s="1232"/>
      <c r="H175" s="1240" t="s">
        <v>77</v>
      </c>
      <c r="I175" s="1231"/>
      <c r="J175" s="1231"/>
      <c r="K175" s="1232"/>
      <c r="L175" s="1240" t="s">
        <v>81</v>
      </c>
      <c r="M175" s="1231"/>
      <c r="N175" s="1231"/>
      <c r="O175" s="1232"/>
      <c r="P175" s="1240" t="s">
        <v>254</v>
      </c>
      <c r="Q175" s="1231"/>
      <c r="R175" s="1231"/>
      <c r="S175" s="1232"/>
      <c r="T175" s="1240" t="s">
        <v>76</v>
      </c>
      <c r="U175" s="1231"/>
      <c r="V175" s="1231"/>
      <c r="W175" s="1246"/>
      <c r="X175" s="880"/>
    </row>
    <row r="176" spans="1:24" ht="12.95" customHeight="1" thickBot="1">
      <c r="A176" s="1254"/>
      <c r="B176" s="873" t="s">
        <v>601</v>
      </c>
      <c r="C176" s="90"/>
      <c r="D176" s="1215" t="s">
        <v>636</v>
      </c>
      <c r="E176" s="1216"/>
      <c r="F176" s="1216"/>
      <c r="G176" s="1217"/>
      <c r="H176" s="1215" t="s">
        <v>636</v>
      </c>
      <c r="I176" s="1216"/>
      <c r="J176" s="1216"/>
      <c r="K176" s="1217"/>
      <c r="L176" s="1215" t="s">
        <v>636</v>
      </c>
      <c r="M176" s="1216"/>
      <c r="N176" s="1216"/>
      <c r="O176" s="1217"/>
      <c r="P176" s="479" t="s">
        <v>101</v>
      </c>
      <c r="Q176" s="479" t="s">
        <v>104</v>
      </c>
      <c r="R176" s="479" t="s">
        <v>102</v>
      </c>
      <c r="S176" s="479" t="s">
        <v>103</v>
      </c>
      <c r="T176" s="479" t="s">
        <v>101</v>
      </c>
      <c r="U176" s="479" t="s">
        <v>104</v>
      </c>
      <c r="V176" s="479" t="s">
        <v>102</v>
      </c>
      <c r="W176" s="479" t="s">
        <v>103</v>
      </c>
      <c r="X176" s="880"/>
    </row>
    <row r="177" spans="1:24" ht="13.5" thickBot="1">
      <c r="A177" s="1254"/>
      <c r="B177" s="874"/>
      <c r="C177" s="26" t="s">
        <v>2</v>
      </c>
      <c r="D177" s="924">
        <v>0</v>
      </c>
      <c r="E177" s="925"/>
      <c r="F177" s="925"/>
      <c r="G177" s="926"/>
      <c r="H177" s="924">
        <v>5</v>
      </c>
      <c r="I177" s="925"/>
      <c r="J177" s="925"/>
      <c r="K177" s="926"/>
      <c r="L177" s="924">
        <v>10</v>
      </c>
      <c r="M177" s="925"/>
      <c r="N177" s="925"/>
      <c r="O177" s="926"/>
      <c r="P177" s="939">
        <v>8</v>
      </c>
      <c r="Q177" s="940"/>
      <c r="R177" s="940"/>
      <c r="S177" s="941"/>
      <c r="T177" s="150">
        <v>13</v>
      </c>
      <c r="U177" s="784">
        <v>7</v>
      </c>
      <c r="V177" s="150">
        <v>6</v>
      </c>
      <c r="W177" s="150">
        <v>2</v>
      </c>
      <c r="X177" s="880"/>
    </row>
    <row r="178" spans="1:24" ht="12.95" customHeight="1" thickBot="1">
      <c r="A178" s="1254"/>
      <c r="B178" s="874"/>
      <c r="C178" s="9" t="s">
        <v>3</v>
      </c>
      <c r="D178" s="1241" t="s">
        <v>837</v>
      </c>
      <c r="E178" s="1242"/>
      <c r="F178" s="1242"/>
      <c r="G178" s="1243"/>
      <c r="H178" s="1250" t="s">
        <v>637</v>
      </c>
      <c r="I178" s="1242"/>
      <c r="J178" s="1242"/>
      <c r="K178" s="1243"/>
      <c r="L178" s="1251">
        <v>5</v>
      </c>
      <c r="M178" s="925"/>
      <c r="N178" s="925"/>
      <c r="O178" s="926"/>
      <c r="P178" s="150">
        <v>8</v>
      </c>
      <c r="Q178" s="777">
        <v>4</v>
      </c>
      <c r="R178" s="777">
        <v>3</v>
      </c>
      <c r="S178" s="777">
        <v>1</v>
      </c>
      <c r="T178" s="150">
        <v>0</v>
      </c>
      <c r="U178" s="150">
        <v>0</v>
      </c>
      <c r="V178" s="150">
        <v>0</v>
      </c>
      <c r="W178" s="150">
        <v>0</v>
      </c>
      <c r="X178" s="880"/>
    </row>
    <row r="179" spans="1:24" ht="12.95" customHeight="1" thickBot="1">
      <c r="A179" s="1254"/>
      <c r="B179" s="874"/>
      <c r="C179" s="1299" t="s">
        <v>838</v>
      </c>
      <c r="D179" s="1230" t="s">
        <v>839</v>
      </c>
      <c r="E179" s="1231"/>
      <c r="F179" s="1231"/>
      <c r="G179" s="1231"/>
      <c r="H179" s="1231"/>
      <c r="I179" s="1231"/>
      <c r="J179" s="1231"/>
      <c r="K179" s="1231"/>
      <c r="L179" s="1231"/>
      <c r="M179" s="1231"/>
      <c r="N179" s="1231"/>
      <c r="O179" s="1231"/>
      <c r="P179" s="1231"/>
      <c r="Q179" s="1231"/>
      <c r="R179" s="1231"/>
      <c r="S179" s="1231"/>
      <c r="T179" s="1231"/>
      <c r="U179" s="1231"/>
      <c r="V179" s="1231"/>
      <c r="W179" s="1232"/>
      <c r="X179" s="880"/>
    </row>
    <row r="180" spans="1:24" ht="12.95" customHeight="1" thickBot="1">
      <c r="A180" s="1254"/>
      <c r="B180" s="1249"/>
      <c r="C180" s="1296"/>
      <c r="D180" s="930" t="s">
        <v>125</v>
      </c>
      <c r="E180" s="931"/>
      <c r="F180" s="931"/>
      <c r="G180" s="931"/>
      <c r="H180" s="931"/>
      <c r="I180" s="931"/>
      <c r="J180" s="931"/>
      <c r="K180" s="931"/>
      <c r="L180" s="931"/>
      <c r="M180" s="931"/>
      <c r="N180" s="931"/>
      <c r="O180" s="931"/>
      <c r="P180" s="931"/>
      <c r="Q180" s="931"/>
      <c r="R180" s="931"/>
      <c r="S180" s="931"/>
      <c r="T180" s="931"/>
      <c r="U180" s="931"/>
      <c r="V180" s="931"/>
      <c r="W180" s="1233"/>
      <c r="X180" s="880"/>
    </row>
    <row r="181" spans="1:24" ht="12.95" customHeight="1" thickBot="1">
      <c r="A181" s="1254"/>
      <c r="B181" s="477" t="s">
        <v>600</v>
      </c>
      <c r="C181" s="478"/>
      <c r="D181" s="1230" t="s">
        <v>78</v>
      </c>
      <c r="E181" s="1231"/>
      <c r="F181" s="1231"/>
      <c r="G181" s="1232"/>
      <c r="H181" s="1240" t="s">
        <v>77</v>
      </c>
      <c r="I181" s="1231"/>
      <c r="J181" s="1231"/>
      <c r="K181" s="1232"/>
      <c r="L181" s="1240" t="s">
        <v>81</v>
      </c>
      <c r="M181" s="1231"/>
      <c r="N181" s="1231"/>
      <c r="O181" s="1232"/>
      <c r="P181" s="1240" t="s">
        <v>254</v>
      </c>
      <c r="Q181" s="1231"/>
      <c r="R181" s="1231"/>
      <c r="S181" s="1232"/>
      <c r="T181" s="1240" t="s">
        <v>76</v>
      </c>
      <c r="U181" s="1231"/>
      <c r="V181" s="1231"/>
      <c r="W181" s="1232"/>
      <c r="X181" s="880"/>
    </row>
    <row r="182" spans="1:24" ht="14.25" thickBot="1">
      <c r="A182" s="1254"/>
      <c r="B182" s="1132" t="s">
        <v>648</v>
      </c>
      <c r="C182" s="90"/>
      <c r="D182" s="1215"/>
      <c r="E182" s="1216"/>
      <c r="F182" s="1216"/>
      <c r="G182" s="1217"/>
      <c r="H182" s="1215"/>
      <c r="I182" s="1216"/>
      <c r="J182" s="1216"/>
      <c r="K182" s="1217"/>
      <c r="L182" s="1215"/>
      <c r="M182" s="1216"/>
      <c r="N182" s="1216"/>
      <c r="O182" s="1217"/>
      <c r="P182" s="479" t="s">
        <v>840</v>
      </c>
      <c r="Q182" s="476" t="s">
        <v>607</v>
      </c>
      <c r="R182" s="479" t="s">
        <v>606</v>
      </c>
      <c r="S182" s="479" t="s">
        <v>605</v>
      </c>
      <c r="T182" s="479" t="s">
        <v>840</v>
      </c>
      <c r="U182" s="476" t="s">
        <v>607</v>
      </c>
      <c r="V182" s="479" t="s">
        <v>606</v>
      </c>
      <c r="W182" s="479" t="s">
        <v>605</v>
      </c>
      <c r="X182" s="880"/>
    </row>
    <row r="183" spans="1:24" ht="12.95" customHeight="1" thickBot="1">
      <c r="A183" s="1254"/>
      <c r="B183" s="1133"/>
      <c r="C183" s="26" t="s">
        <v>2</v>
      </c>
      <c r="D183" s="957"/>
      <c r="E183" s="958"/>
      <c r="F183" s="958"/>
      <c r="G183" s="959"/>
      <c r="H183" s="1241" t="s">
        <v>635</v>
      </c>
      <c r="I183" s="1242"/>
      <c r="J183" s="1242"/>
      <c r="K183" s="1243"/>
      <c r="L183" s="966" t="s">
        <v>841</v>
      </c>
      <c r="M183" s="967"/>
      <c r="N183" s="967"/>
      <c r="O183" s="968"/>
      <c r="P183" s="150">
        <v>4</v>
      </c>
      <c r="Q183" s="150">
        <v>2</v>
      </c>
      <c r="R183" s="150">
        <v>1</v>
      </c>
      <c r="S183" s="150">
        <v>1</v>
      </c>
      <c r="T183" s="150">
        <v>8</v>
      </c>
      <c r="U183" s="150">
        <v>3</v>
      </c>
      <c r="V183" s="150">
        <v>1</v>
      </c>
      <c r="W183" s="150">
        <v>1</v>
      </c>
      <c r="X183" s="880"/>
    </row>
    <row r="184" spans="1:24" ht="12.95" customHeight="1" thickBot="1">
      <c r="A184" s="1255"/>
      <c r="B184" s="1133"/>
      <c r="C184" s="9" t="s">
        <v>3</v>
      </c>
      <c r="D184" s="957"/>
      <c r="E184" s="958"/>
      <c r="F184" s="958"/>
      <c r="G184" s="959"/>
      <c r="H184" s="957"/>
      <c r="I184" s="958"/>
      <c r="J184" s="958"/>
      <c r="K184" s="959"/>
      <c r="L184" s="957"/>
      <c r="M184" s="958"/>
      <c r="N184" s="958"/>
      <c r="O184" s="959"/>
      <c r="P184" s="957"/>
      <c r="Q184" s="958"/>
      <c r="R184" s="958"/>
      <c r="S184" s="959"/>
      <c r="T184" s="150">
        <v>0</v>
      </c>
      <c r="U184" s="104">
        <v>0</v>
      </c>
      <c r="V184" s="104">
        <v>0</v>
      </c>
      <c r="W184" s="104">
        <v>0</v>
      </c>
      <c r="X184" s="881"/>
    </row>
    <row r="185" spans="1:24" ht="12.95" customHeight="1" thickBot="1">
      <c r="A185" s="480" t="s">
        <v>13</v>
      </c>
      <c r="B185" s="1133"/>
      <c r="C185" s="1295" t="s">
        <v>838</v>
      </c>
      <c r="D185" s="1230" t="s">
        <v>4</v>
      </c>
      <c r="E185" s="1231"/>
      <c r="F185" s="1231"/>
      <c r="G185" s="1231"/>
      <c r="H185" s="1231"/>
      <c r="I185" s="1231"/>
      <c r="J185" s="1231"/>
      <c r="K185" s="1231"/>
      <c r="L185" s="1231"/>
      <c r="M185" s="1231"/>
      <c r="N185" s="1231"/>
      <c r="O185" s="1231"/>
      <c r="P185" s="1231"/>
      <c r="Q185" s="1231"/>
      <c r="R185" s="1231"/>
      <c r="S185" s="1231"/>
      <c r="T185" s="1231"/>
      <c r="U185" s="1231"/>
      <c r="V185" s="1231"/>
      <c r="W185" s="1232"/>
      <c r="X185" s="24" t="s">
        <v>14</v>
      </c>
    </row>
    <row r="186" spans="1:24" ht="12.95" customHeight="1" thickBot="1">
      <c r="A186" s="481" t="s">
        <v>73</v>
      </c>
      <c r="B186" s="1134"/>
      <c r="C186" s="1296"/>
      <c r="D186" s="930" t="s">
        <v>125</v>
      </c>
      <c r="E186" s="931"/>
      <c r="F186" s="931"/>
      <c r="G186" s="931"/>
      <c r="H186" s="931"/>
      <c r="I186" s="931"/>
      <c r="J186" s="931"/>
      <c r="K186" s="931"/>
      <c r="L186" s="931"/>
      <c r="M186" s="931"/>
      <c r="N186" s="931"/>
      <c r="O186" s="931"/>
      <c r="P186" s="931"/>
      <c r="Q186" s="931"/>
      <c r="R186" s="931"/>
      <c r="S186" s="931"/>
      <c r="T186" s="931"/>
      <c r="U186" s="931"/>
      <c r="V186" s="931"/>
      <c r="W186" s="1233"/>
      <c r="X186" s="18" t="s">
        <v>92</v>
      </c>
    </row>
    <row r="187" spans="1:24" ht="12.95" customHeight="1" thickBot="1">
      <c r="A187" s="1218" t="s">
        <v>7</v>
      </c>
      <c r="B187" s="1220" t="s">
        <v>173</v>
      </c>
      <c r="C187" s="1221"/>
      <c r="D187" s="1220" t="s">
        <v>8</v>
      </c>
      <c r="E187" s="1235"/>
      <c r="F187" s="1235"/>
      <c r="G187" s="1236"/>
      <c r="H187" s="1237" t="s">
        <v>88</v>
      </c>
      <c r="I187" s="1235"/>
      <c r="J187" s="1235"/>
      <c r="K187" s="1236"/>
      <c r="L187" s="1237" t="s">
        <v>89</v>
      </c>
      <c r="M187" s="1235"/>
      <c r="N187" s="1235"/>
      <c r="O187" s="1236"/>
      <c r="P187" s="1237" t="s">
        <v>9</v>
      </c>
      <c r="Q187" s="1235"/>
      <c r="R187" s="1235"/>
      <c r="S187" s="1236"/>
      <c r="T187" s="1237" t="s">
        <v>174</v>
      </c>
      <c r="U187" s="1235"/>
      <c r="V187" s="1235"/>
      <c r="W187" s="1235"/>
      <c r="X187" s="1236"/>
    </row>
    <row r="188" spans="1:24" ht="13.5" thickBot="1">
      <c r="A188" s="1234"/>
      <c r="B188" s="975"/>
      <c r="C188" s="976"/>
      <c r="D188" s="975"/>
      <c r="E188" s="977"/>
      <c r="F188" s="977"/>
      <c r="G188" s="1238"/>
      <c r="H188" s="1239"/>
      <c r="I188" s="977"/>
      <c r="J188" s="977"/>
      <c r="K188" s="1238"/>
      <c r="L188" s="1239"/>
      <c r="M188" s="977"/>
      <c r="N188" s="977"/>
      <c r="O188" s="1238"/>
      <c r="P188" s="916">
        <f>SUM(B188:O188)</f>
        <v>0</v>
      </c>
      <c r="Q188" s="994"/>
      <c r="R188" s="994"/>
      <c r="S188" s="917"/>
      <c r="T188" s="916" t="e">
        <f>B188/P188%</f>
        <v>#DIV/0!</v>
      </c>
      <c r="U188" s="994"/>
      <c r="V188" s="994"/>
      <c r="W188" s="994"/>
      <c r="X188" s="917"/>
    </row>
    <row r="189" spans="1:24" ht="13.5" thickBot="1">
      <c r="A189" s="1218" t="s">
        <v>10</v>
      </c>
      <c r="B189" s="1220" t="s">
        <v>175</v>
      </c>
      <c r="C189" s="1221"/>
      <c r="D189" s="1222"/>
      <c r="E189" s="1223"/>
      <c r="F189" s="1223"/>
      <c r="G189" s="1223"/>
      <c r="H189" s="1223"/>
      <c r="I189" s="1223"/>
      <c r="J189" s="1223"/>
      <c r="K189" s="1223"/>
      <c r="L189" s="1223"/>
      <c r="M189" s="1223"/>
      <c r="N189" s="1223"/>
      <c r="O189" s="1223"/>
      <c r="P189" s="1223"/>
      <c r="Q189" s="1223"/>
      <c r="R189" s="1223"/>
      <c r="S189" s="1223"/>
      <c r="T189" s="1223"/>
      <c r="U189" s="1223"/>
      <c r="V189" s="1223"/>
      <c r="W189" s="1223"/>
      <c r="X189" s="1224"/>
    </row>
    <row r="190" spans="1:24" ht="13.5" thickBot="1">
      <c r="A190" s="1219"/>
      <c r="B190" s="916"/>
      <c r="C190" s="917"/>
      <c r="D190" s="1225"/>
      <c r="E190" s="1226"/>
      <c r="F190" s="1226"/>
      <c r="G190" s="1226"/>
      <c r="H190" s="1226"/>
      <c r="I190" s="1226"/>
      <c r="J190" s="1226"/>
      <c r="K190" s="1226"/>
      <c r="L190" s="1226"/>
      <c r="M190" s="1226"/>
      <c r="N190" s="1226"/>
      <c r="O190" s="1226"/>
      <c r="P190" s="1226"/>
      <c r="Q190" s="1226"/>
      <c r="R190" s="1226"/>
      <c r="S190" s="1226"/>
      <c r="T190" s="1226"/>
      <c r="U190" s="1226"/>
      <c r="V190" s="1226"/>
      <c r="W190" s="1226"/>
      <c r="X190" s="1227"/>
    </row>
  </sheetData>
  <sheetProtection password="CF55" sheet="1" objects="1" scenarios="1" selectLockedCells="1" selectUnlockedCells="1"/>
  <mergeCells count="625">
    <mergeCell ref="D12:W12"/>
    <mergeCell ref="D13:W13"/>
    <mergeCell ref="D4:G4"/>
    <mergeCell ref="H4:K4"/>
    <mergeCell ref="L4:O4"/>
    <mergeCell ref="P4:S4"/>
    <mergeCell ref="T4:W4"/>
    <mergeCell ref="X4:X18"/>
    <mergeCell ref="P9:S9"/>
    <mergeCell ref="T9:W9"/>
    <mergeCell ref="D14:G14"/>
    <mergeCell ref="H14:K14"/>
    <mergeCell ref="A22:A36"/>
    <mergeCell ref="B22:B25"/>
    <mergeCell ref="D22:G22"/>
    <mergeCell ref="H22:K22"/>
    <mergeCell ref="L22:O22"/>
    <mergeCell ref="L14:O14"/>
    <mergeCell ref="C24:C25"/>
    <mergeCell ref="C29:C30"/>
    <mergeCell ref="H31:K31"/>
    <mergeCell ref="L31:O31"/>
    <mergeCell ref="A5:A18"/>
    <mergeCell ref="B5:B8"/>
    <mergeCell ref="D5:W5"/>
    <mergeCell ref="D6:W6"/>
    <mergeCell ref="C7:C8"/>
    <mergeCell ref="D7:W7"/>
    <mergeCell ref="D8:W8"/>
    <mergeCell ref="D9:G9"/>
    <mergeCell ref="H9:K9"/>
    <mergeCell ref="L9:O9"/>
    <mergeCell ref="B10:B13"/>
    <mergeCell ref="D10:W10"/>
    <mergeCell ref="D11:W11"/>
    <mergeCell ref="C12:C13"/>
    <mergeCell ref="B27:B30"/>
    <mergeCell ref="D27:G27"/>
    <mergeCell ref="H27:K27"/>
    <mergeCell ref="L27:O27"/>
    <mergeCell ref="D30:W30"/>
    <mergeCell ref="D31:G31"/>
    <mergeCell ref="L28:O28"/>
    <mergeCell ref="P28:S28"/>
    <mergeCell ref="P14:S14"/>
    <mergeCell ref="T14:W14"/>
    <mergeCell ref="B15:B18"/>
    <mergeCell ref="D15:W15"/>
    <mergeCell ref="D16:W16"/>
    <mergeCell ref="C17:C18"/>
    <mergeCell ref="D17:W17"/>
    <mergeCell ref="D18:W18"/>
    <mergeCell ref="D21:G21"/>
    <mergeCell ref="H21:K21"/>
    <mergeCell ref="L21:O21"/>
    <mergeCell ref="P21:S21"/>
    <mergeCell ref="T21:W21"/>
    <mergeCell ref="D24:W24"/>
    <mergeCell ref="X22:X36"/>
    <mergeCell ref="D23:G23"/>
    <mergeCell ref="H23:K23"/>
    <mergeCell ref="L23:O23"/>
    <mergeCell ref="P23:S23"/>
    <mergeCell ref="T23:W23"/>
    <mergeCell ref="T28:W28"/>
    <mergeCell ref="D25:W25"/>
    <mergeCell ref="D26:G26"/>
    <mergeCell ref="H26:K26"/>
    <mergeCell ref="P31:S31"/>
    <mergeCell ref="T31:W31"/>
    <mergeCell ref="L26:O26"/>
    <mergeCell ref="P26:S26"/>
    <mergeCell ref="T26:W26"/>
    <mergeCell ref="P22:S22"/>
    <mergeCell ref="T22:W22"/>
    <mergeCell ref="D29:W29"/>
    <mergeCell ref="P27:S27"/>
    <mergeCell ref="T27:W27"/>
    <mergeCell ref="D28:G28"/>
    <mergeCell ref="H28:K28"/>
    <mergeCell ref="P44:S44"/>
    <mergeCell ref="P46:S46"/>
    <mergeCell ref="L45:O45"/>
    <mergeCell ref="P45:S45"/>
    <mergeCell ref="H46:K46"/>
    <mergeCell ref="D45:G45"/>
    <mergeCell ref="B32:B33"/>
    <mergeCell ref="D34:G34"/>
    <mergeCell ref="C35:C36"/>
    <mergeCell ref="D35:W35"/>
    <mergeCell ref="D36:W36"/>
    <mergeCell ref="B40:B43"/>
    <mergeCell ref="D40:G40"/>
    <mergeCell ref="H40:K40"/>
    <mergeCell ref="L40:O40"/>
    <mergeCell ref="D39:G39"/>
    <mergeCell ref="H39:K39"/>
    <mergeCell ref="L39:O39"/>
    <mergeCell ref="P39:S39"/>
    <mergeCell ref="T39:W39"/>
    <mergeCell ref="T40:W40"/>
    <mergeCell ref="P40:S40"/>
    <mergeCell ref="H41:K41"/>
    <mergeCell ref="T50:W50"/>
    <mergeCell ref="D51:G51"/>
    <mergeCell ref="A60:A61"/>
    <mergeCell ref="B60:C60"/>
    <mergeCell ref="D60:G60"/>
    <mergeCell ref="H60:K60"/>
    <mergeCell ref="L60:O60"/>
    <mergeCell ref="D59:W59"/>
    <mergeCell ref="L61:O61"/>
    <mergeCell ref="P61:S61"/>
    <mergeCell ref="T61:X61"/>
    <mergeCell ref="P60:S60"/>
    <mergeCell ref="A40:A59"/>
    <mergeCell ref="T45:W45"/>
    <mergeCell ref="L49:O49"/>
    <mergeCell ref="P49:S49"/>
    <mergeCell ref="D47:W47"/>
    <mergeCell ref="D48:W48"/>
    <mergeCell ref="D49:G49"/>
    <mergeCell ref="H49:K49"/>
    <mergeCell ref="T49:W49"/>
    <mergeCell ref="C42:C43"/>
    <mergeCell ref="H44:K44"/>
    <mergeCell ref="L44:O44"/>
    <mergeCell ref="C47:C48"/>
    <mergeCell ref="H45:K45"/>
    <mergeCell ref="A62:A63"/>
    <mergeCell ref="B62:C62"/>
    <mergeCell ref="D62:X63"/>
    <mergeCell ref="B63:C63"/>
    <mergeCell ref="B55:B56"/>
    <mergeCell ref="D57:G57"/>
    <mergeCell ref="T60:X60"/>
    <mergeCell ref="H54:K54"/>
    <mergeCell ref="L54:O54"/>
    <mergeCell ref="P54:S54"/>
    <mergeCell ref="T54:W54"/>
    <mergeCell ref="D58:W58"/>
    <mergeCell ref="X40:X59"/>
    <mergeCell ref="T46:W46"/>
    <mergeCell ref="D42:W42"/>
    <mergeCell ref="T44:W44"/>
    <mergeCell ref="B50:B53"/>
    <mergeCell ref="D50:G50"/>
    <mergeCell ref="H50:K50"/>
    <mergeCell ref="L50:O50"/>
    <mergeCell ref="L41:O41"/>
    <mergeCell ref="P50:S50"/>
    <mergeCell ref="H73:K73"/>
    <mergeCell ref="L73:O73"/>
    <mergeCell ref="C58:C59"/>
    <mergeCell ref="B61:C61"/>
    <mergeCell ref="D61:G61"/>
    <mergeCell ref="H61:K61"/>
    <mergeCell ref="D66:G66"/>
    <mergeCell ref="H66:K66"/>
    <mergeCell ref="T41:W41"/>
    <mergeCell ref="D41:G41"/>
    <mergeCell ref="P41:S41"/>
    <mergeCell ref="H51:K51"/>
    <mergeCell ref="L51:O51"/>
    <mergeCell ref="P51:S51"/>
    <mergeCell ref="T51:W51"/>
    <mergeCell ref="C52:C53"/>
    <mergeCell ref="D52:W52"/>
    <mergeCell ref="D53:W53"/>
    <mergeCell ref="D54:G54"/>
    <mergeCell ref="D44:G44"/>
    <mergeCell ref="D43:W43"/>
    <mergeCell ref="D46:G46"/>
    <mergeCell ref="L46:O46"/>
    <mergeCell ref="B45:B48"/>
    <mergeCell ref="L66:O66"/>
    <mergeCell ref="P66:S66"/>
    <mergeCell ref="T66:W66"/>
    <mergeCell ref="T67:W67"/>
    <mergeCell ref="H67:K67"/>
    <mergeCell ref="L67:O67"/>
    <mergeCell ref="P67:S67"/>
    <mergeCell ref="L72:O72"/>
    <mergeCell ref="P72:S72"/>
    <mergeCell ref="T72:W72"/>
    <mergeCell ref="X67:X78"/>
    <mergeCell ref="D68:G68"/>
    <mergeCell ref="H68:K68"/>
    <mergeCell ref="L68:O68"/>
    <mergeCell ref="P68:S68"/>
    <mergeCell ref="T68:W68"/>
    <mergeCell ref="D69:W69"/>
    <mergeCell ref="D70:W70"/>
    <mergeCell ref="D71:G71"/>
    <mergeCell ref="D67:G67"/>
    <mergeCell ref="H71:K71"/>
    <mergeCell ref="L71:O71"/>
    <mergeCell ref="P71:S71"/>
    <mergeCell ref="T71:W71"/>
    <mergeCell ref="T77:W77"/>
    <mergeCell ref="D78:G78"/>
    <mergeCell ref="H78:K78"/>
    <mergeCell ref="L78:O78"/>
    <mergeCell ref="P78:S78"/>
    <mergeCell ref="D76:G76"/>
    <mergeCell ref="H77:K77"/>
    <mergeCell ref="L77:O77"/>
    <mergeCell ref="P77:S77"/>
    <mergeCell ref="D73:G73"/>
    <mergeCell ref="A67:A78"/>
    <mergeCell ref="B67:B70"/>
    <mergeCell ref="C69:C70"/>
    <mergeCell ref="C79:C80"/>
    <mergeCell ref="D79:W79"/>
    <mergeCell ref="A81:A82"/>
    <mergeCell ref="B81:C81"/>
    <mergeCell ref="D81:G81"/>
    <mergeCell ref="H81:K81"/>
    <mergeCell ref="L81:O81"/>
    <mergeCell ref="P81:S81"/>
    <mergeCell ref="P73:S73"/>
    <mergeCell ref="C74:C75"/>
    <mergeCell ref="D74:W74"/>
    <mergeCell ref="D75:W75"/>
    <mergeCell ref="H76:K76"/>
    <mergeCell ref="L76:O76"/>
    <mergeCell ref="P76:S76"/>
    <mergeCell ref="T76:W76"/>
    <mergeCell ref="T73:W73"/>
    <mergeCell ref="T78:W78"/>
    <mergeCell ref="B72:B75"/>
    <mergeCell ref="D72:G72"/>
    <mergeCell ref="H72:K72"/>
    <mergeCell ref="D87:G87"/>
    <mergeCell ref="H87:K87"/>
    <mergeCell ref="L87:O87"/>
    <mergeCell ref="D89:G89"/>
    <mergeCell ref="H89:K89"/>
    <mergeCell ref="L89:O89"/>
    <mergeCell ref="D80:W80"/>
    <mergeCell ref="A83:A84"/>
    <mergeCell ref="B83:C83"/>
    <mergeCell ref="D83:X84"/>
    <mergeCell ref="B84:C84"/>
    <mergeCell ref="P87:S87"/>
    <mergeCell ref="T87:W87"/>
    <mergeCell ref="T88:W88"/>
    <mergeCell ref="P89:S89"/>
    <mergeCell ref="T81:X81"/>
    <mergeCell ref="B82:C82"/>
    <mergeCell ref="D82:G82"/>
    <mergeCell ref="H82:K82"/>
    <mergeCell ref="L82:O82"/>
    <mergeCell ref="P82:S82"/>
    <mergeCell ref="T82:X82"/>
    <mergeCell ref="B77:B80"/>
    <mergeCell ref="D77:G77"/>
    <mergeCell ref="T89:W89"/>
    <mergeCell ref="D90:W90"/>
    <mergeCell ref="D91:W91"/>
    <mergeCell ref="D92:G92"/>
    <mergeCell ref="D88:G88"/>
    <mergeCell ref="H88:K88"/>
    <mergeCell ref="L88:O88"/>
    <mergeCell ref="P88:S88"/>
    <mergeCell ref="H92:K92"/>
    <mergeCell ref="L92:O92"/>
    <mergeCell ref="A88:A99"/>
    <mergeCell ref="B88:B91"/>
    <mergeCell ref="C90:C91"/>
    <mergeCell ref="D99:G99"/>
    <mergeCell ref="H99:K99"/>
    <mergeCell ref="A102:A103"/>
    <mergeCell ref="B102:C102"/>
    <mergeCell ref="D102:G102"/>
    <mergeCell ref="H102:K102"/>
    <mergeCell ref="D103:G103"/>
    <mergeCell ref="H103:K103"/>
    <mergeCell ref="T103:X103"/>
    <mergeCell ref="B93:B96"/>
    <mergeCell ref="D93:G93"/>
    <mergeCell ref="H93:K93"/>
    <mergeCell ref="L93:O93"/>
    <mergeCell ref="P93:S93"/>
    <mergeCell ref="D95:W95"/>
    <mergeCell ref="D96:W96"/>
    <mergeCell ref="D94:G94"/>
    <mergeCell ref="H94:K94"/>
    <mergeCell ref="L94:O94"/>
    <mergeCell ref="B98:B101"/>
    <mergeCell ref="D98:G98"/>
    <mergeCell ref="H98:K98"/>
    <mergeCell ref="L98:O98"/>
    <mergeCell ref="P98:S98"/>
    <mergeCell ref="L102:O102"/>
    <mergeCell ref="P102:S102"/>
    <mergeCell ref="T93:W93"/>
    <mergeCell ref="D97:G97"/>
    <mergeCell ref="H97:K97"/>
    <mergeCell ref="L97:O97"/>
    <mergeCell ref="H120:K120"/>
    <mergeCell ref="P97:S97"/>
    <mergeCell ref="A104:A105"/>
    <mergeCell ref="B104:C104"/>
    <mergeCell ref="D104:X105"/>
    <mergeCell ref="B105:C105"/>
    <mergeCell ref="T99:W99"/>
    <mergeCell ref="C100:C101"/>
    <mergeCell ref="D100:W100"/>
    <mergeCell ref="D101:W101"/>
    <mergeCell ref="X88:X99"/>
    <mergeCell ref="P92:S92"/>
    <mergeCell ref="T92:W92"/>
    <mergeCell ref="T98:W98"/>
    <mergeCell ref="T94:W94"/>
    <mergeCell ref="C95:C96"/>
    <mergeCell ref="L99:O99"/>
    <mergeCell ref="P99:S99"/>
    <mergeCell ref="P94:S94"/>
    <mergeCell ref="T97:W97"/>
    <mergeCell ref="T102:X102"/>
    <mergeCell ref="B103:C103"/>
    <mergeCell ref="L103:O103"/>
    <mergeCell ref="P103:S103"/>
    <mergeCell ref="P127:S127"/>
    <mergeCell ref="P114:S114"/>
    <mergeCell ref="T114:W114"/>
    <mergeCell ref="V121:W121"/>
    <mergeCell ref="L108:O108"/>
    <mergeCell ref="P108:S108"/>
    <mergeCell ref="B115:B116"/>
    <mergeCell ref="D117:G117"/>
    <mergeCell ref="H117:K117"/>
    <mergeCell ref="C118:C119"/>
    <mergeCell ref="D118:W118"/>
    <mergeCell ref="D119:W119"/>
    <mergeCell ref="L114:O114"/>
    <mergeCell ref="T108:W108"/>
    <mergeCell ref="B121:B124"/>
    <mergeCell ref="D121:E121"/>
    <mergeCell ref="F121:G121"/>
    <mergeCell ref="H121:I121"/>
    <mergeCell ref="J121:K121"/>
    <mergeCell ref="D114:G114"/>
    <mergeCell ref="H114:K114"/>
    <mergeCell ref="D108:G108"/>
    <mergeCell ref="H108:K108"/>
    <mergeCell ref="D120:G120"/>
    <mergeCell ref="T120:W120"/>
    <mergeCell ref="T122:U122"/>
    <mergeCell ref="V122:W122"/>
    <mergeCell ref="L121:M121"/>
    <mergeCell ref="N121:O121"/>
    <mergeCell ref="P121:Q121"/>
    <mergeCell ref="R121:S121"/>
    <mergeCell ref="P126:S126"/>
    <mergeCell ref="T126:W126"/>
    <mergeCell ref="T121:U121"/>
    <mergeCell ref="V123:W123"/>
    <mergeCell ref="T123:U123"/>
    <mergeCell ref="X109:X128"/>
    <mergeCell ref="A133:A134"/>
    <mergeCell ref="B133:C133"/>
    <mergeCell ref="D133:X134"/>
    <mergeCell ref="B134:C134"/>
    <mergeCell ref="P131:S131"/>
    <mergeCell ref="B127:B130"/>
    <mergeCell ref="P128:S128"/>
    <mergeCell ref="C124:C125"/>
    <mergeCell ref="D124:W124"/>
    <mergeCell ref="D125:W125"/>
    <mergeCell ref="D126:G126"/>
    <mergeCell ref="H126:K126"/>
    <mergeCell ref="L126:O126"/>
    <mergeCell ref="D127:G127"/>
    <mergeCell ref="H127:K127"/>
    <mergeCell ref="L127:O127"/>
    <mergeCell ref="T131:X131"/>
    <mergeCell ref="B132:C132"/>
    <mergeCell ref="D132:G132"/>
    <mergeCell ref="H132:K132"/>
    <mergeCell ref="L132:O132"/>
    <mergeCell ref="P132:S132"/>
    <mergeCell ref="T132:X132"/>
    <mergeCell ref="T137:W137"/>
    <mergeCell ref="A131:A132"/>
    <mergeCell ref="B131:C131"/>
    <mergeCell ref="D131:G131"/>
    <mergeCell ref="H131:K131"/>
    <mergeCell ref="L131:O131"/>
    <mergeCell ref="C129:C130"/>
    <mergeCell ref="D129:W129"/>
    <mergeCell ref="D130:W130"/>
    <mergeCell ref="D137:G137"/>
    <mergeCell ref="H137:K137"/>
    <mergeCell ref="L137:O137"/>
    <mergeCell ref="P137:S137"/>
    <mergeCell ref="A138:A160"/>
    <mergeCell ref="B138:B141"/>
    <mergeCell ref="D138:G138"/>
    <mergeCell ref="H138:K138"/>
    <mergeCell ref="L138:O138"/>
    <mergeCell ref="P138:S138"/>
    <mergeCell ref="C140:C141"/>
    <mergeCell ref="H142:K142"/>
    <mergeCell ref="L142:O142"/>
    <mergeCell ref="P142:S142"/>
    <mergeCell ref="B143:B146"/>
    <mergeCell ref="C145:C146"/>
    <mergeCell ref="D145:W145"/>
    <mergeCell ref="D146:W146"/>
    <mergeCell ref="L147:O147"/>
    <mergeCell ref="P147:S147"/>
    <mergeCell ref="T143:W143"/>
    <mergeCell ref="D144:G144"/>
    <mergeCell ref="H144:K144"/>
    <mergeCell ref="B153:B156"/>
    <mergeCell ref="D153:G153"/>
    <mergeCell ref="H153:K153"/>
    <mergeCell ref="L153:O153"/>
    <mergeCell ref="P153:S153"/>
    <mergeCell ref="A109:A128"/>
    <mergeCell ref="B109:B110"/>
    <mergeCell ref="D111:G111"/>
    <mergeCell ref="C112:C113"/>
    <mergeCell ref="D112:W112"/>
    <mergeCell ref="D113:W113"/>
    <mergeCell ref="T127:W127"/>
    <mergeCell ref="D128:G128"/>
    <mergeCell ref="H128:K128"/>
    <mergeCell ref="L128:O128"/>
    <mergeCell ref="D122:G122"/>
    <mergeCell ref="H122:K122"/>
    <mergeCell ref="L122:M122"/>
    <mergeCell ref="N122:O122"/>
    <mergeCell ref="P122:Q122"/>
    <mergeCell ref="R122:S122"/>
    <mergeCell ref="D123:G123"/>
    <mergeCell ref="H123:K123"/>
    <mergeCell ref="L123:O123"/>
    <mergeCell ref="P123:Q123"/>
    <mergeCell ref="R123:S123"/>
    <mergeCell ref="T128:W128"/>
    <mergeCell ref="L120:O120"/>
    <mergeCell ref="P120:S120"/>
    <mergeCell ref="X138:X160"/>
    <mergeCell ref="D139:G139"/>
    <mergeCell ref="H139:K139"/>
    <mergeCell ref="L139:O139"/>
    <mergeCell ref="P139:S139"/>
    <mergeCell ref="T139:W139"/>
    <mergeCell ref="D140:W140"/>
    <mergeCell ref="D141:W141"/>
    <mergeCell ref="D142:G142"/>
    <mergeCell ref="T142:W142"/>
    <mergeCell ref="H157:K157"/>
    <mergeCell ref="L157:O157"/>
    <mergeCell ref="P157:S157"/>
    <mergeCell ref="R160:S160"/>
    <mergeCell ref="T138:W138"/>
    <mergeCell ref="D143:G143"/>
    <mergeCell ref="H143:K143"/>
    <mergeCell ref="L143:O143"/>
    <mergeCell ref="P143:S143"/>
    <mergeCell ref="H147:K147"/>
    <mergeCell ref="D152:G152"/>
    <mergeCell ref="H152:K152"/>
    <mergeCell ref="L152:O152"/>
    <mergeCell ref="P152:S152"/>
    <mergeCell ref="L144:O144"/>
    <mergeCell ref="P144:S144"/>
    <mergeCell ref="T144:W144"/>
    <mergeCell ref="T147:W147"/>
    <mergeCell ref="B148:B151"/>
    <mergeCell ref="D148:G148"/>
    <mergeCell ref="H148:K148"/>
    <mergeCell ref="L148:O148"/>
    <mergeCell ref="P148:S148"/>
    <mergeCell ref="T148:W148"/>
    <mergeCell ref="D147:G147"/>
    <mergeCell ref="P149:S149"/>
    <mergeCell ref="D149:G149"/>
    <mergeCell ref="H149:K149"/>
    <mergeCell ref="L149:O149"/>
    <mergeCell ref="T153:W153"/>
    <mergeCell ref="D154:G154"/>
    <mergeCell ref="H154:K154"/>
    <mergeCell ref="L154:O154"/>
    <mergeCell ref="P154:S154"/>
    <mergeCell ref="T154:W154"/>
    <mergeCell ref="T149:W149"/>
    <mergeCell ref="C150:C151"/>
    <mergeCell ref="D150:W150"/>
    <mergeCell ref="D151:W151"/>
    <mergeCell ref="T152:W152"/>
    <mergeCell ref="C155:C156"/>
    <mergeCell ref="D155:W155"/>
    <mergeCell ref="D156:W156"/>
    <mergeCell ref="T157:W157"/>
    <mergeCell ref="N158:O158"/>
    <mergeCell ref="P158:Q158"/>
    <mergeCell ref="R158:S158"/>
    <mergeCell ref="T158:U158"/>
    <mergeCell ref="V158:W158"/>
    <mergeCell ref="D157:G157"/>
    <mergeCell ref="D158:E158"/>
    <mergeCell ref="F158:G158"/>
    <mergeCell ref="H158:I158"/>
    <mergeCell ref="J158:K158"/>
    <mergeCell ref="L158:M158"/>
    <mergeCell ref="B161:B162"/>
    <mergeCell ref="C161:C162"/>
    <mergeCell ref="D161:W161"/>
    <mergeCell ref="D162:W162"/>
    <mergeCell ref="B158:B160"/>
    <mergeCell ref="D159:E159"/>
    <mergeCell ref="R159:S159"/>
    <mergeCell ref="T159:U159"/>
    <mergeCell ref="V159:W159"/>
    <mergeCell ref="D160:G160"/>
    <mergeCell ref="H160:K160"/>
    <mergeCell ref="L160:M160"/>
    <mergeCell ref="N160:O160"/>
    <mergeCell ref="J159:K159"/>
    <mergeCell ref="L159:M159"/>
    <mergeCell ref="F159:G159"/>
    <mergeCell ref="H159:I159"/>
    <mergeCell ref="N159:O159"/>
    <mergeCell ref="P159:Q159"/>
    <mergeCell ref="P160:Q160"/>
    <mergeCell ref="T160:U160"/>
    <mergeCell ref="V160:W160"/>
    <mergeCell ref="T163:X163"/>
    <mergeCell ref="B164:C164"/>
    <mergeCell ref="L170:O170"/>
    <mergeCell ref="A165:A166"/>
    <mergeCell ref="B165:C165"/>
    <mergeCell ref="D165:X166"/>
    <mergeCell ref="B166:C166"/>
    <mergeCell ref="D169:G169"/>
    <mergeCell ref="H169:K169"/>
    <mergeCell ref="L169:O169"/>
    <mergeCell ref="P169:S169"/>
    <mergeCell ref="T169:W169"/>
    <mergeCell ref="D164:G164"/>
    <mergeCell ref="H164:K164"/>
    <mergeCell ref="L164:O164"/>
    <mergeCell ref="P164:S164"/>
    <mergeCell ref="T164:X164"/>
    <mergeCell ref="X170:X184"/>
    <mergeCell ref="D170:G170"/>
    <mergeCell ref="D171:G171"/>
    <mergeCell ref="H171:K171"/>
    <mergeCell ref="L171:O171"/>
    <mergeCell ref="P171:S171"/>
    <mergeCell ref="D172:G172"/>
    <mergeCell ref="H172:K172"/>
    <mergeCell ref="L172:O172"/>
    <mergeCell ref="A163:A164"/>
    <mergeCell ref="B163:C163"/>
    <mergeCell ref="D163:G163"/>
    <mergeCell ref="H163:K163"/>
    <mergeCell ref="L163:O163"/>
    <mergeCell ref="P163:S163"/>
    <mergeCell ref="B176:B180"/>
    <mergeCell ref="D177:G177"/>
    <mergeCell ref="H177:K177"/>
    <mergeCell ref="L177:O177"/>
    <mergeCell ref="P177:S177"/>
    <mergeCell ref="D178:G178"/>
    <mergeCell ref="H178:K178"/>
    <mergeCell ref="L178:O178"/>
    <mergeCell ref="C179:C180"/>
    <mergeCell ref="D179:W179"/>
    <mergeCell ref="D180:W180"/>
    <mergeCell ref="D176:G176"/>
    <mergeCell ref="H176:K176"/>
    <mergeCell ref="L176:O176"/>
    <mergeCell ref="A170:A184"/>
    <mergeCell ref="B170:B174"/>
    <mergeCell ref="D175:G175"/>
    <mergeCell ref="H175:K175"/>
    <mergeCell ref="L182:O182"/>
    <mergeCell ref="D183:G183"/>
    <mergeCell ref="H183:K183"/>
    <mergeCell ref="L183:O183"/>
    <mergeCell ref="C173:C174"/>
    <mergeCell ref="D174:W174"/>
    <mergeCell ref="P175:S175"/>
    <mergeCell ref="T175:W175"/>
    <mergeCell ref="L175:O175"/>
    <mergeCell ref="D173:W173"/>
    <mergeCell ref="H188:K188"/>
    <mergeCell ref="D181:G181"/>
    <mergeCell ref="H181:K181"/>
    <mergeCell ref="L181:O181"/>
    <mergeCell ref="L188:O188"/>
    <mergeCell ref="P188:S188"/>
    <mergeCell ref="P181:S181"/>
    <mergeCell ref="T181:W181"/>
    <mergeCell ref="T188:X188"/>
    <mergeCell ref="B182:B186"/>
    <mergeCell ref="D182:G182"/>
    <mergeCell ref="H182:K182"/>
    <mergeCell ref="D184:G184"/>
    <mergeCell ref="H184:K184"/>
    <mergeCell ref="L184:O184"/>
    <mergeCell ref="H170:K170"/>
    <mergeCell ref="A189:A190"/>
    <mergeCell ref="B189:C189"/>
    <mergeCell ref="D189:X190"/>
    <mergeCell ref="B190:C190"/>
    <mergeCell ref="P184:S184"/>
    <mergeCell ref="C185:C186"/>
    <mergeCell ref="D185:W185"/>
    <mergeCell ref="D186:W186"/>
    <mergeCell ref="A187:A188"/>
    <mergeCell ref="B187:C187"/>
    <mergeCell ref="D187:G187"/>
    <mergeCell ref="H187:K187"/>
    <mergeCell ref="L187:O187"/>
    <mergeCell ref="P187:S187"/>
    <mergeCell ref="T187:X187"/>
    <mergeCell ref="B188:C188"/>
    <mergeCell ref="D188:G188"/>
  </mergeCells>
  <hyperlinks>
    <hyperlink ref="C24" location="Reference!C12" display="press for guidance"/>
    <hyperlink ref="C25" location="Reference!C12" display="Reference!C12"/>
    <hyperlink ref="C17" location="Reference!C10" display="press for guidance"/>
    <hyperlink ref="C18" location="Reference!C10" display="Reference!C10"/>
    <hyperlink ref="C12" location="Reference!C8" display="press for guidance"/>
    <hyperlink ref="C13" location="Reference!C8" display="Reference!C8"/>
    <hyperlink ref="C7" location="Reference!C6" display="press for guidance"/>
    <hyperlink ref="C8" location="Reference!C6" display="Reference!C6"/>
    <hyperlink ref="C29" location="Reference!C14" display="press for guidance"/>
    <hyperlink ref="C30" location="Reference!C14" display="Reference!C14"/>
    <hyperlink ref="C35" location="Reference!C16" display="press for guidance"/>
    <hyperlink ref="C36" location="Reference!C16" display="Reference!C16"/>
    <hyperlink ref="C42" location="Reference!C18" display="press for guidance"/>
    <hyperlink ref="C43" location="Reference!C18" display="Reference!C18"/>
    <hyperlink ref="C47" location="Reference!C20" display="press for guidance"/>
    <hyperlink ref="C48" location="Reference!C20" display="Reference!C20"/>
    <hyperlink ref="C52" location="Reference!C22" display="press for guidance"/>
    <hyperlink ref="C53" location="Reference!C22" display="Reference!C22"/>
    <hyperlink ref="C58" location="Reference!C24" display="press for guidance"/>
    <hyperlink ref="C59" location="Reference!C24" display="Reference!C24"/>
    <hyperlink ref="C69" location="Reference!C26" display="press for guidance"/>
    <hyperlink ref="C70" location="Reference!C26" display="Reference!C26"/>
    <hyperlink ref="C74" location="Reference!C28" display="press for guidance"/>
    <hyperlink ref="C75" location="Reference!C28" display="Reference!C28"/>
    <hyperlink ref="C79" location="Reference!C30" display="press for guidance"/>
    <hyperlink ref="C80" location="Reference!C30" display="Reference!C30"/>
    <hyperlink ref="C90" location="Reference!C32" display="press for guidance"/>
    <hyperlink ref="C91" location="Reference!C32" display="Reference!C32"/>
    <hyperlink ref="C95" location="Reference'C34" display="press for guidance"/>
    <hyperlink ref="C96" location="Reference'C34" display="Reference'C34"/>
    <hyperlink ref="C100" location="Reference!C36" display="press for guidance"/>
    <hyperlink ref="C101" location="Reference!C36" display="Reference!C36"/>
    <hyperlink ref="C112" location="Reference!C38" display="press for guidance"/>
    <hyperlink ref="C113" location="Reference!C38" display="Reference!C38"/>
    <hyperlink ref="C118" location="Reference!C40" display="press for guidance"/>
    <hyperlink ref="C119" location="Reference!C40" display="Reference!C40"/>
    <hyperlink ref="C124" location="Reference!C42" display="press for guidance"/>
    <hyperlink ref="C125" location="Reference!C42" display="Reference!C42"/>
    <hyperlink ref="C129" location="Reference!C44" display="press for guidance"/>
    <hyperlink ref="C130" location="Reference!C44" display="Reference!C44"/>
    <hyperlink ref="C140" location="Reference!C46" display="press for guidance"/>
    <hyperlink ref="C141" location="Reference!C46" display="Reference!C46"/>
    <hyperlink ref="C145" location="Reference!C48" display="press for guidance"/>
    <hyperlink ref="C146" location="Reference!C48" display="Reference!C48"/>
    <hyperlink ref="C150" location="Reference!C50" display="press for guidance"/>
    <hyperlink ref="C151" location="Reference!C50" display="Reference!C50"/>
    <hyperlink ref="C155" location="Reference!C52" display="press for guidance"/>
    <hyperlink ref="C156" location="Reference!C52" display="Reference!C52"/>
    <hyperlink ref="C161" location="Reference!C54" display="press for guidance"/>
    <hyperlink ref="C162" location="Reference!C54" display="Reference!C54"/>
    <hyperlink ref="C173" location="Reference!C71" display="★ click here for guidance"/>
    <hyperlink ref="C174" location="Reference!C71" display="Reference!C71"/>
    <hyperlink ref="C179" location="Reference!C73" display="★ click here for guidance"/>
    <hyperlink ref="C180" location="Reference!C73" display="Reference!C73"/>
    <hyperlink ref="C185" location="Reference!C75" display="★ click here for guidance"/>
    <hyperlink ref="C186" location="Reference!C75" display="Reference!C75"/>
  </hyperlinks>
  <pageMargins left="0.79000000000000015" right="0.79000000000000015" top="0.79000000000000015" bottom="0.79000000000000015" header="0.39000000000000007" footer="0.39000000000000007"/>
  <pageSetup paperSize="9" scale="55" fitToHeight="3" orientation="landscape"/>
  <headerFooter>
    <oddFooter>&amp;L&amp;K000000&amp;F&amp;C&amp;K000000&amp;D&amp;R&amp;K000000Page &amp;P</oddFooter>
  </headerFooter>
  <legacy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8" tint="0.39997558519241921"/>
  </sheetPr>
  <dimension ref="A1:AI480"/>
  <sheetViews>
    <sheetView workbookViewId="0">
      <pane xSplit="2" ySplit="5" topLeftCell="C6" activePane="bottomRight" state="frozen"/>
      <selection activeCell="P22" sqref="P22:S22"/>
      <selection pane="topRight" activeCell="P22" sqref="P22:S22"/>
      <selection pane="bottomLeft" activeCell="P22" sqref="P22:S22"/>
      <selection pane="bottomRight" activeCell="P22" sqref="P22:S22"/>
    </sheetView>
  </sheetViews>
  <sheetFormatPr defaultColWidth="9.140625" defaultRowHeight="12"/>
  <cols>
    <col min="1" max="1" width="20.85546875" style="138" customWidth="1"/>
    <col min="2" max="2" width="40.85546875" style="31" customWidth="1"/>
    <col min="3" max="3" width="23.28515625" style="146" customWidth="1"/>
    <col min="4" max="4" width="20.85546875" style="138" customWidth="1"/>
    <col min="5" max="5" width="18.28515625" style="138" customWidth="1"/>
    <col min="6" max="7" width="18.28515625" style="31" customWidth="1"/>
    <col min="8" max="8" width="18.28515625" style="138" customWidth="1"/>
    <col min="9" max="9" width="18.28515625" style="147" customWidth="1"/>
    <col min="10" max="11" width="18.28515625" style="121" customWidth="1"/>
    <col min="12" max="16384" width="9.140625" style="121"/>
  </cols>
  <sheetData>
    <row r="1" spans="1:11" s="67" customFormat="1" ht="15.75">
      <c r="A1" s="119" t="str">
        <f>'Guide - wip'!A1</f>
        <v>SAVI Programme</v>
      </c>
      <c r="B1" s="120" t="s">
        <v>412</v>
      </c>
    </row>
    <row r="2" spans="1:11">
      <c r="A2" s="121"/>
      <c r="B2" s="121"/>
      <c r="C2" s="122"/>
      <c r="D2" s="121"/>
      <c r="E2" s="121"/>
      <c r="F2" s="121"/>
      <c r="G2" s="121"/>
      <c r="H2" s="121"/>
      <c r="I2" s="121"/>
    </row>
    <row r="3" spans="1:11" ht="12" customHeight="1" thickBot="1">
      <c r="A3" s="121"/>
      <c r="B3" s="121"/>
      <c r="C3" s="122"/>
      <c r="D3" s="121"/>
      <c r="E3" s="121"/>
      <c r="F3" s="121"/>
      <c r="G3" s="121"/>
      <c r="H3" s="121"/>
      <c r="I3" s="121"/>
    </row>
    <row r="4" spans="1:11" s="29" customFormat="1" ht="12.75" thickBot="1">
      <c r="A4" s="123" t="s">
        <v>114</v>
      </c>
      <c r="B4" s="123" t="s">
        <v>113</v>
      </c>
      <c r="C4" s="123" t="s">
        <v>305</v>
      </c>
      <c r="D4" s="124" t="s">
        <v>306</v>
      </c>
      <c r="E4" s="858" t="s">
        <v>307</v>
      </c>
      <c r="F4" s="859"/>
      <c r="G4" s="860"/>
      <c r="H4" s="858" t="s">
        <v>308</v>
      </c>
      <c r="I4" s="861"/>
      <c r="J4" s="862" t="s">
        <v>309</v>
      </c>
      <c r="K4" s="863"/>
    </row>
    <row r="5" spans="1:11" s="29" customFormat="1" ht="36.75" thickBot="1">
      <c r="A5" s="123" t="s">
        <v>310</v>
      </c>
      <c r="B5" s="123" t="s">
        <v>311</v>
      </c>
      <c r="C5" s="123" t="s">
        <v>312</v>
      </c>
      <c r="D5" s="123" t="s">
        <v>313</v>
      </c>
      <c r="E5" s="123" t="s">
        <v>314</v>
      </c>
      <c r="F5" s="123" t="s">
        <v>315</v>
      </c>
      <c r="G5" s="123" t="s">
        <v>316</v>
      </c>
      <c r="H5" s="123" t="s">
        <v>317</v>
      </c>
      <c r="I5" s="123" t="s">
        <v>318</v>
      </c>
      <c r="J5" s="123" t="s">
        <v>319</v>
      </c>
      <c r="K5" s="123" t="s">
        <v>320</v>
      </c>
    </row>
    <row r="6" spans="1:11" s="29" customFormat="1" ht="84.75" thickBot="1">
      <c r="A6" s="864" t="s">
        <v>321</v>
      </c>
      <c r="B6" s="865"/>
      <c r="C6" s="125" t="s">
        <v>322</v>
      </c>
      <c r="D6" s="125" t="s">
        <v>323</v>
      </c>
      <c r="E6" s="125" t="s">
        <v>324</v>
      </c>
      <c r="F6" s="125" t="s">
        <v>325</v>
      </c>
      <c r="G6" s="125" t="s">
        <v>326</v>
      </c>
      <c r="H6" s="125" t="s">
        <v>327</v>
      </c>
      <c r="I6" s="125" t="s">
        <v>328</v>
      </c>
      <c r="J6" s="125" t="s">
        <v>329</v>
      </c>
      <c r="K6" s="125" t="s">
        <v>330</v>
      </c>
    </row>
    <row r="7" spans="1:11" ht="12.75" thickBot="1">
      <c r="A7" s="15" t="s">
        <v>1</v>
      </c>
      <c r="B7" s="3" t="s">
        <v>24</v>
      </c>
      <c r="C7" s="126"/>
      <c r="D7" s="3"/>
      <c r="E7" s="3"/>
      <c r="F7" s="3"/>
      <c r="G7" s="3"/>
      <c r="H7" s="3"/>
      <c r="I7" s="3"/>
      <c r="J7" s="3"/>
      <c r="K7" s="3"/>
    </row>
    <row r="8" spans="1:11" ht="156.75" thickBot="1">
      <c r="A8" s="866" t="str">
        <f>'LF-Enugu'!A22</f>
        <v>The efficiency and effectiveness of selected state level governments’ use of public resources is enhanced.</v>
      </c>
      <c r="B8" s="868" t="str">
        <f>'LF-Enugu'!B22</f>
        <v>Level of accountability and responsiveness of state and local government.</v>
      </c>
      <c r="C8" s="127" t="s">
        <v>331</v>
      </c>
      <c r="D8" s="128" t="str">
        <f>'LF-Enugu'!D25</f>
        <v>SAVI V&amp;A Governance Index: a triangulated peer review by independent state based experts.</v>
      </c>
      <c r="E8" s="34" t="s">
        <v>448</v>
      </c>
      <c r="F8" s="34" t="s">
        <v>449</v>
      </c>
      <c r="G8" s="34" t="s">
        <v>450</v>
      </c>
      <c r="H8" s="34" t="s">
        <v>451</v>
      </c>
      <c r="I8" s="34" t="s">
        <v>452</v>
      </c>
      <c r="J8" s="34" t="s">
        <v>332</v>
      </c>
      <c r="K8" s="34" t="s">
        <v>453</v>
      </c>
    </row>
    <row r="9" spans="1:11" ht="192.75" thickBot="1">
      <c r="A9" s="866"/>
      <c r="B9" s="869"/>
      <c r="C9" s="127" t="s">
        <v>333</v>
      </c>
      <c r="D9" s="34" t="s">
        <v>454</v>
      </c>
      <c r="E9" s="34" t="s">
        <v>455</v>
      </c>
      <c r="F9" s="34" t="s">
        <v>456</v>
      </c>
      <c r="G9" s="34" t="s">
        <v>457</v>
      </c>
      <c r="H9" s="34" t="s">
        <v>458</v>
      </c>
      <c r="I9" s="34" t="s">
        <v>459</v>
      </c>
      <c r="J9" s="34" t="s">
        <v>334</v>
      </c>
      <c r="K9" s="34" t="s">
        <v>342</v>
      </c>
    </row>
    <row r="10" spans="1:11" ht="12.75" thickBot="1">
      <c r="A10" s="866"/>
      <c r="B10" s="3" t="s">
        <v>25</v>
      </c>
      <c r="C10" s="129"/>
      <c r="D10" s="30"/>
      <c r="E10" s="30"/>
      <c r="F10" s="30"/>
      <c r="G10" s="30"/>
      <c r="H10" s="30"/>
      <c r="I10" s="30"/>
      <c r="J10" s="30"/>
      <c r="K10" s="30"/>
    </row>
    <row r="11" spans="1:11" ht="168.75" thickBot="1">
      <c r="A11" s="866"/>
      <c r="B11" s="868" t="str">
        <f>'LF-Enugu'!B27</f>
        <v>Level of citizen’s satisfaction (including that of women and other socially excluded groups) with their ability to claim rights and hold government to account through democratic channels.</v>
      </c>
      <c r="C11" s="127" t="s">
        <v>331</v>
      </c>
      <c r="D11" s="128" t="str">
        <f>'LF-Enugu'!D30</f>
        <v>NOI Polls/IMEP Citizens Perception Survey: an independent public survey by national polling experts.</v>
      </c>
      <c r="E11" s="34" t="s">
        <v>460</v>
      </c>
      <c r="F11" s="34" t="s">
        <v>461</v>
      </c>
      <c r="G11" s="34" t="s">
        <v>335</v>
      </c>
      <c r="H11" s="34" t="s">
        <v>462</v>
      </c>
      <c r="I11" s="34" t="s">
        <v>463</v>
      </c>
      <c r="J11" s="34" t="s">
        <v>464</v>
      </c>
      <c r="K11" s="34" t="s">
        <v>465</v>
      </c>
    </row>
    <row r="12" spans="1:11" ht="204.75" thickBot="1">
      <c r="A12" s="866"/>
      <c r="B12" s="869"/>
      <c r="C12" s="127" t="s">
        <v>333</v>
      </c>
      <c r="D12" s="34" t="s">
        <v>466</v>
      </c>
      <c r="E12" s="34" t="s">
        <v>467</v>
      </c>
      <c r="F12" s="34" t="s">
        <v>468</v>
      </c>
      <c r="G12" s="34" t="s">
        <v>336</v>
      </c>
      <c r="H12" s="34" t="s">
        <v>469</v>
      </c>
      <c r="I12" s="34" t="s">
        <v>470</v>
      </c>
      <c r="J12" s="34" t="s">
        <v>334</v>
      </c>
      <c r="K12" s="34" t="s">
        <v>471</v>
      </c>
    </row>
    <row r="13" spans="1:11" ht="12.75" thickBot="1">
      <c r="A13" s="867"/>
      <c r="B13" s="3" t="s">
        <v>37</v>
      </c>
      <c r="C13" s="126"/>
      <c r="D13" s="3"/>
      <c r="E13" s="3"/>
      <c r="F13" s="3"/>
      <c r="G13" s="3"/>
      <c r="H13" s="3"/>
      <c r="I13" s="3"/>
      <c r="J13" s="3"/>
      <c r="K13" s="3"/>
    </row>
    <row r="14" spans="1:11" ht="48.75" thickBot="1">
      <c r="A14" s="867"/>
      <c r="B14" s="130" t="str">
        <f>'LF-Enugu'!B32</f>
        <v>Extent of passage and implementation (by state houses of assembly and state governments) of key legislation that underpins good governance:
a). fiscal responsibility bill (FR),</v>
      </c>
      <c r="C14" s="870" t="s">
        <v>331</v>
      </c>
      <c r="D14" s="873" t="str">
        <f>'LF-Enugu'!D36</f>
        <v>SAVI state reports: citing State House of Assembly records of bills and State Ministry of Justice records of acts.</v>
      </c>
      <c r="E14" s="876" t="s">
        <v>472</v>
      </c>
      <c r="F14" s="855" t="s">
        <v>337</v>
      </c>
      <c r="G14" s="876" t="s">
        <v>473</v>
      </c>
      <c r="H14" s="876" t="s">
        <v>474</v>
      </c>
      <c r="I14" s="876" t="s">
        <v>475</v>
      </c>
      <c r="J14" s="876" t="s">
        <v>476</v>
      </c>
      <c r="K14" s="855" t="s">
        <v>477</v>
      </c>
    </row>
    <row r="15" spans="1:11" ht="12.75" thickBot="1">
      <c r="A15" s="867"/>
      <c r="B15" s="131" t="str">
        <f>'LF-Enugu'!B34</f>
        <v>b). public procurement bill (PP),</v>
      </c>
      <c r="C15" s="871"/>
      <c r="D15" s="874"/>
      <c r="E15" s="877"/>
      <c r="F15" s="856"/>
      <c r="G15" s="877"/>
      <c r="H15" s="877"/>
      <c r="I15" s="877"/>
      <c r="J15" s="877"/>
      <c r="K15" s="856"/>
    </row>
    <row r="16" spans="1:11" ht="12.75" thickBot="1">
      <c r="A16" s="867"/>
      <c r="B16" s="131" t="str">
        <f>'LF-Enugu'!B35</f>
        <v>c). freedom of information bill (FoI), and</v>
      </c>
      <c r="C16" s="871"/>
      <c r="D16" s="874"/>
      <c r="E16" s="877"/>
      <c r="F16" s="856"/>
      <c r="G16" s="877"/>
      <c r="H16" s="877"/>
      <c r="I16" s="877"/>
      <c r="J16" s="877"/>
      <c r="K16" s="856"/>
    </row>
    <row r="17" spans="1:11" ht="168" customHeight="1" thickBot="1">
      <c r="A17" s="867"/>
      <c r="B17" s="131" t="str">
        <f>'LF-Enugu'!B36</f>
        <v>d). house service commission bill (SC).</v>
      </c>
      <c r="C17" s="872"/>
      <c r="D17" s="875"/>
      <c r="E17" s="878"/>
      <c r="F17" s="857"/>
      <c r="G17" s="878"/>
      <c r="H17" s="878"/>
      <c r="I17" s="878"/>
      <c r="J17" s="878"/>
      <c r="K17" s="857"/>
    </row>
    <row r="18" spans="1:11" ht="144.75" thickBot="1">
      <c r="A18" s="867"/>
      <c r="B18" s="132"/>
      <c r="C18" s="127" t="s">
        <v>333</v>
      </c>
      <c r="D18" s="34" t="s">
        <v>338</v>
      </c>
      <c r="E18" s="133" t="s">
        <v>478</v>
      </c>
      <c r="F18" s="35" t="s">
        <v>479</v>
      </c>
      <c r="G18" s="35" t="s">
        <v>480</v>
      </c>
      <c r="H18" s="35" t="s">
        <v>481</v>
      </c>
      <c r="I18" s="34" t="s">
        <v>482</v>
      </c>
      <c r="J18" s="35" t="s">
        <v>476</v>
      </c>
      <c r="K18" s="34" t="s">
        <v>477</v>
      </c>
    </row>
    <row r="19" spans="1:11" ht="12.75" thickBot="1">
      <c r="A19" s="7" t="s">
        <v>5</v>
      </c>
      <c r="B19" s="3" t="s">
        <v>22</v>
      </c>
      <c r="C19" s="126"/>
      <c r="D19" s="3"/>
      <c r="E19" s="3"/>
      <c r="F19" s="3"/>
      <c r="G19" s="3"/>
      <c r="H19" s="3"/>
      <c r="I19" s="3"/>
      <c r="J19" s="3"/>
      <c r="K19" s="3"/>
    </row>
    <row r="20" spans="1:11" ht="168.75" thickBot="1">
      <c r="A20" s="866" t="str">
        <f>'LF-Enugu'!A40</f>
        <v>State houses of assembly, civil society, media and citizens demonstrate more effectiveness in demanding better performance from government and holding government to account.</v>
      </c>
      <c r="B20" s="868" t="str">
        <f>'LF-Enugu'!B40</f>
        <v>Level of functionality of state houses of assembly as agents of voice and accountability.</v>
      </c>
      <c r="C20" s="127" t="s">
        <v>331</v>
      </c>
      <c r="D20" s="149" t="str">
        <f>'LF-Enugu'!D43</f>
        <v>SAVI V&amp;A Governance Index: a triangulated peer review by independent state based experts.</v>
      </c>
      <c r="E20" s="34" t="s">
        <v>448</v>
      </c>
      <c r="F20" s="34" t="s">
        <v>449</v>
      </c>
      <c r="G20" s="34" t="s">
        <v>483</v>
      </c>
      <c r="H20" s="34" t="s">
        <v>484</v>
      </c>
      <c r="I20" s="34" t="s">
        <v>452</v>
      </c>
      <c r="J20" s="34" t="s">
        <v>332</v>
      </c>
      <c r="K20" s="34" t="s">
        <v>453</v>
      </c>
    </row>
    <row r="21" spans="1:11" ht="132.75" thickBot="1">
      <c r="A21" s="866"/>
      <c r="B21" s="869"/>
      <c r="C21" s="127" t="s">
        <v>333</v>
      </c>
      <c r="D21" s="34" t="s">
        <v>339</v>
      </c>
      <c r="E21" s="34" t="s">
        <v>340</v>
      </c>
      <c r="F21" s="34" t="s">
        <v>456</v>
      </c>
      <c r="G21" s="34" t="s">
        <v>485</v>
      </c>
      <c r="H21" s="34" t="s">
        <v>486</v>
      </c>
      <c r="I21" s="34" t="s">
        <v>341</v>
      </c>
      <c r="J21" s="34" t="s">
        <v>334</v>
      </c>
      <c r="K21" s="34" t="s">
        <v>342</v>
      </c>
    </row>
    <row r="22" spans="1:11" ht="12.75" thickBot="1">
      <c r="A22" s="866"/>
      <c r="B22" s="3" t="s">
        <v>23</v>
      </c>
      <c r="C22" s="126"/>
      <c r="D22" s="3"/>
      <c r="E22" s="3"/>
      <c r="F22" s="3"/>
      <c r="G22" s="3"/>
      <c r="H22" s="3"/>
      <c r="I22" s="3"/>
      <c r="J22" s="3"/>
      <c r="K22" s="3"/>
    </row>
    <row r="23" spans="1:11" ht="168.75" thickBot="1">
      <c r="A23" s="866"/>
      <c r="B23" s="868" t="str">
        <f>'LF-Enugu'!B45</f>
        <v>Level of functionality of civil society as agents of voice and accountability.</v>
      </c>
      <c r="C23" s="127" t="s">
        <v>331</v>
      </c>
      <c r="D23" s="128" t="str">
        <f>'LF-Enugu'!D48</f>
        <v>SAVI V&amp;A Governance Index: a triangulated peer review by independent state based experts.</v>
      </c>
      <c r="E23" s="34" t="s">
        <v>448</v>
      </c>
      <c r="F23" s="34" t="s">
        <v>449</v>
      </c>
      <c r="G23" s="34" t="s">
        <v>483</v>
      </c>
      <c r="H23" s="34" t="s">
        <v>484</v>
      </c>
      <c r="I23" s="34" t="s">
        <v>452</v>
      </c>
      <c r="J23" s="34" t="s">
        <v>332</v>
      </c>
      <c r="K23" s="34" t="s">
        <v>453</v>
      </c>
    </row>
    <row r="24" spans="1:11" ht="132.75" thickBot="1">
      <c r="A24" s="866"/>
      <c r="B24" s="869"/>
      <c r="C24" s="127" t="s">
        <v>333</v>
      </c>
      <c r="D24" s="34" t="s">
        <v>339</v>
      </c>
      <c r="E24" s="34" t="s">
        <v>340</v>
      </c>
      <c r="F24" s="34" t="s">
        <v>456</v>
      </c>
      <c r="G24" s="34" t="s">
        <v>487</v>
      </c>
      <c r="H24" s="34" t="s">
        <v>486</v>
      </c>
      <c r="I24" s="34" t="s">
        <v>341</v>
      </c>
      <c r="J24" s="34" t="s">
        <v>334</v>
      </c>
      <c r="K24" s="34" t="s">
        <v>342</v>
      </c>
    </row>
    <row r="25" spans="1:11" ht="12.75" thickBot="1">
      <c r="A25" s="867"/>
      <c r="B25" s="3" t="s">
        <v>38</v>
      </c>
      <c r="C25" s="126"/>
      <c r="D25" s="3"/>
      <c r="E25" s="3"/>
      <c r="F25" s="3"/>
      <c r="G25" s="3"/>
      <c r="H25" s="3"/>
      <c r="I25" s="3"/>
      <c r="J25" s="3"/>
      <c r="K25" s="3"/>
    </row>
    <row r="26" spans="1:11" ht="168.75" thickBot="1">
      <c r="A26" s="867"/>
      <c r="B26" s="873" t="str">
        <f>'LF-Enugu'!B50</f>
        <v>Level of functionality of the media as agents of voice and accountability.</v>
      </c>
      <c r="C26" s="127" t="s">
        <v>331</v>
      </c>
      <c r="D26" s="128" t="str">
        <f>'LF-Enugu'!D53</f>
        <v>SAVI V&amp;A Governance Index: a triangulated peer review by independent state based experts.</v>
      </c>
      <c r="E26" s="34" t="s">
        <v>448</v>
      </c>
      <c r="F26" s="34" t="s">
        <v>449</v>
      </c>
      <c r="G26" s="34" t="s">
        <v>483</v>
      </c>
      <c r="H26" s="34" t="s">
        <v>488</v>
      </c>
      <c r="I26" s="34" t="s">
        <v>452</v>
      </c>
      <c r="J26" s="34" t="s">
        <v>332</v>
      </c>
      <c r="K26" s="34" t="s">
        <v>453</v>
      </c>
    </row>
    <row r="27" spans="1:11" ht="132.75" thickBot="1">
      <c r="A27" s="867"/>
      <c r="B27" s="881"/>
      <c r="C27" s="127" t="s">
        <v>333</v>
      </c>
      <c r="D27" s="34" t="s">
        <v>339</v>
      </c>
      <c r="E27" s="34" t="s">
        <v>340</v>
      </c>
      <c r="F27" s="34" t="s">
        <v>489</v>
      </c>
      <c r="G27" s="34" t="s">
        <v>490</v>
      </c>
      <c r="H27" s="34" t="s">
        <v>491</v>
      </c>
      <c r="I27" s="34" t="s">
        <v>341</v>
      </c>
      <c r="J27" s="34" t="s">
        <v>334</v>
      </c>
      <c r="K27" s="34" t="s">
        <v>342</v>
      </c>
    </row>
    <row r="28" spans="1:11" ht="12.75" thickBot="1">
      <c r="A28" s="867"/>
      <c r="B28" s="3" t="s">
        <v>39</v>
      </c>
      <c r="C28" s="126"/>
      <c r="D28" s="3"/>
      <c r="E28" s="3"/>
      <c r="F28" s="3"/>
      <c r="G28" s="3"/>
      <c r="H28" s="3"/>
      <c r="I28" s="3"/>
      <c r="J28" s="3"/>
      <c r="K28" s="3"/>
    </row>
    <row r="29" spans="1:11" ht="72.75" thickBot="1">
      <c r="A29" s="867"/>
      <c r="B29" s="134" t="str">
        <f>'LF-Enugu'!B55</f>
        <v>Cumulative number of demonstrable changes in policy and implementation (behavioural change, policy change and change in practice) by state government in response to public demand where there is evidence of attribution to SAVI's approach, a number of which:</v>
      </c>
      <c r="C29" s="870" t="s">
        <v>331</v>
      </c>
      <c r="D29" s="879" t="str">
        <f>'LF-Enugu'!D59</f>
        <v>SAVI case studies: of ‘headline’ results directly and indirectly attributable to SAVI.</v>
      </c>
      <c r="E29" s="855" t="s">
        <v>344</v>
      </c>
      <c r="F29" s="855" t="s">
        <v>492</v>
      </c>
      <c r="G29" s="855" t="s">
        <v>493</v>
      </c>
      <c r="H29" s="855" t="s">
        <v>494</v>
      </c>
      <c r="I29" s="855" t="s">
        <v>345</v>
      </c>
      <c r="J29" s="855" t="s">
        <v>332</v>
      </c>
      <c r="K29" s="855" t="s">
        <v>343</v>
      </c>
    </row>
    <row r="30" spans="1:11" ht="24.75" thickBot="1">
      <c r="A30" s="867"/>
      <c r="B30" s="131" t="str">
        <f>'LF-Enugu'!B57</f>
        <v>a). reflect the voice of women and other socially excluded groups,</v>
      </c>
      <c r="C30" s="871"/>
      <c r="D30" s="880"/>
      <c r="E30" s="856"/>
      <c r="F30" s="856"/>
      <c r="G30" s="856"/>
      <c r="H30" s="856"/>
      <c r="I30" s="856"/>
      <c r="J30" s="856"/>
      <c r="K30" s="856"/>
    </row>
    <row r="31" spans="1:11" ht="36.75" thickBot="1">
      <c r="A31" s="867"/>
      <c r="B31" s="131" t="str">
        <f>'LF-Enugu'!B58</f>
        <v xml:space="preserve">b). are not directly attributable to SAVI support (result from replication of the approach by partners and others), and </v>
      </c>
      <c r="C31" s="871"/>
      <c r="D31" s="880"/>
      <c r="E31" s="856"/>
      <c r="F31" s="856"/>
      <c r="G31" s="856"/>
      <c r="H31" s="856"/>
      <c r="I31" s="856"/>
      <c r="J31" s="856"/>
      <c r="K31" s="856"/>
    </row>
    <row r="32" spans="1:11" ht="12.75" thickBot="1">
      <c r="A32" s="867"/>
      <c r="B32" s="131" t="str">
        <f>'LF-Enugu'!B59</f>
        <v>c). happen outside of SAVI states.</v>
      </c>
      <c r="C32" s="872"/>
      <c r="D32" s="881"/>
      <c r="E32" s="857"/>
      <c r="F32" s="857"/>
      <c r="G32" s="857"/>
      <c r="H32" s="857"/>
      <c r="I32" s="857"/>
      <c r="J32" s="857"/>
      <c r="K32" s="857"/>
    </row>
    <row r="33" spans="1:11" ht="180.75" thickBot="1">
      <c r="A33" s="867"/>
      <c r="B33" s="132"/>
      <c r="C33" s="127" t="s">
        <v>333</v>
      </c>
      <c r="D33" s="34" t="s">
        <v>495</v>
      </c>
      <c r="E33" s="34" t="s">
        <v>346</v>
      </c>
      <c r="F33" s="34" t="s">
        <v>347</v>
      </c>
      <c r="G33" s="34" t="s">
        <v>348</v>
      </c>
      <c r="H33" s="34" t="s">
        <v>496</v>
      </c>
      <c r="I33" s="34" t="s">
        <v>349</v>
      </c>
      <c r="J33" s="34" t="s">
        <v>334</v>
      </c>
      <c r="K33" s="34" t="s">
        <v>342</v>
      </c>
    </row>
    <row r="34" spans="1:11" ht="12.75" thickBot="1">
      <c r="A34" s="7" t="s">
        <v>11</v>
      </c>
      <c r="B34" s="3" t="s">
        <v>16</v>
      </c>
      <c r="C34" s="126"/>
      <c r="D34" s="3"/>
      <c r="E34" s="3"/>
      <c r="F34" s="3"/>
      <c r="G34" s="3"/>
      <c r="H34" s="3"/>
      <c r="I34" s="3"/>
      <c r="J34" s="3"/>
      <c r="K34" s="3"/>
    </row>
    <row r="35" spans="1:11" ht="144.75" thickBot="1">
      <c r="A35" s="866" t="str">
        <f>'LF-Enugu'!A67</f>
        <v>Civil society demonstrates a replicable and sustainable approach to issue-based policy advocacy and monitoring.</v>
      </c>
      <c r="B35" s="868" t="str">
        <f>'LF-Enugu'!B67</f>
        <v>Level of strength of civil society partnerships in terms of their internal capacity, external relations and skills in policy advocacy and monitoring.</v>
      </c>
      <c r="C35" s="127" t="s">
        <v>331</v>
      </c>
      <c r="D35" s="128" t="str">
        <f>'LF-Enugu'!D70</f>
        <v>Annual civil society partnership capacity self-assessments (CS-PCAs); previously organisational capacity self-assessments (CS-OCAs) were used to establish a baseline.</v>
      </c>
      <c r="E35" s="34" t="s">
        <v>497</v>
      </c>
      <c r="F35" s="34" t="s">
        <v>498</v>
      </c>
      <c r="G35" s="34" t="s">
        <v>356</v>
      </c>
      <c r="H35" s="34" t="s">
        <v>499</v>
      </c>
      <c r="I35" s="34" t="s">
        <v>500</v>
      </c>
      <c r="J35" s="34" t="s">
        <v>501</v>
      </c>
      <c r="K35" s="34" t="s">
        <v>353</v>
      </c>
    </row>
    <row r="36" spans="1:11" ht="108.75" thickBot="1">
      <c r="A36" s="866"/>
      <c r="B36" s="869"/>
      <c r="C36" s="127" t="s">
        <v>333</v>
      </c>
      <c r="D36" s="34" t="s">
        <v>350</v>
      </c>
      <c r="E36" s="34" t="s">
        <v>355</v>
      </c>
      <c r="F36" s="34" t="s">
        <v>351</v>
      </c>
      <c r="G36" s="34" t="e">
        <v>#NAME?</v>
      </c>
      <c r="H36" s="34" t="s">
        <v>499</v>
      </c>
      <c r="I36" s="34" t="s">
        <v>502</v>
      </c>
      <c r="J36" s="34" t="s">
        <v>370</v>
      </c>
      <c r="K36" s="34" t="s">
        <v>352</v>
      </c>
    </row>
    <row r="37" spans="1:11" ht="12.75" thickBot="1">
      <c r="A37" s="866"/>
      <c r="B37" s="3" t="s">
        <v>17</v>
      </c>
      <c r="C37" s="126"/>
      <c r="D37" s="3"/>
      <c r="E37" s="3"/>
      <c r="F37" s="3"/>
      <c r="G37" s="3"/>
      <c r="H37" s="3"/>
      <c r="I37" s="3"/>
      <c r="J37" s="3"/>
      <c r="K37" s="3"/>
    </row>
    <row r="38" spans="1:11" ht="144.75" thickBot="1">
      <c r="A38" s="866"/>
      <c r="B38" s="868" t="str">
        <f>'LF-Enugu'!B72</f>
        <v>Level of independence / dependence of civil society partnerships on SAVI support.</v>
      </c>
      <c r="C38" s="127" t="s">
        <v>331</v>
      </c>
      <c r="D38" s="128" t="str">
        <f>'LF-Enugu'!D75</f>
        <v>Annual civil society partnership capacity self-assessments (CS-PCAs), retrospectively used to establish a baseline.</v>
      </c>
      <c r="E38" s="34" t="s">
        <v>497</v>
      </c>
      <c r="F38" s="34" t="s">
        <v>498</v>
      </c>
      <c r="G38" s="34" t="s">
        <v>356</v>
      </c>
      <c r="H38" s="34" t="s">
        <v>503</v>
      </c>
      <c r="I38" s="34" t="s">
        <v>504</v>
      </c>
      <c r="J38" s="34" t="s">
        <v>501</v>
      </c>
      <c r="K38" s="34" t="s">
        <v>353</v>
      </c>
    </row>
    <row r="39" spans="1:11" ht="108.75" thickBot="1">
      <c r="A39" s="866"/>
      <c r="B39" s="869"/>
      <c r="C39" s="127" t="s">
        <v>333</v>
      </c>
      <c r="D39" s="34" t="s">
        <v>350</v>
      </c>
      <c r="E39" s="34" t="s">
        <v>355</v>
      </c>
      <c r="F39" s="34" t="s">
        <v>351</v>
      </c>
      <c r="G39" s="34" t="s">
        <v>505</v>
      </c>
      <c r="H39" s="34" t="s">
        <v>506</v>
      </c>
      <c r="I39" s="34" t="s">
        <v>502</v>
      </c>
      <c r="J39" s="34" t="s">
        <v>370</v>
      </c>
      <c r="K39" s="34" t="s">
        <v>352</v>
      </c>
    </row>
    <row r="40" spans="1:11" ht="12.75" thickBot="1">
      <c r="A40" s="866"/>
      <c r="B40" s="3" t="s">
        <v>18</v>
      </c>
      <c r="C40" s="126"/>
      <c r="D40" s="3"/>
      <c r="E40" s="3"/>
      <c r="F40" s="3"/>
      <c r="G40" s="3"/>
      <c r="H40" s="3"/>
      <c r="I40" s="3"/>
      <c r="J40" s="3"/>
      <c r="K40" s="3"/>
    </row>
    <row r="41" spans="1:11" ht="180.75" thickBot="1">
      <c r="A41" s="866"/>
      <c r="B41" s="868" t="str">
        <f>'LF-Enugu'!B77</f>
        <v>Cumulative number of civil society partnerships emerging in other sub-sectors, sectors and states which have based key aspects of their approach on that of SAVI-supported partnerships.</v>
      </c>
      <c r="C41" s="127" t="s">
        <v>331</v>
      </c>
      <c r="D41" s="128" t="str">
        <f>'LF-Enugu'!D80</f>
        <v>SAVI state reports and case studies: citing ‘results / replication diaries’ and annual partnership capacity self-assessments (CS-PCAs).</v>
      </c>
      <c r="E41" s="34" t="s">
        <v>357</v>
      </c>
      <c r="F41" s="34" t="s">
        <v>358</v>
      </c>
      <c r="G41" s="34" t="s">
        <v>356</v>
      </c>
      <c r="H41" s="34" t="s">
        <v>507</v>
      </c>
      <c r="I41" s="34" t="s">
        <v>354</v>
      </c>
      <c r="J41" s="34" t="s">
        <v>508</v>
      </c>
      <c r="K41" s="34" t="s">
        <v>353</v>
      </c>
    </row>
    <row r="42" spans="1:11" ht="108.75" thickBot="1">
      <c r="A42" s="866"/>
      <c r="B42" s="869"/>
      <c r="C42" s="127" t="s">
        <v>333</v>
      </c>
      <c r="D42" s="34" t="s">
        <v>350</v>
      </c>
      <c r="E42" s="34" t="s">
        <v>355</v>
      </c>
      <c r="F42" s="34" t="s">
        <v>351</v>
      </c>
      <c r="G42" s="34" t="s">
        <v>505</v>
      </c>
      <c r="H42" s="34" t="s">
        <v>507</v>
      </c>
      <c r="I42" s="34" t="s">
        <v>502</v>
      </c>
      <c r="J42" s="34" t="s">
        <v>509</v>
      </c>
      <c r="K42" s="34" t="s">
        <v>352</v>
      </c>
    </row>
    <row r="43" spans="1:11" ht="12.75" thickBot="1">
      <c r="A43" s="15" t="s">
        <v>15</v>
      </c>
      <c r="B43" s="3" t="s">
        <v>19</v>
      </c>
      <c r="C43" s="126"/>
      <c r="D43" s="3"/>
      <c r="E43" s="3"/>
      <c r="F43" s="3"/>
      <c r="G43" s="3"/>
      <c r="H43" s="3"/>
      <c r="I43" s="3"/>
      <c r="J43" s="3"/>
      <c r="K43" s="3"/>
    </row>
    <row r="44" spans="1:11" ht="144.75" thickBot="1">
      <c r="A44" s="882" t="str">
        <f>'LF-Enugu'!A88</f>
        <v>Civil society demonstrates a replicable and sustainable approach to facilitating public involvement in government budget and planning processes.</v>
      </c>
      <c r="B44" s="868" t="str">
        <f>'LF-Enugu'!B88</f>
        <v>Level of strength of civil society partnerships in terms of their internal capacity, external relations and skills in facilitating public involvement in government budget and planning processes.</v>
      </c>
      <c r="C44" s="127" t="s">
        <v>331</v>
      </c>
      <c r="D44" s="128" t="str">
        <f>'LF-Enugu'!D91</f>
        <v>Annual civil society partnership capacity self-assessments (CS-PCAs); previously organisational capacity self-assessments (CS-OCAs) were used to establish a baseline.</v>
      </c>
      <c r="E44" s="34" t="s">
        <v>510</v>
      </c>
      <c r="F44" s="34" t="s">
        <v>498</v>
      </c>
      <c r="G44" s="34" t="s">
        <v>356</v>
      </c>
      <c r="H44" s="34" t="s">
        <v>511</v>
      </c>
      <c r="I44" s="34" t="s">
        <v>500</v>
      </c>
      <c r="J44" s="34" t="s">
        <v>501</v>
      </c>
      <c r="K44" s="34" t="s">
        <v>353</v>
      </c>
    </row>
    <row r="45" spans="1:11" ht="108.75" thickBot="1">
      <c r="A45" s="867"/>
      <c r="B45" s="869"/>
      <c r="C45" s="127" t="s">
        <v>333</v>
      </c>
      <c r="D45" s="34" t="s">
        <v>350</v>
      </c>
      <c r="E45" s="34" t="s">
        <v>355</v>
      </c>
      <c r="F45" s="34" t="s">
        <v>351</v>
      </c>
      <c r="G45" s="34" t="s">
        <v>505</v>
      </c>
      <c r="H45" s="34" t="s">
        <v>512</v>
      </c>
      <c r="I45" s="34" t="s">
        <v>502</v>
      </c>
      <c r="J45" s="34" t="s">
        <v>370</v>
      </c>
      <c r="K45" s="34" t="s">
        <v>352</v>
      </c>
    </row>
    <row r="46" spans="1:11" ht="12.75" thickBot="1">
      <c r="A46" s="867"/>
      <c r="B46" s="3" t="s">
        <v>20</v>
      </c>
      <c r="C46" s="126"/>
      <c r="D46" s="3"/>
      <c r="E46" s="3"/>
      <c r="F46" s="3"/>
      <c r="G46" s="3"/>
      <c r="H46" s="3"/>
      <c r="I46" s="3"/>
      <c r="J46" s="3"/>
      <c r="K46" s="3"/>
    </row>
    <row r="47" spans="1:11" ht="144.75" thickBot="1">
      <c r="A47" s="867"/>
      <c r="B47" s="868" t="str">
        <f>'LF-Enugu'!B93</f>
        <v>Level of independence / dependence of civil society partnerships on SAVI support.</v>
      </c>
      <c r="C47" s="127" t="s">
        <v>331</v>
      </c>
      <c r="D47" s="128" t="str">
        <f>'LF-Enugu'!D96</f>
        <v>Annual civil society partnership capacity self-assessments (CS-PCAs), retrospectively used to establish a baseline.</v>
      </c>
      <c r="E47" s="34" t="s">
        <v>510</v>
      </c>
      <c r="F47" s="34" t="s">
        <v>498</v>
      </c>
      <c r="G47" s="34" t="s">
        <v>356</v>
      </c>
      <c r="H47" s="34" t="s">
        <v>513</v>
      </c>
      <c r="I47" s="34" t="s">
        <v>504</v>
      </c>
      <c r="J47" s="34" t="s">
        <v>501</v>
      </c>
      <c r="K47" s="34" t="s">
        <v>353</v>
      </c>
    </row>
    <row r="48" spans="1:11" ht="108.75" thickBot="1">
      <c r="A48" s="867"/>
      <c r="B48" s="869"/>
      <c r="C48" s="127" t="s">
        <v>333</v>
      </c>
      <c r="D48" s="34" t="s">
        <v>350</v>
      </c>
      <c r="E48" s="34" t="s">
        <v>355</v>
      </c>
      <c r="F48" s="34" t="s">
        <v>351</v>
      </c>
      <c r="G48" s="34" t="s">
        <v>505</v>
      </c>
      <c r="H48" s="34" t="s">
        <v>514</v>
      </c>
      <c r="I48" s="34" t="s">
        <v>502</v>
      </c>
      <c r="J48" s="34" t="s">
        <v>370</v>
      </c>
      <c r="K48" s="34" t="s">
        <v>352</v>
      </c>
    </row>
    <row r="49" spans="1:11" ht="12.75" thickBot="1">
      <c r="A49" s="867"/>
      <c r="B49" s="3" t="s">
        <v>21</v>
      </c>
      <c r="C49" s="126"/>
      <c r="D49" s="3"/>
      <c r="E49" s="3"/>
      <c r="F49" s="3"/>
      <c r="G49" s="3"/>
      <c r="H49" s="3"/>
      <c r="I49" s="3"/>
      <c r="J49" s="3"/>
      <c r="K49" s="3"/>
    </row>
    <row r="50" spans="1:11" ht="180.75" thickBot="1">
      <c r="A50" s="867"/>
      <c r="B50" s="883" t="str">
        <f>'LF-Enugu'!B98</f>
        <v>Cumulative number of issue-based civil society partnerships supported by these budget and planning process partnerships through replication of key aspects of their approaches to facilitating public involvement.</v>
      </c>
      <c r="C50" s="127" t="s">
        <v>331</v>
      </c>
      <c r="D50" s="128" t="str">
        <f>'LF-Enugu'!D101</f>
        <v>SAVI state reports and case studies: citing ‘results / replication diaries’ and annual partnership capacity self-assessments (CS-PCAs).</v>
      </c>
      <c r="E50" s="34" t="s">
        <v>357</v>
      </c>
      <c r="F50" s="34" t="s">
        <v>358</v>
      </c>
      <c r="G50" s="34" t="s">
        <v>356</v>
      </c>
      <c r="H50" s="34" t="s">
        <v>515</v>
      </c>
      <c r="I50" s="34" t="s">
        <v>354</v>
      </c>
      <c r="J50" s="34" t="s">
        <v>508</v>
      </c>
      <c r="K50" s="34" t="s">
        <v>353</v>
      </c>
    </row>
    <row r="51" spans="1:11" ht="108.75" thickBot="1">
      <c r="A51" s="867"/>
      <c r="B51" s="881"/>
      <c r="C51" s="127" t="s">
        <v>333</v>
      </c>
      <c r="D51" s="34" t="s">
        <v>350</v>
      </c>
      <c r="E51" s="34" t="s">
        <v>355</v>
      </c>
      <c r="F51" s="34" t="s">
        <v>351</v>
      </c>
      <c r="G51" s="34" t="s">
        <v>505</v>
      </c>
      <c r="H51" s="34" t="s">
        <v>516</v>
      </c>
      <c r="I51" s="34" t="s">
        <v>502</v>
      </c>
      <c r="J51" s="34" t="s">
        <v>509</v>
      </c>
      <c r="K51" s="34" t="s">
        <v>352</v>
      </c>
    </row>
    <row r="52" spans="1:11" ht="12.75" thickBot="1">
      <c r="A52" s="7" t="s">
        <v>26</v>
      </c>
      <c r="B52" s="3" t="s">
        <v>29</v>
      </c>
      <c r="C52" s="126"/>
      <c r="D52" s="3"/>
      <c r="E52" s="3"/>
      <c r="F52" s="3"/>
      <c r="G52" s="3"/>
      <c r="H52" s="3"/>
      <c r="I52" s="3"/>
      <c r="J52" s="3"/>
      <c r="K52" s="3"/>
    </row>
    <row r="53" spans="1:11" ht="84.75" thickBot="1">
      <c r="A53" s="882" t="str">
        <f>'LF-Enugu'!A109</f>
        <v>More open and inclusive systems of communication and improved understanding between citizens, CS, media, SHoA and government.</v>
      </c>
      <c r="B53" s="135" t="str">
        <f>'LF-Enugu'!B109</f>
        <v>Cumulative number of partnerships supported by SAVI (for demonstration) and by local partners (for replication) under all five Outputs progressively supported by the leadership in civil society, the media, state houses of assembly and government: i.e:
a). permitting &gt;</v>
      </c>
      <c r="C53" s="870" t="s">
        <v>331</v>
      </c>
      <c r="D53" s="879" t="str">
        <f>'LF-Enugu'!D113</f>
        <v>Supplement to annual partnership capacity self-assessments (CS-PCAs), prior to which org. capacity self-assessments (CS-OCAs) were used to establish a baseline.</v>
      </c>
      <c r="E53" s="855" t="s">
        <v>517</v>
      </c>
      <c r="F53" s="855" t="s">
        <v>518</v>
      </c>
      <c r="G53" s="855" t="s">
        <v>519</v>
      </c>
      <c r="H53" s="855" t="s">
        <v>520</v>
      </c>
      <c r="I53" s="855" t="s">
        <v>521</v>
      </c>
      <c r="J53" s="855" t="s">
        <v>359</v>
      </c>
      <c r="K53" s="855" t="s">
        <v>360</v>
      </c>
    </row>
    <row r="54" spans="1:11" ht="12.75" thickBot="1">
      <c r="A54" s="882"/>
      <c r="B54" s="131" t="str">
        <f>'LF-Enugu'!B111</f>
        <v xml:space="preserve">b). facilitating &gt; </v>
      </c>
      <c r="C54" s="871"/>
      <c r="D54" s="880"/>
      <c r="E54" s="856"/>
      <c r="F54" s="856"/>
      <c r="G54" s="856"/>
      <c r="H54" s="856"/>
      <c r="I54" s="856"/>
      <c r="J54" s="856"/>
      <c r="K54" s="856"/>
    </row>
    <row r="55" spans="1:11" ht="12.75" thickBot="1">
      <c r="A55" s="882"/>
      <c r="B55" s="131" t="str">
        <f>'LF-Enugu'!B112</f>
        <v>c). promoting &gt;</v>
      </c>
      <c r="C55" s="871"/>
      <c r="D55" s="880"/>
      <c r="E55" s="856"/>
      <c r="F55" s="856"/>
      <c r="G55" s="856"/>
      <c r="H55" s="856"/>
      <c r="I55" s="856"/>
      <c r="J55" s="856"/>
      <c r="K55" s="856"/>
    </row>
    <row r="56" spans="1:11" ht="24.75" thickBot="1">
      <c r="A56" s="882"/>
      <c r="B56" s="131" t="str">
        <f>'LF-Enugu'!B113</f>
        <v>d). institutionalising their subordinates participation.</v>
      </c>
      <c r="C56" s="872"/>
      <c r="D56" s="881"/>
      <c r="E56" s="857"/>
      <c r="F56" s="857"/>
      <c r="G56" s="857"/>
      <c r="H56" s="857"/>
      <c r="I56" s="857"/>
      <c r="J56" s="857"/>
      <c r="K56" s="857"/>
    </row>
    <row r="57" spans="1:11" ht="108.75" thickBot="1">
      <c r="A57" s="882"/>
      <c r="B57" s="132"/>
      <c r="C57" s="127" t="s">
        <v>333</v>
      </c>
      <c r="D57" s="34" t="s">
        <v>361</v>
      </c>
      <c r="E57" s="34" t="s">
        <v>362</v>
      </c>
      <c r="F57" s="34" t="s">
        <v>363</v>
      </c>
      <c r="G57" s="34" t="s">
        <v>519</v>
      </c>
      <c r="H57" s="34" t="s">
        <v>522</v>
      </c>
      <c r="I57" s="34" t="s">
        <v>364</v>
      </c>
      <c r="J57" s="34" t="s">
        <v>365</v>
      </c>
      <c r="K57" s="34" t="s">
        <v>366</v>
      </c>
    </row>
    <row r="58" spans="1:11" ht="12.75" thickBot="1">
      <c r="A58" s="882"/>
      <c r="B58" s="3" t="s">
        <v>30</v>
      </c>
      <c r="C58" s="126"/>
      <c r="D58" s="3"/>
      <c r="E58" s="3"/>
      <c r="F58" s="3"/>
      <c r="G58" s="3"/>
      <c r="H58" s="3"/>
      <c r="I58" s="3"/>
      <c r="J58" s="3"/>
      <c r="K58" s="3"/>
    </row>
    <row r="59" spans="1:11" ht="72.75" thickBot="1">
      <c r="A59" s="882"/>
      <c r="B59" s="135" t="str">
        <f>'LF-Enugu'!B115</f>
        <v>Cumulative number of partnerships supported by SAVI (for demonstration) and by local partners (for replication) under all five Outputs progressively including the voice of women and other socially excluded groups: i.e:
a). permitting &gt;</v>
      </c>
      <c r="C59" s="870" t="s">
        <v>331</v>
      </c>
      <c r="D59" s="879" t="str">
        <f>'LF-Enugu'!D119</f>
        <v>Supplement to annual partnership capacity self-assessments (CS-PCAs), prior to which org. capacity self-assessments (CS-OCAs) were used to establish a baseline.</v>
      </c>
      <c r="E59" s="855" t="s">
        <v>517</v>
      </c>
      <c r="F59" s="855" t="s">
        <v>523</v>
      </c>
      <c r="G59" s="855" t="s">
        <v>524</v>
      </c>
      <c r="H59" s="855" t="s">
        <v>525</v>
      </c>
      <c r="I59" s="855" t="s">
        <v>521</v>
      </c>
      <c r="J59" s="855" t="s">
        <v>359</v>
      </c>
      <c r="K59" s="855" t="s">
        <v>367</v>
      </c>
    </row>
    <row r="60" spans="1:11" ht="12.75" thickBot="1">
      <c r="A60" s="882"/>
      <c r="B60" s="131" t="str">
        <f>'LF-Enugu'!B117</f>
        <v xml:space="preserve">b). facilitating &gt; </v>
      </c>
      <c r="C60" s="871"/>
      <c r="D60" s="880"/>
      <c r="E60" s="856"/>
      <c r="F60" s="856"/>
      <c r="G60" s="856"/>
      <c r="H60" s="856"/>
      <c r="I60" s="856"/>
      <c r="J60" s="856"/>
      <c r="K60" s="856"/>
    </row>
    <row r="61" spans="1:11" ht="12.75" thickBot="1">
      <c r="A61" s="882"/>
      <c r="B61" s="131" t="str">
        <f>'LF-Enugu'!B118</f>
        <v>c). promoting &gt;</v>
      </c>
      <c r="C61" s="871"/>
      <c r="D61" s="880"/>
      <c r="E61" s="856"/>
      <c r="F61" s="856"/>
      <c r="G61" s="856"/>
      <c r="H61" s="856"/>
      <c r="I61" s="856"/>
      <c r="J61" s="856"/>
      <c r="K61" s="856"/>
    </row>
    <row r="62" spans="1:11" ht="12.75" thickBot="1">
      <c r="A62" s="882"/>
      <c r="B62" s="131" t="str">
        <f>'LF-Enugu'!B119</f>
        <v>d). institutionalising their inclusion.</v>
      </c>
      <c r="C62" s="872"/>
      <c r="D62" s="881"/>
      <c r="E62" s="857"/>
      <c r="F62" s="857"/>
      <c r="G62" s="857"/>
      <c r="H62" s="857"/>
      <c r="I62" s="857"/>
      <c r="J62" s="857"/>
      <c r="K62" s="857"/>
    </row>
    <row r="63" spans="1:11" ht="264.75" thickBot="1">
      <c r="A63" s="882"/>
      <c r="B63" s="132"/>
      <c r="C63" s="127" t="s">
        <v>333</v>
      </c>
      <c r="D63" s="34" t="s">
        <v>368</v>
      </c>
      <c r="E63" s="34" t="s">
        <v>362</v>
      </c>
      <c r="F63" s="34" t="s">
        <v>363</v>
      </c>
      <c r="G63" s="34" t="s">
        <v>526</v>
      </c>
      <c r="H63" s="34" t="s">
        <v>525</v>
      </c>
      <c r="I63" s="34" t="s">
        <v>369</v>
      </c>
      <c r="J63" s="34" t="s">
        <v>370</v>
      </c>
      <c r="K63" s="34" t="s">
        <v>366</v>
      </c>
    </row>
    <row r="64" spans="1:11" ht="12.75" thickBot="1">
      <c r="A64" s="882"/>
      <c r="B64" s="3" t="s">
        <v>31</v>
      </c>
      <c r="C64" s="126"/>
      <c r="D64" s="3"/>
      <c r="E64" s="3"/>
      <c r="F64" s="3"/>
      <c r="G64" s="3"/>
      <c r="H64" s="3"/>
      <c r="I64" s="3"/>
      <c r="J64" s="3"/>
      <c r="K64" s="3"/>
    </row>
    <row r="65" spans="1:11" ht="60.75" thickBot="1">
      <c r="A65" s="882"/>
      <c r="B65" s="135" t="str">
        <f>'LF-Enugu'!B121</f>
        <v>Extent of public understanding of the expected roles and responsibilities of civil society, the media, state houses of assembly, government and citizens in improving voice and accountability:
a). among SAVI's local partners,</v>
      </c>
      <c r="C65" s="870" t="s">
        <v>331</v>
      </c>
      <c r="D65" s="879" t="str">
        <f>'LF-Enugu'!D125</f>
        <v>Annual appraisal of self-administered monitoring of the effectiveness of their own ‘civic education’ programmes (audience surveys) by SAVI’s civil society/media partners – triangulated with NOI Polls/IMEP Citizens Perceptions Surveys, SEAT reports generated by SPARC, and any national statistics on ‘civic education’.</v>
      </c>
      <c r="E65" s="855" t="s">
        <v>371</v>
      </c>
      <c r="F65" s="855" t="s">
        <v>372</v>
      </c>
      <c r="G65" s="855" t="s">
        <v>373</v>
      </c>
      <c r="H65" s="855" t="s">
        <v>527</v>
      </c>
      <c r="I65" s="855" t="s">
        <v>528</v>
      </c>
      <c r="J65" s="855" t="s">
        <v>374</v>
      </c>
      <c r="K65" s="855" t="s">
        <v>375</v>
      </c>
    </row>
    <row r="66" spans="1:11" ht="12.75" thickBot="1">
      <c r="A66" s="882"/>
      <c r="B66" s="131" t="str">
        <f>'LF-Enugu'!B125</f>
        <v>b). among state citizens.</v>
      </c>
      <c r="C66" s="872"/>
      <c r="D66" s="881"/>
      <c r="E66" s="857"/>
      <c r="F66" s="857"/>
      <c r="G66" s="857"/>
      <c r="H66" s="857"/>
      <c r="I66" s="857"/>
      <c r="J66" s="857"/>
      <c r="K66" s="857"/>
    </row>
    <row r="67" spans="1:11" ht="132.75" thickBot="1">
      <c r="A67" s="882"/>
      <c r="B67" s="132"/>
      <c r="C67" s="127" t="s">
        <v>333</v>
      </c>
      <c r="D67" s="34" t="s">
        <v>376</v>
      </c>
      <c r="E67" s="34" t="s">
        <v>377</v>
      </c>
      <c r="F67" s="34" t="s">
        <v>363</v>
      </c>
      <c r="G67" s="34" t="s">
        <v>382</v>
      </c>
      <c r="H67" s="34" t="s">
        <v>529</v>
      </c>
      <c r="I67" s="34" t="s">
        <v>378</v>
      </c>
      <c r="J67" s="34" t="s">
        <v>365</v>
      </c>
      <c r="K67" s="34" t="s">
        <v>366</v>
      </c>
    </row>
    <row r="68" spans="1:11" ht="12.75" thickBot="1">
      <c r="A68" s="882"/>
      <c r="B68" s="3" t="s">
        <v>40</v>
      </c>
      <c r="C68" s="126"/>
      <c r="D68" s="3"/>
      <c r="E68" s="3"/>
      <c r="F68" s="3"/>
      <c r="G68" s="3"/>
      <c r="H68" s="3"/>
      <c r="I68" s="3"/>
      <c r="J68" s="3"/>
      <c r="K68" s="3"/>
    </row>
    <row r="69" spans="1:11" ht="132.75" thickBot="1">
      <c r="A69" s="882"/>
      <c r="B69" s="879" t="str">
        <f>'LF-Enugu'!B127</f>
        <v>Level of strength of SAVI supported media partners in terms of their internal capacity, external relations and programming skills in support of local partners achievement of their objectives under all five Outputs.</v>
      </c>
      <c r="C69" s="127" t="s">
        <v>331</v>
      </c>
      <c r="D69" s="128" t="str">
        <f>'LF-Enugu'!D130</f>
        <v>Annual Media organisational capacity self-assessments (Media-OCAs) triangulated with SAVI ‘media-watch’.</v>
      </c>
      <c r="E69" s="34" t="s">
        <v>530</v>
      </c>
      <c r="F69" s="34" t="s">
        <v>531</v>
      </c>
      <c r="G69" s="34" t="s">
        <v>519</v>
      </c>
      <c r="H69" s="34" t="s">
        <v>532</v>
      </c>
      <c r="I69" s="34" t="s">
        <v>533</v>
      </c>
      <c r="J69" s="34" t="s">
        <v>383</v>
      </c>
      <c r="K69" s="34" t="s">
        <v>379</v>
      </c>
    </row>
    <row r="70" spans="1:11" ht="132.75" thickBot="1">
      <c r="A70" s="867"/>
      <c r="B70" s="881"/>
      <c r="C70" s="127" t="s">
        <v>333</v>
      </c>
      <c r="D70" s="34" t="s">
        <v>380</v>
      </c>
      <c r="E70" s="34" t="s">
        <v>381</v>
      </c>
      <c r="F70" s="34" t="s">
        <v>363</v>
      </c>
      <c r="G70" s="34" t="s">
        <v>382</v>
      </c>
      <c r="H70" s="34" t="s">
        <v>534</v>
      </c>
      <c r="I70" s="34" t="s">
        <v>378</v>
      </c>
      <c r="J70" s="34" t="s">
        <v>383</v>
      </c>
      <c r="K70" s="34" t="s">
        <v>379</v>
      </c>
    </row>
    <row r="71" spans="1:11" ht="12.75" thickBot="1">
      <c r="A71" s="7" t="s">
        <v>28</v>
      </c>
      <c r="B71" s="3" t="s">
        <v>32</v>
      </c>
      <c r="C71" s="126"/>
      <c r="D71" s="3"/>
      <c r="E71" s="136"/>
      <c r="F71" s="136"/>
      <c r="G71" s="3"/>
      <c r="H71" s="3"/>
      <c r="I71" s="3"/>
      <c r="J71" s="3"/>
      <c r="K71" s="3"/>
    </row>
    <row r="72" spans="1:11" ht="144.75" thickBot="1">
      <c r="A72" s="882" t="str">
        <f>'LF-Enugu'!A138</f>
        <v>Improved systems of transparency, public engagement and financial oversight in state houses of assembly.</v>
      </c>
      <c r="B72" s="868" t="str">
        <f>'LF-Enugu'!B138</f>
        <v>Level of quality of systems for recruitment and retention of house support staff and aides.</v>
      </c>
      <c r="C72" s="127" t="s">
        <v>331</v>
      </c>
      <c r="D72" s="128" t="str">
        <f>'LF-Enugu'!D141</f>
        <v>Annual state house of assembly organisational capacity self-assessments (SHoA-OCAs).</v>
      </c>
      <c r="E72" s="34" t="s">
        <v>535</v>
      </c>
      <c r="F72" s="34" t="s">
        <v>536</v>
      </c>
      <c r="G72" s="34" t="s">
        <v>356</v>
      </c>
      <c r="H72" s="34" t="s">
        <v>537</v>
      </c>
      <c r="I72" s="34" t="s">
        <v>538</v>
      </c>
      <c r="J72" s="34" t="s">
        <v>501</v>
      </c>
      <c r="K72" s="34" t="s">
        <v>384</v>
      </c>
    </row>
    <row r="73" spans="1:11" ht="120.75" thickBot="1">
      <c r="A73" s="882"/>
      <c r="B73" s="869"/>
      <c r="C73" s="127" t="s">
        <v>333</v>
      </c>
      <c r="D73" s="34" t="s">
        <v>385</v>
      </c>
      <c r="E73" s="133" t="s">
        <v>386</v>
      </c>
      <c r="F73" s="112" t="s">
        <v>387</v>
      </c>
      <c r="G73" s="137" t="s">
        <v>388</v>
      </c>
      <c r="H73" s="34" t="s">
        <v>537</v>
      </c>
      <c r="I73" s="34" t="s">
        <v>539</v>
      </c>
      <c r="J73" s="34" t="s">
        <v>389</v>
      </c>
      <c r="K73" s="34" t="s">
        <v>384</v>
      </c>
    </row>
    <row r="74" spans="1:11" ht="12.75" thickBot="1">
      <c r="A74" s="882"/>
      <c r="B74" s="3" t="s">
        <v>33</v>
      </c>
      <c r="C74" s="126"/>
      <c r="D74" s="3"/>
      <c r="E74" s="3"/>
      <c r="F74" s="3"/>
      <c r="G74" s="3"/>
      <c r="H74" s="3"/>
      <c r="I74" s="3"/>
      <c r="J74" s="3"/>
      <c r="K74" s="3"/>
    </row>
    <row r="75" spans="1:11" ht="144.75" thickBot="1">
      <c r="A75" s="882"/>
      <c r="B75" s="887" t="str">
        <f>'LF-Enugu'!B143</f>
        <v>Level of quality of systems for induction and monitoring of compliance with house rules &amp; procedures.</v>
      </c>
      <c r="C75" s="127" t="s">
        <v>331</v>
      </c>
      <c r="D75" s="128" t="str">
        <f>'LF-Enugu'!D146</f>
        <v>Annual state house of assembly organisational capacity self-assessments (SHoA-OCAs).</v>
      </c>
      <c r="E75" s="34" t="s">
        <v>535</v>
      </c>
      <c r="F75" s="34" t="s">
        <v>536</v>
      </c>
      <c r="G75" s="34" t="s">
        <v>356</v>
      </c>
      <c r="H75" s="34" t="s">
        <v>540</v>
      </c>
      <c r="I75" s="34" t="s">
        <v>538</v>
      </c>
      <c r="J75" s="34" t="s">
        <v>501</v>
      </c>
      <c r="K75" s="34" t="s">
        <v>384</v>
      </c>
    </row>
    <row r="76" spans="1:11" ht="120.75" thickBot="1">
      <c r="A76" s="882"/>
      <c r="B76" s="869"/>
      <c r="C76" s="127" t="s">
        <v>333</v>
      </c>
      <c r="D76" s="34" t="s">
        <v>385</v>
      </c>
      <c r="E76" s="133" t="s">
        <v>386</v>
      </c>
      <c r="F76" s="112" t="s">
        <v>387</v>
      </c>
      <c r="G76" s="137" t="s">
        <v>388</v>
      </c>
      <c r="H76" s="34" t="s">
        <v>541</v>
      </c>
      <c r="I76" s="34" t="s">
        <v>539</v>
      </c>
      <c r="J76" s="34" t="s">
        <v>389</v>
      </c>
      <c r="K76" s="34" t="s">
        <v>384</v>
      </c>
    </row>
    <row r="77" spans="1:11" ht="12.75" thickBot="1">
      <c r="A77" s="886"/>
      <c r="B77" s="3" t="s">
        <v>34</v>
      </c>
      <c r="C77" s="126"/>
      <c r="D77" s="3"/>
      <c r="E77" s="3"/>
      <c r="F77" s="3"/>
      <c r="G77" s="3"/>
      <c r="H77" s="3"/>
      <c r="I77" s="3"/>
      <c r="J77" s="3"/>
      <c r="K77" s="3"/>
    </row>
    <row r="78" spans="1:11" ht="144.75" thickBot="1">
      <c r="A78" s="886"/>
      <c r="B78" s="868" t="str">
        <f>'LF-Enugu'!B148</f>
        <v>Level of quality of systems for public access to information and processes in the house and representation of public interests by members.</v>
      </c>
      <c r="C78" s="127" t="s">
        <v>331</v>
      </c>
      <c r="D78" s="149" t="str">
        <f>'LF-Enugu'!D151</f>
        <v>Annual state house of assembly organisational capacity self-assessments (SHoA-OCAs).</v>
      </c>
      <c r="E78" s="34" t="s">
        <v>535</v>
      </c>
      <c r="F78" s="34" t="s">
        <v>536</v>
      </c>
      <c r="G78" s="34" t="s">
        <v>356</v>
      </c>
      <c r="H78" s="34" t="s">
        <v>542</v>
      </c>
      <c r="I78" s="34" t="s">
        <v>538</v>
      </c>
      <c r="J78" s="34" t="s">
        <v>501</v>
      </c>
      <c r="K78" s="34" t="s">
        <v>384</v>
      </c>
    </row>
    <row r="79" spans="1:11" ht="120.75" thickBot="1">
      <c r="A79" s="886"/>
      <c r="B79" s="869"/>
      <c r="C79" s="127" t="s">
        <v>333</v>
      </c>
      <c r="D79" s="34" t="s">
        <v>385</v>
      </c>
      <c r="E79" s="133" t="s">
        <v>386</v>
      </c>
      <c r="F79" s="112" t="s">
        <v>387</v>
      </c>
      <c r="G79" s="137" t="s">
        <v>388</v>
      </c>
      <c r="H79" s="34" t="s">
        <v>542</v>
      </c>
      <c r="I79" s="34" t="s">
        <v>539</v>
      </c>
      <c r="J79" s="34" t="s">
        <v>389</v>
      </c>
      <c r="K79" s="34" t="s">
        <v>384</v>
      </c>
    </row>
    <row r="80" spans="1:11" ht="12.75" thickBot="1">
      <c r="A80" s="886"/>
      <c r="B80" s="3" t="s">
        <v>41</v>
      </c>
      <c r="C80" s="126"/>
      <c r="D80" s="3"/>
      <c r="E80" s="3"/>
      <c r="F80" s="3"/>
      <c r="G80" s="3"/>
      <c r="H80" s="3"/>
      <c r="I80" s="3"/>
      <c r="J80" s="3"/>
      <c r="K80" s="3"/>
    </row>
    <row r="81" spans="1:30" ht="144.75" thickBot="1">
      <c r="A81" s="886"/>
      <c r="B81" s="879" t="str">
        <f>'LF-Enugu'!B153</f>
        <v>Level of quality of systems for scrutinizing public financial documents in the house.</v>
      </c>
      <c r="C81" s="127" t="s">
        <v>331</v>
      </c>
      <c r="D81" s="148" t="str">
        <f>'LF-Enugu'!D156</f>
        <v>Annual state house of assembly organisational capacity self-assessments (SHoA-OCAs).</v>
      </c>
      <c r="E81" s="34" t="s">
        <v>535</v>
      </c>
      <c r="F81" s="34" t="s">
        <v>536</v>
      </c>
      <c r="G81" s="34" t="s">
        <v>356</v>
      </c>
      <c r="H81" s="34" t="s">
        <v>543</v>
      </c>
      <c r="I81" s="34" t="s">
        <v>538</v>
      </c>
      <c r="J81" s="34" t="s">
        <v>501</v>
      </c>
      <c r="K81" s="34" t="s">
        <v>384</v>
      </c>
    </row>
    <row r="82" spans="1:30" ht="120.75" thickBot="1">
      <c r="A82" s="886"/>
      <c r="B82" s="884"/>
      <c r="C82" s="127" t="s">
        <v>333</v>
      </c>
      <c r="D82" s="34" t="s">
        <v>385</v>
      </c>
      <c r="E82" s="133" t="s">
        <v>386</v>
      </c>
      <c r="F82" s="112" t="s">
        <v>387</v>
      </c>
      <c r="G82" s="137" t="s">
        <v>388</v>
      </c>
      <c r="H82" s="34" t="s">
        <v>543</v>
      </c>
      <c r="I82" s="34" t="s">
        <v>539</v>
      </c>
      <c r="J82" s="34" t="s">
        <v>389</v>
      </c>
      <c r="K82" s="34" t="s">
        <v>384</v>
      </c>
    </row>
    <row r="83" spans="1:30" ht="12.75" thickBot="1">
      <c r="A83" s="886"/>
      <c r="B83" s="3" t="s">
        <v>42</v>
      </c>
      <c r="C83" s="126"/>
      <c r="D83" s="3"/>
      <c r="E83" s="3"/>
      <c r="F83" s="3"/>
      <c r="G83" s="3"/>
      <c r="H83" s="3"/>
      <c r="I83" s="3"/>
      <c r="J83" s="3"/>
      <c r="K83" s="3"/>
    </row>
    <row r="84" spans="1:30" ht="45" customHeight="1" thickBot="1">
      <c r="A84" s="886"/>
      <c r="B84" s="130" t="str">
        <f>'LF-Enugu'!B158</f>
        <v>Cumulative number of house committees and state houses improving the quality of their systems based on approaches initially demonstrated with SAVI support:
a). house committees,</v>
      </c>
      <c r="C84" s="870" t="s">
        <v>331</v>
      </c>
      <c r="D84" s="879" t="str">
        <f>'LF-Enugu'!D162</f>
        <v>Annual state house of assembly organisational capacity self-assessments (SHoA-OCAs) and SAVI ‘results / replication diaries’ kept by state teams.</v>
      </c>
      <c r="E84" s="855" t="s">
        <v>535</v>
      </c>
      <c r="F84" s="855" t="s">
        <v>536</v>
      </c>
      <c r="G84" s="855" t="s">
        <v>356</v>
      </c>
      <c r="H84" s="855" t="s">
        <v>544</v>
      </c>
      <c r="I84" s="855" t="s">
        <v>538</v>
      </c>
      <c r="J84" s="855" t="s">
        <v>501</v>
      </c>
      <c r="K84" s="855" t="s">
        <v>384</v>
      </c>
    </row>
    <row r="85" spans="1:30" ht="66" customHeight="1" thickBot="1">
      <c r="A85" s="886"/>
      <c r="B85" s="131" t="str">
        <f>'LF-Enugu'!B161</f>
        <v>b). state houses.</v>
      </c>
      <c r="C85" s="872"/>
      <c r="D85" s="881"/>
      <c r="E85" s="857"/>
      <c r="F85" s="857"/>
      <c r="G85" s="857"/>
      <c r="H85" s="857"/>
      <c r="I85" s="857"/>
      <c r="J85" s="857"/>
      <c r="K85" s="857"/>
    </row>
    <row r="86" spans="1:30" ht="120.75" thickBot="1">
      <c r="A86" s="886"/>
      <c r="B86" s="132"/>
      <c r="C86" s="127" t="s">
        <v>333</v>
      </c>
      <c r="D86" s="34" t="s">
        <v>390</v>
      </c>
      <c r="E86" s="133" t="s">
        <v>386</v>
      </c>
      <c r="F86" s="112" t="s">
        <v>387</v>
      </c>
      <c r="G86" s="137" t="s">
        <v>388</v>
      </c>
      <c r="H86" s="34" t="s">
        <v>545</v>
      </c>
      <c r="I86" s="34" t="s">
        <v>539</v>
      </c>
      <c r="J86" s="34" t="s">
        <v>389</v>
      </c>
      <c r="K86" s="34" t="s">
        <v>384</v>
      </c>
    </row>
    <row r="87" spans="1:30" ht="12.75" thickBot="1">
      <c r="A87" s="7" t="s">
        <v>27</v>
      </c>
      <c r="B87" s="3" t="s">
        <v>35</v>
      </c>
      <c r="C87" s="126"/>
      <c r="D87" s="3"/>
      <c r="E87" s="3"/>
      <c r="F87" s="3"/>
      <c r="G87" s="3"/>
      <c r="H87" s="3"/>
      <c r="I87" s="3"/>
      <c r="J87" s="3"/>
      <c r="K87" s="3"/>
    </row>
    <row r="88" spans="1:30" ht="180.75" thickBot="1">
      <c r="A88" s="866" t="str">
        <f>'LF-Enugu'!A170</f>
        <v>Other development partners take a more sustainable and replicable approach to strengthening voice and accountability.</v>
      </c>
      <c r="B88" s="868" t="str">
        <f>'LF-Enugu'!B170</f>
        <v>Cumulative number of other development partners (individuals) accessing and taking-up relevant and useful lessons learnt by SAVI and its local partners.</v>
      </c>
      <c r="C88" s="127" t="s">
        <v>331</v>
      </c>
      <c r="D88" s="128" t="str">
        <f>'LF-Enugu'!D173</f>
        <v xml:space="preserve">Source                                                                                                                                                         late 2013 disaggregated score (additional baselines)  </v>
      </c>
      <c r="E88" s="34" t="s">
        <v>391</v>
      </c>
      <c r="F88" s="34" t="s">
        <v>392</v>
      </c>
      <c r="G88" s="34" t="s">
        <v>393</v>
      </c>
      <c r="H88" s="34" t="s">
        <v>546</v>
      </c>
      <c r="I88" s="34" t="s">
        <v>547</v>
      </c>
      <c r="J88" s="34" t="s">
        <v>548</v>
      </c>
      <c r="K88" s="34" t="s">
        <v>549</v>
      </c>
    </row>
    <row r="89" spans="1:30" ht="204.75" thickBot="1">
      <c r="A89" s="866"/>
      <c r="B89" s="869"/>
      <c r="C89" s="127" t="s">
        <v>333</v>
      </c>
      <c r="D89" s="34" t="s">
        <v>394</v>
      </c>
      <c r="E89" s="34" t="s">
        <v>550</v>
      </c>
      <c r="F89" s="34" t="s">
        <v>395</v>
      </c>
      <c r="G89" s="34" t="s">
        <v>396</v>
      </c>
      <c r="H89" s="34" t="s">
        <v>546</v>
      </c>
      <c r="I89" s="34" t="s">
        <v>551</v>
      </c>
      <c r="J89" s="34" t="s">
        <v>552</v>
      </c>
      <c r="K89" s="34" t="s">
        <v>553</v>
      </c>
    </row>
    <row r="90" spans="1:30" ht="12.75" thickBot="1">
      <c r="A90" s="866"/>
      <c r="B90" s="3" t="s">
        <v>36</v>
      </c>
      <c r="C90" s="126"/>
      <c r="D90" s="3"/>
      <c r="E90" s="3"/>
      <c r="F90" s="3"/>
      <c r="G90" s="3"/>
      <c r="H90" s="3"/>
      <c r="I90" s="3"/>
      <c r="J90" s="3"/>
      <c r="K90" s="3"/>
    </row>
    <row r="91" spans="1:30" ht="192.75" thickBot="1">
      <c r="A91" s="866"/>
      <c r="B91" s="868" t="str">
        <f>'LF-Enugu'!B175</f>
        <v>Output Indicator 5.2</v>
      </c>
      <c r="C91" s="127" t="s">
        <v>331</v>
      </c>
      <c r="D91" s="128" t="str">
        <f>'LF-Enugu'!D178</f>
        <v>revised indicator: post-2012 AR</v>
      </c>
      <c r="E91" s="34" t="s">
        <v>398</v>
      </c>
      <c r="F91" s="34" t="s">
        <v>399</v>
      </c>
      <c r="G91" s="34" t="s">
        <v>400</v>
      </c>
      <c r="H91" s="34" t="s">
        <v>554</v>
      </c>
      <c r="I91" s="34" t="s">
        <v>401</v>
      </c>
      <c r="J91" s="34" t="s">
        <v>555</v>
      </c>
      <c r="K91" s="34" t="s">
        <v>556</v>
      </c>
    </row>
    <row r="92" spans="1:30" ht="216.75" thickBot="1">
      <c r="A92" s="866"/>
      <c r="B92" s="869"/>
      <c r="C92" s="127" t="s">
        <v>333</v>
      </c>
      <c r="D92" s="34" t="s">
        <v>402</v>
      </c>
      <c r="E92" s="34" t="s">
        <v>403</v>
      </c>
      <c r="F92" s="34" t="s">
        <v>404</v>
      </c>
      <c r="G92" s="34" t="s">
        <v>388</v>
      </c>
      <c r="H92" s="34" t="s">
        <v>554</v>
      </c>
      <c r="I92" s="34" t="s">
        <v>397</v>
      </c>
      <c r="J92" s="34" t="s">
        <v>557</v>
      </c>
      <c r="K92" s="34" t="s">
        <v>556</v>
      </c>
    </row>
    <row r="93" spans="1:30">
      <c r="C93" s="31"/>
      <c r="D93" s="31"/>
      <c r="E93" s="31"/>
      <c r="F93" s="32"/>
      <c r="H93" s="31"/>
      <c r="I93" s="31"/>
      <c r="J93" s="31"/>
      <c r="K93" s="31"/>
      <c r="L93" s="31"/>
      <c r="M93" s="31"/>
      <c r="N93" s="31"/>
      <c r="O93" s="31"/>
      <c r="P93" s="31"/>
      <c r="Q93" s="31"/>
      <c r="R93" s="31"/>
      <c r="S93" s="31"/>
      <c r="T93" s="31"/>
      <c r="U93" s="31"/>
      <c r="V93" s="31"/>
      <c r="W93" s="31"/>
      <c r="X93" s="31"/>
      <c r="Y93" s="31"/>
      <c r="Z93" s="31"/>
      <c r="AA93" s="31"/>
      <c r="AB93" s="31"/>
      <c r="AC93" s="31"/>
      <c r="AD93" s="31"/>
    </row>
    <row r="94" spans="1:30" ht="12.75" thickBot="1">
      <c r="C94" s="31"/>
      <c r="D94" s="31"/>
      <c r="E94" s="31"/>
      <c r="F94" s="32"/>
      <c r="H94" s="31"/>
      <c r="I94" s="31"/>
      <c r="J94" s="31"/>
      <c r="K94" s="31"/>
      <c r="L94" s="31"/>
      <c r="M94" s="31"/>
      <c r="N94" s="31"/>
      <c r="O94" s="31"/>
      <c r="P94" s="31"/>
      <c r="Q94" s="31"/>
      <c r="R94" s="31"/>
      <c r="S94" s="31"/>
      <c r="T94" s="31"/>
      <c r="U94" s="31"/>
      <c r="V94" s="31"/>
      <c r="W94" s="31"/>
      <c r="X94" s="31"/>
      <c r="Y94" s="31"/>
      <c r="Z94" s="31"/>
      <c r="AA94" s="31"/>
      <c r="AB94" s="31"/>
      <c r="AC94" s="31"/>
      <c r="AD94" s="31"/>
    </row>
    <row r="95" spans="1:30" ht="12.75" thickBot="1">
      <c r="A95" s="33" t="s">
        <v>131</v>
      </c>
      <c r="B95" s="33" t="s">
        <v>134</v>
      </c>
      <c r="C95" s="139"/>
      <c r="D95" s="33"/>
      <c r="E95" s="33"/>
      <c r="F95" s="33"/>
      <c r="G95" s="33"/>
      <c r="H95" s="33"/>
      <c r="I95" s="33"/>
      <c r="J95" s="33"/>
      <c r="K95" s="33"/>
    </row>
    <row r="96" spans="1:30" ht="12.75" thickBot="1">
      <c r="A96" s="868"/>
      <c r="B96" s="111"/>
      <c r="C96" s="127" t="s">
        <v>558</v>
      </c>
      <c r="D96" s="128"/>
      <c r="E96" s="128"/>
      <c r="F96" s="128"/>
      <c r="G96" s="128"/>
      <c r="H96" s="128"/>
      <c r="I96" s="128"/>
      <c r="J96" s="128"/>
      <c r="K96" s="128"/>
    </row>
    <row r="97" spans="1:35" ht="12.75" thickBot="1">
      <c r="A97" s="885"/>
      <c r="B97" s="33" t="s">
        <v>135</v>
      </c>
      <c r="C97" s="139"/>
      <c r="D97" s="33"/>
      <c r="E97" s="33"/>
      <c r="F97" s="33"/>
      <c r="G97" s="33"/>
      <c r="H97" s="33"/>
      <c r="I97" s="33"/>
      <c r="J97" s="33"/>
      <c r="K97" s="33"/>
    </row>
    <row r="98" spans="1:35" ht="12.75" thickBot="1">
      <c r="A98" s="885"/>
      <c r="B98" s="110"/>
      <c r="C98" s="127" t="s">
        <v>558</v>
      </c>
      <c r="D98" s="128"/>
      <c r="E98" s="128"/>
      <c r="F98" s="128"/>
      <c r="G98" s="128"/>
      <c r="H98" s="128"/>
      <c r="I98" s="128"/>
      <c r="J98" s="128"/>
      <c r="K98" s="128"/>
      <c r="L98" s="31"/>
      <c r="M98" s="31"/>
      <c r="N98" s="31"/>
      <c r="O98" s="31"/>
      <c r="P98" s="31"/>
      <c r="Q98" s="31"/>
      <c r="R98" s="31"/>
      <c r="S98" s="31"/>
      <c r="T98" s="31"/>
      <c r="U98" s="31"/>
      <c r="V98" s="31"/>
      <c r="W98" s="31"/>
      <c r="X98" s="31"/>
      <c r="Y98" s="31"/>
      <c r="Z98" s="31"/>
      <c r="AA98" s="31"/>
      <c r="AB98" s="31"/>
      <c r="AC98" s="31"/>
      <c r="AD98" s="31"/>
      <c r="AE98" s="31"/>
      <c r="AF98" s="31"/>
      <c r="AG98" s="31"/>
      <c r="AH98" s="31"/>
      <c r="AI98" s="31"/>
    </row>
    <row r="99" spans="1:35" ht="12.75" thickBot="1">
      <c r="A99" s="885"/>
      <c r="B99" s="33" t="s">
        <v>136</v>
      </c>
      <c r="C99" s="139"/>
      <c r="D99" s="33"/>
      <c r="E99" s="33"/>
      <c r="F99" s="33"/>
      <c r="G99" s="33"/>
      <c r="H99" s="33"/>
      <c r="I99" s="33"/>
      <c r="J99" s="33"/>
      <c r="K99" s="33"/>
      <c r="L99" s="31"/>
      <c r="M99" s="31"/>
      <c r="N99" s="31"/>
      <c r="O99" s="31"/>
      <c r="P99" s="31"/>
      <c r="Q99" s="31"/>
      <c r="R99" s="31"/>
      <c r="S99" s="31"/>
      <c r="T99" s="31"/>
      <c r="U99" s="31"/>
      <c r="V99" s="31"/>
      <c r="W99" s="31"/>
      <c r="X99" s="31"/>
      <c r="Y99" s="31"/>
      <c r="Z99" s="31"/>
      <c r="AA99" s="31"/>
      <c r="AB99" s="31"/>
      <c r="AC99" s="31"/>
      <c r="AD99" s="31"/>
      <c r="AE99" s="31"/>
      <c r="AF99" s="31"/>
      <c r="AG99" s="31"/>
      <c r="AH99" s="31"/>
      <c r="AI99" s="31"/>
    </row>
    <row r="100" spans="1:35" ht="12.75" thickBot="1">
      <c r="A100" s="869"/>
      <c r="B100" s="140"/>
      <c r="C100" s="127" t="s">
        <v>558</v>
      </c>
      <c r="D100" s="128"/>
      <c r="E100" s="128"/>
      <c r="F100" s="128"/>
      <c r="G100" s="128"/>
      <c r="H100" s="128"/>
      <c r="I100" s="128"/>
      <c r="J100" s="128"/>
      <c r="K100" s="128"/>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31"/>
    </row>
    <row r="101" spans="1:35">
      <c r="C101" s="31"/>
      <c r="D101" s="31"/>
      <c r="E101" s="31"/>
      <c r="F101" s="32"/>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row>
    <row r="102" spans="1:35" ht="12.75" thickBot="1">
      <c r="C102" s="31"/>
      <c r="D102" s="31"/>
      <c r="E102" s="31"/>
      <c r="F102" s="32"/>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row>
    <row r="103" spans="1:35" ht="12.75" thickBot="1">
      <c r="A103" s="141" t="s">
        <v>405</v>
      </c>
      <c r="B103" s="142" t="s">
        <v>559</v>
      </c>
      <c r="C103" s="143"/>
      <c r="D103" s="142"/>
      <c r="E103" s="142"/>
      <c r="F103" s="142"/>
      <c r="G103" s="142"/>
      <c r="H103" s="142"/>
      <c r="I103" s="142"/>
      <c r="J103" s="142"/>
      <c r="K103" s="142"/>
    </row>
    <row r="104" spans="1:35" ht="12.75" thickBot="1">
      <c r="A104" s="144"/>
      <c r="B104" s="111"/>
      <c r="C104" s="127" t="s">
        <v>406</v>
      </c>
      <c r="D104" s="128"/>
      <c r="E104" s="128"/>
      <c r="F104" s="128"/>
      <c r="G104" s="128"/>
      <c r="H104" s="128"/>
      <c r="I104" s="128"/>
      <c r="J104" s="128"/>
      <c r="K104" s="128"/>
    </row>
    <row r="105" spans="1:35" ht="12.75" thickBot="1">
      <c r="A105" s="142" t="s">
        <v>407</v>
      </c>
      <c r="B105" s="142" t="s">
        <v>560</v>
      </c>
      <c r="C105" s="143"/>
      <c r="D105" s="142"/>
      <c r="E105" s="142"/>
      <c r="F105" s="142"/>
      <c r="G105" s="142"/>
      <c r="H105" s="142"/>
      <c r="I105" s="142"/>
      <c r="J105" s="142"/>
      <c r="K105" s="142"/>
    </row>
    <row r="106" spans="1:35" ht="12.75" thickBot="1">
      <c r="A106" s="144"/>
      <c r="B106" s="110"/>
      <c r="C106" s="127" t="s">
        <v>408</v>
      </c>
      <c r="D106" s="128"/>
      <c r="E106" s="128"/>
      <c r="F106" s="128"/>
      <c r="G106" s="128"/>
      <c r="H106" s="128"/>
      <c r="I106" s="128"/>
      <c r="J106" s="128"/>
      <c r="K106" s="128"/>
      <c r="L106" s="31"/>
      <c r="M106" s="31"/>
      <c r="N106" s="31"/>
      <c r="O106" s="31"/>
      <c r="P106" s="31"/>
      <c r="Q106" s="31"/>
      <c r="R106" s="31"/>
      <c r="S106" s="31"/>
      <c r="T106" s="31"/>
      <c r="U106" s="31"/>
      <c r="V106" s="31"/>
      <c r="W106" s="31"/>
      <c r="X106" s="31"/>
      <c r="Y106" s="31"/>
      <c r="Z106" s="31"/>
      <c r="AA106" s="31"/>
      <c r="AB106" s="31"/>
      <c r="AC106" s="31"/>
      <c r="AD106" s="31"/>
      <c r="AE106" s="31"/>
      <c r="AF106" s="31"/>
      <c r="AG106" s="31"/>
      <c r="AH106" s="31"/>
      <c r="AI106" s="31"/>
    </row>
    <row r="107" spans="1:35" ht="12.75" thickBot="1">
      <c r="A107" s="142" t="s">
        <v>409</v>
      </c>
      <c r="B107" s="142" t="s">
        <v>410</v>
      </c>
      <c r="C107" s="143"/>
      <c r="D107" s="142"/>
      <c r="E107" s="142"/>
      <c r="F107" s="142"/>
      <c r="G107" s="142"/>
      <c r="H107" s="142"/>
      <c r="I107" s="142"/>
      <c r="J107" s="142"/>
      <c r="K107" s="142"/>
      <c r="L107" s="31"/>
      <c r="M107" s="31"/>
      <c r="N107" s="31"/>
      <c r="O107" s="31"/>
      <c r="P107" s="31"/>
      <c r="Q107" s="31"/>
      <c r="R107" s="31"/>
      <c r="S107" s="31"/>
      <c r="T107" s="31"/>
      <c r="U107" s="31"/>
      <c r="V107" s="31"/>
      <c r="W107" s="31"/>
      <c r="X107" s="31"/>
      <c r="Y107" s="31"/>
      <c r="Z107" s="31"/>
      <c r="AA107" s="31"/>
      <c r="AB107" s="31"/>
      <c r="AC107" s="31"/>
      <c r="AD107" s="31"/>
      <c r="AE107" s="31"/>
      <c r="AF107" s="31"/>
      <c r="AG107" s="31"/>
      <c r="AH107" s="31"/>
      <c r="AI107" s="31"/>
    </row>
    <row r="108" spans="1:35" ht="12.75" thickBot="1">
      <c r="A108" s="145"/>
      <c r="B108" s="140"/>
      <c r="C108" s="127" t="s">
        <v>411</v>
      </c>
      <c r="D108" s="128"/>
      <c r="E108" s="128"/>
      <c r="F108" s="128"/>
      <c r="G108" s="128"/>
      <c r="H108" s="128"/>
      <c r="I108" s="128"/>
      <c r="J108" s="128"/>
      <c r="K108" s="128"/>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31"/>
    </row>
    <row r="109" spans="1:35">
      <c r="D109" s="32"/>
      <c r="E109" s="32"/>
      <c r="F109" s="32"/>
      <c r="G109" s="32"/>
      <c r="H109" s="32"/>
      <c r="I109" s="32"/>
      <c r="J109" s="32"/>
      <c r="K109" s="32"/>
      <c r="L109" s="31"/>
      <c r="M109" s="31"/>
      <c r="N109" s="31"/>
      <c r="O109" s="31"/>
      <c r="P109" s="31"/>
      <c r="Q109" s="31"/>
      <c r="R109" s="31"/>
      <c r="S109" s="31"/>
      <c r="T109" s="31"/>
      <c r="U109" s="31"/>
      <c r="V109" s="31"/>
      <c r="W109" s="31"/>
      <c r="X109" s="31"/>
      <c r="Y109" s="31"/>
      <c r="Z109" s="31"/>
      <c r="AA109" s="31"/>
      <c r="AB109" s="31"/>
      <c r="AC109" s="31"/>
      <c r="AD109" s="31"/>
      <c r="AE109" s="31"/>
      <c r="AF109" s="31"/>
      <c r="AG109" s="31"/>
      <c r="AH109" s="31"/>
      <c r="AI109" s="31"/>
    </row>
    <row r="110" spans="1:35">
      <c r="D110" s="32"/>
      <c r="E110" s="32"/>
      <c r="F110" s="32"/>
      <c r="G110" s="32"/>
      <c r="H110" s="32"/>
      <c r="I110" s="32"/>
      <c r="J110" s="29"/>
      <c r="K110" s="29"/>
      <c r="L110" s="31"/>
      <c r="M110" s="31"/>
      <c r="N110" s="31"/>
      <c r="O110" s="31"/>
      <c r="P110" s="31"/>
      <c r="Q110" s="31"/>
      <c r="R110" s="31"/>
      <c r="S110" s="31"/>
      <c r="T110" s="31"/>
      <c r="U110" s="31"/>
      <c r="V110" s="31"/>
      <c r="W110" s="31"/>
      <c r="X110" s="31"/>
      <c r="Y110" s="31"/>
      <c r="Z110" s="31"/>
      <c r="AA110" s="31"/>
      <c r="AB110" s="31"/>
      <c r="AC110" s="31"/>
      <c r="AD110" s="31"/>
      <c r="AE110" s="31"/>
      <c r="AF110" s="31"/>
      <c r="AG110" s="31"/>
      <c r="AH110" s="31"/>
      <c r="AI110" s="31"/>
    </row>
    <row r="111" spans="1:35">
      <c r="D111" s="32"/>
      <c r="E111" s="32"/>
      <c r="F111" s="32"/>
      <c r="G111" s="32"/>
      <c r="H111" s="32"/>
      <c r="I111" s="32"/>
      <c r="J111" s="29"/>
      <c r="K111" s="29"/>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31"/>
    </row>
    <row r="112" spans="1:35">
      <c r="D112" s="32"/>
      <c r="E112" s="32"/>
      <c r="F112" s="32"/>
      <c r="G112" s="32"/>
      <c r="H112" s="32"/>
      <c r="I112" s="32"/>
      <c r="J112" s="29"/>
      <c r="K112" s="29"/>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31"/>
    </row>
    <row r="113" spans="1:35">
      <c r="D113" s="31"/>
      <c r="E113" s="31"/>
      <c r="H113" s="31"/>
      <c r="I113" s="31"/>
      <c r="L113" s="31"/>
      <c r="M113" s="31"/>
      <c r="N113" s="31"/>
      <c r="O113" s="31"/>
      <c r="P113" s="31"/>
      <c r="Q113" s="31"/>
      <c r="R113" s="31"/>
      <c r="S113" s="31"/>
      <c r="T113" s="31"/>
      <c r="U113" s="31"/>
      <c r="V113" s="31"/>
      <c r="W113" s="31"/>
      <c r="X113" s="31"/>
      <c r="Y113" s="31"/>
      <c r="Z113" s="31"/>
      <c r="AA113" s="31"/>
      <c r="AB113" s="31"/>
      <c r="AC113" s="31"/>
      <c r="AD113" s="31"/>
      <c r="AE113" s="31"/>
      <c r="AF113" s="31"/>
      <c r="AG113" s="31"/>
      <c r="AH113" s="31"/>
      <c r="AI113" s="31"/>
    </row>
    <row r="114" spans="1:35">
      <c r="D114" s="31"/>
      <c r="E114" s="31"/>
      <c r="H114" s="31"/>
      <c r="I114" s="31"/>
      <c r="L114" s="31"/>
      <c r="M114" s="31"/>
      <c r="N114" s="31"/>
      <c r="O114" s="31"/>
      <c r="P114" s="31"/>
      <c r="Q114" s="31"/>
      <c r="R114" s="31"/>
      <c r="S114" s="31"/>
      <c r="T114" s="31"/>
      <c r="U114" s="31"/>
      <c r="V114" s="31"/>
      <c r="W114" s="31"/>
      <c r="X114" s="31"/>
      <c r="Y114" s="31"/>
      <c r="Z114" s="31"/>
      <c r="AA114" s="31"/>
      <c r="AB114" s="31"/>
      <c r="AC114" s="31"/>
      <c r="AD114" s="31"/>
      <c r="AE114" s="31"/>
      <c r="AF114" s="31"/>
      <c r="AG114" s="31"/>
      <c r="AH114" s="31"/>
      <c r="AI114" s="31"/>
    </row>
    <row r="115" spans="1:35">
      <c r="D115" s="31"/>
      <c r="E115" s="31"/>
      <c r="H115" s="31"/>
      <c r="I115" s="31"/>
      <c r="L115" s="31"/>
      <c r="M115" s="31"/>
      <c r="N115" s="31"/>
      <c r="O115" s="31"/>
      <c r="P115" s="31"/>
      <c r="Q115" s="31"/>
      <c r="R115" s="31"/>
      <c r="S115" s="31"/>
      <c r="T115" s="31"/>
      <c r="U115" s="31"/>
      <c r="V115" s="31"/>
      <c r="W115" s="31"/>
      <c r="X115" s="31"/>
      <c r="Y115" s="31"/>
      <c r="Z115" s="31"/>
      <c r="AA115" s="31"/>
      <c r="AB115" s="31"/>
      <c r="AC115" s="31"/>
      <c r="AD115" s="31"/>
      <c r="AE115" s="31"/>
      <c r="AF115" s="31"/>
      <c r="AG115" s="31"/>
      <c r="AH115" s="31"/>
      <c r="AI115" s="31"/>
    </row>
    <row r="116" spans="1:35">
      <c r="D116" s="31"/>
      <c r="E116" s="31"/>
      <c r="H116" s="31"/>
      <c r="I116" s="31"/>
      <c r="L116" s="31"/>
      <c r="M116" s="31"/>
      <c r="N116" s="31"/>
      <c r="O116" s="31"/>
      <c r="P116" s="31"/>
      <c r="Q116" s="31"/>
      <c r="R116" s="31"/>
      <c r="S116" s="31"/>
      <c r="T116" s="31"/>
      <c r="U116" s="31"/>
      <c r="V116" s="31"/>
      <c r="W116" s="31"/>
      <c r="X116" s="31"/>
      <c r="Y116" s="31"/>
      <c r="Z116" s="31"/>
      <c r="AA116" s="31"/>
      <c r="AB116" s="31"/>
      <c r="AC116" s="31"/>
      <c r="AD116" s="31"/>
      <c r="AE116" s="31"/>
      <c r="AF116" s="31"/>
      <c r="AG116" s="31"/>
      <c r="AH116" s="31"/>
      <c r="AI116" s="31"/>
    </row>
    <row r="117" spans="1:35">
      <c r="D117" s="31"/>
      <c r="E117" s="31"/>
      <c r="H117" s="31"/>
      <c r="I117" s="31"/>
      <c r="L117" s="31"/>
      <c r="M117" s="31"/>
      <c r="N117" s="31"/>
      <c r="O117" s="31"/>
      <c r="P117" s="31"/>
      <c r="Q117" s="31"/>
      <c r="R117" s="31"/>
      <c r="S117" s="31"/>
      <c r="T117" s="31"/>
      <c r="U117" s="31"/>
      <c r="V117" s="31"/>
      <c r="W117" s="31"/>
      <c r="X117" s="31"/>
      <c r="Y117" s="31"/>
      <c r="Z117" s="31"/>
      <c r="AA117" s="31"/>
      <c r="AB117" s="31"/>
      <c r="AC117" s="31"/>
      <c r="AD117" s="31"/>
      <c r="AE117" s="31"/>
      <c r="AF117" s="31"/>
      <c r="AG117" s="31"/>
      <c r="AH117" s="31"/>
      <c r="AI117" s="31"/>
    </row>
    <row r="118" spans="1:35">
      <c r="A118" s="121"/>
      <c r="B118" s="121"/>
      <c r="C118" s="122"/>
      <c r="D118" s="31"/>
      <c r="E118" s="31"/>
      <c r="H118" s="31"/>
      <c r="I118" s="31"/>
      <c r="L118" s="31"/>
      <c r="M118" s="31"/>
      <c r="N118" s="31"/>
      <c r="O118" s="31"/>
      <c r="P118" s="31"/>
      <c r="Q118" s="31"/>
      <c r="R118" s="31"/>
      <c r="S118" s="31"/>
      <c r="T118" s="31"/>
      <c r="U118" s="31"/>
      <c r="V118" s="31"/>
      <c r="W118" s="31"/>
      <c r="X118" s="31"/>
      <c r="Y118" s="31"/>
      <c r="Z118" s="31"/>
      <c r="AA118" s="31"/>
      <c r="AB118" s="31"/>
      <c r="AC118" s="31"/>
      <c r="AD118" s="31"/>
      <c r="AE118" s="31"/>
      <c r="AF118" s="31"/>
      <c r="AG118" s="31"/>
      <c r="AH118" s="31"/>
      <c r="AI118" s="31"/>
    </row>
    <row r="119" spans="1:35">
      <c r="A119" s="121"/>
      <c r="B119" s="121"/>
      <c r="C119" s="122"/>
      <c r="D119" s="31"/>
      <c r="E119" s="31"/>
      <c r="H119" s="31"/>
      <c r="I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31"/>
    </row>
    <row r="120" spans="1:35">
      <c r="A120" s="121"/>
      <c r="B120" s="121"/>
      <c r="C120" s="122"/>
      <c r="D120" s="31"/>
      <c r="E120" s="31"/>
      <c r="H120" s="31"/>
      <c r="I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31"/>
    </row>
    <row r="121" spans="1:35">
      <c r="A121" s="121"/>
      <c r="B121" s="121"/>
      <c r="C121" s="122"/>
      <c r="D121" s="31"/>
      <c r="E121" s="31"/>
      <c r="H121" s="31"/>
      <c r="I121" s="31"/>
      <c r="L121" s="31"/>
      <c r="M121" s="31"/>
      <c r="N121" s="31"/>
      <c r="O121" s="31"/>
      <c r="P121" s="31"/>
      <c r="Q121" s="31"/>
      <c r="R121" s="31"/>
      <c r="S121" s="31"/>
      <c r="T121" s="31"/>
      <c r="U121" s="31"/>
      <c r="V121" s="31"/>
      <c r="W121" s="31"/>
      <c r="X121" s="31"/>
      <c r="Y121" s="31"/>
      <c r="Z121" s="31"/>
      <c r="AA121" s="31"/>
      <c r="AB121" s="31"/>
      <c r="AC121" s="31"/>
      <c r="AD121" s="31"/>
      <c r="AE121" s="31"/>
      <c r="AF121" s="31"/>
      <c r="AG121" s="31"/>
      <c r="AH121" s="31"/>
      <c r="AI121" s="31"/>
    </row>
    <row r="122" spans="1:35">
      <c r="A122" s="121"/>
      <c r="B122" s="121"/>
      <c r="C122" s="122"/>
      <c r="D122" s="31"/>
      <c r="E122" s="31"/>
      <c r="H122" s="31"/>
      <c r="I122" s="31"/>
      <c r="L122" s="31"/>
      <c r="M122" s="31"/>
      <c r="N122" s="31"/>
      <c r="O122" s="31"/>
      <c r="P122" s="31"/>
      <c r="Q122" s="31"/>
      <c r="R122" s="31"/>
      <c r="S122" s="31"/>
      <c r="T122" s="31"/>
      <c r="U122" s="31"/>
      <c r="V122" s="31"/>
      <c r="W122" s="31"/>
      <c r="X122" s="31"/>
      <c r="Y122" s="31"/>
      <c r="Z122" s="31"/>
      <c r="AA122" s="31"/>
      <c r="AB122" s="31"/>
      <c r="AC122" s="31"/>
      <c r="AD122" s="31"/>
      <c r="AE122" s="31"/>
      <c r="AF122" s="31"/>
      <c r="AG122" s="31"/>
      <c r="AH122" s="31"/>
      <c r="AI122" s="31"/>
    </row>
    <row r="123" spans="1:35">
      <c r="A123" s="121"/>
      <c r="B123" s="121"/>
      <c r="C123" s="122"/>
      <c r="D123" s="31"/>
      <c r="E123" s="31"/>
      <c r="H123" s="31"/>
      <c r="I123" s="31"/>
      <c r="L123" s="31"/>
      <c r="M123" s="31"/>
      <c r="N123" s="31"/>
      <c r="O123" s="31"/>
      <c r="P123" s="31"/>
      <c r="Q123" s="31"/>
      <c r="R123" s="31"/>
      <c r="S123" s="31"/>
      <c r="T123" s="31"/>
      <c r="U123" s="31"/>
      <c r="V123" s="31"/>
      <c r="W123" s="31"/>
      <c r="X123" s="31"/>
      <c r="Y123" s="31"/>
      <c r="Z123" s="31"/>
      <c r="AA123" s="31"/>
      <c r="AB123" s="31"/>
      <c r="AC123" s="31"/>
      <c r="AD123" s="31"/>
      <c r="AE123" s="31"/>
      <c r="AF123" s="31"/>
      <c r="AG123" s="31"/>
      <c r="AH123" s="31"/>
      <c r="AI123" s="31"/>
    </row>
    <row r="124" spans="1:35">
      <c r="A124" s="121"/>
      <c r="B124" s="121"/>
      <c r="C124" s="122"/>
      <c r="D124" s="31"/>
      <c r="E124" s="31"/>
      <c r="H124" s="31"/>
      <c r="I124" s="31"/>
      <c r="L124" s="31"/>
      <c r="M124" s="31"/>
      <c r="N124" s="31"/>
      <c r="O124" s="31"/>
      <c r="P124" s="31"/>
      <c r="Q124" s="31"/>
      <c r="R124" s="31"/>
      <c r="S124" s="31"/>
      <c r="T124" s="31"/>
      <c r="U124" s="31"/>
      <c r="V124" s="31"/>
      <c r="W124" s="31"/>
      <c r="X124" s="31"/>
      <c r="Y124" s="31"/>
      <c r="Z124" s="31"/>
      <c r="AA124" s="31"/>
      <c r="AB124" s="31"/>
      <c r="AC124" s="31"/>
      <c r="AD124" s="31"/>
      <c r="AE124" s="31"/>
      <c r="AF124" s="31"/>
      <c r="AG124" s="31"/>
      <c r="AH124" s="31"/>
      <c r="AI124" s="31"/>
    </row>
    <row r="125" spans="1:35">
      <c r="A125" s="121"/>
      <c r="B125" s="121"/>
      <c r="C125" s="122"/>
      <c r="D125" s="31"/>
      <c r="E125" s="31"/>
      <c r="H125" s="31"/>
      <c r="I125" s="31"/>
      <c r="L125" s="31"/>
      <c r="M125" s="31"/>
      <c r="N125" s="31"/>
      <c r="O125" s="31"/>
      <c r="P125" s="31"/>
      <c r="Q125" s="31"/>
      <c r="R125" s="31"/>
      <c r="S125" s="31"/>
      <c r="T125" s="31"/>
      <c r="U125" s="31"/>
      <c r="V125" s="31"/>
      <c r="W125" s="31"/>
      <c r="X125" s="31"/>
      <c r="Y125" s="31"/>
      <c r="Z125" s="31"/>
      <c r="AA125" s="31"/>
      <c r="AB125" s="31"/>
      <c r="AC125" s="31"/>
      <c r="AD125" s="31"/>
      <c r="AE125" s="31"/>
      <c r="AF125" s="31"/>
      <c r="AG125" s="31"/>
      <c r="AH125" s="31"/>
      <c r="AI125" s="31"/>
    </row>
    <row r="126" spans="1:35">
      <c r="A126" s="121"/>
      <c r="B126" s="121"/>
      <c r="C126" s="122"/>
      <c r="D126" s="31"/>
      <c r="E126" s="31"/>
      <c r="H126" s="31"/>
      <c r="I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31"/>
    </row>
    <row r="127" spans="1:35">
      <c r="A127" s="121"/>
      <c r="B127" s="121"/>
      <c r="C127" s="122"/>
      <c r="D127" s="31"/>
      <c r="E127" s="31"/>
      <c r="H127" s="31"/>
      <c r="I127" s="31"/>
      <c r="L127" s="31"/>
      <c r="M127" s="31"/>
      <c r="N127" s="31"/>
      <c r="O127" s="31"/>
      <c r="P127" s="31"/>
      <c r="Q127" s="31"/>
      <c r="R127" s="31"/>
      <c r="S127" s="31"/>
      <c r="T127" s="31"/>
      <c r="U127" s="31"/>
      <c r="V127" s="31"/>
      <c r="W127" s="31"/>
      <c r="X127" s="31"/>
      <c r="Y127" s="31"/>
      <c r="Z127" s="31"/>
      <c r="AA127" s="31"/>
      <c r="AB127" s="31"/>
      <c r="AC127" s="31"/>
      <c r="AD127" s="31"/>
      <c r="AE127" s="31"/>
      <c r="AF127" s="31"/>
      <c r="AG127" s="31"/>
      <c r="AH127" s="31"/>
      <c r="AI127" s="31"/>
    </row>
    <row r="128" spans="1:35">
      <c r="A128" s="121"/>
      <c r="B128" s="121"/>
      <c r="C128" s="122"/>
      <c r="D128" s="31"/>
      <c r="E128" s="31"/>
      <c r="H128" s="31"/>
      <c r="I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31"/>
    </row>
    <row r="129" spans="1:35">
      <c r="A129" s="121"/>
      <c r="B129" s="121"/>
      <c r="C129" s="122"/>
      <c r="D129" s="31"/>
      <c r="E129" s="31"/>
      <c r="H129" s="31"/>
      <c r="I129" s="31"/>
      <c r="L129" s="31"/>
      <c r="M129" s="31"/>
      <c r="N129" s="31"/>
      <c r="O129" s="31"/>
      <c r="P129" s="31"/>
      <c r="Q129" s="31"/>
      <c r="R129" s="31"/>
      <c r="S129" s="31"/>
      <c r="T129" s="31"/>
      <c r="U129" s="31"/>
      <c r="V129" s="31"/>
      <c r="W129" s="31"/>
      <c r="X129" s="31"/>
      <c r="Y129" s="31"/>
      <c r="Z129" s="31"/>
      <c r="AA129" s="31"/>
      <c r="AB129" s="31"/>
      <c r="AC129" s="31"/>
      <c r="AD129" s="31"/>
      <c r="AE129" s="31"/>
      <c r="AF129" s="31"/>
      <c r="AG129" s="31"/>
      <c r="AH129" s="31"/>
      <c r="AI129" s="31"/>
    </row>
    <row r="130" spans="1:35">
      <c r="A130" s="121"/>
      <c r="B130" s="121"/>
      <c r="C130" s="122"/>
      <c r="D130" s="31"/>
      <c r="E130" s="31"/>
      <c r="H130" s="31"/>
      <c r="I130" s="31"/>
      <c r="L130" s="31"/>
      <c r="M130" s="31"/>
      <c r="N130" s="31"/>
      <c r="O130" s="31"/>
      <c r="P130" s="31"/>
      <c r="Q130" s="31"/>
      <c r="R130" s="31"/>
      <c r="S130" s="31"/>
      <c r="T130" s="31"/>
      <c r="U130" s="31"/>
      <c r="V130" s="31"/>
      <c r="W130" s="31"/>
      <c r="X130" s="31"/>
      <c r="Y130" s="31"/>
      <c r="Z130" s="31"/>
      <c r="AA130" s="31"/>
      <c r="AB130" s="31"/>
      <c r="AC130" s="31"/>
      <c r="AD130" s="31"/>
      <c r="AE130" s="31"/>
      <c r="AF130" s="31"/>
      <c r="AG130" s="31"/>
      <c r="AH130" s="31"/>
      <c r="AI130" s="31"/>
    </row>
    <row r="131" spans="1:35">
      <c r="A131" s="121"/>
      <c r="B131" s="121"/>
      <c r="C131" s="122"/>
      <c r="D131" s="31"/>
      <c r="E131" s="31"/>
      <c r="H131" s="31"/>
      <c r="I131" s="31"/>
      <c r="L131" s="31"/>
      <c r="M131" s="31"/>
      <c r="N131" s="31"/>
      <c r="O131" s="31"/>
      <c r="P131" s="31"/>
      <c r="Q131" s="31"/>
      <c r="R131" s="31"/>
      <c r="S131" s="31"/>
      <c r="T131" s="31"/>
      <c r="U131" s="31"/>
      <c r="V131" s="31"/>
      <c r="W131" s="31"/>
      <c r="X131" s="31"/>
      <c r="Y131" s="31"/>
      <c r="Z131" s="31"/>
      <c r="AA131" s="31"/>
      <c r="AB131" s="31"/>
      <c r="AC131" s="31"/>
      <c r="AD131" s="31"/>
      <c r="AE131" s="31"/>
      <c r="AF131" s="31"/>
      <c r="AG131" s="31"/>
      <c r="AH131" s="31"/>
      <c r="AI131" s="31"/>
    </row>
    <row r="132" spans="1:35">
      <c r="A132" s="121"/>
      <c r="B132" s="121"/>
      <c r="C132" s="122"/>
      <c r="D132" s="31"/>
      <c r="E132" s="31"/>
      <c r="H132" s="31"/>
      <c r="I132" s="31"/>
      <c r="L132" s="31"/>
      <c r="M132" s="31"/>
      <c r="N132" s="31"/>
      <c r="O132" s="31"/>
      <c r="P132" s="31"/>
      <c r="Q132" s="31"/>
      <c r="R132" s="31"/>
      <c r="S132" s="31"/>
      <c r="T132" s="31"/>
      <c r="U132" s="31"/>
      <c r="V132" s="31"/>
      <c r="W132" s="31"/>
      <c r="X132" s="31"/>
      <c r="Y132" s="31"/>
      <c r="Z132" s="31"/>
      <c r="AA132" s="31"/>
      <c r="AB132" s="31"/>
      <c r="AC132" s="31"/>
      <c r="AD132" s="31"/>
      <c r="AE132" s="31"/>
      <c r="AF132" s="31"/>
      <c r="AG132" s="31"/>
      <c r="AH132" s="31"/>
      <c r="AI132" s="31"/>
    </row>
    <row r="133" spans="1:35">
      <c r="A133" s="121"/>
      <c r="B133" s="121"/>
      <c r="C133" s="122"/>
      <c r="D133" s="31"/>
      <c r="E133" s="31"/>
      <c r="H133" s="31"/>
      <c r="I133" s="31"/>
      <c r="L133" s="31"/>
      <c r="M133" s="31"/>
      <c r="N133" s="31"/>
      <c r="O133" s="31"/>
      <c r="P133" s="31"/>
      <c r="Q133" s="31"/>
      <c r="R133" s="31"/>
      <c r="S133" s="31"/>
      <c r="T133" s="31"/>
      <c r="U133" s="31"/>
      <c r="V133" s="31"/>
      <c r="W133" s="31"/>
      <c r="X133" s="31"/>
      <c r="Y133" s="31"/>
      <c r="Z133" s="31"/>
      <c r="AA133" s="31"/>
      <c r="AB133" s="31"/>
      <c r="AC133" s="31"/>
      <c r="AD133" s="31"/>
      <c r="AE133" s="31"/>
      <c r="AF133" s="31"/>
      <c r="AG133" s="31"/>
      <c r="AH133" s="31"/>
      <c r="AI133" s="31"/>
    </row>
    <row r="134" spans="1:35">
      <c r="D134" s="31"/>
      <c r="E134" s="31"/>
      <c r="H134" s="31"/>
      <c r="I134" s="31"/>
      <c r="L134" s="31"/>
      <c r="M134" s="31"/>
      <c r="N134" s="31"/>
      <c r="O134" s="31"/>
      <c r="P134" s="31"/>
      <c r="Q134" s="31"/>
      <c r="R134" s="31"/>
      <c r="S134" s="31"/>
      <c r="T134" s="31"/>
      <c r="U134" s="31"/>
      <c r="V134" s="31"/>
      <c r="W134" s="31"/>
      <c r="X134" s="31"/>
      <c r="Y134" s="31"/>
      <c r="Z134" s="31"/>
      <c r="AA134" s="31"/>
      <c r="AB134" s="31"/>
      <c r="AC134" s="31"/>
      <c r="AD134" s="31"/>
      <c r="AE134" s="31"/>
      <c r="AF134" s="31"/>
      <c r="AG134" s="31"/>
      <c r="AH134" s="31"/>
      <c r="AI134" s="31"/>
    </row>
    <row r="135" spans="1:35">
      <c r="D135" s="31"/>
      <c r="E135" s="31"/>
      <c r="H135" s="31"/>
      <c r="I135" s="31"/>
      <c r="L135" s="31"/>
      <c r="M135" s="31"/>
      <c r="N135" s="31"/>
      <c r="O135" s="31"/>
      <c r="P135" s="31"/>
      <c r="Q135" s="31"/>
      <c r="R135" s="31"/>
      <c r="S135" s="31"/>
      <c r="T135" s="31"/>
      <c r="U135" s="31"/>
      <c r="V135" s="31"/>
      <c r="W135" s="31"/>
      <c r="X135" s="31"/>
      <c r="Y135" s="31"/>
      <c r="Z135" s="31"/>
      <c r="AA135" s="31"/>
      <c r="AB135" s="31"/>
      <c r="AC135" s="31"/>
      <c r="AD135" s="31"/>
      <c r="AE135" s="31"/>
      <c r="AF135" s="31"/>
      <c r="AG135" s="31"/>
      <c r="AH135" s="31"/>
      <c r="AI135" s="31"/>
    </row>
    <row r="136" spans="1:35">
      <c r="A136" s="31"/>
      <c r="D136" s="31"/>
      <c r="E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c r="AF136" s="31"/>
      <c r="AG136" s="31"/>
      <c r="AH136" s="31"/>
      <c r="AI136" s="31"/>
    </row>
    <row r="137" spans="1:35">
      <c r="A137" s="31"/>
      <c r="D137" s="31"/>
      <c r="E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31"/>
    </row>
    <row r="138" spans="1:35">
      <c r="A138" s="31"/>
      <c r="D138" s="31"/>
      <c r="E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c r="AF138" s="31"/>
      <c r="AG138" s="31"/>
      <c r="AH138" s="31"/>
      <c r="AI138" s="31"/>
    </row>
    <row r="139" spans="1:35">
      <c r="A139" s="31"/>
      <c r="D139" s="31"/>
      <c r="E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31"/>
    </row>
    <row r="140" spans="1:35">
      <c r="A140" s="31"/>
      <c r="D140" s="31"/>
      <c r="E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c r="AF140" s="31"/>
      <c r="AG140" s="31"/>
      <c r="AH140" s="31"/>
      <c r="AI140" s="31"/>
    </row>
    <row r="141" spans="1:35">
      <c r="A141" s="31"/>
      <c r="D141" s="31"/>
      <c r="E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31"/>
    </row>
    <row r="142" spans="1:35">
      <c r="A142" s="31"/>
      <c r="D142" s="31"/>
      <c r="E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c r="AF142" s="31"/>
      <c r="AG142" s="31"/>
      <c r="AH142" s="31"/>
      <c r="AI142" s="31"/>
    </row>
    <row r="143" spans="1:35">
      <c r="A143" s="31"/>
      <c r="D143" s="31"/>
      <c r="E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31"/>
    </row>
    <row r="144" spans="1:35">
      <c r="A144" s="31"/>
      <c r="D144" s="31"/>
      <c r="E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c r="AF144" s="31"/>
      <c r="AG144" s="31"/>
      <c r="AH144" s="31"/>
      <c r="AI144" s="31"/>
    </row>
    <row r="145" spans="1:35">
      <c r="A145" s="31"/>
      <c r="D145" s="31"/>
      <c r="E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c r="AF145" s="31"/>
      <c r="AG145" s="31"/>
      <c r="AH145" s="31"/>
      <c r="AI145" s="31"/>
    </row>
    <row r="146" spans="1:35">
      <c r="A146" s="31"/>
      <c r="D146" s="31"/>
      <c r="E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31"/>
    </row>
    <row r="147" spans="1:35">
      <c r="A147" s="31"/>
      <c r="D147" s="31"/>
      <c r="E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c r="AF147" s="31"/>
      <c r="AG147" s="31"/>
      <c r="AH147" s="31"/>
      <c r="AI147" s="31"/>
    </row>
    <row r="148" spans="1:35">
      <c r="A148" s="31"/>
      <c r="D148" s="31"/>
      <c r="E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31"/>
    </row>
    <row r="149" spans="1:35">
      <c r="A149" s="31"/>
      <c r="D149" s="31"/>
      <c r="E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c r="AF149" s="31"/>
      <c r="AG149" s="31"/>
      <c r="AH149" s="31"/>
      <c r="AI149" s="31"/>
    </row>
    <row r="150" spans="1:35">
      <c r="A150" s="31"/>
      <c r="D150" s="31"/>
      <c r="E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31"/>
    </row>
    <row r="151" spans="1:35">
      <c r="A151" s="31"/>
      <c r="D151" s="31"/>
      <c r="E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31"/>
    </row>
    <row r="152" spans="1:35">
      <c r="A152" s="31"/>
      <c r="D152" s="31"/>
      <c r="E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c r="AF152" s="31"/>
      <c r="AG152" s="31"/>
      <c r="AH152" s="31"/>
      <c r="AI152" s="31"/>
    </row>
    <row r="153" spans="1:35">
      <c r="A153" s="31"/>
      <c r="D153" s="31"/>
      <c r="E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c r="AF153" s="31"/>
      <c r="AG153" s="31"/>
      <c r="AH153" s="31"/>
      <c r="AI153" s="31"/>
    </row>
    <row r="154" spans="1:35">
      <c r="A154" s="31"/>
      <c r="D154" s="31"/>
      <c r="E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c r="AF154" s="31"/>
      <c r="AG154" s="31"/>
      <c r="AH154" s="31"/>
      <c r="AI154" s="31"/>
    </row>
    <row r="155" spans="1:35">
      <c r="A155" s="31"/>
      <c r="D155" s="31"/>
      <c r="E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c r="AF155" s="31"/>
      <c r="AG155" s="31"/>
      <c r="AH155" s="31"/>
      <c r="AI155" s="31"/>
    </row>
    <row r="156" spans="1:35">
      <c r="A156" s="31"/>
      <c r="D156" s="31"/>
      <c r="E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c r="AF156" s="31"/>
      <c r="AG156" s="31"/>
      <c r="AH156" s="31"/>
      <c r="AI156" s="31"/>
    </row>
    <row r="157" spans="1:35">
      <c r="A157" s="31"/>
      <c r="D157" s="31"/>
      <c r="E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row>
    <row r="158" spans="1:35">
      <c r="A158" s="31"/>
      <c r="D158" s="31"/>
      <c r="E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c r="AG158" s="31"/>
      <c r="AH158" s="31"/>
      <c r="AI158" s="31"/>
    </row>
    <row r="159" spans="1:35">
      <c r="A159" s="31"/>
      <c r="D159" s="31"/>
      <c r="E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c r="AF159" s="31"/>
      <c r="AG159" s="31"/>
      <c r="AH159" s="31"/>
      <c r="AI159" s="31"/>
    </row>
    <row r="160" spans="1:35">
      <c r="A160" s="31"/>
      <c r="D160" s="31"/>
      <c r="E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31"/>
    </row>
    <row r="161" spans="1:35">
      <c r="A161" s="31"/>
      <c r="D161" s="31"/>
      <c r="E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c r="AF161" s="31"/>
      <c r="AG161" s="31"/>
      <c r="AH161" s="31"/>
      <c r="AI161" s="31"/>
    </row>
    <row r="162" spans="1:35">
      <c r="A162" s="31"/>
      <c r="D162" s="31"/>
      <c r="E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row>
    <row r="163" spans="1:35">
      <c r="A163" s="31"/>
      <c r="D163" s="31"/>
      <c r="E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c r="AF163" s="31"/>
      <c r="AG163" s="31"/>
      <c r="AH163" s="31"/>
      <c r="AI163" s="31"/>
    </row>
    <row r="164" spans="1:35">
      <c r="A164" s="31"/>
      <c r="D164" s="31"/>
      <c r="E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row>
    <row r="165" spans="1:35">
      <c r="A165" s="31"/>
      <c r="D165" s="31"/>
      <c r="E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c r="AF165" s="31"/>
      <c r="AG165" s="31"/>
      <c r="AH165" s="31"/>
      <c r="AI165" s="31"/>
    </row>
    <row r="166" spans="1:35">
      <c r="A166" s="31"/>
      <c r="D166" s="31"/>
      <c r="E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31"/>
    </row>
    <row r="167" spans="1:35">
      <c r="A167" s="31"/>
      <c r="D167" s="31"/>
      <c r="E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c r="AF167" s="31"/>
      <c r="AG167" s="31"/>
      <c r="AH167" s="31"/>
      <c r="AI167" s="31"/>
    </row>
    <row r="168" spans="1:35">
      <c r="A168" s="31"/>
      <c r="D168" s="31"/>
      <c r="E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31"/>
    </row>
    <row r="169" spans="1:35">
      <c r="A169" s="31"/>
      <c r="D169" s="31"/>
      <c r="E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c r="AF169" s="31"/>
      <c r="AG169" s="31"/>
      <c r="AH169" s="31"/>
      <c r="AI169" s="31"/>
    </row>
    <row r="170" spans="1:35">
      <c r="A170" s="31"/>
      <c r="D170" s="31"/>
      <c r="E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c r="AF170" s="31"/>
      <c r="AG170" s="31"/>
      <c r="AH170" s="31"/>
      <c r="AI170" s="31"/>
    </row>
    <row r="171" spans="1:35">
      <c r="A171" s="31"/>
      <c r="D171" s="31"/>
      <c r="E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c r="AF171" s="31"/>
      <c r="AG171" s="31"/>
      <c r="AH171" s="31"/>
      <c r="AI171" s="31"/>
    </row>
    <row r="172" spans="1:35">
      <c r="A172" s="31"/>
      <c r="D172" s="31"/>
      <c r="E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31"/>
    </row>
    <row r="173" spans="1:35">
      <c r="A173" s="31"/>
      <c r="D173" s="31"/>
      <c r="E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c r="AF173" s="31"/>
      <c r="AG173" s="31"/>
      <c r="AH173" s="31"/>
      <c r="AI173" s="31"/>
    </row>
    <row r="174" spans="1:35">
      <c r="A174" s="31"/>
      <c r="D174" s="31"/>
      <c r="E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31"/>
    </row>
    <row r="175" spans="1:35">
      <c r="A175" s="31"/>
      <c r="D175" s="31"/>
      <c r="E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c r="AF175" s="31"/>
      <c r="AG175" s="31"/>
      <c r="AH175" s="31"/>
      <c r="AI175" s="31"/>
    </row>
    <row r="176" spans="1:35">
      <c r="A176" s="31"/>
      <c r="D176" s="31"/>
      <c r="E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31"/>
    </row>
    <row r="177" spans="1:35">
      <c r="A177" s="31"/>
      <c r="D177" s="31"/>
      <c r="E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c r="AF177" s="31"/>
      <c r="AG177" s="31"/>
      <c r="AH177" s="31"/>
      <c r="AI177" s="31"/>
    </row>
    <row r="178" spans="1:35">
      <c r="A178" s="31"/>
      <c r="D178" s="31"/>
      <c r="E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c r="AF178" s="31"/>
      <c r="AG178" s="31"/>
      <c r="AH178" s="31"/>
      <c r="AI178" s="31"/>
    </row>
    <row r="179" spans="1:35">
      <c r="A179" s="31"/>
      <c r="D179" s="31"/>
      <c r="E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c r="AF179" s="31"/>
      <c r="AG179" s="31"/>
      <c r="AH179" s="31"/>
      <c r="AI179" s="31"/>
    </row>
    <row r="180" spans="1:35">
      <c r="A180" s="31"/>
      <c r="D180" s="31"/>
      <c r="E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31"/>
    </row>
    <row r="181" spans="1:35">
      <c r="A181" s="31"/>
      <c r="D181" s="31"/>
      <c r="E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c r="AF181" s="31"/>
      <c r="AG181" s="31"/>
      <c r="AH181" s="31"/>
      <c r="AI181" s="31"/>
    </row>
    <row r="182" spans="1:35">
      <c r="A182" s="31"/>
      <c r="D182" s="31"/>
      <c r="E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c r="AH182" s="31"/>
      <c r="AI182" s="31"/>
    </row>
    <row r="183" spans="1:35">
      <c r="A183" s="31"/>
      <c r="D183" s="31"/>
      <c r="E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c r="AF183" s="31"/>
      <c r="AG183" s="31"/>
      <c r="AH183" s="31"/>
      <c r="AI183" s="31"/>
    </row>
    <row r="184" spans="1:35">
      <c r="A184" s="31"/>
      <c r="D184" s="31"/>
      <c r="E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c r="AF184" s="31"/>
      <c r="AG184" s="31"/>
      <c r="AH184" s="31"/>
      <c r="AI184" s="31"/>
    </row>
    <row r="185" spans="1:35">
      <c r="A185" s="31"/>
      <c r="D185" s="31"/>
      <c r="E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c r="AF185" s="31"/>
      <c r="AG185" s="31"/>
      <c r="AH185" s="31"/>
      <c r="AI185" s="31"/>
    </row>
    <row r="186" spans="1:35">
      <c r="A186" s="31"/>
      <c r="D186" s="31"/>
      <c r="E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c r="AF186" s="31"/>
      <c r="AG186" s="31"/>
      <c r="AH186" s="31"/>
      <c r="AI186" s="31"/>
    </row>
    <row r="187" spans="1:35">
      <c r="A187" s="31"/>
      <c r="D187" s="31"/>
      <c r="E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31"/>
    </row>
    <row r="188" spans="1:35">
      <c r="A188" s="31"/>
      <c r="D188" s="31"/>
      <c r="E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c r="AF188" s="31"/>
      <c r="AG188" s="31"/>
      <c r="AH188" s="31"/>
      <c r="AI188" s="31"/>
    </row>
    <row r="189" spans="1:35">
      <c r="A189" s="31"/>
      <c r="D189" s="31"/>
      <c r="E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31"/>
    </row>
    <row r="190" spans="1:35">
      <c r="A190" s="31"/>
      <c r="D190" s="31"/>
      <c r="E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c r="AF190" s="31"/>
      <c r="AG190" s="31"/>
      <c r="AH190" s="31"/>
      <c r="AI190" s="31"/>
    </row>
    <row r="191" spans="1:35">
      <c r="A191" s="31"/>
      <c r="D191" s="31"/>
      <c r="E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31"/>
    </row>
    <row r="192" spans="1:35">
      <c r="A192" s="31"/>
      <c r="D192" s="31"/>
      <c r="E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1"/>
      <c r="AE192" s="31"/>
      <c r="AF192" s="31"/>
      <c r="AG192" s="31"/>
      <c r="AH192" s="31"/>
      <c r="AI192" s="31"/>
    </row>
    <row r="193" spans="1:35">
      <c r="A193" s="31"/>
      <c r="D193" s="31"/>
      <c r="E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c r="AF193" s="31"/>
      <c r="AG193" s="31"/>
      <c r="AH193" s="31"/>
      <c r="AI193" s="31"/>
    </row>
    <row r="194" spans="1:35">
      <c r="A194" s="31"/>
      <c r="D194" s="31"/>
      <c r="E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1"/>
      <c r="AE194" s="31"/>
      <c r="AF194" s="31"/>
      <c r="AG194" s="31"/>
      <c r="AH194" s="31"/>
      <c r="AI194" s="31"/>
    </row>
    <row r="195" spans="1:35">
      <c r="A195" s="31"/>
      <c r="D195" s="31"/>
      <c r="E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1"/>
      <c r="AE195" s="31"/>
      <c r="AF195" s="31"/>
      <c r="AG195" s="31"/>
      <c r="AH195" s="31"/>
      <c r="AI195" s="31"/>
    </row>
    <row r="196" spans="1:35">
      <c r="A196" s="31"/>
      <c r="D196" s="31"/>
      <c r="E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1"/>
      <c r="AE196" s="31"/>
      <c r="AF196" s="31"/>
      <c r="AG196" s="31"/>
      <c r="AH196" s="31"/>
      <c r="AI196" s="31"/>
    </row>
    <row r="197" spans="1:35">
      <c r="A197" s="31"/>
      <c r="D197" s="31"/>
      <c r="E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1"/>
      <c r="AE197" s="31"/>
      <c r="AF197" s="31"/>
      <c r="AG197" s="31"/>
      <c r="AH197" s="31"/>
      <c r="AI197" s="31"/>
    </row>
    <row r="198" spans="1:35">
      <c r="A198" s="31"/>
      <c r="D198" s="31"/>
      <c r="E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1"/>
      <c r="AE198" s="31"/>
      <c r="AF198" s="31"/>
      <c r="AG198" s="31"/>
      <c r="AH198" s="31"/>
      <c r="AI198" s="31"/>
    </row>
    <row r="199" spans="1:35">
      <c r="A199" s="31"/>
      <c r="D199" s="31"/>
      <c r="E199" s="31"/>
      <c r="H199" s="31"/>
      <c r="I199" s="31"/>
      <c r="J199" s="31"/>
      <c r="K199" s="31"/>
      <c r="L199" s="31"/>
      <c r="M199" s="31"/>
      <c r="N199" s="31"/>
      <c r="O199" s="31"/>
      <c r="P199" s="31"/>
      <c r="Q199" s="31"/>
      <c r="R199" s="31"/>
      <c r="S199" s="31"/>
      <c r="T199" s="31"/>
      <c r="U199" s="31"/>
      <c r="V199" s="31"/>
      <c r="W199" s="31"/>
      <c r="X199" s="31"/>
      <c r="Y199" s="31"/>
      <c r="Z199" s="31"/>
      <c r="AA199" s="31"/>
      <c r="AB199" s="31"/>
      <c r="AC199" s="31"/>
      <c r="AD199" s="31"/>
      <c r="AE199" s="31"/>
      <c r="AF199" s="31"/>
      <c r="AG199" s="31"/>
      <c r="AH199" s="31"/>
      <c r="AI199" s="31"/>
    </row>
    <row r="200" spans="1:35">
      <c r="A200" s="31"/>
      <c r="D200" s="31"/>
      <c r="E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c r="AF200" s="31"/>
      <c r="AG200" s="31"/>
      <c r="AH200" s="31"/>
      <c r="AI200" s="31"/>
    </row>
    <row r="201" spans="1:35">
      <c r="A201" s="31"/>
      <c r="D201" s="31"/>
      <c r="E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1"/>
      <c r="AE201" s="31"/>
      <c r="AF201" s="31"/>
      <c r="AG201" s="31"/>
      <c r="AH201" s="31"/>
      <c r="AI201" s="31"/>
    </row>
    <row r="202" spans="1:35">
      <c r="A202" s="31"/>
      <c r="D202" s="31"/>
      <c r="E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c r="AF202" s="31"/>
      <c r="AG202" s="31"/>
      <c r="AH202" s="31"/>
      <c r="AI202" s="31"/>
    </row>
    <row r="203" spans="1:35">
      <c r="A203" s="31"/>
      <c r="D203" s="31"/>
      <c r="E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1"/>
      <c r="AE203" s="31"/>
      <c r="AF203" s="31"/>
      <c r="AG203" s="31"/>
      <c r="AH203" s="31"/>
      <c r="AI203" s="31"/>
    </row>
    <row r="204" spans="1:35">
      <c r="A204" s="31"/>
      <c r="D204" s="31"/>
      <c r="E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c r="AF204" s="31"/>
      <c r="AG204" s="31"/>
      <c r="AH204" s="31"/>
      <c r="AI204" s="31"/>
    </row>
    <row r="205" spans="1:35">
      <c r="A205" s="31"/>
      <c r="D205" s="31"/>
      <c r="E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1"/>
      <c r="AE205" s="31"/>
      <c r="AF205" s="31"/>
      <c r="AG205" s="31"/>
      <c r="AH205" s="31"/>
      <c r="AI205" s="31"/>
    </row>
    <row r="206" spans="1:35">
      <c r="A206" s="31"/>
      <c r="D206" s="31"/>
      <c r="E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c r="AF206" s="31"/>
      <c r="AG206" s="31"/>
      <c r="AH206" s="31"/>
      <c r="AI206" s="31"/>
    </row>
    <row r="207" spans="1:35">
      <c r="A207" s="31"/>
      <c r="D207" s="31"/>
      <c r="E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1"/>
      <c r="AE207" s="31"/>
      <c r="AF207" s="31"/>
      <c r="AG207" s="31"/>
      <c r="AH207" s="31"/>
      <c r="AI207" s="31"/>
    </row>
    <row r="208" spans="1:35">
      <c r="A208" s="31"/>
      <c r="D208" s="31"/>
      <c r="E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c r="AF208" s="31"/>
      <c r="AG208" s="31"/>
      <c r="AH208" s="31"/>
      <c r="AI208" s="31"/>
    </row>
    <row r="209" spans="1:35">
      <c r="A209" s="31"/>
      <c r="D209" s="31"/>
      <c r="E209" s="31"/>
      <c r="H209" s="31"/>
      <c r="I209" s="31"/>
      <c r="J209" s="31"/>
      <c r="K209" s="31"/>
      <c r="L209" s="31"/>
      <c r="M209" s="31"/>
      <c r="N209" s="31"/>
      <c r="O209" s="31"/>
      <c r="P209" s="31"/>
      <c r="Q209" s="31"/>
      <c r="R209" s="31"/>
      <c r="S209" s="31"/>
      <c r="T209" s="31"/>
      <c r="U209" s="31"/>
      <c r="V209" s="31"/>
      <c r="W209" s="31"/>
      <c r="X209" s="31"/>
      <c r="Y209" s="31"/>
      <c r="Z209" s="31"/>
      <c r="AA209" s="31"/>
      <c r="AB209" s="31"/>
      <c r="AC209" s="31"/>
      <c r="AD209" s="31"/>
      <c r="AE209" s="31"/>
      <c r="AF209" s="31"/>
      <c r="AG209" s="31"/>
      <c r="AH209" s="31"/>
      <c r="AI209" s="31"/>
    </row>
    <row r="210" spans="1:35">
      <c r="A210" s="31"/>
      <c r="D210" s="31"/>
      <c r="E210" s="31"/>
      <c r="H210" s="31"/>
      <c r="I210" s="31"/>
      <c r="J210" s="31"/>
      <c r="K210" s="31"/>
      <c r="L210" s="31"/>
      <c r="M210" s="31"/>
      <c r="N210" s="31"/>
      <c r="O210" s="31"/>
      <c r="P210" s="31"/>
      <c r="Q210" s="31"/>
      <c r="R210" s="31"/>
      <c r="S210" s="31"/>
      <c r="T210" s="31"/>
      <c r="U210" s="31"/>
      <c r="V210" s="31"/>
      <c r="W210" s="31"/>
      <c r="X210" s="31"/>
      <c r="Y210" s="31"/>
      <c r="Z210" s="31"/>
      <c r="AA210" s="31"/>
      <c r="AB210" s="31"/>
      <c r="AC210" s="31"/>
      <c r="AD210" s="31"/>
      <c r="AE210" s="31"/>
      <c r="AF210" s="31"/>
      <c r="AG210" s="31"/>
      <c r="AH210" s="31"/>
      <c r="AI210" s="31"/>
    </row>
    <row r="211" spans="1:35">
      <c r="A211" s="31"/>
      <c r="D211" s="31"/>
      <c r="E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1"/>
      <c r="AE211" s="31"/>
      <c r="AF211" s="31"/>
      <c r="AG211" s="31"/>
      <c r="AH211" s="31"/>
      <c r="AI211" s="31"/>
    </row>
    <row r="212" spans="1:35">
      <c r="A212" s="31"/>
      <c r="D212" s="31"/>
      <c r="E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1"/>
      <c r="AE212" s="31"/>
      <c r="AF212" s="31"/>
      <c r="AG212" s="31"/>
      <c r="AH212" s="31"/>
      <c r="AI212" s="31"/>
    </row>
    <row r="213" spans="1:35">
      <c r="A213" s="31"/>
      <c r="D213" s="31"/>
      <c r="E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c r="AF213" s="31"/>
      <c r="AG213" s="31"/>
      <c r="AH213" s="31"/>
      <c r="AI213" s="31"/>
    </row>
    <row r="214" spans="1:35">
      <c r="A214" s="31"/>
      <c r="D214" s="31"/>
      <c r="E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1"/>
      <c r="AE214" s="31"/>
      <c r="AF214" s="31"/>
      <c r="AG214" s="31"/>
      <c r="AH214" s="31"/>
      <c r="AI214" s="31"/>
    </row>
    <row r="215" spans="1:35">
      <c r="A215" s="31"/>
      <c r="D215" s="31"/>
      <c r="E215" s="31"/>
      <c r="H215" s="31"/>
      <c r="I215" s="31"/>
      <c r="J215" s="31"/>
      <c r="K215" s="31"/>
      <c r="L215" s="31"/>
      <c r="M215" s="31"/>
      <c r="N215" s="31"/>
      <c r="O215" s="31"/>
      <c r="P215" s="31"/>
      <c r="Q215" s="31"/>
      <c r="R215" s="31"/>
      <c r="S215" s="31"/>
      <c r="T215" s="31"/>
      <c r="U215" s="31"/>
      <c r="V215" s="31"/>
      <c r="W215" s="31"/>
      <c r="X215" s="31"/>
      <c r="Y215" s="31"/>
      <c r="Z215" s="31"/>
      <c r="AA215" s="31"/>
      <c r="AB215" s="31"/>
      <c r="AC215" s="31"/>
      <c r="AD215" s="31"/>
      <c r="AE215" s="31"/>
      <c r="AF215" s="31"/>
      <c r="AG215" s="31"/>
      <c r="AH215" s="31"/>
      <c r="AI215" s="31"/>
    </row>
    <row r="216" spans="1:35">
      <c r="A216" s="31"/>
      <c r="D216" s="31"/>
      <c r="E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1"/>
      <c r="AE216" s="31"/>
      <c r="AF216" s="31"/>
      <c r="AG216" s="31"/>
      <c r="AH216" s="31"/>
      <c r="AI216" s="31"/>
    </row>
    <row r="217" spans="1:35">
      <c r="A217" s="31"/>
      <c r="D217" s="31"/>
      <c r="E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c r="AF217" s="31"/>
      <c r="AG217" s="31"/>
      <c r="AH217" s="31"/>
      <c r="AI217" s="31"/>
    </row>
    <row r="218" spans="1:35">
      <c r="A218" s="31"/>
      <c r="D218" s="31"/>
      <c r="E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1"/>
      <c r="AE218" s="31"/>
      <c r="AF218" s="31"/>
      <c r="AG218" s="31"/>
      <c r="AH218" s="31"/>
      <c r="AI218" s="31"/>
    </row>
    <row r="219" spans="1:35">
      <c r="A219" s="31"/>
      <c r="D219" s="31"/>
      <c r="E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c r="AF219" s="31"/>
      <c r="AG219" s="31"/>
      <c r="AH219" s="31"/>
      <c r="AI219" s="31"/>
    </row>
    <row r="220" spans="1:35">
      <c r="A220" s="31"/>
      <c r="D220" s="31"/>
      <c r="E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c r="AF220" s="31"/>
      <c r="AG220" s="31"/>
      <c r="AH220" s="31"/>
      <c r="AI220" s="31"/>
    </row>
    <row r="221" spans="1:35">
      <c r="A221" s="31"/>
      <c r="D221" s="31"/>
      <c r="E221" s="31"/>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c r="AF221" s="31"/>
      <c r="AG221" s="31"/>
      <c r="AH221" s="31"/>
      <c r="AI221" s="31"/>
    </row>
    <row r="222" spans="1:35">
      <c r="A222" s="31"/>
      <c r="D222" s="31"/>
      <c r="E222" s="31"/>
      <c r="H222" s="31"/>
      <c r="I222" s="31"/>
      <c r="J222" s="31"/>
      <c r="K222" s="31"/>
      <c r="L222" s="31"/>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row>
    <row r="223" spans="1:35">
      <c r="A223" s="31"/>
      <c r="D223" s="31"/>
      <c r="E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row>
    <row r="224" spans="1:35">
      <c r="A224" s="31"/>
      <c r="D224" s="31"/>
      <c r="E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c r="AF224" s="31"/>
      <c r="AG224" s="31"/>
      <c r="AH224" s="31"/>
      <c r="AI224" s="31"/>
    </row>
    <row r="225" spans="1:35">
      <c r="A225" s="31"/>
      <c r="D225" s="31"/>
      <c r="E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c r="AF225" s="31"/>
      <c r="AG225" s="31"/>
      <c r="AH225" s="31"/>
      <c r="AI225" s="31"/>
    </row>
    <row r="226" spans="1:35">
      <c r="A226" s="31"/>
      <c r="D226" s="31"/>
      <c r="E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c r="AF226" s="31"/>
      <c r="AG226" s="31"/>
      <c r="AH226" s="31"/>
      <c r="AI226" s="31"/>
    </row>
    <row r="227" spans="1:35">
      <c r="A227" s="31"/>
      <c r="D227" s="31"/>
      <c r="E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c r="AF227" s="31"/>
      <c r="AG227" s="31"/>
      <c r="AH227" s="31"/>
      <c r="AI227" s="31"/>
    </row>
    <row r="228" spans="1:35">
      <c r="A228" s="31"/>
      <c r="D228" s="31"/>
      <c r="E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c r="AF228" s="31"/>
      <c r="AG228" s="31"/>
      <c r="AH228" s="31"/>
      <c r="AI228" s="31"/>
    </row>
    <row r="229" spans="1:35">
      <c r="A229" s="31"/>
      <c r="D229" s="31"/>
      <c r="E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c r="AF229" s="31"/>
      <c r="AG229" s="31"/>
      <c r="AH229" s="31"/>
      <c r="AI229" s="31"/>
    </row>
    <row r="230" spans="1:35">
      <c r="A230" s="31"/>
      <c r="D230" s="31"/>
      <c r="E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1"/>
      <c r="AE230" s="31"/>
      <c r="AF230" s="31"/>
      <c r="AG230" s="31"/>
      <c r="AH230" s="31"/>
      <c r="AI230" s="31"/>
    </row>
    <row r="231" spans="1:35">
      <c r="A231" s="31"/>
      <c r="D231" s="31"/>
      <c r="E231" s="31"/>
      <c r="H231" s="31"/>
      <c r="I231" s="31"/>
      <c r="J231" s="31"/>
      <c r="K231" s="31"/>
      <c r="L231" s="31"/>
      <c r="M231" s="31"/>
      <c r="N231" s="31"/>
      <c r="O231" s="31"/>
      <c r="P231" s="31"/>
      <c r="Q231" s="31"/>
      <c r="R231" s="31"/>
      <c r="S231" s="31"/>
      <c r="T231" s="31"/>
      <c r="U231" s="31"/>
      <c r="V231" s="31"/>
      <c r="W231" s="31"/>
      <c r="X231" s="31"/>
      <c r="Y231" s="31"/>
      <c r="Z231" s="31"/>
      <c r="AA231" s="31"/>
      <c r="AB231" s="31"/>
      <c r="AC231" s="31"/>
      <c r="AD231" s="31"/>
      <c r="AE231" s="31"/>
      <c r="AF231" s="31"/>
      <c r="AG231" s="31"/>
      <c r="AH231" s="31"/>
      <c r="AI231" s="31"/>
    </row>
    <row r="232" spans="1:35">
      <c r="A232" s="31"/>
      <c r="D232" s="31"/>
      <c r="E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c r="AF232" s="31"/>
      <c r="AG232" s="31"/>
      <c r="AH232" s="31"/>
      <c r="AI232" s="31"/>
    </row>
    <row r="233" spans="1:35">
      <c r="A233" s="31"/>
      <c r="D233" s="31"/>
      <c r="E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c r="AF233" s="31"/>
      <c r="AG233" s="31"/>
      <c r="AH233" s="31"/>
      <c r="AI233" s="31"/>
    </row>
    <row r="234" spans="1:35">
      <c r="A234" s="31"/>
      <c r="D234" s="31"/>
      <c r="E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c r="AF234" s="31"/>
      <c r="AG234" s="31"/>
      <c r="AH234" s="31"/>
      <c r="AI234" s="31"/>
    </row>
    <row r="235" spans="1:35">
      <c r="A235" s="31"/>
      <c r="D235" s="31"/>
      <c r="E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c r="AF235" s="31"/>
      <c r="AG235" s="31"/>
      <c r="AH235" s="31"/>
      <c r="AI235" s="31"/>
    </row>
    <row r="236" spans="1:35">
      <c r="A236" s="31"/>
      <c r="D236" s="31"/>
      <c r="E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c r="AF236" s="31"/>
      <c r="AG236" s="31"/>
      <c r="AH236" s="31"/>
      <c r="AI236" s="31"/>
    </row>
    <row r="237" spans="1:35">
      <c r="A237" s="31"/>
      <c r="D237" s="31"/>
      <c r="E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c r="AF237" s="31"/>
      <c r="AG237" s="31"/>
      <c r="AH237" s="31"/>
      <c r="AI237" s="31"/>
    </row>
    <row r="238" spans="1:35">
      <c r="A238" s="31"/>
      <c r="D238" s="31"/>
      <c r="E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c r="AF238" s="31"/>
      <c r="AG238" s="31"/>
      <c r="AH238" s="31"/>
      <c r="AI238" s="31"/>
    </row>
    <row r="239" spans="1:35">
      <c r="A239" s="31"/>
      <c r="D239" s="31"/>
      <c r="E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c r="AF239" s="31"/>
      <c r="AG239" s="31"/>
      <c r="AH239" s="31"/>
      <c r="AI239" s="31"/>
    </row>
    <row r="240" spans="1:35">
      <c r="A240" s="31"/>
      <c r="D240" s="31"/>
      <c r="E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1"/>
      <c r="AE240" s="31"/>
      <c r="AF240" s="31"/>
      <c r="AG240" s="31"/>
      <c r="AH240" s="31"/>
      <c r="AI240" s="31"/>
    </row>
    <row r="241" spans="1:35">
      <c r="A241" s="31"/>
      <c r="D241" s="31"/>
      <c r="E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c r="AF241" s="31"/>
      <c r="AG241" s="31"/>
      <c r="AH241" s="31"/>
      <c r="AI241" s="31"/>
    </row>
    <row r="242" spans="1:35">
      <c r="A242" s="31"/>
      <c r="D242" s="31"/>
      <c r="E242" s="31"/>
      <c r="H242" s="31"/>
      <c r="I242" s="31"/>
      <c r="J242" s="31"/>
      <c r="K242" s="31"/>
      <c r="L242" s="31"/>
      <c r="M242" s="31"/>
      <c r="N242" s="31"/>
      <c r="O242" s="31"/>
      <c r="P242" s="31"/>
      <c r="Q242" s="31"/>
      <c r="R242" s="31"/>
      <c r="S242" s="31"/>
      <c r="T242" s="31"/>
      <c r="U242" s="31"/>
      <c r="V242" s="31"/>
      <c r="W242" s="31"/>
      <c r="X242" s="31"/>
      <c r="Y242" s="31"/>
      <c r="Z242" s="31"/>
      <c r="AA242" s="31"/>
      <c r="AB242" s="31"/>
      <c r="AC242" s="31"/>
      <c r="AD242" s="31"/>
      <c r="AE242" s="31"/>
      <c r="AF242" s="31"/>
      <c r="AG242" s="31"/>
      <c r="AH242" s="31"/>
      <c r="AI242" s="31"/>
    </row>
    <row r="243" spans="1:35">
      <c r="A243" s="31"/>
      <c r="D243" s="31"/>
      <c r="E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c r="AF243" s="31"/>
      <c r="AG243" s="31"/>
      <c r="AH243" s="31"/>
      <c r="AI243" s="31"/>
    </row>
    <row r="244" spans="1:35">
      <c r="A244" s="31"/>
      <c r="D244" s="31"/>
      <c r="E244" s="31"/>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c r="AF244" s="31"/>
      <c r="AG244" s="31"/>
      <c r="AH244" s="31"/>
      <c r="AI244" s="31"/>
    </row>
    <row r="245" spans="1:35">
      <c r="A245" s="31"/>
      <c r="D245" s="31"/>
      <c r="E245" s="31"/>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c r="AF245" s="31"/>
      <c r="AG245" s="31"/>
      <c r="AH245" s="31"/>
      <c r="AI245" s="31"/>
    </row>
    <row r="246" spans="1:35">
      <c r="A246" s="31"/>
      <c r="D246" s="31"/>
      <c r="E246" s="31"/>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c r="AF246" s="31"/>
      <c r="AG246" s="31"/>
      <c r="AH246" s="31"/>
      <c r="AI246" s="31"/>
    </row>
    <row r="247" spans="1:35">
      <c r="A247" s="31"/>
      <c r="D247" s="31"/>
      <c r="E247" s="31"/>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c r="AF247" s="31"/>
      <c r="AG247" s="31"/>
      <c r="AH247" s="31"/>
      <c r="AI247" s="31"/>
    </row>
    <row r="248" spans="1:35">
      <c r="A248" s="31"/>
      <c r="D248" s="31"/>
      <c r="E248" s="31"/>
      <c r="H248" s="31"/>
      <c r="I248" s="31"/>
      <c r="J248" s="31"/>
      <c r="K248" s="31"/>
      <c r="L248" s="31"/>
      <c r="M248" s="31"/>
      <c r="N248" s="31"/>
      <c r="O248" s="31"/>
      <c r="P248" s="31"/>
      <c r="Q248" s="31"/>
      <c r="R248" s="31"/>
      <c r="S248" s="31"/>
      <c r="T248" s="31"/>
      <c r="U248" s="31"/>
      <c r="V248" s="31"/>
      <c r="W248" s="31"/>
      <c r="X248" s="31"/>
      <c r="Y248" s="31"/>
      <c r="Z248" s="31"/>
      <c r="AA248" s="31"/>
      <c r="AB248" s="31"/>
      <c r="AC248" s="31"/>
      <c r="AD248" s="31"/>
      <c r="AE248" s="31"/>
      <c r="AF248" s="31"/>
      <c r="AG248" s="31"/>
      <c r="AH248" s="31"/>
      <c r="AI248" s="31"/>
    </row>
    <row r="249" spans="1:35">
      <c r="A249" s="31"/>
      <c r="D249" s="31"/>
      <c r="E249" s="31"/>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row>
    <row r="250" spans="1:35">
      <c r="A250" s="31"/>
      <c r="D250" s="31"/>
      <c r="E250" s="31"/>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c r="AF250" s="31"/>
      <c r="AG250" s="31"/>
      <c r="AH250" s="31"/>
      <c r="AI250" s="31"/>
    </row>
    <row r="251" spans="1:35">
      <c r="A251" s="31"/>
      <c r="D251" s="31"/>
      <c r="E251" s="31"/>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c r="AF251" s="31"/>
      <c r="AG251" s="31"/>
      <c r="AH251" s="31"/>
      <c r="AI251" s="31"/>
    </row>
    <row r="252" spans="1:35">
      <c r="A252" s="31"/>
      <c r="D252" s="31"/>
      <c r="E252" s="31"/>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c r="AF252" s="31"/>
      <c r="AG252" s="31"/>
      <c r="AH252" s="31"/>
      <c r="AI252" s="31"/>
    </row>
    <row r="253" spans="1:35">
      <c r="A253" s="31"/>
      <c r="D253" s="31"/>
      <c r="E253" s="31"/>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c r="AF253" s="31"/>
      <c r="AG253" s="31"/>
      <c r="AH253" s="31"/>
      <c r="AI253" s="31"/>
    </row>
    <row r="254" spans="1:35">
      <c r="A254" s="31"/>
      <c r="D254" s="31"/>
      <c r="E254" s="31"/>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c r="AF254" s="31"/>
      <c r="AG254" s="31"/>
      <c r="AH254" s="31"/>
      <c r="AI254" s="31"/>
    </row>
    <row r="255" spans="1:35">
      <c r="A255" s="31"/>
      <c r="D255" s="31"/>
      <c r="E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c r="AF255" s="31"/>
      <c r="AG255" s="31"/>
      <c r="AH255" s="31"/>
      <c r="AI255" s="31"/>
    </row>
    <row r="256" spans="1:35">
      <c r="A256" s="31"/>
      <c r="D256" s="31"/>
      <c r="E256" s="31"/>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row>
    <row r="257" spans="1:35">
      <c r="A257" s="31"/>
      <c r="D257" s="31"/>
      <c r="E257" s="31"/>
      <c r="H257" s="31"/>
      <c r="I257" s="31"/>
      <c r="J257" s="31"/>
      <c r="K257" s="31"/>
      <c r="L257" s="31"/>
      <c r="M257" s="31"/>
      <c r="N257" s="31"/>
      <c r="O257" s="31"/>
      <c r="P257" s="31"/>
      <c r="Q257" s="31"/>
      <c r="R257" s="31"/>
      <c r="S257" s="31"/>
      <c r="T257" s="31"/>
      <c r="U257" s="31"/>
      <c r="V257" s="31"/>
      <c r="W257" s="31"/>
      <c r="X257" s="31"/>
      <c r="Y257" s="31"/>
      <c r="Z257" s="31"/>
      <c r="AA257" s="31"/>
      <c r="AB257" s="31"/>
      <c r="AC257" s="31"/>
      <c r="AD257" s="31"/>
      <c r="AE257" s="31"/>
      <c r="AF257" s="31"/>
      <c r="AG257" s="31"/>
      <c r="AH257" s="31"/>
      <c r="AI257" s="31"/>
    </row>
    <row r="258" spans="1:35">
      <c r="A258" s="31"/>
      <c r="D258" s="31"/>
      <c r="E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c r="AF258" s="31"/>
      <c r="AG258" s="31"/>
      <c r="AH258" s="31"/>
      <c r="AI258" s="31"/>
    </row>
    <row r="259" spans="1:35">
      <c r="A259" s="31"/>
      <c r="D259" s="31"/>
      <c r="E259" s="31"/>
      <c r="H259" s="31"/>
      <c r="I259" s="31"/>
      <c r="J259" s="31"/>
      <c r="K259" s="31"/>
      <c r="L259" s="31"/>
      <c r="M259" s="31"/>
      <c r="N259" s="31"/>
      <c r="O259" s="31"/>
      <c r="P259" s="31"/>
      <c r="Q259" s="31"/>
      <c r="R259" s="31"/>
      <c r="S259" s="31"/>
      <c r="T259" s="31"/>
      <c r="U259" s="31"/>
      <c r="V259" s="31"/>
      <c r="W259" s="31"/>
      <c r="X259" s="31"/>
      <c r="Y259" s="31"/>
      <c r="Z259" s="31"/>
      <c r="AA259" s="31"/>
      <c r="AB259" s="31"/>
      <c r="AC259" s="31"/>
      <c r="AD259" s="31"/>
      <c r="AE259" s="31"/>
      <c r="AF259" s="31"/>
      <c r="AG259" s="31"/>
      <c r="AH259" s="31"/>
      <c r="AI259" s="31"/>
    </row>
    <row r="260" spans="1:35">
      <c r="A260" s="31"/>
      <c r="D260" s="31"/>
      <c r="E260" s="31"/>
      <c r="H260" s="31"/>
      <c r="I260" s="31"/>
      <c r="J260" s="31"/>
      <c r="K260" s="31"/>
      <c r="L260" s="31"/>
      <c r="M260" s="31"/>
      <c r="N260" s="31"/>
      <c r="O260" s="31"/>
      <c r="P260" s="31"/>
      <c r="Q260" s="31"/>
      <c r="R260" s="31"/>
      <c r="S260" s="31"/>
      <c r="T260" s="31"/>
      <c r="U260" s="31"/>
      <c r="V260" s="31"/>
      <c r="W260" s="31"/>
      <c r="X260" s="31"/>
      <c r="Y260" s="31"/>
      <c r="Z260" s="31"/>
      <c r="AA260" s="31"/>
      <c r="AB260" s="31"/>
      <c r="AC260" s="31"/>
      <c r="AD260" s="31"/>
      <c r="AE260" s="31"/>
      <c r="AF260" s="31"/>
      <c r="AG260" s="31"/>
      <c r="AH260" s="31"/>
      <c r="AI260" s="31"/>
    </row>
    <row r="261" spans="1:35">
      <c r="A261" s="31"/>
      <c r="D261" s="31"/>
      <c r="E261" s="31"/>
      <c r="H261" s="31"/>
      <c r="I261" s="31"/>
      <c r="J261" s="31"/>
      <c r="K261" s="31"/>
      <c r="L261" s="31"/>
      <c r="M261" s="31"/>
      <c r="N261" s="31"/>
      <c r="O261" s="31"/>
      <c r="P261" s="31"/>
      <c r="Q261" s="31"/>
      <c r="R261" s="31"/>
      <c r="S261" s="31"/>
      <c r="T261" s="31"/>
      <c r="U261" s="31"/>
      <c r="V261" s="31"/>
      <c r="W261" s="31"/>
      <c r="X261" s="31"/>
      <c r="Y261" s="31"/>
      <c r="Z261" s="31"/>
      <c r="AA261" s="31"/>
      <c r="AB261" s="31"/>
      <c r="AC261" s="31"/>
      <c r="AD261" s="31"/>
      <c r="AE261" s="31"/>
      <c r="AF261" s="31"/>
      <c r="AG261" s="31"/>
      <c r="AH261" s="31"/>
      <c r="AI261" s="31"/>
    </row>
    <row r="262" spans="1:35">
      <c r="A262" s="31"/>
      <c r="D262" s="31"/>
      <c r="E262" s="31"/>
      <c r="H262" s="31"/>
      <c r="I262" s="31"/>
      <c r="J262" s="31"/>
      <c r="K262" s="31"/>
      <c r="L262" s="31"/>
      <c r="M262" s="31"/>
      <c r="N262" s="31"/>
      <c r="O262" s="31"/>
      <c r="P262" s="31"/>
      <c r="Q262" s="31"/>
      <c r="R262" s="31"/>
      <c r="S262" s="31"/>
      <c r="T262" s="31"/>
      <c r="U262" s="31"/>
      <c r="V262" s="31"/>
      <c r="W262" s="31"/>
      <c r="X262" s="31"/>
      <c r="Y262" s="31"/>
      <c r="Z262" s="31"/>
      <c r="AA262" s="31"/>
      <c r="AB262" s="31"/>
      <c r="AC262" s="31"/>
      <c r="AD262" s="31"/>
      <c r="AE262" s="31"/>
      <c r="AF262" s="31"/>
      <c r="AG262" s="31"/>
      <c r="AH262" s="31"/>
      <c r="AI262" s="31"/>
    </row>
    <row r="263" spans="1:35">
      <c r="A263" s="31"/>
      <c r="D263" s="31"/>
      <c r="E263" s="31"/>
      <c r="H263" s="31"/>
      <c r="I263" s="31"/>
      <c r="J263" s="31"/>
      <c r="K263" s="31"/>
      <c r="L263" s="31"/>
      <c r="M263" s="31"/>
      <c r="N263" s="31"/>
      <c r="O263" s="31"/>
      <c r="P263" s="31"/>
      <c r="Q263" s="31"/>
      <c r="R263" s="31"/>
      <c r="S263" s="31"/>
      <c r="T263" s="31"/>
      <c r="U263" s="31"/>
      <c r="V263" s="31"/>
      <c r="W263" s="31"/>
      <c r="X263" s="31"/>
      <c r="Y263" s="31"/>
      <c r="Z263" s="31"/>
      <c r="AA263" s="31"/>
      <c r="AB263" s="31"/>
      <c r="AC263" s="31"/>
      <c r="AD263" s="31"/>
      <c r="AE263" s="31"/>
      <c r="AF263" s="31"/>
      <c r="AG263" s="31"/>
      <c r="AH263" s="31"/>
      <c r="AI263" s="31"/>
    </row>
    <row r="264" spans="1:35">
      <c r="A264" s="31"/>
      <c r="D264" s="31"/>
      <c r="E264" s="31"/>
      <c r="H264" s="31"/>
      <c r="I264" s="31"/>
      <c r="J264" s="31"/>
      <c r="K264" s="31"/>
      <c r="L264" s="31"/>
      <c r="M264" s="31"/>
      <c r="N264" s="31"/>
      <c r="O264" s="31"/>
      <c r="P264" s="31"/>
      <c r="Q264" s="31"/>
      <c r="R264" s="31"/>
      <c r="S264" s="31"/>
      <c r="T264" s="31"/>
      <c r="U264" s="31"/>
      <c r="V264" s="31"/>
      <c r="W264" s="31"/>
      <c r="X264" s="31"/>
      <c r="Y264" s="31"/>
      <c r="Z264" s="31"/>
      <c r="AA264" s="31"/>
      <c r="AB264" s="31"/>
      <c r="AC264" s="31"/>
      <c r="AD264" s="31"/>
      <c r="AE264" s="31"/>
      <c r="AF264" s="31"/>
      <c r="AG264" s="31"/>
      <c r="AH264" s="31"/>
      <c r="AI264" s="31"/>
    </row>
    <row r="265" spans="1:35">
      <c r="A265" s="31"/>
      <c r="D265" s="31"/>
      <c r="E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c r="AF265" s="31"/>
      <c r="AG265" s="31"/>
      <c r="AH265" s="31"/>
      <c r="AI265" s="31"/>
    </row>
    <row r="266" spans="1:35">
      <c r="A266" s="31"/>
      <c r="D266" s="31"/>
      <c r="E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c r="AF266" s="31"/>
      <c r="AG266" s="31"/>
      <c r="AH266" s="31"/>
      <c r="AI266" s="31"/>
    </row>
    <row r="267" spans="1:35">
      <c r="A267" s="31"/>
      <c r="D267" s="31"/>
      <c r="E267" s="31"/>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c r="AF267" s="31"/>
      <c r="AG267" s="31"/>
      <c r="AH267" s="31"/>
      <c r="AI267" s="31"/>
    </row>
    <row r="268" spans="1:35">
      <c r="A268" s="31"/>
      <c r="D268" s="31"/>
      <c r="E268" s="31"/>
      <c r="H268" s="31"/>
      <c r="I268" s="31"/>
      <c r="J268" s="31"/>
      <c r="K268" s="31"/>
      <c r="L268" s="31"/>
      <c r="M268" s="31"/>
      <c r="N268" s="31"/>
      <c r="O268" s="31"/>
      <c r="P268" s="31"/>
      <c r="Q268" s="31"/>
      <c r="R268" s="31"/>
      <c r="S268" s="31"/>
      <c r="T268" s="31"/>
      <c r="U268" s="31"/>
      <c r="V268" s="31"/>
      <c r="W268" s="31"/>
      <c r="X268" s="31"/>
      <c r="Y268" s="31"/>
      <c r="Z268" s="31"/>
      <c r="AA268" s="31"/>
      <c r="AB268" s="31"/>
      <c r="AC268" s="31"/>
      <c r="AD268" s="31"/>
      <c r="AE268" s="31"/>
      <c r="AF268" s="31"/>
      <c r="AG268" s="31"/>
      <c r="AH268" s="31"/>
      <c r="AI268" s="31"/>
    </row>
    <row r="269" spans="1:35">
      <c r="A269" s="31"/>
      <c r="D269" s="31"/>
      <c r="E269" s="31"/>
      <c r="H269" s="31"/>
      <c r="I269" s="31"/>
      <c r="J269" s="31"/>
      <c r="K269" s="31"/>
      <c r="L269" s="31"/>
      <c r="M269" s="31"/>
      <c r="N269" s="31"/>
      <c r="O269" s="31"/>
      <c r="P269" s="31"/>
      <c r="Q269" s="31"/>
      <c r="R269" s="31"/>
      <c r="S269" s="31"/>
      <c r="T269" s="31"/>
      <c r="U269" s="31"/>
      <c r="V269" s="31"/>
      <c r="W269" s="31"/>
      <c r="X269" s="31"/>
      <c r="Y269" s="31"/>
      <c r="Z269" s="31"/>
      <c r="AA269" s="31"/>
      <c r="AB269" s="31"/>
      <c r="AC269" s="31"/>
      <c r="AD269" s="31"/>
      <c r="AE269" s="31"/>
      <c r="AF269" s="31"/>
      <c r="AG269" s="31"/>
      <c r="AH269" s="31"/>
      <c r="AI269" s="31"/>
    </row>
    <row r="270" spans="1:35">
      <c r="A270" s="31"/>
      <c r="D270" s="31"/>
      <c r="E270" s="31"/>
      <c r="H270" s="31"/>
      <c r="I270" s="31"/>
      <c r="J270" s="31"/>
      <c r="K270" s="31"/>
      <c r="L270" s="31"/>
      <c r="M270" s="31"/>
      <c r="N270" s="31"/>
      <c r="O270" s="31"/>
      <c r="P270" s="31"/>
      <c r="Q270" s="31"/>
      <c r="R270" s="31"/>
      <c r="S270" s="31"/>
      <c r="T270" s="31"/>
      <c r="U270" s="31"/>
      <c r="V270" s="31"/>
      <c r="W270" s="31"/>
      <c r="X270" s="31"/>
      <c r="Y270" s="31"/>
      <c r="Z270" s="31"/>
      <c r="AA270" s="31"/>
      <c r="AB270" s="31"/>
      <c r="AC270" s="31"/>
      <c r="AD270" s="31"/>
      <c r="AE270" s="31"/>
      <c r="AF270" s="31"/>
      <c r="AG270" s="31"/>
      <c r="AH270" s="31"/>
      <c r="AI270" s="31"/>
    </row>
    <row r="271" spans="1:35">
      <c r="A271" s="31"/>
      <c r="D271" s="31"/>
      <c r="E271" s="31"/>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c r="AF271" s="31"/>
      <c r="AG271" s="31"/>
      <c r="AH271" s="31"/>
      <c r="AI271" s="31"/>
    </row>
    <row r="272" spans="1:35">
      <c r="A272" s="31"/>
      <c r="D272" s="31"/>
      <c r="E272" s="31"/>
      <c r="H272" s="31"/>
      <c r="I272" s="31"/>
      <c r="J272" s="31"/>
      <c r="K272" s="31"/>
      <c r="L272" s="31"/>
      <c r="M272" s="31"/>
      <c r="N272" s="31"/>
      <c r="O272" s="31"/>
      <c r="P272" s="31"/>
      <c r="Q272" s="31"/>
      <c r="R272" s="31"/>
      <c r="S272" s="31"/>
      <c r="T272" s="31"/>
      <c r="U272" s="31"/>
      <c r="V272" s="31"/>
      <c r="W272" s="31"/>
      <c r="X272" s="31"/>
      <c r="Y272" s="31"/>
      <c r="Z272" s="31"/>
      <c r="AA272" s="31"/>
      <c r="AB272" s="31"/>
      <c r="AC272" s="31"/>
      <c r="AD272" s="31"/>
      <c r="AE272" s="31"/>
      <c r="AF272" s="31"/>
      <c r="AG272" s="31"/>
      <c r="AH272" s="31"/>
      <c r="AI272" s="31"/>
    </row>
    <row r="273" spans="1:35">
      <c r="A273" s="31"/>
      <c r="D273" s="31"/>
      <c r="E273" s="31"/>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c r="AF273" s="31"/>
      <c r="AG273" s="31"/>
      <c r="AH273" s="31"/>
      <c r="AI273" s="31"/>
    </row>
    <row r="274" spans="1:35">
      <c r="A274" s="31"/>
      <c r="D274" s="31"/>
      <c r="E274" s="31"/>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c r="AF274" s="31"/>
      <c r="AG274" s="31"/>
      <c r="AH274" s="31"/>
      <c r="AI274" s="31"/>
    </row>
    <row r="275" spans="1:35">
      <c r="A275" s="31"/>
      <c r="D275" s="31"/>
      <c r="E275" s="31"/>
      <c r="H275" s="31"/>
      <c r="I275" s="31"/>
      <c r="J275" s="31"/>
      <c r="K275" s="31"/>
      <c r="L275" s="31"/>
      <c r="M275" s="31"/>
      <c r="N275" s="31"/>
      <c r="O275" s="31"/>
      <c r="P275" s="31"/>
      <c r="Q275" s="31"/>
      <c r="R275" s="31"/>
      <c r="S275" s="31"/>
      <c r="T275" s="31"/>
      <c r="U275" s="31"/>
      <c r="V275" s="31"/>
      <c r="W275" s="31"/>
      <c r="X275" s="31"/>
      <c r="Y275" s="31"/>
      <c r="Z275" s="31"/>
      <c r="AA275" s="31"/>
      <c r="AB275" s="31"/>
      <c r="AC275" s="31"/>
      <c r="AD275" s="31"/>
      <c r="AE275" s="31"/>
      <c r="AF275" s="31"/>
      <c r="AG275" s="31"/>
      <c r="AH275" s="31"/>
      <c r="AI275" s="31"/>
    </row>
    <row r="276" spans="1:35">
      <c r="A276" s="31"/>
      <c r="D276" s="31"/>
      <c r="E276" s="31"/>
      <c r="H276" s="31"/>
      <c r="I276" s="31"/>
      <c r="J276" s="31"/>
      <c r="K276" s="31"/>
      <c r="L276" s="31"/>
      <c r="M276" s="31"/>
      <c r="N276" s="31"/>
      <c r="O276" s="31"/>
      <c r="P276" s="31"/>
      <c r="Q276" s="31"/>
      <c r="R276" s="31"/>
      <c r="S276" s="31"/>
      <c r="T276" s="31"/>
      <c r="U276" s="31"/>
      <c r="V276" s="31"/>
      <c r="W276" s="31"/>
      <c r="X276" s="31"/>
      <c r="Y276" s="31"/>
      <c r="Z276" s="31"/>
      <c r="AA276" s="31"/>
      <c r="AB276" s="31"/>
      <c r="AC276" s="31"/>
      <c r="AD276" s="31"/>
      <c r="AE276" s="31"/>
      <c r="AF276" s="31"/>
      <c r="AG276" s="31"/>
      <c r="AH276" s="31"/>
      <c r="AI276" s="31"/>
    </row>
    <row r="277" spans="1:35">
      <c r="A277" s="31"/>
      <c r="D277" s="31"/>
      <c r="E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1"/>
      <c r="AE277" s="31"/>
      <c r="AF277" s="31"/>
      <c r="AG277" s="31"/>
      <c r="AH277" s="31"/>
      <c r="AI277" s="31"/>
    </row>
    <row r="278" spans="1:35">
      <c r="A278" s="31"/>
      <c r="D278" s="31"/>
      <c r="E278" s="31"/>
      <c r="H278" s="31"/>
      <c r="I278" s="31"/>
      <c r="J278" s="31"/>
      <c r="K278" s="31"/>
      <c r="L278" s="31"/>
      <c r="M278" s="31"/>
      <c r="N278" s="31"/>
      <c r="O278" s="31"/>
      <c r="P278" s="31"/>
      <c r="Q278" s="31"/>
      <c r="R278" s="31"/>
      <c r="S278" s="31"/>
      <c r="T278" s="31"/>
      <c r="U278" s="31"/>
      <c r="V278" s="31"/>
      <c r="W278" s="31"/>
      <c r="X278" s="31"/>
      <c r="Y278" s="31"/>
      <c r="Z278" s="31"/>
      <c r="AA278" s="31"/>
      <c r="AB278" s="31"/>
      <c r="AC278" s="31"/>
      <c r="AD278" s="31"/>
      <c r="AE278" s="31"/>
      <c r="AF278" s="31"/>
      <c r="AG278" s="31"/>
      <c r="AH278" s="31"/>
      <c r="AI278" s="31"/>
    </row>
    <row r="279" spans="1:35">
      <c r="A279" s="31"/>
      <c r="D279" s="31"/>
      <c r="E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c r="AF279" s="31"/>
      <c r="AG279" s="31"/>
      <c r="AH279" s="31"/>
      <c r="AI279" s="31"/>
    </row>
    <row r="280" spans="1:35">
      <c r="A280" s="31"/>
      <c r="D280" s="31"/>
      <c r="E280" s="31"/>
      <c r="H280" s="31"/>
      <c r="I280" s="31"/>
      <c r="J280" s="31"/>
      <c r="K280" s="31"/>
      <c r="L280" s="31"/>
      <c r="M280" s="31"/>
      <c r="N280" s="31"/>
      <c r="O280" s="31"/>
      <c r="P280" s="31"/>
      <c r="Q280" s="31"/>
      <c r="R280" s="31"/>
      <c r="S280" s="31"/>
      <c r="T280" s="31"/>
      <c r="U280" s="31"/>
      <c r="V280" s="31"/>
      <c r="W280" s="31"/>
      <c r="X280" s="31"/>
      <c r="Y280" s="31"/>
      <c r="Z280" s="31"/>
      <c r="AA280" s="31"/>
      <c r="AB280" s="31"/>
      <c r="AC280" s="31"/>
      <c r="AD280" s="31"/>
      <c r="AE280" s="31"/>
      <c r="AF280" s="31"/>
      <c r="AG280" s="31"/>
      <c r="AH280" s="31"/>
      <c r="AI280" s="31"/>
    </row>
    <row r="281" spans="1:35">
      <c r="A281" s="31"/>
      <c r="D281" s="31"/>
      <c r="E281" s="31"/>
      <c r="H281" s="31"/>
      <c r="I281" s="31"/>
      <c r="J281" s="31"/>
      <c r="K281" s="31"/>
      <c r="L281" s="31"/>
      <c r="M281" s="31"/>
      <c r="N281" s="31"/>
      <c r="O281" s="31"/>
      <c r="P281" s="31"/>
      <c r="Q281" s="31"/>
      <c r="R281" s="31"/>
      <c r="S281" s="31"/>
      <c r="T281" s="31"/>
      <c r="U281" s="31"/>
      <c r="V281" s="31"/>
      <c r="W281" s="31"/>
      <c r="X281" s="31"/>
      <c r="Y281" s="31"/>
      <c r="Z281" s="31"/>
      <c r="AA281" s="31"/>
      <c r="AB281" s="31"/>
      <c r="AC281" s="31"/>
      <c r="AD281" s="31"/>
      <c r="AE281" s="31"/>
      <c r="AF281" s="31"/>
      <c r="AG281" s="31"/>
      <c r="AH281" s="31"/>
      <c r="AI281" s="31"/>
    </row>
    <row r="282" spans="1:35">
      <c r="A282" s="31"/>
      <c r="D282" s="31"/>
      <c r="E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1"/>
      <c r="AE282" s="31"/>
      <c r="AF282" s="31"/>
      <c r="AG282" s="31"/>
      <c r="AH282" s="31"/>
      <c r="AI282" s="31"/>
    </row>
    <row r="283" spans="1:35">
      <c r="A283" s="31"/>
      <c r="D283" s="31"/>
      <c r="E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1"/>
      <c r="AE283" s="31"/>
      <c r="AF283" s="31"/>
      <c r="AG283" s="31"/>
      <c r="AH283" s="31"/>
      <c r="AI283" s="31"/>
    </row>
    <row r="284" spans="1:35">
      <c r="A284" s="31"/>
      <c r="D284" s="31"/>
      <c r="E284" s="31"/>
      <c r="H284" s="31"/>
      <c r="I284" s="31"/>
      <c r="J284" s="31"/>
      <c r="K284" s="31"/>
      <c r="L284" s="31"/>
      <c r="M284" s="31"/>
      <c r="N284" s="31"/>
      <c r="O284" s="31"/>
      <c r="P284" s="31"/>
      <c r="Q284" s="31"/>
      <c r="R284" s="31"/>
      <c r="S284" s="31"/>
      <c r="T284" s="31"/>
      <c r="U284" s="31"/>
      <c r="V284" s="31"/>
      <c r="W284" s="31"/>
      <c r="X284" s="31"/>
      <c r="Y284" s="31"/>
      <c r="Z284" s="31"/>
      <c r="AA284" s="31"/>
      <c r="AB284" s="31"/>
      <c r="AC284" s="31"/>
      <c r="AD284" s="31"/>
      <c r="AE284" s="31"/>
      <c r="AF284" s="31"/>
      <c r="AG284" s="31"/>
      <c r="AH284" s="31"/>
      <c r="AI284" s="31"/>
    </row>
    <row r="285" spans="1:35">
      <c r="A285" s="31"/>
      <c r="D285" s="31"/>
      <c r="E285" s="31"/>
      <c r="H285" s="31"/>
      <c r="I285" s="31"/>
      <c r="J285" s="31"/>
      <c r="K285" s="31"/>
      <c r="L285" s="31"/>
      <c r="M285" s="31"/>
      <c r="N285" s="31"/>
      <c r="O285" s="31"/>
      <c r="P285" s="31"/>
      <c r="Q285" s="31"/>
      <c r="R285" s="31"/>
      <c r="S285" s="31"/>
      <c r="T285" s="31"/>
      <c r="U285" s="31"/>
      <c r="V285" s="31"/>
      <c r="W285" s="31"/>
      <c r="X285" s="31"/>
      <c r="Y285" s="31"/>
      <c r="Z285" s="31"/>
      <c r="AA285" s="31"/>
      <c r="AB285" s="31"/>
      <c r="AC285" s="31"/>
      <c r="AD285" s="31"/>
      <c r="AE285" s="31"/>
      <c r="AF285" s="31"/>
      <c r="AG285" s="31"/>
      <c r="AH285" s="31"/>
      <c r="AI285" s="31"/>
    </row>
    <row r="286" spans="1:35">
      <c r="A286" s="31"/>
      <c r="D286" s="31"/>
      <c r="E286" s="31"/>
      <c r="H286" s="31"/>
      <c r="I286" s="31"/>
      <c r="J286" s="31"/>
      <c r="K286" s="31"/>
      <c r="L286" s="31"/>
      <c r="M286" s="31"/>
      <c r="N286" s="31"/>
      <c r="O286" s="31"/>
      <c r="P286" s="31"/>
      <c r="Q286" s="31"/>
      <c r="R286" s="31"/>
      <c r="S286" s="31"/>
      <c r="T286" s="31"/>
      <c r="U286" s="31"/>
      <c r="V286" s="31"/>
      <c r="W286" s="31"/>
      <c r="X286" s="31"/>
      <c r="Y286" s="31"/>
      <c r="Z286" s="31"/>
      <c r="AA286" s="31"/>
      <c r="AB286" s="31"/>
      <c r="AC286" s="31"/>
      <c r="AD286" s="31"/>
      <c r="AE286" s="31"/>
      <c r="AF286" s="31"/>
      <c r="AG286" s="31"/>
      <c r="AH286" s="31"/>
      <c r="AI286" s="31"/>
    </row>
    <row r="287" spans="1:35">
      <c r="A287" s="31"/>
      <c r="D287" s="31"/>
      <c r="E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c r="AF287" s="31"/>
      <c r="AG287" s="31"/>
      <c r="AH287" s="31"/>
      <c r="AI287" s="31"/>
    </row>
    <row r="288" spans="1:35">
      <c r="A288" s="31"/>
      <c r="D288" s="31"/>
      <c r="E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c r="AF288" s="31"/>
      <c r="AG288" s="31"/>
      <c r="AH288" s="31"/>
      <c r="AI288" s="31"/>
    </row>
    <row r="289" spans="1:35">
      <c r="A289" s="31"/>
      <c r="D289" s="31"/>
      <c r="E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1"/>
      <c r="AE289" s="31"/>
      <c r="AF289" s="31"/>
      <c r="AG289" s="31"/>
      <c r="AH289" s="31"/>
      <c r="AI289" s="31"/>
    </row>
    <row r="290" spans="1:35">
      <c r="A290" s="31"/>
      <c r="D290" s="31"/>
      <c r="E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c r="AF290" s="31"/>
      <c r="AG290" s="31"/>
      <c r="AH290" s="31"/>
      <c r="AI290" s="31"/>
    </row>
    <row r="291" spans="1:35">
      <c r="A291" s="31"/>
      <c r="D291" s="31"/>
      <c r="E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c r="AF291" s="31"/>
      <c r="AG291" s="31"/>
      <c r="AH291" s="31"/>
      <c r="AI291" s="31"/>
    </row>
    <row r="292" spans="1:35">
      <c r="A292" s="31"/>
      <c r="D292" s="31"/>
      <c r="E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c r="AF292" s="31"/>
      <c r="AG292" s="31"/>
      <c r="AH292" s="31"/>
      <c r="AI292" s="31"/>
    </row>
    <row r="293" spans="1:35">
      <c r="A293" s="31"/>
      <c r="D293" s="31"/>
      <c r="E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c r="AF293" s="31"/>
      <c r="AG293" s="31"/>
      <c r="AH293" s="31"/>
      <c r="AI293" s="31"/>
    </row>
    <row r="294" spans="1:35">
      <c r="A294" s="31"/>
      <c r="D294" s="31"/>
      <c r="E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c r="AF294" s="31"/>
      <c r="AG294" s="31"/>
      <c r="AH294" s="31"/>
      <c r="AI294" s="31"/>
    </row>
    <row r="295" spans="1:35">
      <c r="A295" s="31"/>
      <c r="D295" s="31"/>
      <c r="E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c r="AF295" s="31"/>
      <c r="AG295" s="31"/>
      <c r="AH295" s="31"/>
      <c r="AI295" s="31"/>
    </row>
    <row r="296" spans="1:35">
      <c r="A296" s="31"/>
      <c r="D296" s="31"/>
      <c r="E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c r="AF296" s="31"/>
      <c r="AG296" s="31"/>
      <c r="AH296" s="31"/>
      <c r="AI296" s="31"/>
    </row>
    <row r="297" spans="1:35">
      <c r="A297" s="31"/>
      <c r="D297" s="31"/>
      <c r="E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c r="AF297" s="31"/>
      <c r="AG297" s="31"/>
      <c r="AH297" s="31"/>
      <c r="AI297" s="31"/>
    </row>
    <row r="298" spans="1:35">
      <c r="A298" s="31"/>
      <c r="D298" s="31"/>
      <c r="E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c r="AF298" s="31"/>
      <c r="AG298" s="31"/>
      <c r="AH298" s="31"/>
      <c r="AI298" s="31"/>
    </row>
    <row r="299" spans="1:35">
      <c r="A299" s="31"/>
      <c r="D299" s="31"/>
      <c r="E299" s="31"/>
      <c r="H299" s="31"/>
      <c r="I299" s="31"/>
      <c r="J299" s="31"/>
      <c r="K299" s="31"/>
      <c r="L299" s="31"/>
      <c r="M299" s="31"/>
      <c r="N299" s="31"/>
      <c r="O299" s="31"/>
      <c r="P299" s="31"/>
      <c r="Q299" s="31"/>
      <c r="R299" s="31"/>
      <c r="S299" s="31"/>
      <c r="T299" s="31"/>
      <c r="U299" s="31"/>
      <c r="V299" s="31"/>
      <c r="W299" s="31"/>
      <c r="X299" s="31"/>
      <c r="Y299" s="31"/>
      <c r="Z299" s="31"/>
      <c r="AA299" s="31"/>
      <c r="AB299" s="31"/>
      <c r="AC299" s="31"/>
      <c r="AD299" s="31"/>
      <c r="AE299" s="31"/>
      <c r="AF299" s="31"/>
      <c r="AG299" s="31"/>
      <c r="AH299" s="31"/>
      <c r="AI299" s="31"/>
    </row>
    <row r="300" spans="1:35">
      <c r="A300" s="31"/>
      <c r="D300" s="31"/>
      <c r="E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c r="AF300" s="31"/>
      <c r="AG300" s="31"/>
      <c r="AH300" s="31"/>
      <c r="AI300" s="31"/>
    </row>
    <row r="301" spans="1:35">
      <c r="A301" s="31"/>
      <c r="D301" s="31"/>
      <c r="E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c r="AF301" s="31"/>
      <c r="AG301" s="31"/>
      <c r="AH301" s="31"/>
      <c r="AI301" s="31"/>
    </row>
    <row r="302" spans="1:35">
      <c r="A302" s="31"/>
      <c r="D302" s="31"/>
      <c r="E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c r="AF302" s="31"/>
      <c r="AG302" s="31"/>
      <c r="AH302" s="31"/>
      <c r="AI302" s="31"/>
    </row>
    <row r="303" spans="1:35">
      <c r="A303" s="31"/>
      <c r="D303" s="31"/>
      <c r="E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c r="AF303" s="31"/>
      <c r="AG303" s="31"/>
      <c r="AH303" s="31"/>
      <c r="AI303" s="31"/>
    </row>
    <row r="304" spans="1:35">
      <c r="A304" s="31"/>
      <c r="D304" s="31"/>
      <c r="E304" s="31"/>
      <c r="H304" s="31"/>
      <c r="I304" s="31"/>
      <c r="J304" s="31"/>
      <c r="K304" s="31"/>
      <c r="L304" s="31"/>
      <c r="M304" s="31"/>
      <c r="N304" s="31"/>
      <c r="O304" s="31"/>
      <c r="P304" s="31"/>
      <c r="Q304" s="31"/>
      <c r="R304" s="31"/>
      <c r="S304" s="31"/>
      <c r="T304" s="31"/>
      <c r="U304" s="31"/>
      <c r="V304" s="31"/>
      <c r="W304" s="31"/>
      <c r="X304" s="31"/>
      <c r="Y304" s="31"/>
      <c r="Z304" s="31"/>
      <c r="AA304" s="31"/>
      <c r="AB304" s="31"/>
      <c r="AC304" s="31"/>
      <c r="AD304" s="31"/>
      <c r="AE304" s="31"/>
      <c r="AF304" s="31"/>
      <c r="AG304" s="31"/>
      <c r="AH304" s="31"/>
      <c r="AI304" s="31"/>
    </row>
    <row r="305" spans="1:35">
      <c r="A305" s="31"/>
      <c r="D305" s="31"/>
      <c r="E305" s="31"/>
      <c r="H305" s="31"/>
      <c r="I305" s="31"/>
      <c r="J305" s="31"/>
      <c r="K305" s="31"/>
      <c r="L305" s="31"/>
      <c r="M305" s="31"/>
      <c r="N305" s="31"/>
      <c r="O305" s="31"/>
      <c r="P305" s="31"/>
      <c r="Q305" s="31"/>
      <c r="R305" s="31"/>
      <c r="S305" s="31"/>
      <c r="T305" s="31"/>
      <c r="U305" s="31"/>
      <c r="V305" s="31"/>
      <c r="W305" s="31"/>
      <c r="X305" s="31"/>
      <c r="Y305" s="31"/>
      <c r="Z305" s="31"/>
      <c r="AA305" s="31"/>
      <c r="AB305" s="31"/>
      <c r="AC305" s="31"/>
      <c r="AD305" s="31"/>
      <c r="AE305" s="31"/>
      <c r="AF305" s="31"/>
      <c r="AG305" s="31"/>
      <c r="AH305" s="31"/>
      <c r="AI305" s="31"/>
    </row>
    <row r="306" spans="1:35">
      <c r="A306" s="31"/>
      <c r="D306" s="31"/>
      <c r="E306" s="31"/>
      <c r="H306" s="31"/>
      <c r="I306" s="31"/>
      <c r="J306" s="31"/>
      <c r="K306" s="31"/>
      <c r="L306" s="31"/>
      <c r="M306" s="31"/>
      <c r="N306" s="31"/>
      <c r="O306" s="31"/>
      <c r="P306" s="31"/>
      <c r="Q306" s="31"/>
      <c r="R306" s="31"/>
      <c r="S306" s="31"/>
      <c r="T306" s="31"/>
      <c r="U306" s="31"/>
      <c r="V306" s="31"/>
      <c r="W306" s="31"/>
      <c r="X306" s="31"/>
      <c r="Y306" s="31"/>
      <c r="Z306" s="31"/>
      <c r="AA306" s="31"/>
      <c r="AB306" s="31"/>
      <c r="AC306" s="31"/>
      <c r="AD306" s="31"/>
      <c r="AE306" s="31"/>
      <c r="AF306" s="31"/>
      <c r="AG306" s="31"/>
      <c r="AH306" s="31"/>
      <c r="AI306" s="31"/>
    </row>
    <row r="307" spans="1:35">
      <c r="A307" s="31"/>
      <c r="D307" s="31"/>
      <c r="E307" s="31"/>
      <c r="H307" s="31"/>
      <c r="I307" s="31"/>
      <c r="J307" s="31"/>
      <c r="K307" s="31"/>
      <c r="L307" s="31"/>
      <c r="M307" s="31"/>
      <c r="N307" s="31"/>
      <c r="O307" s="31"/>
      <c r="P307" s="31"/>
      <c r="Q307" s="31"/>
      <c r="R307" s="31"/>
      <c r="S307" s="31"/>
      <c r="T307" s="31"/>
      <c r="U307" s="31"/>
      <c r="V307" s="31"/>
      <c r="W307" s="31"/>
      <c r="X307" s="31"/>
      <c r="Y307" s="31"/>
      <c r="Z307" s="31"/>
      <c r="AA307" s="31"/>
      <c r="AB307" s="31"/>
      <c r="AC307" s="31"/>
      <c r="AD307" s="31"/>
      <c r="AE307" s="31"/>
      <c r="AF307" s="31"/>
      <c r="AG307" s="31"/>
      <c r="AH307" s="31"/>
      <c r="AI307" s="31"/>
    </row>
    <row r="308" spans="1:35">
      <c r="A308" s="31"/>
      <c r="D308" s="31"/>
      <c r="E308" s="31"/>
      <c r="H308" s="31"/>
      <c r="I308" s="31"/>
      <c r="J308" s="31"/>
      <c r="K308" s="31"/>
      <c r="L308" s="31"/>
      <c r="M308" s="31"/>
      <c r="N308" s="31"/>
      <c r="O308" s="31"/>
      <c r="P308" s="31"/>
      <c r="Q308" s="31"/>
      <c r="R308" s="31"/>
      <c r="S308" s="31"/>
      <c r="T308" s="31"/>
      <c r="U308" s="31"/>
      <c r="V308" s="31"/>
      <c r="W308" s="31"/>
      <c r="X308" s="31"/>
      <c r="Y308" s="31"/>
      <c r="Z308" s="31"/>
      <c r="AA308" s="31"/>
      <c r="AB308" s="31"/>
      <c r="AC308" s="31"/>
      <c r="AD308" s="31"/>
      <c r="AE308" s="31"/>
      <c r="AF308" s="31"/>
      <c r="AG308" s="31"/>
      <c r="AH308" s="31"/>
      <c r="AI308" s="31"/>
    </row>
    <row r="309" spans="1:35">
      <c r="A309" s="31"/>
      <c r="D309" s="31"/>
      <c r="E309" s="31"/>
      <c r="H309" s="31"/>
      <c r="I309" s="31"/>
      <c r="J309" s="31"/>
      <c r="K309" s="31"/>
      <c r="L309" s="31"/>
      <c r="M309" s="31"/>
      <c r="N309" s="31"/>
      <c r="O309" s="31"/>
      <c r="P309" s="31"/>
      <c r="Q309" s="31"/>
      <c r="R309" s="31"/>
      <c r="S309" s="31"/>
      <c r="T309" s="31"/>
      <c r="U309" s="31"/>
      <c r="V309" s="31"/>
      <c r="W309" s="31"/>
      <c r="X309" s="31"/>
      <c r="Y309" s="31"/>
      <c r="Z309" s="31"/>
      <c r="AA309" s="31"/>
      <c r="AB309" s="31"/>
      <c r="AC309" s="31"/>
      <c r="AD309" s="31"/>
      <c r="AE309" s="31"/>
      <c r="AF309" s="31"/>
      <c r="AG309" s="31"/>
      <c r="AH309" s="31"/>
      <c r="AI309" s="31"/>
    </row>
    <row r="310" spans="1:35">
      <c r="A310" s="31"/>
      <c r="D310" s="31"/>
      <c r="E310" s="31"/>
      <c r="H310" s="31"/>
      <c r="I310" s="31"/>
      <c r="J310" s="31"/>
      <c r="K310" s="31"/>
      <c r="L310" s="31"/>
      <c r="M310" s="31"/>
      <c r="N310" s="31"/>
      <c r="O310" s="31"/>
      <c r="P310" s="31"/>
      <c r="Q310" s="31"/>
      <c r="R310" s="31"/>
      <c r="S310" s="31"/>
      <c r="T310" s="31"/>
      <c r="U310" s="31"/>
      <c r="V310" s="31"/>
      <c r="W310" s="31"/>
      <c r="X310" s="31"/>
      <c r="Y310" s="31"/>
      <c r="Z310" s="31"/>
      <c r="AA310" s="31"/>
      <c r="AB310" s="31"/>
      <c r="AC310" s="31"/>
      <c r="AD310" s="31"/>
      <c r="AE310" s="31"/>
      <c r="AF310" s="31"/>
      <c r="AG310" s="31"/>
      <c r="AH310" s="31"/>
      <c r="AI310" s="31"/>
    </row>
    <row r="311" spans="1:35">
      <c r="A311" s="31"/>
      <c r="D311" s="31"/>
      <c r="E311" s="31"/>
      <c r="H311" s="31"/>
      <c r="I311" s="31"/>
      <c r="J311" s="31"/>
      <c r="K311" s="31"/>
      <c r="L311" s="31"/>
      <c r="M311" s="31"/>
      <c r="N311" s="31"/>
      <c r="O311" s="31"/>
      <c r="P311" s="31"/>
      <c r="Q311" s="31"/>
      <c r="R311" s="31"/>
      <c r="S311" s="31"/>
      <c r="T311" s="31"/>
      <c r="U311" s="31"/>
      <c r="V311" s="31"/>
      <c r="W311" s="31"/>
      <c r="X311" s="31"/>
      <c r="Y311" s="31"/>
      <c r="Z311" s="31"/>
      <c r="AA311" s="31"/>
      <c r="AB311" s="31"/>
      <c r="AC311" s="31"/>
      <c r="AD311" s="31"/>
      <c r="AE311" s="31"/>
      <c r="AF311" s="31"/>
      <c r="AG311" s="31"/>
      <c r="AH311" s="31"/>
      <c r="AI311" s="31"/>
    </row>
    <row r="312" spans="1:35">
      <c r="A312" s="31"/>
      <c r="D312" s="31"/>
      <c r="E312" s="31"/>
      <c r="H312" s="31"/>
      <c r="I312" s="31"/>
      <c r="J312" s="31"/>
      <c r="K312" s="31"/>
      <c r="L312" s="31"/>
      <c r="M312" s="31"/>
      <c r="N312" s="31"/>
      <c r="O312" s="31"/>
      <c r="P312" s="31"/>
      <c r="Q312" s="31"/>
      <c r="R312" s="31"/>
      <c r="S312" s="31"/>
      <c r="T312" s="31"/>
      <c r="U312" s="31"/>
      <c r="V312" s="31"/>
      <c r="W312" s="31"/>
      <c r="X312" s="31"/>
      <c r="Y312" s="31"/>
      <c r="Z312" s="31"/>
      <c r="AA312" s="31"/>
      <c r="AB312" s="31"/>
      <c r="AC312" s="31"/>
      <c r="AD312" s="31"/>
      <c r="AE312" s="31"/>
      <c r="AF312" s="31"/>
      <c r="AG312" s="31"/>
      <c r="AH312" s="31"/>
      <c r="AI312" s="31"/>
    </row>
    <row r="313" spans="1:35">
      <c r="A313" s="31"/>
      <c r="D313" s="31"/>
      <c r="E313" s="31"/>
      <c r="H313" s="31"/>
      <c r="I313" s="31"/>
      <c r="J313" s="31"/>
      <c r="K313" s="31"/>
      <c r="L313" s="31"/>
      <c r="M313" s="31"/>
      <c r="N313" s="31"/>
      <c r="O313" s="31"/>
      <c r="P313" s="31"/>
      <c r="Q313" s="31"/>
      <c r="R313" s="31"/>
      <c r="S313" s="31"/>
      <c r="T313" s="31"/>
      <c r="U313" s="31"/>
      <c r="V313" s="31"/>
      <c r="W313" s="31"/>
      <c r="X313" s="31"/>
      <c r="Y313" s="31"/>
      <c r="Z313" s="31"/>
      <c r="AA313" s="31"/>
      <c r="AB313" s="31"/>
      <c r="AC313" s="31"/>
      <c r="AD313" s="31"/>
      <c r="AE313" s="31"/>
      <c r="AF313" s="31"/>
      <c r="AG313" s="31"/>
      <c r="AH313" s="31"/>
      <c r="AI313" s="31"/>
    </row>
    <row r="314" spans="1:35">
      <c r="A314" s="31"/>
      <c r="D314" s="31"/>
      <c r="E314" s="31"/>
      <c r="H314" s="31"/>
      <c r="I314" s="31"/>
      <c r="J314" s="31"/>
      <c r="K314" s="31"/>
      <c r="L314" s="31"/>
      <c r="M314" s="31"/>
      <c r="N314" s="31"/>
      <c r="O314" s="31"/>
      <c r="P314" s="31"/>
      <c r="Q314" s="31"/>
      <c r="R314" s="31"/>
      <c r="S314" s="31"/>
      <c r="T314" s="31"/>
      <c r="U314" s="31"/>
      <c r="V314" s="31"/>
      <c r="W314" s="31"/>
      <c r="X314" s="31"/>
      <c r="Y314" s="31"/>
      <c r="Z314" s="31"/>
      <c r="AA314" s="31"/>
      <c r="AB314" s="31"/>
      <c r="AC314" s="31"/>
      <c r="AD314" s="31"/>
      <c r="AE314" s="31"/>
      <c r="AF314" s="31"/>
      <c r="AG314" s="31"/>
      <c r="AH314" s="31"/>
      <c r="AI314" s="31"/>
    </row>
    <row r="315" spans="1:35">
      <c r="A315" s="31"/>
      <c r="D315" s="31"/>
      <c r="E315" s="31"/>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c r="AF315" s="31"/>
      <c r="AG315" s="31"/>
      <c r="AH315" s="31"/>
      <c r="AI315" s="31"/>
    </row>
    <row r="316" spans="1:35">
      <c r="A316" s="31"/>
      <c r="D316" s="31"/>
      <c r="E316" s="31"/>
      <c r="H316" s="31"/>
      <c r="I316" s="31"/>
      <c r="J316" s="31"/>
      <c r="K316" s="31"/>
      <c r="L316" s="31"/>
      <c r="M316" s="31"/>
      <c r="N316" s="31"/>
      <c r="O316" s="31"/>
      <c r="P316" s="31"/>
      <c r="Q316" s="31"/>
      <c r="R316" s="31"/>
      <c r="S316" s="31"/>
      <c r="T316" s="31"/>
      <c r="U316" s="31"/>
      <c r="V316" s="31"/>
      <c r="W316" s="31"/>
      <c r="X316" s="31"/>
      <c r="Y316" s="31"/>
      <c r="Z316" s="31"/>
      <c r="AA316" s="31"/>
      <c r="AB316" s="31"/>
      <c r="AC316" s="31"/>
      <c r="AD316" s="31"/>
      <c r="AE316" s="31"/>
      <c r="AF316" s="31"/>
      <c r="AG316" s="31"/>
      <c r="AH316" s="31"/>
      <c r="AI316" s="31"/>
    </row>
    <row r="317" spans="1:35">
      <c r="A317" s="31"/>
      <c r="D317" s="31"/>
      <c r="E317" s="31"/>
      <c r="H317" s="31"/>
      <c r="I317" s="31"/>
      <c r="J317" s="31"/>
      <c r="K317" s="31"/>
      <c r="L317" s="31"/>
      <c r="M317" s="31"/>
      <c r="N317" s="31"/>
      <c r="O317" s="31"/>
      <c r="P317" s="31"/>
      <c r="Q317" s="31"/>
      <c r="R317" s="31"/>
      <c r="S317" s="31"/>
      <c r="T317" s="31"/>
      <c r="U317" s="31"/>
      <c r="V317" s="31"/>
      <c r="W317" s="31"/>
      <c r="X317" s="31"/>
      <c r="Y317" s="31"/>
      <c r="Z317" s="31"/>
      <c r="AA317" s="31"/>
      <c r="AB317" s="31"/>
      <c r="AC317" s="31"/>
      <c r="AD317" s="31"/>
      <c r="AE317" s="31"/>
      <c r="AF317" s="31"/>
      <c r="AG317" s="31"/>
      <c r="AH317" s="31"/>
      <c r="AI317" s="31"/>
    </row>
    <row r="318" spans="1:35">
      <c r="A318" s="31"/>
      <c r="D318" s="31"/>
      <c r="E318" s="31"/>
      <c r="H318" s="31"/>
      <c r="I318" s="31"/>
      <c r="J318" s="31"/>
      <c r="K318" s="31"/>
      <c r="L318" s="31"/>
      <c r="M318" s="31"/>
      <c r="N318" s="31"/>
      <c r="O318" s="31"/>
      <c r="P318" s="31"/>
      <c r="Q318" s="31"/>
      <c r="R318" s="31"/>
      <c r="S318" s="31"/>
      <c r="T318" s="31"/>
      <c r="U318" s="31"/>
      <c r="V318" s="31"/>
      <c r="W318" s="31"/>
      <c r="X318" s="31"/>
      <c r="Y318" s="31"/>
      <c r="Z318" s="31"/>
      <c r="AA318" s="31"/>
      <c r="AB318" s="31"/>
      <c r="AC318" s="31"/>
      <c r="AD318" s="31"/>
      <c r="AE318" s="31"/>
      <c r="AF318" s="31"/>
      <c r="AG318" s="31"/>
      <c r="AH318" s="31"/>
      <c r="AI318" s="31"/>
    </row>
    <row r="319" spans="1:35">
      <c r="A319" s="31"/>
      <c r="D319" s="31"/>
      <c r="E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1"/>
      <c r="AE319" s="31"/>
      <c r="AF319" s="31"/>
      <c r="AG319" s="31"/>
      <c r="AH319" s="31"/>
      <c r="AI319" s="31"/>
    </row>
    <row r="320" spans="1:35">
      <c r="A320" s="31"/>
      <c r="D320" s="31"/>
      <c r="E320" s="31"/>
      <c r="H320" s="31"/>
      <c r="I320" s="31"/>
      <c r="J320" s="31"/>
      <c r="K320" s="31"/>
      <c r="L320" s="31"/>
      <c r="M320" s="31"/>
      <c r="N320" s="31"/>
      <c r="O320" s="31"/>
      <c r="P320" s="31"/>
      <c r="Q320" s="31"/>
      <c r="R320" s="31"/>
      <c r="S320" s="31"/>
      <c r="T320" s="31"/>
      <c r="U320" s="31"/>
      <c r="V320" s="31"/>
      <c r="W320" s="31"/>
      <c r="X320" s="31"/>
      <c r="Y320" s="31"/>
      <c r="Z320" s="31"/>
      <c r="AA320" s="31"/>
      <c r="AB320" s="31"/>
      <c r="AC320" s="31"/>
      <c r="AD320" s="31"/>
      <c r="AE320" s="31"/>
      <c r="AF320" s="31"/>
      <c r="AG320" s="31"/>
      <c r="AH320" s="31"/>
      <c r="AI320" s="31"/>
    </row>
    <row r="321" spans="1:35">
      <c r="A321" s="31"/>
      <c r="D321" s="31"/>
      <c r="E321" s="31"/>
      <c r="H321" s="31"/>
      <c r="I321" s="31"/>
      <c r="J321" s="31"/>
      <c r="K321" s="31"/>
      <c r="L321" s="31"/>
      <c r="M321" s="31"/>
      <c r="N321" s="31"/>
      <c r="O321" s="31"/>
      <c r="P321" s="31"/>
      <c r="Q321" s="31"/>
      <c r="R321" s="31"/>
      <c r="S321" s="31"/>
      <c r="T321" s="31"/>
      <c r="U321" s="31"/>
      <c r="V321" s="31"/>
      <c r="W321" s="31"/>
      <c r="X321" s="31"/>
      <c r="Y321" s="31"/>
      <c r="Z321" s="31"/>
      <c r="AA321" s="31"/>
      <c r="AB321" s="31"/>
      <c r="AC321" s="31"/>
      <c r="AD321" s="31"/>
      <c r="AE321" s="31"/>
      <c r="AF321" s="31"/>
      <c r="AG321" s="31"/>
      <c r="AH321" s="31"/>
      <c r="AI321" s="31"/>
    </row>
    <row r="322" spans="1:35">
      <c r="A322" s="31"/>
      <c r="D322" s="31"/>
      <c r="E322" s="31"/>
      <c r="H322" s="31"/>
      <c r="I322" s="31"/>
      <c r="J322" s="31"/>
      <c r="K322" s="31"/>
      <c r="L322" s="31"/>
      <c r="M322" s="31"/>
      <c r="N322" s="31"/>
      <c r="O322" s="31"/>
      <c r="P322" s="31"/>
      <c r="Q322" s="31"/>
      <c r="R322" s="31"/>
      <c r="S322" s="31"/>
      <c r="T322" s="31"/>
      <c r="U322" s="31"/>
      <c r="V322" s="31"/>
      <c r="W322" s="31"/>
      <c r="X322" s="31"/>
      <c r="Y322" s="31"/>
      <c r="Z322" s="31"/>
      <c r="AA322" s="31"/>
      <c r="AB322" s="31"/>
      <c r="AC322" s="31"/>
      <c r="AD322" s="31"/>
      <c r="AE322" s="31"/>
      <c r="AF322" s="31"/>
      <c r="AG322" s="31"/>
      <c r="AH322" s="31"/>
      <c r="AI322" s="31"/>
    </row>
    <row r="323" spans="1:35">
      <c r="A323" s="31"/>
      <c r="D323" s="31"/>
      <c r="E323" s="31"/>
      <c r="H323" s="31"/>
      <c r="I323" s="31"/>
      <c r="J323" s="31"/>
      <c r="K323" s="31"/>
      <c r="L323" s="31"/>
      <c r="M323" s="31"/>
      <c r="N323" s="31"/>
      <c r="O323" s="31"/>
      <c r="P323" s="31"/>
      <c r="Q323" s="31"/>
      <c r="R323" s="31"/>
      <c r="S323" s="31"/>
      <c r="T323" s="31"/>
      <c r="U323" s="31"/>
      <c r="V323" s="31"/>
      <c r="W323" s="31"/>
      <c r="X323" s="31"/>
      <c r="Y323" s="31"/>
      <c r="Z323" s="31"/>
      <c r="AA323" s="31"/>
      <c r="AB323" s="31"/>
      <c r="AC323" s="31"/>
      <c r="AD323" s="31"/>
      <c r="AE323" s="31"/>
      <c r="AF323" s="31"/>
      <c r="AG323" s="31"/>
      <c r="AH323" s="31"/>
      <c r="AI323" s="31"/>
    </row>
    <row r="324" spans="1:35">
      <c r="A324" s="31"/>
      <c r="D324" s="31"/>
      <c r="E324" s="31"/>
      <c r="H324" s="31"/>
      <c r="I324" s="31"/>
      <c r="J324" s="31"/>
      <c r="K324" s="31"/>
      <c r="L324" s="31"/>
      <c r="M324" s="31"/>
      <c r="N324" s="31"/>
      <c r="O324" s="31"/>
      <c r="P324" s="31"/>
      <c r="Q324" s="31"/>
      <c r="R324" s="31"/>
      <c r="S324" s="31"/>
      <c r="T324" s="31"/>
      <c r="U324" s="31"/>
      <c r="V324" s="31"/>
      <c r="W324" s="31"/>
      <c r="X324" s="31"/>
      <c r="Y324" s="31"/>
      <c r="Z324" s="31"/>
      <c r="AA324" s="31"/>
      <c r="AB324" s="31"/>
      <c r="AC324" s="31"/>
      <c r="AD324" s="31"/>
      <c r="AE324" s="31"/>
      <c r="AF324" s="31"/>
      <c r="AG324" s="31"/>
      <c r="AH324" s="31"/>
      <c r="AI324" s="31"/>
    </row>
    <row r="325" spans="1:35">
      <c r="A325" s="31"/>
      <c r="D325" s="31"/>
      <c r="E325" s="31"/>
      <c r="H325" s="31"/>
      <c r="I325" s="31"/>
      <c r="J325" s="31"/>
      <c r="K325" s="31"/>
      <c r="L325" s="31"/>
      <c r="M325" s="31"/>
      <c r="N325" s="31"/>
      <c r="O325" s="31"/>
      <c r="P325" s="31"/>
      <c r="Q325" s="31"/>
      <c r="R325" s="31"/>
      <c r="S325" s="31"/>
      <c r="T325" s="31"/>
      <c r="U325" s="31"/>
      <c r="V325" s="31"/>
      <c r="W325" s="31"/>
      <c r="X325" s="31"/>
      <c r="Y325" s="31"/>
      <c r="Z325" s="31"/>
      <c r="AA325" s="31"/>
      <c r="AB325" s="31"/>
      <c r="AC325" s="31"/>
      <c r="AD325" s="31"/>
      <c r="AE325" s="31"/>
      <c r="AF325" s="31"/>
      <c r="AG325" s="31"/>
      <c r="AH325" s="31"/>
      <c r="AI325" s="31"/>
    </row>
    <row r="326" spans="1:35">
      <c r="A326" s="31"/>
      <c r="D326" s="31"/>
      <c r="E326" s="31"/>
      <c r="H326" s="31"/>
      <c r="I326" s="31"/>
      <c r="J326" s="31"/>
      <c r="K326" s="31"/>
      <c r="L326" s="31"/>
      <c r="M326" s="31"/>
      <c r="N326" s="31"/>
      <c r="O326" s="31"/>
      <c r="P326" s="31"/>
      <c r="Q326" s="31"/>
      <c r="R326" s="31"/>
      <c r="S326" s="31"/>
      <c r="T326" s="31"/>
      <c r="U326" s="31"/>
      <c r="V326" s="31"/>
      <c r="W326" s="31"/>
      <c r="X326" s="31"/>
      <c r="Y326" s="31"/>
      <c r="Z326" s="31"/>
      <c r="AA326" s="31"/>
      <c r="AB326" s="31"/>
      <c r="AC326" s="31"/>
      <c r="AD326" s="31"/>
      <c r="AE326" s="31"/>
      <c r="AF326" s="31"/>
      <c r="AG326" s="31"/>
      <c r="AH326" s="31"/>
      <c r="AI326" s="31"/>
    </row>
    <row r="327" spans="1:35">
      <c r="A327" s="31"/>
      <c r="D327" s="31"/>
      <c r="E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1"/>
      <c r="AE327" s="31"/>
      <c r="AF327" s="31"/>
      <c r="AG327" s="31"/>
      <c r="AH327" s="31"/>
      <c r="AI327" s="31"/>
    </row>
    <row r="328" spans="1:35">
      <c r="A328" s="31"/>
      <c r="D328" s="31"/>
      <c r="E328" s="31"/>
      <c r="H328" s="31"/>
      <c r="I328" s="31"/>
      <c r="J328" s="31"/>
      <c r="K328" s="31"/>
      <c r="L328" s="31"/>
      <c r="M328" s="31"/>
      <c r="N328" s="31"/>
      <c r="O328" s="31"/>
      <c r="P328" s="31"/>
      <c r="Q328" s="31"/>
      <c r="R328" s="31"/>
      <c r="S328" s="31"/>
      <c r="T328" s="31"/>
      <c r="U328" s="31"/>
      <c r="V328" s="31"/>
      <c r="W328" s="31"/>
      <c r="X328" s="31"/>
      <c r="Y328" s="31"/>
      <c r="Z328" s="31"/>
      <c r="AA328" s="31"/>
      <c r="AB328" s="31"/>
      <c r="AC328" s="31"/>
      <c r="AD328" s="31"/>
      <c r="AE328" s="31"/>
      <c r="AF328" s="31"/>
      <c r="AG328" s="31"/>
      <c r="AH328" s="31"/>
      <c r="AI328" s="31"/>
    </row>
    <row r="329" spans="1:35">
      <c r="A329" s="31"/>
      <c r="D329" s="31"/>
      <c r="E329" s="31"/>
      <c r="H329" s="31"/>
      <c r="I329" s="31"/>
      <c r="J329" s="31"/>
      <c r="K329" s="31"/>
      <c r="L329" s="31"/>
      <c r="M329" s="31"/>
      <c r="N329" s="31"/>
      <c r="O329" s="31"/>
      <c r="P329" s="31"/>
      <c r="Q329" s="31"/>
      <c r="R329" s="31"/>
      <c r="S329" s="31"/>
      <c r="T329" s="31"/>
      <c r="U329" s="31"/>
      <c r="V329" s="31"/>
      <c r="W329" s="31"/>
      <c r="X329" s="31"/>
      <c r="Y329" s="31"/>
      <c r="Z329" s="31"/>
      <c r="AA329" s="31"/>
      <c r="AB329" s="31"/>
      <c r="AC329" s="31"/>
      <c r="AD329" s="31"/>
      <c r="AE329" s="31"/>
      <c r="AF329" s="31"/>
      <c r="AG329" s="31"/>
      <c r="AH329" s="31"/>
      <c r="AI329" s="31"/>
    </row>
    <row r="330" spans="1:35">
      <c r="A330" s="31"/>
      <c r="D330" s="31"/>
      <c r="E330" s="31"/>
      <c r="H330" s="31"/>
      <c r="I330" s="31"/>
      <c r="J330" s="31"/>
      <c r="K330" s="31"/>
      <c r="L330" s="31"/>
      <c r="M330" s="31"/>
      <c r="N330" s="31"/>
      <c r="O330" s="31"/>
      <c r="P330" s="31"/>
      <c r="Q330" s="31"/>
      <c r="R330" s="31"/>
      <c r="S330" s="31"/>
      <c r="T330" s="31"/>
      <c r="U330" s="31"/>
      <c r="V330" s="31"/>
      <c r="W330" s="31"/>
      <c r="X330" s="31"/>
      <c r="Y330" s="31"/>
      <c r="Z330" s="31"/>
      <c r="AA330" s="31"/>
      <c r="AB330" s="31"/>
      <c r="AC330" s="31"/>
      <c r="AD330" s="31"/>
      <c r="AE330" s="31"/>
      <c r="AF330" s="31"/>
      <c r="AG330" s="31"/>
      <c r="AH330" s="31"/>
      <c r="AI330" s="31"/>
    </row>
    <row r="331" spans="1:35">
      <c r="A331" s="31"/>
      <c r="D331" s="31"/>
      <c r="E331" s="31"/>
      <c r="H331" s="31"/>
      <c r="I331" s="31"/>
      <c r="J331" s="31"/>
      <c r="K331" s="31"/>
      <c r="L331" s="31"/>
      <c r="M331" s="31"/>
      <c r="N331" s="31"/>
      <c r="O331" s="31"/>
      <c r="P331" s="31"/>
      <c r="Q331" s="31"/>
      <c r="R331" s="31"/>
      <c r="S331" s="31"/>
      <c r="T331" s="31"/>
      <c r="U331" s="31"/>
      <c r="V331" s="31"/>
      <c r="W331" s="31"/>
      <c r="X331" s="31"/>
      <c r="Y331" s="31"/>
      <c r="Z331" s="31"/>
      <c r="AA331" s="31"/>
      <c r="AB331" s="31"/>
      <c r="AC331" s="31"/>
      <c r="AD331" s="31"/>
      <c r="AE331" s="31"/>
      <c r="AF331" s="31"/>
      <c r="AG331" s="31"/>
      <c r="AH331" s="31"/>
      <c r="AI331" s="31"/>
    </row>
    <row r="332" spans="1:35">
      <c r="A332" s="31"/>
      <c r="D332" s="31"/>
      <c r="E332" s="31"/>
      <c r="H332" s="31"/>
      <c r="I332" s="31"/>
      <c r="J332" s="31"/>
      <c r="K332" s="31"/>
      <c r="L332" s="31"/>
      <c r="M332" s="31"/>
      <c r="N332" s="31"/>
      <c r="O332" s="31"/>
      <c r="P332" s="31"/>
      <c r="Q332" s="31"/>
      <c r="R332" s="31"/>
      <c r="S332" s="31"/>
      <c r="T332" s="31"/>
      <c r="U332" s="31"/>
      <c r="V332" s="31"/>
      <c r="W332" s="31"/>
      <c r="X332" s="31"/>
      <c r="Y332" s="31"/>
      <c r="Z332" s="31"/>
      <c r="AA332" s="31"/>
      <c r="AB332" s="31"/>
      <c r="AC332" s="31"/>
      <c r="AD332" s="31"/>
      <c r="AE332" s="31"/>
      <c r="AF332" s="31"/>
      <c r="AG332" s="31"/>
      <c r="AH332" s="31"/>
      <c r="AI332" s="31"/>
    </row>
    <row r="333" spans="1:35">
      <c r="A333" s="31"/>
      <c r="D333" s="31"/>
      <c r="E333" s="31"/>
      <c r="H333" s="31"/>
      <c r="I333" s="31"/>
      <c r="J333" s="31"/>
      <c r="K333" s="31"/>
      <c r="L333" s="31"/>
      <c r="M333" s="31"/>
      <c r="N333" s="31"/>
      <c r="O333" s="31"/>
      <c r="P333" s="31"/>
      <c r="Q333" s="31"/>
      <c r="R333" s="31"/>
      <c r="S333" s="31"/>
      <c r="T333" s="31"/>
      <c r="U333" s="31"/>
      <c r="V333" s="31"/>
      <c r="W333" s="31"/>
      <c r="X333" s="31"/>
      <c r="Y333" s="31"/>
      <c r="Z333" s="31"/>
      <c r="AA333" s="31"/>
      <c r="AB333" s="31"/>
      <c r="AC333" s="31"/>
      <c r="AD333" s="31"/>
      <c r="AE333" s="31"/>
      <c r="AF333" s="31"/>
      <c r="AG333" s="31"/>
      <c r="AH333" s="31"/>
      <c r="AI333" s="31"/>
    </row>
    <row r="334" spans="1:35">
      <c r="A334" s="31"/>
      <c r="D334" s="31"/>
      <c r="E334" s="31"/>
      <c r="H334" s="31"/>
      <c r="I334" s="31"/>
      <c r="J334" s="31"/>
      <c r="K334" s="31"/>
      <c r="L334" s="31"/>
      <c r="M334" s="31"/>
      <c r="N334" s="31"/>
      <c r="O334" s="31"/>
      <c r="P334" s="31"/>
      <c r="Q334" s="31"/>
      <c r="R334" s="31"/>
      <c r="S334" s="31"/>
      <c r="T334" s="31"/>
      <c r="U334" s="31"/>
      <c r="V334" s="31"/>
      <c r="W334" s="31"/>
      <c r="X334" s="31"/>
      <c r="Y334" s="31"/>
      <c r="Z334" s="31"/>
      <c r="AA334" s="31"/>
      <c r="AB334" s="31"/>
      <c r="AC334" s="31"/>
      <c r="AD334" s="31"/>
      <c r="AE334" s="31"/>
      <c r="AF334" s="31"/>
      <c r="AG334" s="31"/>
      <c r="AH334" s="31"/>
      <c r="AI334" s="31"/>
    </row>
    <row r="335" spans="1:35">
      <c r="A335" s="31"/>
      <c r="D335" s="31"/>
      <c r="E335" s="31"/>
      <c r="H335" s="31"/>
      <c r="I335" s="31"/>
      <c r="J335" s="31"/>
      <c r="K335" s="31"/>
      <c r="L335" s="31"/>
      <c r="M335" s="31"/>
      <c r="N335" s="31"/>
      <c r="O335" s="31"/>
      <c r="P335" s="31"/>
      <c r="Q335" s="31"/>
      <c r="R335" s="31"/>
      <c r="S335" s="31"/>
      <c r="T335" s="31"/>
      <c r="U335" s="31"/>
      <c r="V335" s="31"/>
      <c r="W335" s="31"/>
      <c r="X335" s="31"/>
      <c r="Y335" s="31"/>
      <c r="Z335" s="31"/>
      <c r="AA335" s="31"/>
      <c r="AB335" s="31"/>
      <c r="AC335" s="31"/>
      <c r="AD335" s="31"/>
      <c r="AE335" s="31"/>
      <c r="AF335" s="31"/>
      <c r="AG335" s="31"/>
      <c r="AH335" s="31"/>
      <c r="AI335" s="31"/>
    </row>
    <row r="336" spans="1:35">
      <c r="A336" s="31"/>
      <c r="D336" s="31"/>
      <c r="E336" s="31"/>
      <c r="H336" s="31"/>
      <c r="I336" s="31"/>
      <c r="J336" s="31"/>
      <c r="K336" s="31"/>
      <c r="L336" s="31"/>
      <c r="M336" s="31"/>
      <c r="N336" s="31"/>
      <c r="O336" s="31"/>
      <c r="P336" s="31"/>
      <c r="Q336" s="31"/>
      <c r="R336" s="31"/>
      <c r="S336" s="31"/>
      <c r="T336" s="31"/>
      <c r="U336" s="31"/>
      <c r="V336" s="31"/>
      <c r="W336" s="31"/>
      <c r="X336" s="31"/>
      <c r="Y336" s="31"/>
      <c r="Z336" s="31"/>
      <c r="AA336" s="31"/>
      <c r="AB336" s="31"/>
      <c r="AC336" s="31"/>
      <c r="AD336" s="31"/>
      <c r="AE336" s="31"/>
      <c r="AF336" s="31"/>
      <c r="AG336" s="31"/>
      <c r="AH336" s="31"/>
      <c r="AI336" s="31"/>
    </row>
    <row r="337" spans="1:35">
      <c r="A337" s="31"/>
      <c r="D337" s="31"/>
      <c r="E337" s="31"/>
      <c r="H337" s="31"/>
      <c r="I337" s="31"/>
      <c r="J337" s="31"/>
      <c r="K337" s="31"/>
      <c r="L337" s="31"/>
      <c r="M337" s="31"/>
      <c r="N337" s="31"/>
      <c r="O337" s="31"/>
      <c r="P337" s="31"/>
      <c r="Q337" s="31"/>
      <c r="R337" s="31"/>
      <c r="S337" s="31"/>
      <c r="T337" s="31"/>
      <c r="U337" s="31"/>
      <c r="V337" s="31"/>
      <c r="W337" s="31"/>
      <c r="X337" s="31"/>
      <c r="Y337" s="31"/>
      <c r="Z337" s="31"/>
      <c r="AA337" s="31"/>
      <c r="AB337" s="31"/>
      <c r="AC337" s="31"/>
      <c r="AD337" s="31"/>
      <c r="AE337" s="31"/>
      <c r="AF337" s="31"/>
      <c r="AG337" s="31"/>
      <c r="AH337" s="31"/>
      <c r="AI337" s="31"/>
    </row>
    <row r="338" spans="1:35">
      <c r="A338" s="31"/>
      <c r="D338" s="31"/>
      <c r="E338" s="31"/>
      <c r="H338" s="31"/>
      <c r="I338" s="31"/>
      <c r="J338" s="31"/>
      <c r="K338" s="31"/>
      <c r="L338" s="31"/>
      <c r="M338" s="31"/>
      <c r="N338" s="31"/>
      <c r="O338" s="31"/>
      <c r="P338" s="31"/>
      <c r="Q338" s="31"/>
      <c r="R338" s="31"/>
      <c r="S338" s="31"/>
      <c r="T338" s="31"/>
      <c r="U338" s="31"/>
      <c r="V338" s="31"/>
      <c r="W338" s="31"/>
      <c r="X338" s="31"/>
      <c r="Y338" s="31"/>
      <c r="Z338" s="31"/>
      <c r="AA338" s="31"/>
      <c r="AB338" s="31"/>
      <c r="AC338" s="31"/>
      <c r="AD338" s="31"/>
      <c r="AE338" s="31"/>
      <c r="AF338" s="31"/>
      <c r="AG338" s="31"/>
      <c r="AH338" s="31"/>
      <c r="AI338" s="31"/>
    </row>
    <row r="339" spans="1:35">
      <c r="A339" s="31"/>
      <c r="D339" s="31"/>
      <c r="E339" s="31"/>
      <c r="H339" s="31"/>
      <c r="I339" s="31"/>
      <c r="J339" s="31"/>
      <c r="K339" s="31"/>
      <c r="L339" s="31"/>
      <c r="M339" s="31"/>
      <c r="N339" s="31"/>
      <c r="O339" s="31"/>
      <c r="P339" s="31"/>
      <c r="Q339" s="31"/>
      <c r="R339" s="31"/>
      <c r="S339" s="31"/>
      <c r="T339" s="31"/>
      <c r="U339" s="31"/>
      <c r="V339" s="31"/>
      <c r="W339" s="31"/>
      <c r="X339" s="31"/>
      <c r="Y339" s="31"/>
      <c r="Z339" s="31"/>
      <c r="AA339" s="31"/>
      <c r="AB339" s="31"/>
      <c r="AC339" s="31"/>
      <c r="AD339" s="31"/>
      <c r="AE339" s="31"/>
      <c r="AF339" s="31"/>
      <c r="AG339" s="31"/>
      <c r="AH339" s="31"/>
      <c r="AI339" s="31"/>
    </row>
    <row r="340" spans="1:35">
      <c r="A340" s="31"/>
      <c r="D340" s="31"/>
      <c r="E340" s="31"/>
      <c r="H340" s="31"/>
      <c r="I340" s="31"/>
      <c r="J340" s="31"/>
      <c r="K340" s="31"/>
      <c r="L340" s="31"/>
      <c r="M340" s="31"/>
      <c r="N340" s="31"/>
      <c r="O340" s="31"/>
      <c r="P340" s="31"/>
      <c r="Q340" s="31"/>
      <c r="R340" s="31"/>
      <c r="S340" s="31"/>
      <c r="T340" s="31"/>
      <c r="U340" s="31"/>
      <c r="V340" s="31"/>
      <c r="W340" s="31"/>
      <c r="X340" s="31"/>
      <c r="Y340" s="31"/>
      <c r="Z340" s="31"/>
      <c r="AA340" s="31"/>
      <c r="AB340" s="31"/>
      <c r="AC340" s="31"/>
      <c r="AD340" s="31"/>
      <c r="AE340" s="31"/>
      <c r="AF340" s="31"/>
      <c r="AG340" s="31"/>
      <c r="AH340" s="31"/>
      <c r="AI340" s="31"/>
    </row>
    <row r="341" spans="1:35">
      <c r="A341" s="31"/>
      <c r="D341" s="31"/>
      <c r="E341" s="31"/>
      <c r="H341" s="31"/>
      <c r="I341" s="31"/>
      <c r="J341" s="31"/>
      <c r="K341" s="31"/>
      <c r="L341" s="31"/>
      <c r="M341" s="31"/>
      <c r="N341" s="31"/>
      <c r="O341" s="31"/>
      <c r="P341" s="31"/>
      <c r="Q341" s="31"/>
      <c r="R341" s="31"/>
      <c r="S341" s="31"/>
      <c r="T341" s="31"/>
      <c r="U341" s="31"/>
      <c r="V341" s="31"/>
      <c r="W341" s="31"/>
      <c r="X341" s="31"/>
      <c r="Y341" s="31"/>
      <c r="Z341" s="31"/>
      <c r="AA341" s="31"/>
      <c r="AB341" s="31"/>
      <c r="AC341" s="31"/>
      <c r="AD341" s="31"/>
      <c r="AE341" s="31"/>
      <c r="AF341" s="31"/>
      <c r="AG341" s="31"/>
      <c r="AH341" s="31"/>
      <c r="AI341" s="31"/>
    </row>
    <row r="342" spans="1:35">
      <c r="A342" s="31"/>
      <c r="D342" s="31"/>
      <c r="E342" s="31"/>
      <c r="H342" s="31"/>
      <c r="I342" s="31"/>
      <c r="J342" s="31"/>
      <c r="K342" s="31"/>
      <c r="L342" s="31"/>
      <c r="M342" s="31"/>
      <c r="N342" s="31"/>
      <c r="O342" s="31"/>
      <c r="P342" s="31"/>
      <c r="Q342" s="31"/>
      <c r="R342" s="31"/>
      <c r="S342" s="31"/>
      <c r="T342" s="31"/>
      <c r="U342" s="31"/>
      <c r="V342" s="31"/>
      <c r="W342" s="31"/>
      <c r="X342" s="31"/>
      <c r="Y342" s="31"/>
      <c r="Z342" s="31"/>
      <c r="AA342" s="31"/>
      <c r="AB342" s="31"/>
      <c r="AC342" s="31"/>
      <c r="AD342" s="31"/>
      <c r="AE342" s="31"/>
      <c r="AF342" s="31"/>
      <c r="AG342" s="31"/>
      <c r="AH342" s="31"/>
      <c r="AI342" s="31"/>
    </row>
    <row r="343" spans="1:35">
      <c r="A343" s="31"/>
      <c r="D343" s="31"/>
      <c r="E343" s="31"/>
      <c r="H343" s="31"/>
      <c r="I343" s="31"/>
      <c r="J343" s="31"/>
      <c r="K343" s="31"/>
      <c r="L343" s="31"/>
      <c r="M343" s="31"/>
      <c r="N343" s="31"/>
      <c r="O343" s="31"/>
      <c r="P343" s="31"/>
      <c r="Q343" s="31"/>
      <c r="R343" s="31"/>
      <c r="S343" s="31"/>
      <c r="T343" s="31"/>
      <c r="U343" s="31"/>
      <c r="V343" s="31"/>
      <c r="W343" s="31"/>
      <c r="X343" s="31"/>
      <c r="Y343" s="31"/>
      <c r="Z343" s="31"/>
      <c r="AA343" s="31"/>
      <c r="AB343" s="31"/>
      <c r="AC343" s="31"/>
      <c r="AD343" s="31"/>
      <c r="AE343" s="31"/>
      <c r="AF343" s="31"/>
      <c r="AG343" s="31"/>
      <c r="AH343" s="31"/>
      <c r="AI343" s="31"/>
    </row>
    <row r="344" spans="1:35">
      <c r="A344" s="31"/>
      <c r="D344" s="31"/>
      <c r="E344" s="31"/>
      <c r="H344" s="31"/>
      <c r="I344" s="31"/>
      <c r="J344" s="31"/>
      <c r="K344" s="31"/>
      <c r="L344" s="31"/>
      <c r="M344" s="31"/>
      <c r="N344" s="31"/>
      <c r="O344" s="31"/>
      <c r="P344" s="31"/>
      <c r="Q344" s="31"/>
      <c r="R344" s="31"/>
      <c r="S344" s="31"/>
      <c r="T344" s="31"/>
      <c r="U344" s="31"/>
      <c r="V344" s="31"/>
      <c r="W344" s="31"/>
      <c r="X344" s="31"/>
      <c r="Y344" s="31"/>
      <c r="Z344" s="31"/>
      <c r="AA344" s="31"/>
      <c r="AB344" s="31"/>
      <c r="AC344" s="31"/>
      <c r="AD344" s="31"/>
      <c r="AE344" s="31"/>
      <c r="AF344" s="31"/>
      <c r="AG344" s="31"/>
      <c r="AH344" s="31"/>
      <c r="AI344" s="31"/>
    </row>
    <row r="345" spans="1:35">
      <c r="A345" s="31"/>
      <c r="D345" s="31"/>
      <c r="E345" s="31"/>
      <c r="H345" s="31"/>
      <c r="I345" s="31"/>
      <c r="J345" s="31"/>
      <c r="K345" s="31"/>
      <c r="L345" s="31"/>
      <c r="M345" s="31"/>
      <c r="N345" s="31"/>
      <c r="O345" s="31"/>
      <c r="P345" s="31"/>
      <c r="Q345" s="31"/>
      <c r="R345" s="31"/>
      <c r="S345" s="31"/>
      <c r="T345" s="31"/>
      <c r="U345" s="31"/>
      <c r="V345" s="31"/>
      <c r="W345" s="31"/>
      <c r="X345" s="31"/>
      <c r="Y345" s="31"/>
      <c r="Z345" s="31"/>
      <c r="AA345" s="31"/>
      <c r="AB345" s="31"/>
      <c r="AC345" s="31"/>
      <c r="AD345" s="31"/>
      <c r="AE345" s="31"/>
      <c r="AF345" s="31"/>
      <c r="AG345" s="31"/>
      <c r="AH345" s="31"/>
      <c r="AI345" s="31"/>
    </row>
    <row r="346" spans="1:35">
      <c r="A346" s="31"/>
      <c r="D346" s="31"/>
      <c r="E346" s="31"/>
      <c r="H346" s="31"/>
      <c r="I346" s="31"/>
      <c r="J346" s="31"/>
      <c r="K346" s="31"/>
      <c r="L346" s="31"/>
      <c r="M346" s="31"/>
      <c r="N346" s="31"/>
      <c r="O346" s="31"/>
      <c r="P346" s="31"/>
      <c r="Q346" s="31"/>
      <c r="R346" s="31"/>
      <c r="S346" s="31"/>
      <c r="T346" s="31"/>
      <c r="U346" s="31"/>
      <c r="V346" s="31"/>
      <c r="W346" s="31"/>
      <c r="X346" s="31"/>
      <c r="Y346" s="31"/>
      <c r="Z346" s="31"/>
      <c r="AA346" s="31"/>
      <c r="AB346" s="31"/>
      <c r="AC346" s="31"/>
      <c r="AD346" s="31"/>
      <c r="AE346" s="31"/>
      <c r="AF346" s="31"/>
      <c r="AG346" s="31"/>
      <c r="AH346" s="31"/>
      <c r="AI346" s="31"/>
    </row>
    <row r="347" spans="1:35">
      <c r="A347" s="31"/>
      <c r="D347" s="31"/>
      <c r="E347" s="31"/>
      <c r="H347" s="31"/>
      <c r="I347" s="31"/>
      <c r="J347" s="31"/>
      <c r="K347" s="31"/>
      <c r="L347" s="31"/>
      <c r="M347" s="31"/>
      <c r="N347" s="31"/>
      <c r="O347" s="31"/>
      <c r="P347" s="31"/>
      <c r="Q347" s="31"/>
      <c r="R347" s="31"/>
      <c r="S347" s="31"/>
      <c r="T347" s="31"/>
      <c r="U347" s="31"/>
      <c r="V347" s="31"/>
      <c r="W347" s="31"/>
      <c r="X347" s="31"/>
      <c r="Y347" s="31"/>
      <c r="Z347" s="31"/>
      <c r="AA347" s="31"/>
      <c r="AB347" s="31"/>
      <c r="AC347" s="31"/>
      <c r="AD347" s="31"/>
      <c r="AE347" s="31"/>
      <c r="AF347" s="31"/>
      <c r="AG347" s="31"/>
      <c r="AH347" s="31"/>
      <c r="AI347" s="31"/>
    </row>
    <row r="348" spans="1:35">
      <c r="A348" s="31"/>
      <c r="D348" s="31"/>
      <c r="E348" s="31"/>
      <c r="H348" s="31"/>
      <c r="I348" s="31"/>
      <c r="J348" s="31"/>
      <c r="K348" s="31"/>
      <c r="L348" s="31"/>
      <c r="M348" s="31"/>
      <c r="N348" s="31"/>
      <c r="O348" s="31"/>
      <c r="P348" s="31"/>
      <c r="Q348" s="31"/>
      <c r="R348" s="31"/>
      <c r="S348" s="31"/>
      <c r="T348" s="31"/>
      <c r="U348" s="31"/>
      <c r="V348" s="31"/>
      <c r="W348" s="31"/>
      <c r="X348" s="31"/>
      <c r="Y348" s="31"/>
      <c r="Z348" s="31"/>
      <c r="AA348" s="31"/>
      <c r="AB348" s="31"/>
      <c r="AC348" s="31"/>
      <c r="AD348" s="31"/>
      <c r="AE348" s="31"/>
      <c r="AF348" s="31"/>
      <c r="AG348" s="31"/>
      <c r="AH348" s="31"/>
      <c r="AI348" s="31"/>
    </row>
    <row r="349" spans="1:35">
      <c r="A349" s="31"/>
      <c r="D349" s="31"/>
      <c r="E349" s="31"/>
      <c r="H349" s="31"/>
      <c r="I349" s="31"/>
      <c r="J349" s="31"/>
      <c r="K349" s="31"/>
      <c r="L349" s="31"/>
      <c r="M349" s="31"/>
      <c r="N349" s="31"/>
      <c r="O349" s="31"/>
      <c r="P349" s="31"/>
      <c r="Q349" s="31"/>
      <c r="R349" s="31"/>
      <c r="S349" s="31"/>
      <c r="T349" s="31"/>
      <c r="U349" s="31"/>
      <c r="V349" s="31"/>
      <c r="W349" s="31"/>
      <c r="X349" s="31"/>
      <c r="Y349" s="31"/>
      <c r="Z349" s="31"/>
      <c r="AA349" s="31"/>
      <c r="AB349" s="31"/>
      <c r="AC349" s="31"/>
      <c r="AD349" s="31"/>
      <c r="AE349" s="31"/>
      <c r="AF349" s="31"/>
      <c r="AG349" s="31"/>
      <c r="AH349" s="31"/>
      <c r="AI349" s="31"/>
    </row>
    <row r="350" spans="1:35">
      <c r="A350" s="31"/>
      <c r="D350" s="31"/>
      <c r="E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1"/>
      <c r="AE350" s="31"/>
      <c r="AF350" s="31"/>
      <c r="AG350" s="31"/>
      <c r="AH350" s="31"/>
      <c r="AI350" s="31"/>
    </row>
    <row r="351" spans="1:35">
      <c r="A351" s="31"/>
      <c r="D351" s="31"/>
      <c r="E351" s="31"/>
      <c r="H351" s="31"/>
      <c r="I351" s="31"/>
      <c r="J351" s="31"/>
      <c r="K351" s="31"/>
      <c r="L351" s="31"/>
      <c r="M351" s="31"/>
      <c r="N351" s="31"/>
      <c r="O351" s="31"/>
      <c r="P351" s="31"/>
      <c r="Q351" s="31"/>
      <c r="R351" s="31"/>
      <c r="S351" s="31"/>
      <c r="T351" s="31"/>
      <c r="U351" s="31"/>
      <c r="V351" s="31"/>
      <c r="W351" s="31"/>
      <c r="X351" s="31"/>
      <c r="Y351" s="31"/>
      <c r="Z351" s="31"/>
      <c r="AA351" s="31"/>
      <c r="AB351" s="31"/>
      <c r="AC351" s="31"/>
      <c r="AD351" s="31"/>
      <c r="AE351" s="31"/>
      <c r="AF351" s="31"/>
      <c r="AG351" s="31"/>
      <c r="AH351" s="31"/>
      <c r="AI351" s="31"/>
    </row>
    <row r="352" spans="1:35">
      <c r="A352" s="31"/>
      <c r="D352" s="31"/>
      <c r="E352" s="31"/>
      <c r="H352" s="31"/>
      <c r="I352" s="31"/>
      <c r="J352" s="31"/>
      <c r="K352" s="31"/>
      <c r="L352" s="31"/>
      <c r="M352" s="31"/>
      <c r="N352" s="31"/>
      <c r="O352" s="31"/>
      <c r="P352" s="31"/>
      <c r="Q352" s="31"/>
      <c r="R352" s="31"/>
      <c r="S352" s="31"/>
      <c r="T352" s="31"/>
      <c r="U352" s="31"/>
      <c r="V352" s="31"/>
      <c r="W352" s="31"/>
      <c r="X352" s="31"/>
      <c r="Y352" s="31"/>
      <c r="Z352" s="31"/>
      <c r="AA352" s="31"/>
      <c r="AB352" s="31"/>
      <c r="AC352" s="31"/>
      <c r="AD352" s="31"/>
      <c r="AE352" s="31"/>
      <c r="AF352" s="31"/>
      <c r="AG352" s="31"/>
      <c r="AH352" s="31"/>
      <c r="AI352" s="31"/>
    </row>
    <row r="353" spans="1:35">
      <c r="A353" s="31"/>
      <c r="D353" s="31"/>
      <c r="E353" s="31"/>
      <c r="H353" s="31"/>
      <c r="I353" s="31"/>
      <c r="J353" s="31"/>
      <c r="K353" s="31"/>
      <c r="L353" s="31"/>
      <c r="M353" s="31"/>
      <c r="N353" s="31"/>
      <c r="O353" s="31"/>
      <c r="P353" s="31"/>
      <c r="Q353" s="31"/>
      <c r="R353" s="31"/>
      <c r="S353" s="31"/>
      <c r="T353" s="31"/>
      <c r="U353" s="31"/>
      <c r="V353" s="31"/>
      <c r="W353" s="31"/>
      <c r="X353" s="31"/>
      <c r="Y353" s="31"/>
      <c r="Z353" s="31"/>
      <c r="AA353" s="31"/>
      <c r="AB353" s="31"/>
      <c r="AC353" s="31"/>
      <c r="AD353" s="31"/>
      <c r="AE353" s="31"/>
      <c r="AF353" s="31"/>
      <c r="AG353" s="31"/>
      <c r="AH353" s="31"/>
      <c r="AI353" s="31"/>
    </row>
    <row r="354" spans="1:35">
      <c r="A354" s="31"/>
      <c r="D354" s="31"/>
      <c r="E354" s="31"/>
      <c r="H354" s="31"/>
      <c r="I354" s="31"/>
      <c r="J354" s="31"/>
      <c r="K354" s="31"/>
      <c r="L354" s="31"/>
      <c r="M354" s="31"/>
      <c r="N354" s="31"/>
      <c r="O354" s="31"/>
      <c r="P354" s="31"/>
      <c r="Q354" s="31"/>
      <c r="R354" s="31"/>
      <c r="S354" s="31"/>
      <c r="T354" s="31"/>
      <c r="U354" s="31"/>
      <c r="V354" s="31"/>
      <c r="W354" s="31"/>
      <c r="X354" s="31"/>
      <c r="Y354" s="31"/>
      <c r="Z354" s="31"/>
      <c r="AA354" s="31"/>
      <c r="AB354" s="31"/>
      <c r="AC354" s="31"/>
      <c r="AD354" s="31"/>
      <c r="AE354" s="31"/>
      <c r="AF354" s="31"/>
      <c r="AG354" s="31"/>
      <c r="AH354" s="31"/>
      <c r="AI354" s="31"/>
    </row>
    <row r="355" spans="1:35">
      <c r="A355" s="31"/>
      <c r="D355" s="31"/>
      <c r="E355" s="31"/>
      <c r="H355" s="31"/>
      <c r="I355" s="31"/>
      <c r="J355" s="31"/>
      <c r="K355" s="31"/>
      <c r="L355" s="31"/>
      <c r="M355" s="31"/>
      <c r="N355" s="31"/>
      <c r="O355" s="31"/>
      <c r="P355" s="31"/>
      <c r="Q355" s="31"/>
      <c r="R355" s="31"/>
      <c r="S355" s="31"/>
      <c r="T355" s="31"/>
      <c r="U355" s="31"/>
      <c r="V355" s="31"/>
      <c r="W355" s="31"/>
      <c r="X355" s="31"/>
      <c r="Y355" s="31"/>
      <c r="Z355" s="31"/>
      <c r="AA355" s="31"/>
      <c r="AB355" s="31"/>
      <c r="AC355" s="31"/>
      <c r="AD355" s="31"/>
      <c r="AE355" s="31"/>
      <c r="AF355" s="31"/>
      <c r="AG355" s="31"/>
      <c r="AH355" s="31"/>
      <c r="AI355" s="31"/>
    </row>
    <row r="356" spans="1:35">
      <c r="A356" s="31"/>
      <c r="D356" s="31"/>
      <c r="E356" s="31"/>
      <c r="H356" s="31"/>
      <c r="I356" s="31"/>
      <c r="J356" s="31"/>
      <c r="K356" s="31"/>
      <c r="L356" s="31"/>
      <c r="M356" s="31"/>
      <c r="N356" s="31"/>
      <c r="O356" s="31"/>
      <c r="P356" s="31"/>
      <c r="Q356" s="31"/>
      <c r="R356" s="31"/>
      <c r="S356" s="31"/>
      <c r="T356" s="31"/>
      <c r="U356" s="31"/>
      <c r="V356" s="31"/>
      <c r="W356" s="31"/>
      <c r="X356" s="31"/>
      <c r="Y356" s="31"/>
      <c r="Z356" s="31"/>
      <c r="AA356" s="31"/>
      <c r="AB356" s="31"/>
      <c r="AC356" s="31"/>
      <c r="AD356" s="31"/>
      <c r="AE356" s="31"/>
      <c r="AF356" s="31"/>
      <c r="AG356" s="31"/>
      <c r="AH356" s="31"/>
      <c r="AI356" s="31"/>
    </row>
    <row r="357" spans="1:35">
      <c r="A357" s="31"/>
      <c r="D357" s="31"/>
      <c r="E357" s="31"/>
      <c r="H357" s="31"/>
      <c r="I357" s="31"/>
      <c r="J357" s="31"/>
      <c r="K357" s="31"/>
      <c r="L357" s="31"/>
      <c r="M357" s="31"/>
      <c r="N357" s="31"/>
      <c r="O357" s="31"/>
      <c r="P357" s="31"/>
      <c r="Q357" s="31"/>
      <c r="R357" s="31"/>
      <c r="S357" s="31"/>
      <c r="T357" s="31"/>
      <c r="U357" s="31"/>
      <c r="V357" s="31"/>
      <c r="W357" s="31"/>
      <c r="X357" s="31"/>
      <c r="Y357" s="31"/>
      <c r="Z357" s="31"/>
      <c r="AA357" s="31"/>
      <c r="AB357" s="31"/>
      <c r="AC357" s="31"/>
      <c r="AD357" s="31"/>
      <c r="AE357" s="31"/>
      <c r="AF357" s="31"/>
      <c r="AG357" s="31"/>
      <c r="AH357" s="31"/>
      <c r="AI357" s="31"/>
    </row>
    <row r="358" spans="1:35">
      <c r="A358" s="31"/>
      <c r="D358" s="31"/>
      <c r="E358" s="31"/>
      <c r="H358" s="31"/>
      <c r="I358" s="31"/>
      <c r="J358" s="31"/>
      <c r="K358" s="31"/>
      <c r="L358" s="31"/>
      <c r="M358" s="31"/>
      <c r="N358" s="31"/>
      <c r="O358" s="31"/>
      <c r="P358" s="31"/>
      <c r="Q358" s="31"/>
      <c r="R358" s="31"/>
      <c r="S358" s="31"/>
      <c r="T358" s="31"/>
      <c r="U358" s="31"/>
      <c r="V358" s="31"/>
      <c r="W358" s="31"/>
      <c r="X358" s="31"/>
      <c r="Y358" s="31"/>
      <c r="Z358" s="31"/>
      <c r="AA358" s="31"/>
      <c r="AB358" s="31"/>
      <c r="AC358" s="31"/>
      <c r="AD358" s="31"/>
      <c r="AE358" s="31"/>
      <c r="AF358" s="31"/>
      <c r="AG358" s="31"/>
      <c r="AH358" s="31"/>
      <c r="AI358" s="31"/>
    </row>
    <row r="359" spans="1:35">
      <c r="A359" s="31"/>
      <c r="D359" s="31"/>
      <c r="E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1"/>
      <c r="AE359" s="31"/>
      <c r="AF359" s="31"/>
      <c r="AG359" s="31"/>
      <c r="AH359" s="31"/>
      <c r="AI359" s="31"/>
    </row>
    <row r="360" spans="1:35">
      <c r="A360" s="31"/>
      <c r="D360" s="31"/>
      <c r="E360" s="31"/>
      <c r="H360" s="31"/>
      <c r="I360" s="31"/>
      <c r="J360" s="31"/>
      <c r="K360" s="31"/>
      <c r="L360" s="31"/>
      <c r="M360" s="31"/>
      <c r="N360" s="31"/>
      <c r="O360" s="31"/>
      <c r="P360" s="31"/>
      <c r="Q360" s="31"/>
      <c r="R360" s="31"/>
      <c r="S360" s="31"/>
      <c r="T360" s="31"/>
      <c r="U360" s="31"/>
      <c r="V360" s="31"/>
      <c r="W360" s="31"/>
      <c r="X360" s="31"/>
      <c r="Y360" s="31"/>
      <c r="Z360" s="31"/>
      <c r="AA360" s="31"/>
      <c r="AB360" s="31"/>
      <c r="AC360" s="31"/>
      <c r="AD360" s="31"/>
      <c r="AE360" s="31"/>
      <c r="AF360" s="31"/>
      <c r="AG360" s="31"/>
      <c r="AH360" s="31"/>
      <c r="AI360" s="31"/>
    </row>
    <row r="361" spans="1:35">
      <c r="A361" s="31"/>
      <c r="D361" s="31"/>
      <c r="E361" s="31"/>
      <c r="H361" s="31"/>
      <c r="I361" s="31"/>
      <c r="J361" s="31"/>
      <c r="K361" s="31"/>
      <c r="L361" s="31"/>
      <c r="M361" s="31"/>
      <c r="N361" s="31"/>
      <c r="O361" s="31"/>
      <c r="P361" s="31"/>
      <c r="Q361" s="31"/>
      <c r="R361" s="31"/>
      <c r="S361" s="31"/>
      <c r="T361" s="31"/>
      <c r="U361" s="31"/>
      <c r="V361" s="31"/>
      <c r="W361" s="31"/>
      <c r="X361" s="31"/>
      <c r="Y361" s="31"/>
      <c r="Z361" s="31"/>
      <c r="AA361" s="31"/>
      <c r="AB361" s="31"/>
      <c r="AC361" s="31"/>
      <c r="AD361" s="31"/>
      <c r="AE361" s="31"/>
      <c r="AF361" s="31"/>
      <c r="AG361" s="31"/>
      <c r="AH361" s="31"/>
      <c r="AI361" s="31"/>
    </row>
    <row r="362" spans="1:35">
      <c r="A362" s="31"/>
      <c r="D362" s="31"/>
      <c r="E362" s="31"/>
      <c r="H362" s="31"/>
      <c r="I362" s="31"/>
      <c r="J362" s="31"/>
      <c r="K362" s="31"/>
      <c r="L362" s="31"/>
      <c r="M362" s="31"/>
      <c r="N362" s="31"/>
      <c r="O362" s="31"/>
      <c r="P362" s="31"/>
      <c r="Q362" s="31"/>
      <c r="R362" s="31"/>
      <c r="S362" s="31"/>
      <c r="T362" s="31"/>
      <c r="U362" s="31"/>
      <c r="V362" s="31"/>
      <c r="W362" s="31"/>
      <c r="X362" s="31"/>
      <c r="Y362" s="31"/>
      <c r="Z362" s="31"/>
      <c r="AA362" s="31"/>
      <c r="AB362" s="31"/>
      <c r="AC362" s="31"/>
      <c r="AD362" s="31"/>
      <c r="AE362" s="31"/>
      <c r="AF362" s="31"/>
      <c r="AG362" s="31"/>
      <c r="AH362" s="31"/>
      <c r="AI362" s="31"/>
    </row>
    <row r="363" spans="1:35">
      <c r="A363" s="31"/>
      <c r="D363" s="31"/>
      <c r="E363" s="31"/>
      <c r="H363" s="31"/>
      <c r="I363" s="31"/>
      <c r="J363" s="31"/>
      <c r="K363" s="31"/>
      <c r="L363" s="31"/>
      <c r="M363" s="31"/>
      <c r="N363" s="31"/>
      <c r="O363" s="31"/>
      <c r="P363" s="31"/>
      <c r="Q363" s="31"/>
      <c r="R363" s="31"/>
      <c r="S363" s="31"/>
      <c r="T363" s="31"/>
      <c r="U363" s="31"/>
      <c r="V363" s="31"/>
      <c r="W363" s="31"/>
      <c r="X363" s="31"/>
      <c r="Y363" s="31"/>
      <c r="Z363" s="31"/>
      <c r="AA363" s="31"/>
      <c r="AB363" s="31"/>
      <c r="AC363" s="31"/>
      <c r="AD363" s="31"/>
      <c r="AE363" s="31"/>
      <c r="AF363" s="31"/>
      <c r="AG363" s="31"/>
      <c r="AH363" s="31"/>
      <c r="AI363" s="31"/>
    </row>
    <row r="364" spans="1:35">
      <c r="A364" s="31"/>
      <c r="D364" s="31"/>
      <c r="E364" s="31"/>
      <c r="H364" s="31"/>
      <c r="I364" s="31"/>
      <c r="J364" s="31"/>
      <c r="K364" s="31"/>
      <c r="L364" s="31"/>
      <c r="M364" s="31"/>
      <c r="N364" s="31"/>
      <c r="O364" s="31"/>
      <c r="P364" s="31"/>
      <c r="Q364" s="31"/>
      <c r="R364" s="31"/>
      <c r="S364" s="31"/>
      <c r="T364" s="31"/>
      <c r="U364" s="31"/>
      <c r="V364" s="31"/>
      <c r="W364" s="31"/>
      <c r="X364" s="31"/>
      <c r="Y364" s="31"/>
      <c r="Z364" s="31"/>
      <c r="AA364" s="31"/>
      <c r="AB364" s="31"/>
      <c r="AC364" s="31"/>
      <c r="AD364" s="31"/>
      <c r="AE364" s="31"/>
      <c r="AF364" s="31"/>
      <c r="AG364" s="31"/>
      <c r="AH364" s="31"/>
      <c r="AI364" s="31"/>
    </row>
    <row r="365" spans="1:35">
      <c r="A365" s="31"/>
      <c r="D365" s="31"/>
      <c r="E365" s="31"/>
      <c r="H365" s="31"/>
      <c r="I365" s="31"/>
      <c r="J365" s="31"/>
      <c r="K365" s="31"/>
      <c r="L365" s="31"/>
      <c r="M365" s="31"/>
      <c r="N365" s="31"/>
      <c r="O365" s="31"/>
      <c r="P365" s="31"/>
      <c r="Q365" s="31"/>
      <c r="R365" s="31"/>
      <c r="S365" s="31"/>
      <c r="T365" s="31"/>
      <c r="U365" s="31"/>
      <c r="V365" s="31"/>
      <c r="W365" s="31"/>
      <c r="X365" s="31"/>
      <c r="Y365" s="31"/>
      <c r="Z365" s="31"/>
      <c r="AA365" s="31"/>
      <c r="AB365" s="31"/>
      <c r="AC365" s="31"/>
      <c r="AD365" s="31"/>
      <c r="AE365" s="31"/>
      <c r="AF365" s="31"/>
      <c r="AG365" s="31"/>
      <c r="AH365" s="31"/>
      <c r="AI365" s="31"/>
    </row>
    <row r="366" spans="1:35">
      <c r="A366" s="31"/>
      <c r="D366" s="31"/>
      <c r="E366" s="31"/>
      <c r="H366" s="31"/>
      <c r="I366" s="31"/>
      <c r="J366" s="31"/>
      <c r="K366" s="31"/>
      <c r="L366" s="31"/>
      <c r="M366" s="31"/>
      <c r="N366" s="31"/>
      <c r="O366" s="31"/>
      <c r="P366" s="31"/>
      <c r="Q366" s="31"/>
      <c r="R366" s="31"/>
      <c r="S366" s="31"/>
      <c r="T366" s="31"/>
      <c r="U366" s="31"/>
      <c r="V366" s="31"/>
      <c r="W366" s="31"/>
      <c r="X366" s="31"/>
      <c r="Y366" s="31"/>
      <c r="Z366" s="31"/>
      <c r="AA366" s="31"/>
      <c r="AB366" s="31"/>
      <c r="AC366" s="31"/>
      <c r="AD366" s="31"/>
      <c r="AE366" s="31"/>
      <c r="AF366" s="31"/>
      <c r="AG366" s="31"/>
      <c r="AH366" s="31"/>
      <c r="AI366" s="31"/>
    </row>
    <row r="367" spans="1:35">
      <c r="A367" s="31"/>
      <c r="D367" s="31"/>
      <c r="E367" s="31"/>
      <c r="H367" s="31"/>
      <c r="I367" s="31"/>
      <c r="J367" s="31"/>
      <c r="K367" s="31"/>
      <c r="L367" s="31"/>
      <c r="M367" s="31"/>
      <c r="N367" s="31"/>
      <c r="O367" s="31"/>
      <c r="P367" s="31"/>
      <c r="Q367" s="31"/>
      <c r="R367" s="31"/>
      <c r="S367" s="31"/>
      <c r="T367" s="31"/>
      <c r="U367" s="31"/>
      <c r="V367" s="31"/>
      <c r="W367" s="31"/>
      <c r="X367" s="31"/>
      <c r="Y367" s="31"/>
      <c r="Z367" s="31"/>
      <c r="AA367" s="31"/>
      <c r="AB367" s="31"/>
      <c r="AC367" s="31"/>
      <c r="AD367" s="31"/>
      <c r="AE367" s="31"/>
      <c r="AF367" s="31"/>
      <c r="AG367" s="31"/>
      <c r="AH367" s="31"/>
      <c r="AI367" s="31"/>
    </row>
    <row r="368" spans="1:35">
      <c r="A368" s="31"/>
      <c r="D368" s="31"/>
      <c r="E368" s="31"/>
      <c r="H368" s="31"/>
      <c r="I368" s="31"/>
      <c r="J368" s="31"/>
      <c r="K368" s="31"/>
      <c r="L368" s="31"/>
      <c r="M368" s="31"/>
      <c r="N368" s="31"/>
      <c r="O368" s="31"/>
      <c r="P368" s="31"/>
      <c r="Q368" s="31"/>
      <c r="R368" s="31"/>
      <c r="S368" s="31"/>
      <c r="T368" s="31"/>
      <c r="U368" s="31"/>
      <c r="V368" s="31"/>
      <c r="W368" s="31"/>
      <c r="X368" s="31"/>
      <c r="Y368" s="31"/>
      <c r="Z368" s="31"/>
      <c r="AA368" s="31"/>
      <c r="AB368" s="31"/>
      <c r="AC368" s="31"/>
      <c r="AD368" s="31"/>
      <c r="AE368" s="31"/>
      <c r="AF368" s="31"/>
      <c r="AG368" s="31"/>
      <c r="AH368" s="31"/>
      <c r="AI368" s="31"/>
    </row>
    <row r="369" spans="1:35">
      <c r="A369" s="31"/>
      <c r="D369" s="31"/>
      <c r="E369" s="31"/>
      <c r="H369" s="31"/>
      <c r="I369" s="31"/>
      <c r="J369" s="31"/>
      <c r="K369" s="31"/>
      <c r="L369" s="31"/>
      <c r="M369" s="31"/>
      <c r="N369" s="31"/>
      <c r="O369" s="31"/>
      <c r="P369" s="31"/>
      <c r="Q369" s="31"/>
      <c r="R369" s="31"/>
      <c r="S369" s="31"/>
      <c r="T369" s="31"/>
      <c r="U369" s="31"/>
      <c r="V369" s="31"/>
      <c r="W369" s="31"/>
      <c r="X369" s="31"/>
      <c r="Y369" s="31"/>
      <c r="Z369" s="31"/>
      <c r="AA369" s="31"/>
      <c r="AB369" s="31"/>
      <c r="AC369" s="31"/>
      <c r="AD369" s="31"/>
      <c r="AE369" s="31"/>
      <c r="AF369" s="31"/>
      <c r="AG369" s="31"/>
      <c r="AH369" s="31"/>
      <c r="AI369" s="31"/>
    </row>
    <row r="370" spans="1:35">
      <c r="A370" s="31"/>
      <c r="D370" s="31"/>
      <c r="E370" s="31"/>
      <c r="H370" s="31"/>
      <c r="I370" s="31"/>
      <c r="J370" s="31"/>
      <c r="K370" s="31"/>
      <c r="L370" s="31"/>
      <c r="M370" s="31"/>
      <c r="N370" s="31"/>
      <c r="O370" s="31"/>
      <c r="P370" s="31"/>
      <c r="Q370" s="31"/>
      <c r="R370" s="31"/>
      <c r="S370" s="31"/>
      <c r="T370" s="31"/>
      <c r="U370" s="31"/>
      <c r="V370" s="31"/>
      <c r="W370" s="31"/>
      <c r="X370" s="31"/>
      <c r="Y370" s="31"/>
      <c r="Z370" s="31"/>
      <c r="AA370" s="31"/>
      <c r="AB370" s="31"/>
      <c r="AC370" s="31"/>
      <c r="AD370" s="31"/>
      <c r="AE370" s="31"/>
      <c r="AF370" s="31"/>
      <c r="AG370" s="31"/>
      <c r="AH370" s="31"/>
      <c r="AI370" s="31"/>
    </row>
    <row r="371" spans="1:35">
      <c r="A371" s="31"/>
      <c r="D371" s="31"/>
      <c r="E371" s="31"/>
      <c r="H371" s="31"/>
      <c r="I371" s="31"/>
      <c r="J371" s="31"/>
      <c r="K371" s="31"/>
      <c r="L371" s="31"/>
      <c r="M371" s="31"/>
      <c r="N371" s="31"/>
      <c r="O371" s="31"/>
      <c r="P371" s="31"/>
      <c r="Q371" s="31"/>
      <c r="R371" s="31"/>
      <c r="S371" s="31"/>
      <c r="T371" s="31"/>
      <c r="U371" s="31"/>
      <c r="V371" s="31"/>
      <c r="W371" s="31"/>
      <c r="X371" s="31"/>
      <c r="Y371" s="31"/>
      <c r="Z371" s="31"/>
      <c r="AA371" s="31"/>
      <c r="AB371" s="31"/>
      <c r="AC371" s="31"/>
      <c r="AD371" s="31"/>
      <c r="AE371" s="31"/>
      <c r="AF371" s="31"/>
      <c r="AG371" s="31"/>
      <c r="AH371" s="31"/>
      <c r="AI371" s="31"/>
    </row>
    <row r="372" spans="1:35">
      <c r="A372" s="31"/>
      <c r="D372" s="31"/>
      <c r="E372" s="31"/>
      <c r="H372" s="31"/>
      <c r="I372" s="31"/>
      <c r="J372" s="31"/>
      <c r="K372" s="31"/>
      <c r="L372" s="31"/>
      <c r="M372" s="31"/>
      <c r="N372" s="31"/>
      <c r="O372" s="31"/>
      <c r="P372" s="31"/>
      <c r="Q372" s="31"/>
      <c r="R372" s="31"/>
      <c r="S372" s="31"/>
      <c r="T372" s="31"/>
      <c r="U372" s="31"/>
      <c r="V372" s="31"/>
      <c r="W372" s="31"/>
      <c r="X372" s="31"/>
      <c r="Y372" s="31"/>
      <c r="Z372" s="31"/>
      <c r="AA372" s="31"/>
      <c r="AB372" s="31"/>
      <c r="AC372" s="31"/>
      <c r="AD372" s="31"/>
      <c r="AE372" s="31"/>
      <c r="AF372" s="31"/>
      <c r="AG372" s="31"/>
      <c r="AH372" s="31"/>
      <c r="AI372" s="31"/>
    </row>
    <row r="373" spans="1:35">
      <c r="A373" s="31"/>
      <c r="D373" s="31"/>
      <c r="E373" s="31"/>
      <c r="H373" s="31"/>
      <c r="I373" s="31"/>
      <c r="J373" s="31"/>
      <c r="K373" s="31"/>
      <c r="L373" s="31"/>
      <c r="M373" s="31"/>
      <c r="N373" s="31"/>
      <c r="O373" s="31"/>
      <c r="P373" s="31"/>
      <c r="Q373" s="31"/>
      <c r="R373" s="31"/>
      <c r="S373" s="31"/>
      <c r="T373" s="31"/>
      <c r="U373" s="31"/>
      <c r="V373" s="31"/>
      <c r="W373" s="31"/>
      <c r="X373" s="31"/>
      <c r="Y373" s="31"/>
      <c r="Z373" s="31"/>
      <c r="AA373" s="31"/>
      <c r="AB373" s="31"/>
      <c r="AC373" s="31"/>
      <c r="AD373" s="31"/>
      <c r="AE373" s="31"/>
      <c r="AF373" s="31"/>
      <c r="AG373" s="31"/>
      <c r="AH373" s="31"/>
      <c r="AI373" s="31"/>
    </row>
    <row r="374" spans="1:35">
      <c r="A374" s="31"/>
      <c r="D374" s="31"/>
      <c r="E374" s="31"/>
      <c r="H374" s="31"/>
      <c r="I374" s="31"/>
      <c r="J374" s="31"/>
      <c r="K374" s="31"/>
      <c r="L374" s="31"/>
      <c r="M374" s="31"/>
      <c r="N374" s="31"/>
      <c r="O374" s="31"/>
      <c r="P374" s="31"/>
      <c r="Q374" s="31"/>
      <c r="R374" s="31"/>
      <c r="S374" s="31"/>
      <c r="T374" s="31"/>
      <c r="U374" s="31"/>
      <c r="V374" s="31"/>
      <c r="W374" s="31"/>
      <c r="X374" s="31"/>
      <c r="Y374" s="31"/>
      <c r="Z374" s="31"/>
      <c r="AA374" s="31"/>
      <c r="AB374" s="31"/>
      <c r="AC374" s="31"/>
      <c r="AD374" s="31"/>
      <c r="AE374" s="31"/>
      <c r="AF374" s="31"/>
      <c r="AG374" s="31"/>
      <c r="AH374" s="31"/>
      <c r="AI374" s="31"/>
    </row>
    <row r="375" spans="1:35">
      <c r="A375" s="31"/>
      <c r="D375" s="31"/>
      <c r="E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1"/>
      <c r="AE375" s="31"/>
      <c r="AF375" s="31"/>
      <c r="AG375" s="31"/>
      <c r="AH375" s="31"/>
      <c r="AI375" s="31"/>
    </row>
    <row r="376" spans="1:35">
      <c r="A376" s="31"/>
      <c r="D376" s="31"/>
      <c r="E376" s="31"/>
      <c r="H376" s="31"/>
      <c r="I376" s="31"/>
      <c r="J376" s="31"/>
      <c r="K376" s="31"/>
      <c r="L376" s="31"/>
      <c r="M376" s="31"/>
      <c r="N376" s="31"/>
      <c r="O376" s="31"/>
      <c r="P376" s="31"/>
      <c r="Q376" s="31"/>
      <c r="R376" s="31"/>
      <c r="S376" s="31"/>
      <c r="T376" s="31"/>
      <c r="U376" s="31"/>
      <c r="V376" s="31"/>
      <c r="W376" s="31"/>
      <c r="X376" s="31"/>
      <c r="Y376" s="31"/>
      <c r="Z376" s="31"/>
      <c r="AA376" s="31"/>
      <c r="AB376" s="31"/>
      <c r="AC376" s="31"/>
      <c r="AD376" s="31"/>
      <c r="AE376" s="31"/>
      <c r="AF376" s="31"/>
      <c r="AG376" s="31"/>
      <c r="AH376" s="31"/>
      <c r="AI376" s="31"/>
    </row>
    <row r="377" spans="1:35">
      <c r="A377" s="31"/>
      <c r="D377" s="31"/>
      <c r="E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1"/>
      <c r="AE377" s="31"/>
      <c r="AF377" s="31"/>
      <c r="AG377" s="31"/>
      <c r="AH377" s="31"/>
      <c r="AI377" s="31"/>
    </row>
    <row r="378" spans="1:35">
      <c r="A378" s="31"/>
      <c r="D378" s="31"/>
      <c r="E378" s="31"/>
      <c r="H378" s="31"/>
      <c r="I378" s="31"/>
      <c r="J378" s="31"/>
      <c r="K378" s="31"/>
      <c r="L378" s="31"/>
      <c r="M378" s="31"/>
      <c r="N378" s="31"/>
      <c r="O378" s="31"/>
      <c r="P378" s="31"/>
      <c r="Q378" s="31"/>
      <c r="R378" s="31"/>
      <c r="S378" s="31"/>
      <c r="T378" s="31"/>
      <c r="U378" s="31"/>
      <c r="V378" s="31"/>
      <c r="W378" s="31"/>
      <c r="X378" s="31"/>
      <c r="Y378" s="31"/>
      <c r="Z378" s="31"/>
      <c r="AA378" s="31"/>
      <c r="AB378" s="31"/>
      <c r="AC378" s="31"/>
      <c r="AD378" s="31"/>
      <c r="AE378" s="31"/>
      <c r="AF378" s="31"/>
      <c r="AG378" s="31"/>
      <c r="AH378" s="31"/>
      <c r="AI378" s="31"/>
    </row>
    <row r="379" spans="1:35">
      <c r="A379" s="31"/>
      <c r="D379" s="31"/>
      <c r="E379" s="31"/>
      <c r="H379" s="31"/>
      <c r="I379" s="31"/>
      <c r="J379" s="31"/>
      <c r="K379" s="31"/>
      <c r="L379" s="31"/>
      <c r="M379" s="31"/>
      <c r="N379" s="31"/>
      <c r="O379" s="31"/>
      <c r="P379" s="31"/>
      <c r="Q379" s="31"/>
      <c r="R379" s="31"/>
      <c r="S379" s="31"/>
      <c r="T379" s="31"/>
      <c r="U379" s="31"/>
      <c r="V379" s="31"/>
      <c r="W379" s="31"/>
      <c r="X379" s="31"/>
      <c r="Y379" s="31"/>
      <c r="Z379" s="31"/>
      <c r="AA379" s="31"/>
      <c r="AB379" s="31"/>
      <c r="AC379" s="31"/>
      <c r="AD379" s="31"/>
      <c r="AE379" s="31"/>
      <c r="AF379" s="31"/>
      <c r="AG379" s="31"/>
      <c r="AH379" s="31"/>
      <c r="AI379" s="31"/>
    </row>
    <row r="380" spans="1:35">
      <c r="A380" s="31"/>
      <c r="D380" s="31"/>
      <c r="E380" s="31"/>
      <c r="H380" s="31"/>
      <c r="I380" s="31"/>
      <c r="J380" s="31"/>
      <c r="K380" s="31"/>
      <c r="L380" s="31"/>
      <c r="M380" s="31"/>
      <c r="N380" s="31"/>
      <c r="O380" s="31"/>
      <c r="P380" s="31"/>
      <c r="Q380" s="31"/>
      <c r="R380" s="31"/>
      <c r="S380" s="31"/>
      <c r="T380" s="31"/>
      <c r="U380" s="31"/>
      <c r="V380" s="31"/>
      <c r="W380" s="31"/>
      <c r="X380" s="31"/>
      <c r="Y380" s="31"/>
      <c r="Z380" s="31"/>
      <c r="AA380" s="31"/>
      <c r="AB380" s="31"/>
      <c r="AC380" s="31"/>
      <c r="AD380" s="31"/>
      <c r="AE380" s="31"/>
      <c r="AF380" s="31"/>
      <c r="AG380" s="31"/>
      <c r="AH380" s="31"/>
      <c r="AI380" s="31"/>
    </row>
    <row r="381" spans="1:35">
      <c r="A381" s="31"/>
      <c r="D381" s="31"/>
      <c r="E381" s="31"/>
      <c r="H381" s="31"/>
      <c r="I381" s="31"/>
      <c r="J381" s="31"/>
      <c r="K381" s="31"/>
      <c r="L381" s="31"/>
      <c r="M381" s="31"/>
      <c r="N381" s="31"/>
      <c r="O381" s="31"/>
      <c r="P381" s="31"/>
      <c r="Q381" s="31"/>
      <c r="R381" s="31"/>
      <c r="S381" s="31"/>
      <c r="T381" s="31"/>
      <c r="U381" s="31"/>
      <c r="V381" s="31"/>
      <c r="W381" s="31"/>
      <c r="X381" s="31"/>
      <c r="Y381" s="31"/>
      <c r="Z381" s="31"/>
      <c r="AA381" s="31"/>
      <c r="AB381" s="31"/>
      <c r="AC381" s="31"/>
      <c r="AD381" s="31"/>
      <c r="AE381" s="31"/>
      <c r="AF381" s="31"/>
      <c r="AG381" s="31"/>
      <c r="AH381" s="31"/>
      <c r="AI381" s="31"/>
    </row>
    <row r="382" spans="1:35">
      <c r="A382" s="31"/>
      <c r="D382" s="31"/>
      <c r="E382" s="31"/>
      <c r="H382" s="31"/>
      <c r="I382" s="31"/>
      <c r="J382" s="31"/>
      <c r="K382" s="31"/>
      <c r="L382" s="31"/>
      <c r="M382" s="31"/>
      <c r="N382" s="31"/>
      <c r="O382" s="31"/>
      <c r="P382" s="31"/>
      <c r="Q382" s="31"/>
      <c r="R382" s="31"/>
      <c r="S382" s="31"/>
      <c r="T382" s="31"/>
      <c r="U382" s="31"/>
      <c r="V382" s="31"/>
      <c r="W382" s="31"/>
      <c r="X382" s="31"/>
      <c r="Y382" s="31"/>
      <c r="Z382" s="31"/>
      <c r="AA382" s="31"/>
      <c r="AB382" s="31"/>
      <c r="AC382" s="31"/>
      <c r="AD382" s="31"/>
      <c r="AE382" s="31"/>
      <c r="AF382" s="31"/>
      <c r="AG382" s="31"/>
      <c r="AH382" s="31"/>
      <c r="AI382" s="31"/>
    </row>
    <row r="383" spans="1:35">
      <c r="A383" s="31"/>
      <c r="D383" s="31"/>
      <c r="E383" s="31"/>
      <c r="H383" s="31"/>
      <c r="I383" s="31"/>
      <c r="J383" s="31"/>
      <c r="K383" s="31"/>
      <c r="L383" s="31"/>
      <c r="M383" s="31"/>
      <c r="N383" s="31"/>
      <c r="O383" s="31"/>
      <c r="P383" s="31"/>
      <c r="Q383" s="31"/>
      <c r="R383" s="31"/>
      <c r="S383" s="31"/>
      <c r="T383" s="31"/>
      <c r="U383" s="31"/>
      <c r="V383" s="31"/>
      <c r="W383" s="31"/>
      <c r="X383" s="31"/>
      <c r="Y383" s="31"/>
      <c r="Z383" s="31"/>
      <c r="AA383" s="31"/>
      <c r="AB383" s="31"/>
      <c r="AC383" s="31"/>
      <c r="AD383" s="31"/>
      <c r="AE383" s="31"/>
      <c r="AF383" s="31"/>
      <c r="AG383" s="31"/>
      <c r="AH383" s="31"/>
      <c r="AI383" s="31"/>
    </row>
    <row r="384" spans="1:35">
      <c r="A384" s="31"/>
      <c r="D384" s="31"/>
      <c r="E384" s="31"/>
      <c r="H384" s="31"/>
      <c r="I384" s="31"/>
      <c r="J384" s="31"/>
      <c r="K384" s="31"/>
      <c r="L384" s="31"/>
      <c r="M384" s="31"/>
      <c r="N384" s="31"/>
      <c r="O384" s="31"/>
      <c r="P384" s="31"/>
      <c r="Q384" s="31"/>
      <c r="R384" s="31"/>
      <c r="S384" s="31"/>
      <c r="T384" s="31"/>
      <c r="U384" s="31"/>
      <c r="V384" s="31"/>
      <c r="W384" s="31"/>
      <c r="X384" s="31"/>
      <c r="Y384" s="31"/>
      <c r="Z384" s="31"/>
      <c r="AA384" s="31"/>
      <c r="AB384" s="31"/>
      <c r="AC384" s="31"/>
      <c r="AD384" s="31"/>
      <c r="AE384" s="31"/>
      <c r="AF384" s="31"/>
      <c r="AG384" s="31"/>
      <c r="AH384" s="31"/>
      <c r="AI384" s="31"/>
    </row>
    <row r="385" spans="1:35">
      <c r="A385" s="31"/>
      <c r="D385" s="31"/>
      <c r="E385" s="31"/>
      <c r="H385" s="31"/>
      <c r="I385" s="31"/>
      <c r="J385" s="31"/>
      <c r="K385" s="31"/>
      <c r="L385" s="31"/>
      <c r="M385" s="31"/>
      <c r="N385" s="31"/>
      <c r="O385" s="31"/>
      <c r="P385" s="31"/>
      <c r="Q385" s="31"/>
      <c r="R385" s="31"/>
      <c r="S385" s="31"/>
      <c r="T385" s="31"/>
      <c r="U385" s="31"/>
      <c r="V385" s="31"/>
      <c r="W385" s="31"/>
      <c r="X385" s="31"/>
      <c r="Y385" s="31"/>
      <c r="Z385" s="31"/>
      <c r="AA385" s="31"/>
      <c r="AB385" s="31"/>
      <c r="AC385" s="31"/>
      <c r="AD385" s="31"/>
      <c r="AE385" s="31"/>
      <c r="AF385" s="31"/>
      <c r="AG385" s="31"/>
      <c r="AH385" s="31"/>
      <c r="AI385" s="31"/>
    </row>
    <row r="386" spans="1:35">
      <c r="A386" s="31"/>
      <c r="D386" s="31"/>
      <c r="E386" s="31"/>
      <c r="H386" s="31"/>
      <c r="I386" s="31"/>
      <c r="J386" s="31"/>
      <c r="K386" s="31"/>
      <c r="L386" s="31"/>
      <c r="M386" s="31"/>
      <c r="N386" s="31"/>
      <c r="O386" s="31"/>
      <c r="P386" s="31"/>
      <c r="Q386" s="31"/>
      <c r="R386" s="31"/>
      <c r="S386" s="31"/>
      <c r="T386" s="31"/>
      <c r="U386" s="31"/>
      <c r="V386" s="31"/>
      <c r="W386" s="31"/>
      <c r="X386" s="31"/>
      <c r="Y386" s="31"/>
      <c r="Z386" s="31"/>
      <c r="AA386" s="31"/>
      <c r="AB386" s="31"/>
      <c r="AC386" s="31"/>
      <c r="AD386" s="31"/>
      <c r="AE386" s="31"/>
      <c r="AF386" s="31"/>
      <c r="AG386" s="31"/>
      <c r="AH386" s="31"/>
      <c r="AI386" s="31"/>
    </row>
    <row r="387" spans="1:35">
      <c r="A387" s="31"/>
      <c r="D387" s="31"/>
      <c r="E387" s="31"/>
      <c r="H387" s="31"/>
      <c r="I387" s="31"/>
      <c r="J387" s="31"/>
      <c r="K387" s="31"/>
      <c r="L387" s="31"/>
      <c r="M387" s="31"/>
      <c r="N387" s="31"/>
      <c r="O387" s="31"/>
      <c r="P387" s="31"/>
      <c r="Q387" s="31"/>
      <c r="R387" s="31"/>
      <c r="S387" s="31"/>
      <c r="T387" s="31"/>
      <c r="U387" s="31"/>
      <c r="V387" s="31"/>
      <c r="W387" s="31"/>
      <c r="X387" s="31"/>
      <c r="Y387" s="31"/>
      <c r="Z387" s="31"/>
      <c r="AA387" s="31"/>
      <c r="AB387" s="31"/>
      <c r="AC387" s="31"/>
      <c r="AD387" s="31"/>
      <c r="AE387" s="31"/>
      <c r="AF387" s="31"/>
      <c r="AG387" s="31"/>
      <c r="AH387" s="31"/>
      <c r="AI387" s="31"/>
    </row>
    <row r="388" spans="1:35">
      <c r="A388" s="31"/>
      <c r="D388" s="31"/>
      <c r="E388" s="31"/>
      <c r="H388" s="31"/>
      <c r="I388" s="31"/>
      <c r="J388" s="31"/>
      <c r="K388" s="31"/>
      <c r="L388" s="31"/>
      <c r="M388" s="31"/>
      <c r="N388" s="31"/>
      <c r="O388" s="31"/>
      <c r="P388" s="31"/>
      <c r="Q388" s="31"/>
      <c r="R388" s="31"/>
      <c r="S388" s="31"/>
      <c r="T388" s="31"/>
      <c r="U388" s="31"/>
      <c r="V388" s="31"/>
      <c r="W388" s="31"/>
      <c r="X388" s="31"/>
      <c r="Y388" s="31"/>
      <c r="Z388" s="31"/>
      <c r="AA388" s="31"/>
      <c r="AB388" s="31"/>
      <c r="AC388" s="31"/>
      <c r="AD388" s="31"/>
      <c r="AE388" s="31"/>
      <c r="AF388" s="31"/>
      <c r="AG388" s="31"/>
      <c r="AH388" s="31"/>
      <c r="AI388" s="31"/>
    </row>
    <row r="389" spans="1:35">
      <c r="A389" s="31"/>
      <c r="D389" s="31"/>
      <c r="E389" s="31"/>
      <c r="H389" s="31"/>
      <c r="I389" s="31"/>
      <c r="J389" s="31"/>
      <c r="K389" s="31"/>
      <c r="L389" s="31"/>
      <c r="M389" s="31"/>
      <c r="N389" s="31"/>
      <c r="O389" s="31"/>
      <c r="P389" s="31"/>
      <c r="Q389" s="31"/>
      <c r="R389" s="31"/>
      <c r="S389" s="31"/>
      <c r="T389" s="31"/>
      <c r="U389" s="31"/>
      <c r="V389" s="31"/>
      <c r="W389" s="31"/>
      <c r="X389" s="31"/>
      <c r="Y389" s="31"/>
      <c r="Z389" s="31"/>
      <c r="AA389" s="31"/>
      <c r="AB389" s="31"/>
      <c r="AC389" s="31"/>
      <c r="AD389" s="31"/>
      <c r="AE389" s="31"/>
      <c r="AF389" s="31"/>
      <c r="AG389" s="31"/>
      <c r="AH389" s="31"/>
      <c r="AI389" s="31"/>
    </row>
    <row r="390" spans="1:35">
      <c r="A390" s="31"/>
      <c r="D390" s="31"/>
      <c r="E390" s="31"/>
      <c r="H390" s="31"/>
      <c r="I390" s="31"/>
      <c r="J390" s="31"/>
      <c r="K390" s="31"/>
      <c r="L390" s="31"/>
      <c r="M390" s="31"/>
      <c r="N390" s="31"/>
      <c r="O390" s="31"/>
      <c r="P390" s="31"/>
      <c r="Q390" s="31"/>
      <c r="R390" s="31"/>
      <c r="S390" s="31"/>
      <c r="T390" s="31"/>
      <c r="U390" s="31"/>
      <c r="V390" s="31"/>
      <c r="W390" s="31"/>
      <c r="X390" s="31"/>
      <c r="Y390" s="31"/>
      <c r="Z390" s="31"/>
      <c r="AA390" s="31"/>
      <c r="AB390" s="31"/>
      <c r="AC390" s="31"/>
      <c r="AD390" s="31"/>
      <c r="AE390" s="31"/>
      <c r="AF390" s="31"/>
      <c r="AG390" s="31"/>
      <c r="AH390" s="31"/>
      <c r="AI390" s="31"/>
    </row>
    <row r="391" spans="1:35">
      <c r="A391" s="31"/>
      <c r="D391" s="31"/>
      <c r="E391" s="31"/>
      <c r="H391" s="31"/>
      <c r="I391" s="31"/>
      <c r="J391" s="31"/>
      <c r="K391" s="31"/>
      <c r="L391" s="31"/>
      <c r="M391" s="31"/>
      <c r="N391" s="31"/>
      <c r="O391" s="31"/>
      <c r="P391" s="31"/>
      <c r="Q391" s="31"/>
      <c r="R391" s="31"/>
      <c r="S391" s="31"/>
      <c r="T391" s="31"/>
      <c r="U391" s="31"/>
      <c r="V391" s="31"/>
      <c r="W391" s="31"/>
      <c r="X391" s="31"/>
      <c r="Y391" s="31"/>
      <c r="Z391" s="31"/>
      <c r="AA391" s="31"/>
      <c r="AB391" s="31"/>
      <c r="AC391" s="31"/>
      <c r="AD391" s="31"/>
      <c r="AE391" s="31"/>
      <c r="AF391" s="31"/>
      <c r="AG391" s="31"/>
      <c r="AH391" s="31"/>
      <c r="AI391" s="31"/>
    </row>
    <row r="392" spans="1:35">
      <c r="A392" s="31"/>
      <c r="D392" s="31"/>
      <c r="E392" s="31"/>
      <c r="H392" s="31"/>
      <c r="I392" s="31"/>
      <c r="J392" s="31"/>
      <c r="K392" s="31"/>
      <c r="L392" s="31"/>
      <c r="M392" s="31"/>
      <c r="N392" s="31"/>
      <c r="O392" s="31"/>
      <c r="P392" s="31"/>
      <c r="Q392" s="31"/>
      <c r="R392" s="31"/>
      <c r="S392" s="31"/>
      <c r="T392" s="31"/>
      <c r="U392" s="31"/>
      <c r="V392" s="31"/>
      <c r="W392" s="31"/>
      <c r="X392" s="31"/>
      <c r="Y392" s="31"/>
      <c r="Z392" s="31"/>
      <c r="AA392" s="31"/>
      <c r="AB392" s="31"/>
      <c r="AC392" s="31"/>
      <c r="AD392" s="31"/>
      <c r="AE392" s="31"/>
      <c r="AF392" s="31"/>
      <c r="AG392" s="31"/>
      <c r="AH392" s="31"/>
      <c r="AI392" s="31"/>
    </row>
    <row r="393" spans="1:35">
      <c r="A393" s="31"/>
      <c r="D393" s="31"/>
      <c r="E393" s="31"/>
      <c r="H393" s="31"/>
      <c r="I393" s="31"/>
      <c r="J393" s="31"/>
      <c r="K393" s="31"/>
      <c r="L393" s="31"/>
      <c r="M393" s="31"/>
      <c r="N393" s="31"/>
      <c r="O393" s="31"/>
      <c r="P393" s="31"/>
      <c r="Q393" s="31"/>
      <c r="R393" s="31"/>
      <c r="S393" s="31"/>
      <c r="T393" s="31"/>
      <c r="U393" s="31"/>
      <c r="V393" s="31"/>
      <c r="W393" s="31"/>
      <c r="X393" s="31"/>
      <c r="Y393" s="31"/>
      <c r="Z393" s="31"/>
      <c r="AA393" s="31"/>
      <c r="AB393" s="31"/>
      <c r="AC393" s="31"/>
      <c r="AD393" s="31"/>
      <c r="AE393" s="31"/>
      <c r="AF393" s="31"/>
      <c r="AG393" s="31"/>
      <c r="AH393" s="31"/>
      <c r="AI393" s="31"/>
    </row>
    <row r="394" spans="1:35">
      <c r="A394" s="31"/>
      <c r="D394" s="31"/>
      <c r="E394" s="31"/>
      <c r="H394" s="31"/>
      <c r="I394" s="31"/>
      <c r="J394" s="31"/>
      <c r="K394" s="31"/>
      <c r="L394" s="31"/>
      <c r="M394" s="31"/>
      <c r="N394" s="31"/>
      <c r="O394" s="31"/>
      <c r="P394" s="31"/>
      <c r="Q394" s="31"/>
      <c r="R394" s="31"/>
      <c r="S394" s="31"/>
      <c r="T394" s="31"/>
      <c r="U394" s="31"/>
      <c r="V394" s="31"/>
      <c r="W394" s="31"/>
      <c r="X394" s="31"/>
      <c r="Y394" s="31"/>
      <c r="Z394" s="31"/>
      <c r="AA394" s="31"/>
      <c r="AB394" s="31"/>
      <c r="AC394" s="31"/>
      <c r="AD394" s="31"/>
      <c r="AE394" s="31"/>
      <c r="AF394" s="31"/>
      <c r="AG394" s="31"/>
      <c r="AH394" s="31"/>
      <c r="AI394" s="31"/>
    </row>
    <row r="395" spans="1:35">
      <c r="A395" s="31"/>
      <c r="D395" s="31"/>
      <c r="E395" s="31"/>
      <c r="H395" s="31"/>
      <c r="I395" s="31"/>
      <c r="J395" s="31"/>
      <c r="K395" s="31"/>
      <c r="L395" s="31"/>
      <c r="M395" s="31"/>
      <c r="N395" s="31"/>
      <c r="O395" s="31"/>
      <c r="P395" s="31"/>
      <c r="Q395" s="31"/>
      <c r="R395" s="31"/>
      <c r="S395" s="31"/>
      <c r="T395" s="31"/>
      <c r="U395" s="31"/>
      <c r="V395" s="31"/>
      <c r="W395" s="31"/>
      <c r="X395" s="31"/>
      <c r="Y395" s="31"/>
      <c r="Z395" s="31"/>
      <c r="AA395" s="31"/>
      <c r="AB395" s="31"/>
      <c r="AC395" s="31"/>
      <c r="AD395" s="31"/>
      <c r="AE395" s="31"/>
      <c r="AF395" s="31"/>
      <c r="AG395" s="31"/>
      <c r="AH395" s="31"/>
      <c r="AI395" s="31"/>
    </row>
    <row r="396" spans="1:35">
      <c r="A396" s="31"/>
      <c r="D396" s="31"/>
      <c r="E396" s="31"/>
      <c r="H396" s="31"/>
      <c r="I396" s="31"/>
      <c r="J396" s="31"/>
      <c r="K396" s="31"/>
      <c r="L396" s="31"/>
      <c r="M396" s="31"/>
      <c r="N396" s="31"/>
      <c r="O396" s="31"/>
      <c r="P396" s="31"/>
      <c r="Q396" s="31"/>
      <c r="R396" s="31"/>
      <c r="S396" s="31"/>
      <c r="T396" s="31"/>
      <c r="U396" s="31"/>
      <c r="V396" s="31"/>
      <c r="W396" s="31"/>
      <c r="X396" s="31"/>
      <c r="Y396" s="31"/>
      <c r="Z396" s="31"/>
      <c r="AA396" s="31"/>
      <c r="AB396" s="31"/>
      <c r="AC396" s="31"/>
      <c r="AD396" s="31"/>
      <c r="AE396" s="31"/>
      <c r="AF396" s="31"/>
      <c r="AG396" s="31"/>
      <c r="AH396" s="31"/>
      <c r="AI396" s="31"/>
    </row>
    <row r="397" spans="1:35">
      <c r="A397" s="31"/>
      <c r="D397" s="31"/>
      <c r="E397" s="31"/>
      <c r="H397" s="31"/>
      <c r="I397" s="31"/>
      <c r="J397" s="31"/>
      <c r="K397" s="31"/>
      <c r="L397" s="31"/>
      <c r="M397" s="31"/>
      <c r="N397" s="31"/>
      <c r="O397" s="31"/>
      <c r="P397" s="31"/>
      <c r="Q397" s="31"/>
      <c r="R397" s="31"/>
      <c r="S397" s="31"/>
      <c r="T397" s="31"/>
      <c r="U397" s="31"/>
      <c r="V397" s="31"/>
      <c r="W397" s="31"/>
      <c r="X397" s="31"/>
      <c r="Y397" s="31"/>
      <c r="Z397" s="31"/>
      <c r="AA397" s="31"/>
      <c r="AB397" s="31"/>
      <c r="AC397" s="31"/>
      <c r="AD397" s="31"/>
      <c r="AE397" s="31"/>
      <c r="AF397" s="31"/>
      <c r="AG397" s="31"/>
      <c r="AH397" s="31"/>
      <c r="AI397" s="31"/>
    </row>
    <row r="398" spans="1:35">
      <c r="A398" s="31"/>
      <c r="D398" s="31"/>
      <c r="E398" s="31"/>
      <c r="H398" s="31"/>
      <c r="I398" s="31"/>
      <c r="J398" s="31"/>
      <c r="K398" s="31"/>
      <c r="L398" s="31"/>
      <c r="M398" s="31"/>
      <c r="N398" s="31"/>
      <c r="O398" s="31"/>
      <c r="P398" s="31"/>
      <c r="Q398" s="31"/>
      <c r="R398" s="31"/>
      <c r="S398" s="31"/>
      <c r="T398" s="31"/>
      <c r="U398" s="31"/>
      <c r="V398" s="31"/>
      <c r="W398" s="31"/>
      <c r="X398" s="31"/>
      <c r="Y398" s="31"/>
      <c r="Z398" s="31"/>
      <c r="AA398" s="31"/>
      <c r="AB398" s="31"/>
      <c r="AC398" s="31"/>
      <c r="AD398" s="31"/>
      <c r="AE398" s="31"/>
      <c r="AF398" s="31"/>
      <c r="AG398" s="31"/>
      <c r="AH398" s="31"/>
      <c r="AI398" s="31"/>
    </row>
    <row r="399" spans="1:35">
      <c r="A399" s="31"/>
      <c r="D399" s="31"/>
      <c r="E399" s="31"/>
      <c r="H399" s="31"/>
      <c r="I399" s="31"/>
      <c r="J399" s="31"/>
      <c r="K399" s="31"/>
      <c r="L399" s="31"/>
      <c r="M399" s="31"/>
      <c r="N399" s="31"/>
      <c r="O399" s="31"/>
      <c r="P399" s="31"/>
      <c r="Q399" s="31"/>
      <c r="R399" s="31"/>
      <c r="S399" s="31"/>
      <c r="T399" s="31"/>
      <c r="U399" s="31"/>
      <c r="V399" s="31"/>
      <c r="W399" s="31"/>
      <c r="X399" s="31"/>
      <c r="Y399" s="31"/>
      <c r="Z399" s="31"/>
      <c r="AA399" s="31"/>
      <c r="AB399" s="31"/>
      <c r="AC399" s="31"/>
      <c r="AD399" s="31"/>
      <c r="AE399" s="31"/>
      <c r="AF399" s="31"/>
      <c r="AG399" s="31"/>
      <c r="AH399" s="31"/>
      <c r="AI399" s="31"/>
    </row>
    <row r="400" spans="1:35">
      <c r="A400" s="31"/>
      <c r="D400" s="31"/>
      <c r="E400" s="31"/>
      <c r="H400" s="31"/>
      <c r="I400" s="31"/>
      <c r="J400" s="31"/>
      <c r="K400" s="31"/>
      <c r="L400" s="31"/>
      <c r="M400" s="31"/>
      <c r="N400" s="31"/>
      <c r="O400" s="31"/>
      <c r="P400" s="31"/>
      <c r="Q400" s="31"/>
      <c r="R400" s="31"/>
      <c r="S400" s="31"/>
      <c r="T400" s="31"/>
      <c r="U400" s="31"/>
      <c r="V400" s="31"/>
      <c r="W400" s="31"/>
      <c r="X400" s="31"/>
      <c r="Y400" s="31"/>
      <c r="Z400" s="31"/>
      <c r="AA400" s="31"/>
      <c r="AB400" s="31"/>
      <c r="AC400" s="31"/>
      <c r="AD400" s="31"/>
      <c r="AE400" s="31"/>
      <c r="AF400" s="31"/>
      <c r="AG400" s="31"/>
      <c r="AH400" s="31"/>
      <c r="AI400" s="31"/>
    </row>
    <row r="401" spans="1:35">
      <c r="A401" s="31"/>
      <c r="D401" s="31"/>
      <c r="E401" s="31"/>
      <c r="H401" s="31"/>
      <c r="I401" s="31"/>
      <c r="J401" s="31"/>
      <c r="K401" s="31"/>
      <c r="L401" s="31"/>
      <c r="M401" s="31"/>
      <c r="N401" s="31"/>
      <c r="O401" s="31"/>
      <c r="P401" s="31"/>
      <c r="Q401" s="31"/>
      <c r="R401" s="31"/>
      <c r="S401" s="31"/>
      <c r="T401" s="31"/>
      <c r="U401" s="31"/>
      <c r="V401" s="31"/>
      <c r="W401" s="31"/>
      <c r="X401" s="31"/>
      <c r="Y401" s="31"/>
      <c r="Z401" s="31"/>
      <c r="AA401" s="31"/>
      <c r="AB401" s="31"/>
      <c r="AC401" s="31"/>
      <c r="AD401" s="31"/>
      <c r="AE401" s="31"/>
      <c r="AF401" s="31"/>
      <c r="AG401" s="31"/>
      <c r="AH401" s="31"/>
      <c r="AI401" s="31"/>
    </row>
    <row r="402" spans="1:35">
      <c r="A402" s="31"/>
      <c r="D402" s="31"/>
      <c r="E402" s="31"/>
      <c r="H402" s="31"/>
      <c r="I402" s="31"/>
      <c r="J402" s="31"/>
      <c r="K402" s="31"/>
      <c r="L402" s="31"/>
      <c r="M402" s="31"/>
      <c r="N402" s="31"/>
      <c r="O402" s="31"/>
      <c r="P402" s="31"/>
      <c r="Q402" s="31"/>
      <c r="R402" s="31"/>
      <c r="S402" s="31"/>
      <c r="T402" s="31"/>
      <c r="U402" s="31"/>
      <c r="V402" s="31"/>
      <c r="W402" s="31"/>
      <c r="X402" s="31"/>
      <c r="Y402" s="31"/>
      <c r="Z402" s="31"/>
      <c r="AA402" s="31"/>
      <c r="AB402" s="31"/>
      <c r="AC402" s="31"/>
      <c r="AD402" s="31"/>
      <c r="AE402" s="31"/>
      <c r="AF402" s="31"/>
      <c r="AG402" s="31"/>
      <c r="AH402" s="31"/>
      <c r="AI402" s="31"/>
    </row>
    <row r="403" spans="1:35">
      <c r="A403" s="31"/>
      <c r="D403" s="31"/>
      <c r="E403" s="31"/>
      <c r="H403" s="31"/>
      <c r="I403" s="31"/>
      <c r="J403" s="31"/>
      <c r="K403" s="31"/>
      <c r="L403" s="31"/>
      <c r="M403" s="31"/>
      <c r="N403" s="31"/>
      <c r="O403" s="31"/>
      <c r="P403" s="31"/>
      <c r="Q403" s="31"/>
      <c r="R403" s="31"/>
      <c r="S403" s="31"/>
      <c r="T403" s="31"/>
      <c r="U403" s="31"/>
      <c r="V403" s="31"/>
      <c r="W403" s="31"/>
      <c r="X403" s="31"/>
      <c r="Y403" s="31"/>
      <c r="Z403" s="31"/>
      <c r="AA403" s="31"/>
      <c r="AB403" s="31"/>
      <c r="AC403" s="31"/>
      <c r="AD403" s="31"/>
      <c r="AE403" s="31"/>
      <c r="AF403" s="31"/>
      <c r="AG403" s="31"/>
      <c r="AH403" s="31"/>
      <c r="AI403" s="31"/>
    </row>
    <row r="404" spans="1:35">
      <c r="A404" s="31"/>
      <c r="D404" s="31"/>
      <c r="E404" s="31"/>
      <c r="H404" s="31"/>
      <c r="I404" s="31"/>
      <c r="J404" s="31"/>
      <c r="K404" s="31"/>
      <c r="L404" s="31"/>
      <c r="M404" s="31"/>
      <c r="N404" s="31"/>
      <c r="O404" s="31"/>
      <c r="P404" s="31"/>
      <c r="Q404" s="31"/>
      <c r="R404" s="31"/>
      <c r="S404" s="31"/>
      <c r="T404" s="31"/>
      <c r="U404" s="31"/>
      <c r="V404" s="31"/>
      <c r="W404" s="31"/>
      <c r="X404" s="31"/>
      <c r="Y404" s="31"/>
      <c r="Z404" s="31"/>
      <c r="AA404" s="31"/>
      <c r="AB404" s="31"/>
      <c r="AC404" s="31"/>
      <c r="AD404" s="31"/>
      <c r="AE404" s="31"/>
      <c r="AF404" s="31"/>
      <c r="AG404" s="31"/>
      <c r="AH404" s="31"/>
      <c r="AI404" s="31"/>
    </row>
    <row r="405" spans="1:35">
      <c r="A405" s="31"/>
      <c r="D405" s="31"/>
      <c r="E405" s="31"/>
      <c r="H405" s="31"/>
      <c r="I405" s="31"/>
      <c r="J405" s="31"/>
      <c r="K405" s="31"/>
      <c r="L405" s="31"/>
      <c r="M405" s="31"/>
      <c r="N405" s="31"/>
      <c r="O405" s="31"/>
      <c r="P405" s="31"/>
      <c r="Q405" s="31"/>
      <c r="R405" s="31"/>
      <c r="S405" s="31"/>
      <c r="T405" s="31"/>
      <c r="U405" s="31"/>
      <c r="V405" s="31"/>
      <c r="W405" s="31"/>
      <c r="X405" s="31"/>
      <c r="Y405" s="31"/>
      <c r="Z405" s="31"/>
      <c r="AA405" s="31"/>
      <c r="AB405" s="31"/>
      <c r="AC405" s="31"/>
      <c r="AD405" s="31"/>
      <c r="AE405" s="31"/>
      <c r="AF405" s="31"/>
      <c r="AG405" s="31"/>
      <c r="AH405" s="31"/>
      <c r="AI405" s="31"/>
    </row>
    <row r="406" spans="1:35">
      <c r="A406" s="31"/>
      <c r="D406" s="31"/>
      <c r="E406" s="31"/>
      <c r="H406" s="31"/>
      <c r="I406" s="31"/>
      <c r="J406" s="31"/>
      <c r="K406" s="31"/>
      <c r="L406" s="31"/>
      <c r="M406" s="31"/>
      <c r="N406" s="31"/>
      <c r="O406" s="31"/>
      <c r="P406" s="31"/>
      <c r="Q406" s="31"/>
      <c r="R406" s="31"/>
      <c r="S406" s="31"/>
      <c r="T406" s="31"/>
      <c r="U406" s="31"/>
      <c r="V406" s="31"/>
      <c r="W406" s="31"/>
      <c r="X406" s="31"/>
      <c r="Y406" s="31"/>
      <c r="Z406" s="31"/>
      <c r="AA406" s="31"/>
      <c r="AB406" s="31"/>
      <c r="AC406" s="31"/>
      <c r="AD406" s="31"/>
      <c r="AE406" s="31"/>
      <c r="AF406" s="31"/>
      <c r="AG406" s="31"/>
      <c r="AH406" s="31"/>
      <c r="AI406" s="31"/>
    </row>
    <row r="407" spans="1:35">
      <c r="A407" s="31"/>
      <c r="D407" s="31"/>
      <c r="E407" s="31"/>
      <c r="H407" s="31"/>
      <c r="I407" s="31"/>
      <c r="J407" s="31"/>
      <c r="K407" s="31"/>
      <c r="L407" s="31"/>
      <c r="M407" s="31"/>
      <c r="N407" s="31"/>
      <c r="O407" s="31"/>
      <c r="P407" s="31"/>
      <c r="Q407" s="31"/>
      <c r="R407" s="31"/>
      <c r="S407" s="31"/>
      <c r="T407" s="31"/>
      <c r="U407" s="31"/>
      <c r="V407" s="31"/>
      <c r="W407" s="31"/>
      <c r="X407" s="31"/>
      <c r="Y407" s="31"/>
      <c r="Z407" s="31"/>
      <c r="AA407" s="31"/>
      <c r="AB407" s="31"/>
      <c r="AC407" s="31"/>
      <c r="AD407" s="31"/>
      <c r="AE407" s="31"/>
      <c r="AF407" s="31"/>
      <c r="AG407" s="31"/>
      <c r="AH407" s="31"/>
      <c r="AI407" s="31"/>
    </row>
    <row r="408" spans="1:35">
      <c r="A408" s="31"/>
      <c r="D408" s="31"/>
      <c r="E408" s="31"/>
      <c r="H408" s="31"/>
      <c r="I408" s="31"/>
      <c r="J408" s="31"/>
      <c r="K408" s="31"/>
      <c r="L408" s="31"/>
      <c r="M408" s="31"/>
      <c r="N408" s="31"/>
      <c r="O408" s="31"/>
      <c r="P408" s="31"/>
      <c r="Q408" s="31"/>
      <c r="R408" s="31"/>
      <c r="S408" s="31"/>
      <c r="T408" s="31"/>
      <c r="U408" s="31"/>
      <c r="V408" s="31"/>
      <c r="W408" s="31"/>
      <c r="X408" s="31"/>
      <c r="Y408" s="31"/>
      <c r="Z408" s="31"/>
      <c r="AA408" s="31"/>
      <c r="AB408" s="31"/>
      <c r="AC408" s="31"/>
      <c r="AD408" s="31"/>
      <c r="AE408" s="31"/>
      <c r="AF408" s="31"/>
      <c r="AG408" s="31"/>
      <c r="AH408" s="31"/>
      <c r="AI408" s="31"/>
    </row>
    <row r="409" spans="1:35">
      <c r="A409" s="31"/>
      <c r="D409" s="31"/>
      <c r="E409" s="31"/>
      <c r="H409" s="31"/>
      <c r="I409" s="31"/>
      <c r="J409" s="31"/>
      <c r="K409" s="31"/>
      <c r="L409" s="31"/>
      <c r="M409" s="31"/>
      <c r="N409" s="31"/>
      <c r="O409" s="31"/>
      <c r="P409" s="31"/>
      <c r="Q409" s="31"/>
      <c r="R409" s="31"/>
      <c r="S409" s="31"/>
      <c r="T409" s="31"/>
      <c r="U409" s="31"/>
      <c r="V409" s="31"/>
      <c r="W409" s="31"/>
      <c r="X409" s="31"/>
      <c r="Y409" s="31"/>
      <c r="Z409" s="31"/>
      <c r="AA409" s="31"/>
      <c r="AB409" s="31"/>
      <c r="AC409" s="31"/>
      <c r="AD409" s="31"/>
      <c r="AE409" s="31"/>
      <c r="AF409" s="31"/>
      <c r="AG409" s="31"/>
      <c r="AH409" s="31"/>
      <c r="AI409" s="31"/>
    </row>
    <row r="410" spans="1:35">
      <c r="A410" s="31"/>
      <c r="D410" s="31"/>
      <c r="E410" s="31"/>
      <c r="H410" s="31"/>
      <c r="I410" s="31"/>
      <c r="J410" s="31"/>
      <c r="K410" s="31"/>
      <c r="L410" s="31"/>
      <c r="M410" s="31"/>
      <c r="N410" s="31"/>
      <c r="O410" s="31"/>
      <c r="P410" s="31"/>
      <c r="Q410" s="31"/>
      <c r="R410" s="31"/>
      <c r="S410" s="31"/>
      <c r="T410" s="31"/>
      <c r="U410" s="31"/>
      <c r="V410" s="31"/>
      <c r="W410" s="31"/>
      <c r="X410" s="31"/>
      <c r="Y410" s="31"/>
      <c r="Z410" s="31"/>
      <c r="AA410" s="31"/>
      <c r="AB410" s="31"/>
      <c r="AC410" s="31"/>
      <c r="AD410" s="31"/>
      <c r="AE410" s="31"/>
      <c r="AF410" s="31"/>
      <c r="AG410" s="31"/>
      <c r="AH410" s="31"/>
      <c r="AI410" s="31"/>
    </row>
    <row r="411" spans="1:35">
      <c r="A411" s="31"/>
      <c r="D411" s="31"/>
      <c r="E411" s="31"/>
      <c r="H411" s="31"/>
      <c r="I411" s="31"/>
      <c r="J411" s="31"/>
      <c r="K411" s="31"/>
      <c r="L411" s="31"/>
      <c r="M411" s="31"/>
      <c r="N411" s="31"/>
      <c r="O411" s="31"/>
      <c r="P411" s="31"/>
      <c r="Q411" s="31"/>
      <c r="R411" s="31"/>
      <c r="S411" s="31"/>
      <c r="T411" s="31"/>
      <c r="U411" s="31"/>
      <c r="V411" s="31"/>
      <c r="W411" s="31"/>
      <c r="X411" s="31"/>
      <c r="Y411" s="31"/>
      <c r="Z411" s="31"/>
      <c r="AA411" s="31"/>
      <c r="AB411" s="31"/>
      <c r="AC411" s="31"/>
      <c r="AD411" s="31"/>
      <c r="AE411" s="31"/>
      <c r="AF411" s="31"/>
      <c r="AG411" s="31"/>
      <c r="AH411" s="31"/>
      <c r="AI411" s="31"/>
    </row>
    <row r="412" spans="1:35">
      <c r="A412" s="31"/>
      <c r="D412" s="31"/>
      <c r="E412" s="31"/>
      <c r="H412" s="31"/>
      <c r="I412" s="31"/>
      <c r="J412" s="31"/>
      <c r="K412" s="31"/>
      <c r="L412" s="31"/>
      <c r="M412" s="31"/>
      <c r="N412" s="31"/>
      <c r="O412" s="31"/>
      <c r="P412" s="31"/>
      <c r="Q412" s="31"/>
      <c r="R412" s="31"/>
      <c r="S412" s="31"/>
      <c r="T412" s="31"/>
      <c r="U412" s="31"/>
      <c r="V412" s="31"/>
      <c r="W412" s="31"/>
      <c r="X412" s="31"/>
      <c r="Y412" s="31"/>
      <c r="Z412" s="31"/>
      <c r="AA412" s="31"/>
      <c r="AB412" s="31"/>
      <c r="AC412" s="31"/>
      <c r="AD412" s="31"/>
      <c r="AE412" s="31"/>
      <c r="AF412" s="31"/>
      <c r="AG412" s="31"/>
      <c r="AH412" s="31"/>
      <c r="AI412" s="31"/>
    </row>
    <row r="413" spans="1:35">
      <c r="A413" s="31"/>
      <c r="D413" s="31"/>
      <c r="E413" s="31"/>
      <c r="H413" s="31"/>
      <c r="I413" s="31"/>
      <c r="J413" s="31"/>
      <c r="K413" s="31"/>
      <c r="L413" s="31"/>
      <c r="M413" s="31"/>
      <c r="N413" s="31"/>
      <c r="O413" s="31"/>
      <c r="P413" s="31"/>
      <c r="Q413" s="31"/>
      <c r="R413" s="31"/>
      <c r="S413" s="31"/>
      <c r="T413" s="31"/>
      <c r="U413" s="31"/>
      <c r="V413" s="31"/>
      <c r="W413" s="31"/>
      <c r="X413" s="31"/>
      <c r="Y413" s="31"/>
      <c r="Z413" s="31"/>
      <c r="AA413" s="31"/>
      <c r="AB413" s="31"/>
      <c r="AC413" s="31"/>
      <c r="AD413" s="31"/>
      <c r="AE413" s="31"/>
      <c r="AF413" s="31"/>
      <c r="AG413" s="31"/>
      <c r="AH413" s="31"/>
      <c r="AI413" s="31"/>
    </row>
    <row r="414" spans="1:35">
      <c r="A414" s="31"/>
      <c r="D414" s="31"/>
      <c r="E414" s="31"/>
      <c r="H414" s="31"/>
      <c r="I414" s="31"/>
      <c r="J414" s="31"/>
      <c r="K414" s="31"/>
      <c r="L414" s="31"/>
      <c r="M414" s="31"/>
      <c r="N414" s="31"/>
      <c r="O414" s="31"/>
      <c r="P414" s="31"/>
      <c r="Q414" s="31"/>
      <c r="R414" s="31"/>
      <c r="S414" s="31"/>
      <c r="T414" s="31"/>
      <c r="U414" s="31"/>
      <c r="V414" s="31"/>
      <c r="W414" s="31"/>
      <c r="X414" s="31"/>
      <c r="Y414" s="31"/>
      <c r="Z414" s="31"/>
      <c r="AA414" s="31"/>
      <c r="AB414" s="31"/>
      <c r="AC414" s="31"/>
      <c r="AD414" s="31"/>
      <c r="AE414" s="31"/>
      <c r="AF414" s="31"/>
      <c r="AG414" s="31"/>
      <c r="AH414" s="31"/>
      <c r="AI414" s="31"/>
    </row>
    <row r="415" spans="1:35">
      <c r="A415" s="31"/>
      <c r="D415" s="31"/>
      <c r="E415" s="31"/>
      <c r="H415" s="31"/>
      <c r="I415" s="31"/>
      <c r="J415" s="31"/>
      <c r="K415" s="31"/>
      <c r="L415" s="31"/>
      <c r="M415" s="31"/>
      <c r="N415" s="31"/>
      <c r="O415" s="31"/>
      <c r="P415" s="31"/>
      <c r="Q415" s="31"/>
      <c r="R415" s="31"/>
      <c r="S415" s="31"/>
      <c r="T415" s="31"/>
      <c r="U415" s="31"/>
      <c r="V415" s="31"/>
      <c r="W415" s="31"/>
      <c r="X415" s="31"/>
      <c r="Y415" s="31"/>
      <c r="Z415" s="31"/>
      <c r="AA415" s="31"/>
      <c r="AB415" s="31"/>
      <c r="AC415" s="31"/>
      <c r="AD415" s="31"/>
      <c r="AE415" s="31"/>
      <c r="AF415" s="31"/>
      <c r="AG415" s="31"/>
      <c r="AH415" s="31"/>
      <c r="AI415" s="31"/>
    </row>
    <row r="416" spans="1:35">
      <c r="A416" s="31"/>
      <c r="D416" s="31"/>
      <c r="E416" s="31"/>
      <c r="H416" s="31"/>
      <c r="I416" s="31"/>
      <c r="J416" s="31"/>
      <c r="K416" s="31"/>
      <c r="L416" s="31"/>
      <c r="M416" s="31"/>
      <c r="N416" s="31"/>
      <c r="O416" s="31"/>
      <c r="P416" s="31"/>
      <c r="Q416" s="31"/>
      <c r="R416" s="31"/>
      <c r="S416" s="31"/>
      <c r="T416" s="31"/>
      <c r="U416" s="31"/>
      <c r="V416" s="31"/>
      <c r="W416" s="31"/>
      <c r="X416" s="31"/>
      <c r="Y416" s="31"/>
      <c r="Z416" s="31"/>
      <c r="AA416" s="31"/>
      <c r="AB416" s="31"/>
      <c r="AC416" s="31"/>
      <c r="AD416" s="31"/>
      <c r="AE416" s="31"/>
      <c r="AF416" s="31"/>
      <c r="AG416" s="31"/>
      <c r="AH416" s="31"/>
      <c r="AI416" s="31"/>
    </row>
    <row r="417" spans="1:35">
      <c r="A417" s="31"/>
      <c r="D417" s="31"/>
      <c r="E417" s="31"/>
      <c r="H417" s="31"/>
      <c r="I417" s="31"/>
      <c r="J417" s="31"/>
      <c r="K417" s="31"/>
      <c r="L417" s="31"/>
      <c r="M417" s="31"/>
      <c r="N417" s="31"/>
      <c r="O417" s="31"/>
      <c r="P417" s="31"/>
      <c r="Q417" s="31"/>
      <c r="R417" s="31"/>
      <c r="S417" s="31"/>
      <c r="T417" s="31"/>
      <c r="U417" s="31"/>
      <c r="V417" s="31"/>
      <c r="W417" s="31"/>
      <c r="X417" s="31"/>
      <c r="Y417" s="31"/>
      <c r="Z417" s="31"/>
      <c r="AA417" s="31"/>
      <c r="AB417" s="31"/>
      <c r="AC417" s="31"/>
      <c r="AD417" s="31"/>
      <c r="AE417" s="31"/>
      <c r="AF417" s="31"/>
      <c r="AG417" s="31"/>
      <c r="AH417" s="31"/>
      <c r="AI417" s="31"/>
    </row>
    <row r="418" spans="1:35">
      <c r="A418" s="31"/>
      <c r="D418" s="31"/>
      <c r="E418" s="31"/>
      <c r="H418" s="31"/>
      <c r="I418" s="31"/>
      <c r="J418" s="31"/>
      <c r="K418" s="31"/>
      <c r="L418" s="31"/>
      <c r="M418" s="31"/>
      <c r="N418" s="31"/>
      <c r="O418" s="31"/>
      <c r="P418" s="31"/>
      <c r="Q418" s="31"/>
      <c r="R418" s="31"/>
      <c r="S418" s="31"/>
      <c r="T418" s="31"/>
      <c r="U418" s="31"/>
      <c r="V418" s="31"/>
      <c r="W418" s="31"/>
      <c r="X418" s="31"/>
      <c r="Y418" s="31"/>
      <c r="Z418" s="31"/>
      <c r="AA418" s="31"/>
      <c r="AB418" s="31"/>
      <c r="AC418" s="31"/>
      <c r="AD418" s="31"/>
      <c r="AE418" s="31"/>
      <c r="AF418" s="31"/>
      <c r="AG418" s="31"/>
      <c r="AH418" s="31"/>
      <c r="AI418" s="31"/>
    </row>
    <row r="419" spans="1:35">
      <c r="A419" s="31"/>
      <c r="D419" s="31"/>
      <c r="E419" s="31"/>
      <c r="H419" s="31"/>
      <c r="I419" s="31"/>
      <c r="J419" s="31"/>
      <c r="K419" s="31"/>
      <c r="L419" s="31"/>
      <c r="M419" s="31"/>
      <c r="N419" s="31"/>
      <c r="O419" s="31"/>
      <c r="P419" s="31"/>
      <c r="Q419" s="31"/>
      <c r="R419" s="31"/>
      <c r="S419" s="31"/>
      <c r="T419" s="31"/>
      <c r="U419" s="31"/>
      <c r="V419" s="31"/>
      <c r="W419" s="31"/>
      <c r="X419" s="31"/>
      <c r="Y419" s="31"/>
      <c r="Z419" s="31"/>
      <c r="AA419" s="31"/>
      <c r="AB419" s="31"/>
      <c r="AC419" s="31"/>
      <c r="AD419" s="31"/>
      <c r="AE419" s="31"/>
      <c r="AF419" s="31"/>
      <c r="AG419" s="31"/>
      <c r="AH419" s="31"/>
      <c r="AI419" s="31"/>
    </row>
    <row r="420" spans="1:35">
      <c r="A420" s="31"/>
      <c r="D420" s="31"/>
      <c r="E420" s="31"/>
      <c r="H420" s="31"/>
      <c r="I420" s="31"/>
      <c r="J420" s="31"/>
      <c r="K420" s="31"/>
      <c r="L420" s="31"/>
      <c r="M420" s="31"/>
      <c r="N420" s="31"/>
      <c r="O420" s="31"/>
      <c r="P420" s="31"/>
      <c r="Q420" s="31"/>
      <c r="R420" s="31"/>
      <c r="S420" s="31"/>
      <c r="T420" s="31"/>
      <c r="U420" s="31"/>
      <c r="V420" s="31"/>
      <c r="W420" s="31"/>
      <c r="X420" s="31"/>
      <c r="Y420" s="31"/>
      <c r="Z420" s="31"/>
      <c r="AA420" s="31"/>
      <c r="AB420" s="31"/>
      <c r="AC420" s="31"/>
      <c r="AD420" s="31"/>
      <c r="AE420" s="31"/>
      <c r="AF420" s="31"/>
      <c r="AG420" s="31"/>
      <c r="AH420" s="31"/>
      <c r="AI420" s="31"/>
    </row>
    <row r="421" spans="1:35">
      <c r="A421" s="31"/>
      <c r="D421" s="31"/>
      <c r="E421" s="31"/>
      <c r="H421" s="31"/>
      <c r="I421" s="31"/>
      <c r="J421" s="31"/>
      <c r="K421" s="31"/>
      <c r="L421" s="31"/>
      <c r="M421" s="31"/>
      <c r="N421" s="31"/>
      <c r="O421" s="31"/>
      <c r="P421" s="31"/>
      <c r="Q421" s="31"/>
      <c r="R421" s="31"/>
      <c r="S421" s="31"/>
      <c r="T421" s="31"/>
      <c r="U421" s="31"/>
      <c r="V421" s="31"/>
      <c r="W421" s="31"/>
      <c r="X421" s="31"/>
      <c r="Y421" s="31"/>
      <c r="Z421" s="31"/>
      <c r="AA421" s="31"/>
      <c r="AB421" s="31"/>
      <c r="AC421" s="31"/>
      <c r="AD421" s="31"/>
      <c r="AE421" s="31"/>
      <c r="AF421" s="31"/>
      <c r="AG421" s="31"/>
      <c r="AH421" s="31"/>
      <c r="AI421" s="31"/>
    </row>
    <row r="422" spans="1:35">
      <c r="A422" s="31"/>
      <c r="D422" s="31"/>
      <c r="E422" s="31"/>
      <c r="H422" s="31"/>
      <c r="I422" s="31"/>
      <c r="J422" s="31"/>
      <c r="K422" s="31"/>
      <c r="L422" s="31"/>
      <c r="M422" s="31"/>
      <c r="N422" s="31"/>
      <c r="O422" s="31"/>
      <c r="P422" s="31"/>
      <c r="Q422" s="31"/>
      <c r="R422" s="31"/>
      <c r="S422" s="31"/>
      <c r="T422" s="31"/>
      <c r="U422" s="31"/>
      <c r="V422" s="31"/>
      <c r="W422" s="31"/>
      <c r="X422" s="31"/>
      <c r="Y422" s="31"/>
      <c r="Z422" s="31"/>
      <c r="AA422" s="31"/>
      <c r="AB422" s="31"/>
      <c r="AC422" s="31"/>
      <c r="AD422" s="31"/>
      <c r="AE422" s="31"/>
      <c r="AF422" s="31"/>
      <c r="AG422" s="31"/>
      <c r="AH422" s="31"/>
      <c r="AI422" s="31"/>
    </row>
    <row r="423" spans="1:35">
      <c r="A423" s="31"/>
      <c r="D423" s="31"/>
      <c r="E423" s="31"/>
      <c r="H423" s="31"/>
      <c r="I423" s="31"/>
      <c r="J423" s="31"/>
      <c r="K423" s="31"/>
      <c r="L423" s="31"/>
      <c r="M423" s="31"/>
      <c r="N423" s="31"/>
      <c r="O423" s="31"/>
      <c r="P423" s="31"/>
      <c r="Q423" s="31"/>
      <c r="R423" s="31"/>
      <c r="S423" s="31"/>
      <c r="T423" s="31"/>
      <c r="U423" s="31"/>
      <c r="V423" s="31"/>
      <c r="W423" s="31"/>
      <c r="X423" s="31"/>
      <c r="Y423" s="31"/>
      <c r="Z423" s="31"/>
      <c r="AA423" s="31"/>
      <c r="AB423" s="31"/>
      <c r="AC423" s="31"/>
      <c r="AD423" s="31"/>
      <c r="AE423" s="31"/>
      <c r="AF423" s="31"/>
      <c r="AG423" s="31"/>
      <c r="AH423" s="31"/>
      <c r="AI423" s="31"/>
    </row>
    <row r="424" spans="1:35">
      <c r="A424" s="31"/>
      <c r="D424" s="31"/>
      <c r="E424" s="31"/>
      <c r="H424" s="31"/>
      <c r="I424" s="31"/>
      <c r="J424" s="31"/>
      <c r="K424" s="31"/>
      <c r="L424" s="31"/>
      <c r="M424" s="31"/>
      <c r="N424" s="31"/>
      <c r="O424" s="31"/>
      <c r="P424" s="31"/>
      <c r="Q424" s="31"/>
      <c r="R424" s="31"/>
      <c r="S424" s="31"/>
      <c r="T424" s="31"/>
      <c r="U424" s="31"/>
      <c r="V424" s="31"/>
      <c r="W424" s="31"/>
      <c r="X424" s="31"/>
      <c r="Y424" s="31"/>
      <c r="Z424" s="31"/>
      <c r="AA424" s="31"/>
      <c r="AB424" s="31"/>
      <c r="AC424" s="31"/>
      <c r="AD424" s="31"/>
      <c r="AE424" s="31"/>
      <c r="AF424" s="31"/>
      <c r="AG424" s="31"/>
      <c r="AH424" s="31"/>
      <c r="AI424" s="31"/>
    </row>
    <row r="425" spans="1:35">
      <c r="A425" s="31"/>
      <c r="D425" s="31"/>
      <c r="E425" s="31"/>
      <c r="H425" s="31"/>
      <c r="I425" s="31"/>
      <c r="J425" s="31"/>
      <c r="K425" s="31"/>
      <c r="L425" s="31"/>
      <c r="M425" s="31"/>
      <c r="N425" s="31"/>
      <c r="O425" s="31"/>
      <c r="P425" s="31"/>
      <c r="Q425" s="31"/>
      <c r="R425" s="31"/>
      <c r="S425" s="31"/>
      <c r="T425" s="31"/>
      <c r="U425" s="31"/>
      <c r="V425" s="31"/>
      <c r="W425" s="31"/>
      <c r="X425" s="31"/>
      <c r="Y425" s="31"/>
      <c r="Z425" s="31"/>
      <c r="AA425" s="31"/>
      <c r="AB425" s="31"/>
      <c r="AC425" s="31"/>
      <c r="AD425" s="31"/>
      <c r="AE425" s="31"/>
      <c r="AF425" s="31"/>
      <c r="AG425" s="31"/>
      <c r="AH425" s="31"/>
      <c r="AI425" s="31"/>
    </row>
    <row r="426" spans="1:35">
      <c r="A426" s="31"/>
      <c r="D426" s="31"/>
      <c r="E426" s="31"/>
      <c r="H426" s="31"/>
      <c r="I426" s="31"/>
      <c r="J426" s="31"/>
      <c r="K426" s="31"/>
      <c r="L426" s="31"/>
      <c r="M426" s="31"/>
      <c r="N426" s="31"/>
      <c r="O426" s="31"/>
      <c r="P426" s="31"/>
      <c r="Q426" s="31"/>
      <c r="R426" s="31"/>
      <c r="S426" s="31"/>
      <c r="T426" s="31"/>
      <c r="U426" s="31"/>
      <c r="V426" s="31"/>
      <c r="W426" s="31"/>
      <c r="X426" s="31"/>
      <c r="Y426" s="31"/>
      <c r="Z426" s="31"/>
      <c r="AA426" s="31"/>
      <c r="AB426" s="31"/>
      <c r="AC426" s="31"/>
      <c r="AD426" s="31"/>
      <c r="AE426" s="31"/>
      <c r="AF426" s="31"/>
      <c r="AG426" s="31"/>
      <c r="AH426" s="31"/>
      <c r="AI426" s="31"/>
    </row>
    <row r="427" spans="1:35">
      <c r="A427" s="31"/>
      <c r="D427" s="31"/>
      <c r="E427" s="31"/>
      <c r="H427" s="31"/>
      <c r="I427" s="31"/>
      <c r="J427" s="31"/>
      <c r="K427" s="31"/>
      <c r="L427" s="31"/>
      <c r="M427" s="31"/>
      <c r="N427" s="31"/>
      <c r="O427" s="31"/>
      <c r="P427" s="31"/>
      <c r="Q427" s="31"/>
      <c r="R427" s="31"/>
      <c r="S427" s="31"/>
      <c r="T427" s="31"/>
      <c r="U427" s="31"/>
      <c r="V427" s="31"/>
      <c r="W427" s="31"/>
      <c r="X427" s="31"/>
      <c r="Y427" s="31"/>
      <c r="Z427" s="31"/>
      <c r="AA427" s="31"/>
      <c r="AB427" s="31"/>
      <c r="AC427" s="31"/>
      <c r="AD427" s="31"/>
      <c r="AE427" s="31"/>
      <c r="AF427" s="31"/>
      <c r="AG427" s="31"/>
      <c r="AH427" s="31"/>
      <c r="AI427" s="31"/>
    </row>
    <row r="428" spans="1:35">
      <c r="A428" s="31"/>
      <c r="D428" s="31"/>
      <c r="E428" s="31"/>
      <c r="H428" s="31"/>
      <c r="I428" s="31"/>
      <c r="J428" s="31"/>
      <c r="K428" s="31"/>
      <c r="L428" s="31"/>
      <c r="M428" s="31"/>
      <c r="N428" s="31"/>
      <c r="O428" s="31"/>
      <c r="P428" s="31"/>
      <c r="Q428" s="31"/>
      <c r="R428" s="31"/>
      <c r="S428" s="31"/>
      <c r="T428" s="31"/>
      <c r="U428" s="31"/>
      <c r="V428" s="31"/>
      <c r="W428" s="31"/>
      <c r="X428" s="31"/>
      <c r="Y428" s="31"/>
      <c r="Z428" s="31"/>
      <c r="AA428" s="31"/>
      <c r="AB428" s="31"/>
      <c r="AC428" s="31"/>
      <c r="AD428" s="31"/>
      <c r="AE428" s="31"/>
      <c r="AF428" s="31"/>
      <c r="AG428" s="31"/>
      <c r="AH428" s="31"/>
      <c r="AI428" s="31"/>
    </row>
    <row r="429" spans="1:35">
      <c r="A429" s="31"/>
      <c r="D429" s="31"/>
      <c r="E429" s="31"/>
      <c r="H429" s="31"/>
      <c r="I429" s="31"/>
      <c r="J429" s="31"/>
      <c r="K429" s="31"/>
      <c r="L429" s="31"/>
      <c r="M429" s="31"/>
      <c r="N429" s="31"/>
      <c r="O429" s="31"/>
      <c r="P429" s="31"/>
      <c r="Q429" s="31"/>
      <c r="R429" s="31"/>
      <c r="S429" s="31"/>
      <c r="T429" s="31"/>
      <c r="U429" s="31"/>
      <c r="V429" s="31"/>
      <c r="W429" s="31"/>
      <c r="X429" s="31"/>
      <c r="Y429" s="31"/>
      <c r="Z429" s="31"/>
      <c r="AA429" s="31"/>
      <c r="AB429" s="31"/>
      <c r="AC429" s="31"/>
      <c r="AD429" s="31"/>
      <c r="AE429" s="31"/>
      <c r="AF429" s="31"/>
      <c r="AG429" s="31"/>
      <c r="AH429" s="31"/>
      <c r="AI429" s="31"/>
    </row>
    <row r="430" spans="1:35">
      <c r="A430" s="31"/>
      <c r="D430" s="31"/>
      <c r="E430" s="31"/>
      <c r="H430" s="31"/>
      <c r="I430" s="31"/>
      <c r="J430" s="31"/>
      <c r="K430" s="31"/>
      <c r="L430" s="31"/>
      <c r="M430" s="31"/>
      <c r="N430" s="31"/>
      <c r="O430" s="31"/>
      <c r="P430" s="31"/>
      <c r="Q430" s="31"/>
      <c r="R430" s="31"/>
      <c r="S430" s="31"/>
      <c r="T430" s="31"/>
      <c r="U430" s="31"/>
      <c r="V430" s="31"/>
      <c r="W430" s="31"/>
      <c r="X430" s="31"/>
      <c r="Y430" s="31"/>
      <c r="Z430" s="31"/>
      <c r="AA430" s="31"/>
      <c r="AB430" s="31"/>
      <c r="AC430" s="31"/>
      <c r="AD430" s="31"/>
      <c r="AE430" s="31"/>
      <c r="AF430" s="31"/>
      <c r="AG430" s="31"/>
      <c r="AH430" s="31"/>
      <c r="AI430" s="31"/>
    </row>
    <row r="431" spans="1:35">
      <c r="A431" s="31"/>
      <c r="D431" s="31"/>
      <c r="E431" s="31"/>
      <c r="H431" s="31"/>
      <c r="I431" s="31"/>
      <c r="J431" s="31"/>
      <c r="K431" s="31"/>
      <c r="L431" s="31"/>
      <c r="M431" s="31"/>
      <c r="N431" s="31"/>
      <c r="O431" s="31"/>
      <c r="P431" s="31"/>
      <c r="Q431" s="31"/>
      <c r="R431" s="31"/>
      <c r="S431" s="31"/>
      <c r="T431" s="31"/>
      <c r="U431" s="31"/>
      <c r="V431" s="31"/>
      <c r="W431" s="31"/>
      <c r="X431" s="31"/>
      <c r="Y431" s="31"/>
      <c r="Z431" s="31"/>
      <c r="AA431" s="31"/>
      <c r="AB431" s="31"/>
      <c r="AC431" s="31"/>
      <c r="AD431" s="31"/>
      <c r="AE431" s="31"/>
      <c r="AF431" s="31"/>
      <c r="AG431" s="31"/>
      <c r="AH431" s="31"/>
      <c r="AI431" s="31"/>
    </row>
    <row r="432" spans="1:35">
      <c r="A432" s="31"/>
      <c r="D432" s="31"/>
      <c r="E432" s="31"/>
      <c r="H432" s="31"/>
      <c r="I432" s="31"/>
      <c r="J432" s="31"/>
      <c r="K432" s="31"/>
      <c r="L432" s="31"/>
      <c r="M432" s="31"/>
      <c r="N432" s="31"/>
      <c r="O432" s="31"/>
      <c r="P432" s="31"/>
      <c r="Q432" s="31"/>
      <c r="R432" s="31"/>
      <c r="S432" s="31"/>
      <c r="T432" s="31"/>
      <c r="U432" s="31"/>
      <c r="V432" s="31"/>
      <c r="W432" s="31"/>
      <c r="X432" s="31"/>
      <c r="Y432" s="31"/>
      <c r="Z432" s="31"/>
      <c r="AA432" s="31"/>
      <c r="AB432" s="31"/>
      <c r="AC432" s="31"/>
      <c r="AD432" s="31"/>
      <c r="AE432" s="31"/>
      <c r="AF432" s="31"/>
      <c r="AG432" s="31"/>
      <c r="AH432" s="31"/>
      <c r="AI432" s="31"/>
    </row>
    <row r="433" spans="1:35">
      <c r="A433" s="31"/>
      <c r="D433" s="31"/>
      <c r="E433" s="31"/>
      <c r="H433" s="31"/>
      <c r="I433" s="31"/>
      <c r="J433" s="31"/>
      <c r="K433" s="31"/>
      <c r="L433" s="31"/>
      <c r="M433" s="31"/>
      <c r="N433" s="31"/>
      <c r="O433" s="31"/>
      <c r="P433" s="31"/>
      <c r="Q433" s="31"/>
      <c r="R433" s="31"/>
      <c r="S433" s="31"/>
      <c r="T433" s="31"/>
      <c r="U433" s="31"/>
      <c r="V433" s="31"/>
      <c r="W433" s="31"/>
      <c r="X433" s="31"/>
      <c r="Y433" s="31"/>
      <c r="Z433" s="31"/>
      <c r="AA433" s="31"/>
      <c r="AB433" s="31"/>
      <c r="AC433" s="31"/>
      <c r="AD433" s="31"/>
      <c r="AE433" s="31"/>
      <c r="AF433" s="31"/>
      <c r="AG433" s="31"/>
      <c r="AH433" s="31"/>
      <c r="AI433" s="31"/>
    </row>
    <row r="434" spans="1:35">
      <c r="A434" s="31"/>
      <c r="D434" s="31"/>
      <c r="E434" s="31"/>
      <c r="H434" s="31"/>
      <c r="I434" s="31"/>
      <c r="J434" s="31"/>
      <c r="K434" s="31"/>
      <c r="L434" s="31"/>
      <c r="M434" s="31"/>
      <c r="N434" s="31"/>
      <c r="O434" s="31"/>
      <c r="P434" s="31"/>
      <c r="Q434" s="31"/>
      <c r="R434" s="31"/>
      <c r="S434" s="31"/>
      <c r="T434" s="31"/>
      <c r="U434" s="31"/>
      <c r="V434" s="31"/>
      <c r="W434" s="31"/>
      <c r="X434" s="31"/>
      <c r="Y434" s="31"/>
      <c r="Z434" s="31"/>
      <c r="AA434" s="31"/>
      <c r="AB434" s="31"/>
      <c r="AC434" s="31"/>
      <c r="AD434" s="31"/>
      <c r="AE434" s="31"/>
      <c r="AF434" s="31"/>
      <c r="AG434" s="31"/>
      <c r="AH434" s="31"/>
      <c r="AI434" s="31"/>
    </row>
    <row r="435" spans="1:35">
      <c r="A435" s="31"/>
      <c r="D435" s="31"/>
      <c r="E435" s="31"/>
      <c r="H435" s="31"/>
      <c r="I435" s="31"/>
      <c r="J435" s="31"/>
      <c r="K435" s="31"/>
      <c r="L435" s="31"/>
      <c r="M435" s="31"/>
      <c r="N435" s="31"/>
      <c r="O435" s="31"/>
      <c r="P435" s="31"/>
      <c r="Q435" s="31"/>
      <c r="R435" s="31"/>
      <c r="S435" s="31"/>
      <c r="T435" s="31"/>
      <c r="U435" s="31"/>
      <c r="V435" s="31"/>
      <c r="W435" s="31"/>
      <c r="X435" s="31"/>
      <c r="Y435" s="31"/>
      <c r="Z435" s="31"/>
      <c r="AA435" s="31"/>
      <c r="AB435" s="31"/>
      <c r="AC435" s="31"/>
      <c r="AD435" s="31"/>
      <c r="AE435" s="31"/>
      <c r="AF435" s="31"/>
      <c r="AG435" s="31"/>
      <c r="AH435" s="31"/>
      <c r="AI435" s="31"/>
    </row>
    <row r="436" spans="1:35">
      <c r="A436" s="31"/>
      <c r="D436" s="31"/>
      <c r="E436" s="31"/>
      <c r="H436" s="31"/>
      <c r="I436" s="31"/>
      <c r="J436" s="31"/>
      <c r="K436" s="31"/>
      <c r="L436" s="31"/>
      <c r="M436" s="31"/>
      <c r="N436" s="31"/>
      <c r="O436" s="31"/>
      <c r="P436" s="31"/>
      <c r="Q436" s="31"/>
      <c r="R436" s="31"/>
      <c r="S436" s="31"/>
      <c r="T436" s="31"/>
      <c r="U436" s="31"/>
      <c r="V436" s="31"/>
      <c r="W436" s="31"/>
      <c r="X436" s="31"/>
      <c r="Y436" s="31"/>
      <c r="Z436" s="31"/>
      <c r="AA436" s="31"/>
      <c r="AB436" s="31"/>
      <c r="AC436" s="31"/>
      <c r="AD436" s="31"/>
      <c r="AE436" s="31"/>
      <c r="AF436" s="31"/>
      <c r="AG436" s="31"/>
      <c r="AH436" s="31"/>
      <c r="AI436" s="31"/>
    </row>
    <row r="437" spans="1:35">
      <c r="A437" s="31"/>
      <c r="D437" s="31"/>
      <c r="E437" s="31"/>
      <c r="H437" s="31"/>
      <c r="I437" s="31"/>
      <c r="J437" s="31"/>
      <c r="K437" s="31"/>
      <c r="L437" s="31"/>
      <c r="M437" s="31"/>
      <c r="N437" s="31"/>
      <c r="O437" s="31"/>
      <c r="P437" s="31"/>
      <c r="Q437" s="31"/>
      <c r="R437" s="31"/>
      <c r="S437" s="31"/>
      <c r="T437" s="31"/>
      <c r="U437" s="31"/>
      <c r="V437" s="31"/>
      <c r="W437" s="31"/>
      <c r="X437" s="31"/>
      <c r="Y437" s="31"/>
      <c r="Z437" s="31"/>
      <c r="AA437" s="31"/>
      <c r="AB437" s="31"/>
      <c r="AC437" s="31"/>
      <c r="AD437" s="31"/>
      <c r="AE437" s="31"/>
      <c r="AF437" s="31"/>
      <c r="AG437" s="31"/>
      <c r="AH437" s="31"/>
      <c r="AI437" s="31"/>
    </row>
    <row r="438" spans="1:35">
      <c r="A438" s="31"/>
      <c r="D438" s="31"/>
      <c r="E438" s="31"/>
      <c r="H438" s="31"/>
      <c r="I438" s="31"/>
      <c r="J438" s="31"/>
      <c r="K438" s="31"/>
      <c r="L438" s="31"/>
      <c r="M438" s="31"/>
      <c r="N438" s="31"/>
      <c r="O438" s="31"/>
      <c r="P438" s="31"/>
      <c r="Q438" s="31"/>
      <c r="R438" s="31"/>
      <c r="S438" s="31"/>
      <c r="T438" s="31"/>
      <c r="U438" s="31"/>
      <c r="V438" s="31"/>
      <c r="W438" s="31"/>
      <c r="X438" s="31"/>
      <c r="Y438" s="31"/>
      <c r="Z438" s="31"/>
      <c r="AA438" s="31"/>
      <c r="AB438" s="31"/>
      <c r="AC438" s="31"/>
      <c r="AD438" s="31"/>
      <c r="AE438" s="31"/>
      <c r="AF438" s="31"/>
      <c r="AG438" s="31"/>
      <c r="AH438" s="31"/>
      <c r="AI438" s="31"/>
    </row>
    <row r="439" spans="1:35">
      <c r="A439" s="31"/>
      <c r="D439" s="31"/>
      <c r="E439" s="31"/>
      <c r="H439" s="31"/>
      <c r="I439" s="31"/>
      <c r="J439" s="31"/>
      <c r="K439" s="31"/>
      <c r="L439" s="31"/>
      <c r="M439" s="31"/>
      <c r="N439" s="31"/>
      <c r="O439" s="31"/>
      <c r="P439" s="31"/>
      <c r="Q439" s="31"/>
      <c r="R439" s="31"/>
      <c r="S439" s="31"/>
      <c r="T439" s="31"/>
      <c r="U439" s="31"/>
      <c r="V439" s="31"/>
      <c r="W439" s="31"/>
      <c r="X439" s="31"/>
      <c r="Y439" s="31"/>
      <c r="Z439" s="31"/>
      <c r="AA439" s="31"/>
      <c r="AB439" s="31"/>
      <c r="AC439" s="31"/>
      <c r="AD439" s="31"/>
      <c r="AE439" s="31"/>
      <c r="AF439" s="31"/>
      <c r="AG439" s="31"/>
      <c r="AH439" s="31"/>
      <c r="AI439" s="31"/>
    </row>
    <row r="440" spans="1:35">
      <c r="A440" s="31"/>
      <c r="D440" s="31"/>
      <c r="E440" s="31"/>
      <c r="H440" s="31"/>
      <c r="I440" s="31"/>
      <c r="J440" s="31"/>
      <c r="K440" s="31"/>
      <c r="L440" s="31"/>
      <c r="M440" s="31"/>
      <c r="N440" s="31"/>
      <c r="O440" s="31"/>
      <c r="P440" s="31"/>
      <c r="Q440" s="31"/>
      <c r="R440" s="31"/>
      <c r="S440" s="31"/>
      <c r="T440" s="31"/>
      <c r="U440" s="31"/>
      <c r="V440" s="31"/>
      <c r="W440" s="31"/>
      <c r="X440" s="31"/>
      <c r="Y440" s="31"/>
      <c r="Z440" s="31"/>
      <c r="AA440" s="31"/>
      <c r="AB440" s="31"/>
      <c r="AC440" s="31"/>
      <c r="AD440" s="31"/>
      <c r="AE440" s="31"/>
      <c r="AF440" s="31"/>
      <c r="AG440" s="31"/>
      <c r="AH440" s="31"/>
      <c r="AI440" s="31"/>
    </row>
    <row r="441" spans="1:35">
      <c r="A441" s="31"/>
      <c r="D441" s="31"/>
      <c r="E441" s="31"/>
      <c r="H441" s="31"/>
      <c r="I441" s="31"/>
      <c r="J441" s="31"/>
      <c r="K441" s="31"/>
      <c r="L441" s="31"/>
      <c r="M441" s="31"/>
      <c r="N441" s="31"/>
      <c r="O441" s="31"/>
      <c r="P441" s="31"/>
      <c r="Q441" s="31"/>
      <c r="R441" s="31"/>
      <c r="S441" s="31"/>
      <c r="T441" s="31"/>
      <c r="U441" s="31"/>
      <c r="V441" s="31"/>
      <c r="W441" s="31"/>
      <c r="X441" s="31"/>
      <c r="Y441" s="31"/>
      <c r="Z441" s="31"/>
      <c r="AA441" s="31"/>
      <c r="AB441" s="31"/>
      <c r="AC441" s="31"/>
      <c r="AD441" s="31"/>
      <c r="AE441" s="31"/>
      <c r="AF441" s="31"/>
      <c r="AG441" s="31"/>
      <c r="AH441" s="31"/>
      <c r="AI441" s="31"/>
    </row>
    <row r="442" spans="1:35">
      <c r="A442" s="31"/>
      <c r="D442" s="31"/>
      <c r="E442" s="31"/>
      <c r="H442" s="31"/>
      <c r="I442" s="31"/>
      <c r="J442" s="31"/>
      <c r="K442" s="31"/>
      <c r="L442" s="31"/>
      <c r="M442" s="31"/>
      <c r="N442" s="31"/>
      <c r="O442" s="31"/>
      <c r="P442" s="31"/>
      <c r="Q442" s="31"/>
      <c r="R442" s="31"/>
      <c r="S442" s="31"/>
      <c r="T442" s="31"/>
      <c r="U442" s="31"/>
      <c r="V442" s="31"/>
      <c r="W442" s="31"/>
      <c r="X442" s="31"/>
      <c r="Y442" s="31"/>
      <c r="Z442" s="31"/>
      <c r="AA442" s="31"/>
      <c r="AB442" s="31"/>
      <c r="AC442" s="31"/>
      <c r="AD442" s="31"/>
      <c r="AE442" s="31"/>
      <c r="AF442" s="31"/>
      <c r="AG442" s="31"/>
      <c r="AH442" s="31"/>
      <c r="AI442" s="31"/>
    </row>
    <row r="443" spans="1:35">
      <c r="A443" s="31"/>
      <c r="D443" s="31"/>
      <c r="E443" s="31"/>
      <c r="H443" s="31"/>
      <c r="I443" s="31"/>
      <c r="J443" s="31"/>
      <c r="K443" s="31"/>
      <c r="L443" s="31"/>
      <c r="M443" s="31"/>
      <c r="N443" s="31"/>
      <c r="O443" s="31"/>
      <c r="P443" s="31"/>
      <c r="Q443" s="31"/>
      <c r="R443" s="31"/>
      <c r="S443" s="31"/>
      <c r="T443" s="31"/>
      <c r="U443" s="31"/>
      <c r="V443" s="31"/>
      <c r="W443" s="31"/>
      <c r="X443" s="31"/>
      <c r="Y443" s="31"/>
      <c r="Z443" s="31"/>
      <c r="AA443" s="31"/>
      <c r="AB443" s="31"/>
      <c r="AC443" s="31"/>
      <c r="AD443" s="31"/>
      <c r="AE443" s="31"/>
      <c r="AF443" s="31"/>
      <c r="AG443" s="31"/>
      <c r="AH443" s="31"/>
      <c r="AI443" s="31"/>
    </row>
    <row r="444" spans="1:35">
      <c r="A444" s="31"/>
      <c r="D444" s="31"/>
      <c r="E444" s="31"/>
      <c r="H444" s="31"/>
      <c r="I444" s="31"/>
      <c r="J444" s="31"/>
      <c r="K444" s="31"/>
      <c r="L444" s="31"/>
      <c r="M444" s="31"/>
      <c r="N444" s="31"/>
      <c r="O444" s="31"/>
      <c r="P444" s="31"/>
      <c r="Q444" s="31"/>
      <c r="R444" s="31"/>
      <c r="S444" s="31"/>
      <c r="T444" s="31"/>
      <c r="U444" s="31"/>
      <c r="V444" s="31"/>
      <c r="W444" s="31"/>
      <c r="X444" s="31"/>
      <c r="Y444" s="31"/>
      <c r="Z444" s="31"/>
      <c r="AA444" s="31"/>
      <c r="AB444" s="31"/>
      <c r="AC444" s="31"/>
      <c r="AD444" s="31"/>
      <c r="AE444" s="31"/>
      <c r="AF444" s="31"/>
      <c r="AG444" s="31"/>
      <c r="AH444" s="31"/>
      <c r="AI444" s="31"/>
    </row>
    <row r="445" spans="1:35">
      <c r="A445" s="31"/>
      <c r="D445" s="31"/>
      <c r="E445" s="31"/>
      <c r="H445" s="31"/>
      <c r="I445" s="31"/>
      <c r="J445" s="31"/>
      <c r="K445" s="31"/>
      <c r="L445" s="31"/>
      <c r="M445" s="31"/>
      <c r="N445" s="31"/>
      <c r="O445" s="31"/>
      <c r="P445" s="31"/>
      <c r="Q445" s="31"/>
      <c r="R445" s="31"/>
      <c r="S445" s="31"/>
      <c r="T445" s="31"/>
      <c r="U445" s="31"/>
      <c r="V445" s="31"/>
      <c r="W445" s="31"/>
      <c r="X445" s="31"/>
      <c r="Y445" s="31"/>
      <c r="Z445" s="31"/>
      <c r="AA445" s="31"/>
      <c r="AB445" s="31"/>
      <c r="AC445" s="31"/>
      <c r="AD445" s="31"/>
      <c r="AE445" s="31"/>
      <c r="AF445" s="31"/>
      <c r="AG445" s="31"/>
      <c r="AH445" s="31"/>
      <c r="AI445" s="31"/>
    </row>
    <row r="446" spans="1:35">
      <c r="A446" s="31"/>
      <c r="D446" s="31"/>
      <c r="E446" s="31"/>
      <c r="H446" s="31"/>
      <c r="I446" s="31"/>
      <c r="J446" s="31"/>
      <c r="K446" s="31"/>
    </row>
    <row r="447" spans="1:35">
      <c r="A447" s="31"/>
      <c r="D447" s="31"/>
      <c r="E447" s="31"/>
      <c r="H447" s="31"/>
      <c r="I447" s="31"/>
      <c r="J447" s="31"/>
      <c r="K447" s="31"/>
    </row>
    <row r="448" spans="1:35">
      <c r="A448" s="31"/>
      <c r="D448" s="31"/>
      <c r="E448" s="31"/>
      <c r="H448" s="31"/>
      <c r="I448" s="31"/>
      <c r="J448" s="31"/>
      <c r="K448" s="31"/>
    </row>
    <row r="449" spans="1:11">
      <c r="A449" s="31"/>
      <c r="D449" s="31"/>
      <c r="E449" s="31"/>
      <c r="H449" s="31"/>
      <c r="I449" s="31"/>
      <c r="J449" s="31"/>
      <c r="K449" s="31"/>
    </row>
    <row r="450" spans="1:11">
      <c r="A450" s="31"/>
      <c r="D450" s="31"/>
      <c r="E450" s="31"/>
      <c r="H450" s="31"/>
      <c r="I450" s="31"/>
      <c r="J450" s="31"/>
      <c r="K450" s="31"/>
    </row>
    <row r="451" spans="1:11">
      <c r="A451" s="31"/>
      <c r="D451" s="31"/>
      <c r="E451" s="31"/>
      <c r="H451" s="31"/>
      <c r="I451" s="31"/>
      <c r="J451" s="31"/>
      <c r="K451" s="31"/>
    </row>
    <row r="452" spans="1:11">
      <c r="A452" s="31"/>
      <c r="D452" s="31"/>
      <c r="E452" s="31"/>
      <c r="H452" s="31"/>
      <c r="I452" s="31"/>
      <c r="J452" s="31"/>
      <c r="K452" s="31"/>
    </row>
    <row r="453" spans="1:11">
      <c r="A453" s="31"/>
      <c r="D453" s="31"/>
      <c r="E453" s="31"/>
      <c r="H453" s="31"/>
      <c r="I453" s="31"/>
      <c r="J453" s="31"/>
      <c r="K453" s="31"/>
    </row>
    <row r="454" spans="1:11">
      <c r="A454" s="31"/>
      <c r="D454" s="31"/>
      <c r="E454" s="31"/>
      <c r="H454" s="31"/>
      <c r="I454" s="31"/>
      <c r="J454" s="31"/>
      <c r="K454" s="31"/>
    </row>
    <row r="455" spans="1:11">
      <c r="A455" s="31"/>
      <c r="D455" s="31"/>
      <c r="E455" s="31"/>
      <c r="H455" s="31"/>
      <c r="I455" s="31"/>
      <c r="J455" s="31"/>
      <c r="K455" s="31"/>
    </row>
    <row r="456" spans="1:11">
      <c r="A456" s="31"/>
      <c r="D456" s="31"/>
      <c r="E456" s="31"/>
      <c r="H456" s="31"/>
      <c r="I456" s="31"/>
      <c r="J456" s="31"/>
      <c r="K456" s="31"/>
    </row>
    <row r="457" spans="1:11">
      <c r="A457" s="31"/>
      <c r="D457" s="31"/>
      <c r="E457" s="31"/>
      <c r="H457" s="31"/>
      <c r="I457" s="31"/>
      <c r="J457" s="31"/>
      <c r="K457" s="31"/>
    </row>
    <row r="458" spans="1:11">
      <c r="A458" s="31"/>
      <c r="D458" s="31"/>
      <c r="E458" s="31"/>
      <c r="H458" s="31"/>
      <c r="I458" s="31"/>
      <c r="J458" s="31"/>
      <c r="K458" s="31"/>
    </row>
    <row r="459" spans="1:11">
      <c r="A459" s="31"/>
      <c r="D459" s="31"/>
      <c r="E459" s="31"/>
      <c r="H459" s="31"/>
      <c r="I459" s="31"/>
      <c r="J459" s="31"/>
      <c r="K459" s="31"/>
    </row>
    <row r="460" spans="1:11">
      <c r="A460" s="31"/>
      <c r="D460" s="31"/>
      <c r="E460" s="31"/>
      <c r="H460" s="31"/>
      <c r="I460" s="31"/>
      <c r="J460" s="31"/>
      <c r="K460" s="31"/>
    </row>
    <row r="461" spans="1:11">
      <c r="A461" s="31"/>
      <c r="D461" s="31"/>
      <c r="E461" s="31"/>
      <c r="H461" s="31"/>
      <c r="I461" s="31"/>
      <c r="J461" s="31"/>
      <c r="K461" s="31"/>
    </row>
    <row r="462" spans="1:11">
      <c r="A462" s="31"/>
      <c r="D462" s="31"/>
      <c r="E462" s="31"/>
      <c r="H462" s="31"/>
      <c r="I462" s="31"/>
      <c r="J462" s="31"/>
      <c r="K462" s="31"/>
    </row>
    <row r="463" spans="1:11">
      <c r="A463" s="31"/>
      <c r="D463" s="31"/>
      <c r="E463" s="31"/>
      <c r="H463" s="31"/>
      <c r="I463" s="31"/>
      <c r="J463" s="31"/>
      <c r="K463" s="31"/>
    </row>
    <row r="464" spans="1:11">
      <c r="A464" s="31"/>
      <c r="D464" s="31"/>
      <c r="E464" s="31"/>
      <c r="H464" s="31"/>
      <c r="I464" s="31"/>
      <c r="J464" s="31"/>
      <c r="K464" s="31"/>
    </row>
    <row r="465" spans="1:11">
      <c r="A465" s="31"/>
      <c r="D465" s="31"/>
      <c r="E465" s="31"/>
      <c r="H465" s="31"/>
      <c r="I465" s="31"/>
      <c r="J465" s="31"/>
      <c r="K465" s="31"/>
    </row>
    <row r="466" spans="1:11">
      <c r="A466" s="31"/>
      <c r="D466" s="31"/>
      <c r="E466" s="31"/>
      <c r="H466" s="31"/>
      <c r="I466" s="31"/>
      <c r="J466" s="31"/>
      <c r="K466" s="31"/>
    </row>
    <row r="467" spans="1:11">
      <c r="A467" s="31"/>
      <c r="D467" s="31"/>
      <c r="E467" s="31"/>
      <c r="H467" s="31"/>
      <c r="I467" s="31"/>
      <c r="J467" s="31"/>
      <c r="K467" s="31"/>
    </row>
    <row r="468" spans="1:11">
      <c r="A468" s="31"/>
      <c r="D468" s="31"/>
      <c r="E468" s="31"/>
      <c r="H468" s="31"/>
      <c r="I468" s="31"/>
      <c r="J468" s="31"/>
      <c r="K468" s="31"/>
    </row>
    <row r="469" spans="1:11">
      <c r="A469" s="31"/>
      <c r="D469" s="31"/>
      <c r="E469" s="31"/>
      <c r="H469" s="31"/>
      <c r="I469" s="31"/>
      <c r="J469" s="31"/>
      <c r="K469" s="31"/>
    </row>
    <row r="470" spans="1:11">
      <c r="A470" s="31"/>
      <c r="D470" s="31"/>
      <c r="E470" s="31"/>
      <c r="H470" s="31"/>
      <c r="I470" s="31"/>
      <c r="J470" s="31"/>
      <c r="K470" s="31"/>
    </row>
    <row r="471" spans="1:11">
      <c r="A471" s="31"/>
      <c r="D471" s="31"/>
      <c r="E471" s="31"/>
      <c r="H471" s="31"/>
      <c r="I471" s="31"/>
      <c r="J471" s="31"/>
      <c r="K471" s="31"/>
    </row>
    <row r="472" spans="1:11">
      <c r="A472" s="31"/>
      <c r="D472" s="31"/>
      <c r="E472" s="31"/>
      <c r="H472" s="31"/>
      <c r="I472" s="31"/>
      <c r="J472" s="31"/>
      <c r="K472" s="31"/>
    </row>
    <row r="473" spans="1:11">
      <c r="A473" s="31"/>
      <c r="D473" s="31"/>
      <c r="E473" s="31"/>
      <c r="H473" s="31"/>
      <c r="I473" s="31"/>
      <c r="J473" s="31"/>
      <c r="K473" s="31"/>
    </row>
    <row r="474" spans="1:11">
      <c r="A474" s="31"/>
      <c r="D474" s="31"/>
      <c r="E474" s="31"/>
      <c r="H474" s="31"/>
      <c r="I474" s="31"/>
      <c r="J474" s="31"/>
      <c r="K474" s="31"/>
    </row>
    <row r="475" spans="1:11">
      <c r="A475" s="31"/>
      <c r="D475" s="31"/>
      <c r="E475" s="31"/>
      <c r="H475" s="31"/>
      <c r="I475" s="31"/>
      <c r="J475" s="31"/>
      <c r="K475" s="31"/>
    </row>
    <row r="476" spans="1:11">
      <c r="A476" s="31"/>
      <c r="D476" s="31"/>
      <c r="E476" s="31"/>
      <c r="H476" s="31"/>
      <c r="I476" s="31"/>
      <c r="J476" s="31"/>
      <c r="K476" s="31"/>
    </row>
    <row r="477" spans="1:11">
      <c r="A477" s="31"/>
      <c r="D477" s="31"/>
      <c r="E477" s="31"/>
      <c r="H477" s="31"/>
      <c r="I477" s="31"/>
      <c r="J477" s="31"/>
      <c r="K477" s="31"/>
    </row>
    <row r="478" spans="1:11">
      <c r="A478" s="31"/>
      <c r="D478" s="31"/>
      <c r="E478" s="31"/>
      <c r="H478" s="31"/>
      <c r="I478" s="31"/>
      <c r="J478" s="31"/>
      <c r="K478" s="31"/>
    </row>
    <row r="479" spans="1:11">
      <c r="A479" s="31"/>
      <c r="D479" s="31"/>
      <c r="E479" s="31"/>
      <c r="H479" s="31"/>
      <c r="I479" s="31"/>
      <c r="J479" s="31"/>
      <c r="K479" s="31"/>
    </row>
    <row r="480" spans="1:11">
      <c r="A480" s="31"/>
      <c r="D480" s="31"/>
      <c r="E480" s="31"/>
      <c r="H480" s="31"/>
      <c r="I480" s="31"/>
      <c r="J480" s="31"/>
      <c r="K480" s="31"/>
    </row>
  </sheetData>
  <sheetProtection password="CF55" sheet="1" objects="1" scenarios="1" formatRows="0" selectLockedCells="1"/>
  <mergeCells count="84">
    <mergeCell ref="H84:H85"/>
    <mergeCell ref="I84:I85"/>
    <mergeCell ref="A96:A100"/>
    <mergeCell ref="J84:J85"/>
    <mergeCell ref="K84:K85"/>
    <mergeCell ref="A88:A92"/>
    <mergeCell ref="B88:B89"/>
    <mergeCell ref="B91:B92"/>
    <mergeCell ref="C84:C85"/>
    <mergeCell ref="D84:D85"/>
    <mergeCell ref="E84:E85"/>
    <mergeCell ref="F84:F85"/>
    <mergeCell ref="G84:G85"/>
    <mergeCell ref="A72:A86"/>
    <mergeCell ref="B72:B73"/>
    <mergeCell ref="B75:B76"/>
    <mergeCell ref="B78:B79"/>
    <mergeCell ref="B81:B82"/>
    <mergeCell ref="K65:K66"/>
    <mergeCell ref="A53:A70"/>
    <mergeCell ref="C65:C66"/>
    <mergeCell ref="H53:H56"/>
    <mergeCell ref="I53:I56"/>
    <mergeCell ref="J53:J56"/>
    <mergeCell ref="C59:C62"/>
    <mergeCell ref="D59:D62"/>
    <mergeCell ref="E59:E62"/>
    <mergeCell ref="K59:K62"/>
    <mergeCell ref="C53:C56"/>
    <mergeCell ref="D53:D56"/>
    <mergeCell ref="E53:E56"/>
    <mergeCell ref="D65:D66"/>
    <mergeCell ref="J59:J62"/>
    <mergeCell ref="B69:B70"/>
    <mergeCell ref="J65:J66"/>
    <mergeCell ref="G65:G66"/>
    <mergeCell ref="H65:H66"/>
    <mergeCell ref="I65:I66"/>
    <mergeCell ref="F59:F62"/>
    <mergeCell ref="E65:E66"/>
    <mergeCell ref="F65:F66"/>
    <mergeCell ref="G59:G62"/>
    <mergeCell ref="H59:H62"/>
    <mergeCell ref="I59:I62"/>
    <mergeCell ref="A35:A42"/>
    <mergeCell ref="B35:B36"/>
    <mergeCell ref="B38:B39"/>
    <mergeCell ref="B41:B42"/>
    <mergeCell ref="A44:A51"/>
    <mergeCell ref="B44:B45"/>
    <mergeCell ref="B47:B48"/>
    <mergeCell ref="B50:B51"/>
    <mergeCell ref="I29:I32"/>
    <mergeCell ref="J29:J32"/>
    <mergeCell ref="F53:F56"/>
    <mergeCell ref="G53:G56"/>
    <mergeCell ref="K29:K32"/>
    <mergeCell ref="K53:K56"/>
    <mergeCell ref="A20:A33"/>
    <mergeCell ref="B20:B21"/>
    <mergeCell ref="B23:B24"/>
    <mergeCell ref="B26:B27"/>
    <mergeCell ref="C29:C32"/>
    <mergeCell ref="D29:D32"/>
    <mergeCell ref="E29:E32"/>
    <mergeCell ref="F29:F32"/>
    <mergeCell ref="G29:G32"/>
    <mergeCell ref="H29:H32"/>
    <mergeCell ref="K14:K17"/>
    <mergeCell ref="E4:G4"/>
    <mergeCell ref="H4:I4"/>
    <mergeCell ref="J4:K4"/>
    <mergeCell ref="A6:B6"/>
    <mergeCell ref="A8:A18"/>
    <mergeCell ref="B8:B9"/>
    <mergeCell ref="B11:B12"/>
    <mergeCell ref="C14:C17"/>
    <mergeCell ref="D14:D17"/>
    <mergeCell ref="E14:E17"/>
    <mergeCell ref="F14:F17"/>
    <mergeCell ref="G14:G17"/>
    <mergeCell ref="H14:H17"/>
    <mergeCell ref="I14:I17"/>
    <mergeCell ref="J14:J17"/>
  </mergeCell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pageSetUpPr fitToPage="1"/>
  </sheetPr>
  <dimension ref="A1:X190"/>
  <sheetViews>
    <sheetView workbookViewId="0">
      <pane xSplit="2" ySplit="1" topLeftCell="C108" activePane="bottomRight" state="frozen"/>
      <selection activeCell="D136" sqref="D136:W136"/>
      <selection pane="topRight" activeCell="D136" sqref="D136:W136"/>
      <selection pane="bottomLeft" activeCell="D136" sqref="D136:W136"/>
      <selection pane="bottomRight" activeCell="D136" sqref="D136:W136"/>
    </sheetView>
  </sheetViews>
  <sheetFormatPr defaultColWidth="8.85546875" defaultRowHeight="12.75"/>
  <cols>
    <col min="1" max="1" width="20.85546875" style="4" customWidth="1"/>
    <col min="2" max="2" width="40.85546875" style="4" customWidth="1"/>
    <col min="3" max="3" width="10.85546875" style="27" customWidth="1"/>
    <col min="4" max="23" width="5.85546875" style="4" customWidth="1"/>
    <col min="24" max="24" width="30.85546875" style="4" customWidth="1"/>
    <col min="25" max="16384" width="8.85546875" style="4"/>
  </cols>
  <sheetData>
    <row r="1" spans="1:24" s="67" customFormat="1" ht="32.25" thickBot="1">
      <c r="A1" s="3" t="s">
        <v>0</v>
      </c>
      <c r="B1" s="64" t="s">
        <v>231</v>
      </c>
      <c r="C1" s="65" t="s">
        <v>277</v>
      </c>
      <c r="D1" s="65"/>
      <c r="E1" s="65"/>
      <c r="F1" s="65"/>
      <c r="G1" s="65"/>
      <c r="H1" s="65"/>
      <c r="I1" s="65"/>
      <c r="J1" s="65"/>
      <c r="K1" s="65"/>
      <c r="L1" s="65"/>
      <c r="M1" s="65"/>
      <c r="N1" s="65"/>
      <c r="O1" s="65"/>
      <c r="P1" s="65"/>
      <c r="Q1" s="65"/>
      <c r="R1" s="65"/>
      <c r="S1" s="65"/>
      <c r="T1" s="65"/>
      <c r="U1" s="65"/>
      <c r="V1" s="65"/>
      <c r="W1" s="65"/>
      <c r="X1" s="66"/>
    </row>
    <row r="2" spans="1:24">
      <c r="A2" s="5"/>
      <c r="B2" s="5"/>
      <c r="C2" s="6"/>
      <c r="D2" s="5"/>
      <c r="E2" s="5"/>
      <c r="F2" s="5"/>
      <c r="G2" s="5"/>
      <c r="H2" s="5"/>
      <c r="I2" s="5"/>
      <c r="J2" s="5"/>
      <c r="K2" s="5"/>
      <c r="L2" s="5"/>
      <c r="M2" s="5"/>
      <c r="N2" s="5"/>
      <c r="O2" s="5"/>
      <c r="P2" s="5"/>
      <c r="Q2" s="5"/>
      <c r="R2" s="5"/>
      <c r="S2" s="5"/>
      <c r="T2" s="5"/>
      <c r="U2" s="5"/>
      <c r="V2" s="5"/>
      <c r="W2" s="5"/>
      <c r="X2" s="5"/>
    </row>
    <row r="3" spans="1:24" ht="13.5" thickBot="1">
      <c r="A3" s="5"/>
      <c r="B3" s="5"/>
      <c r="C3" s="6"/>
      <c r="D3" s="5"/>
      <c r="E3" s="5"/>
      <c r="F3" s="5"/>
      <c r="G3" s="5"/>
      <c r="H3" s="5"/>
      <c r="I3" s="5"/>
      <c r="J3" s="5"/>
      <c r="K3" s="5"/>
      <c r="L3" s="5"/>
      <c r="M3" s="5"/>
      <c r="N3" s="5"/>
      <c r="O3" s="5"/>
      <c r="P3" s="5"/>
      <c r="Q3" s="5"/>
      <c r="R3" s="5"/>
      <c r="S3" s="5"/>
      <c r="T3" s="5"/>
      <c r="U3" s="5"/>
      <c r="V3" s="5"/>
      <c r="W3" s="5"/>
      <c r="X3" s="5"/>
    </row>
    <row r="4" spans="1:24" ht="12.95" customHeight="1" thickBot="1">
      <c r="A4" s="7" t="s">
        <v>50</v>
      </c>
      <c r="B4" s="97" t="s">
        <v>51</v>
      </c>
      <c r="C4" s="8"/>
      <c r="D4" s="927" t="s">
        <v>79</v>
      </c>
      <c r="E4" s="928"/>
      <c r="F4" s="928"/>
      <c r="G4" s="929"/>
      <c r="H4" s="927" t="s">
        <v>80</v>
      </c>
      <c r="I4" s="928"/>
      <c r="J4" s="928"/>
      <c r="K4" s="929"/>
      <c r="L4" s="927" t="s">
        <v>81</v>
      </c>
      <c r="M4" s="928"/>
      <c r="N4" s="928"/>
      <c r="O4" s="929"/>
      <c r="P4" s="927" t="s">
        <v>254</v>
      </c>
      <c r="Q4" s="928"/>
      <c r="R4" s="928"/>
      <c r="S4" s="929"/>
      <c r="T4" s="927" t="s">
        <v>76</v>
      </c>
      <c r="U4" s="928"/>
      <c r="V4" s="928"/>
      <c r="W4" s="929"/>
      <c r="X4" s="991"/>
    </row>
    <row r="5" spans="1:24" ht="13.5" thickBot="1">
      <c r="A5" s="868" t="s">
        <v>43</v>
      </c>
      <c r="B5" s="868" t="s">
        <v>46</v>
      </c>
      <c r="C5" s="9" t="s">
        <v>2</v>
      </c>
      <c r="D5" s="983" t="s">
        <v>82</v>
      </c>
      <c r="E5" s="984"/>
      <c r="F5" s="984"/>
      <c r="G5" s="984"/>
      <c r="H5" s="984"/>
      <c r="I5" s="984"/>
      <c r="J5" s="984"/>
      <c r="K5" s="984"/>
      <c r="L5" s="984"/>
      <c r="M5" s="984"/>
      <c r="N5" s="984"/>
      <c r="O5" s="984"/>
      <c r="P5" s="984"/>
      <c r="Q5" s="984"/>
      <c r="R5" s="984"/>
      <c r="S5" s="984"/>
      <c r="T5" s="984"/>
      <c r="U5" s="984"/>
      <c r="V5" s="984"/>
      <c r="W5" s="985"/>
      <c r="X5" s="992"/>
    </row>
    <row r="6" spans="1:24" ht="13.5" thickBot="1">
      <c r="A6" s="885"/>
      <c r="B6" s="885"/>
      <c r="C6" s="10" t="s">
        <v>3</v>
      </c>
      <c r="D6" s="986"/>
      <c r="E6" s="987"/>
      <c r="F6" s="987"/>
      <c r="G6" s="987"/>
      <c r="H6" s="987"/>
      <c r="I6" s="987"/>
      <c r="J6" s="987"/>
      <c r="K6" s="987"/>
      <c r="L6" s="987"/>
      <c r="M6" s="987"/>
      <c r="N6" s="987"/>
      <c r="O6" s="987"/>
      <c r="P6" s="987"/>
      <c r="Q6" s="987"/>
      <c r="R6" s="987"/>
      <c r="S6" s="987"/>
      <c r="T6" s="987"/>
      <c r="U6" s="987"/>
      <c r="V6" s="987"/>
      <c r="W6" s="988"/>
      <c r="X6" s="992"/>
    </row>
    <row r="7" spans="1:24" ht="12.95" customHeight="1" thickBot="1">
      <c r="A7" s="885"/>
      <c r="B7" s="885"/>
      <c r="C7" s="1278" t="s">
        <v>170</v>
      </c>
      <c r="D7" s="989" t="s">
        <v>4</v>
      </c>
      <c r="E7" s="990"/>
      <c r="F7" s="990"/>
      <c r="G7" s="990"/>
      <c r="H7" s="990"/>
      <c r="I7" s="990"/>
      <c r="J7" s="990"/>
      <c r="K7" s="990"/>
      <c r="L7" s="990"/>
      <c r="M7" s="990"/>
      <c r="N7" s="990"/>
      <c r="O7" s="990"/>
      <c r="P7" s="990"/>
      <c r="Q7" s="990"/>
      <c r="R7" s="990"/>
      <c r="S7" s="990"/>
      <c r="T7" s="990"/>
      <c r="U7" s="990"/>
      <c r="V7" s="990"/>
      <c r="W7" s="990"/>
      <c r="X7" s="992"/>
    </row>
    <row r="8" spans="1:24" ht="12.95" customHeight="1" thickBot="1">
      <c r="A8" s="885"/>
      <c r="B8" s="869"/>
      <c r="C8" s="1279"/>
      <c r="D8" s="930" t="s">
        <v>85</v>
      </c>
      <c r="E8" s="931"/>
      <c r="F8" s="931"/>
      <c r="G8" s="931"/>
      <c r="H8" s="931"/>
      <c r="I8" s="931"/>
      <c r="J8" s="931"/>
      <c r="K8" s="931"/>
      <c r="L8" s="931"/>
      <c r="M8" s="931"/>
      <c r="N8" s="931"/>
      <c r="O8" s="931"/>
      <c r="P8" s="931"/>
      <c r="Q8" s="931"/>
      <c r="R8" s="931"/>
      <c r="S8" s="931"/>
      <c r="T8" s="931"/>
      <c r="U8" s="931"/>
      <c r="V8" s="931"/>
      <c r="W8" s="932"/>
      <c r="X8" s="992"/>
    </row>
    <row r="9" spans="1:24" ht="12.95" customHeight="1" thickBot="1">
      <c r="A9" s="885"/>
      <c r="B9" s="11" t="s">
        <v>52</v>
      </c>
      <c r="C9" s="12"/>
      <c r="D9" s="927" t="s">
        <v>79</v>
      </c>
      <c r="E9" s="928"/>
      <c r="F9" s="928"/>
      <c r="G9" s="929"/>
      <c r="H9" s="927" t="s">
        <v>80</v>
      </c>
      <c r="I9" s="928"/>
      <c r="J9" s="928"/>
      <c r="K9" s="929"/>
      <c r="L9" s="927" t="s">
        <v>81</v>
      </c>
      <c r="M9" s="928"/>
      <c r="N9" s="928"/>
      <c r="O9" s="929"/>
      <c r="P9" s="927" t="s">
        <v>254</v>
      </c>
      <c r="Q9" s="928"/>
      <c r="R9" s="928"/>
      <c r="S9" s="929"/>
      <c r="T9" s="927" t="s">
        <v>76</v>
      </c>
      <c r="U9" s="928"/>
      <c r="V9" s="928"/>
      <c r="W9" s="929"/>
      <c r="X9" s="992"/>
    </row>
    <row r="10" spans="1:24" ht="36" customHeight="1" thickBot="1">
      <c r="A10" s="885"/>
      <c r="B10" s="868" t="s">
        <v>45</v>
      </c>
      <c r="C10" s="13" t="s">
        <v>2</v>
      </c>
      <c r="D10" s="930" t="s">
        <v>86</v>
      </c>
      <c r="E10" s="931"/>
      <c r="F10" s="931"/>
      <c r="G10" s="931"/>
      <c r="H10" s="931"/>
      <c r="I10" s="931"/>
      <c r="J10" s="931"/>
      <c r="K10" s="931"/>
      <c r="L10" s="931"/>
      <c r="M10" s="931"/>
      <c r="N10" s="931"/>
      <c r="O10" s="931"/>
      <c r="P10" s="931"/>
      <c r="Q10" s="931"/>
      <c r="R10" s="931"/>
      <c r="S10" s="931"/>
      <c r="T10" s="931"/>
      <c r="U10" s="931"/>
      <c r="V10" s="931"/>
      <c r="W10" s="932"/>
      <c r="X10" s="992"/>
    </row>
    <row r="11" spans="1:24" ht="13.5" thickBot="1">
      <c r="A11" s="885"/>
      <c r="B11" s="885"/>
      <c r="C11" s="10" t="s">
        <v>3</v>
      </c>
      <c r="D11" s="986"/>
      <c r="E11" s="987"/>
      <c r="F11" s="987"/>
      <c r="G11" s="987"/>
      <c r="H11" s="987"/>
      <c r="I11" s="987"/>
      <c r="J11" s="987"/>
      <c r="K11" s="987"/>
      <c r="L11" s="987"/>
      <c r="M11" s="987"/>
      <c r="N11" s="987"/>
      <c r="O11" s="987"/>
      <c r="P11" s="987"/>
      <c r="Q11" s="987"/>
      <c r="R11" s="987"/>
      <c r="S11" s="987"/>
      <c r="T11" s="987"/>
      <c r="U11" s="987"/>
      <c r="V11" s="987"/>
      <c r="W11" s="988"/>
      <c r="X11" s="992"/>
    </row>
    <row r="12" spans="1:24" ht="12.95" customHeight="1" thickBot="1">
      <c r="A12" s="885"/>
      <c r="B12" s="885"/>
      <c r="C12" s="1258" t="s">
        <v>170</v>
      </c>
      <c r="D12" s="927" t="s">
        <v>4</v>
      </c>
      <c r="E12" s="928"/>
      <c r="F12" s="928"/>
      <c r="G12" s="928"/>
      <c r="H12" s="928"/>
      <c r="I12" s="928"/>
      <c r="J12" s="928"/>
      <c r="K12" s="928"/>
      <c r="L12" s="928"/>
      <c r="M12" s="928"/>
      <c r="N12" s="928"/>
      <c r="O12" s="928"/>
      <c r="P12" s="928"/>
      <c r="Q12" s="928"/>
      <c r="R12" s="928"/>
      <c r="S12" s="928"/>
      <c r="T12" s="928"/>
      <c r="U12" s="928"/>
      <c r="V12" s="928"/>
      <c r="W12" s="928"/>
      <c r="X12" s="992"/>
    </row>
    <row r="13" spans="1:24" ht="24" customHeight="1" thickBot="1">
      <c r="A13" s="885"/>
      <c r="B13" s="869"/>
      <c r="C13" s="1259"/>
      <c r="D13" s="930" t="s">
        <v>87</v>
      </c>
      <c r="E13" s="931"/>
      <c r="F13" s="931"/>
      <c r="G13" s="931"/>
      <c r="H13" s="931"/>
      <c r="I13" s="931"/>
      <c r="J13" s="931"/>
      <c r="K13" s="931"/>
      <c r="L13" s="931"/>
      <c r="M13" s="931"/>
      <c r="N13" s="931"/>
      <c r="O13" s="931"/>
      <c r="P13" s="931"/>
      <c r="Q13" s="931"/>
      <c r="R13" s="931"/>
      <c r="S13" s="931"/>
      <c r="T13" s="931"/>
      <c r="U13" s="931"/>
      <c r="V13" s="931"/>
      <c r="W13" s="932"/>
      <c r="X13" s="992"/>
    </row>
    <row r="14" spans="1:24" ht="12.95" customHeight="1" thickBot="1">
      <c r="A14" s="885"/>
      <c r="B14" s="11" t="s">
        <v>53</v>
      </c>
      <c r="C14" s="12"/>
      <c r="D14" s="927" t="s">
        <v>79</v>
      </c>
      <c r="E14" s="928"/>
      <c r="F14" s="928"/>
      <c r="G14" s="929"/>
      <c r="H14" s="927" t="s">
        <v>80</v>
      </c>
      <c r="I14" s="928"/>
      <c r="J14" s="928"/>
      <c r="K14" s="929"/>
      <c r="L14" s="927" t="s">
        <v>81</v>
      </c>
      <c r="M14" s="928"/>
      <c r="N14" s="928"/>
      <c r="O14" s="929"/>
      <c r="P14" s="927" t="s">
        <v>254</v>
      </c>
      <c r="Q14" s="928"/>
      <c r="R14" s="928"/>
      <c r="S14" s="929"/>
      <c r="T14" s="927" t="s">
        <v>76</v>
      </c>
      <c r="U14" s="928"/>
      <c r="V14" s="928"/>
      <c r="W14" s="929"/>
      <c r="X14" s="992"/>
    </row>
    <row r="15" spans="1:24" ht="12.95" customHeight="1" thickBot="1">
      <c r="A15" s="885"/>
      <c r="B15" s="868" t="s">
        <v>44</v>
      </c>
      <c r="C15" s="9" t="s">
        <v>2</v>
      </c>
      <c r="D15" s="930" t="s">
        <v>83</v>
      </c>
      <c r="E15" s="931"/>
      <c r="F15" s="931"/>
      <c r="G15" s="931"/>
      <c r="H15" s="931"/>
      <c r="I15" s="931"/>
      <c r="J15" s="931"/>
      <c r="K15" s="931"/>
      <c r="L15" s="931"/>
      <c r="M15" s="931"/>
      <c r="N15" s="931"/>
      <c r="O15" s="931"/>
      <c r="P15" s="931"/>
      <c r="Q15" s="931"/>
      <c r="R15" s="931"/>
      <c r="S15" s="931"/>
      <c r="T15" s="931"/>
      <c r="U15" s="931"/>
      <c r="V15" s="931"/>
      <c r="W15" s="932"/>
      <c r="X15" s="992"/>
    </row>
    <row r="16" spans="1:24" ht="13.5" thickBot="1">
      <c r="A16" s="885"/>
      <c r="B16" s="885"/>
      <c r="C16" s="10" t="s">
        <v>3</v>
      </c>
      <c r="D16" s="986"/>
      <c r="E16" s="987"/>
      <c r="F16" s="987"/>
      <c r="G16" s="987"/>
      <c r="H16" s="987"/>
      <c r="I16" s="987"/>
      <c r="J16" s="987"/>
      <c r="K16" s="987"/>
      <c r="L16" s="987"/>
      <c r="M16" s="987"/>
      <c r="N16" s="987"/>
      <c r="O16" s="987"/>
      <c r="P16" s="987"/>
      <c r="Q16" s="987"/>
      <c r="R16" s="987"/>
      <c r="S16" s="987"/>
      <c r="T16" s="987"/>
      <c r="U16" s="987"/>
      <c r="V16" s="987"/>
      <c r="W16" s="988"/>
      <c r="X16" s="992"/>
    </row>
    <row r="17" spans="1:24" ht="12.95" customHeight="1" thickBot="1">
      <c r="A17" s="885"/>
      <c r="B17" s="885"/>
      <c r="C17" s="1258" t="s">
        <v>170</v>
      </c>
      <c r="D17" s="989" t="s">
        <v>4</v>
      </c>
      <c r="E17" s="990"/>
      <c r="F17" s="990"/>
      <c r="G17" s="990"/>
      <c r="H17" s="990"/>
      <c r="I17" s="990"/>
      <c r="J17" s="990"/>
      <c r="K17" s="990"/>
      <c r="L17" s="990"/>
      <c r="M17" s="990"/>
      <c r="N17" s="990"/>
      <c r="O17" s="990"/>
      <c r="P17" s="990"/>
      <c r="Q17" s="990"/>
      <c r="R17" s="990"/>
      <c r="S17" s="990"/>
      <c r="T17" s="990"/>
      <c r="U17" s="990"/>
      <c r="V17" s="990"/>
      <c r="W17" s="990"/>
      <c r="X17" s="992"/>
    </row>
    <row r="18" spans="1:24" ht="12.95" customHeight="1" thickBot="1">
      <c r="A18" s="869"/>
      <c r="B18" s="869"/>
      <c r="C18" s="1259"/>
      <c r="D18" s="930" t="s">
        <v>84</v>
      </c>
      <c r="E18" s="931"/>
      <c r="F18" s="931"/>
      <c r="G18" s="931"/>
      <c r="H18" s="931"/>
      <c r="I18" s="931"/>
      <c r="J18" s="931"/>
      <c r="K18" s="931"/>
      <c r="L18" s="931"/>
      <c r="M18" s="931"/>
      <c r="N18" s="931"/>
      <c r="O18" s="931"/>
      <c r="P18" s="931"/>
      <c r="Q18" s="931"/>
      <c r="R18" s="931"/>
      <c r="S18" s="931"/>
      <c r="T18" s="931"/>
      <c r="U18" s="931"/>
      <c r="V18" s="931"/>
      <c r="W18" s="932"/>
      <c r="X18" s="993"/>
    </row>
    <row r="19" spans="1:24">
      <c r="A19" s="5"/>
      <c r="B19" s="5"/>
      <c r="C19" s="14"/>
      <c r="D19" s="5"/>
      <c r="E19" s="5"/>
      <c r="F19" s="5"/>
      <c r="G19" s="5"/>
      <c r="H19" s="5"/>
      <c r="I19" s="5"/>
      <c r="J19" s="5"/>
      <c r="K19" s="5"/>
      <c r="L19" s="5"/>
      <c r="M19" s="5"/>
      <c r="N19" s="5"/>
      <c r="O19" s="5"/>
      <c r="P19" s="5"/>
      <c r="Q19" s="5"/>
      <c r="R19" s="5"/>
      <c r="S19" s="5"/>
      <c r="T19" s="5"/>
      <c r="U19" s="5"/>
      <c r="V19" s="5"/>
      <c r="W19" s="5"/>
      <c r="X19" s="5"/>
    </row>
    <row r="20" spans="1:24" ht="13.5" thickBot="1">
      <c r="A20" s="5"/>
      <c r="B20" s="5"/>
      <c r="C20" s="6"/>
      <c r="D20" s="5"/>
      <c r="E20" s="5"/>
      <c r="F20" s="5"/>
      <c r="G20" s="5"/>
      <c r="H20" s="5"/>
      <c r="I20" s="5"/>
      <c r="J20" s="5"/>
      <c r="K20" s="5"/>
      <c r="L20" s="5"/>
      <c r="M20" s="5"/>
      <c r="N20" s="5"/>
      <c r="O20" s="5"/>
      <c r="P20" s="5"/>
      <c r="Q20" s="5"/>
      <c r="R20" s="5"/>
      <c r="S20" s="5"/>
      <c r="T20" s="5"/>
      <c r="U20" s="5"/>
      <c r="V20" s="5"/>
      <c r="W20" s="5"/>
      <c r="X20" s="5"/>
    </row>
    <row r="21" spans="1:24" ht="12.95" customHeight="1" thickBot="1">
      <c r="A21" s="15" t="s">
        <v>1</v>
      </c>
      <c r="B21" s="97" t="s">
        <v>24</v>
      </c>
      <c r="C21" s="8"/>
      <c r="D21" s="927" t="s">
        <v>78</v>
      </c>
      <c r="E21" s="928"/>
      <c r="F21" s="928"/>
      <c r="G21" s="929"/>
      <c r="H21" s="927" t="s">
        <v>77</v>
      </c>
      <c r="I21" s="928"/>
      <c r="J21" s="928"/>
      <c r="K21" s="929"/>
      <c r="L21" s="927" t="s">
        <v>81</v>
      </c>
      <c r="M21" s="928"/>
      <c r="N21" s="928"/>
      <c r="O21" s="929"/>
      <c r="P21" s="927" t="s">
        <v>254</v>
      </c>
      <c r="Q21" s="928"/>
      <c r="R21" s="928"/>
      <c r="S21" s="929"/>
      <c r="T21" s="927" t="s">
        <v>76</v>
      </c>
      <c r="U21" s="928"/>
      <c r="V21" s="928"/>
      <c r="W21" s="929"/>
      <c r="X21" s="16" t="s">
        <v>6</v>
      </c>
    </row>
    <row r="22" spans="1:24" ht="12.95" customHeight="1" thickBot="1">
      <c r="A22" s="868" t="s">
        <v>47</v>
      </c>
      <c r="B22" s="868" t="s">
        <v>48</v>
      </c>
      <c r="C22" s="9" t="s">
        <v>2</v>
      </c>
      <c r="D22" s="942">
        <v>2</v>
      </c>
      <c r="E22" s="943"/>
      <c r="F22" s="943"/>
      <c r="G22" s="944"/>
      <c r="H22" s="942">
        <v>2</v>
      </c>
      <c r="I22" s="943"/>
      <c r="J22" s="943"/>
      <c r="K22" s="944"/>
      <c r="L22" s="942">
        <v>3</v>
      </c>
      <c r="M22" s="943"/>
      <c r="N22" s="943"/>
      <c r="O22" s="944"/>
      <c r="P22" s="942">
        <v>2.8</v>
      </c>
      <c r="Q22" s="943"/>
      <c r="R22" s="943"/>
      <c r="S22" s="944"/>
      <c r="T22" s="942">
        <v>3</v>
      </c>
      <c r="U22" s="943"/>
      <c r="V22" s="943"/>
      <c r="W22" s="944"/>
      <c r="X22" s="873" t="s">
        <v>96</v>
      </c>
    </row>
    <row r="23" spans="1:24" ht="13.5" thickBot="1">
      <c r="A23" s="885"/>
      <c r="B23" s="885"/>
      <c r="C23" s="10" t="s">
        <v>3</v>
      </c>
      <c r="D23" s="957"/>
      <c r="E23" s="958"/>
      <c r="F23" s="958"/>
      <c r="G23" s="959"/>
      <c r="H23" s="963">
        <v>2</v>
      </c>
      <c r="I23" s="964"/>
      <c r="J23" s="964"/>
      <c r="K23" s="965"/>
      <c r="L23" s="963">
        <v>2.7</v>
      </c>
      <c r="M23" s="964"/>
      <c r="N23" s="964"/>
      <c r="O23" s="965"/>
      <c r="P23" s="963">
        <v>2.8</v>
      </c>
      <c r="Q23" s="964"/>
      <c r="R23" s="964"/>
      <c r="S23" s="965"/>
      <c r="T23" s="963">
        <v>0</v>
      </c>
      <c r="U23" s="964"/>
      <c r="V23" s="964"/>
      <c r="W23" s="965"/>
      <c r="X23" s="874"/>
    </row>
    <row r="24" spans="1:24" ht="12.95" customHeight="1" thickBot="1">
      <c r="A24" s="885"/>
      <c r="B24" s="885"/>
      <c r="C24" s="1258" t="s">
        <v>170</v>
      </c>
      <c r="D24" s="927" t="s">
        <v>4</v>
      </c>
      <c r="E24" s="928"/>
      <c r="F24" s="928"/>
      <c r="G24" s="928"/>
      <c r="H24" s="928"/>
      <c r="I24" s="928"/>
      <c r="J24" s="928"/>
      <c r="K24" s="928"/>
      <c r="L24" s="928"/>
      <c r="M24" s="928"/>
      <c r="N24" s="928"/>
      <c r="O24" s="928"/>
      <c r="P24" s="928"/>
      <c r="Q24" s="928"/>
      <c r="R24" s="928"/>
      <c r="S24" s="928"/>
      <c r="T24" s="928"/>
      <c r="U24" s="928"/>
      <c r="V24" s="928"/>
      <c r="W24" s="928"/>
      <c r="X24" s="874"/>
    </row>
    <row r="25" spans="1:24" ht="12.95" customHeight="1" thickBot="1">
      <c r="A25" s="885"/>
      <c r="B25" s="869"/>
      <c r="C25" s="1259"/>
      <c r="D25" s="930" t="s">
        <v>115</v>
      </c>
      <c r="E25" s="931"/>
      <c r="F25" s="931"/>
      <c r="G25" s="931"/>
      <c r="H25" s="931"/>
      <c r="I25" s="931"/>
      <c r="J25" s="931"/>
      <c r="K25" s="931"/>
      <c r="L25" s="931"/>
      <c r="M25" s="931"/>
      <c r="N25" s="931"/>
      <c r="O25" s="931"/>
      <c r="P25" s="931"/>
      <c r="Q25" s="931"/>
      <c r="R25" s="931"/>
      <c r="S25" s="931"/>
      <c r="T25" s="931"/>
      <c r="U25" s="931"/>
      <c r="V25" s="931"/>
      <c r="W25" s="932"/>
      <c r="X25" s="874"/>
    </row>
    <row r="26" spans="1:24" ht="12.95" customHeight="1" thickBot="1">
      <c r="A26" s="885"/>
      <c r="B26" s="11" t="s">
        <v>25</v>
      </c>
      <c r="C26" s="12"/>
      <c r="D26" s="927" t="s">
        <v>78</v>
      </c>
      <c r="E26" s="928"/>
      <c r="F26" s="928"/>
      <c r="G26" s="929"/>
      <c r="H26" s="927" t="s">
        <v>77</v>
      </c>
      <c r="I26" s="928"/>
      <c r="J26" s="928"/>
      <c r="K26" s="929"/>
      <c r="L26" s="927" t="s">
        <v>81</v>
      </c>
      <c r="M26" s="928"/>
      <c r="N26" s="928"/>
      <c r="O26" s="929"/>
      <c r="P26" s="927" t="s">
        <v>254</v>
      </c>
      <c r="Q26" s="928"/>
      <c r="R26" s="928"/>
      <c r="S26" s="929"/>
      <c r="T26" s="927" t="s">
        <v>76</v>
      </c>
      <c r="U26" s="928"/>
      <c r="V26" s="928"/>
      <c r="W26" s="929"/>
      <c r="X26" s="874"/>
    </row>
    <row r="27" spans="1:24" ht="13.5" thickBot="1">
      <c r="A27" s="885"/>
      <c r="B27" s="868" t="s">
        <v>49</v>
      </c>
      <c r="C27" s="9" t="s">
        <v>2</v>
      </c>
      <c r="D27" s="942">
        <v>1</v>
      </c>
      <c r="E27" s="943"/>
      <c r="F27" s="943"/>
      <c r="G27" s="944"/>
      <c r="H27" s="942">
        <v>1</v>
      </c>
      <c r="I27" s="943"/>
      <c r="J27" s="943"/>
      <c r="K27" s="944"/>
      <c r="L27" s="942">
        <v>1.75</v>
      </c>
      <c r="M27" s="943"/>
      <c r="N27" s="943"/>
      <c r="O27" s="944"/>
      <c r="P27" s="942">
        <v>2.25</v>
      </c>
      <c r="Q27" s="943"/>
      <c r="R27" s="943"/>
      <c r="S27" s="944"/>
      <c r="T27" s="1303">
        <v>2.2000000000000002</v>
      </c>
      <c r="U27" s="1304"/>
      <c r="V27" s="1304"/>
      <c r="W27" s="1305"/>
      <c r="X27" s="874"/>
    </row>
    <row r="28" spans="1:24" ht="13.5" thickBot="1">
      <c r="A28" s="885"/>
      <c r="B28" s="885"/>
      <c r="C28" s="10" t="s">
        <v>3</v>
      </c>
      <c r="D28" s="957"/>
      <c r="E28" s="958"/>
      <c r="F28" s="958"/>
      <c r="G28" s="959"/>
      <c r="H28" s="963">
        <v>1.5</v>
      </c>
      <c r="I28" s="964"/>
      <c r="J28" s="964"/>
      <c r="K28" s="965"/>
      <c r="L28" s="963">
        <v>2</v>
      </c>
      <c r="M28" s="964"/>
      <c r="N28" s="964"/>
      <c r="O28" s="965"/>
      <c r="P28" s="963">
        <v>2.5</v>
      </c>
      <c r="Q28" s="964"/>
      <c r="R28" s="964"/>
      <c r="S28" s="965"/>
      <c r="T28" s="963">
        <v>0</v>
      </c>
      <c r="U28" s="964"/>
      <c r="V28" s="964"/>
      <c r="W28" s="965"/>
      <c r="X28" s="874"/>
    </row>
    <row r="29" spans="1:24" ht="12.95" customHeight="1" thickBot="1">
      <c r="A29" s="885"/>
      <c r="B29" s="885"/>
      <c r="C29" s="1258" t="s">
        <v>170</v>
      </c>
      <c r="D29" s="927" t="s">
        <v>4</v>
      </c>
      <c r="E29" s="928"/>
      <c r="F29" s="928"/>
      <c r="G29" s="928"/>
      <c r="H29" s="928"/>
      <c r="I29" s="928"/>
      <c r="J29" s="928"/>
      <c r="K29" s="928"/>
      <c r="L29" s="928"/>
      <c r="M29" s="928"/>
      <c r="N29" s="928"/>
      <c r="O29" s="928"/>
      <c r="P29" s="928"/>
      <c r="Q29" s="928"/>
      <c r="R29" s="928"/>
      <c r="S29" s="928"/>
      <c r="T29" s="928"/>
      <c r="U29" s="928"/>
      <c r="V29" s="928"/>
      <c r="W29" s="928"/>
      <c r="X29" s="874"/>
    </row>
    <row r="30" spans="1:24" ht="12.95" customHeight="1" thickBot="1">
      <c r="A30" s="885"/>
      <c r="B30" s="869"/>
      <c r="C30" s="1259"/>
      <c r="D30" s="930" t="s">
        <v>116</v>
      </c>
      <c r="E30" s="931"/>
      <c r="F30" s="931"/>
      <c r="G30" s="931"/>
      <c r="H30" s="931"/>
      <c r="I30" s="931"/>
      <c r="J30" s="931"/>
      <c r="K30" s="931"/>
      <c r="L30" s="931"/>
      <c r="M30" s="931"/>
      <c r="N30" s="931"/>
      <c r="O30" s="931"/>
      <c r="P30" s="931"/>
      <c r="Q30" s="931"/>
      <c r="R30" s="931"/>
      <c r="S30" s="931"/>
      <c r="T30" s="931"/>
      <c r="U30" s="931"/>
      <c r="V30" s="931"/>
      <c r="W30" s="932"/>
      <c r="X30" s="874"/>
    </row>
    <row r="31" spans="1:24" ht="12.95" customHeight="1" thickBot="1">
      <c r="A31" s="885"/>
      <c r="B31" s="11" t="s">
        <v>37</v>
      </c>
      <c r="C31" s="12"/>
      <c r="D31" s="927" t="s">
        <v>78</v>
      </c>
      <c r="E31" s="928"/>
      <c r="F31" s="928"/>
      <c r="G31" s="929"/>
      <c r="H31" s="927" t="s">
        <v>77</v>
      </c>
      <c r="I31" s="928"/>
      <c r="J31" s="928"/>
      <c r="K31" s="929"/>
      <c r="L31" s="927" t="s">
        <v>81</v>
      </c>
      <c r="M31" s="928"/>
      <c r="N31" s="928"/>
      <c r="O31" s="929"/>
      <c r="P31" s="927" t="s">
        <v>254</v>
      </c>
      <c r="Q31" s="928"/>
      <c r="R31" s="928"/>
      <c r="S31" s="929"/>
      <c r="T31" s="927" t="s">
        <v>76</v>
      </c>
      <c r="U31" s="928"/>
      <c r="V31" s="928"/>
      <c r="W31" s="929"/>
      <c r="X31" s="874"/>
    </row>
    <row r="32" spans="1:24" ht="33" customHeight="1" thickBot="1">
      <c r="A32" s="885"/>
      <c r="B32" s="868" t="s">
        <v>148</v>
      </c>
      <c r="C32" s="9"/>
      <c r="D32" s="17" t="s">
        <v>106</v>
      </c>
      <c r="E32" s="17" t="s">
        <v>107</v>
      </c>
      <c r="F32" s="17" t="s">
        <v>108</v>
      </c>
      <c r="G32" s="17" t="s">
        <v>109</v>
      </c>
      <c r="H32" s="17" t="s">
        <v>106</v>
      </c>
      <c r="I32" s="17" t="s">
        <v>107</v>
      </c>
      <c r="J32" s="17" t="s">
        <v>108</v>
      </c>
      <c r="K32" s="17" t="s">
        <v>109</v>
      </c>
      <c r="L32" s="17" t="s">
        <v>106</v>
      </c>
      <c r="M32" s="17" t="s">
        <v>107</v>
      </c>
      <c r="N32" s="17" t="s">
        <v>108</v>
      </c>
      <c r="O32" s="17" t="s">
        <v>109</v>
      </c>
      <c r="P32" s="17" t="s">
        <v>106</v>
      </c>
      <c r="Q32" s="17" t="s">
        <v>107</v>
      </c>
      <c r="R32" s="17" t="s">
        <v>108</v>
      </c>
      <c r="S32" s="17" t="s">
        <v>109</v>
      </c>
      <c r="T32" s="17" t="s">
        <v>106</v>
      </c>
      <c r="U32" s="17" t="s">
        <v>107</v>
      </c>
      <c r="V32" s="17" t="s">
        <v>108</v>
      </c>
      <c r="W32" s="17" t="s">
        <v>109</v>
      </c>
      <c r="X32" s="874"/>
    </row>
    <row r="33" spans="1:24" ht="13.5" thickBot="1">
      <c r="A33" s="885"/>
      <c r="B33" s="885"/>
      <c r="C33" s="9" t="s">
        <v>2</v>
      </c>
      <c r="D33" s="18">
        <v>1</v>
      </c>
      <c r="E33" s="18">
        <v>1</v>
      </c>
      <c r="F33" s="18">
        <v>1</v>
      </c>
      <c r="G33" s="18">
        <v>12</v>
      </c>
      <c r="H33" s="18">
        <v>5</v>
      </c>
      <c r="I33" s="18">
        <v>9</v>
      </c>
      <c r="J33" s="18">
        <v>3</v>
      </c>
      <c r="K33" s="18">
        <v>13</v>
      </c>
      <c r="L33" s="18">
        <v>10</v>
      </c>
      <c r="M33" s="18">
        <v>13</v>
      </c>
      <c r="N33" s="18">
        <v>9</v>
      </c>
      <c r="O33" s="18">
        <v>14</v>
      </c>
      <c r="P33" s="18">
        <v>15</v>
      </c>
      <c r="Q33" s="18">
        <v>15</v>
      </c>
      <c r="R33" s="18">
        <v>9</v>
      </c>
      <c r="S33" s="18">
        <v>14</v>
      </c>
      <c r="T33" s="18">
        <v>15</v>
      </c>
      <c r="U33" s="18">
        <v>15</v>
      </c>
      <c r="V33" s="18">
        <v>12</v>
      </c>
      <c r="W33" s="18">
        <v>15</v>
      </c>
      <c r="X33" s="874"/>
    </row>
    <row r="34" spans="1:24" ht="13.5" thickBot="1">
      <c r="A34" s="885"/>
      <c r="B34" s="93" t="s">
        <v>145</v>
      </c>
      <c r="C34" s="10" t="s">
        <v>3</v>
      </c>
      <c r="D34" s="986"/>
      <c r="E34" s="987"/>
      <c r="F34" s="987"/>
      <c r="G34" s="988"/>
      <c r="H34" s="68">
        <v>7</v>
      </c>
      <c r="I34" s="68">
        <v>7</v>
      </c>
      <c r="J34" s="68">
        <v>4</v>
      </c>
      <c r="K34" s="68">
        <v>9</v>
      </c>
      <c r="L34" s="68">
        <v>13</v>
      </c>
      <c r="M34" s="68">
        <v>14</v>
      </c>
      <c r="N34" s="68">
        <v>7</v>
      </c>
      <c r="O34" s="68">
        <v>14</v>
      </c>
      <c r="P34" s="68">
        <v>15</v>
      </c>
      <c r="Q34" s="68">
        <v>15</v>
      </c>
      <c r="R34" s="68">
        <v>7</v>
      </c>
      <c r="S34" s="68">
        <v>15</v>
      </c>
      <c r="T34" s="68">
        <v>0</v>
      </c>
      <c r="U34" s="68">
        <v>0</v>
      </c>
      <c r="V34" s="68">
        <v>0</v>
      </c>
      <c r="W34" s="68">
        <v>0</v>
      </c>
      <c r="X34" s="874"/>
    </row>
    <row r="35" spans="1:24" ht="12.95" customHeight="1" thickBot="1">
      <c r="A35" s="885"/>
      <c r="B35" s="93" t="s">
        <v>147</v>
      </c>
      <c r="C35" s="1258" t="s">
        <v>170</v>
      </c>
      <c r="D35" s="927" t="s">
        <v>4</v>
      </c>
      <c r="E35" s="928"/>
      <c r="F35" s="928"/>
      <c r="G35" s="928"/>
      <c r="H35" s="928"/>
      <c r="I35" s="928"/>
      <c r="J35" s="928"/>
      <c r="K35" s="928"/>
      <c r="L35" s="928"/>
      <c r="M35" s="928"/>
      <c r="N35" s="928"/>
      <c r="O35" s="928"/>
      <c r="P35" s="928"/>
      <c r="Q35" s="928"/>
      <c r="R35" s="928"/>
      <c r="S35" s="928"/>
      <c r="T35" s="928"/>
      <c r="U35" s="928"/>
      <c r="V35" s="928"/>
      <c r="W35" s="928"/>
      <c r="X35" s="874"/>
    </row>
    <row r="36" spans="1:24" ht="12.95" customHeight="1" thickBot="1">
      <c r="A36" s="869"/>
      <c r="B36" s="94" t="s">
        <v>146</v>
      </c>
      <c r="C36" s="1259"/>
      <c r="D36" s="930" t="s">
        <v>117</v>
      </c>
      <c r="E36" s="931"/>
      <c r="F36" s="931"/>
      <c r="G36" s="931"/>
      <c r="H36" s="931"/>
      <c r="I36" s="931"/>
      <c r="J36" s="931"/>
      <c r="K36" s="931"/>
      <c r="L36" s="931"/>
      <c r="M36" s="931"/>
      <c r="N36" s="931"/>
      <c r="O36" s="931"/>
      <c r="P36" s="931"/>
      <c r="Q36" s="931"/>
      <c r="R36" s="931"/>
      <c r="S36" s="931"/>
      <c r="T36" s="931"/>
      <c r="U36" s="931"/>
      <c r="V36" s="931"/>
      <c r="W36" s="932"/>
      <c r="X36" s="875"/>
    </row>
    <row r="37" spans="1:24">
      <c r="A37" s="5"/>
      <c r="B37" s="5"/>
      <c r="C37" s="14"/>
      <c r="D37" s="5"/>
      <c r="E37" s="5"/>
      <c r="F37" s="5"/>
      <c r="G37" s="5"/>
      <c r="H37" s="5"/>
      <c r="I37" s="5"/>
      <c r="J37" s="5"/>
      <c r="K37" s="5"/>
      <c r="L37" s="5"/>
      <c r="M37" s="5"/>
      <c r="N37" s="5"/>
      <c r="O37" s="5"/>
      <c r="P37" s="5"/>
      <c r="Q37" s="5"/>
      <c r="R37" s="5"/>
      <c r="S37" s="5"/>
      <c r="T37" s="5"/>
      <c r="U37" s="5"/>
      <c r="V37" s="5"/>
      <c r="W37" s="5"/>
      <c r="X37" s="5"/>
    </row>
    <row r="38" spans="1:24" ht="13.5" thickBot="1">
      <c r="A38" s="5"/>
      <c r="B38" s="5"/>
      <c r="C38" s="6"/>
      <c r="D38" s="5"/>
      <c r="E38" s="5"/>
      <c r="F38" s="5"/>
      <c r="G38" s="5"/>
      <c r="H38" s="5"/>
      <c r="I38" s="5"/>
      <c r="J38" s="5"/>
      <c r="K38" s="5"/>
      <c r="L38" s="5"/>
      <c r="M38" s="5"/>
      <c r="N38" s="5"/>
      <c r="O38" s="5"/>
      <c r="P38" s="5"/>
      <c r="Q38" s="5"/>
      <c r="R38" s="5"/>
      <c r="S38" s="5"/>
      <c r="T38" s="5"/>
      <c r="U38" s="5"/>
      <c r="V38" s="5"/>
      <c r="W38" s="5"/>
      <c r="X38" s="5"/>
    </row>
    <row r="39" spans="1:24" ht="12.95" customHeight="1" thickBot="1">
      <c r="A39" s="7" t="s">
        <v>5</v>
      </c>
      <c r="B39" s="97" t="s">
        <v>22</v>
      </c>
      <c r="C39" s="8"/>
      <c r="D39" s="927" t="s">
        <v>78</v>
      </c>
      <c r="E39" s="928"/>
      <c r="F39" s="928"/>
      <c r="G39" s="929"/>
      <c r="H39" s="927" t="s">
        <v>77</v>
      </c>
      <c r="I39" s="928"/>
      <c r="J39" s="928"/>
      <c r="K39" s="929"/>
      <c r="L39" s="927" t="s">
        <v>81</v>
      </c>
      <c r="M39" s="928"/>
      <c r="N39" s="928"/>
      <c r="O39" s="929"/>
      <c r="P39" s="927" t="s">
        <v>254</v>
      </c>
      <c r="Q39" s="928"/>
      <c r="R39" s="928"/>
      <c r="S39" s="929"/>
      <c r="T39" s="927" t="s">
        <v>76</v>
      </c>
      <c r="U39" s="928"/>
      <c r="V39" s="928"/>
      <c r="W39" s="929"/>
      <c r="X39" s="19" t="s">
        <v>6</v>
      </c>
    </row>
    <row r="40" spans="1:24" ht="12.95" customHeight="1" thickBot="1">
      <c r="A40" s="868" t="s">
        <v>54</v>
      </c>
      <c r="B40" s="868" t="s">
        <v>55</v>
      </c>
      <c r="C40" s="9" t="s">
        <v>2</v>
      </c>
      <c r="D40" s="942">
        <v>2.6</v>
      </c>
      <c r="E40" s="943"/>
      <c r="F40" s="943"/>
      <c r="G40" s="944"/>
      <c r="H40" s="942">
        <v>3</v>
      </c>
      <c r="I40" s="943"/>
      <c r="J40" s="943"/>
      <c r="K40" s="944"/>
      <c r="L40" s="942">
        <v>3.5</v>
      </c>
      <c r="M40" s="943"/>
      <c r="N40" s="943"/>
      <c r="O40" s="944"/>
      <c r="P40" s="942">
        <v>3.2</v>
      </c>
      <c r="Q40" s="943"/>
      <c r="R40" s="943"/>
      <c r="S40" s="944"/>
      <c r="T40" s="1303">
        <v>3.5</v>
      </c>
      <c r="U40" s="1304"/>
      <c r="V40" s="1304"/>
      <c r="W40" s="1305"/>
      <c r="X40" s="879" t="s">
        <v>95</v>
      </c>
    </row>
    <row r="41" spans="1:24" ht="13.5" thickBot="1">
      <c r="A41" s="885"/>
      <c r="B41" s="885"/>
      <c r="C41" s="10" t="s">
        <v>3</v>
      </c>
      <c r="D41" s="957"/>
      <c r="E41" s="958"/>
      <c r="F41" s="958"/>
      <c r="G41" s="959"/>
      <c r="H41" s="963">
        <v>3</v>
      </c>
      <c r="I41" s="964"/>
      <c r="J41" s="964"/>
      <c r="K41" s="965"/>
      <c r="L41" s="963">
        <v>3</v>
      </c>
      <c r="M41" s="964"/>
      <c r="N41" s="964"/>
      <c r="O41" s="965"/>
      <c r="P41" s="963">
        <v>3.5</v>
      </c>
      <c r="Q41" s="964"/>
      <c r="R41" s="964"/>
      <c r="S41" s="965"/>
      <c r="T41" s="963">
        <v>0</v>
      </c>
      <c r="U41" s="964"/>
      <c r="V41" s="964"/>
      <c r="W41" s="965"/>
      <c r="X41" s="880"/>
    </row>
    <row r="42" spans="1:24" ht="12.95" customHeight="1" thickBot="1">
      <c r="A42" s="885"/>
      <c r="B42" s="885"/>
      <c r="C42" s="1258" t="s">
        <v>170</v>
      </c>
      <c r="D42" s="927" t="s">
        <v>4</v>
      </c>
      <c r="E42" s="928"/>
      <c r="F42" s="928"/>
      <c r="G42" s="928"/>
      <c r="H42" s="928"/>
      <c r="I42" s="928"/>
      <c r="J42" s="928"/>
      <c r="K42" s="928"/>
      <c r="L42" s="928"/>
      <c r="M42" s="928"/>
      <c r="N42" s="928"/>
      <c r="O42" s="928"/>
      <c r="P42" s="928"/>
      <c r="Q42" s="928"/>
      <c r="R42" s="928"/>
      <c r="S42" s="928"/>
      <c r="T42" s="928"/>
      <c r="U42" s="928"/>
      <c r="V42" s="928"/>
      <c r="W42" s="928"/>
      <c r="X42" s="880"/>
    </row>
    <row r="43" spans="1:24" ht="12.95" customHeight="1" thickBot="1">
      <c r="A43" s="885"/>
      <c r="B43" s="869"/>
      <c r="C43" s="1259"/>
      <c r="D43" s="930" t="s">
        <v>115</v>
      </c>
      <c r="E43" s="931"/>
      <c r="F43" s="931"/>
      <c r="G43" s="931"/>
      <c r="H43" s="931"/>
      <c r="I43" s="931"/>
      <c r="J43" s="931"/>
      <c r="K43" s="931"/>
      <c r="L43" s="931"/>
      <c r="M43" s="931"/>
      <c r="N43" s="931"/>
      <c r="O43" s="931"/>
      <c r="P43" s="931"/>
      <c r="Q43" s="931"/>
      <c r="R43" s="931"/>
      <c r="S43" s="931"/>
      <c r="T43" s="931"/>
      <c r="U43" s="931"/>
      <c r="V43" s="931"/>
      <c r="W43" s="932"/>
      <c r="X43" s="880"/>
    </row>
    <row r="44" spans="1:24" ht="12.95" customHeight="1" thickBot="1">
      <c r="A44" s="885"/>
      <c r="B44" s="11" t="s">
        <v>23</v>
      </c>
      <c r="C44" s="12"/>
      <c r="D44" s="927" t="s">
        <v>78</v>
      </c>
      <c r="E44" s="928"/>
      <c r="F44" s="928"/>
      <c r="G44" s="929"/>
      <c r="H44" s="927" t="s">
        <v>77</v>
      </c>
      <c r="I44" s="928"/>
      <c r="J44" s="928"/>
      <c r="K44" s="929"/>
      <c r="L44" s="927" t="s">
        <v>81</v>
      </c>
      <c r="M44" s="928"/>
      <c r="N44" s="928"/>
      <c r="O44" s="929"/>
      <c r="P44" s="927" t="s">
        <v>254</v>
      </c>
      <c r="Q44" s="928"/>
      <c r="R44" s="928"/>
      <c r="S44" s="929"/>
      <c r="T44" s="927" t="s">
        <v>76</v>
      </c>
      <c r="U44" s="928"/>
      <c r="V44" s="928"/>
      <c r="W44" s="929"/>
      <c r="X44" s="880"/>
    </row>
    <row r="45" spans="1:24" ht="13.5" thickBot="1">
      <c r="A45" s="885"/>
      <c r="B45" s="868" t="s">
        <v>56</v>
      </c>
      <c r="C45" s="9" t="s">
        <v>2</v>
      </c>
      <c r="D45" s="942">
        <v>2.2999999999999998</v>
      </c>
      <c r="E45" s="943"/>
      <c r="F45" s="943"/>
      <c r="G45" s="944"/>
      <c r="H45" s="942">
        <v>3</v>
      </c>
      <c r="I45" s="943"/>
      <c r="J45" s="943"/>
      <c r="K45" s="944"/>
      <c r="L45" s="942">
        <v>3.5</v>
      </c>
      <c r="M45" s="943"/>
      <c r="N45" s="943"/>
      <c r="O45" s="944"/>
      <c r="P45" s="942">
        <v>3.5</v>
      </c>
      <c r="Q45" s="943"/>
      <c r="R45" s="943"/>
      <c r="S45" s="944"/>
      <c r="T45" s="942">
        <v>4</v>
      </c>
      <c r="U45" s="943"/>
      <c r="V45" s="943"/>
      <c r="W45" s="944"/>
      <c r="X45" s="880"/>
    </row>
    <row r="46" spans="1:24" ht="13.5" thickBot="1">
      <c r="A46" s="885"/>
      <c r="B46" s="885"/>
      <c r="C46" s="10" t="s">
        <v>3</v>
      </c>
      <c r="D46" s="957"/>
      <c r="E46" s="958"/>
      <c r="F46" s="958"/>
      <c r="G46" s="959"/>
      <c r="H46" s="963">
        <v>3</v>
      </c>
      <c r="I46" s="964"/>
      <c r="J46" s="964"/>
      <c r="K46" s="965"/>
      <c r="L46" s="963">
        <v>2.9</v>
      </c>
      <c r="M46" s="964"/>
      <c r="N46" s="964"/>
      <c r="O46" s="965"/>
      <c r="P46" s="963">
        <v>3.1</v>
      </c>
      <c r="Q46" s="964"/>
      <c r="R46" s="964"/>
      <c r="S46" s="965"/>
      <c r="T46" s="963">
        <v>0</v>
      </c>
      <c r="U46" s="964"/>
      <c r="V46" s="964"/>
      <c r="W46" s="965"/>
      <c r="X46" s="880"/>
    </row>
    <row r="47" spans="1:24" ht="12.95" customHeight="1" thickBot="1">
      <c r="A47" s="885"/>
      <c r="B47" s="885"/>
      <c r="C47" s="1258" t="s">
        <v>170</v>
      </c>
      <c r="D47" s="927" t="s">
        <v>4</v>
      </c>
      <c r="E47" s="928"/>
      <c r="F47" s="928"/>
      <c r="G47" s="928"/>
      <c r="H47" s="928"/>
      <c r="I47" s="928"/>
      <c r="J47" s="928"/>
      <c r="K47" s="928"/>
      <c r="L47" s="928"/>
      <c r="M47" s="928"/>
      <c r="N47" s="928"/>
      <c r="O47" s="928"/>
      <c r="P47" s="928"/>
      <c r="Q47" s="928"/>
      <c r="R47" s="928"/>
      <c r="S47" s="928"/>
      <c r="T47" s="928"/>
      <c r="U47" s="928"/>
      <c r="V47" s="928"/>
      <c r="W47" s="928"/>
      <c r="X47" s="880"/>
    </row>
    <row r="48" spans="1:24" ht="12.95" customHeight="1" thickBot="1">
      <c r="A48" s="885"/>
      <c r="B48" s="869"/>
      <c r="C48" s="1259"/>
      <c r="D48" s="930" t="s">
        <v>115</v>
      </c>
      <c r="E48" s="931"/>
      <c r="F48" s="931"/>
      <c r="G48" s="931"/>
      <c r="H48" s="931"/>
      <c r="I48" s="931"/>
      <c r="J48" s="931"/>
      <c r="K48" s="931"/>
      <c r="L48" s="931"/>
      <c r="M48" s="931"/>
      <c r="N48" s="931"/>
      <c r="O48" s="931"/>
      <c r="P48" s="931"/>
      <c r="Q48" s="931"/>
      <c r="R48" s="931"/>
      <c r="S48" s="931"/>
      <c r="T48" s="931"/>
      <c r="U48" s="931"/>
      <c r="V48" s="931"/>
      <c r="W48" s="932"/>
      <c r="X48" s="880"/>
    </row>
    <row r="49" spans="1:24" ht="12.95" customHeight="1" thickBot="1">
      <c r="A49" s="885"/>
      <c r="B49" s="11" t="s">
        <v>38</v>
      </c>
      <c r="C49" s="12"/>
      <c r="D49" s="927" t="s">
        <v>78</v>
      </c>
      <c r="E49" s="928"/>
      <c r="F49" s="928"/>
      <c r="G49" s="929"/>
      <c r="H49" s="927" t="s">
        <v>77</v>
      </c>
      <c r="I49" s="928"/>
      <c r="J49" s="928"/>
      <c r="K49" s="929"/>
      <c r="L49" s="927" t="s">
        <v>81</v>
      </c>
      <c r="M49" s="928"/>
      <c r="N49" s="928"/>
      <c r="O49" s="929"/>
      <c r="P49" s="927" t="s">
        <v>254</v>
      </c>
      <c r="Q49" s="928"/>
      <c r="R49" s="928"/>
      <c r="S49" s="929"/>
      <c r="T49" s="927" t="s">
        <v>76</v>
      </c>
      <c r="U49" s="928"/>
      <c r="V49" s="928"/>
      <c r="W49" s="929"/>
      <c r="X49" s="880"/>
    </row>
    <row r="50" spans="1:24" ht="12.95" customHeight="1" thickBot="1">
      <c r="A50" s="885"/>
      <c r="B50" s="868" t="s">
        <v>155</v>
      </c>
      <c r="C50" s="9" t="s">
        <v>2</v>
      </c>
      <c r="D50" s="933" t="s">
        <v>171</v>
      </c>
      <c r="E50" s="934"/>
      <c r="F50" s="934"/>
      <c r="G50" s="935"/>
      <c r="H50" s="966" t="s">
        <v>572</v>
      </c>
      <c r="I50" s="967"/>
      <c r="J50" s="967"/>
      <c r="K50" s="968"/>
      <c r="L50" s="942">
        <v>2.5</v>
      </c>
      <c r="M50" s="943"/>
      <c r="N50" s="943"/>
      <c r="O50" s="944"/>
      <c r="P50" s="942">
        <v>2.75</v>
      </c>
      <c r="Q50" s="943"/>
      <c r="R50" s="943"/>
      <c r="S50" s="944"/>
      <c r="T50" s="1188">
        <v>3.3</v>
      </c>
      <c r="U50" s="1189"/>
      <c r="V50" s="1189"/>
      <c r="W50" s="1190"/>
      <c r="X50" s="880"/>
    </row>
    <row r="51" spans="1:24" ht="13.5" thickBot="1">
      <c r="A51" s="885"/>
      <c r="B51" s="885"/>
      <c r="C51" s="98" t="s">
        <v>3</v>
      </c>
      <c r="D51" s="933"/>
      <c r="E51" s="934"/>
      <c r="F51" s="934"/>
      <c r="G51" s="935"/>
      <c r="H51" s="933"/>
      <c r="I51" s="934"/>
      <c r="J51" s="934"/>
      <c r="K51" s="935"/>
      <c r="L51" s="1171"/>
      <c r="M51" s="1172"/>
      <c r="N51" s="1172"/>
      <c r="O51" s="1173"/>
      <c r="P51" s="963">
        <v>3.3</v>
      </c>
      <c r="Q51" s="964"/>
      <c r="R51" s="964"/>
      <c r="S51" s="965"/>
      <c r="T51" s="963">
        <v>0</v>
      </c>
      <c r="U51" s="964"/>
      <c r="V51" s="964"/>
      <c r="W51" s="965"/>
      <c r="X51" s="880"/>
    </row>
    <row r="52" spans="1:24" ht="12.95" customHeight="1" thickBot="1">
      <c r="A52" s="885"/>
      <c r="B52" s="885"/>
      <c r="C52" s="922" t="s">
        <v>170</v>
      </c>
      <c r="D52" s="927" t="s">
        <v>4</v>
      </c>
      <c r="E52" s="928"/>
      <c r="F52" s="928"/>
      <c r="G52" s="928"/>
      <c r="H52" s="928"/>
      <c r="I52" s="928"/>
      <c r="J52" s="928"/>
      <c r="K52" s="928"/>
      <c r="L52" s="928"/>
      <c r="M52" s="928"/>
      <c r="N52" s="928"/>
      <c r="O52" s="928"/>
      <c r="P52" s="928"/>
      <c r="Q52" s="928"/>
      <c r="R52" s="928"/>
      <c r="S52" s="928"/>
      <c r="T52" s="928"/>
      <c r="U52" s="928"/>
      <c r="V52" s="928"/>
      <c r="W52" s="928"/>
      <c r="X52" s="880"/>
    </row>
    <row r="53" spans="1:24" ht="12.95" customHeight="1" thickBot="1">
      <c r="A53" s="885"/>
      <c r="B53" s="869"/>
      <c r="C53" s="923"/>
      <c r="D53" s="930" t="s">
        <v>115</v>
      </c>
      <c r="E53" s="931"/>
      <c r="F53" s="931"/>
      <c r="G53" s="931"/>
      <c r="H53" s="931"/>
      <c r="I53" s="931"/>
      <c r="J53" s="931"/>
      <c r="K53" s="931"/>
      <c r="L53" s="931"/>
      <c r="M53" s="931"/>
      <c r="N53" s="931"/>
      <c r="O53" s="931"/>
      <c r="P53" s="931"/>
      <c r="Q53" s="931"/>
      <c r="R53" s="931"/>
      <c r="S53" s="931"/>
      <c r="T53" s="931"/>
      <c r="U53" s="931"/>
      <c r="V53" s="931"/>
      <c r="W53" s="932"/>
      <c r="X53" s="880"/>
    </row>
    <row r="54" spans="1:24" ht="12.95" customHeight="1" thickBot="1">
      <c r="A54" s="885"/>
      <c r="B54" s="11" t="s">
        <v>39</v>
      </c>
      <c r="C54" s="12"/>
      <c r="D54" s="927" t="s">
        <v>78</v>
      </c>
      <c r="E54" s="928"/>
      <c r="F54" s="928"/>
      <c r="G54" s="929"/>
      <c r="H54" s="927" t="s">
        <v>77</v>
      </c>
      <c r="I54" s="928"/>
      <c r="J54" s="928"/>
      <c r="K54" s="929"/>
      <c r="L54" s="927" t="s">
        <v>81</v>
      </c>
      <c r="M54" s="928"/>
      <c r="N54" s="928"/>
      <c r="O54" s="929"/>
      <c r="P54" s="927" t="s">
        <v>254</v>
      </c>
      <c r="Q54" s="928"/>
      <c r="R54" s="928"/>
      <c r="S54" s="929"/>
      <c r="T54" s="927" t="s">
        <v>76</v>
      </c>
      <c r="U54" s="928"/>
      <c r="V54" s="928"/>
      <c r="W54" s="929"/>
      <c r="X54" s="880"/>
    </row>
    <row r="55" spans="1:24" ht="44.1" customHeight="1" thickBot="1">
      <c r="A55" s="885"/>
      <c r="B55" s="978" t="s">
        <v>575</v>
      </c>
      <c r="C55" s="9"/>
      <c r="D55" s="20" t="s">
        <v>105</v>
      </c>
      <c r="E55" s="20" t="s">
        <v>579</v>
      </c>
      <c r="F55" s="20" t="s">
        <v>580</v>
      </c>
      <c r="G55" s="20" t="s">
        <v>581</v>
      </c>
      <c r="H55" s="20" t="s">
        <v>105</v>
      </c>
      <c r="I55" s="20" t="s">
        <v>579</v>
      </c>
      <c r="J55" s="20" t="s">
        <v>580</v>
      </c>
      <c r="K55" s="20" t="s">
        <v>581</v>
      </c>
      <c r="L55" s="20" t="s">
        <v>105</v>
      </c>
      <c r="M55" s="20" t="s">
        <v>579</v>
      </c>
      <c r="N55" s="20" t="s">
        <v>580</v>
      </c>
      <c r="O55" s="20" t="s">
        <v>581</v>
      </c>
      <c r="P55" s="20" t="s">
        <v>105</v>
      </c>
      <c r="Q55" s="20" t="s">
        <v>579</v>
      </c>
      <c r="R55" s="20" t="s">
        <v>580</v>
      </c>
      <c r="S55" s="20" t="s">
        <v>581</v>
      </c>
      <c r="T55" s="20" t="s">
        <v>105</v>
      </c>
      <c r="U55" s="20" t="s">
        <v>579</v>
      </c>
      <c r="V55" s="20" t="s">
        <v>580</v>
      </c>
      <c r="W55" s="20" t="s">
        <v>581</v>
      </c>
      <c r="X55" s="880"/>
    </row>
    <row r="56" spans="1:24" ht="13.5" thickBot="1">
      <c r="A56" s="885"/>
      <c r="B56" s="979"/>
      <c r="C56" s="9" t="s">
        <v>2</v>
      </c>
      <c r="D56" s="18">
        <v>0</v>
      </c>
      <c r="E56" s="18">
        <v>0</v>
      </c>
      <c r="F56" s="18">
        <v>0</v>
      </c>
      <c r="G56" s="18">
        <v>0</v>
      </c>
      <c r="H56" s="18">
        <v>2</v>
      </c>
      <c r="I56" s="18">
        <v>1</v>
      </c>
      <c r="J56" s="18">
        <v>0</v>
      </c>
      <c r="K56" s="18">
        <v>0</v>
      </c>
      <c r="L56" s="18">
        <v>4</v>
      </c>
      <c r="M56" s="18">
        <v>2</v>
      </c>
      <c r="N56" s="18">
        <v>1</v>
      </c>
      <c r="O56" s="18">
        <v>1</v>
      </c>
      <c r="P56" s="18">
        <v>7</v>
      </c>
      <c r="Q56" s="18">
        <v>3</v>
      </c>
      <c r="R56" s="18">
        <v>2</v>
      </c>
      <c r="S56" s="18">
        <v>2</v>
      </c>
      <c r="T56" s="782">
        <v>10</v>
      </c>
      <c r="U56" s="782">
        <v>7</v>
      </c>
      <c r="V56" s="18">
        <v>3</v>
      </c>
      <c r="W56" s="783">
        <v>1</v>
      </c>
      <c r="X56" s="880"/>
    </row>
    <row r="57" spans="1:24" ht="24" customHeight="1" thickBot="1">
      <c r="A57" s="885"/>
      <c r="B57" s="169" t="s">
        <v>159</v>
      </c>
      <c r="C57" s="10" t="s">
        <v>3</v>
      </c>
      <c r="D57" s="933" t="s">
        <v>271</v>
      </c>
      <c r="E57" s="934"/>
      <c r="F57" s="934"/>
      <c r="G57" s="935"/>
      <c r="H57" s="68">
        <v>5</v>
      </c>
      <c r="I57" s="68">
        <v>0</v>
      </c>
      <c r="J57" s="68">
        <v>0</v>
      </c>
      <c r="K57" s="68">
        <v>0</v>
      </c>
      <c r="L57" s="68">
        <v>5</v>
      </c>
      <c r="M57" s="68">
        <v>2</v>
      </c>
      <c r="N57" s="68">
        <v>1</v>
      </c>
      <c r="O57" s="68">
        <v>0</v>
      </c>
      <c r="P57" s="68">
        <v>11</v>
      </c>
      <c r="Q57" s="68">
        <v>5</v>
      </c>
      <c r="R57" s="68">
        <v>3</v>
      </c>
      <c r="S57" s="68">
        <v>3</v>
      </c>
      <c r="T57" s="68">
        <v>0</v>
      </c>
      <c r="U57" s="68">
        <v>0</v>
      </c>
      <c r="V57" s="68">
        <v>0</v>
      </c>
      <c r="W57" s="68">
        <v>0</v>
      </c>
      <c r="X57" s="880"/>
    </row>
    <row r="58" spans="1:24" ht="36.75" thickBot="1">
      <c r="A58" s="885"/>
      <c r="B58" s="169" t="s">
        <v>576</v>
      </c>
      <c r="C58" s="1258" t="s">
        <v>170</v>
      </c>
      <c r="D58" s="927" t="s">
        <v>4</v>
      </c>
      <c r="E58" s="928"/>
      <c r="F58" s="928"/>
      <c r="G58" s="928"/>
      <c r="H58" s="928"/>
      <c r="I58" s="928"/>
      <c r="J58" s="928"/>
      <c r="K58" s="928"/>
      <c r="L58" s="928"/>
      <c r="M58" s="928"/>
      <c r="N58" s="928"/>
      <c r="O58" s="928"/>
      <c r="P58" s="928"/>
      <c r="Q58" s="928"/>
      <c r="R58" s="928"/>
      <c r="S58" s="928"/>
      <c r="T58" s="928"/>
      <c r="U58" s="928"/>
      <c r="V58" s="928"/>
      <c r="W58" s="928"/>
      <c r="X58" s="880"/>
    </row>
    <row r="59" spans="1:24" ht="12.95" customHeight="1" thickBot="1">
      <c r="A59" s="869"/>
      <c r="B59" s="176" t="s">
        <v>577</v>
      </c>
      <c r="C59" s="1259"/>
      <c r="D59" s="930" t="s">
        <v>126</v>
      </c>
      <c r="E59" s="931"/>
      <c r="F59" s="931"/>
      <c r="G59" s="931"/>
      <c r="H59" s="931"/>
      <c r="I59" s="931"/>
      <c r="J59" s="931"/>
      <c r="K59" s="931"/>
      <c r="L59" s="931"/>
      <c r="M59" s="931"/>
      <c r="N59" s="931"/>
      <c r="O59" s="931"/>
      <c r="P59" s="931"/>
      <c r="Q59" s="931"/>
      <c r="R59" s="931"/>
      <c r="S59" s="931"/>
      <c r="T59" s="931"/>
      <c r="U59" s="931"/>
      <c r="V59" s="931"/>
      <c r="W59" s="932"/>
      <c r="X59" s="881"/>
    </row>
    <row r="60" spans="1:24" ht="12.95" customHeight="1" thickBot="1">
      <c r="A60" s="906" t="s">
        <v>7</v>
      </c>
      <c r="B60" s="908" t="s">
        <v>173</v>
      </c>
      <c r="C60" s="909"/>
      <c r="D60" s="908" t="s">
        <v>8</v>
      </c>
      <c r="E60" s="918"/>
      <c r="F60" s="918"/>
      <c r="G60" s="909"/>
      <c r="H60" s="908" t="s">
        <v>88</v>
      </c>
      <c r="I60" s="918"/>
      <c r="J60" s="918"/>
      <c r="K60" s="909"/>
      <c r="L60" s="908" t="s">
        <v>89</v>
      </c>
      <c r="M60" s="918"/>
      <c r="N60" s="918"/>
      <c r="O60" s="909"/>
      <c r="P60" s="908" t="s">
        <v>9</v>
      </c>
      <c r="Q60" s="918"/>
      <c r="R60" s="918"/>
      <c r="S60" s="909"/>
      <c r="T60" s="908" t="s">
        <v>174</v>
      </c>
      <c r="U60" s="918"/>
      <c r="V60" s="918"/>
      <c r="W60" s="918"/>
      <c r="X60" s="909"/>
    </row>
    <row r="61" spans="1:24" ht="13.5" thickBot="1">
      <c r="A61" s="907"/>
      <c r="B61" s="916">
        <f>SUM(B82+B103+B132+B164+B180)</f>
        <v>0</v>
      </c>
      <c r="C61" s="917"/>
      <c r="D61" s="1274" t="e">
        <f>SUM(D82+D103+D132+D164+D180)</f>
        <v>#VALUE!</v>
      </c>
      <c r="E61" s="994"/>
      <c r="F61" s="994">
        <f>SUM(F82+F103+F132+F164+F180)</f>
        <v>0</v>
      </c>
      <c r="G61" s="917"/>
      <c r="H61" s="1274">
        <f>SUM(H82+H103+H132+H164+H180)</f>
        <v>0</v>
      </c>
      <c r="I61" s="994"/>
      <c r="J61" s="994">
        <f>SUM(J82+J103+J132+J164+J180)</f>
        <v>0</v>
      </c>
      <c r="K61" s="917"/>
      <c r="L61" s="1274">
        <f>SUM(L82+L103+L132+L164+L180)</f>
        <v>0</v>
      </c>
      <c r="M61" s="994"/>
      <c r="N61" s="994">
        <f>SUM(N82+N103+N132+N164+N180)</f>
        <v>0</v>
      </c>
      <c r="O61" s="917"/>
      <c r="P61" s="916" t="e">
        <f>SUM(B61:O61)</f>
        <v>#VALUE!</v>
      </c>
      <c r="Q61" s="994"/>
      <c r="R61" s="994"/>
      <c r="S61" s="917"/>
      <c r="T61" s="916" t="e">
        <f>B61/P61%</f>
        <v>#VALUE!</v>
      </c>
      <c r="U61" s="994"/>
      <c r="V61" s="994"/>
      <c r="W61" s="994"/>
      <c r="X61" s="917"/>
    </row>
    <row r="62" spans="1:24" ht="13.5" thickBot="1">
      <c r="A62" s="906" t="s">
        <v>10</v>
      </c>
      <c r="B62" s="908" t="s">
        <v>175</v>
      </c>
      <c r="C62" s="909"/>
      <c r="D62" s="910"/>
      <c r="E62" s="911"/>
      <c r="F62" s="911"/>
      <c r="G62" s="911"/>
      <c r="H62" s="911"/>
      <c r="I62" s="911"/>
      <c r="J62" s="911"/>
      <c r="K62" s="911"/>
      <c r="L62" s="911"/>
      <c r="M62" s="911"/>
      <c r="N62" s="911"/>
      <c r="O62" s="911"/>
      <c r="P62" s="911"/>
      <c r="Q62" s="911"/>
      <c r="R62" s="911"/>
      <c r="S62" s="911"/>
      <c r="T62" s="911"/>
      <c r="U62" s="911"/>
      <c r="V62" s="911"/>
      <c r="W62" s="911"/>
      <c r="X62" s="912"/>
    </row>
    <row r="63" spans="1:24" ht="13.5" thickBot="1">
      <c r="A63" s="907"/>
      <c r="B63" s="916" t="e">
        <f>SUM(B84+B105+B134+B166+B182)</f>
        <v>#VALUE!</v>
      </c>
      <c r="C63" s="917"/>
      <c r="D63" s="913"/>
      <c r="E63" s="914"/>
      <c r="F63" s="914"/>
      <c r="G63" s="914"/>
      <c r="H63" s="914"/>
      <c r="I63" s="914"/>
      <c r="J63" s="914"/>
      <c r="K63" s="914"/>
      <c r="L63" s="914"/>
      <c r="M63" s="914"/>
      <c r="N63" s="914"/>
      <c r="O63" s="914"/>
      <c r="P63" s="914"/>
      <c r="Q63" s="914"/>
      <c r="R63" s="914"/>
      <c r="S63" s="914"/>
      <c r="T63" s="914"/>
      <c r="U63" s="914"/>
      <c r="V63" s="914"/>
      <c r="W63" s="914"/>
      <c r="X63" s="915"/>
    </row>
    <row r="64" spans="1:24">
      <c r="A64" s="5"/>
      <c r="B64" s="5"/>
      <c r="C64" s="6"/>
      <c r="D64" s="5"/>
      <c r="E64" s="5"/>
      <c r="F64" s="5"/>
      <c r="G64" s="5"/>
      <c r="H64" s="5"/>
      <c r="I64" s="5"/>
      <c r="J64" s="5"/>
      <c r="K64" s="5"/>
      <c r="L64" s="5"/>
      <c r="M64" s="5"/>
      <c r="N64" s="5"/>
      <c r="O64" s="5"/>
      <c r="P64" s="5"/>
      <c r="Q64" s="5"/>
      <c r="R64" s="5"/>
      <c r="S64" s="5"/>
      <c r="T64" s="5"/>
      <c r="U64" s="5"/>
      <c r="V64" s="5"/>
      <c r="W64" s="5"/>
      <c r="X64" s="5"/>
    </row>
    <row r="65" spans="1:24" ht="13.5" thickBot="1">
      <c r="A65" s="21"/>
      <c r="B65" s="21"/>
      <c r="C65" s="22"/>
      <c r="D65" s="21"/>
      <c r="E65" s="21"/>
      <c r="F65" s="21"/>
      <c r="G65" s="21"/>
      <c r="H65" s="21"/>
      <c r="I65" s="21"/>
      <c r="J65" s="21"/>
      <c r="K65" s="21"/>
      <c r="L65" s="21"/>
      <c r="M65" s="21"/>
      <c r="N65" s="21"/>
      <c r="O65" s="21"/>
      <c r="P65" s="21"/>
      <c r="Q65" s="21"/>
      <c r="R65" s="21"/>
      <c r="S65" s="21"/>
      <c r="T65" s="21"/>
      <c r="U65" s="21"/>
      <c r="V65" s="21"/>
      <c r="W65" s="21"/>
      <c r="X65" s="21"/>
    </row>
    <row r="66" spans="1:24" ht="12.95" customHeight="1" thickBot="1">
      <c r="A66" s="95" t="s">
        <v>11</v>
      </c>
      <c r="B66" s="97" t="s">
        <v>16</v>
      </c>
      <c r="C66" s="8"/>
      <c r="D66" s="927" t="s">
        <v>78</v>
      </c>
      <c r="E66" s="928"/>
      <c r="F66" s="928"/>
      <c r="G66" s="929"/>
      <c r="H66" s="927" t="s">
        <v>77</v>
      </c>
      <c r="I66" s="928"/>
      <c r="J66" s="928"/>
      <c r="K66" s="929"/>
      <c r="L66" s="927" t="s">
        <v>81</v>
      </c>
      <c r="M66" s="928"/>
      <c r="N66" s="928"/>
      <c r="O66" s="929"/>
      <c r="P66" s="927" t="s">
        <v>254</v>
      </c>
      <c r="Q66" s="928"/>
      <c r="R66" s="928"/>
      <c r="S66" s="929"/>
      <c r="T66" s="927" t="s">
        <v>76</v>
      </c>
      <c r="U66" s="928"/>
      <c r="V66" s="928"/>
      <c r="W66" s="929"/>
      <c r="X66" s="16" t="s">
        <v>12</v>
      </c>
    </row>
    <row r="67" spans="1:24" ht="12.95" customHeight="1" thickBot="1">
      <c r="A67" s="868" t="s">
        <v>57</v>
      </c>
      <c r="B67" s="868" t="s">
        <v>58</v>
      </c>
      <c r="C67" s="9" t="s">
        <v>2</v>
      </c>
      <c r="D67" s="942">
        <v>1</v>
      </c>
      <c r="E67" s="943"/>
      <c r="F67" s="943"/>
      <c r="G67" s="944"/>
      <c r="H67" s="942">
        <v>3</v>
      </c>
      <c r="I67" s="943"/>
      <c r="J67" s="943"/>
      <c r="K67" s="944"/>
      <c r="L67" s="942">
        <v>3</v>
      </c>
      <c r="M67" s="943"/>
      <c r="N67" s="943"/>
      <c r="O67" s="944"/>
      <c r="P67" s="942">
        <v>4</v>
      </c>
      <c r="Q67" s="943"/>
      <c r="R67" s="943"/>
      <c r="S67" s="944"/>
      <c r="T67" s="942">
        <v>4.5</v>
      </c>
      <c r="U67" s="943"/>
      <c r="V67" s="943"/>
      <c r="W67" s="944"/>
      <c r="X67" s="879" t="s">
        <v>97</v>
      </c>
    </row>
    <row r="68" spans="1:24" ht="13.5" thickBot="1">
      <c r="A68" s="885"/>
      <c r="B68" s="885"/>
      <c r="C68" s="10" t="s">
        <v>3</v>
      </c>
      <c r="D68" s="957"/>
      <c r="E68" s="958"/>
      <c r="F68" s="958"/>
      <c r="G68" s="959"/>
      <c r="H68" s="963">
        <v>3</v>
      </c>
      <c r="I68" s="964"/>
      <c r="J68" s="964"/>
      <c r="K68" s="965"/>
      <c r="L68" s="963">
        <v>3.1</v>
      </c>
      <c r="M68" s="964"/>
      <c r="N68" s="964"/>
      <c r="O68" s="965"/>
      <c r="P68" s="963">
        <v>3.9</v>
      </c>
      <c r="Q68" s="964"/>
      <c r="R68" s="964"/>
      <c r="S68" s="965"/>
      <c r="T68" s="963">
        <v>0</v>
      </c>
      <c r="U68" s="964"/>
      <c r="V68" s="964"/>
      <c r="W68" s="965"/>
      <c r="X68" s="880"/>
    </row>
    <row r="69" spans="1:24" ht="12.95" customHeight="1" thickBot="1">
      <c r="A69" s="885"/>
      <c r="B69" s="885"/>
      <c r="C69" s="1258" t="s">
        <v>170</v>
      </c>
      <c r="D69" s="927" t="s">
        <v>4</v>
      </c>
      <c r="E69" s="928"/>
      <c r="F69" s="928"/>
      <c r="G69" s="928"/>
      <c r="H69" s="928"/>
      <c r="I69" s="928"/>
      <c r="J69" s="928"/>
      <c r="K69" s="928"/>
      <c r="L69" s="928"/>
      <c r="M69" s="928"/>
      <c r="N69" s="928"/>
      <c r="O69" s="928"/>
      <c r="P69" s="928"/>
      <c r="Q69" s="928"/>
      <c r="R69" s="928"/>
      <c r="S69" s="928"/>
      <c r="T69" s="928"/>
      <c r="U69" s="928"/>
      <c r="V69" s="928"/>
      <c r="W69" s="929"/>
      <c r="X69" s="880"/>
    </row>
    <row r="70" spans="1:24" ht="12.95" customHeight="1" thickBot="1">
      <c r="A70" s="885"/>
      <c r="B70" s="869"/>
      <c r="C70" s="1259"/>
      <c r="D70" s="930" t="s">
        <v>272</v>
      </c>
      <c r="E70" s="931"/>
      <c r="F70" s="931"/>
      <c r="G70" s="931"/>
      <c r="H70" s="931"/>
      <c r="I70" s="931"/>
      <c r="J70" s="931"/>
      <c r="K70" s="931"/>
      <c r="L70" s="931"/>
      <c r="M70" s="931"/>
      <c r="N70" s="931"/>
      <c r="O70" s="931"/>
      <c r="P70" s="931"/>
      <c r="Q70" s="931"/>
      <c r="R70" s="931"/>
      <c r="S70" s="931"/>
      <c r="T70" s="931"/>
      <c r="U70" s="931"/>
      <c r="V70" s="931"/>
      <c r="W70" s="932"/>
      <c r="X70" s="880"/>
    </row>
    <row r="71" spans="1:24" ht="12.95" customHeight="1" thickBot="1">
      <c r="A71" s="885"/>
      <c r="B71" s="11" t="s">
        <v>17</v>
      </c>
      <c r="C71" s="12"/>
      <c r="D71" s="927" t="s">
        <v>78</v>
      </c>
      <c r="E71" s="928"/>
      <c r="F71" s="928"/>
      <c r="G71" s="929"/>
      <c r="H71" s="927" t="s">
        <v>77</v>
      </c>
      <c r="I71" s="928"/>
      <c r="J71" s="928"/>
      <c r="K71" s="929"/>
      <c r="L71" s="927" t="s">
        <v>81</v>
      </c>
      <c r="M71" s="928"/>
      <c r="N71" s="928"/>
      <c r="O71" s="929"/>
      <c r="P71" s="927" t="s">
        <v>254</v>
      </c>
      <c r="Q71" s="928"/>
      <c r="R71" s="928"/>
      <c r="S71" s="929"/>
      <c r="T71" s="927" t="s">
        <v>76</v>
      </c>
      <c r="U71" s="928"/>
      <c r="V71" s="928"/>
      <c r="W71" s="929"/>
      <c r="X71" s="880"/>
    </row>
    <row r="72" spans="1:24" ht="13.5" thickBot="1">
      <c r="A72" s="885"/>
      <c r="B72" s="868" t="s">
        <v>59</v>
      </c>
      <c r="C72" s="23" t="s">
        <v>2</v>
      </c>
      <c r="D72" s="942">
        <v>1</v>
      </c>
      <c r="E72" s="943"/>
      <c r="F72" s="943"/>
      <c r="G72" s="944"/>
      <c r="H72" s="942">
        <v>2</v>
      </c>
      <c r="I72" s="943"/>
      <c r="J72" s="943"/>
      <c r="K72" s="944"/>
      <c r="L72" s="942">
        <v>3</v>
      </c>
      <c r="M72" s="943"/>
      <c r="N72" s="943"/>
      <c r="O72" s="944"/>
      <c r="P72" s="942">
        <v>3.5</v>
      </c>
      <c r="Q72" s="943"/>
      <c r="R72" s="943"/>
      <c r="S72" s="944"/>
      <c r="T72" s="1303">
        <v>4.0999999999999996</v>
      </c>
      <c r="U72" s="1304"/>
      <c r="V72" s="1304"/>
      <c r="W72" s="1305"/>
      <c r="X72" s="880"/>
    </row>
    <row r="73" spans="1:24" ht="13.5" thickBot="1">
      <c r="A73" s="885"/>
      <c r="B73" s="885"/>
      <c r="C73" s="9" t="s">
        <v>3</v>
      </c>
      <c r="D73" s="957"/>
      <c r="E73" s="958"/>
      <c r="F73" s="958"/>
      <c r="G73" s="959"/>
      <c r="H73" s="963">
        <v>2</v>
      </c>
      <c r="I73" s="964"/>
      <c r="J73" s="964"/>
      <c r="K73" s="965"/>
      <c r="L73" s="963">
        <v>2.9</v>
      </c>
      <c r="M73" s="964"/>
      <c r="N73" s="964"/>
      <c r="O73" s="965"/>
      <c r="P73" s="963">
        <v>2.7</v>
      </c>
      <c r="Q73" s="964"/>
      <c r="R73" s="964"/>
      <c r="S73" s="965"/>
      <c r="T73" s="963">
        <v>0</v>
      </c>
      <c r="U73" s="964"/>
      <c r="V73" s="964"/>
      <c r="W73" s="965"/>
      <c r="X73" s="880"/>
    </row>
    <row r="74" spans="1:24" ht="12.95" customHeight="1" thickBot="1">
      <c r="A74" s="885"/>
      <c r="B74" s="885"/>
      <c r="C74" s="1258" t="s">
        <v>170</v>
      </c>
      <c r="D74" s="927" t="s">
        <v>4</v>
      </c>
      <c r="E74" s="928"/>
      <c r="F74" s="928"/>
      <c r="G74" s="928"/>
      <c r="H74" s="928"/>
      <c r="I74" s="928"/>
      <c r="J74" s="928"/>
      <c r="K74" s="928"/>
      <c r="L74" s="928"/>
      <c r="M74" s="928"/>
      <c r="N74" s="928"/>
      <c r="O74" s="928"/>
      <c r="P74" s="928"/>
      <c r="Q74" s="928"/>
      <c r="R74" s="928"/>
      <c r="S74" s="928"/>
      <c r="T74" s="928"/>
      <c r="U74" s="928"/>
      <c r="V74" s="928"/>
      <c r="W74" s="929"/>
      <c r="X74" s="880"/>
    </row>
    <row r="75" spans="1:24" ht="12.95" customHeight="1" thickBot="1">
      <c r="A75" s="885"/>
      <c r="B75" s="869"/>
      <c r="C75" s="1259"/>
      <c r="D75" s="930" t="s">
        <v>118</v>
      </c>
      <c r="E75" s="931"/>
      <c r="F75" s="931"/>
      <c r="G75" s="931"/>
      <c r="H75" s="931"/>
      <c r="I75" s="931"/>
      <c r="J75" s="931"/>
      <c r="K75" s="931"/>
      <c r="L75" s="931"/>
      <c r="M75" s="931"/>
      <c r="N75" s="931"/>
      <c r="O75" s="931"/>
      <c r="P75" s="931"/>
      <c r="Q75" s="931"/>
      <c r="R75" s="931"/>
      <c r="S75" s="931"/>
      <c r="T75" s="931"/>
      <c r="U75" s="931"/>
      <c r="V75" s="931"/>
      <c r="W75" s="932"/>
      <c r="X75" s="880"/>
    </row>
    <row r="76" spans="1:24" ht="12.95" customHeight="1" thickBot="1">
      <c r="A76" s="885"/>
      <c r="B76" s="11" t="s">
        <v>18</v>
      </c>
      <c r="C76" s="12"/>
      <c r="D76" s="927" t="s">
        <v>78</v>
      </c>
      <c r="E76" s="928"/>
      <c r="F76" s="928"/>
      <c r="G76" s="929"/>
      <c r="H76" s="927" t="s">
        <v>77</v>
      </c>
      <c r="I76" s="928"/>
      <c r="J76" s="928"/>
      <c r="K76" s="929"/>
      <c r="L76" s="927" t="s">
        <v>81</v>
      </c>
      <c r="M76" s="928"/>
      <c r="N76" s="928"/>
      <c r="O76" s="929"/>
      <c r="P76" s="927" t="s">
        <v>254</v>
      </c>
      <c r="Q76" s="928"/>
      <c r="R76" s="928"/>
      <c r="S76" s="929"/>
      <c r="T76" s="927" t="s">
        <v>76</v>
      </c>
      <c r="U76" s="928"/>
      <c r="V76" s="928"/>
      <c r="W76" s="929"/>
      <c r="X76" s="880"/>
    </row>
    <row r="77" spans="1:24" ht="13.5" thickBot="1">
      <c r="A77" s="885"/>
      <c r="B77" s="868" t="s">
        <v>60</v>
      </c>
      <c r="C77" s="23" t="s">
        <v>2</v>
      </c>
      <c r="D77" s="951">
        <v>0</v>
      </c>
      <c r="E77" s="969"/>
      <c r="F77" s="969"/>
      <c r="G77" s="952"/>
      <c r="H77" s="951">
        <v>0</v>
      </c>
      <c r="I77" s="969"/>
      <c r="J77" s="969"/>
      <c r="K77" s="952"/>
      <c r="L77" s="951">
        <v>1</v>
      </c>
      <c r="M77" s="969"/>
      <c r="N77" s="969"/>
      <c r="O77" s="952"/>
      <c r="P77" s="951">
        <v>3</v>
      </c>
      <c r="Q77" s="969"/>
      <c r="R77" s="969"/>
      <c r="S77" s="952"/>
      <c r="T77" s="1290">
        <v>10</v>
      </c>
      <c r="U77" s="1302"/>
      <c r="V77" s="1302"/>
      <c r="W77" s="1291"/>
      <c r="X77" s="880"/>
    </row>
    <row r="78" spans="1:24" ht="12.95" customHeight="1" thickBot="1">
      <c r="A78" s="869"/>
      <c r="B78" s="885"/>
      <c r="C78" s="9" t="s">
        <v>3</v>
      </c>
      <c r="D78" s="933" t="s">
        <v>172</v>
      </c>
      <c r="E78" s="934"/>
      <c r="F78" s="934"/>
      <c r="G78" s="935"/>
      <c r="H78" s="936" t="s">
        <v>249</v>
      </c>
      <c r="I78" s="937"/>
      <c r="J78" s="937"/>
      <c r="K78" s="938"/>
      <c r="L78" s="939">
        <v>1</v>
      </c>
      <c r="M78" s="970"/>
      <c r="N78" s="970"/>
      <c r="O78" s="953"/>
      <c r="P78" s="939">
        <v>6</v>
      </c>
      <c r="Q78" s="970"/>
      <c r="R78" s="970"/>
      <c r="S78" s="953"/>
      <c r="T78" s="939">
        <v>0</v>
      </c>
      <c r="U78" s="970"/>
      <c r="V78" s="970"/>
      <c r="W78" s="953"/>
      <c r="X78" s="881"/>
    </row>
    <row r="79" spans="1:24" ht="12.95" customHeight="1" thickBot="1">
      <c r="A79" s="96" t="s">
        <v>13</v>
      </c>
      <c r="B79" s="885"/>
      <c r="C79" s="1258" t="s">
        <v>170</v>
      </c>
      <c r="D79" s="927" t="s">
        <v>4</v>
      </c>
      <c r="E79" s="928"/>
      <c r="F79" s="928"/>
      <c r="G79" s="928"/>
      <c r="H79" s="928"/>
      <c r="I79" s="928"/>
      <c r="J79" s="928"/>
      <c r="K79" s="928"/>
      <c r="L79" s="928"/>
      <c r="M79" s="928"/>
      <c r="N79" s="928"/>
      <c r="O79" s="928"/>
      <c r="P79" s="928"/>
      <c r="Q79" s="928"/>
      <c r="R79" s="928"/>
      <c r="S79" s="928"/>
      <c r="T79" s="928"/>
      <c r="U79" s="928"/>
      <c r="V79" s="928"/>
      <c r="W79" s="929"/>
      <c r="X79" s="24" t="s">
        <v>14</v>
      </c>
    </row>
    <row r="80" spans="1:24" ht="12.95" customHeight="1" thickBot="1">
      <c r="A80" s="25" t="s">
        <v>75</v>
      </c>
      <c r="B80" s="869"/>
      <c r="C80" s="1259"/>
      <c r="D80" s="930" t="s">
        <v>119</v>
      </c>
      <c r="E80" s="931"/>
      <c r="F80" s="931"/>
      <c r="G80" s="931"/>
      <c r="H80" s="931"/>
      <c r="I80" s="931"/>
      <c r="J80" s="931"/>
      <c r="K80" s="931"/>
      <c r="L80" s="931"/>
      <c r="M80" s="931"/>
      <c r="N80" s="931"/>
      <c r="O80" s="931"/>
      <c r="P80" s="931"/>
      <c r="Q80" s="931"/>
      <c r="R80" s="931"/>
      <c r="S80" s="931"/>
      <c r="T80" s="931"/>
      <c r="U80" s="931"/>
      <c r="V80" s="931"/>
      <c r="W80" s="932"/>
      <c r="X80" s="18" t="s">
        <v>92</v>
      </c>
    </row>
    <row r="81" spans="1:24" ht="12.95" customHeight="1" thickBot="1">
      <c r="A81" s="906" t="s">
        <v>7</v>
      </c>
      <c r="B81" s="908" t="s">
        <v>173</v>
      </c>
      <c r="C81" s="909"/>
      <c r="D81" s="908" t="s">
        <v>8</v>
      </c>
      <c r="E81" s="918"/>
      <c r="F81" s="918"/>
      <c r="G81" s="909"/>
      <c r="H81" s="908" t="s">
        <v>88</v>
      </c>
      <c r="I81" s="918"/>
      <c r="J81" s="918"/>
      <c r="K81" s="909"/>
      <c r="L81" s="908" t="s">
        <v>89</v>
      </c>
      <c r="M81" s="918"/>
      <c r="N81" s="918"/>
      <c r="O81" s="909"/>
      <c r="P81" s="908" t="s">
        <v>9</v>
      </c>
      <c r="Q81" s="918"/>
      <c r="R81" s="918"/>
      <c r="S81" s="909"/>
      <c r="T81" s="908" t="s">
        <v>174</v>
      </c>
      <c r="U81" s="918"/>
      <c r="V81" s="918"/>
      <c r="W81" s="918"/>
      <c r="X81" s="909"/>
    </row>
    <row r="82" spans="1:24" ht="13.5" thickBot="1">
      <c r="A82" s="907"/>
      <c r="B82" s="1256"/>
      <c r="C82" s="1257"/>
      <c r="D82" s="916"/>
      <c r="E82" s="994"/>
      <c r="F82" s="994"/>
      <c r="G82" s="917"/>
      <c r="H82" s="916"/>
      <c r="I82" s="994"/>
      <c r="J82" s="994"/>
      <c r="K82" s="917"/>
      <c r="L82" s="916"/>
      <c r="M82" s="994"/>
      <c r="N82" s="994"/>
      <c r="O82" s="917"/>
      <c r="P82" s="916">
        <f>SUM(B82:O82)</f>
        <v>0</v>
      </c>
      <c r="Q82" s="994"/>
      <c r="R82" s="994"/>
      <c r="S82" s="917"/>
      <c r="T82" s="916" t="e">
        <f>B82/P82%</f>
        <v>#DIV/0!</v>
      </c>
      <c r="U82" s="994"/>
      <c r="V82" s="994"/>
      <c r="W82" s="994"/>
      <c r="X82" s="917"/>
    </row>
    <row r="83" spans="1:24" ht="13.5" thickBot="1">
      <c r="A83" s="906" t="s">
        <v>10</v>
      </c>
      <c r="B83" s="908" t="s">
        <v>175</v>
      </c>
      <c r="C83" s="909"/>
      <c r="D83" s="910"/>
      <c r="E83" s="911"/>
      <c r="F83" s="911"/>
      <c r="G83" s="911"/>
      <c r="H83" s="911"/>
      <c r="I83" s="911"/>
      <c r="J83" s="911"/>
      <c r="K83" s="911"/>
      <c r="L83" s="911"/>
      <c r="M83" s="911"/>
      <c r="N83" s="911"/>
      <c r="O83" s="911"/>
      <c r="P83" s="911"/>
      <c r="Q83" s="911"/>
      <c r="R83" s="911"/>
      <c r="S83" s="911"/>
      <c r="T83" s="911"/>
      <c r="U83" s="911"/>
      <c r="V83" s="911"/>
      <c r="W83" s="911"/>
      <c r="X83" s="912"/>
    </row>
    <row r="84" spans="1:24" ht="13.5" thickBot="1">
      <c r="A84" s="907"/>
      <c r="B84" s="1256"/>
      <c r="C84" s="1257"/>
      <c r="D84" s="913"/>
      <c r="E84" s="914"/>
      <c r="F84" s="914"/>
      <c r="G84" s="914"/>
      <c r="H84" s="914"/>
      <c r="I84" s="914"/>
      <c r="J84" s="914"/>
      <c r="K84" s="914"/>
      <c r="L84" s="914"/>
      <c r="M84" s="914"/>
      <c r="N84" s="914"/>
      <c r="O84" s="914"/>
      <c r="P84" s="914"/>
      <c r="Q84" s="914"/>
      <c r="R84" s="914"/>
      <c r="S84" s="914"/>
      <c r="T84" s="914"/>
      <c r="U84" s="914"/>
      <c r="V84" s="914"/>
      <c r="W84" s="914"/>
      <c r="X84" s="915"/>
    </row>
    <row r="85" spans="1:24">
      <c r="A85" s="5"/>
      <c r="B85" s="5"/>
      <c r="C85" s="6"/>
      <c r="D85" s="5"/>
      <c r="E85" s="5"/>
      <c r="F85" s="5"/>
      <c r="G85" s="5"/>
      <c r="H85" s="5"/>
      <c r="I85" s="5"/>
      <c r="J85" s="5"/>
      <c r="K85" s="5"/>
      <c r="L85" s="5"/>
      <c r="M85" s="5"/>
      <c r="N85" s="5"/>
      <c r="O85" s="5"/>
      <c r="P85" s="5"/>
      <c r="Q85" s="5"/>
      <c r="R85" s="5"/>
      <c r="S85" s="5"/>
      <c r="T85" s="5"/>
      <c r="U85" s="5"/>
      <c r="V85" s="5"/>
      <c r="W85" s="5"/>
      <c r="X85" s="5"/>
    </row>
    <row r="86" spans="1:24" ht="13.5" thickBot="1">
      <c r="A86" s="5"/>
      <c r="B86" s="5"/>
      <c r="C86" s="6"/>
      <c r="D86" s="5"/>
      <c r="E86" s="5"/>
      <c r="F86" s="5"/>
      <c r="G86" s="5"/>
      <c r="H86" s="5"/>
      <c r="I86" s="5"/>
      <c r="J86" s="5"/>
      <c r="K86" s="5"/>
      <c r="L86" s="5"/>
      <c r="M86" s="5"/>
      <c r="N86" s="5"/>
      <c r="O86" s="5"/>
      <c r="P86" s="5"/>
      <c r="Q86" s="5"/>
      <c r="R86" s="5"/>
      <c r="S86" s="5"/>
      <c r="T86" s="5"/>
      <c r="U86" s="5"/>
      <c r="V86" s="5"/>
      <c r="W86" s="5"/>
      <c r="X86" s="5"/>
    </row>
    <row r="87" spans="1:24" ht="12.95" customHeight="1" thickBot="1">
      <c r="A87" s="95" t="s">
        <v>15</v>
      </c>
      <c r="B87" s="97" t="s">
        <v>19</v>
      </c>
      <c r="C87" s="8"/>
      <c r="D87" s="927" t="s">
        <v>78</v>
      </c>
      <c r="E87" s="928"/>
      <c r="F87" s="928"/>
      <c r="G87" s="929"/>
      <c r="H87" s="927" t="s">
        <v>77</v>
      </c>
      <c r="I87" s="928"/>
      <c r="J87" s="928"/>
      <c r="K87" s="929"/>
      <c r="L87" s="927" t="s">
        <v>81</v>
      </c>
      <c r="M87" s="928"/>
      <c r="N87" s="928"/>
      <c r="O87" s="929"/>
      <c r="P87" s="927" t="s">
        <v>254</v>
      </c>
      <c r="Q87" s="928"/>
      <c r="R87" s="928"/>
      <c r="S87" s="929"/>
      <c r="T87" s="927" t="s">
        <v>76</v>
      </c>
      <c r="U87" s="928"/>
      <c r="V87" s="928"/>
      <c r="W87" s="929"/>
      <c r="X87" s="16" t="s">
        <v>6</v>
      </c>
    </row>
    <row r="88" spans="1:24" ht="12.95" customHeight="1" thickBot="1">
      <c r="A88" s="868" t="s">
        <v>61</v>
      </c>
      <c r="B88" s="868" t="s">
        <v>62</v>
      </c>
      <c r="C88" s="9" t="s">
        <v>2</v>
      </c>
      <c r="D88" s="942">
        <v>1</v>
      </c>
      <c r="E88" s="943"/>
      <c r="F88" s="943"/>
      <c r="G88" s="944"/>
      <c r="H88" s="942">
        <v>2</v>
      </c>
      <c r="I88" s="943"/>
      <c r="J88" s="943"/>
      <c r="K88" s="944"/>
      <c r="L88" s="942">
        <v>3</v>
      </c>
      <c r="M88" s="943"/>
      <c r="N88" s="943"/>
      <c r="O88" s="944"/>
      <c r="P88" s="942">
        <v>3.5</v>
      </c>
      <c r="Q88" s="943"/>
      <c r="R88" s="943"/>
      <c r="S88" s="944"/>
      <c r="T88" s="1303">
        <v>4.0999999999999996</v>
      </c>
      <c r="U88" s="1304"/>
      <c r="V88" s="1304"/>
      <c r="W88" s="1305"/>
      <c r="X88" s="879" t="s">
        <v>94</v>
      </c>
    </row>
    <row r="89" spans="1:24" ht="13.5" thickBot="1">
      <c r="A89" s="885"/>
      <c r="B89" s="885"/>
      <c r="C89" s="99" t="s">
        <v>3</v>
      </c>
      <c r="D89" s="957"/>
      <c r="E89" s="958"/>
      <c r="F89" s="958"/>
      <c r="G89" s="959"/>
      <c r="H89" s="963">
        <v>1</v>
      </c>
      <c r="I89" s="964"/>
      <c r="J89" s="964"/>
      <c r="K89" s="965"/>
      <c r="L89" s="963">
        <v>2.9</v>
      </c>
      <c r="M89" s="964"/>
      <c r="N89" s="964"/>
      <c r="O89" s="965"/>
      <c r="P89" s="963">
        <v>3.1</v>
      </c>
      <c r="Q89" s="964"/>
      <c r="R89" s="964"/>
      <c r="S89" s="965"/>
      <c r="T89" s="963">
        <v>0</v>
      </c>
      <c r="U89" s="964"/>
      <c r="V89" s="964"/>
      <c r="W89" s="965"/>
      <c r="X89" s="880"/>
    </row>
    <row r="90" spans="1:24" ht="12.95" customHeight="1" thickBot="1">
      <c r="A90" s="885"/>
      <c r="B90" s="885"/>
      <c r="C90" s="1258" t="s">
        <v>170</v>
      </c>
      <c r="D90" s="927" t="s">
        <v>4</v>
      </c>
      <c r="E90" s="928"/>
      <c r="F90" s="928"/>
      <c r="G90" s="928"/>
      <c r="H90" s="928"/>
      <c r="I90" s="928"/>
      <c r="J90" s="928"/>
      <c r="K90" s="928"/>
      <c r="L90" s="928"/>
      <c r="M90" s="928"/>
      <c r="N90" s="928"/>
      <c r="O90" s="928"/>
      <c r="P90" s="928"/>
      <c r="Q90" s="928"/>
      <c r="R90" s="928"/>
      <c r="S90" s="928"/>
      <c r="T90" s="928"/>
      <c r="U90" s="928"/>
      <c r="V90" s="928"/>
      <c r="W90" s="929"/>
      <c r="X90" s="880"/>
    </row>
    <row r="91" spans="1:24" ht="12.95" customHeight="1" thickBot="1">
      <c r="A91" s="885"/>
      <c r="B91" s="869"/>
      <c r="C91" s="1259"/>
      <c r="D91" s="930" t="s">
        <v>272</v>
      </c>
      <c r="E91" s="931"/>
      <c r="F91" s="931"/>
      <c r="G91" s="931"/>
      <c r="H91" s="931"/>
      <c r="I91" s="931"/>
      <c r="J91" s="931"/>
      <c r="K91" s="931"/>
      <c r="L91" s="931"/>
      <c r="M91" s="931"/>
      <c r="N91" s="931"/>
      <c r="O91" s="931"/>
      <c r="P91" s="931"/>
      <c r="Q91" s="931"/>
      <c r="R91" s="931"/>
      <c r="S91" s="931"/>
      <c r="T91" s="931"/>
      <c r="U91" s="931"/>
      <c r="V91" s="931"/>
      <c r="W91" s="932"/>
      <c r="X91" s="880"/>
    </row>
    <row r="92" spans="1:24" ht="12.95" customHeight="1" thickBot="1">
      <c r="A92" s="885"/>
      <c r="B92" s="11" t="s">
        <v>20</v>
      </c>
      <c r="C92" s="12"/>
      <c r="D92" s="927" t="s">
        <v>78</v>
      </c>
      <c r="E92" s="928"/>
      <c r="F92" s="928"/>
      <c r="G92" s="929"/>
      <c r="H92" s="927" t="s">
        <v>77</v>
      </c>
      <c r="I92" s="928"/>
      <c r="J92" s="928"/>
      <c r="K92" s="929"/>
      <c r="L92" s="927" t="s">
        <v>81</v>
      </c>
      <c r="M92" s="928"/>
      <c r="N92" s="928"/>
      <c r="O92" s="929"/>
      <c r="P92" s="927" t="s">
        <v>254</v>
      </c>
      <c r="Q92" s="928"/>
      <c r="R92" s="928"/>
      <c r="S92" s="929"/>
      <c r="T92" s="927" t="s">
        <v>76</v>
      </c>
      <c r="U92" s="928"/>
      <c r="V92" s="928"/>
      <c r="W92" s="929"/>
      <c r="X92" s="880"/>
    </row>
    <row r="93" spans="1:24" ht="13.5" thickBot="1">
      <c r="A93" s="885"/>
      <c r="B93" s="868" t="s">
        <v>59</v>
      </c>
      <c r="C93" s="23" t="s">
        <v>2</v>
      </c>
      <c r="D93" s="942">
        <v>1</v>
      </c>
      <c r="E93" s="943"/>
      <c r="F93" s="943"/>
      <c r="G93" s="944"/>
      <c r="H93" s="942">
        <v>2</v>
      </c>
      <c r="I93" s="943"/>
      <c r="J93" s="943"/>
      <c r="K93" s="944"/>
      <c r="L93" s="942">
        <v>3</v>
      </c>
      <c r="M93" s="943"/>
      <c r="N93" s="943"/>
      <c r="O93" s="944"/>
      <c r="P93" s="942">
        <v>3.5</v>
      </c>
      <c r="Q93" s="943"/>
      <c r="R93" s="943"/>
      <c r="S93" s="944"/>
      <c r="T93" s="1209">
        <v>4.3</v>
      </c>
      <c r="U93" s="1210"/>
      <c r="V93" s="1210"/>
      <c r="W93" s="1211"/>
      <c r="X93" s="880"/>
    </row>
    <row r="94" spans="1:24" ht="13.5" thickBot="1">
      <c r="A94" s="885"/>
      <c r="B94" s="885"/>
      <c r="C94" s="9" t="s">
        <v>3</v>
      </c>
      <c r="D94" s="957"/>
      <c r="E94" s="958"/>
      <c r="F94" s="958"/>
      <c r="G94" s="959"/>
      <c r="H94" s="963">
        <v>1</v>
      </c>
      <c r="I94" s="964"/>
      <c r="J94" s="964"/>
      <c r="K94" s="965"/>
      <c r="L94" s="963">
        <v>2.9</v>
      </c>
      <c r="M94" s="964"/>
      <c r="N94" s="964"/>
      <c r="O94" s="965"/>
      <c r="P94" s="963">
        <v>3.5</v>
      </c>
      <c r="Q94" s="964"/>
      <c r="R94" s="964"/>
      <c r="S94" s="965"/>
      <c r="T94" s="963">
        <v>0</v>
      </c>
      <c r="U94" s="964"/>
      <c r="V94" s="964"/>
      <c r="W94" s="965"/>
      <c r="X94" s="880"/>
    </row>
    <row r="95" spans="1:24" ht="12.95" customHeight="1" thickBot="1">
      <c r="A95" s="885"/>
      <c r="B95" s="885"/>
      <c r="C95" s="1258" t="s">
        <v>170</v>
      </c>
      <c r="D95" s="927" t="s">
        <v>4</v>
      </c>
      <c r="E95" s="928"/>
      <c r="F95" s="928"/>
      <c r="G95" s="928"/>
      <c r="H95" s="928"/>
      <c r="I95" s="928"/>
      <c r="J95" s="928"/>
      <c r="K95" s="928"/>
      <c r="L95" s="928"/>
      <c r="M95" s="928"/>
      <c r="N95" s="928"/>
      <c r="O95" s="928"/>
      <c r="P95" s="928"/>
      <c r="Q95" s="928"/>
      <c r="R95" s="928"/>
      <c r="S95" s="928"/>
      <c r="T95" s="928"/>
      <c r="U95" s="928"/>
      <c r="V95" s="928"/>
      <c r="W95" s="929"/>
      <c r="X95" s="880"/>
    </row>
    <row r="96" spans="1:24" ht="12.95" customHeight="1" thickBot="1">
      <c r="A96" s="885"/>
      <c r="B96" s="869"/>
      <c r="C96" s="1259"/>
      <c r="D96" s="930" t="s">
        <v>118</v>
      </c>
      <c r="E96" s="931"/>
      <c r="F96" s="931"/>
      <c r="G96" s="931"/>
      <c r="H96" s="931"/>
      <c r="I96" s="931"/>
      <c r="J96" s="931"/>
      <c r="K96" s="931"/>
      <c r="L96" s="931"/>
      <c r="M96" s="931"/>
      <c r="N96" s="931"/>
      <c r="O96" s="931"/>
      <c r="P96" s="931"/>
      <c r="Q96" s="931"/>
      <c r="R96" s="931"/>
      <c r="S96" s="931"/>
      <c r="T96" s="931"/>
      <c r="U96" s="931"/>
      <c r="V96" s="931"/>
      <c r="W96" s="932"/>
      <c r="X96" s="880"/>
    </row>
    <row r="97" spans="1:24" ht="12.95" customHeight="1" thickBot="1">
      <c r="A97" s="885"/>
      <c r="B97" s="11" t="s">
        <v>21</v>
      </c>
      <c r="C97" s="12"/>
      <c r="D97" s="927" t="s">
        <v>78</v>
      </c>
      <c r="E97" s="928"/>
      <c r="F97" s="928"/>
      <c r="G97" s="929"/>
      <c r="H97" s="927" t="s">
        <v>77</v>
      </c>
      <c r="I97" s="928"/>
      <c r="J97" s="928"/>
      <c r="K97" s="929"/>
      <c r="L97" s="927" t="s">
        <v>81</v>
      </c>
      <c r="M97" s="928"/>
      <c r="N97" s="928"/>
      <c r="O97" s="929"/>
      <c r="P97" s="927" t="s">
        <v>254</v>
      </c>
      <c r="Q97" s="928"/>
      <c r="R97" s="928"/>
      <c r="S97" s="929"/>
      <c r="T97" s="927" t="s">
        <v>76</v>
      </c>
      <c r="U97" s="928"/>
      <c r="V97" s="928"/>
      <c r="W97" s="929"/>
      <c r="X97" s="880"/>
    </row>
    <row r="98" spans="1:24" ht="13.5" thickBot="1">
      <c r="A98" s="885"/>
      <c r="B98" s="868" t="s">
        <v>63</v>
      </c>
      <c r="C98" s="26" t="s">
        <v>2</v>
      </c>
      <c r="D98" s="951">
        <v>0</v>
      </c>
      <c r="E98" s="969"/>
      <c r="F98" s="969"/>
      <c r="G98" s="952"/>
      <c r="H98" s="951">
        <v>1</v>
      </c>
      <c r="I98" s="969"/>
      <c r="J98" s="969"/>
      <c r="K98" s="952"/>
      <c r="L98" s="951">
        <v>2</v>
      </c>
      <c r="M98" s="969"/>
      <c r="N98" s="969"/>
      <c r="O98" s="952"/>
      <c r="P98" s="951">
        <v>3</v>
      </c>
      <c r="Q98" s="969"/>
      <c r="R98" s="969"/>
      <c r="S98" s="952"/>
      <c r="T98" s="1290">
        <v>12</v>
      </c>
      <c r="U98" s="1302"/>
      <c r="V98" s="1302"/>
      <c r="W98" s="1291"/>
      <c r="X98" s="880"/>
    </row>
    <row r="99" spans="1:24" ht="12.95" customHeight="1" thickBot="1">
      <c r="A99" s="869"/>
      <c r="B99" s="885"/>
      <c r="C99" s="9" t="s">
        <v>3</v>
      </c>
      <c r="D99" s="933" t="s">
        <v>172</v>
      </c>
      <c r="E99" s="934"/>
      <c r="F99" s="934"/>
      <c r="G99" s="935"/>
      <c r="H99" s="936" t="s">
        <v>249</v>
      </c>
      <c r="I99" s="937"/>
      <c r="J99" s="937"/>
      <c r="K99" s="938"/>
      <c r="L99" s="939">
        <v>2</v>
      </c>
      <c r="M99" s="970"/>
      <c r="N99" s="970"/>
      <c r="O99" s="953"/>
      <c r="P99" s="939">
        <v>7</v>
      </c>
      <c r="Q99" s="970"/>
      <c r="R99" s="970"/>
      <c r="S99" s="953"/>
      <c r="T99" s="939">
        <v>0</v>
      </c>
      <c r="U99" s="970"/>
      <c r="V99" s="970"/>
      <c r="W99" s="953"/>
      <c r="X99" s="881"/>
    </row>
    <row r="100" spans="1:24" ht="12.95" customHeight="1" thickBot="1">
      <c r="A100" s="96" t="s">
        <v>13</v>
      </c>
      <c r="B100" s="885"/>
      <c r="C100" s="1258" t="s">
        <v>170</v>
      </c>
      <c r="D100" s="927" t="s">
        <v>4</v>
      </c>
      <c r="E100" s="928"/>
      <c r="F100" s="928"/>
      <c r="G100" s="928"/>
      <c r="H100" s="928"/>
      <c r="I100" s="928"/>
      <c r="J100" s="928"/>
      <c r="K100" s="928"/>
      <c r="L100" s="928"/>
      <c r="M100" s="928"/>
      <c r="N100" s="928"/>
      <c r="O100" s="928"/>
      <c r="P100" s="928"/>
      <c r="Q100" s="928"/>
      <c r="R100" s="928"/>
      <c r="S100" s="928"/>
      <c r="T100" s="928"/>
      <c r="U100" s="928"/>
      <c r="V100" s="928"/>
      <c r="W100" s="929"/>
      <c r="X100" s="24" t="s">
        <v>14</v>
      </c>
    </row>
    <row r="101" spans="1:24" ht="12.95" customHeight="1" thickBot="1">
      <c r="A101" s="25" t="s">
        <v>75</v>
      </c>
      <c r="B101" s="869"/>
      <c r="C101" s="1259"/>
      <c r="D101" s="930" t="s">
        <v>119</v>
      </c>
      <c r="E101" s="931"/>
      <c r="F101" s="931"/>
      <c r="G101" s="931"/>
      <c r="H101" s="931"/>
      <c r="I101" s="931"/>
      <c r="J101" s="931"/>
      <c r="K101" s="931"/>
      <c r="L101" s="931"/>
      <c r="M101" s="931"/>
      <c r="N101" s="931"/>
      <c r="O101" s="931"/>
      <c r="P101" s="931"/>
      <c r="Q101" s="931"/>
      <c r="R101" s="931"/>
      <c r="S101" s="931"/>
      <c r="T101" s="931"/>
      <c r="U101" s="931"/>
      <c r="V101" s="931"/>
      <c r="W101" s="932"/>
      <c r="X101" s="18" t="s">
        <v>93</v>
      </c>
    </row>
    <row r="102" spans="1:24" ht="12.95" customHeight="1" thickBot="1">
      <c r="A102" s="906" t="s">
        <v>7</v>
      </c>
      <c r="B102" s="908" t="s">
        <v>173</v>
      </c>
      <c r="C102" s="909"/>
      <c r="D102" s="908" t="s">
        <v>8</v>
      </c>
      <c r="E102" s="918"/>
      <c r="F102" s="918"/>
      <c r="G102" s="909"/>
      <c r="H102" s="908" t="s">
        <v>88</v>
      </c>
      <c r="I102" s="918"/>
      <c r="J102" s="918"/>
      <c r="K102" s="909"/>
      <c r="L102" s="908" t="s">
        <v>89</v>
      </c>
      <c r="M102" s="918"/>
      <c r="N102" s="918"/>
      <c r="O102" s="909"/>
      <c r="P102" s="908" t="s">
        <v>9</v>
      </c>
      <c r="Q102" s="918"/>
      <c r="R102" s="918"/>
      <c r="S102" s="909"/>
      <c r="T102" s="908" t="s">
        <v>174</v>
      </c>
      <c r="U102" s="918"/>
      <c r="V102" s="918"/>
      <c r="W102" s="918"/>
      <c r="X102" s="909"/>
    </row>
    <row r="103" spans="1:24" ht="13.5" thickBot="1">
      <c r="A103" s="907"/>
      <c r="B103" s="1256"/>
      <c r="C103" s="1257"/>
      <c r="D103" s="916"/>
      <c r="E103" s="994"/>
      <c r="F103" s="994"/>
      <c r="G103" s="917"/>
      <c r="H103" s="916"/>
      <c r="I103" s="994"/>
      <c r="J103" s="994"/>
      <c r="K103" s="917"/>
      <c r="L103" s="916"/>
      <c r="M103" s="994"/>
      <c r="N103" s="994"/>
      <c r="O103" s="917"/>
      <c r="P103" s="916">
        <f>SUM(B103:O103)</f>
        <v>0</v>
      </c>
      <c r="Q103" s="994"/>
      <c r="R103" s="994"/>
      <c r="S103" s="917"/>
      <c r="T103" s="916" t="e">
        <f>B103/P103%</f>
        <v>#DIV/0!</v>
      </c>
      <c r="U103" s="994"/>
      <c r="V103" s="994"/>
      <c r="W103" s="994"/>
      <c r="X103" s="917"/>
    </row>
    <row r="104" spans="1:24" ht="13.5" thickBot="1">
      <c r="A104" s="906" t="s">
        <v>10</v>
      </c>
      <c r="B104" s="908" t="s">
        <v>175</v>
      </c>
      <c r="C104" s="909"/>
      <c r="D104" s="910"/>
      <c r="E104" s="911"/>
      <c r="F104" s="911"/>
      <c r="G104" s="911"/>
      <c r="H104" s="911"/>
      <c r="I104" s="911"/>
      <c r="J104" s="911"/>
      <c r="K104" s="911"/>
      <c r="L104" s="911"/>
      <c r="M104" s="911"/>
      <c r="N104" s="911"/>
      <c r="O104" s="911"/>
      <c r="P104" s="911"/>
      <c r="Q104" s="911"/>
      <c r="R104" s="911"/>
      <c r="S104" s="911"/>
      <c r="T104" s="911"/>
      <c r="U104" s="911"/>
      <c r="V104" s="911"/>
      <c r="W104" s="911"/>
      <c r="X104" s="912"/>
    </row>
    <row r="105" spans="1:24" ht="13.5" thickBot="1">
      <c r="A105" s="907"/>
      <c r="B105" s="1256"/>
      <c r="C105" s="1257"/>
      <c r="D105" s="913"/>
      <c r="E105" s="914"/>
      <c r="F105" s="914"/>
      <c r="G105" s="914"/>
      <c r="H105" s="914"/>
      <c r="I105" s="914"/>
      <c r="J105" s="914"/>
      <c r="K105" s="914"/>
      <c r="L105" s="914"/>
      <c r="M105" s="914"/>
      <c r="N105" s="914"/>
      <c r="O105" s="914"/>
      <c r="P105" s="914"/>
      <c r="Q105" s="914"/>
      <c r="R105" s="914"/>
      <c r="S105" s="914"/>
      <c r="T105" s="914"/>
      <c r="U105" s="914"/>
      <c r="V105" s="914"/>
      <c r="W105" s="914"/>
      <c r="X105" s="915"/>
    </row>
    <row r="107" spans="1:24" ht="13.5" thickBot="1"/>
    <row r="108" spans="1:24" ht="12.95" customHeight="1" thickBot="1">
      <c r="A108" s="95" t="s">
        <v>26</v>
      </c>
      <c r="B108" s="97" t="s">
        <v>29</v>
      </c>
      <c r="C108" s="8"/>
      <c r="D108" s="927" t="s">
        <v>78</v>
      </c>
      <c r="E108" s="928"/>
      <c r="F108" s="928"/>
      <c r="G108" s="929"/>
      <c r="H108" s="927" t="s">
        <v>77</v>
      </c>
      <c r="I108" s="928"/>
      <c r="J108" s="928"/>
      <c r="K108" s="929"/>
      <c r="L108" s="927" t="s">
        <v>81</v>
      </c>
      <c r="M108" s="928"/>
      <c r="N108" s="928"/>
      <c r="O108" s="929"/>
      <c r="P108" s="927" t="s">
        <v>254</v>
      </c>
      <c r="Q108" s="928"/>
      <c r="R108" s="928"/>
      <c r="S108" s="929"/>
      <c r="T108" s="927" t="s">
        <v>76</v>
      </c>
      <c r="U108" s="928"/>
      <c r="V108" s="928"/>
      <c r="W108" s="929"/>
      <c r="X108" s="16" t="s">
        <v>12</v>
      </c>
    </row>
    <row r="109" spans="1:24" ht="56.1" customHeight="1" thickBot="1">
      <c r="A109" s="868" t="s">
        <v>64</v>
      </c>
      <c r="B109" s="868" t="s">
        <v>156</v>
      </c>
      <c r="C109" s="9"/>
      <c r="D109" s="17" t="s">
        <v>101</v>
      </c>
      <c r="E109" s="17" t="s">
        <v>104</v>
      </c>
      <c r="F109" s="17" t="s">
        <v>102</v>
      </c>
      <c r="G109" s="17" t="s">
        <v>103</v>
      </c>
      <c r="H109" s="17" t="s">
        <v>101</v>
      </c>
      <c r="I109" s="17" t="s">
        <v>104</v>
      </c>
      <c r="J109" s="17" t="s">
        <v>102</v>
      </c>
      <c r="K109" s="17" t="s">
        <v>103</v>
      </c>
      <c r="L109" s="17" t="s">
        <v>101</v>
      </c>
      <c r="M109" s="17" t="s">
        <v>104</v>
      </c>
      <c r="N109" s="17" t="s">
        <v>102</v>
      </c>
      <c r="O109" s="17" t="s">
        <v>103</v>
      </c>
      <c r="P109" s="17" t="s">
        <v>101</v>
      </c>
      <c r="Q109" s="17" t="s">
        <v>104</v>
      </c>
      <c r="R109" s="17" t="s">
        <v>102</v>
      </c>
      <c r="S109" s="17" t="s">
        <v>103</v>
      </c>
      <c r="T109" s="17" t="s">
        <v>101</v>
      </c>
      <c r="U109" s="17" t="s">
        <v>104</v>
      </c>
      <c r="V109" s="17" t="s">
        <v>102</v>
      </c>
      <c r="W109" s="17" t="s">
        <v>103</v>
      </c>
      <c r="X109" s="879" t="s">
        <v>98</v>
      </c>
    </row>
    <row r="110" spans="1:24" ht="13.5" thickBot="1">
      <c r="A110" s="885"/>
      <c r="B110" s="885"/>
      <c r="C110" s="9" t="s">
        <v>2</v>
      </c>
      <c r="D110" s="18">
        <v>0</v>
      </c>
      <c r="E110" s="18">
        <v>0</v>
      </c>
      <c r="F110" s="18">
        <v>0</v>
      </c>
      <c r="G110" s="18">
        <v>0</v>
      </c>
      <c r="H110" s="18">
        <v>3</v>
      </c>
      <c r="I110" s="18">
        <v>2</v>
      </c>
      <c r="J110" s="18">
        <v>1</v>
      </c>
      <c r="K110" s="18">
        <v>1</v>
      </c>
      <c r="L110" s="18">
        <v>5</v>
      </c>
      <c r="M110" s="18">
        <v>4</v>
      </c>
      <c r="N110" s="18">
        <v>3</v>
      </c>
      <c r="O110" s="18">
        <v>3</v>
      </c>
      <c r="P110" s="18">
        <v>6</v>
      </c>
      <c r="Q110" s="18">
        <v>5</v>
      </c>
      <c r="R110" s="18">
        <v>4</v>
      </c>
      <c r="S110" s="18">
        <v>4</v>
      </c>
      <c r="T110" s="783">
        <v>7</v>
      </c>
      <c r="U110" s="18">
        <v>7</v>
      </c>
      <c r="V110" s="782">
        <v>7</v>
      </c>
      <c r="W110" s="823">
        <v>3</v>
      </c>
      <c r="X110" s="880"/>
    </row>
    <row r="111" spans="1:24" ht="12.95" customHeight="1" thickBot="1">
      <c r="A111" s="885"/>
      <c r="B111" s="93" t="s">
        <v>151</v>
      </c>
      <c r="C111" s="10" t="s">
        <v>3</v>
      </c>
      <c r="D111" s="1265" t="s">
        <v>258</v>
      </c>
      <c r="E111" s="1266"/>
      <c r="F111" s="1266"/>
      <c r="G111" s="1267"/>
      <c r="H111" s="68">
        <v>3</v>
      </c>
      <c r="I111" s="68">
        <v>1</v>
      </c>
      <c r="J111" s="68">
        <v>1</v>
      </c>
      <c r="K111" s="68">
        <v>1</v>
      </c>
      <c r="L111" s="68">
        <v>5</v>
      </c>
      <c r="M111" s="68">
        <v>5</v>
      </c>
      <c r="N111" s="68">
        <v>3</v>
      </c>
      <c r="O111" s="68">
        <v>3</v>
      </c>
      <c r="P111" s="68">
        <v>7</v>
      </c>
      <c r="Q111" s="68">
        <v>5</v>
      </c>
      <c r="R111" s="68">
        <v>4</v>
      </c>
      <c r="S111" s="68">
        <v>0</v>
      </c>
      <c r="T111" s="68">
        <v>0</v>
      </c>
      <c r="U111" s="68">
        <v>0</v>
      </c>
      <c r="V111" s="68">
        <v>0</v>
      </c>
      <c r="W111" s="68">
        <v>0</v>
      </c>
      <c r="X111" s="880"/>
    </row>
    <row r="112" spans="1:24" ht="12.95" customHeight="1" thickBot="1">
      <c r="A112" s="885"/>
      <c r="B112" s="93" t="s">
        <v>150</v>
      </c>
      <c r="C112" s="1258" t="s">
        <v>170</v>
      </c>
      <c r="D112" s="927" t="s">
        <v>4</v>
      </c>
      <c r="E112" s="928"/>
      <c r="F112" s="928"/>
      <c r="G112" s="928"/>
      <c r="H112" s="928"/>
      <c r="I112" s="928"/>
      <c r="J112" s="928"/>
      <c r="K112" s="928"/>
      <c r="L112" s="928"/>
      <c r="M112" s="928"/>
      <c r="N112" s="928"/>
      <c r="O112" s="928"/>
      <c r="P112" s="928"/>
      <c r="Q112" s="928"/>
      <c r="R112" s="928"/>
      <c r="S112" s="928"/>
      <c r="T112" s="928"/>
      <c r="U112" s="928"/>
      <c r="V112" s="928"/>
      <c r="W112" s="929"/>
      <c r="X112" s="880"/>
    </row>
    <row r="113" spans="1:24" ht="12.95" customHeight="1" thickBot="1">
      <c r="A113" s="885"/>
      <c r="B113" s="94" t="s">
        <v>149</v>
      </c>
      <c r="C113" s="1259"/>
      <c r="D113" s="930" t="s">
        <v>420</v>
      </c>
      <c r="E113" s="931"/>
      <c r="F113" s="931"/>
      <c r="G113" s="931"/>
      <c r="H113" s="931"/>
      <c r="I113" s="931"/>
      <c r="J113" s="931"/>
      <c r="K113" s="931"/>
      <c r="L113" s="931"/>
      <c r="M113" s="931"/>
      <c r="N113" s="931"/>
      <c r="O113" s="931"/>
      <c r="P113" s="931"/>
      <c r="Q113" s="931"/>
      <c r="R113" s="931"/>
      <c r="S113" s="931"/>
      <c r="T113" s="931"/>
      <c r="U113" s="931"/>
      <c r="V113" s="931"/>
      <c r="W113" s="932"/>
      <c r="X113" s="880"/>
    </row>
    <row r="114" spans="1:24" ht="12.95" customHeight="1" thickBot="1">
      <c r="A114" s="885"/>
      <c r="B114" s="11" t="s">
        <v>30</v>
      </c>
      <c r="C114" s="12"/>
      <c r="D114" s="927" t="s">
        <v>78</v>
      </c>
      <c r="E114" s="928"/>
      <c r="F114" s="928"/>
      <c r="G114" s="929"/>
      <c r="H114" s="927" t="s">
        <v>77</v>
      </c>
      <c r="I114" s="928"/>
      <c r="J114" s="928"/>
      <c r="K114" s="929"/>
      <c r="L114" s="927" t="s">
        <v>81</v>
      </c>
      <c r="M114" s="928"/>
      <c r="N114" s="928"/>
      <c r="O114" s="929"/>
      <c r="P114" s="927" t="s">
        <v>254</v>
      </c>
      <c r="Q114" s="928"/>
      <c r="R114" s="928"/>
      <c r="S114" s="929"/>
      <c r="T114" s="927" t="s">
        <v>76</v>
      </c>
      <c r="U114" s="928"/>
      <c r="V114" s="928"/>
      <c r="W114" s="929"/>
      <c r="X114" s="880"/>
    </row>
    <row r="115" spans="1:24" ht="44.1" customHeight="1" thickBot="1">
      <c r="A115" s="885"/>
      <c r="B115" s="868" t="s">
        <v>157</v>
      </c>
      <c r="C115" s="23"/>
      <c r="D115" s="17" t="s">
        <v>101</v>
      </c>
      <c r="E115" s="17" t="s">
        <v>104</v>
      </c>
      <c r="F115" s="17" t="s">
        <v>102</v>
      </c>
      <c r="G115" s="17" t="s">
        <v>103</v>
      </c>
      <c r="H115" s="17" t="s">
        <v>101</v>
      </c>
      <c r="I115" s="17" t="s">
        <v>104</v>
      </c>
      <c r="J115" s="17" t="s">
        <v>102</v>
      </c>
      <c r="K115" s="17" t="s">
        <v>103</v>
      </c>
      <c r="L115" s="17" t="s">
        <v>101</v>
      </c>
      <c r="M115" s="17" t="s">
        <v>104</v>
      </c>
      <c r="N115" s="17" t="s">
        <v>102</v>
      </c>
      <c r="O115" s="17" t="s">
        <v>103</v>
      </c>
      <c r="P115" s="17" t="s">
        <v>101</v>
      </c>
      <c r="Q115" s="17" t="s">
        <v>104</v>
      </c>
      <c r="R115" s="17" t="s">
        <v>102</v>
      </c>
      <c r="S115" s="17" t="s">
        <v>103</v>
      </c>
      <c r="T115" s="17" t="s">
        <v>101</v>
      </c>
      <c r="U115" s="17" t="s">
        <v>104</v>
      </c>
      <c r="V115" s="17" t="s">
        <v>102</v>
      </c>
      <c r="W115" s="17" t="s">
        <v>103</v>
      </c>
      <c r="X115" s="880"/>
    </row>
    <row r="116" spans="1:24" ht="13.5" thickBot="1">
      <c r="A116" s="885"/>
      <c r="B116" s="885"/>
      <c r="C116" s="9" t="s">
        <v>2</v>
      </c>
      <c r="D116" s="18">
        <v>0</v>
      </c>
      <c r="E116" s="18">
        <v>0</v>
      </c>
      <c r="F116" s="18">
        <v>0</v>
      </c>
      <c r="G116" s="18">
        <v>0</v>
      </c>
      <c r="H116" s="18">
        <v>3</v>
      </c>
      <c r="I116" s="18">
        <v>2</v>
      </c>
      <c r="J116" s="18">
        <v>1</v>
      </c>
      <c r="K116" s="18">
        <v>1</v>
      </c>
      <c r="L116" s="18">
        <v>5</v>
      </c>
      <c r="M116" s="18">
        <v>4</v>
      </c>
      <c r="N116" s="18">
        <v>3</v>
      </c>
      <c r="O116" s="18">
        <v>2</v>
      </c>
      <c r="P116" s="18">
        <v>7</v>
      </c>
      <c r="Q116" s="18">
        <v>5</v>
      </c>
      <c r="R116" s="18">
        <v>4</v>
      </c>
      <c r="S116" s="18">
        <v>3</v>
      </c>
      <c r="T116" s="783">
        <v>8</v>
      </c>
      <c r="U116" s="18">
        <v>7</v>
      </c>
      <c r="V116" s="18">
        <v>6</v>
      </c>
      <c r="W116" s="823">
        <v>4</v>
      </c>
      <c r="X116" s="880"/>
    </row>
    <row r="117" spans="1:24" ht="12.95" customHeight="1" thickBot="1">
      <c r="A117" s="885"/>
      <c r="B117" s="93" t="s">
        <v>151</v>
      </c>
      <c r="C117" s="9" t="s">
        <v>3</v>
      </c>
      <c r="D117" s="933" t="s">
        <v>171</v>
      </c>
      <c r="E117" s="934"/>
      <c r="F117" s="934"/>
      <c r="G117" s="935"/>
      <c r="H117" s="936" t="s">
        <v>249</v>
      </c>
      <c r="I117" s="937"/>
      <c r="J117" s="937"/>
      <c r="K117" s="938"/>
      <c r="L117" s="68">
        <v>4</v>
      </c>
      <c r="M117" s="68">
        <v>4</v>
      </c>
      <c r="N117" s="68">
        <v>3</v>
      </c>
      <c r="O117" s="68">
        <v>3</v>
      </c>
      <c r="P117" s="68">
        <v>9</v>
      </c>
      <c r="Q117" s="68">
        <v>6</v>
      </c>
      <c r="R117" s="68">
        <v>5</v>
      </c>
      <c r="S117" s="68">
        <v>0</v>
      </c>
      <c r="T117" s="68">
        <v>0</v>
      </c>
      <c r="U117" s="68">
        <v>0</v>
      </c>
      <c r="V117" s="68">
        <v>0</v>
      </c>
      <c r="W117" s="68">
        <v>0</v>
      </c>
      <c r="X117" s="880"/>
    </row>
    <row r="118" spans="1:24" ht="12.95" customHeight="1" thickBot="1">
      <c r="A118" s="885"/>
      <c r="B118" s="93" t="s">
        <v>150</v>
      </c>
      <c r="C118" s="1258" t="s">
        <v>170</v>
      </c>
      <c r="D118" s="927" t="s">
        <v>4</v>
      </c>
      <c r="E118" s="928"/>
      <c r="F118" s="928"/>
      <c r="G118" s="928"/>
      <c r="H118" s="928"/>
      <c r="I118" s="928"/>
      <c r="J118" s="928"/>
      <c r="K118" s="928"/>
      <c r="L118" s="928"/>
      <c r="M118" s="928"/>
      <c r="N118" s="928"/>
      <c r="O118" s="928"/>
      <c r="P118" s="928"/>
      <c r="Q118" s="928"/>
      <c r="R118" s="928"/>
      <c r="S118" s="928"/>
      <c r="T118" s="928"/>
      <c r="U118" s="928"/>
      <c r="V118" s="928"/>
      <c r="W118" s="929"/>
      <c r="X118" s="880"/>
    </row>
    <row r="119" spans="1:24" ht="12.95" customHeight="1" thickBot="1">
      <c r="A119" s="885"/>
      <c r="B119" s="94" t="s">
        <v>152</v>
      </c>
      <c r="C119" s="1259"/>
      <c r="D119" s="930" t="s">
        <v>420</v>
      </c>
      <c r="E119" s="931"/>
      <c r="F119" s="931"/>
      <c r="G119" s="931"/>
      <c r="H119" s="931"/>
      <c r="I119" s="931"/>
      <c r="J119" s="931"/>
      <c r="K119" s="931"/>
      <c r="L119" s="931"/>
      <c r="M119" s="931"/>
      <c r="N119" s="931"/>
      <c r="O119" s="931"/>
      <c r="P119" s="931"/>
      <c r="Q119" s="931"/>
      <c r="R119" s="931"/>
      <c r="S119" s="931"/>
      <c r="T119" s="931"/>
      <c r="U119" s="931"/>
      <c r="V119" s="931"/>
      <c r="W119" s="932"/>
      <c r="X119" s="880"/>
    </row>
    <row r="120" spans="1:24" ht="12.95" customHeight="1" thickBot="1">
      <c r="A120" s="885"/>
      <c r="B120" s="11" t="s">
        <v>31</v>
      </c>
      <c r="C120" s="12"/>
      <c r="D120" s="927" t="s">
        <v>78</v>
      </c>
      <c r="E120" s="928"/>
      <c r="F120" s="928"/>
      <c r="G120" s="929"/>
      <c r="H120" s="927" t="s">
        <v>77</v>
      </c>
      <c r="I120" s="928"/>
      <c r="J120" s="928"/>
      <c r="K120" s="929"/>
      <c r="L120" s="927" t="s">
        <v>81</v>
      </c>
      <c r="M120" s="928"/>
      <c r="N120" s="928"/>
      <c r="O120" s="929"/>
      <c r="P120" s="927" t="s">
        <v>254</v>
      </c>
      <c r="Q120" s="928"/>
      <c r="R120" s="928"/>
      <c r="S120" s="929"/>
      <c r="T120" s="927" t="s">
        <v>76</v>
      </c>
      <c r="U120" s="928"/>
      <c r="V120" s="928"/>
      <c r="W120" s="929"/>
      <c r="X120" s="880"/>
    </row>
    <row r="121" spans="1:24" ht="12.95" customHeight="1" thickBot="1">
      <c r="A121" s="885"/>
      <c r="B121" s="868" t="s">
        <v>421</v>
      </c>
      <c r="C121" s="23"/>
      <c r="D121" s="1230" t="s">
        <v>418</v>
      </c>
      <c r="E121" s="1232"/>
      <c r="F121" s="1240" t="s">
        <v>419</v>
      </c>
      <c r="G121" s="1232"/>
      <c r="H121" s="1240" t="s">
        <v>418</v>
      </c>
      <c r="I121" s="1232"/>
      <c r="J121" s="1240" t="s">
        <v>419</v>
      </c>
      <c r="K121" s="1232"/>
      <c r="L121" s="1240" t="s">
        <v>418</v>
      </c>
      <c r="M121" s="1232"/>
      <c r="N121" s="1240" t="s">
        <v>419</v>
      </c>
      <c r="O121" s="1232"/>
      <c r="P121" s="1240" t="s">
        <v>418</v>
      </c>
      <c r="Q121" s="1232"/>
      <c r="R121" s="1240" t="s">
        <v>419</v>
      </c>
      <c r="S121" s="1232"/>
      <c r="T121" s="1240" t="s">
        <v>418</v>
      </c>
      <c r="U121" s="1232"/>
      <c r="V121" s="1240" t="s">
        <v>419</v>
      </c>
      <c r="W121" s="1246"/>
      <c r="X121" s="880"/>
    </row>
    <row r="122" spans="1:24" ht="12.95" customHeight="1" thickBot="1">
      <c r="A122" s="885"/>
      <c r="B122" s="885"/>
      <c r="C122" s="26" t="s">
        <v>2</v>
      </c>
      <c r="D122" s="933" t="s">
        <v>172</v>
      </c>
      <c r="E122" s="934"/>
      <c r="F122" s="934"/>
      <c r="G122" s="935"/>
      <c r="H122" s="966" t="s">
        <v>572</v>
      </c>
      <c r="I122" s="967"/>
      <c r="J122" s="967"/>
      <c r="K122" s="968"/>
      <c r="L122" s="951">
        <v>20</v>
      </c>
      <c r="M122" s="952"/>
      <c r="N122" s="951">
        <v>20</v>
      </c>
      <c r="O122" s="952"/>
      <c r="P122" s="951">
        <v>30</v>
      </c>
      <c r="Q122" s="952"/>
      <c r="R122" s="951">
        <v>20</v>
      </c>
      <c r="S122" s="952"/>
      <c r="T122" s="1290">
        <v>80</v>
      </c>
      <c r="U122" s="1291"/>
      <c r="V122" s="1290">
        <v>65</v>
      </c>
      <c r="W122" s="1291"/>
      <c r="X122" s="880"/>
    </row>
    <row r="123" spans="1:24" ht="18" customHeight="1" thickBot="1">
      <c r="A123" s="885"/>
      <c r="B123" s="885"/>
      <c r="C123" s="9" t="s">
        <v>3</v>
      </c>
      <c r="D123" s="933"/>
      <c r="E123" s="934"/>
      <c r="F123" s="934"/>
      <c r="G123" s="935"/>
      <c r="H123" s="933"/>
      <c r="I123" s="934"/>
      <c r="J123" s="934"/>
      <c r="K123" s="935"/>
      <c r="L123" s="933"/>
      <c r="M123" s="934"/>
      <c r="N123" s="934"/>
      <c r="O123" s="935"/>
      <c r="P123" s="939">
        <v>70</v>
      </c>
      <c r="Q123" s="953"/>
      <c r="R123" s="939">
        <v>59</v>
      </c>
      <c r="S123" s="953"/>
      <c r="T123" s="939">
        <v>0</v>
      </c>
      <c r="U123" s="953"/>
      <c r="V123" s="939">
        <v>0</v>
      </c>
      <c r="W123" s="953"/>
      <c r="X123" s="880"/>
    </row>
    <row r="124" spans="1:24" ht="12.95" customHeight="1" thickBot="1">
      <c r="A124" s="885"/>
      <c r="B124" s="885"/>
      <c r="C124" s="1258" t="s">
        <v>170</v>
      </c>
      <c r="D124" s="927" t="s">
        <v>4</v>
      </c>
      <c r="E124" s="928"/>
      <c r="F124" s="928"/>
      <c r="G124" s="928"/>
      <c r="H124" s="928"/>
      <c r="I124" s="928"/>
      <c r="J124" s="928"/>
      <c r="K124" s="928"/>
      <c r="L124" s="928"/>
      <c r="M124" s="928"/>
      <c r="N124" s="928"/>
      <c r="O124" s="928"/>
      <c r="P124" s="928"/>
      <c r="Q124" s="928"/>
      <c r="R124" s="928"/>
      <c r="S124" s="928"/>
      <c r="T124" s="928"/>
      <c r="U124" s="928"/>
      <c r="V124" s="928"/>
      <c r="W124" s="929"/>
      <c r="X124" s="880"/>
    </row>
    <row r="125" spans="1:24" ht="12.95" customHeight="1" thickBot="1">
      <c r="A125" s="885"/>
      <c r="B125" s="94" t="s">
        <v>179</v>
      </c>
      <c r="C125" s="1259"/>
      <c r="D125" s="930" t="s">
        <v>121</v>
      </c>
      <c r="E125" s="931"/>
      <c r="F125" s="931"/>
      <c r="G125" s="931"/>
      <c r="H125" s="931"/>
      <c r="I125" s="931"/>
      <c r="J125" s="931"/>
      <c r="K125" s="931"/>
      <c r="L125" s="931"/>
      <c r="M125" s="931"/>
      <c r="N125" s="931"/>
      <c r="O125" s="931"/>
      <c r="P125" s="931"/>
      <c r="Q125" s="931"/>
      <c r="R125" s="931"/>
      <c r="S125" s="931"/>
      <c r="T125" s="931"/>
      <c r="U125" s="931"/>
      <c r="V125" s="931"/>
      <c r="W125" s="932"/>
      <c r="X125" s="880"/>
    </row>
    <row r="126" spans="1:24" ht="12.95" customHeight="1" thickBot="1">
      <c r="A126" s="885"/>
      <c r="B126" s="11" t="s">
        <v>40</v>
      </c>
      <c r="C126" s="12"/>
      <c r="D126" s="927" t="s">
        <v>78</v>
      </c>
      <c r="E126" s="928"/>
      <c r="F126" s="928"/>
      <c r="G126" s="929"/>
      <c r="H126" s="927" t="s">
        <v>77</v>
      </c>
      <c r="I126" s="928"/>
      <c r="J126" s="928"/>
      <c r="K126" s="929"/>
      <c r="L126" s="927" t="s">
        <v>81</v>
      </c>
      <c r="M126" s="928"/>
      <c r="N126" s="928"/>
      <c r="O126" s="929"/>
      <c r="P126" s="927" t="s">
        <v>254</v>
      </c>
      <c r="Q126" s="928"/>
      <c r="R126" s="928"/>
      <c r="S126" s="929"/>
      <c r="T126" s="927" t="s">
        <v>76</v>
      </c>
      <c r="U126" s="928"/>
      <c r="V126" s="928"/>
      <c r="W126" s="929"/>
      <c r="X126" s="880"/>
    </row>
    <row r="127" spans="1:24" ht="12.95" customHeight="1" thickBot="1">
      <c r="A127" s="885"/>
      <c r="B127" s="873" t="s">
        <v>644</v>
      </c>
      <c r="C127" s="23" t="s">
        <v>2</v>
      </c>
      <c r="D127" s="933" t="s">
        <v>171</v>
      </c>
      <c r="E127" s="934"/>
      <c r="F127" s="934"/>
      <c r="G127" s="935"/>
      <c r="H127" s="966" t="s">
        <v>572</v>
      </c>
      <c r="I127" s="967"/>
      <c r="J127" s="967"/>
      <c r="K127" s="968"/>
      <c r="L127" s="942">
        <v>3.4</v>
      </c>
      <c r="M127" s="943"/>
      <c r="N127" s="943"/>
      <c r="O127" s="944"/>
      <c r="P127" s="942">
        <v>3.8</v>
      </c>
      <c r="Q127" s="943"/>
      <c r="R127" s="943"/>
      <c r="S127" s="944"/>
      <c r="T127" s="1188">
        <v>4.4000000000000004</v>
      </c>
      <c r="U127" s="1189"/>
      <c r="V127" s="1189"/>
      <c r="W127" s="1190"/>
      <c r="X127" s="880"/>
    </row>
    <row r="128" spans="1:24" ht="13.5" thickBot="1">
      <c r="A128" s="869"/>
      <c r="B128" s="874"/>
      <c r="C128" s="9" t="s">
        <v>3</v>
      </c>
      <c r="D128" s="933"/>
      <c r="E128" s="934"/>
      <c r="F128" s="934"/>
      <c r="G128" s="935"/>
      <c r="H128" s="933"/>
      <c r="I128" s="934"/>
      <c r="J128" s="934"/>
      <c r="K128" s="935"/>
      <c r="L128" s="1171"/>
      <c r="M128" s="1172"/>
      <c r="N128" s="1172"/>
      <c r="O128" s="1173"/>
      <c r="P128" s="963">
        <v>3.8</v>
      </c>
      <c r="Q128" s="964"/>
      <c r="R128" s="964"/>
      <c r="S128" s="965"/>
      <c r="T128" s="963">
        <v>0</v>
      </c>
      <c r="U128" s="964"/>
      <c r="V128" s="964"/>
      <c r="W128" s="965"/>
      <c r="X128" s="881"/>
    </row>
    <row r="129" spans="1:24" ht="12.95" customHeight="1" thickBot="1">
      <c r="A129" s="96" t="s">
        <v>13</v>
      </c>
      <c r="B129" s="874"/>
      <c r="C129" s="1258" t="s">
        <v>170</v>
      </c>
      <c r="D129" s="927" t="s">
        <v>4</v>
      </c>
      <c r="E129" s="928"/>
      <c r="F129" s="928"/>
      <c r="G129" s="928"/>
      <c r="H129" s="928"/>
      <c r="I129" s="928"/>
      <c r="J129" s="928"/>
      <c r="K129" s="928"/>
      <c r="L129" s="928"/>
      <c r="M129" s="928"/>
      <c r="N129" s="928"/>
      <c r="O129" s="928"/>
      <c r="P129" s="928"/>
      <c r="Q129" s="928"/>
      <c r="R129" s="928"/>
      <c r="S129" s="928"/>
      <c r="T129" s="928"/>
      <c r="U129" s="928"/>
      <c r="V129" s="928"/>
      <c r="W129" s="929"/>
      <c r="X129" s="24" t="s">
        <v>14</v>
      </c>
    </row>
    <row r="130" spans="1:24" ht="12.95" customHeight="1" thickBot="1">
      <c r="A130" s="25" t="s">
        <v>75</v>
      </c>
      <c r="B130" s="875"/>
      <c r="C130" s="1259"/>
      <c r="D130" s="930" t="s">
        <v>122</v>
      </c>
      <c r="E130" s="931"/>
      <c r="F130" s="931"/>
      <c r="G130" s="931"/>
      <c r="H130" s="931"/>
      <c r="I130" s="931"/>
      <c r="J130" s="931"/>
      <c r="K130" s="931"/>
      <c r="L130" s="931"/>
      <c r="M130" s="931"/>
      <c r="N130" s="931"/>
      <c r="O130" s="931"/>
      <c r="P130" s="931"/>
      <c r="Q130" s="931"/>
      <c r="R130" s="931"/>
      <c r="S130" s="931"/>
      <c r="T130" s="931"/>
      <c r="U130" s="931"/>
      <c r="V130" s="931"/>
      <c r="W130" s="932"/>
      <c r="X130" s="18" t="s">
        <v>92</v>
      </c>
    </row>
    <row r="131" spans="1:24" ht="12.95" customHeight="1" thickBot="1">
      <c r="A131" s="906" t="s">
        <v>7</v>
      </c>
      <c r="B131" s="908" t="s">
        <v>173</v>
      </c>
      <c r="C131" s="909"/>
      <c r="D131" s="908" t="s">
        <v>8</v>
      </c>
      <c r="E131" s="918"/>
      <c r="F131" s="918"/>
      <c r="G131" s="909"/>
      <c r="H131" s="908" t="s">
        <v>88</v>
      </c>
      <c r="I131" s="918"/>
      <c r="J131" s="918"/>
      <c r="K131" s="909"/>
      <c r="L131" s="908" t="s">
        <v>89</v>
      </c>
      <c r="M131" s="918"/>
      <c r="N131" s="918"/>
      <c r="O131" s="909"/>
      <c r="P131" s="908" t="s">
        <v>9</v>
      </c>
      <c r="Q131" s="918"/>
      <c r="R131" s="918"/>
      <c r="S131" s="909"/>
      <c r="T131" s="908" t="s">
        <v>174</v>
      </c>
      <c r="U131" s="918"/>
      <c r="V131" s="918"/>
      <c r="W131" s="918"/>
      <c r="X131" s="909"/>
    </row>
    <row r="132" spans="1:24" ht="13.5" thickBot="1">
      <c r="A132" s="907"/>
      <c r="B132" s="1256"/>
      <c r="C132" s="1257"/>
      <c r="D132" s="916"/>
      <c r="E132" s="994"/>
      <c r="F132" s="994"/>
      <c r="G132" s="917"/>
      <c r="H132" s="916"/>
      <c r="I132" s="994"/>
      <c r="J132" s="994"/>
      <c r="K132" s="917"/>
      <c r="L132" s="916"/>
      <c r="M132" s="994"/>
      <c r="N132" s="994"/>
      <c r="O132" s="917"/>
      <c r="P132" s="916">
        <f>SUM(B132:O132)</f>
        <v>0</v>
      </c>
      <c r="Q132" s="994"/>
      <c r="R132" s="994"/>
      <c r="S132" s="917"/>
      <c r="T132" s="916" t="e">
        <f>B132/P132%</f>
        <v>#DIV/0!</v>
      </c>
      <c r="U132" s="994"/>
      <c r="V132" s="994"/>
      <c r="W132" s="994"/>
      <c r="X132" s="917"/>
    </row>
    <row r="133" spans="1:24" ht="13.5" thickBot="1">
      <c r="A133" s="906" t="s">
        <v>10</v>
      </c>
      <c r="B133" s="908" t="s">
        <v>175</v>
      </c>
      <c r="C133" s="909"/>
      <c r="D133" s="910"/>
      <c r="E133" s="911"/>
      <c r="F133" s="911"/>
      <c r="G133" s="911"/>
      <c r="H133" s="911"/>
      <c r="I133" s="911"/>
      <c r="J133" s="911"/>
      <c r="K133" s="911"/>
      <c r="L133" s="911"/>
      <c r="M133" s="911"/>
      <c r="N133" s="911"/>
      <c r="O133" s="911"/>
      <c r="P133" s="911"/>
      <c r="Q133" s="911"/>
      <c r="R133" s="911"/>
      <c r="S133" s="911"/>
      <c r="T133" s="911"/>
      <c r="U133" s="911"/>
      <c r="V133" s="911"/>
      <c r="W133" s="911"/>
      <c r="X133" s="912"/>
    </row>
    <row r="134" spans="1:24" ht="13.5" thickBot="1">
      <c r="A134" s="907"/>
      <c r="B134" s="1256"/>
      <c r="C134" s="1257"/>
      <c r="D134" s="913"/>
      <c r="E134" s="914"/>
      <c r="F134" s="914"/>
      <c r="G134" s="914"/>
      <c r="H134" s="914"/>
      <c r="I134" s="914"/>
      <c r="J134" s="914"/>
      <c r="K134" s="914"/>
      <c r="L134" s="914"/>
      <c r="M134" s="914"/>
      <c r="N134" s="914"/>
      <c r="O134" s="914"/>
      <c r="P134" s="914"/>
      <c r="Q134" s="914"/>
      <c r="R134" s="914"/>
      <c r="S134" s="914"/>
      <c r="T134" s="914"/>
      <c r="U134" s="914"/>
      <c r="V134" s="914"/>
      <c r="W134" s="914"/>
      <c r="X134" s="915"/>
    </row>
    <row r="135" spans="1:24">
      <c r="A135" s="5"/>
      <c r="B135" s="5"/>
      <c r="C135" s="6"/>
      <c r="D135" s="5"/>
      <c r="E135" s="5"/>
      <c r="F135" s="5"/>
      <c r="G135" s="5"/>
      <c r="H135" s="5"/>
      <c r="I135" s="5"/>
      <c r="J135" s="5"/>
      <c r="K135" s="5"/>
      <c r="L135" s="5"/>
      <c r="M135" s="5"/>
      <c r="N135" s="5"/>
      <c r="O135" s="5"/>
      <c r="P135" s="5"/>
      <c r="Q135" s="5"/>
      <c r="R135" s="5"/>
      <c r="S135" s="5"/>
      <c r="T135" s="5"/>
      <c r="U135" s="5"/>
      <c r="V135" s="5"/>
      <c r="W135" s="5"/>
      <c r="X135" s="5"/>
    </row>
    <row r="136" spans="1:24" ht="13.5" thickBot="1">
      <c r="A136" s="5"/>
      <c r="B136" s="5"/>
      <c r="C136" s="6"/>
      <c r="D136" s="5"/>
      <c r="E136" s="5"/>
      <c r="F136" s="5"/>
      <c r="G136" s="5"/>
      <c r="H136" s="5"/>
      <c r="I136" s="5"/>
      <c r="J136" s="5"/>
      <c r="K136" s="5"/>
      <c r="L136" s="5"/>
      <c r="M136" s="5"/>
      <c r="N136" s="5"/>
      <c r="O136" s="5"/>
      <c r="P136" s="5"/>
      <c r="Q136" s="5"/>
      <c r="R136" s="5"/>
      <c r="S136" s="5"/>
      <c r="T136" s="5"/>
      <c r="U136" s="5"/>
      <c r="V136" s="5"/>
      <c r="W136" s="5"/>
      <c r="X136" s="5"/>
    </row>
    <row r="137" spans="1:24" ht="12.95" customHeight="1" thickBot="1">
      <c r="A137" s="95" t="s">
        <v>28</v>
      </c>
      <c r="B137" s="97" t="s">
        <v>32</v>
      </c>
      <c r="C137" s="8"/>
      <c r="D137" s="927" t="s">
        <v>78</v>
      </c>
      <c r="E137" s="928"/>
      <c r="F137" s="928"/>
      <c r="G137" s="929"/>
      <c r="H137" s="927" t="s">
        <v>77</v>
      </c>
      <c r="I137" s="928"/>
      <c r="J137" s="928"/>
      <c r="K137" s="929"/>
      <c r="L137" s="927" t="s">
        <v>81</v>
      </c>
      <c r="M137" s="928"/>
      <c r="N137" s="928"/>
      <c r="O137" s="929"/>
      <c r="P137" s="927" t="s">
        <v>254</v>
      </c>
      <c r="Q137" s="928"/>
      <c r="R137" s="928"/>
      <c r="S137" s="929"/>
      <c r="T137" s="927" t="s">
        <v>76</v>
      </c>
      <c r="U137" s="928"/>
      <c r="V137" s="928"/>
      <c r="W137" s="929"/>
      <c r="X137" s="16" t="s">
        <v>6</v>
      </c>
    </row>
    <row r="138" spans="1:24" ht="12.95" customHeight="1" thickBot="1">
      <c r="A138" s="868" t="s">
        <v>65</v>
      </c>
      <c r="B138" s="868" t="s">
        <v>66</v>
      </c>
      <c r="C138" s="9" t="s">
        <v>2</v>
      </c>
      <c r="D138" s="942">
        <v>1</v>
      </c>
      <c r="E138" s="943"/>
      <c r="F138" s="943"/>
      <c r="G138" s="944"/>
      <c r="H138" s="942">
        <v>3</v>
      </c>
      <c r="I138" s="943"/>
      <c r="J138" s="943"/>
      <c r="K138" s="944"/>
      <c r="L138" s="942">
        <v>3.5</v>
      </c>
      <c r="M138" s="943"/>
      <c r="N138" s="943"/>
      <c r="O138" s="944"/>
      <c r="P138" s="942">
        <v>3.5</v>
      </c>
      <c r="Q138" s="943"/>
      <c r="R138" s="943"/>
      <c r="S138" s="944"/>
      <c r="T138" s="1303">
        <v>4</v>
      </c>
      <c r="U138" s="1304"/>
      <c r="V138" s="1304"/>
      <c r="W138" s="1305"/>
      <c r="X138" s="879" t="s">
        <v>91</v>
      </c>
    </row>
    <row r="139" spans="1:24" ht="13.5" thickBot="1">
      <c r="A139" s="885"/>
      <c r="B139" s="885"/>
      <c r="C139" s="99" t="s">
        <v>3</v>
      </c>
      <c r="D139" s="957"/>
      <c r="E139" s="958"/>
      <c r="F139" s="958"/>
      <c r="G139" s="959"/>
      <c r="H139" s="963">
        <v>3</v>
      </c>
      <c r="I139" s="964"/>
      <c r="J139" s="964"/>
      <c r="K139" s="965"/>
      <c r="L139" s="963">
        <v>3</v>
      </c>
      <c r="M139" s="964"/>
      <c r="N139" s="964"/>
      <c r="O139" s="965"/>
      <c r="P139" s="963">
        <v>4</v>
      </c>
      <c r="Q139" s="964"/>
      <c r="R139" s="964"/>
      <c r="S139" s="965"/>
      <c r="T139" s="963">
        <v>0</v>
      </c>
      <c r="U139" s="964"/>
      <c r="V139" s="964"/>
      <c r="W139" s="965"/>
      <c r="X139" s="880"/>
    </row>
    <row r="140" spans="1:24" ht="12.95" customHeight="1" thickBot="1">
      <c r="A140" s="885"/>
      <c r="B140" s="885"/>
      <c r="C140" s="1258" t="s">
        <v>170</v>
      </c>
      <c r="D140" s="927" t="s">
        <v>4</v>
      </c>
      <c r="E140" s="928"/>
      <c r="F140" s="928"/>
      <c r="G140" s="928"/>
      <c r="H140" s="928"/>
      <c r="I140" s="928"/>
      <c r="J140" s="928"/>
      <c r="K140" s="928"/>
      <c r="L140" s="928"/>
      <c r="M140" s="928"/>
      <c r="N140" s="928"/>
      <c r="O140" s="928"/>
      <c r="P140" s="928"/>
      <c r="Q140" s="928"/>
      <c r="R140" s="928"/>
      <c r="S140" s="928"/>
      <c r="T140" s="928"/>
      <c r="U140" s="928"/>
      <c r="V140" s="928"/>
      <c r="W140" s="929"/>
      <c r="X140" s="880"/>
    </row>
    <row r="141" spans="1:24" ht="12.95" customHeight="1" thickBot="1">
      <c r="A141" s="885"/>
      <c r="B141" s="869"/>
      <c r="C141" s="1259"/>
      <c r="D141" s="930" t="s">
        <v>123</v>
      </c>
      <c r="E141" s="931"/>
      <c r="F141" s="931"/>
      <c r="G141" s="931"/>
      <c r="H141" s="931"/>
      <c r="I141" s="931"/>
      <c r="J141" s="931"/>
      <c r="K141" s="931"/>
      <c r="L141" s="931"/>
      <c r="M141" s="931"/>
      <c r="N141" s="931"/>
      <c r="O141" s="931"/>
      <c r="P141" s="931"/>
      <c r="Q141" s="931"/>
      <c r="R141" s="931"/>
      <c r="S141" s="931"/>
      <c r="T141" s="931"/>
      <c r="U141" s="931"/>
      <c r="V141" s="931"/>
      <c r="W141" s="932"/>
      <c r="X141" s="880"/>
    </row>
    <row r="142" spans="1:24" ht="12.95" customHeight="1" thickBot="1">
      <c r="A142" s="885"/>
      <c r="B142" s="11" t="s">
        <v>33</v>
      </c>
      <c r="C142" s="12"/>
      <c r="D142" s="927" t="s">
        <v>78</v>
      </c>
      <c r="E142" s="928"/>
      <c r="F142" s="928"/>
      <c r="G142" s="929"/>
      <c r="H142" s="927" t="s">
        <v>77</v>
      </c>
      <c r="I142" s="928"/>
      <c r="J142" s="928"/>
      <c r="K142" s="929"/>
      <c r="L142" s="927" t="s">
        <v>81</v>
      </c>
      <c r="M142" s="928"/>
      <c r="N142" s="928"/>
      <c r="O142" s="929"/>
      <c r="P142" s="927" t="s">
        <v>254</v>
      </c>
      <c r="Q142" s="928"/>
      <c r="R142" s="928"/>
      <c r="S142" s="929"/>
      <c r="T142" s="927" t="s">
        <v>76</v>
      </c>
      <c r="U142" s="928"/>
      <c r="V142" s="928"/>
      <c r="W142" s="929"/>
      <c r="X142" s="880"/>
    </row>
    <row r="143" spans="1:24" ht="13.5" thickBot="1">
      <c r="A143" s="885"/>
      <c r="B143" s="868" t="s">
        <v>67</v>
      </c>
      <c r="C143" s="23" t="s">
        <v>2</v>
      </c>
      <c r="D143" s="942">
        <v>1</v>
      </c>
      <c r="E143" s="943"/>
      <c r="F143" s="943"/>
      <c r="G143" s="944"/>
      <c r="H143" s="942">
        <v>2</v>
      </c>
      <c r="I143" s="943"/>
      <c r="J143" s="943"/>
      <c r="K143" s="944"/>
      <c r="L143" s="942">
        <v>3</v>
      </c>
      <c r="M143" s="943"/>
      <c r="N143" s="943"/>
      <c r="O143" s="944"/>
      <c r="P143" s="942">
        <v>3.8</v>
      </c>
      <c r="Q143" s="943"/>
      <c r="R143" s="943"/>
      <c r="S143" s="944"/>
      <c r="T143" s="1303">
        <v>3.5</v>
      </c>
      <c r="U143" s="1304"/>
      <c r="V143" s="1304"/>
      <c r="W143" s="1305"/>
      <c r="X143" s="880"/>
    </row>
    <row r="144" spans="1:24" ht="13.5" thickBot="1">
      <c r="A144" s="885"/>
      <c r="B144" s="885"/>
      <c r="C144" s="9" t="s">
        <v>3</v>
      </c>
      <c r="D144" s="957"/>
      <c r="E144" s="958"/>
      <c r="F144" s="958"/>
      <c r="G144" s="959"/>
      <c r="H144" s="963">
        <v>3</v>
      </c>
      <c r="I144" s="964"/>
      <c r="J144" s="964"/>
      <c r="K144" s="965"/>
      <c r="L144" s="963">
        <v>3.3</v>
      </c>
      <c r="M144" s="964"/>
      <c r="N144" s="964"/>
      <c r="O144" s="965"/>
      <c r="P144" s="963">
        <v>3.3</v>
      </c>
      <c r="Q144" s="964"/>
      <c r="R144" s="964"/>
      <c r="S144" s="965"/>
      <c r="T144" s="963">
        <v>0</v>
      </c>
      <c r="U144" s="964"/>
      <c r="V144" s="964"/>
      <c r="W144" s="965"/>
      <c r="X144" s="880"/>
    </row>
    <row r="145" spans="1:24" ht="12.95" customHeight="1" thickBot="1">
      <c r="A145" s="885"/>
      <c r="B145" s="885"/>
      <c r="C145" s="1258" t="s">
        <v>170</v>
      </c>
      <c r="D145" s="927" t="s">
        <v>4</v>
      </c>
      <c r="E145" s="928"/>
      <c r="F145" s="928"/>
      <c r="G145" s="928"/>
      <c r="H145" s="928"/>
      <c r="I145" s="928"/>
      <c r="J145" s="928"/>
      <c r="K145" s="928"/>
      <c r="L145" s="928"/>
      <c r="M145" s="928"/>
      <c r="N145" s="928"/>
      <c r="O145" s="928"/>
      <c r="P145" s="928"/>
      <c r="Q145" s="928"/>
      <c r="R145" s="928"/>
      <c r="S145" s="928"/>
      <c r="T145" s="928"/>
      <c r="U145" s="928"/>
      <c r="V145" s="928"/>
      <c r="W145" s="929"/>
      <c r="X145" s="880"/>
    </row>
    <row r="146" spans="1:24" ht="12.95" customHeight="1" thickBot="1">
      <c r="A146" s="885"/>
      <c r="B146" s="869"/>
      <c r="C146" s="1259"/>
      <c r="D146" s="930" t="s">
        <v>123</v>
      </c>
      <c r="E146" s="931"/>
      <c r="F146" s="931"/>
      <c r="G146" s="931"/>
      <c r="H146" s="931"/>
      <c r="I146" s="931"/>
      <c r="J146" s="931"/>
      <c r="K146" s="931"/>
      <c r="L146" s="931"/>
      <c r="M146" s="931"/>
      <c r="N146" s="931"/>
      <c r="O146" s="931"/>
      <c r="P146" s="931"/>
      <c r="Q146" s="931"/>
      <c r="R146" s="931"/>
      <c r="S146" s="931"/>
      <c r="T146" s="931"/>
      <c r="U146" s="931"/>
      <c r="V146" s="931"/>
      <c r="W146" s="932"/>
      <c r="X146" s="880"/>
    </row>
    <row r="147" spans="1:24" ht="12.95" customHeight="1" thickBot="1">
      <c r="A147" s="885"/>
      <c r="B147" s="11" t="s">
        <v>34</v>
      </c>
      <c r="C147" s="12"/>
      <c r="D147" s="927" t="s">
        <v>78</v>
      </c>
      <c r="E147" s="928"/>
      <c r="F147" s="928"/>
      <c r="G147" s="929"/>
      <c r="H147" s="927" t="s">
        <v>77</v>
      </c>
      <c r="I147" s="928"/>
      <c r="J147" s="928"/>
      <c r="K147" s="929"/>
      <c r="L147" s="927" t="s">
        <v>81</v>
      </c>
      <c r="M147" s="928"/>
      <c r="N147" s="928"/>
      <c r="O147" s="929"/>
      <c r="P147" s="927" t="s">
        <v>254</v>
      </c>
      <c r="Q147" s="928"/>
      <c r="R147" s="928"/>
      <c r="S147" s="929"/>
      <c r="T147" s="927" t="s">
        <v>76</v>
      </c>
      <c r="U147" s="928"/>
      <c r="V147" s="928"/>
      <c r="W147" s="929"/>
      <c r="X147" s="880"/>
    </row>
    <row r="148" spans="1:24" ht="13.5" thickBot="1">
      <c r="A148" s="885"/>
      <c r="B148" s="868" t="s">
        <v>68</v>
      </c>
      <c r="C148" s="23" t="s">
        <v>2</v>
      </c>
      <c r="D148" s="942">
        <v>2</v>
      </c>
      <c r="E148" s="943"/>
      <c r="F148" s="943"/>
      <c r="G148" s="944"/>
      <c r="H148" s="942">
        <v>2</v>
      </c>
      <c r="I148" s="943"/>
      <c r="J148" s="943"/>
      <c r="K148" s="944"/>
      <c r="L148" s="942">
        <v>3</v>
      </c>
      <c r="M148" s="943"/>
      <c r="N148" s="943"/>
      <c r="O148" s="944"/>
      <c r="P148" s="942">
        <v>3.2</v>
      </c>
      <c r="Q148" s="943"/>
      <c r="R148" s="943"/>
      <c r="S148" s="944"/>
      <c r="T148" s="1303">
        <v>3.3</v>
      </c>
      <c r="U148" s="1304"/>
      <c r="V148" s="1304"/>
      <c r="W148" s="1305"/>
      <c r="X148" s="880"/>
    </row>
    <row r="149" spans="1:24" ht="13.5" thickBot="1">
      <c r="A149" s="885"/>
      <c r="B149" s="885"/>
      <c r="C149" s="9" t="s">
        <v>3</v>
      </c>
      <c r="D149" s="957"/>
      <c r="E149" s="958"/>
      <c r="F149" s="958"/>
      <c r="G149" s="959"/>
      <c r="H149" s="963">
        <v>3</v>
      </c>
      <c r="I149" s="964"/>
      <c r="J149" s="964"/>
      <c r="K149" s="965"/>
      <c r="L149" s="963">
        <v>2.7</v>
      </c>
      <c r="M149" s="964"/>
      <c r="N149" s="964"/>
      <c r="O149" s="965"/>
      <c r="P149" s="963">
        <v>3</v>
      </c>
      <c r="Q149" s="964"/>
      <c r="R149" s="964"/>
      <c r="S149" s="965"/>
      <c r="T149" s="963">
        <v>0</v>
      </c>
      <c r="U149" s="964"/>
      <c r="V149" s="964"/>
      <c r="W149" s="965"/>
      <c r="X149" s="880"/>
    </row>
    <row r="150" spans="1:24" ht="12.95" customHeight="1" thickBot="1">
      <c r="A150" s="885"/>
      <c r="B150" s="885"/>
      <c r="C150" s="1258" t="s">
        <v>170</v>
      </c>
      <c r="D150" s="927" t="s">
        <v>4</v>
      </c>
      <c r="E150" s="928"/>
      <c r="F150" s="928"/>
      <c r="G150" s="928"/>
      <c r="H150" s="928"/>
      <c r="I150" s="928"/>
      <c r="J150" s="928"/>
      <c r="K150" s="928"/>
      <c r="L150" s="928"/>
      <c r="M150" s="928"/>
      <c r="N150" s="928"/>
      <c r="O150" s="928"/>
      <c r="P150" s="928"/>
      <c r="Q150" s="928"/>
      <c r="R150" s="928"/>
      <c r="S150" s="928"/>
      <c r="T150" s="928"/>
      <c r="U150" s="928"/>
      <c r="V150" s="928"/>
      <c r="W150" s="929"/>
      <c r="X150" s="880"/>
    </row>
    <row r="151" spans="1:24" ht="12.95" customHeight="1" thickBot="1">
      <c r="A151" s="885"/>
      <c r="B151" s="869"/>
      <c r="C151" s="1259"/>
      <c r="D151" s="930" t="s">
        <v>123</v>
      </c>
      <c r="E151" s="931"/>
      <c r="F151" s="931"/>
      <c r="G151" s="931"/>
      <c r="H151" s="931"/>
      <c r="I151" s="931"/>
      <c r="J151" s="931"/>
      <c r="K151" s="931"/>
      <c r="L151" s="931"/>
      <c r="M151" s="931"/>
      <c r="N151" s="931"/>
      <c r="O151" s="931"/>
      <c r="P151" s="931"/>
      <c r="Q151" s="931"/>
      <c r="R151" s="931"/>
      <c r="S151" s="931"/>
      <c r="T151" s="931"/>
      <c r="U151" s="931"/>
      <c r="V151" s="931"/>
      <c r="W151" s="932"/>
      <c r="X151" s="880"/>
    </row>
    <row r="152" spans="1:24" ht="12.95" customHeight="1" thickBot="1">
      <c r="A152" s="885"/>
      <c r="B152" s="11" t="s">
        <v>41</v>
      </c>
      <c r="C152" s="12"/>
      <c r="D152" s="927" t="s">
        <v>78</v>
      </c>
      <c r="E152" s="928"/>
      <c r="F152" s="928"/>
      <c r="G152" s="929"/>
      <c r="H152" s="927" t="s">
        <v>77</v>
      </c>
      <c r="I152" s="928"/>
      <c r="J152" s="928"/>
      <c r="K152" s="929"/>
      <c r="L152" s="927" t="s">
        <v>81</v>
      </c>
      <c r="M152" s="928"/>
      <c r="N152" s="928"/>
      <c r="O152" s="929"/>
      <c r="P152" s="927" t="s">
        <v>254</v>
      </c>
      <c r="Q152" s="928"/>
      <c r="R152" s="928"/>
      <c r="S152" s="929"/>
      <c r="T152" s="927" t="s">
        <v>76</v>
      </c>
      <c r="U152" s="928"/>
      <c r="V152" s="928"/>
      <c r="W152" s="929"/>
      <c r="X152" s="880"/>
    </row>
    <row r="153" spans="1:24" ht="13.5" thickBot="1">
      <c r="A153" s="885"/>
      <c r="B153" s="868" t="s">
        <v>69</v>
      </c>
      <c r="C153" s="23" t="s">
        <v>2</v>
      </c>
      <c r="D153" s="942">
        <v>2</v>
      </c>
      <c r="E153" s="943"/>
      <c r="F153" s="943"/>
      <c r="G153" s="944"/>
      <c r="H153" s="942">
        <v>2</v>
      </c>
      <c r="I153" s="943"/>
      <c r="J153" s="943"/>
      <c r="K153" s="944"/>
      <c r="L153" s="942">
        <v>3</v>
      </c>
      <c r="M153" s="943"/>
      <c r="N153" s="943"/>
      <c r="O153" s="944"/>
      <c r="P153" s="942">
        <v>3</v>
      </c>
      <c r="Q153" s="943"/>
      <c r="R153" s="943"/>
      <c r="S153" s="944"/>
      <c r="T153" s="1303">
        <v>3.3</v>
      </c>
      <c r="U153" s="1304"/>
      <c r="V153" s="1304"/>
      <c r="W153" s="1305"/>
      <c r="X153" s="880"/>
    </row>
    <row r="154" spans="1:24" ht="13.5" thickBot="1">
      <c r="A154" s="885"/>
      <c r="B154" s="885"/>
      <c r="C154" s="9" t="s">
        <v>3</v>
      </c>
      <c r="D154" s="957"/>
      <c r="E154" s="958"/>
      <c r="F154" s="958"/>
      <c r="G154" s="959"/>
      <c r="H154" s="963">
        <v>2</v>
      </c>
      <c r="I154" s="964"/>
      <c r="J154" s="964"/>
      <c r="K154" s="965"/>
      <c r="L154" s="963">
        <v>2.6</v>
      </c>
      <c r="M154" s="964"/>
      <c r="N154" s="964"/>
      <c r="O154" s="965"/>
      <c r="P154" s="963">
        <v>2.9</v>
      </c>
      <c r="Q154" s="964"/>
      <c r="R154" s="964"/>
      <c r="S154" s="965"/>
      <c r="T154" s="963">
        <v>0</v>
      </c>
      <c r="U154" s="964"/>
      <c r="V154" s="964"/>
      <c r="W154" s="965"/>
      <c r="X154" s="880"/>
    </row>
    <row r="155" spans="1:24" ht="12.95" customHeight="1" thickBot="1">
      <c r="A155" s="885"/>
      <c r="B155" s="885"/>
      <c r="C155" s="1258" t="s">
        <v>170</v>
      </c>
      <c r="D155" s="927" t="s">
        <v>4</v>
      </c>
      <c r="E155" s="928"/>
      <c r="F155" s="928"/>
      <c r="G155" s="928"/>
      <c r="H155" s="928"/>
      <c r="I155" s="928"/>
      <c r="J155" s="928"/>
      <c r="K155" s="928"/>
      <c r="L155" s="928"/>
      <c r="M155" s="928"/>
      <c r="N155" s="928"/>
      <c r="O155" s="928"/>
      <c r="P155" s="928"/>
      <c r="Q155" s="928"/>
      <c r="R155" s="928"/>
      <c r="S155" s="928"/>
      <c r="T155" s="928"/>
      <c r="U155" s="928"/>
      <c r="V155" s="928"/>
      <c r="W155" s="929"/>
      <c r="X155" s="880"/>
    </row>
    <row r="156" spans="1:24" ht="12.95" customHeight="1" thickBot="1">
      <c r="A156" s="885"/>
      <c r="B156" s="869"/>
      <c r="C156" s="1259"/>
      <c r="D156" s="930" t="s">
        <v>123</v>
      </c>
      <c r="E156" s="931"/>
      <c r="F156" s="931"/>
      <c r="G156" s="931"/>
      <c r="H156" s="931"/>
      <c r="I156" s="931"/>
      <c r="J156" s="931"/>
      <c r="K156" s="931"/>
      <c r="L156" s="931"/>
      <c r="M156" s="931"/>
      <c r="N156" s="931"/>
      <c r="O156" s="931"/>
      <c r="P156" s="931"/>
      <c r="Q156" s="931"/>
      <c r="R156" s="931"/>
      <c r="S156" s="931"/>
      <c r="T156" s="931"/>
      <c r="U156" s="931"/>
      <c r="V156" s="931"/>
      <c r="W156" s="932"/>
      <c r="X156" s="880"/>
    </row>
    <row r="157" spans="1:24" ht="12.95" customHeight="1" thickBot="1">
      <c r="A157" s="885"/>
      <c r="B157" s="11" t="s">
        <v>42</v>
      </c>
      <c r="C157" s="28"/>
      <c r="D157" s="927" t="s">
        <v>78</v>
      </c>
      <c r="E157" s="928"/>
      <c r="F157" s="928"/>
      <c r="G157" s="929"/>
      <c r="H157" s="927" t="s">
        <v>77</v>
      </c>
      <c r="I157" s="928"/>
      <c r="J157" s="928"/>
      <c r="K157" s="929"/>
      <c r="L157" s="927" t="s">
        <v>81</v>
      </c>
      <c r="M157" s="928"/>
      <c r="N157" s="928"/>
      <c r="O157" s="929"/>
      <c r="P157" s="927" t="s">
        <v>254</v>
      </c>
      <c r="Q157" s="928"/>
      <c r="R157" s="928"/>
      <c r="S157" s="929"/>
      <c r="T157" s="927" t="s">
        <v>76</v>
      </c>
      <c r="U157" s="928"/>
      <c r="V157" s="928"/>
      <c r="W157" s="929"/>
      <c r="X157" s="880"/>
    </row>
    <row r="158" spans="1:24" ht="18.95" customHeight="1" thickBot="1">
      <c r="A158" s="885"/>
      <c r="B158" s="868" t="s">
        <v>180</v>
      </c>
      <c r="C158" s="26"/>
      <c r="D158" s="955" t="s">
        <v>99</v>
      </c>
      <c r="E158" s="956"/>
      <c r="F158" s="955" t="s">
        <v>100</v>
      </c>
      <c r="G158" s="956"/>
      <c r="H158" s="955" t="s">
        <v>99</v>
      </c>
      <c r="I158" s="956"/>
      <c r="J158" s="955" t="s">
        <v>100</v>
      </c>
      <c r="K158" s="956"/>
      <c r="L158" s="955" t="s">
        <v>99</v>
      </c>
      <c r="M158" s="956"/>
      <c r="N158" s="955" t="s">
        <v>100</v>
      </c>
      <c r="O158" s="956"/>
      <c r="P158" s="955" t="s">
        <v>99</v>
      </c>
      <c r="Q158" s="956"/>
      <c r="R158" s="955" t="s">
        <v>100</v>
      </c>
      <c r="S158" s="956"/>
      <c r="T158" s="955" t="s">
        <v>99</v>
      </c>
      <c r="U158" s="956"/>
      <c r="V158" s="955" t="s">
        <v>100</v>
      </c>
      <c r="W158" s="956"/>
      <c r="X158" s="880"/>
    </row>
    <row r="159" spans="1:24" ht="13.5" thickBot="1">
      <c r="A159" s="885"/>
      <c r="B159" s="885"/>
      <c r="C159" s="26" t="s">
        <v>2</v>
      </c>
      <c r="D159" s="951">
        <v>0</v>
      </c>
      <c r="E159" s="952"/>
      <c r="F159" s="951">
        <v>0</v>
      </c>
      <c r="G159" s="952"/>
      <c r="H159" s="951">
        <v>2</v>
      </c>
      <c r="I159" s="952"/>
      <c r="J159" s="951">
        <v>3</v>
      </c>
      <c r="K159" s="952"/>
      <c r="L159" s="951">
        <v>3</v>
      </c>
      <c r="M159" s="952"/>
      <c r="N159" s="951">
        <v>4</v>
      </c>
      <c r="O159" s="952"/>
      <c r="P159" s="951">
        <v>6</v>
      </c>
      <c r="Q159" s="952"/>
      <c r="R159" s="951">
        <v>6</v>
      </c>
      <c r="S159" s="952"/>
      <c r="T159" s="1300">
        <v>8</v>
      </c>
      <c r="U159" s="1301"/>
      <c r="V159" s="1290">
        <v>11</v>
      </c>
      <c r="W159" s="1291"/>
      <c r="X159" s="880"/>
    </row>
    <row r="160" spans="1:24" ht="12.95" customHeight="1" thickBot="1">
      <c r="A160" s="869"/>
      <c r="B160" s="885"/>
      <c r="C160" s="9" t="s">
        <v>3</v>
      </c>
      <c r="D160" s="933" t="s">
        <v>171</v>
      </c>
      <c r="E160" s="934"/>
      <c r="F160" s="934"/>
      <c r="G160" s="935"/>
      <c r="H160" s="936" t="s">
        <v>249</v>
      </c>
      <c r="I160" s="937"/>
      <c r="J160" s="937"/>
      <c r="K160" s="938"/>
      <c r="L160" s="939">
        <v>4</v>
      </c>
      <c r="M160" s="953"/>
      <c r="N160" s="939">
        <v>6</v>
      </c>
      <c r="O160" s="953"/>
      <c r="P160" s="939">
        <v>8</v>
      </c>
      <c r="Q160" s="953"/>
      <c r="R160" s="939">
        <v>10</v>
      </c>
      <c r="S160" s="953"/>
      <c r="T160" s="939">
        <v>0</v>
      </c>
      <c r="U160" s="953"/>
      <c r="V160" s="939">
        <v>0</v>
      </c>
      <c r="W160" s="953"/>
      <c r="X160" s="881"/>
    </row>
    <row r="161" spans="1:24" ht="12.95" customHeight="1" thickBot="1">
      <c r="A161" s="96" t="s">
        <v>13</v>
      </c>
      <c r="B161" s="885" t="s">
        <v>178</v>
      </c>
      <c r="C161" s="1258" t="s">
        <v>170</v>
      </c>
      <c r="D161" s="927" t="s">
        <v>4</v>
      </c>
      <c r="E161" s="928"/>
      <c r="F161" s="928"/>
      <c r="G161" s="928"/>
      <c r="H161" s="928"/>
      <c r="I161" s="928"/>
      <c r="J161" s="928"/>
      <c r="K161" s="928"/>
      <c r="L161" s="928"/>
      <c r="M161" s="928"/>
      <c r="N161" s="928"/>
      <c r="O161" s="928"/>
      <c r="P161" s="928"/>
      <c r="Q161" s="928"/>
      <c r="R161" s="928"/>
      <c r="S161" s="928"/>
      <c r="T161" s="928"/>
      <c r="U161" s="928"/>
      <c r="V161" s="928"/>
      <c r="W161" s="929"/>
      <c r="X161" s="24" t="s">
        <v>14</v>
      </c>
    </row>
    <row r="162" spans="1:24" ht="12.95" customHeight="1" thickBot="1">
      <c r="A162" s="25" t="s">
        <v>74</v>
      </c>
      <c r="B162" s="869"/>
      <c r="C162" s="1259"/>
      <c r="D162" s="930" t="s">
        <v>124</v>
      </c>
      <c r="E162" s="931"/>
      <c r="F162" s="931"/>
      <c r="G162" s="931"/>
      <c r="H162" s="931"/>
      <c r="I162" s="931"/>
      <c r="J162" s="931"/>
      <c r="K162" s="931"/>
      <c r="L162" s="931"/>
      <c r="M162" s="931"/>
      <c r="N162" s="931"/>
      <c r="O162" s="931"/>
      <c r="P162" s="931"/>
      <c r="Q162" s="931"/>
      <c r="R162" s="931"/>
      <c r="S162" s="931"/>
      <c r="T162" s="931"/>
      <c r="U162" s="931"/>
      <c r="V162" s="931"/>
      <c r="W162" s="932"/>
      <c r="X162" s="18" t="s">
        <v>93</v>
      </c>
    </row>
    <row r="163" spans="1:24" ht="12.95" customHeight="1" thickBot="1">
      <c r="A163" s="906" t="s">
        <v>7</v>
      </c>
      <c r="B163" s="908" t="s">
        <v>173</v>
      </c>
      <c r="C163" s="909"/>
      <c r="D163" s="908" t="s">
        <v>8</v>
      </c>
      <c r="E163" s="918"/>
      <c r="F163" s="918"/>
      <c r="G163" s="909"/>
      <c r="H163" s="908" t="s">
        <v>88</v>
      </c>
      <c r="I163" s="918"/>
      <c r="J163" s="918"/>
      <c r="K163" s="909"/>
      <c r="L163" s="908" t="s">
        <v>89</v>
      </c>
      <c r="M163" s="918"/>
      <c r="N163" s="918"/>
      <c r="O163" s="909"/>
      <c r="P163" s="908" t="s">
        <v>9</v>
      </c>
      <c r="Q163" s="918"/>
      <c r="R163" s="918"/>
      <c r="S163" s="909"/>
      <c r="T163" s="908" t="s">
        <v>174</v>
      </c>
      <c r="U163" s="918"/>
      <c r="V163" s="918"/>
      <c r="W163" s="918"/>
      <c r="X163" s="909"/>
    </row>
    <row r="164" spans="1:24" ht="13.5" thickBot="1">
      <c r="A164" s="907"/>
      <c r="B164" s="1256"/>
      <c r="C164" s="1257"/>
      <c r="D164" s="916"/>
      <c r="E164" s="994"/>
      <c r="F164" s="994"/>
      <c r="G164" s="917"/>
      <c r="H164" s="916"/>
      <c r="I164" s="994"/>
      <c r="J164" s="994"/>
      <c r="K164" s="917"/>
      <c r="L164" s="916"/>
      <c r="M164" s="994"/>
      <c r="N164" s="994"/>
      <c r="O164" s="917"/>
      <c r="P164" s="916">
        <f>SUM(B164:O164)</f>
        <v>0</v>
      </c>
      <c r="Q164" s="994"/>
      <c r="R164" s="994"/>
      <c r="S164" s="917"/>
      <c r="T164" s="916" t="e">
        <f>B164/P164%</f>
        <v>#DIV/0!</v>
      </c>
      <c r="U164" s="994"/>
      <c r="V164" s="994"/>
      <c r="W164" s="994"/>
      <c r="X164" s="917"/>
    </row>
    <row r="165" spans="1:24" ht="13.5" thickBot="1">
      <c r="A165" s="906" t="s">
        <v>10</v>
      </c>
      <c r="B165" s="908" t="s">
        <v>175</v>
      </c>
      <c r="C165" s="909"/>
      <c r="D165" s="910"/>
      <c r="E165" s="911"/>
      <c r="F165" s="911"/>
      <c r="G165" s="911"/>
      <c r="H165" s="911"/>
      <c r="I165" s="911"/>
      <c r="J165" s="911"/>
      <c r="K165" s="911"/>
      <c r="L165" s="911"/>
      <c r="M165" s="911"/>
      <c r="N165" s="911"/>
      <c r="O165" s="911"/>
      <c r="P165" s="911"/>
      <c r="Q165" s="911"/>
      <c r="R165" s="911"/>
      <c r="S165" s="911"/>
      <c r="T165" s="911"/>
      <c r="U165" s="911"/>
      <c r="V165" s="911"/>
      <c r="W165" s="911"/>
      <c r="X165" s="912"/>
    </row>
    <row r="166" spans="1:24" ht="13.5" thickBot="1">
      <c r="A166" s="907"/>
      <c r="B166" s="1256"/>
      <c r="C166" s="1257"/>
      <c r="D166" s="913"/>
      <c r="E166" s="914"/>
      <c r="F166" s="914"/>
      <c r="G166" s="914"/>
      <c r="H166" s="914"/>
      <c r="I166" s="914"/>
      <c r="J166" s="914"/>
      <c r="K166" s="914"/>
      <c r="L166" s="914"/>
      <c r="M166" s="914"/>
      <c r="N166" s="914"/>
      <c r="O166" s="914"/>
      <c r="P166" s="914"/>
      <c r="Q166" s="914"/>
      <c r="R166" s="914"/>
      <c r="S166" s="914"/>
      <c r="T166" s="914"/>
      <c r="U166" s="914"/>
      <c r="V166" s="914"/>
      <c r="W166" s="914"/>
      <c r="X166" s="915"/>
    </row>
    <row r="168" spans="1:24" ht="13.5" thickBot="1"/>
    <row r="169" spans="1:24" ht="12.95" customHeight="1" thickBot="1">
      <c r="A169" s="472" t="s">
        <v>27</v>
      </c>
      <c r="B169" s="473" t="s">
        <v>35</v>
      </c>
      <c r="C169" s="474"/>
      <c r="D169" s="1230" t="s">
        <v>78</v>
      </c>
      <c r="E169" s="1231"/>
      <c r="F169" s="1231"/>
      <c r="G169" s="1232"/>
      <c r="H169" s="1240" t="s">
        <v>77</v>
      </c>
      <c r="I169" s="1231"/>
      <c r="J169" s="1231"/>
      <c r="K169" s="1232"/>
      <c r="L169" s="1240" t="s">
        <v>81</v>
      </c>
      <c r="M169" s="1231"/>
      <c r="N169" s="1231"/>
      <c r="O169" s="1232"/>
      <c r="P169" s="1240" t="s">
        <v>254</v>
      </c>
      <c r="Q169" s="1231"/>
      <c r="R169" s="1231"/>
      <c r="S169" s="1232"/>
      <c r="T169" s="1240" t="s">
        <v>76</v>
      </c>
      <c r="U169" s="1231"/>
      <c r="V169" s="1231"/>
      <c r="W169" s="1232"/>
      <c r="X169" s="475" t="s">
        <v>12</v>
      </c>
    </row>
    <row r="170" spans="1:24" ht="12.95" customHeight="1" thickBot="1">
      <c r="A170" s="1253" t="s">
        <v>70</v>
      </c>
      <c r="B170" s="873" t="s">
        <v>609</v>
      </c>
      <c r="C170" s="90"/>
      <c r="D170" s="1215" t="s">
        <v>636</v>
      </c>
      <c r="E170" s="1216"/>
      <c r="F170" s="1216"/>
      <c r="G170" s="1217"/>
      <c r="H170" s="1215" t="s">
        <v>636</v>
      </c>
      <c r="I170" s="1216"/>
      <c r="J170" s="1216"/>
      <c r="K170" s="1217"/>
      <c r="L170" s="1215" t="s">
        <v>636</v>
      </c>
      <c r="M170" s="1216"/>
      <c r="N170" s="1216"/>
      <c r="O170" s="1217"/>
      <c r="P170" s="476" t="s">
        <v>602</v>
      </c>
      <c r="Q170" s="476" t="s">
        <v>603</v>
      </c>
      <c r="R170" s="476" t="s">
        <v>608</v>
      </c>
      <c r="S170" s="476" t="s">
        <v>604</v>
      </c>
      <c r="T170" s="476" t="s">
        <v>602</v>
      </c>
      <c r="U170" s="476" t="s">
        <v>603</v>
      </c>
      <c r="V170" s="476" t="s">
        <v>608</v>
      </c>
      <c r="W170" s="476" t="s">
        <v>604</v>
      </c>
      <c r="X170" s="879" t="s">
        <v>90</v>
      </c>
    </row>
    <row r="171" spans="1:24" ht="12.95" customHeight="1" thickBot="1">
      <c r="A171" s="1254"/>
      <c r="B171" s="874"/>
      <c r="C171" s="26" t="s">
        <v>2</v>
      </c>
      <c r="D171" s="924">
        <v>2</v>
      </c>
      <c r="E171" s="925"/>
      <c r="F171" s="925"/>
      <c r="G171" s="926"/>
      <c r="H171" s="924">
        <v>5</v>
      </c>
      <c r="I171" s="925"/>
      <c r="J171" s="925"/>
      <c r="K171" s="926"/>
      <c r="L171" s="924">
        <v>6</v>
      </c>
      <c r="M171" s="925"/>
      <c r="N171" s="925"/>
      <c r="O171" s="926"/>
      <c r="P171" s="939">
        <v>11</v>
      </c>
      <c r="Q171" s="940"/>
      <c r="R171" s="940"/>
      <c r="S171" s="941"/>
      <c r="T171" s="784">
        <v>9</v>
      </c>
      <c r="U171" s="150">
        <v>8</v>
      </c>
      <c r="V171" s="150">
        <v>8</v>
      </c>
      <c r="W171" s="784">
        <v>7</v>
      </c>
      <c r="X171" s="880"/>
    </row>
    <row r="172" spans="1:24" ht="12.95" customHeight="1" thickBot="1">
      <c r="A172" s="1254"/>
      <c r="B172" s="874"/>
      <c r="C172" s="9" t="s">
        <v>3</v>
      </c>
      <c r="D172" s="1241" t="s">
        <v>837</v>
      </c>
      <c r="E172" s="1242"/>
      <c r="F172" s="1242"/>
      <c r="G172" s="1243"/>
      <c r="H172" s="1247">
        <v>5</v>
      </c>
      <c r="I172" s="940"/>
      <c r="J172" s="940"/>
      <c r="K172" s="1248"/>
      <c r="L172" s="1247">
        <v>8</v>
      </c>
      <c r="M172" s="940"/>
      <c r="N172" s="940"/>
      <c r="O172" s="1248"/>
      <c r="P172" s="150">
        <v>9</v>
      </c>
      <c r="Q172" s="777">
        <v>6</v>
      </c>
      <c r="R172" s="777">
        <v>6</v>
      </c>
      <c r="S172" s="777">
        <v>6</v>
      </c>
      <c r="T172" s="150">
        <v>0</v>
      </c>
      <c r="U172" s="150">
        <v>0</v>
      </c>
      <c r="V172" s="150">
        <v>0</v>
      </c>
      <c r="W172" s="150">
        <v>0</v>
      </c>
      <c r="X172" s="880"/>
    </row>
    <row r="173" spans="1:24" ht="12.95" customHeight="1" thickBot="1">
      <c r="A173" s="1254"/>
      <c r="B173" s="874"/>
      <c r="C173" s="1297" t="s">
        <v>838</v>
      </c>
      <c r="D173" s="1230" t="s">
        <v>839</v>
      </c>
      <c r="E173" s="1231"/>
      <c r="F173" s="1231"/>
      <c r="G173" s="1231"/>
      <c r="H173" s="1231"/>
      <c r="I173" s="1231"/>
      <c r="J173" s="1231"/>
      <c r="K173" s="1231"/>
      <c r="L173" s="1231"/>
      <c r="M173" s="1231"/>
      <c r="N173" s="1231"/>
      <c r="O173" s="1231"/>
      <c r="P173" s="1231"/>
      <c r="Q173" s="1231"/>
      <c r="R173" s="1231"/>
      <c r="S173" s="1231"/>
      <c r="T173" s="1231"/>
      <c r="U173" s="1231"/>
      <c r="V173" s="1231"/>
      <c r="W173" s="1232"/>
      <c r="X173" s="880"/>
    </row>
    <row r="174" spans="1:24" ht="12.95" customHeight="1" thickBot="1">
      <c r="A174" s="1254"/>
      <c r="B174" s="1249"/>
      <c r="C174" s="1298"/>
      <c r="D174" s="930" t="s">
        <v>125</v>
      </c>
      <c r="E174" s="931"/>
      <c r="F174" s="931"/>
      <c r="G174" s="931"/>
      <c r="H174" s="931"/>
      <c r="I174" s="931"/>
      <c r="J174" s="931"/>
      <c r="K174" s="931"/>
      <c r="L174" s="931"/>
      <c r="M174" s="931"/>
      <c r="N174" s="931"/>
      <c r="O174" s="931"/>
      <c r="P174" s="931"/>
      <c r="Q174" s="931"/>
      <c r="R174" s="931"/>
      <c r="S174" s="931"/>
      <c r="T174" s="931"/>
      <c r="U174" s="931"/>
      <c r="V174" s="931"/>
      <c r="W174" s="932"/>
      <c r="X174" s="880"/>
    </row>
    <row r="175" spans="1:24" ht="12.95" customHeight="1" thickBot="1">
      <c r="A175" s="1254"/>
      <c r="B175" s="477" t="s">
        <v>36</v>
      </c>
      <c r="C175" s="478"/>
      <c r="D175" s="1230" t="s">
        <v>78</v>
      </c>
      <c r="E175" s="1231"/>
      <c r="F175" s="1231"/>
      <c r="G175" s="1232"/>
      <c r="H175" s="1240" t="s">
        <v>77</v>
      </c>
      <c r="I175" s="1231"/>
      <c r="J175" s="1231"/>
      <c r="K175" s="1232"/>
      <c r="L175" s="1240" t="s">
        <v>81</v>
      </c>
      <c r="M175" s="1231"/>
      <c r="N175" s="1231"/>
      <c r="O175" s="1232"/>
      <c r="P175" s="1240" t="s">
        <v>254</v>
      </c>
      <c r="Q175" s="1231"/>
      <c r="R175" s="1231"/>
      <c r="S175" s="1232"/>
      <c r="T175" s="1240" t="s">
        <v>76</v>
      </c>
      <c r="U175" s="1231"/>
      <c r="V175" s="1231"/>
      <c r="W175" s="1246"/>
      <c r="X175" s="880"/>
    </row>
    <row r="176" spans="1:24" ht="12.95" customHeight="1" thickBot="1">
      <c r="A176" s="1254"/>
      <c r="B176" s="873" t="s">
        <v>601</v>
      </c>
      <c r="C176" s="90"/>
      <c r="D176" s="1215" t="s">
        <v>636</v>
      </c>
      <c r="E176" s="1216"/>
      <c r="F176" s="1216"/>
      <c r="G176" s="1217"/>
      <c r="H176" s="1215" t="s">
        <v>636</v>
      </c>
      <c r="I176" s="1216"/>
      <c r="J176" s="1216"/>
      <c r="K176" s="1217"/>
      <c r="L176" s="1215" t="s">
        <v>636</v>
      </c>
      <c r="M176" s="1216"/>
      <c r="N176" s="1216"/>
      <c r="O176" s="1217"/>
      <c r="P176" s="479" t="s">
        <v>101</v>
      </c>
      <c r="Q176" s="479" t="s">
        <v>104</v>
      </c>
      <c r="R176" s="479" t="s">
        <v>102</v>
      </c>
      <c r="S176" s="479" t="s">
        <v>103</v>
      </c>
      <c r="T176" s="479" t="s">
        <v>101</v>
      </c>
      <c r="U176" s="479" t="s">
        <v>104</v>
      </c>
      <c r="V176" s="479" t="s">
        <v>102</v>
      </c>
      <c r="W176" s="479" t="s">
        <v>103</v>
      </c>
      <c r="X176" s="880"/>
    </row>
    <row r="177" spans="1:24" ht="13.5" thickBot="1">
      <c r="A177" s="1254"/>
      <c r="B177" s="874"/>
      <c r="C177" s="26" t="s">
        <v>2</v>
      </c>
      <c r="D177" s="924">
        <v>2</v>
      </c>
      <c r="E177" s="925"/>
      <c r="F177" s="925"/>
      <c r="G177" s="926"/>
      <c r="H177" s="924">
        <v>5</v>
      </c>
      <c r="I177" s="925"/>
      <c r="J177" s="925"/>
      <c r="K177" s="926"/>
      <c r="L177" s="924">
        <v>8</v>
      </c>
      <c r="M177" s="925"/>
      <c r="N177" s="925"/>
      <c r="O177" s="926"/>
      <c r="P177" s="939">
        <v>4</v>
      </c>
      <c r="Q177" s="940"/>
      <c r="R177" s="940"/>
      <c r="S177" s="941"/>
      <c r="T177" s="150">
        <v>9</v>
      </c>
      <c r="U177" s="785">
        <v>8</v>
      </c>
      <c r="V177" s="785">
        <v>6</v>
      </c>
      <c r="W177" s="150">
        <v>2</v>
      </c>
      <c r="X177" s="880"/>
    </row>
    <row r="178" spans="1:24" ht="12.95" customHeight="1" thickBot="1">
      <c r="A178" s="1254"/>
      <c r="B178" s="874"/>
      <c r="C178" s="9" t="s">
        <v>3</v>
      </c>
      <c r="D178" s="1241" t="s">
        <v>837</v>
      </c>
      <c r="E178" s="1242"/>
      <c r="F178" s="1242"/>
      <c r="G178" s="1243"/>
      <c r="H178" s="1250" t="s">
        <v>637</v>
      </c>
      <c r="I178" s="1242"/>
      <c r="J178" s="1242"/>
      <c r="K178" s="1243"/>
      <c r="L178" s="1251">
        <v>2</v>
      </c>
      <c r="M178" s="925"/>
      <c r="N178" s="925"/>
      <c r="O178" s="926"/>
      <c r="P178" s="150">
        <v>6</v>
      </c>
      <c r="Q178" s="777">
        <v>5</v>
      </c>
      <c r="R178" s="777">
        <v>4</v>
      </c>
      <c r="S178" s="777">
        <v>2</v>
      </c>
      <c r="T178" s="150">
        <v>0</v>
      </c>
      <c r="U178" s="150">
        <v>0</v>
      </c>
      <c r="V178" s="150">
        <v>0</v>
      </c>
      <c r="W178" s="150">
        <v>0</v>
      </c>
      <c r="X178" s="880"/>
    </row>
    <row r="179" spans="1:24" ht="12.95" customHeight="1" thickBot="1">
      <c r="A179" s="1254"/>
      <c r="B179" s="874"/>
      <c r="C179" s="1299" t="s">
        <v>838</v>
      </c>
      <c r="D179" s="1230" t="s">
        <v>839</v>
      </c>
      <c r="E179" s="1231"/>
      <c r="F179" s="1231"/>
      <c r="G179" s="1231"/>
      <c r="H179" s="1231"/>
      <c r="I179" s="1231"/>
      <c r="J179" s="1231"/>
      <c r="K179" s="1231"/>
      <c r="L179" s="1231"/>
      <c r="M179" s="1231"/>
      <c r="N179" s="1231"/>
      <c r="O179" s="1231"/>
      <c r="P179" s="1231"/>
      <c r="Q179" s="1231"/>
      <c r="R179" s="1231"/>
      <c r="S179" s="1231"/>
      <c r="T179" s="1231"/>
      <c r="U179" s="1231"/>
      <c r="V179" s="1231"/>
      <c r="W179" s="1232"/>
      <c r="X179" s="880"/>
    </row>
    <row r="180" spans="1:24" ht="12.95" customHeight="1" thickBot="1">
      <c r="A180" s="1254"/>
      <c r="B180" s="1249"/>
      <c r="C180" s="1296"/>
      <c r="D180" s="930" t="s">
        <v>125</v>
      </c>
      <c r="E180" s="931"/>
      <c r="F180" s="931"/>
      <c r="G180" s="931"/>
      <c r="H180" s="931"/>
      <c r="I180" s="931"/>
      <c r="J180" s="931"/>
      <c r="K180" s="931"/>
      <c r="L180" s="931"/>
      <c r="M180" s="931"/>
      <c r="N180" s="931"/>
      <c r="O180" s="931"/>
      <c r="P180" s="931"/>
      <c r="Q180" s="931"/>
      <c r="R180" s="931"/>
      <c r="S180" s="931"/>
      <c r="T180" s="931"/>
      <c r="U180" s="931"/>
      <c r="V180" s="931"/>
      <c r="W180" s="1233"/>
      <c r="X180" s="880"/>
    </row>
    <row r="181" spans="1:24" ht="12.95" customHeight="1" thickBot="1">
      <c r="A181" s="1254"/>
      <c r="B181" s="477" t="s">
        <v>600</v>
      </c>
      <c r="C181" s="478"/>
      <c r="D181" s="1230" t="s">
        <v>78</v>
      </c>
      <c r="E181" s="1231"/>
      <c r="F181" s="1231"/>
      <c r="G181" s="1232"/>
      <c r="H181" s="1240" t="s">
        <v>77</v>
      </c>
      <c r="I181" s="1231"/>
      <c r="J181" s="1231"/>
      <c r="K181" s="1232"/>
      <c r="L181" s="1240" t="s">
        <v>81</v>
      </c>
      <c r="M181" s="1231"/>
      <c r="N181" s="1231"/>
      <c r="O181" s="1232"/>
      <c r="P181" s="1240" t="s">
        <v>254</v>
      </c>
      <c r="Q181" s="1231"/>
      <c r="R181" s="1231"/>
      <c r="S181" s="1232"/>
      <c r="T181" s="1240" t="s">
        <v>76</v>
      </c>
      <c r="U181" s="1231"/>
      <c r="V181" s="1231"/>
      <c r="W181" s="1232"/>
      <c r="X181" s="880"/>
    </row>
    <row r="182" spans="1:24" ht="14.25" thickBot="1">
      <c r="A182" s="1254"/>
      <c r="B182" s="1132" t="s">
        <v>648</v>
      </c>
      <c r="C182" s="90"/>
      <c r="D182" s="1215"/>
      <c r="E182" s="1216"/>
      <c r="F182" s="1216"/>
      <c r="G182" s="1217"/>
      <c r="H182" s="1215"/>
      <c r="I182" s="1216"/>
      <c r="J182" s="1216"/>
      <c r="K182" s="1217"/>
      <c r="L182" s="1215"/>
      <c r="M182" s="1216"/>
      <c r="N182" s="1216"/>
      <c r="O182" s="1217"/>
      <c r="P182" s="479" t="s">
        <v>840</v>
      </c>
      <c r="Q182" s="476" t="s">
        <v>607</v>
      </c>
      <c r="R182" s="479" t="s">
        <v>606</v>
      </c>
      <c r="S182" s="479" t="s">
        <v>605</v>
      </c>
      <c r="T182" s="479" t="s">
        <v>840</v>
      </c>
      <c r="U182" s="476" t="s">
        <v>607</v>
      </c>
      <c r="V182" s="479" t="s">
        <v>606</v>
      </c>
      <c r="W182" s="479" t="s">
        <v>605</v>
      </c>
      <c r="X182" s="880"/>
    </row>
    <row r="183" spans="1:24" ht="12.95" customHeight="1" thickBot="1">
      <c r="A183" s="1254"/>
      <c r="B183" s="1133"/>
      <c r="C183" s="26" t="s">
        <v>2</v>
      </c>
      <c r="D183" s="957"/>
      <c r="E183" s="958"/>
      <c r="F183" s="958"/>
      <c r="G183" s="959"/>
      <c r="H183" s="1241" t="s">
        <v>635</v>
      </c>
      <c r="I183" s="1242"/>
      <c r="J183" s="1242"/>
      <c r="K183" s="1243"/>
      <c r="L183" s="966" t="s">
        <v>841</v>
      </c>
      <c r="M183" s="967"/>
      <c r="N183" s="967"/>
      <c r="O183" s="968"/>
      <c r="P183" s="150">
        <v>3</v>
      </c>
      <c r="Q183" s="150">
        <v>2</v>
      </c>
      <c r="R183" s="150">
        <v>1</v>
      </c>
      <c r="S183" s="150">
        <v>0</v>
      </c>
      <c r="T183" s="785">
        <v>9</v>
      </c>
      <c r="U183" s="785">
        <v>5</v>
      </c>
      <c r="V183" s="150">
        <v>2</v>
      </c>
      <c r="W183" s="784">
        <v>0</v>
      </c>
      <c r="X183" s="880"/>
    </row>
    <row r="184" spans="1:24" ht="12.95" customHeight="1" thickBot="1">
      <c r="A184" s="1255"/>
      <c r="B184" s="1133"/>
      <c r="C184" s="9" t="s">
        <v>3</v>
      </c>
      <c r="D184" s="957"/>
      <c r="E184" s="958"/>
      <c r="F184" s="958"/>
      <c r="G184" s="959"/>
      <c r="H184" s="957"/>
      <c r="I184" s="958"/>
      <c r="J184" s="958"/>
      <c r="K184" s="959"/>
      <c r="L184" s="957"/>
      <c r="M184" s="958"/>
      <c r="N184" s="958"/>
      <c r="O184" s="959"/>
      <c r="P184" s="957"/>
      <c r="Q184" s="958"/>
      <c r="R184" s="958"/>
      <c r="S184" s="959"/>
      <c r="T184" s="150">
        <v>0</v>
      </c>
      <c r="U184" s="104">
        <v>0</v>
      </c>
      <c r="V184" s="104">
        <v>0</v>
      </c>
      <c r="W184" s="104">
        <v>0</v>
      </c>
      <c r="X184" s="881"/>
    </row>
    <row r="185" spans="1:24" ht="12.95" customHeight="1" thickBot="1">
      <c r="A185" s="480" t="s">
        <v>13</v>
      </c>
      <c r="B185" s="1133"/>
      <c r="C185" s="1295" t="s">
        <v>838</v>
      </c>
      <c r="D185" s="1230" t="s">
        <v>4</v>
      </c>
      <c r="E185" s="1231"/>
      <c r="F185" s="1231"/>
      <c r="G185" s="1231"/>
      <c r="H185" s="1231"/>
      <c r="I185" s="1231"/>
      <c r="J185" s="1231"/>
      <c r="K185" s="1231"/>
      <c r="L185" s="1231"/>
      <c r="M185" s="1231"/>
      <c r="N185" s="1231"/>
      <c r="O185" s="1231"/>
      <c r="P185" s="1231"/>
      <c r="Q185" s="1231"/>
      <c r="R185" s="1231"/>
      <c r="S185" s="1231"/>
      <c r="T185" s="1231"/>
      <c r="U185" s="1231"/>
      <c r="V185" s="1231"/>
      <c r="W185" s="1232"/>
      <c r="X185" s="24" t="s">
        <v>14</v>
      </c>
    </row>
    <row r="186" spans="1:24" ht="12.95" customHeight="1" thickBot="1">
      <c r="A186" s="481" t="s">
        <v>73</v>
      </c>
      <c r="B186" s="1134"/>
      <c r="C186" s="1296"/>
      <c r="D186" s="930" t="s">
        <v>125</v>
      </c>
      <c r="E186" s="931"/>
      <c r="F186" s="931"/>
      <c r="G186" s="931"/>
      <c r="H186" s="931"/>
      <c r="I186" s="931"/>
      <c r="J186" s="931"/>
      <c r="K186" s="931"/>
      <c r="L186" s="931"/>
      <c r="M186" s="931"/>
      <c r="N186" s="931"/>
      <c r="O186" s="931"/>
      <c r="P186" s="931"/>
      <c r="Q186" s="931"/>
      <c r="R186" s="931"/>
      <c r="S186" s="931"/>
      <c r="T186" s="931"/>
      <c r="U186" s="931"/>
      <c r="V186" s="931"/>
      <c r="W186" s="1233"/>
      <c r="X186" s="18" t="s">
        <v>92</v>
      </c>
    </row>
    <row r="187" spans="1:24" ht="12.95" customHeight="1" thickBot="1">
      <c r="A187" s="1218" t="s">
        <v>7</v>
      </c>
      <c r="B187" s="1220" t="s">
        <v>173</v>
      </c>
      <c r="C187" s="1221"/>
      <c r="D187" s="1220" t="s">
        <v>8</v>
      </c>
      <c r="E187" s="1235"/>
      <c r="F187" s="1235"/>
      <c r="G187" s="1236"/>
      <c r="H187" s="1237" t="s">
        <v>88</v>
      </c>
      <c r="I187" s="1235"/>
      <c r="J187" s="1235"/>
      <c r="K187" s="1236"/>
      <c r="L187" s="1237" t="s">
        <v>89</v>
      </c>
      <c r="M187" s="1235"/>
      <c r="N187" s="1235"/>
      <c r="O187" s="1236"/>
      <c r="P187" s="1237" t="s">
        <v>9</v>
      </c>
      <c r="Q187" s="1235"/>
      <c r="R187" s="1235"/>
      <c r="S187" s="1236"/>
      <c r="T187" s="1237" t="s">
        <v>174</v>
      </c>
      <c r="U187" s="1235"/>
      <c r="V187" s="1235"/>
      <c r="W187" s="1235"/>
      <c r="X187" s="1236"/>
    </row>
    <row r="188" spans="1:24" ht="13.5" thickBot="1">
      <c r="A188" s="1234"/>
      <c r="B188" s="975"/>
      <c r="C188" s="976"/>
      <c r="D188" s="975"/>
      <c r="E188" s="977"/>
      <c r="F188" s="977"/>
      <c r="G188" s="1238"/>
      <c r="H188" s="1239"/>
      <c r="I188" s="977"/>
      <c r="J188" s="977"/>
      <c r="K188" s="1238"/>
      <c r="L188" s="1239"/>
      <c r="M188" s="977"/>
      <c r="N188" s="977"/>
      <c r="O188" s="1238"/>
      <c r="P188" s="916">
        <f>SUM(B188:O188)</f>
        <v>0</v>
      </c>
      <c r="Q188" s="994"/>
      <c r="R188" s="994"/>
      <c r="S188" s="917"/>
      <c r="T188" s="916" t="e">
        <f>B188/P188%</f>
        <v>#DIV/0!</v>
      </c>
      <c r="U188" s="994"/>
      <c r="V188" s="994"/>
      <c r="W188" s="994"/>
      <c r="X188" s="917"/>
    </row>
    <row r="189" spans="1:24" ht="13.5" thickBot="1">
      <c r="A189" s="1218" t="s">
        <v>10</v>
      </c>
      <c r="B189" s="1220" t="s">
        <v>175</v>
      </c>
      <c r="C189" s="1221"/>
      <c r="D189" s="1222"/>
      <c r="E189" s="1223"/>
      <c r="F189" s="1223"/>
      <c r="G189" s="1223"/>
      <c r="H189" s="1223"/>
      <c r="I189" s="1223"/>
      <c r="J189" s="1223"/>
      <c r="K189" s="1223"/>
      <c r="L189" s="1223"/>
      <c r="M189" s="1223"/>
      <c r="N189" s="1223"/>
      <c r="O189" s="1223"/>
      <c r="P189" s="1223"/>
      <c r="Q189" s="1223"/>
      <c r="R189" s="1223"/>
      <c r="S189" s="1223"/>
      <c r="T189" s="1223"/>
      <c r="U189" s="1223"/>
      <c r="V189" s="1223"/>
      <c r="W189" s="1223"/>
      <c r="X189" s="1224"/>
    </row>
    <row r="190" spans="1:24" ht="13.5" thickBot="1">
      <c r="A190" s="1219"/>
      <c r="B190" s="916"/>
      <c r="C190" s="917"/>
      <c r="D190" s="1225"/>
      <c r="E190" s="1226"/>
      <c r="F190" s="1226"/>
      <c r="G190" s="1226"/>
      <c r="H190" s="1226"/>
      <c r="I190" s="1226"/>
      <c r="J190" s="1226"/>
      <c r="K190" s="1226"/>
      <c r="L190" s="1226"/>
      <c r="M190" s="1226"/>
      <c r="N190" s="1226"/>
      <c r="O190" s="1226"/>
      <c r="P190" s="1226"/>
      <c r="Q190" s="1226"/>
      <c r="R190" s="1226"/>
      <c r="S190" s="1226"/>
      <c r="T190" s="1226"/>
      <c r="U190" s="1226"/>
      <c r="V190" s="1226"/>
      <c r="W190" s="1226"/>
      <c r="X190" s="1227"/>
    </row>
  </sheetData>
  <sheetProtection password="CF55" sheet="1" objects="1" scenarios="1" selectLockedCells="1" selectUnlockedCells="1"/>
  <mergeCells count="625">
    <mergeCell ref="D12:W12"/>
    <mergeCell ref="D13:W13"/>
    <mergeCell ref="D4:G4"/>
    <mergeCell ref="H4:K4"/>
    <mergeCell ref="L4:O4"/>
    <mergeCell ref="P4:S4"/>
    <mergeCell ref="T4:W4"/>
    <mergeCell ref="X4:X18"/>
    <mergeCell ref="P9:S9"/>
    <mergeCell ref="T9:W9"/>
    <mergeCell ref="D14:G14"/>
    <mergeCell ref="H14:K14"/>
    <mergeCell ref="A22:A36"/>
    <mergeCell ref="B22:B25"/>
    <mergeCell ref="D22:G22"/>
    <mergeCell ref="H22:K22"/>
    <mergeCell ref="L22:O22"/>
    <mergeCell ref="L14:O14"/>
    <mergeCell ref="C24:C25"/>
    <mergeCell ref="C29:C30"/>
    <mergeCell ref="H31:K31"/>
    <mergeCell ref="L31:O31"/>
    <mergeCell ref="A5:A18"/>
    <mergeCell ref="B5:B8"/>
    <mergeCell ref="D5:W5"/>
    <mergeCell ref="D6:W6"/>
    <mergeCell ref="C7:C8"/>
    <mergeCell ref="D7:W7"/>
    <mergeCell ref="D8:W8"/>
    <mergeCell ref="D9:G9"/>
    <mergeCell ref="H9:K9"/>
    <mergeCell ref="L9:O9"/>
    <mergeCell ref="B10:B13"/>
    <mergeCell ref="D10:W10"/>
    <mergeCell ref="D11:W11"/>
    <mergeCell ref="C12:C13"/>
    <mergeCell ref="B27:B30"/>
    <mergeCell ref="D27:G27"/>
    <mergeCell ref="H27:K27"/>
    <mergeCell ref="L27:O27"/>
    <mergeCell ref="D30:W30"/>
    <mergeCell ref="D31:G31"/>
    <mergeCell ref="L28:O28"/>
    <mergeCell ref="P28:S28"/>
    <mergeCell ref="P14:S14"/>
    <mergeCell ref="T14:W14"/>
    <mergeCell ref="B15:B18"/>
    <mergeCell ref="D15:W15"/>
    <mergeCell ref="D16:W16"/>
    <mergeCell ref="C17:C18"/>
    <mergeCell ref="D17:W17"/>
    <mergeCell ref="D18:W18"/>
    <mergeCell ref="D21:G21"/>
    <mergeCell ref="H21:K21"/>
    <mergeCell ref="L21:O21"/>
    <mergeCell ref="P21:S21"/>
    <mergeCell ref="T21:W21"/>
    <mergeCell ref="D24:W24"/>
    <mergeCell ref="X22:X36"/>
    <mergeCell ref="D23:G23"/>
    <mergeCell ref="H23:K23"/>
    <mergeCell ref="L23:O23"/>
    <mergeCell ref="P23:S23"/>
    <mergeCell ref="T23:W23"/>
    <mergeCell ref="T28:W28"/>
    <mergeCell ref="D25:W25"/>
    <mergeCell ref="D26:G26"/>
    <mergeCell ref="H26:K26"/>
    <mergeCell ref="P31:S31"/>
    <mergeCell ref="T31:W31"/>
    <mergeCell ref="L26:O26"/>
    <mergeCell ref="P26:S26"/>
    <mergeCell ref="T26:W26"/>
    <mergeCell ref="P22:S22"/>
    <mergeCell ref="T22:W22"/>
    <mergeCell ref="D29:W29"/>
    <mergeCell ref="P27:S27"/>
    <mergeCell ref="T27:W27"/>
    <mergeCell ref="D28:G28"/>
    <mergeCell ref="H28:K28"/>
    <mergeCell ref="P44:S44"/>
    <mergeCell ref="P46:S46"/>
    <mergeCell ref="L45:O45"/>
    <mergeCell ref="P45:S45"/>
    <mergeCell ref="H46:K46"/>
    <mergeCell ref="D45:G45"/>
    <mergeCell ref="B32:B33"/>
    <mergeCell ref="D34:G34"/>
    <mergeCell ref="C35:C36"/>
    <mergeCell ref="D35:W35"/>
    <mergeCell ref="D36:W36"/>
    <mergeCell ref="B40:B43"/>
    <mergeCell ref="D40:G40"/>
    <mergeCell ref="H40:K40"/>
    <mergeCell ref="L40:O40"/>
    <mergeCell ref="D39:G39"/>
    <mergeCell ref="H39:K39"/>
    <mergeCell ref="L39:O39"/>
    <mergeCell ref="P39:S39"/>
    <mergeCell ref="T39:W39"/>
    <mergeCell ref="T40:W40"/>
    <mergeCell ref="P40:S40"/>
    <mergeCell ref="H41:K41"/>
    <mergeCell ref="T50:W50"/>
    <mergeCell ref="D51:G51"/>
    <mergeCell ref="A60:A61"/>
    <mergeCell ref="B60:C60"/>
    <mergeCell ref="D60:G60"/>
    <mergeCell ref="H60:K60"/>
    <mergeCell ref="L60:O60"/>
    <mergeCell ref="D59:W59"/>
    <mergeCell ref="L61:O61"/>
    <mergeCell ref="P61:S61"/>
    <mergeCell ref="T61:X61"/>
    <mergeCell ref="P60:S60"/>
    <mergeCell ref="A40:A59"/>
    <mergeCell ref="T45:W45"/>
    <mergeCell ref="L49:O49"/>
    <mergeCell ref="P49:S49"/>
    <mergeCell ref="D47:W47"/>
    <mergeCell ref="D48:W48"/>
    <mergeCell ref="D49:G49"/>
    <mergeCell ref="H49:K49"/>
    <mergeCell ref="T49:W49"/>
    <mergeCell ref="C42:C43"/>
    <mergeCell ref="H44:K44"/>
    <mergeCell ref="L44:O44"/>
    <mergeCell ref="C47:C48"/>
    <mergeCell ref="H45:K45"/>
    <mergeCell ref="A62:A63"/>
    <mergeCell ref="B62:C62"/>
    <mergeCell ref="D62:X63"/>
    <mergeCell ref="B63:C63"/>
    <mergeCell ref="B55:B56"/>
    <mergeCell ref="D57:G57"/>
    <mergeCell ref="T60:X60"/>
    <mergeCell ref="H54:K54"/>
    <mergeCell ref="L54:O54"/>
    <mergeCell ref="P54:S54"/>
    <mergeCell ref="T54:W54"/>
    <mergeCell ref="D58:W58"/>
    <mergeCell ref="X40:X59"/>
    <mergeCell ref="T46:W46"/>
    <mergeCell ref="D42:W42"/>
    <mergeCell ref="T44:W44"/>
    <mergeCell ref="B50:B53"/>
    <mergeCell ref="D50:G50"/>
    <mergeCell ref="H50:K50"/>
    <mergeCell ref="L50:O50"/>
    <mergeCell ref="L41:O41"/>
    <mergeCell ref="P50:S50"/>
    <mergeCell ref="H73:K73"/>
    <mergeCell ref="L73:O73"/>
    <mergeCell ref="C58:C59"/>
    <mergeCell ref="B61:C61"/>
    <mergeCell ref="D61:G61"/>
    <mergeCell ref="H61:K61"/>
    <mergeCell ref="D66:G66"/>
    <mergeCell ref="H66:K66"/>
    <mergeCell ref="T41:W41"/>
    <mergeCell ref="D41:G41"/>
    <mergeCell ref="P41:S41"/>
    <mergeCell ref="H51:K51"/>
    <mergeCell ref="L51:O51"/>
    <mergeCell ref="P51:S51"/>
    <mergeCell ref="T51:W51"/>
    <mergeCell ref="C52:C53"/>
    <mergeCell ref="D52:W52"/>
    <mergeCell ref="D53:W53"/>
    <mergeCell ref="D54:G54"/>
    <mergeCell ref="D44:G44"/>
    <mergeCell ref="D43:W43"/>
    <mergeCell ref="D46:G46"/>
    <mergeCell ref="L46:O46"/>
    <mergeCell ref="B45:B48"/>
    <mergeCell ref="L66:O66"/>
    <mergeCell ref="P66:S66"/>
    <mergeCell ref="T66:W66"/>
    <mergeCell ref="T67:W67"/>
    <mergeCell ref="H67:K67"/>
    <mergeCell ref="L67:O67"/>
    <mergeCell ref="P67:S67"/>
    <mergeCell ref="L72:O72"/>
    <mergeCell ref="P72:S72"/>
    <mergeCell ref="T72:W72"/>
    <mergeCell ref="X67:X78"/>
    <mergeCell ref="D68:G68"/>
    <mergeCell ref="H68:K68"/>
    <mergeCell ref="L68:O68"/>
    <mergeCell ref="P68:S68"/>
    <mergeCell ref="T68:W68"/>
    <mergeCell ref="D69:W69"/>
    <mergeCell ref="D70:W70"/>
    <mergeCell ref="D71:G71"/>
    <mergeCell ref="D67:G67"/>
    <mergeCell ref="H71:K71"/>
    <mergeCell ref="L71:O71"/>
    <mergeCell ref="P71:S71"/>
    <mergeCell ref="T71:W71"/>
    <mergeCell ref="T77:W77"/>
    <mergeCell ref="D78:G78"/>
    <mergeCell ref="H78:K78"/>
    <mergeCell ref="L78:O78"/>
    <mergeCell ref="P78:S78"/>
    <mergeCell ref="D76:G76"/>
    <mergeCell ref="H77:K77"/>
    <mergeCell ref="L77:O77"/>
    <mergeCell ref="P77:S77"/>
    <mergeCell ref="D73:G73"/>
    <mergeCell ref="A67:A78"/>
    <mergeCell ref="B67:B70"/>
    <mergeCell ref="C69:C70"/>
    <mergeCell ref="C79:C80"/>
    <mergeCell ref="D79:W79"/>
    <mergeCell ref="A81:A82"/>
    <mergeCell ref="B81:C81"/>
    <mergeCell ref="D81:G81"/>
    <mergeCell ref="H81:K81"/>
    <mergeCell ref="L81:O81"/>
    <mergeCell ref="P81:S81"/>
    <mergeCell ref="P73:S73"/>
    <mergeCell ref="C74:C75"/>
    <mergeCell ref="D74:W74"/>
    <mergeCell ref="D75:W75"/>
    <mergeCell ref="H76:K76"/>
    <mergeCell ref="L76:O76"/>
    <mergeCell ref="P76:S76"/>
    <mergeCell ref="T76:W76"/>
    <mergeCell ref="T73:W73"/>
    <mergeCell ref="T78:W78"/>
    <mergeCell ref="B72:B75"/>
    <mergeCell ref="D72:G72"/>
    <mergeCell ref="H72:K72"/>
    <mergeCell ref="D87:G87"/>
    <mergeCell ref="H87:K87"/>
    <mergeCell ref="L87:O87"/>
    <mergeCell ref="D89:G89"/>
    <mergeCell ref="H89:K89"/>
    <mergeCell ref="L89:O89"/>
    <mergeCell ref="D80:W80"/>
    <mergeCell ref="A83:A84"/>
    <mergeCell ref="B83:C83"/>
    <mergeCell ref="D83:X84"/>
    <mergeCell ref="B84:C84"/>
    <mergeCell ref="P87:S87"/>
    <mergeCell ref="T87:W87"/>
    <mergeCell ref="T88:W88"/>
    <mergeCell ref="P89:S89"/>
    <mergeCell ref="T81:X81"/>
    <mergeCell ref="B82:C82"/>
    <mergeCell ref="D82:G82"/>
    <mergeCell ref="H82:K82"/>
    <mergeCell ref="L82:O82"/>
    <mergeCell ref="P82:S82"/>
    <mergeCell ref="T82:X82"/>
    <mergeCell ref="B77:B80"/>
    <mergeCell ref="D77:G77"/>
    <mergeCell ref="T89:W89"/>
    <mergeCell ref="D90:W90"/>
    <mergeCell ref="D91:W91"/>
    <mergeCell ref="D92:G92"/>
    <mergeCell ref="D88:G88"/>
    <mergeCell ref="H88:K88"/>
    <mergeCell ref="L88:O88"/>
    <mergeCell ref="P88:S88"/>
    <mergeCell ref="H92:K92"/>
    <mergeCell ref="L92:O92"/>
    <mergeCell ref="A88:A99"/>
    <mergeCell ref="B88:B91"/>
    <mergeCell ref="C90:C91"/>
    <mergeCell ref="D99:G99"/>
    <mergeCell ref="H99:K99"/>
    <mergeCell ref="A102:A103"/>
    <mergeCell ref="B102:C102"/>
    <mergeCell ref="D102:G102"/>
    <mergeCell ref="H102:K102"/>
    <mergeCell ref="D103:G103"/>
    <mergeCell ref="H103:K103"/>
    <mergeCell ref="T103:X103"/>
    <mergeCell ref="B93:B96"/>
    <mergeCell ref="D93:G93"/>
    <mergeCell ref="H93:K93"/>
    <mergeCell ref="L93:O93"/>
    <mergeCell ref="P93:S93"/>
    <mergeCell ref="D95:W95"/>
    <mergeCell ref="D96:W96"/>
    <mergeCell ref="D94:G94"/>
    <mergeCell ref="H94:K94"/>
    <mergeCell ref="L94:O94"/>
    <mergeCell ref="B98:B101"/>
    <mergeCell ref="D98:G98"/>
    <mergeCell ref="H98:K98"/>
    <mergeCell ref="L98:O98"/>
    <mergeCell ref="P98:S98"/>
    <mergeCell ref="L102:O102"/>
    <mergeCell ref="P102:S102"/>
    <mergeCell ref="T93:W93"/>
    <mergeCell ref="D97:G97"/>
    <mergeCell ref="H97:K97"/>
    <mergeCell ref="L97:O97"/>
    <mergeCell ref="H120:K120"/>
    <mergeCell ref="P97:S97"/>
    <mergeCell ref="A104:A105"/>
    <mergeCell ref="B104:C104"/>
    <mergeCell ref="D104:X105"/>
    <mergeCell ref="B105:C105"/>
    <mergeCell ref="T99:W99"/>
    <mergeCell ref="C100:C101"/>
    <mergeCell ref="D100:W100"/>
    <mergeCell ref="D101:W101"/>
    <mergeCell ref="X88:X99"/>
    <mergeCell ref="P92:S92"/>
    <mergeCell ref="T92:W92"/>
    <mergeCell ref="T98:W98"/>
    <mergeCell ref="T94:W94"/>
    <mergeCell ref="C95:C96"/>
    <mergeCell ref="L99:O99"/>
    <mergeCell ref="P99:S99"/>
    <mergeCell ref="P94:S94"/>
    <mergeCell ref="T97:W97"/>
    <mergeCell ref="T102:X102"/>
    <mergeCell ref="B103:C103"/>
    <mergeCell ref="L103:O103"/>
    <mergeCell ref="P103:S103"/>
    <mergeCell ref="P127:S127"/>
    <mergeCell ref="P114:S114"/>
    <mergeCell ref="T114:W114"/>
    <mergeCell ref="V121:W121"/>
    <mergeCell ref="L108:O108"/>
    <mergeCell ref="P108:S108"/>
    <mergeCell ref="B115:B116"/>
    <mergeCell ref="D117:G117"/>
    <mergeCell ref="H117:K117"/>
    <mergeCell ref="C118:C119"/>
    <mergeCell ref="D118:W118"/>
    <mergeCell ref="D119:W119"/>
    <mergeCell ref="L114:O114"/>
    <mergeCell ref="T108:W108"/>
    <mergeCell ref="B121:B124"/>
    <mergeCell ref="D121:E121"/>
    <mergeCell ref="F121:G121"/>
    <mergeCell ref="H121:I121"/>
    <mergeCell ref="J121:K121"/>
    <mergeCell ref="D114:G114"/>
    <mergeCell ref="H114:K114"/>
    <mergeCell ref="D108:G108"/>
    <mergeCell ref="H108:K108"/>
    <mergeCell ref="D120:G120"/>
    <mergeCell ref="T120:W120"/>
    <mergeCell ref="T122:U122"/>
    <mergeCell ref="V122:W122"/>
    <mergeCell ref="L121:M121"/>
    <mergeCell ref="N121:O121"/>
    <mergeCell ref="P121:Q121"/>
    <mergeCell ref="R121:S121"/>
    <mergeCell ref="P126:S126"/>
    <mergeCell ref="T126:W126"/>
    <mergeCell ref="T121:U121"/>
    <mergeCell ref="V123:W123"/>
    <mergeCell ref="T123:U123"/>
    <mergeCell ref="X109:X128"/>
    <mergeCell ref="A133:A134"/>
    <mergeCell ref="B133:C133"/>
    <mergeCell ref="D133:X134"/>
    <mergeCell ref="B134:C134"/>
    <mergeCell ref="P131:S131"/>
    <mergeCell ref="B127:B130"/>
    <mergeCell ref="P128:S128"/>
    <mergeCell ref="C124:C125"/>
    <mergeCell ref="D124:W124"/>
    <mergeCell ref="D125:W125"/>
    <mergeCell ref="D126:G126"/>
    <mergeCell ref="H126:K126"/>
    <mergeCell ref="L126:O126"/>
    <mergeCell ref="D127:G127"/>
    <mergeCell ref="H127:K127"/>
    <mergeCell ref="L127:O127"/>
    <mergeCell ref="T131:X131"/>
    <mergeCell ref="B132:C132"/>
    <mergeCell ref="D132:G132"/>
    <mergeCell ref="H132:K132"/>
    <mergeCell ref="L132:O132"/>
    <mergeCell ref="P132:S132"/>
    <mergeCell ref="T132:X132"/>
    <mergeCell ref="T137:W137"/>
    <mergeCell ref="A131:A132"/>
    <mergeCell ref="B131:C131"/>
    <mergeCell ref="D131:G131"/>
    <mergeCell ref="H131:K131"/>
    <mergeCell ref="L131:O131"/>
    <mergeCell ref="C129:C130"/>
    <mergeCell ref="D129:W129"/>
    <mergeCell ref="D130:W130"/>
    <mergeCell ref="D137:G137"/>
    <mergeCell ref="H137:K137"/>
    <mergeCell ref="L137:O137"/>
    <mergeCell ref="P137:S137"/>
    <mergeCell ref="A138:A160"/>
    <mergeCell ref="B138:B141"/>
    <mergeCell ref="D138:G138"/>
    <mergeCell ref="H138:K138"/>
    <mergeCell ref="L138:O138"/>
    <mergeCell ref="P138:S138"/>
    <mergeCell ref="C140:C141"/>
    <mergeCell ref="H142:K142"/>
    <mergeCell ref="L142:O142"/>
    <mergeCell ref="P142:S142"/>
    <mergeCell ref="B143:B146"/>
    <mergeCell ref="C145:C146"/>
    <mergeCell ref="D145:W145"/>
    <mergeCell ref="D146:W146"/>
    <mergeCell ref="L147:O147"/>
    <mergeCell ref="P147:S147"/>
    <mergeCell ref="T143:W143"/>
    <mergeCell ref="D144:G144"/>
    <mergeCell ref="H144:K144"/>
    <mergeCell ref="B153:B156"/>
    <mergeCell ref="D153:G153"/>
    <mergeCell ref="H153:K153"/>
    <mergeCell ref="L153:O153"/>
    <mergeCell ref="P153:S153"/>
    <mergeCell ref="A109:A128"/>
    <mergeCell ref="B109:B110"/>
    <mergeCell ref="D111:G111"/>
    <mergeCell ref="C112:C113"/>
    <mergeCell ref="D112:W112"/>
    <mergeCell ref="D113:W113"/>
    <mergeCell ref="T127:W127"/>
    <mergeCell ref="D128:G128"/>
    <mergeCell ref="H128:K128"/>
    <mergeCell ref="L128:O128"/>
    <mergeCell ref="D122:G122"/>
    <mergeCell ref="H122:K122"/>
    <mergeCell ref="L122:M122"/>
    <mergeCell ref="N122:O122"/>
    <mergeCell ref="P122:Q122"/>
    <mergeCell ref="R122:S122"/>
    <mergeCell ref="D123:G123"/>
    <mergeCell ref="H123:K123"/>
    <mergeCell ref="L123:O123"/>
    <mergeCell ref="P123:Q123"/>
    <mergeCell ref="R123:S123"/>
    <mergeCell ref="T128:W128"/>
    <mergeCell ref="L120:O120"/>
    <mergeCell ref="P120:S120"/>
    <mergeCell ref="X138:X160"/>
    <mergeCell ref="D139:G139"/>
    <mergeCell ref="H139:K139"/>
    <mergeCell ref="L139:O139"/>
    <mergeCell ref="P139:S139"/>
    <mergeCell ref="T139:W139"/>
    <mergeCell ref="D140:W140"/>
    <mergeCell ref="D141:W141"/>
    <mergeCell ref="D142:G142"/>
    <mergeCell ref="T142:W142"/>
    <mergeCell ref="H157:K157"/>
    <mergeCell ref="L157:O157"/>
    <mergeCell ref="P157:S157"/>
    <mergeCell ref="R160:S160"/>
    <mergeCell ref="T138:W138"/>
    <mergeCell ref="D143:G143"/>
    <mergeCell ref="H143:K143"/>
    <mergeCell ref="L143:O143"/>
    <mergeCell ref="P143:S143"/>
    <mergeCell ref="H147:K147"/>
    <mergeCell ref="D152:G152"/>
    <mergeCell ref="H152:K152"/>
    <mergeCell ref="L152:O152"/>
    <mergeCell ref="P152:S152"/>
    <mergeCell ref="L144:O144"/>
    <mergeCell ref="P144:S144"/>
    <mergeCell ref="T144:W144"/>
    <mergeCell ref="T147:W147"/>
    <mergeCell ref="B148:B151"/>
    <mergeCell ref="D148:G148"/>
    <mergeCell ref="H148:K148"/>
    <mergeCell ref="L148:O148"/>
    <mergeCell ref="P148:S148"/>
    <mergeCell ref="T148:W148"/>
    <mergeCell ref="D147:G147"/>
    <mergeCell ref="P149:S149"/>
    <mergeCell ref="D149:G149"/>
    <mergeCell ref="H149:K149"/>
    <mergeCell ref="L149:O149"/>
    <mergeCell ref="T153:W153"/>
    <mergeCell ref="D154:G154"/>
    <mergeCell ref="H154:K154"/>
    <mergeCell ref="L154:O154"/>
    <mergeCell ref="P154:S154"/>
    <mergeCell ref="T154:W154"/>
    <mergeCell ref="T149:W149"/>
    <mergeCell ref="C150:C151"/>
    <mergeCell ref="D150:W150"/>
    <mergeCell ref="D151:W151"/>
    <mergeCell ref="T152:W152"/>
    <mergeCell ref="C155:C156"/>
    <mergeCell ref="D155:W155"/>
    <mergeCell ref="D156:W156"/>
    <mergeCell ref="T157:W157"/>
    <mergeCell ref="N158:O158"/>
    <mergeCell ref="P158:Q158"/>
    <mergeCell ref="R158:S158"/>
    <mergeCell ref="T158:U158"/>
    <mergeCell ref="V158:W158"/>
    <mergeCell ref="D157:G157"/>
    <mergeCell ref="D158:E158"/>
    <mergeCell ref="F158:G158"/>
    <mergeCell ref="H158:I158"/>
    <mergeCell ref="J158:K158"/>
    <mergeCell ref="L158:M158"/>
    <mergeCell ref="B161:B162"/>
    <mergeCell ref="C161:C162"/>
    <mergeCell ref="D161:W161"/>
    <mergeCell ref="D162:W162"/>
    <mergeCell ref="B158:B160"/>
    <mergeCell ref="D159:E159"/>
    <mergeCell ref="R159:S159"/>
    <mergeCell ref="T159:U159"/>
    <mergeCell ref="V159:W159"/>
    <mergeCell ref="D160:G160"/>
    <mergeCell ref="H160:K160"/>
    <mergeCell ref="L160:M160"/>
    <mergeCell ref="N160:O160"/>
    <mergeCell ref="J159:K159"/>
    <mergeCell ref="L159:M159"/>
    <mergeCell ref="F159:G159"/>
    <mergeCell ref="H159:I159"/>
    <mergeCell ref="N159:O159"/>
    <mergeCell ref="P159:Q159"/>
    <mergeCell ref="P160:Q160"/>
    <mergeCell ref="T160:U160"/>
    <mergeCell ref="V160:W160"/>
    <mergeCell ref="T163:X163"/>
    <mergeCell ref="B164:C164"/>
    <mergeCell ref="L170:O170"/>
    <mergeCell ref="A165:A166"/>
    <mergeCell ref="B165:C165"/>
    <mergeCell ref="D165:X166"/>
    <mergeCell ref="B166:C166"/>
    <mergeCell ref="D169:G169"/>
    <mergeCell ref="H169:K169"/>
    <mergeCell ref="L169:O169"/>
    <mergeCell ref="P169:S169"/>
    <mergeCell ref="T169:W169"/>
    <mergeCell ref="D164:G164"/>
    <mergeCell ref="H164:K164"/>
    <mergeCell ref="L164:O164"/>
    <mergeCell ref="P164:S164"/>
    <mergeCell ref="T164:X164"/>
    <mergeCell ref="X170:X184"/>
    <mergeCell ref="D170:G170"/>
    <mergeCell ref="D171:G171"/>
    <mergeCell ref="H171:K171"/>
    <mergeCell ref="L171:O171"/>
    <mergeCell ref="P171:S171"/>
    <mergeCell ref="D172:G172"/>
    <mergeCell ref="H172:K172"/>
    <mergeCell ref="L172:O172"/>
    <mergeCell ref="A163:A164"/>
    <mergeCell ref="B163:C163"/>
    <mergeCell ref="D163:G163"/>
    <mergeCell ref="H163:K163"/>
    <mergeCell ref="L163:O163"/>
    <mergeCell ref="P163:S163"/>
    <mergeCell ref="B176:B180"/>
    <mergeCell ref="D177:G177"/>
    <mergeCell ref="H177:K177"/>
    <mergeCell ref="L177:O177"/>
    <mergeCell ref="P177:S177"/>
    <mergeCell ref="D178:G178"/>
    <mergeCell ref="H178:K178"/>
    <mergeCell ref="L178:O178"/>
    <mergeCell ref="C179:C180"/>
    <mergeCell ref="D179:W179"/>
    <mergeCell ref="D180:W180"/>
    <mergeCell ref="D176:G176"/>
    <mergeCell ref="H176:K176"/>
    <mergeCell ref="L176:O176"/>
    <mergeCell ref="A170:A184"/>
    <mergeCell ref="B170:B174"/>
    <mergeCell ref="D175:G175"/>
    <mergeCell ref="H175:K175"/>
    <mergeCell ref="L182:O182"/>
    <mergeCell ref="D183:G183"/>
    <mergeCell ref="H183:K183"/>
    <mergeCell ref="L183:O183"/>
    <mergeCell ref="C173:C174"/>
    <mergeCell ref="D174:W174"/>
    <mergeCell ref="P175:S175"/>
    <mergeCell ref="T175:W175"/>
    <mergeCell ref="L175:O175"/>
    <mergeCell ref="D173:W173"/>
    <mergeCell ref="H188:K188"/>
    <mergeCell ref="D181:G181"/>
    <mergeCell ref="H181:K181"/>
    <mergeCell ref="L181:O181"/>
    <mergeCell ref="L188:O188"/>
    <mergeCell ref="P188:S188"/>
    <mergeCell ref="P181:S181"/>
    <mergeCell ref="T181:W181"/>
    <mergeCell ref="T188:X188"/>
    <mergeCell ref="B182:B186"/>
    <mergeCell ref="D182:G182"/>
    <mergeCell ref="H182:K182"/>
    <mergeCell ref="D184:G184"/>
    <mergeCell ref="H184:K184"/>
    <mergeCell ref="L184:O184"/>
    <mergeCell ref="H170:K170"/>
    <mergeCell ref="A189:A190"/>
    <mergeCell ref="B189:C189"/>
    <mergeCell ref="D189:X190"/>
    <mergeCell ref="B190:C190"/>
    <mergeCell ref="P184:S184"/>
    <mergeCell ref="C185:C186"/>
    <mergeCell ref="D185:W185"/>
    <mergeCell ref="D186:W186"/>
    <mergeCell ref="A187:A188"/>
    <mergeCell ref="B187:C187"/>
    <mergeCell ref="D187:G187"/>
    <mergeCell ref="H187:K187"/>
    <mergeCell ref="L187:O187"/>
    <mergeCell ref="P187:S187"/>
    <mergeCell ref="T187:X187"/>
    <mergeCell ref="B188:C188"/>
    <mergeCell ref="D188:G188"/>
  </mergeCells>
  <hyperlinks>
    <hyperlink ref="C24" location="Reference!C12" display="press for guidance"/>
    <hyperlink ref="C25" location="Reference!C12" display="Reference!C12"/>
    <hyperlink ref="C17" location="Reference!C10" display="press for guidance"/>
    <hyperlink ref="C18" location="Reference!C10" display="Reference!C10"/>
    <hyperlink ref="C12" location="Reference!C8" display="press for guidance"/>
    <hyperlink ref="C13" location="Reference!C8" display="Reference!C8"/>
    <hyperlink ref="C7" location="Reference!C6" display="press for guidance"/>
    <hyperlink ref="C8" location="Reference!C6" display="Reference!C6"/>
    <hyperlink ref="C29" location="Reference!C14" display="press for guidance"/>
    <hyperlink ref="C30" location="Reference!C14" display="Reference!C14"/>
    <hyperlink ref="C35" location="Reference!C16" display="press for guidance"/>
    <hyperlink ref="C36" location="Reference!C16" display="Reference!C16"/>
    <hyperlink ref="C42" location="Reference!C18" display="press for guidance"/>
    <hyperlink ref="C43" location="Reference!C18" display="Reference!C18"/>
    <hyperlink ref="C47" location="Reference!C20" display="press for guidance"/>
    <hyperlink ref="C48" location="Reference!C20" display="Reference!C20"/>
    <hyperlink ref="C52" location="Reference!C22" display="press for guidance"/>
    <hyperlink ref="C53" location="Reference!C22" display="Reference!C22"/>
    <hyperlink ref="C58" location="Reference!C24" display="press for guidance"/>
    <hyperlink ref="C59" location="Reference!C24" display="Reference!C24"/>
    <hyperlink ref="C69" location="Reference!C26" display="press for guidance"/>
    <hyperlink ref="C70" location="Reference!C26" display="Reference!C26"/>
    <hyperlink ref="C74" location="Reference!C28" display="press for guidance"/>
    <hyperlink ref="C75" location="Reference!C28" display="Reference!C28"/>
    <hyperlink ref="C79" location="Reference!C30" display="press for guidance"/>
    <hyperlink ref="C80" location="Reference!C30" display="Reference!C30"/>
    <hyperlink ref="C90" location="Reference!C32" display="press for guidance"/>
    <hyperlink ref="C91" location="Reference!C32" display="Reference!C32"/>
    <hyperlink ref="C95" location="Reference'C34" display="press for guidance"/>
    <hyperlink ref="C96" location="Reference'C34" display="Reference'C34"/>
    <hyperlink ref="C100" location="Reference!C36" display="press for guidance"/>
    <hyperlink ref="C101" location="Reference!C36" display="Reference!C36"/>
    <hyperlink ref="C112" location="Reference!C38" display="press for guidance"/>
    <hyperlink ref="C113" location="Reference!C38" display="Reference!C38"/>
    <hyperlink ref="C118" location="Reference!C40" display="press for guidance"/>
    <hyperlink ref="C119" location="Reference!C40" display="Reference!C40"/>
    <hyperlink ref="C124" location="Reference!C42" display="press for guidance"/>
    <hyperlink ref="C125" location="Reference!C42" display="Reference!C42"/>
    <hyperlink ref="C129" location="Reference!C44" display="press for guidance"/>
    <hyperlink ref="C130" location="Reference!C44" display="Reference!C44"/>
    <hyperlink ref="C140" location="Reference!C46" display="press for guidance"/>
    <hyperlink ref="C141" location="Reference!C46" display="Reference!C46"/>
    <hyperlink ref="C145" location="Reference!C48" display="press for guidance"/>
    <hyperlink ref="C146" location="Reference!C48" display="Reference!C48"/>
    <hyperlink ref="C150" location="Reference!C50" display="press for guidance"/>
    <hyperlink ref="C151" location="Reference!C50" display="Reference!C50"/>
    <hyperlink ref="C155" location="Reference!C52" display="press for guidance"/>
    <hyperlink ref="C156" location="Reference!C52" display="Reference!C52"/>
    <hyperlink ref="C161" location="Reference!C54" display="press for guidance"/>
    <hyperlink ref="C162" location="Reference!C54" display="Reference!C54"/>
    <hyperlink ref="C173" location="Reference!C71" display="★ click here for guidance"/>
    <hyperlink ref="C174" location="Reference!C71" display="Reference!C71"/>
    <hyperlink ref="C179" location="Reference!C73" display="★ click here for guidance"/>
    <hyperlink ref="C180" location="Reference!C73" display="Reference!C73"/>
    <hyperlink ref="C185" location="Reference!C75" display="★ click here for guidance"/>
    <hyperlink ref="C186" location="Reference!C75" display="Reference!C75"/>
  </hyperlinks>
  <pageMargins left="0.79000000000000015" right="0.79000000000000015" top="0.79000000000000015" bottom="0.79000000000000015" header="0.39000000000000007" footer="0.39000000000000007"/>
  <pageSetup paperSize="9" scale="55" fitToHeight="3" orientation="landscape"/>
  <headerFooter>
    <oddFooter>&amp;L&amp;K000000&amp;F&amp;C&amp;K000000&amp;D&amp;R&amp;K000000Page &amp;P</oddFooter>
  </headerFooter>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pageSetUpPr fitToPage="1"/>
  </sheetPr>
  <dimension ref="A1:X190"/>
  <sheetViews>
    <sheetView workbookViewId="0">
      <pane xSplit="2" ySplit="1" topLeftCell="C2" activePane="bottomRight" state="frozen"/>
      <selection activeCell="D136" sqref="D136:W136"/>
      <selection pane="topRight" activeCell="D136" sqref="D136:W136"/>
      <selection pane="bottomLeft" activeCell="D136" sqref="D136:W136"/>
      <selection pane="bottomRight" activeCell="D136" sqref="D136:W136"/>
    </sheetView>
  </sheetViews>
  <sheetFormatPr defaultColWidth="8.85546875" defaultRowHeight="12.75"/>
  <cols>
    <col min="1" max="1" width="20.85546875" style="4" customWidth="1"/>
    <col min="2" max="2" width="40.85546875" style="4" customWidth="1"/>
    <col min="3" max="3" width="10.85546875" style="27" customWidth="1"/>
    <col min="4" max="23" width="5.85546875" style="4" customWidth="1"/>
    <col min="24" max="24" width="30.85546875" style="4" customWidth="1"/>
    <col min="25" max="16384" width="8.85546875" style="4"/>
  </cols>
  <sheetData>
    <row r="1" spans="1:24" s="67" customFormat="1" ht="32.25" thickBot="1">
      <c r="A1" s="3" t="s">
        <v>0</v>
      </c>
      <c r="B1" s="64" t="s">
        <v>231</v>
      </c>
      <c r="C1" s="65" t="s">
        <v>278</v>
      </c>
      <c r="D1" s="65"/>
      <c r="E1" s="65"/>
      <c r="F1" s="65"/>
      <c r="G1" s="65"/>
      <c r="H1" s="65"/>
      <c r="I1" s="65"/>
      <c r="J1" s="65"/>
      <c r="K1" s="65"/>
      <c r="L1" s="65"/>
      <c r="M1" s="65"/>
      <c r="N1" s="65"/>
      <c r="O1" s="65"/>
      <c r="P1" s="65"/>
      <c r="Q1" s="65"/>
      <c r="R1" s="65"/>
      <c r="S1" s="65"/>
      <c r="T1" s="65"/>
      <c r="U1" s="65"/>
      <c r="V1" s="65"/>
      <c r="W1" s="65"/>
      <c r="X1" s="66"/>
    </row>
    <row r="2" spans="1:24">
      <c r="A2" s="5"/>
      <c r="B2" s="5"/>
      <c r="C2" s="6"/>
      <c r="D2" s="5"/>
      <c r="E2" s="5"/>
      <c r="F2" s="5"/>
      <c r="G2" s="5"/>
      <c r="H2" s="5"/>
      <c r="I2" s="5"/>
      <c r="J2" s="5"/>
      <c r="K2" s="5"/>
      <c r="L2" s="5"/>
      <c r="M2" s="5"/>
      <c r="N2" s="5"/>
      <c r="O2" s="5"/>
      <c r="P2" s="5"/>
      <c r="Q2" s="5"/>
      <c r="R2" s="5"/>
      <c r="S2" s="5"/>
      <c r="T2" s="5"/>
      <c r="U2" s="5"/>
      <c r="V2" s="5"/>
      <c r="W2" s="5"/>
      <c r="X2" s="5"/>
    </row>
    <row r="3" spans="1:24" ht="13.5" thickBot="1">
      <c r="A3" s="5"/>
      <c r="B3" s="5"/>
      <c r="C3" s="6"/>
      <c r="D3" s="5"/>
      <c r="E3" s="5"/>
      <c r="F3" s="5"/>
      <c r="G3" s="5"/>
      <c r="H3" s="5"/>
      <c r="I3" s="5"/>
      <c r="J3" s="5"/>
      <c r="K3" s="5"/>
      <c r="L3" s="5"/>
      <c r="M3" s="5"/>
      <c r="N3" s="5"/>
      <c r="O3" s="5"/>
      <c r="P3" s="5"/>
      <c r="Q3" s="5"/>
      <c r="R3" s="5"/>
      <c r="S3" s="5"/>
      <c r="T3" s="5"/>
      <c r="U3" s="5"/>
      <c r="V3" s="5"/>
      <c r="W3" s="5"/>
      <c r="X3" s="5"/>
    </row>
    <row r="4" spans="1:24" ht="12.95" customHeight="1" thickBot="1">
      <c r="A4" s="7" t="s">
        <v>50</v>
      </c>
      <c r="B4" s="97" t="s">
        <v>51</v>
      </c>
      <c r="C4" s="8"/>
      <c r="D4" s="927" t="s">
        <v>79</v>
      </c>
      <c r="E4" s="928"/>
      <c r="F4" s="928"/>
      <c r="G4" s="929"/>
      <c r="H4" s="927" t="s">
        <v>80</v>
      </c>
      <c r="I4" s="928"/>
      <c r="J4" s="928"/>
      <c r="K4" s="929"/>
      <c r="L4" s="927" t="s">
        <v>81</v>
      </c>
      <c r="M4" s="928"/>
      <c r="N4" s="928"/>
      <c r="O4" s="929"/>
      <c r="P4" s="927" t="s">
        <v>254</v>
      </c>
      <c r="Q4" s="928"/>
      <c r="R4" s="928"/>
      <c r="S4" s="929"/>
      <c r="T4" s="927" t="s">
        <v>76</v>
      </c>
      <c r="U4" s="928"/>
      <c r="V4" s="928"/>
      <c r="W4" s="929"/>
      <c r="X4" s="991"/>
    </row>
    <row r="5" spans="1:24" ht="13.5" thickBot="1">
      <c r="A5" s="868" t="s">
        <v>43</v>
      </c>
      <c r="B5" s="868" t="s">
        <v>46</v>
      </c>
      <c r="C5" s="9" t="s">
        <v>2</v>
      </c>
      <c r="D5" s="983" t="s">
        <v>82</v>
      </c>
      <c r="E5" s="984"/>
      <c r="F5" s="984"/>
      <c r="G5" s="984"/>
      <c r="H5" s="984"/>
      <c r="I5" s="984"/>
      <c r="J5" s="984"/>
      <c r="K5" s="984"/>
      <c r="L5" s="984"/>
      <c r="M5" s="984"/>
      <c r="N5" s="984"/>
      <c r="O5" s="984"/>
      <c r="P5" s="984"/>
      <c r="Q5" s="984"/>
      <c r="R5" s="984"/>
      <c r="S5" s="984"/>
      <c r="T5" s="984"/>
      <c r="U5" s="984"/>
      <c r="V5" s="984"/>
      <c r="W5" s="985"/>
      <c r="X5" s="992"/>
    </row>
    <row r="6" spans="1:24" ht="13.5" thickBot="1">
      <c r="A6" s="885"/>
      <c r="B6" s="885"/>
      <c r="C6" s="10" t="s">
        <v>3</v>
      </c>
      <c r="D6" s="986"/>
      <c r="E6" s="987"/>
      <c r="F6" s="987"/>
      <c r="G6" s="987"/>
      <c r="H6" s="987"/>
      <c r="I6" s="987"/>
      <c r="J6" s="987"/>
      <c r="K6" s="987"/>
      <c r="L6" s="987"/>
      <c r="M6" s="987"/>
      <c r="N6" s="987"/>
      <c r="O6" s="987"/>
      <c r="P6" s="987"/>
      <c r="Q6" s="987"/>
      <c r="R6" s="987"/>
      <c r="S6" s="987"/>
      <c r="T6" s="987"/>
      <c r="U6" s="987"/>
      <c r="V6" s="987"/>
      <c r="W6" s="988"/>
      <c r="X6" s="992"/>
    </row>
    <row r="7" spans="1:24" ht="12.95" customHeight="1" thickBot="1">
      <c r="A7" s="885"/>
      <c r="B7" s="885"/>
      <c r="C7" s="1278" t="s">
        <v>170</v>
      </c>
      <c r="D7" s="989" t="s">
        <v>4</v>
      </c>
      <c r="E7" s="990"/>
      <c r="F7" s="990"/>
      <c r="G7" s="990"/>
      <c r="H7" s="990"/>
      <c r="I7" s="990"/>
      <c r="J7" s="990"/>
      <c r="K7" s="990"/>
      <c r="L7" s="990"/>
      <c r="M7" s="990"/>
      <c r="N7" s="990"/>
      <c r="O7" s="990"/>
      <c r="P7" s="990"/>
      <c r="Q7" s="990"/>
      <c r="R7" s="990"/>
      <c r="S7" s="990"/>
      <c r="T7" s="990"/>
      <c r="U7" s="990"/>
      <c r="V7" s="990"/>
      <c r="W7" s="990"/>
      <c r="X7" s="992"/>
    </row>
    <row r="8" spans="1:24" ht="12.95" customHeight="1" thickBot="1">
      <c r="A8" s="885"/>
      <c r="B8" s="869"/>
      <c r="C8" s="1279"/>
      <c r="D8" s="930" t="s">
        <v>85</v>
      </c>
      <c r="E8" s="931"/>
      <c r="F8" s="931"/>
      <c r="G8" s="931"/>
      <c r="H8" s="931"/>
      <c r="I8" s="931"/>
      <c r="J8" s="931"/>
      <c r="K8" s="931"/>
      <c r="L8" s="931"/>
      <c r="M8" s="931"/>
      <c r="N8" s="931"/>
      <c r="O8" s="931"/>
      <c r="P8" s="931"/>
      <c r="Q8" s="931"/>
      <c r="R8" s="931"/>
      <c r="S8" s="931"/>
      <c r="T8" s="931"/>
      <c r="U8" s="931"/>
      <c r="V8" s="931"/>
      <c r="W8" s="932"/>
      <c r="X8" s="992"/>
    </row>
    <row r="9" spans="1:24" ht="12.95" customHeight="1" thickBot="1">
      <c r="A9" s="885"/>
      <c r="B9" s="11" t="s">
        <v>52</v>
      </c>
      <c r="C9" s="12"/>
      <c r="D9" s="927" t="s">
        <v>79</v>
      </c>
      <c r="E9" s="928"/>
      <c r="F9" s="928"/>
      <c r="G9" s="929"/>
      <c r="H9" s="927" t="s">
        <v>80</v>
      </c>
      <c r="I9" s="928"/>
      <c r="J9" s="928"/>
      <c r="K9" s="929"/>
      <c r="L9" s="927" t="s">
        <v>81</v>
      </c>
      <c r="M9" s="928"/>
      <c r="N9" s="928"/>
      <c r="O9" s="929"/>
      <c r="P9" s="927" t="s">
        <v>254</v>
      </c>
      <c r="Q9" s="928"/>
      <c r="R9" s="928"/>
      <c r="S9" s="929"/>
      <c r="T9" s="927" t="s">
        <v>76</v>
      </c>
      <c r="U9" s="928"/>
      <c r="V9" s="928"/>
      <c r="W9" s="929"/>
      <c r="X9" s="992"/>
    </row>
    <row r="10" spans="1:24" ht="36" customHeight="1" thickBot="1">
      <c r="A10" s="885"/>
      <c r="B10" s="868" t="s">
        <v>45</v>
      </c>
      <c r="C10" s="13" t="s">
        <v>2</v>
      </c>
      <c r="D10" s="930" t="s">
        <v>86</v>
      </c>
      <c r="E10" s="931"/>
      <c r="F10" s="931"/>
      <c r="G10" s="931"/>
      <c r="H10" s="931"/>
      <c r="I10" s="931"/>
      <c r="J10" s="931"/>
      <c r="K10" s="931"/>
      <c r="L10" s="931"/>
      <c r="M10" s="931"/>
      <c r="N10" s="931"/>
      <c r="O10" s="931"/>
      <c r="P10" s="931"/>
      <c r="Q10" s="931"/>
      <c r="R10" s="931"/>
      <c r="S10" s="931"/>
      <c r="T10" s="931"/>
      <c r="U10" s="931"/>
      <c r="V10" s="931"/>
      <c r="W10" s="932"/>
      <c r="X10" s="992"/>
    </row>
    <row r="11" spans="1:24" ht="13.5" thickBot="1">
      <c r="A11" s="885"/>
      <c r="B11" s="885"/>
      <c r="C11" s="10" t="s">
        <v>3</v>
      </c>
      <c r="D11" s="986"/>
      <c r="E11" s="987"/>
      <c r="F11" s="987"/>
      <c r="G11" s="987"/>
      <c r="H11" s="987"/>
      <c r="I11" s="987"/>
      <c r="J11" s="987"/>
      <c r="K11" s="987"/>
      <c r="L11" s="987"/>
      <c r="M11" s="987"/>
      <c r="N11" s="987"/>
      <c r="O11" s="987"/>
      <c r="P11" s="987"/>
      <c r="Q11" s="987"/>
      <c r="R11" s="987"/>
      <c r="S11" s="987"/>
      <c r="T11" s="987"/>
      <c r="U11" s="987"/>
      <c r="V11" s="987"/>
      <c r="W11" s="988"/>
      <c r="X11" s="992"/>
    </row>
    <row r="12" spans="1:24" ht="12.95" customHeight="1" thickBot="1">
      <c r="A12" s="885"/>
      <c r="B12" s="885"/>
      <c r="C12" s="1258" t="s">
        <v>170</v>
      </c>
      <c r="D12" s="927" t="s">
        <v>4</v>
      </c>
      <c r="E12" s="928"/>
      <c r="F12" s="928"/>
      <c r="G12" s="928"/>
      <c r="H12" s="928"/>
      <c r="I12" s="928"/>
      <c r="J12" s="928"/>
      <c r="K12" s="928"/>
      <c r="L12" s="928"/>
      <c r="M12" s="928"/>
      <c r="N12" s="928"/>
      <c r="O12" s="928"/>
      <c r="P12" s="928"/>
      <c r="Q12" s="928"/>
      <c r="R12" s="928"/>
      <c r="S12" s="928"/>
      <c r="T12" s="928"/>
      <c r="U12" s="928"/>
      <c r="V12" s="928"/>
      <c r="W12" s="928"/>
      <c r="X12" s="992"/>
    </row>
    <row r="13" spans="1:24" ht="24" customHeight="1" thickBot="1">
      <c r="A13" s="885"/>
      <c r="B13" s="869"/>
      <c r="C13" s="1259"/>
      <c r="D13" s="930" t="s">
        <v>87</v>
      </c>
      <c r="E13" s="931"/>
      <c r="F13" s="931"/>
      <c r="G13" s="931"/>
      <c r="H13" s="931"/>
      <c r="I13" s="931"/>
      <c r="J13" s="931"/>
      <c r="K13" s="931"/>
      <c r="L13" s="931"/>
      <c r="M13" s="931"/>
      <c r="N13" s="931"/>
      <c r="O13" s="931"/>
      <c r="P13" s="931"/>
      <c r="Q13" s="931"/>
      <c r="R13" s="931"/>
      <c r="S13" s="931"/>
      <c r="T13" s="931"/>
      <c r="U13" s="931"/>
      <c r="V13" s="931"/>
      <c r="W13" s="932"/>
      <c r="X13" s="992"/>
    </row>
    <row r="14" spans="1:24" ht="12.95" customHeight="1" thickBot="1">
      <c r="A14" s="885"/>
      <c r="B14" s="11" t="s">
        <v>53</v>
      </c>
      <c r="C14" s="12"/>
      <c r="D14" s="927" t="s">
        <v>79</v>
      </c>
      <c r="E14" s="928"/>
      <c r="F14" s="928"/>
      <c r="G14" s="929"/>
      <c r="H14" s="927" t="s">
        <v>80</v>
      </c>
      <c r="I14" s="928"/>
      <c r="J14" s="928"/>
      <c r="K14" s="929"/>
      <c r="L14" s="927" t="s">
        <v>81</v>
      </c>
      <c r="M14" s="928"/>
      <c r="N14" s="928"/>
      <c r="O14" s="929"/>
      <c r="P14" s="927" t="s">
        <v>254</v>
      </c>
      <c r="Q14" s="928"/>
      <c r="R14" s="928"/>
      <c r="S14" s="929"/>
      <c r="T14" s="927" t="s">
        <v>76</v>
      </c>
      <c r="U14" s="928"/>
      <c r="V14" s="928"/>
      <c r="W14" s="929"/>
      <c r="X14" s="992"/>
    </row>
    <row r="15" spans="1:24" ht="12.95" customHeight="1" thickBot="1">
      <c r="A15" s="885"/>
      <c r="B15" s="868" t="s">
        <v>44</v>
      </c>
      <c r="C15" s="9" t="s">
        <v>2</v>
      </c>
      <c r="D15" s="930" t="s">
        <v>83</v>
      </c>
      <c r="E15" s="931"/>
      <c r="F15" s="931"/>
      <c r="G15" s="931"/>
      <c r="H15" s="931"/>
      <c r="I15" s="931"/>
      <c r="J15" s="931"/>
      <c r="K15" s="931"/>
      <c r="L15" s="931"/>
      <c r="M15" s="931"/>
      <c r="N15" s="931"/>
      <c r="O15" s="931"/>
      <c r="P15" s="931"/>
      <c r="Q15" s="931"/>
      <c r="R15" s="931"/>
      <c r="S15" s="931"/>
      <c r="T15" s="931"/>
      <c r="U15" s="931"/>
      <c r="V15" s="931"/>
      <c r="W15" s="932"/>
      <c r="X15" s="992"/>
    </row>
    <row r="16" spans="1:24" ht="13.5" thickBot="1">
      <c r="A16" s="885"/>
      <c r="B16" s="885"/>
      <c r="C16" s="10" t="s">
        <v>3</v>
      </c>
      <c r="D16" s="986"/>
      <c r="E16" s="987"/>
      <c r="F16" s="987"/>
      <c r="G16" s="987"/>
      <c r="H16" s="987"/>
      <c r="I16" s="987"/>
      <c r="J16" s="987"/>
      <c r="K16" s="987"/>
      <c r="L16" s="987"/>
      <c r="M16" s="987"/>
      <c r="N16" s="987"/>
      <c r="O16" s="987"/>
      <c r="P16" s="987"/>
      <c r="Q16" s="987"/>
      <c r="R16" s="987"/>
      <c r="S16" s="987"/>
      <c r="T16" s="987"/>
      <c r="U16" s="987"/>
      <c r="V16" s="987"/>
      <c r="W16" s="988"/>
      <c r="X16" s="992"/>
    </row>
    <row r="17" spans="1:24" ht="12.95" customHeight="1" thickBot="1">
      <c r="A17" s="885"/>
      <c r="B17" s="885"/>
      <c r="C17" s="1258" t="s">
        <v>170</v>
      </c>
      <c r="D17" s="989" t="s">
        <v>4</v>
      </c>
      <c r="E17" s="990"/>
      <c r="F17" s="990"/>
      <c r="G17" s="990"/>
      <c r="H17" s="990"/>
      <c r="I17" s="990"/>
      <c r="J17" s="990"/>
      <c r="K17" s="990"/>
      <c r="L17" s="990"/>
      <c r="M17" s="990"/>
      <c r="N17" s="990"/>
      <c r="O17" s="990"/>
      <c r="P17" s="990"/>
      <c r="Q17" s="990"/>
      <c r="R17" s="990"/>
      <c r="S17" s="990"/>
      <c r="T17" s="990"/>
      <c r="U17" s="990"/>
      <c r="V17" s="990"/>
      <c r="W17" s="990"/>
      <c r="X17" s="992"/>
    </row>
    <row r="18" spans="1:24" ht="12.95" customHeight="1" thickBot="1">
      <c r="A18" s="869"/>
      <c r="B18" s="869"/>
      <c r="C18" s="1259"/>
      <c r="D18" s="930" t="s">
        <v>84</v>
      </c>
      <c r="E18" s="931"/>
      <c r="F18" s="931"/>
      <c r="G18" s="931"/>
      <c r="H18" s="931"/>
      <c r="I18" s="931"/>
      <c r="J18" s="931"/>
      <c r="K18" s="931"/>
      <c r="L18" s="931"/>
      <c r="M18" s="931"/>
      <c r="N18" s="931"/>
      <c r="O18" s="931"/>
      <c r="P18" s="931"/>
      <c r="Q18" s="931"/>
      <c r="R18" s="931"/>
      <c r="S18" s="931"/>
      <c r="T18" s="931"/>
      <c r="U18" s="931"/>
      <c r="V18" s="931"/>
      <c r="W18" s="932"/>
      <c r="X18" s="993"/>
    </row>
    <row r="19" spans="1:24">
      <c r="A19" s="5"/>
      <c r="B19" s="5"/>
      <c r="C19" s="14"/>
      <c r="D19" s="5"/>
      <c r="E19" s="5"/>
      <c r="F19" s="5"/>
      <c r="G19" s="5"/>
      <c r="H19" s="5"/>
      <c r="I19" s="5"/>
      <c r="J19" s="5"/>
      <c r="K19" s="5"/>
      <c r="L19" s="5"/>
      <c r="M19" s="5"/>
      <c r="N19" s="5"/>
      <c r="O19" s="5"/>
      <c r="P19" s="5"/>
      <c r="Q19" s="5"/>
      <c r="R19" s="5"/>
      <c r="S19" s="5"/>
      <c r="T19" s="5"/>
      <c r="U19" s="5"/>
      <c r="V19" s="5"/>
      <c r="W19" s="5"/>
      <c r="X19" s="5"/>
    </row>
    <row r="20" spans="1:24" ht="13.5" thickBot="1">
      <c r="A20" s="5"/>
      <c r="B20" s="5"/>
      <c r="C20" s="6"/>
      <c r="D20" s="5"/>
      <c r="E20" s="5"/>
      <c r="F20" s="5"/>
      <c r="G20" s="5"/>
      <c r="H20" s="5"/>
      <c r="I20" s="5"/>
      <c r="J20" s="5"/>
      <c r="K20" s="5"/>
      <c r="L20" s="5"/>
      <c r="M20" s="5"/>
      <c r="N20" s="5"/>
      <c r="O20" s="5"/>
      <c r="P20" s="5"/>
      <c r="Q20" s="5"/>
      <c r="R20" s="5"/>
      <c r="S20" s="5"/>
      <c r="T20" s="5"/>
      <c r="U20" s="5"/>
      <c r="V20" s="5"/>
      <c r="W20" s="5"/>
      <c r="X20" s="5"/>
    </row>
    <row r="21" spans="1:24" ht="12.95" customHeight="1" thickBot="1">
      <c r="A21" s="15" t="s">
        <v>1</v>
      </c>
      <c r="B21" s="97" t="s">
        <v>24</v>
      </c>
      <c r="C21" s="8"/>
      <c r="D21" s="927" t="s">
        <v>78</v>
      </c>
      <c r="E21" s="928"/>
      <c r="F21" s="928"/>
      <c r="G21" s="929"/>
      <c r="H21" s="927" t="s">
        <v>77</v>
      </c>
      <c r="I21" s="928"/>
      <c r="J21" s="928"/>
      <c r="K21" s="929"/>
      <c r="L21" s="927" t="s">
        <v>81</v>
      </c>
      <c r="M21" s="928"/>
      <c r="N21" s="928"/>
      <c r="O21" s="929"/>
      <c r="P21" s="927" t="s">
        <v>254</v>
      </c>
      <c r="Q21" s="928"/>
      <c r="R21" s="928"/>
      <c r="S21" s="929"/>
      <c r="T21" s="927" t="s">
        <v>76</v>
      </c>
      <c r="U21" s="928"/>
      <c r="V21" s="928"/>
      <c r="W21" s="929"/>
      <c r="X21" s="16" t="s">
        <v>6</v>
      </c>
    </row>
    <row r="22" spans="1:24" ht="12.95" customHeight="1" thickBot="1">
      <c r="A22" s="868" t="s">
        <v>47</v>
      </c>
      <c r="B22" s="868" t="s">
        <v>48</v>
      </c>
      <c r="C22" s="9" t="s">
        <v>2</v>
      </c>
      <c r="D22" s="966" t="s">
        <v>255</v>
      </c>
      <c r="E22" s="967"/>
      <c r="F22" s="967"/>
      <c r="G22" s="968"/>
      <c r="H22" s="942">
        <v>1.8</v>
      </c>
      <c r="I22" s="943"/>
      <c r="J22" s="943"/>
      <c r="K22" s="944"/>
      <c r="L22" s="942">
        <v>1.8</v>
      </c>
      <c r="M22" s="943"/>
      <c r="N22" s="943"/>
      <c r="O22" s="944"/>
      <c r="P22" s="942">
        <v>2</v>
      </c>
      <c r="Q22" s="943"/>
      <c r="R22" s="943"/>
      <c r="S22" s="944"/>
      <c r="T22" s="1209">
        <v>2.2999999999999998</v>
      </c>
      <c r="U22" s="1210"/>
      <c r="V22" s="1210"/>
      <c r="W22" s="1211"/>
      <c r="X22" s="873" t="s">
        <v>96</v>
      </c>
    </row>
    <row r="23" spans="1:24" ht="13.5" thickBot="1">
      <c r="A23" s="885"/>
      <c r="B23" s="885"/>
      <c r="C23" s="10" t="s">
        <v>3</v>
      </c>
      <c r="D23" s="957"/>
      <c r="E23" s="958"/>
      <c r="F23" s="958"/>
      <c r="G23" s="959"/>
      <c r="H23" s="957"/>
      <c r="I23" s="958"/>
      <c r="J23" s="958"/>
      <c r="K23" s="959"/>
      <c r="L23" s="963">
        <v>1.8</v>
      </c>
      <c r="M23" s="964"/>
      <c r="N23" s="964"/>
      <c r="O23" s="965"/>
      <c r="P23" s="963">
        <v>2.2000000000000002</v>
      </c>
      <c r="Q23" s="964"/>
      <c r="R23" s="964"/>
      <c r="S23" s="965"/>
      <c r="T23" s="963">
        <v>0</v>
      </c>
      <c r="U23" s="964"/>
      <c r="V23" s="964"/>
      <c r="W23" s="965"/>
      <c r="X23" s="874"/>
    </row>
    <row r="24" spans="1:24" ht="12.95" customHeight="1" thickBot="1">
      <c r="A24" s="885"/>
      <c r="B24" s="885"/>
      <c r="C24" s="1258" t="s">
        <v>170</v>
      </c>
      <c r="D24" s="927" t="s">
        <v>4</v>
      </c>
      <c r="E24" s="928"/>
      <c r="F24" s="928"/>
      <c r="G24" s="928"/>
      <c r="H24" s="928"/>
      <c r="I24" s="928"/>
      <c r="J24" s="928"/>
      <c r="K24" s="928"/>
      <c r="L24" s="928"/>
      <c r="M24" s="928"/>
      <c r="N24" s="928"/>
      <c r="O24" s="928"/>
      <c r="P24" s="928"/>
      <c r="Q24" s="928"/>
      <c r="R24" s="928"/>
      <c r="S24" s="928"/>
      <c r="T24" s="928"/>
      <c r="U24" s="928"/>
      <c r="V24" s="928"/>
      <c r="W24" s="928"/>
      <c r="X24" s="874"/>
    </row>
    <row r="25" spans="1:24" ht="12.95" customHeight="1" thickBot="1">
      <c r="A25" s="885"/>
      <c r="B25" s="869"/>
      <c r="C25" s="1259"/>
      <c r="D25" s="930" t="s">
        <v>115</v>
      </c>
      <c r="E25" s="931"/>
      <c r="F25" s="931"/>
      <c r="G25" s="931"/>
      <c r="H25" s="931"/>
      <c r="I25" s="931"/>
      <c r="J25" s="931"/>
      <c r="K25" s="931"/>
      <c r="L25" s="931"/>
      <c r="M25" s="931"/>
      <c r="N25" s="931"/>
      <c r="O25" s="931"/>
      <c r="P25" s="931"/>
      <c r="Q25" s="931"/>
      <c r="R25" s="931"/>
      <c r="S25" s="931"/>
      <c r="T25" s="931"/>
      <c r="U25" s="931"/>
      <c r="V25" s="931"/>
      <c r="W25" s="932"/>
      <c r="X25" s="874"/>
    </row>
    <row r="26" spans="1:24" ht="12.95" customHeight="1" thickBot="1">
      <c r="A26" s="885"/>
      <c r="B26" s="11" t="s">
        <v>25</v>
      </c>
      <c r="C26" s="12"/>
      <c r="D26" s="927" t="s">
        <v>78</v>
      </c>
      <c r="E26" s="928"/>
      <c r="F26" s="928"/>
      <c r="G26" s="929"/>
      <c r="H26" s="927" t="s">
        <v>77</v>
      </c>
      <c r="I26" s="928"/>
      <c r="J26" s="928"/>
      <c r="K26" s="929"/>
      <c r="L26" s="927" t="s">
        <v>81</v>
      </c>
      <c r="M26" s="928"/>
      <c r="N26" s="928"/>
      <c r="O26" s="929"/>
      <c r="P26" s="927" t="s">
        <v>254</v>
      </c>
      <c r="Q26" s="928"/>
      <c r="R26" s="928"/>
      <c r="S26" s="929"/>
      <c r="T26" s="927" t="s">
        <v>76</v>
      </c>
      <c r="U26" s="928"/>
      <c r="V26" s="928"/>
      <c r="W26" s="929"/>
      <c r="X26" s="874"/>
    </row>
    <row r="27" spans="1:24" ht="12.95" customHeight="1" thickBot="1">
      <c r="A27" s="885"/>
      <c r="B27" s="868" t="s">
        <v>49</v>
      </c>
      <c r="C27" s="9" t="s">
        <v>2</v>
      </c>
      <c r="D27" s="966" t="s">
        <v>255</v>
      </c>
      <c r="E27" s="967"/>
      <c r="F27" s="967"/>
      <c r="G27" s="968"/>
      <c r="H27" s="942">
        <v>1</v>
      </c>
      <c r="I27" s="943"/>
      <c r="J27" s="943"/>
      <c r="K27" s="944"/>
      <c r="L27" s="942">
        <v>1</v>
      </c>
      <c r="M27" s="943"/>
      <c r="N27" s="943"/>
      <c r="O27" s="944"/>
      <c r="P27" s="942">
        <v>1.3</v>
      </c>
      <c r="Q27" s="943"/>
      <c r="R27" s="943"/>
      <c r="S27" s="944"/>
      <c r="T27" s="1262">
        <v>2</v>
      </c>
      <c r="U27" s="1263"/>
      <c r="V27" s="1263"/>
      <c r="W27" s="1264"/>
      <c r="X27" s="874"/>
    </row>
    <row r="28" spans="1:24" ht="13.5" thickBot="1">
      <c r="A28" s="885"/>
      <c r="B28" s="885"/>
      <c r="C28" s="10" t="s">
        <v>3</v>
      </c>
      <c r="D28" s="957"/>
      <c r="E28" s="958"/>
      <c r="F28" s="958"/>
      <c r="G28" s="959"/>
      <c r="H28" s="957"/>
      <c r="I28" s="958"/>
      <c r="J28" s="958"/>
      <c r="K28" s="959"/>
      <c r="L28" s="963">
        <v>1</v>
      </c>
      <c r="M28" s="964"/>
      <c r="N28" s="964"/>
      <c r="O28" s="965"/>
      <c r="P28" s="963">
        <v>1.2</v>
      </c>
      <c r="Q28" s="964"/>
      <c r="R28" s="964"/>
      <c r="S28" s="965"/>
      <c r="T28" s="963">
        <v>0</v>
      </c>
      <c r="U28" s="964"/>
      <c r="V28" s="964"/>
      <c r="W28" s="965"/>
      <c r="X28" s="874"/>
    </row>
    <row r="29" spans="1:24" ht="12.95" customHeight="1" thickBot="1">
      <c r="A29" s="885"/>
      <c r="B29" s="885"/>
      <c r="C29" s="1258" t="s">
        <v>170</v>
      </c>
      <c r="D29" s="927" t="s">
        <v>4</v>
      </c>
      <c r="E29" s="928"/>
      <c r="F29" s="928"/>
      <c r="G29" s="928"/>
      <c r="H29" s="928"/>
      <c r="I29" s="928"/>
      <c r="J29" s="928"/>
      <c r="K29" s="928"/>
      <c r="L29" s="928"/>
      <c r="M29" s="928"/>
      <c r="N29" s="928"/>
      <c r="O29" s="928"/>
      <c r="P29" s="928"/>
      <c r="Q29" s="928"/>
      <c r="R29" s="928"/>
      <c r="S29" s="928"/>
      <c r="T29" s="928"/>
      <c r="U29" s="928"/>
      <c r="V29" s="928"/>
      <c r="W29" s="928"/>
      <c r="X29" s="874"/>
    </row>
    <row r="30" spans="1:24" ht="12.95" customHeight="1" thickBot="1">
      <c r="A30" s="885"/>
      <c r="B30" s="869"/>
      <c r="C30" s="1259"/>
      <c r="D30" s="930" t="s">
        <v>116</v>
      </c>
      <c r="E30" s="931"/>
      <c r="F30" s="931"/>
      <c r="G30" s="931"/>
      <c r="H30" s="931"/>
      <c r="I30" s="931"/>
      <c r="J30" s="931"/>
      <c r="K30" s="931"/>
      <c r="L30" s="931"/>
      <c r="M30" s="931"/>
      <c r="N30" s="931"/>
      <c r="O30" s="931"/>
      <c r="P30" s="931"/>
      <c r="Q30" s="931"/>
      <c r="R30" s="931"/>
      <c r="S30" s="931"/>
      <c r="T30" s="931"/>
      <c r="U30" s="931"/>
      <c r="V30" s="931"/>
      <c r="W30" s="932"/>
      <c r="X30" s="874"/>
    </row>
    <row r="31" spans="1:24" ht="12.95" customHeight="1" thickBot="1">
      <c r="A31" s="885"/>
      <c r="B31" s="11" t="s">
        <v>37</v>
      </c>
      <c r="C31" s="12"/>
      <c r="D31" s="927" t="s">
        <v>78</v>
      </c>
      <c r="E31" s="928"/>
      <c r="F31" s="928"/>
      <c r="G31" s="929"/>
      <c r="H31" s="927" t="s">
        <v>77</v>
      </c>
      <c r="I31" s="928"/>
      <c r="J31" s="928"/>
      <c r="K31" s="929"/>
      <c r="L31" s="927" t="s">
        <v>81</v>
      </c>
      <c r="M31" s="928"/>
      <c r="N31" s="928"/>
      <c r="O31" s="929"/>
      <c r="P31" s="927" t="s">
        <v>254</v>
      </c>
      <c r="Q31" s="928"/>
      <c r="R31" s="928"/>
      <c r="S31" s="929"/>
      <c r="T31" s="927" t="s">
        <v>76</v>
      </c>
      <c r="U31" s="928"/>
      <c r="V31" s="928"/>
      <c r="W31" s="929"/>
      <c r="X31" s="874"/>
    </row>
    <row r="32" spans="1:24" ht="33" customHeight="1" thickBot="1">
      <c r="A32" s="885"/>
      <c r="B32" s="868" t="s">
        <v>148</v>
      </c>
      <c r="C32" s="9"/>
      <c r="D32" s="17" t="s">
        <v>106</v>
      </c>
      <c r="E32" s="17" t="s">
        <v>107</v>
      </c>
      <c r="F32" s="17" t="s">
        <v>108</v>
      </c>
      <c r="G32" s="17" t="s">
        <v>109</v>
      </c>
      <c r="H32" s="17" t="s">
        <v>106</v>
      </c>
      <c r="I32" s="17" t="s">
        <v>107</v>
      </c>
      <c r="J32" s="17" t="s">
        <v>108</v>
      </c>
      <c r="K32" s="17" t="s">
        <v>109</v>
      </c>
      <c r="L32" s="17" t="s">
        <v>106</v>
      </c>
      <c r="M32" s="17" t="s">
        <v>107</v>
      </c>
      <c r="N32" s="17" t="s">
        <v>108</v>
      </c>
      <c r="O32" s="17" t="s">
        <v>109</v>
      </c>
      <c r="P32" s="17" t="s">
        <v>106</v>
      </c>
      <c r="Q32" s="17" t="s">
        <v>107</v>
      </c>
      <c r="R32" s="17" t="s">
        <v>108</v>
      </c>
      <c r="S32" s="17" t="s">
        <v>109</v>
      </c>
      <c r="T32" s="17" t="s">
        <v>106</v>
      </c>
      <c r="U32" s="17" t="s">
        <v>107</v>
      </c>
      <c r="V32" s="17" t="s">
        <v>108</v>
      </c>
      <c r="W32" s="17" t="s">
        <v>109</v>
      </c>
      <c r="X32" s="874"/>
    </row>
    <row r="33" spans="1:24" ht="12.95" customHeight="1" thickBot="1">
      <c r="A33" s="885"/>
      <c r="B33" s="885"/>
      <c r="C33" s="9" t="s">
        <v>2</v>
      </c>
      <c r="D33" s="966" t="s">
        <v>255</v>
      </c>
      <c r="E33" s="967"/>
      <c r="F33" s="967"/>
      <c r="G33" s="968"/>
      <c r="H33" s="18">
        <v>0</v>
      </c>
      <c r="I33" s="18">
        <v>0</v>
      </c>
      <c r="J33" s="18">
        <v>0</v>
      </c>
      <c r="K33" s="18">
        <v>12</v>
      </c>
      <c r="L33" s="18">
        <v>1</v>
      </c>
      <c r="M33" s="18">
        <v>1</v>
      </c>
      <c r="N33" s="18">
        <v>1</v>
      </c>
      <c r="O33" s="18">
        <v>12</v>
      </c>
      <c r="P33" s="18">
        <v>2</v>
      </c>
      <c r="Q33" s="18">
        <v>2</v>
      </c>
      <c r="R33" s="18">
        <v>2</v>
      </c>
      <c r="S33" s="18">
        <v>13</v>
      </c>
      <c r="T33" s="792">
        <v>2</v>
      </c>
      <c r="U33" s="792">
        <v>2</v>
      </c>
      <c r="V33" s="792">
        <v>2</v>
      </c>
      <c r="W33" s="18">
        <v>14</v>
      </c>
      <c r="X33" s="874"/>
    </row>
    <row r="34" spans="1:24" ht="13.5" thickBot="1">
      <c r="A34" s="885"/>
      <c r="B34" s="93" t="s">
        <v>145</v>
      </c>
      <c r="C34" s="10" t="s">
        <v>3</v>
      </c>
      <c r="D34" s="986"/>
      <c r="E34" s="987"/>
      <c r="F34" s="987"/>
      <c r="G34" s="988"/>
      <c r="H34" s="957"/>
      <c r="I34" s="958"/>
      <c r="J34" s="958"/>
      <c r="K34" s="959"/>
      <c r="L34" s="68">
        <v>1</v>
      </c>
      <c r="M34" s="68">
        <v>1</v>
      </c>
      <c r="N34" s="68">
        <v>1</v>
      </c>
      <c r="O34" s="68">
        <v>12</v>
      </c>
      <c r="P34" s="68">
        <v>1</v>
      </c>
      <c r="Q34" s="68">
        <v>1</v>
      </c>
      <c r="R34" s="68">
        <v>1</v>
      </c>
      <c r="S34" s="68">
        <v>14</v>
      </c>
      <c r="T34" s="68">
        <v>0</v>
      </c>
      <c r="U34" s="68">
        <v>0</v>
      </c>
      <c r="V34" s="68">
        <v>0</v>
      </c>
      <c r="W34" s="68">
        <v>0</v>
      </c>
      <c r="X34" s="874"/>
    </row>
    <row r="35" spans="1:24" ht="12.95" customHeight="1" thickBot="1">
      <c r="A35" s="885"/>
      <c r="B35" s="93" t="s">
        <v>147</v>
      </c>
      <c r="C35" s="1258" t="s">
        <v>170</v>
      </c>
      <c r="D35" s="927" t="s">
        <v>4</v>
      </c>
      <c r="E35" s="928"/>
      <c r="F35" s="928"/>
      <c r="G35" s="928"/>
      <c r="H35" s="928"/>
      <c r="I35" s="928"/>
      <c r="J35" s="928"/>
      <c r="K35" s="928"/>
      <c r="L35" s="928"/>
      <c r="M35" s="928"/>
      <c r="N35" s="928"/>
      <c r="O35" s="928"/>
      <c r="P35" s="928"/>
      <c r="Q35" s="928"/>
      <c r="R35" s="928"/>
      <c r="S35" s="928"/>
      <c r="T35" s="928"/>
      <c r="U35" s="928"/>
      <c r="V35" s="928"/>
      <c r="W35" s="928"/>
      <c r="X35" s="874"/>
    </row>
    <row r="36" spans="1:24" ht="12.95" customHeight="1" thickBot="1">
      <c r="A36" s="869"/>
      <c r="B36" s="94" t="s">
        <v>146</v>
      </c>
      <c r="C36" s="1259"/>
      <c r="D36" s="930" t="s">
        <v>117</v>
      </c>
      <c r="E36" s="931"/>
      <c r="F36" s="931"/>
      <c r="G36" s="931"/>
      <c r="H36" s="931"/>
      <c r="I36" s="931"/>
      <c r="J36" s="931"/>
      <c r="K36" s="931"/>
      <c r="L36" s="931"/>
      <c r="M36" s="931"/>
      <c r="N36" s="931"/>
      <c r="O36" s="931"/>
      <c r="P36" s="931"/>
      <c r="Q36" s="931"/>
      <c r="R36" s="931"/>
      <c r="S36" s="931"/>
      <c r="T36" s="931"/>
      <c r="U36" s="931"/>
      <c r="V36" s="931"/>
      <c r="W36" s="932"/>
      <c r="X36" s="875"/>
    </row>
    <row r="37" spans="1:24">
      <c r="A37" s="5"/>
      <c r="B37" s="5"/>
      <c r="C37" s="14"/>
      <c r="D37" s="5"/>
      <c r="E37" s="5"/>
      <c r="F37" s="5"/>
      <c r="G37" s="5"/>
      <c r="H37" s="5"/>
      <c r="I37" s="5"/>
      <c r="J37" s="5"/>
      <c r="K37" s="5"/>
      <c r="L37" s="5"/>
      <c r="M37" s="5"/>
      <c r="N37" s="5"/>
      <c r="O37" s="5"/>
      <c r="P37" s="5"/>
      <c r="Q37" s="5"/>
      <c r="R37" s="5"/>
      <c r="S37" s="5"/>
      <c r="T37" s="5"/>
      <c r="U37" s="5"/>
      <c r="V37" s="5"/>
      <c r="W37" s="5"/>
      <c r="X37" s="5"/>
    </row>
    <row r="38" spans="1:24" ht="13.5" thickBot="1">
      <c r="A38" s="5"/>
      <c r="B38" s="5"/>
      <c r="C38" s="6"/>
      <c r="D38" s="5"/>
      <c r="E38" s="5"/>
      <c r="F38" s="5"/>
      <c r="G38" s="5"/>
      <c r="H38" s="5"/>
      <c r="I38" s="5"/>
      <c r="J38" s="5"/>
      <c r="K38" s="5"/>
      <c r="L38" s="5"/>
      <c r="M38" s="5"/>
      <c r="N38" s="5"/>
      <c r="O38" s="5"/>
      <c r="P38" s="5"/>
      <c r="Q38" s="5"/>
      <c r="R38" s="5"/>
      <c r="S38" s="5"/>
      <c r="T38" s="5"/>
      <c r="U38" s="5"/>
      <c r="V38" s="5"/>
      <c r="W38" s="5"/>
      <c r="X38" s="5"/>
    </row>
    <row r="39" spans="1:24" ht="12.95" customHeight="1" thickBot="1">
      <c r="A39" s="7" t="s">
        <v>5</v>
      </c>
      <c r="B39" s="97" t="s">
        <v>22</v>
      </c>
      <c r="C39" s="8"/>
      <c r="D39" s="927" t="s">
        <v>78</v>
      </c>
      <c r="E39" s="928"/>
      <c r="F39" s="928"/>
      <c r="G39" s="929"/>
      <c r="H39" s="927" t="s">
        <v>77</v>
      </c>
      <c r="I39" s="928"/>
      <c r="J39" s="928"/>
      <c r="K39" s="929"/>
      <c r="L39" s="927" t="s">
        <v>81</v>
      </c>
      <c r="M39" s="928"/>
      <c r="N39" s="928"/>
      <c r="O39" s="929"/>
      <c r="P39" s="927" t="s">
        <v>254</v>
      </c>
      <c r="Q39" s="928"/>
      <c r="R39" s="928"/>
      <c r="S39" s="929"/>
      <c r="T39" s="927" t="s">
        <v>76</v>
      </c>
      <c r="U39" s="928"/>
      <c r="V39" s="928"/>
      <c r="W39" s="929"/>
      <c r="X39" s="19" t="s">
        <v>6</v>
      </c>
    </row>
    <row r="40" spans="1:24" ht="12.95" customHeight="1" thickBot="1">
      <c r="A40" s="868" t="s">
        <v>54</v>
      </c>
      <c r="B40" s="868" t="s">
        <v>55</v>
      </c>
      <c r="C40" s="9" t="s">
        <v>2</v>
      </c>
      <c r="D40" s="966" t="s">
        <v>255</v>
      </c>
      <c r="E40" s="967"/>
      <c r="F40" s="967"/>
      <c r="G40" s="968"/>
      <c r="H40" s="942">
        <v>1.5</v>
      </c>
      <c r="I40" s="943"/>
      <c r="J40" s="943"/>
      <c r="K40" s="944"/>
      <c r="L40" s="942">
        <v>1.5</v>
      </c>
      <c r="M40" s="943"/>
      <c r="N40" s="943"/>
      <c r="O40" s="944"/>
      <c r="P40" s="942">
        <v>1.7</v>
      </c>
      <c r="Q40" s="943"/>
      <c r="R40" s="943"/>
      <c r="S40" s="944"/>
      <c r="T40" s="942">
        <v>2.2000000000000002</v>
      </c>
      <c r="U40" s="943"/>
      <c r="V40" s="943"/>
      <c r="W40" s="944"/>
      <c r="X40" s="879" t="s">
        <v>95</v>
      </c>
    </row>
    <row r="41" spans="1:24" ht="13.5" thickBot="1">
      <c r="A41" s="885"/>
      <c r="B41" s="885"/>
      <c r="C41" s="10" t="s">
        <v>3</v>
      </c>
      <c r="D41" s="957"/>
      <c r="E41" s="958"/>
      <c r="F41" s="958"/>
      <c r="G41" s="959"/>
      <c r="H41" s="933"/>
      <c r="I41" s="934"/>
      <c r="J41" s="934"/>
      <c r="K41" s="935"/>
      <c r="L41" s="963">
        <v>1.5</v>
      </c>
      <c r="M41" s="964"/>
      <c r="N41" s="964"/>
      <c r="O41" s="965"/>
      <c r="P41" s="963">
        <v>2.2000000000000002</v>
      </c>
      <c r="Q41" s="964"/>
      <c r="R41" s="964"/>
      <c r="S41" s="965"/>
      <c r="T41" s="963">
        <v>0</v>
      </c>
      <c r="U41" s="964"/>
      <c r="V41" s="964"/>
      <c r="W41" s="965"/>
      <c r="X41" s="880"/>
    </row>
    <row r="42" spans="1:24" ht="12.95" customHeight="1" thickBot="1">
      <c r="A42" s="885"/>
      <c r="B42" s="885"/>
      <c r="C42" s="1258" t="s">
        <v>170</v>
      </c>
      <c r="D42" s="927" t="s">
        <v>4</v>
      </c>
      <c r="E42" s="928"/>
      <c r="F42" s="928"/>
      <c r="G42" s="928"/>
      <c r="H42" s="928"/>
      <c r="I42" s="928"/>
      <c r="J42" s="928"/>
      <c r="K42" s="928"/>
      <c r="L42" s="928"/>
      <c r="M42" s="928"/>
      <c r="N42" s="928"/>
      <c r="O42" s="928"/>
      <c r="P42" s="928"/>
      <c r="Q42" s="928"/>
      <c r="R42" s="928"/>
      <c r="S42" s="928"/>
      <c r="T42" s="928"/>
      <c r="U42" s="928"/>
      <c r="V42" s="928"/>
      <c r="W42" s="928"/>
      <c r="X42" s="880"/>
    </row>
    <row r="43" spans="1:24" ht="12.95" customHeight="1" thickBot="1">
      <c r="A43" s="885"/>
      <c r="B43" s="869"/>
      <c r="C43" s="1259"/>
      <c r="D43" s="930" t="s">
        <v>115</v>
      </c>
      <c r="E43" s="931"/>
      <c r="F43" s="931"/>
      <c r="G43" s="931"/>
      <c r="H43" s="931"/>
      <c r="I43" s="931"/>
      <c r="J43" s="931"/>
      <c r="K43" s="931"/>
      <c r="L43" s="931"/>
      <c r="M43" s="931"/>
      <c r="N43" s="931"/>
      <c r="O43" s="931"/>
      <c r="P43" s="931"/>
      <c r="Q43" s="931"/>
      <c r="R43" s="931"/>
      <c r="S43" s="931"/>
      <c r="T43" s="931"/>
      <c r="U43" s="931"/>
      <c r="V43" s="931"/>
      <c r="W43" s="932"/>
      <c r="X43" s="880"/>
    </row>
    <row r="44" spans="1:24" ht="12.95" customHeight="1" thickBot="1">
      <c r="A44" s="885"/>
      <c r="B44" s="11" t="s">
        <v>23</v>
      </c>
      <c r="C44" s="12"/>
      <c r="D44" s="927" t="s">
        <v>78</v>
      </c>
      <c r="E44" s="928"/>
      <c r="F44" s="928"/>
      <c r="G44" s="929"/>
      <c r="H44" s="927" t="s">
        <v>77</v>
      </c>
      <c r="I44" s="928"/>
      <c r="J44" s="928"/>
      <c r="K44" s="929"/>
      <c r="L44" s="927" t="s">
        <v>81</v>
      </c>
      <c r="M44" s="928"/>
      <c r="N44" s="928"/>
      <c r="O44" s="929"/>
      <c r="P44" s="927" t="s">
        <v>254</v>
      </c>
      <c r="Q44" s="928"/>
      <c r="R44" s="928"/>
      <c r="S44" s="929"/>
      <c r="T44" s="927" t="s">
        <v>76</v>
      </c>
      <c r="U44" s="928"/>
      <c r="V44" s="928"/>
      <c r="W44" s="929"/>
      <c r="X44" s="880"/>
    </row>
    <row r="45" spans="1:24" ht="12.95" customHeight="1" thickBot="1">
      <c r="A45" s="885"/>
      <c r="B45" s="868" t="s">
        <v>56</v>
      </c>
      <c r="C45" s="9" t="s">
        <v>2</v>
      </c>
      <c r="D45" s="966" t="s">
        <v>255</v>
      </c>
      <c r="E45" s="967"/>
      <c r="F45" s="967"/>
      <c r="G45" s="968"/>
      <c r="H45" s="942">
        <v>1.6</v>
      </c>
      <c r="I45" s="943"/>
      <c r="J45" s="943"/>
      <c r="K45" s="944"/>
      <c r="L45" s="942">
        <v>1.6</v>
      </c>
      <c r="M45" s="943"/>
      <c r="N45" s="943"/>
      <c r="O45" s="944"/>
      <c r="P45" s="942">
        <v>1.9</v>
      </c>
      <c r="Q45" s="943"/>
      <c r="R45" s="943"/>
      <c r="S45" s="944"/>
      <c r="T45" s="942">
        <v>2.2999999999999998</v>
      </c>
      <c r="U45" s="943"/>
      <c r="V45" s="943"/>
      <c r="W45" s="944"/>
      <c r="X45" s="880"/>
    </row>
    <row r="46" spans="1:24" ht="13.5" thickBot="1">
      <c r="A46" s="885"/>
      <c r="B46" s="885"/>
      <c r="C46" s="10" t="s">
        <v>3</v>
      </c>
      <c r="D46" s="957"/>
      <c r="E46" s="958"/>
      <c r="F46" s="958"/>
      <c r="G46" s="959"/>
      <c r="H46" s="933"/>
      <c r="I46" s="934"/>
      <c r="J46" s="934"/>
      <c r="K46" s="935"/>
      <c r="L46" s="963">
        <v>1.6</v>
      </c>
      <c r="M46" s="964"/>
      <c r="N46" s="964"/>
      <c r="O46" s="965"/>
      <c r="P46" s="963">
        <v>1.9</v>
      </c>
      <c r="Q46" s="964"/>
      <c r="R46" s="964"/>
      <c r="S46" s="965"/>
      <c r="T46" s="963">
        <v>0</v>
      </c>
      <c r="U46" s="964"/>
      <c r="V46" s="964"/>
      <c r="W46" s="965"/>
      <c r="X46" s="880"/>
    </row>
    <row r="47" spans="1:24" ht="12.95" customHeight="1" thickBot="1">
      <c r="A47" s="885"/>
      <c r="B47" s="885"/>
      <c r="C47" s="1258" t="s">
        <v>170</v>
      </c>
      <c r="D47" s="927" t="s">
        <v>4</v>
      </c>
      <c r="E47" s="928"/>
      <c r="F47" s="928"/>
      <c r="G47" s="928"/>
      <c r="H47" s="928"/>
      <c r="I47" s="928"/>
      <c r="J47" s="928"/>
      <c r="K47" s="928"/>
      <c r="L47" s="928"/>
      <c r="M47" s="928"/>
      <c r="N47" s="928"/>
      <c r="O47" s="928"/>
      <c r="P47" s="928"/>
      <c r="Q47" s="928"/>
      <c r="R47" s="928"/>
      <c r="S47" s="928"/>
      <c r="T47" s="928"/>
      <c r="U47" s="928"/>
      <c r="V47" s="928"/>
      <c r="W47" s="928"/>
      <c r="X47" s="880"/>
    </row>
    <row r="48" spans="1:24" ht="12.95" customHeight="1" thickBot="1">
      <c r="A48" s="885"/>
      <c r="B48" s="869"/>
      <c r="C48" s="1259"/>
      <c r="D48" s="930" t="s">
        <v>115</v>
      </c>
      <c r="E48" s="931"/>
      <c r="F48" s="931"/>
      <c r="G48" s="931"/>
      <c r="H48" s="931"/>
      <c r="I48" s="931"/>
      <c r="J48" s="931"/>
      <c r="K48" s="931"/>
      <c r="L48" s="931"/>
      <c r="M48" s="931"/>
      <c r="N48" s="931"/>
      <c r="O48" s="931"/>
      <c r="P48" s="931"/>
      <c r="Q48" s="931"/>
      <c r="R48" s="931"/>
      <c r="S48" s="931"/>
      <c r="T48" s="931"/>
      <c r="U48" s="931"/>
      <c r="V48" s="931"/>
      <c r="W48" s="932"/>
      <c r="X48" s="880"/>
    </row>
    <row r="49" spans="1:24" ht="12.95" customHeight="1" thickBot="1">
      <c r="A49" s="885"/>
      <c r="B49" s="11" t="s">
        <v>38</v>
      </c>
      <c r="C49" s="12"/>
      <c r="D49" s="927" t="s">
        <v>78</v>
      </c>
      <c r="E49" s="928"/>
      <c r="F49" s="928"/>
      <c r="G49" s="929"/>
      <c r="H49" s="927" t="s">
        <v>77</v>
      </c>
      <c r="I49" s="928"/>
      <c r="J49" s="928"/>
      <c r="K49" s="929"/>
      <c r="L49" s="927" t="s">
        <v>81</v>
      </c>
      <c r="M49" s="928"/>
      <c r="N49" s="928"/>
      <c r="O49" s="929"/>
      <c r="P49" s="927" t="s">
        <v>254</v>
      </c>
      <c r="Q49" s="928"/>
      <c r="R49" s="928"/>
      <c r="S49" s="929"/>
      <c r="T49" s="927" t="s">
        <v>76</v>
      </c>
      <c r="U49" s="928"/>
      <c r="V49" s="928"/>
      <c r="W49" s="929"/>
      <c r="X49" s="880"/>
    </row>
    <row r="50" spans="1:24" ht="12.95" customHeight="1" thickBot="1">
      <c r="A50" s="885"/>
      <c r="B50" s="868" t="s">
        <v>155</v>
      </c>
      <c r="C50" s="9" t="s">
        <v>2</v>
      </c>
      <c r="D50" s="933" t="s">
        <v>171</v>
      </c>
      <c r="E50" s="934"/>
      <c r="F50" s="934"/>
      <c r="G50" s="935"/>
      <c r="H50" s="966" t="s">
        <v>572</v>
      </c>
      <c r="I50" s="967"/>
      <c r="J50" s="967"/>
      <c r="K50" s="968"/>
      <c r="L50" s="942">
        <v>2.6</v>
      </c>
      <c r="M50" s="943"/>
      <c r="N50" s="943"/>
      <c r="O50" s="944"/>
      <c r="P50" s="942">
        <v>2.9</v>
      </c>
      <c r="Q50" s="943"/>
      <c r="R50" s="943"/>
      <c r="S50" s="944"/>
      <c r="T50" s="942">
        <v>3.5</v>
      </c>
      <c r="U50" s="943"/>
      <c r="V50" s="943"/>
      <c r="W50" s="944"/>
      <c r="X50" s="880"/>
    </row>
    <row r="51" spans="1:24" ht="13.5" thickBot="1">
      <c r="A51" s="885"/>
      <c r="B51" s="885"/>
      <c r="C51" s="98" t="s">
        <v>3</v>
      </c>
      <c r="D51" s="933"/>
      <c r="E51" s="934"/>
      <c r="F51" s="934"/>
      <c r="G51" s="935"/>
      <c r="H51" s="933"/>
      <c r="I51" s="934"/>
      <c r="J51" s="934"/>
      <c r="K51" s="935"/>
      <c r="L51" s="1171"/>
      <c r="M51" s="1172"/>
      <c r="N51" s="1172"/>
      <c r="O51" s="1173"/>
      <c r="P51" s="963">
        <v>2.2999999999999998</v>
      </c>
      <c r="Q51" s="964"/>
      <c r="R51" s="964"/>
      <c r="S51" s="965"/>
      <c r="T51" s="963">
        <v>0</v>
      </c>
      <c r="U51" s="964"/>
      <c r="V51" s="964"/>
      <c r="W51" s="965"/>
      <c r="X51" s="880"/>
    </row>
    <row r="52" spans="1:24" ht="12.95" customHeight="1" thickBot="1">
      <c r="A52" s="885"/>
      <c r="B52" s="885"/>
      <c r="C52" s="922" t="s">
        <v>170</v>
      </c>
      <c r="D52" s="927" t="s">
        <v>4</v>
      </c>
      <c r="E52" s="928"/>
      <c r="F52" s="928"/>
      <c r="G52" s="928"/>
      <c r="H52" s="928"/>
      <c r="I52" s="928"/>
      <c r="J52" s="928"/>
      <c r="K52" s="928"/>
      <c r="L52" s="928"/>
      <c r="M52" s="928"/>
      <c r="N52" s="928"/>
      <c r="O52" s="928"/>
      <c r="P52" s="928"/>
      <c r="Q52" s="928"/>
      <c r="R52" s="928"/>
      <c r="S52" s="928"/>
      <c r="T52" s="928"/>
      <c r="U52" s="928"/>
      <c r="V52" s="928"/>
      <c r="W52" s="928"/>
      <c r="X52" s="880"/>
    </row>
    <row r="53" spans="1:24" ht="12.95" customHeight="1" thickBot="1">
      <c r="A53" s="885"/>
      <c r="B53" s="869"/>
      <c r="C53" s="923"/>
      <c r="D53" s="930" t="s">
        <v>115</v>
      </c>
      <c r="E53" s="931"/>
      <c r="F53" s="931"/>
      <c r="G53" s="931"/>
      <c r="H53" s="931"/>
      <c r="I53" s="931"/>
      <c r="J53" s="931"/>
      <c r="K53" s="931"/>
      <c r="L53" s="931"/>
      <c r="M53" s="931"/>
      <c r="N53" s="931"/>
      <c r="O53" s="931"/>
      <c r="P53" s="931"/>
      <c r="Q53" s="931"/>
      <c r="R53" s="931"/>
      <c r="S53" s="931"/>
      <c r="T53" s="931"/>
      <c r="U53" s="931"/>
      <c r="V53" s="931"/>
      <c r="W53" s="932"/>
      <c r="X53" s="880"/>
    </row>
    <row r="54" spans="1:24" ht="12.95" customHeight="1" thickBot="1">
      <c r="A54" s="885"/>
      <c r="B54" s="11" t="s">
        <v>39</v>
      </c>
      <c r="C54" s="12"/>
      <c r="D54" s="927" t="s">
        <v>78</v>
      </c>
      <c r="E54" s="928"/>
      <c r="F54" s="928"/>
      <c r="G54" s="929"/>
      <c r="H54" s="927" t="s">
        <v>77</v>
      </c>
      <c r="I54" s="928"/>
      <c r="J54" s="928"/>
      <c r="K54" s="929"/>
      <c r="L54" s="927" t="s">
        <v>81</v>
      </c>
      <c r="M54" s="928"/>
      <c r="N54" s="928"/>
      <c r="O54" s="929"/>
      <c r="P54" s="927" t="s">
        <v>254</v>
      </c>
      <c r="Q54" s="928"/>
      <c r="R54" s="928"/>
      <c r="S54" s="929"/>
      <c r="T54" s="927" t="s">
        <v>76</v>
      </c>
      <c r="U54" s="928"/>
      <c r="V54" s="928"/>
      <c r="W54" s="929"/>
      <c r="X54" s="880"/>
    </row>
    <row r="55" spans="1:24" ht="44.1" customHeight="1" thickBot="1">
      <c r="A55" s="885"/>
      <c r="B55" s="978" t="s">
        <v>575</v>
      </c>
      <c r="C55" s="9"/>
      <c r="D55" s="20" t="s">
        <v>105</v>
      </c>
      <c r="E55" s="20" t="s">
        <v>579</v>
      </c>
      <c r="F55" s="20" t="s">
        <v>580</v>
      </c>
      <c r="G55" s="20" t="s">
        <v>581</v>
      </c>
      <c r="H55" s="20" t="s">
        <v>105</v>
      </c>
      <c r="I55" s="20" t="s">
        <v>579</v>
      </c>
      <c r="J55" s="20" t="s">
        <v>580</v>
      </c>
      <c r="K55" s="20" t="s">
        <v>581</v>
      </c>
      <c r="L55" s="20" t="s">
        <v>105</v>
      </c>
      <c r="M55" s="20" t="s">
        <v>579</v>
      </c>
      <c r="N55" s="20" t="s">
        <v>580</v>
      </c>
      <c r="O55" s="20" t="s">
        <v>581</v>
      </c>
      <c r="P55" s="20" t="s">
        <v>105</v>
      </c>
      <c r="Q55" s="20" t="s">
        <v>579</v>
      </c>
      <c r="R55" s="20" t="s">
        <v>580</v>
      </c>
      <c r="S55" s="20" t="s">
        <v>581</v>
      </c>
      <c r="T55" s="20" t="s">
        <v>105</v>
      </c>
      <c r="U55" s="20" t="s">
        <v>579</v>
      </c>
      <c r="V55" s="20" t="s">
        <v>580</v>
      </c>
      <c r="W55" s="20" t="s">
        <v>581</v>
      </c>
      <c r="X55" s="880"/>
    </row>
    <row r="56" spans="1:24" ht="12.95" customHeight="1" thickBot="1">
      <c r="A56" s="885"/>
      <c r="B56" s="979"/>
      <c r="C56" s="9" t="s">
        <v>2</v>
      </c>
      <c r="D56" s="966" t="s">
        <v>255</v>
      </c>
      <c r="E56" s="967"/>
      <c r="F56" s="967"/>
      <c r="G56" s="968"/>
      <c r="H56" s="18">
        <v>0</v>
      </c>
      <c r="I56" s="18">
        <v>0</v>
      </c>
      <c r="J56" s="18">
        <v>0</v>
      </c>
      <c r="K56" s="18">
        <v>0</v>
      </c>
      <c r="L56" s="18">
        <v>0</v>
      </c>
      <c r="M56" s="18">
        <v>0</v>
      </c>
      <c r="N56" s="18">
        <v>0</v>
      </c>
      <c r="O56" s="18">
        <v>0</v>
      </c>
      <c r="P56" s="18">
        <v>0</v>
      </c>
      <c r="Q56" s="18">
        <v>0</v>
      </c>
      <c r="R56" s="18">
        <v>0</v>
      </c>
      <c r="S56" s="18">
        <v>0</v>
      </c>
      <c r="T56" s="18">
        <v>2</v>
      </c>
      <c r="U56" s="18">
        <v>1</v>
      </c>
      <c r="V56" s="18">
        <v>0</v>
      </c>
      <c r="W56" s="18">
        <v>0</v>
      </c>
      <c r="X56" s="880"/>
    </row>
    <row r="57" spans="1:24" ht="24" customHeight="1" thickBot="1">
      <c r="A57" s="885"/>
      <c r="B57" s="169" t="s">
        <v>159</v>
      </c>
      <c r="C57" s="10" t="s">
        <v>3</v>
      </c>
      <c r="D57" s="933"/>
      <c r="E57" s="934"/>
      <c r="F57" s="934"/>
      <c r="G57" s="935"/>
      <c r="H57" s="933"/>
      <c r="I57" s="934"/>
      <c r="J57" s="934"/>
      <c r="K57" s="935"/>
      <c r="L57" s="68">
        <v>0</v>
      </c>
      <c r="M57" s="68">
        <v>0</v>
      </c>
      <c r="N57" s="68">
        <v>0</v>
      </c>
      <c r="O57" s="68">
        <v>0</v>
      </c>
      <c r="P57" s="68">
        <v>2</v>
      </c>
      <c r="Q57" s="68">
        <v>0</v>
      </c>
      <c r="R57" s="68">
        <v>0</v>
      </c>
      <c r="S57" s="68">
        <v>0</v>
      </c>
      <c r="T57" s="68">
        <v>0</v>
      </c>
      <c r="U57" s="68">
        <v>0</v>
      </c>
      <c r="V57" s="68">
        <v>0</v>
      </c>
      <c r="W57" s="68">
        <v>0</v>
      </c>
      <c r="X57" s="880"/>
    </row>
    <row r="58" spans="1:24" ht="36.75" thickBot="1">
      <c r="A58" s="885"/>
      <c r="B58" s="169" t="s">
        <v>576</v>
      </c>
      <c r="C58" s="1258" t="s">
        <v>170</v>
      </c>
      <c r="D58" s="927" t="s">
        <v>4</v>
      </c>
      <c r="E58" s="928"/>
      <c r="F58" s="928"/>
      <c r="G58" s="928"/>
      <c r="H58" s="928"/>
      <c r="I58" s="928"/>
      <c r="J58" s="928"/>
      <c r="K58" s="928"/>
      <c r="L58" s="928"/>
      <c r="M58" s="928"/>
      <c r="N58" s="928"/>
      <c r="O58" s="928"/>
      <c r="P58" s="928"/>
      <c r="Q58" s="928"/>
      <c r="R58" s="928"/>
      <c r="S58" s="928"/>
      <c r="T58" s="928"/>
      <c r="U58" s="928"/>
      <c r="V58" s="928"/>
      <c r="W58" s="928"/>
      <c r="X58" s="880"/>
    </row>
    <row r="59" spans="1:24" ht="12.95" customHeight="1" thickBot="1">
      <c r="A59" s="869"/>
      <c r="B59" s="176" t="s">
        <v>577</v>
      </c>
      <c r="C59" s="1259"/>
      <c r="D59" s="930" t="s">
        <v>126</v>
      </c>
      <c r="E59" s="931"/>
      <c r="F59" s="931"/>
      <c r="G59" s="931"/>
      <c r="H59" s="931"/>
      <c r="I59" s="931"/>
      <c r="J59" s="931"/>
      <c r="K59" s="931"/>
      <c r="L59" s="931"/>
      <c r="M59" s="931"/>
      <c r="N59" s="931"/>
      <c r="O59" s="931"/>
      <c r="P59" s="931"/>
      <c r="Q59" s="931"/>
      <c r="R59" s="931"/>
      <c r="S59" s="931"/>
      <c r="T59" s="931"/>
      <c r="U59" s="931"/>
      <c r="V59" s="931"/>
      <c r="W59" s="932"/>
      <c r="X59" s="881"/>
    </row>
    <row r="60" spans="1:24" ht="12.95" customHeight="1" thickBot="1">
      <c r="A60" s="906" t="s">
        <v>7</v>
      </c>
      <c r="B60" s="908" t="s">
        <v>173</v>
      </c>
      <c r="C60" s="909"/>
      <c r="D60" s="908" t="s">
        <v>8</v>
      </c>
      <c r="E60" s="918"/>
      <c r="F60" s="918"/>
      <c r="G60" s="909"/>
      <c r="H60" s="908" t="s">
        <v>88</v>
      </c>
      <c r="I60" s="918"/>
      <c r="J60" s="918"/>
      <c r="K60" s="909"/>
      <c r="L60" s="908" t="s">
        <v>89</v>
      </c>
      <c r="M60" s="918"/>
      <c r="N60" s="918"/>
      <c r="O60" s="909"/>
      <c r="P60" s="908" t="s">
        <v>9</v>
      </c>
      <c r="Q60" s="918"/>
      <c r="R60" s="918"/>
      <c r="S60" s="909"/>
      <c r="T60" s="908" t="s">
        <v>174</v>
      </c>
      <c r="U60" s="918"/>
      <c r="V60" s="918"/>
      <c r="W60" s="918"/>
      <c r="X60" s="909"/>
    </row>
    <row r="61" spans="1:24" ht="13.5" thickBot="1">
      <c r="A61" s="907"/>
      <c r="B61" s="916">
        <f>SUM(B82+B103+B132+B164+B180)</f>
        <v>0</v>
      </c>
      <c r="C61" s="917"/>
      <c r="D61" s="1274" t="e">
        <f>SUM(D82+D103+D132+D164+D180)</f>
        <v>#VALUE!</v>
      </c>
      <c r="E61" s="994"/>
      <c r="F61" s="994">
        <f>SUM(F82+F103+F132+F164+F180)</f>
        <v>0</v>
      </c>
      <c r="G61" s="917"/>
      <c r="H61" s="1274">
        <f>SUM(H82+H103+H132+H164+H180)</f>
        <v>0</v>
      </c>
      <c r="I61" s="994"/>
      <c r="J61" s="994">
        <f>SUM(J82+J103+J132+J164+J180)</f>
        <v>0</v>
      </c>
      <c r="K61" s="917"/>
      <c r="L61" s="1274">
        <f>SUM(L82+L103+L132+L164+L180)</f>
        <v>0</v>
      </c>
      <c r="M61" s="994"/>
      <c r="N61" s="994">
        <f>SUM(N82+N103+N132+N164+N180)</f>
        <v>0</v>
      </c>
      <c r="O61" s="917"/>
      <c r="P61" s="916" t="e">
        <f>SUM(B61:O61)</f>
        <v>#VALUE!</v>
      </c>
      <c r="Q61" s="994"/>
      <c r="R61" s="994"/>
      <c r="S61" s="917"/>
      <c r="T61" s="916" t="e">
        <f>B61/P61%</f>
        <v>#VALUE!</v>
      </c>
      <c r="U61" s="994"/>
      <c r="V61" s="994"/>
      <c r="W61" s="994"/>
      <c r="X61" s="917"/>
    </row>
    <row r="62" spans="1:24" ht="13.5" thickBot="1">
      <c r="A62" s="906" t="s">
        <v>10</v>
      </c>
      <c r="B62" s="908" t="s">
        <v>175</v>
      </c>
      <c r="C62" s="909"/>
      <c r="D62" s="910"/>
      <c r="E62" s="911"/>
      <c r="F62" s="911"/>
      <c r="G62" s="911"/>
      <c r="H62" s="911"/>
      <c r="I62" s="911"/>
      <c r="J62" s="911"/>
      <c r="K62" s="911"/>
      <c r="L62" s="911"/>
      <c r="M62" s="911"/>
      <c r="N62" s="911"/>
      <c r="O62" s="911"/>
      <c r="P62" s="911"/>
      <c r="Q62" s="911"/>
      <c r="R62" s="911"/>
      <c r="S62" s="911"/>
      <c r="T62" s="911"/>
      <c r="U62" s="911"/>
      <c r="V62" s="911"/>
      <c r="W62" s="911"/>
      <c r="X62" s="912"/>
    </row>
    <row r="63" spans="1:24" ht="13.5" thickBot="1">
      <c r="A63" s="907"/>
      <c r="B63" s="916" t="e">
        <f>SUM(B84+B105+B134+B166+B182)</f>
        <v>#VALUE!</v>
      </c>
      <c r="C63" s="917"/>
      <c r="D63" s="913"/>
      <c r="E63" s="914"/>
      <c r="F63" s="914"/>
      <c r="G63" s="914"/>
      <c r="H63" s="914"/>
      <c r="I63" s="914"/>
      <c r="J63" s="914"/>
      <c r="K63" s="914"/>
      <c r="L63" s="914"/>
      <c r="M63" s="914"/>
      <c r="N63" s="914"/>
      <c r="O63" s="914"/>
      <c r="P63" s="914"/>
      <c r="Q63" s="914"/>
      <c r="R63" s="914"/>
      <c r="S63" s="914"/>
      <c r="T63" s="914"/>
      <c r="U63" s="914"/>
      <c r="V63" s="914"/>
      <c r="W63" s="914"/>
      <c r="X63" s="915"/>
    </row>
    <row r="64" spans="1:24">
      <c r="A64" s="5"/>
      <c r="B64" s="5"/>
      <c r="C64" s="6"/>
      <c r="D64" s="5"/>
      <c r="E64" s="5"/>
      <c r="F64" s="5"/>
      <c r="G64" s="5"/>
      <c r="H64" s="5"/>
      <c r="I64" s="5"/>
      <c r="J64" s="5"/>
      <c r="K64" s="5"/>
      <c r="L64" s="5"/>
      <c r="M64" s="5"/>
      <c r="N64" s="5"/>
      <c r="O64" s="5"/>
      <c r="P64" s="5"/>
      <c r="Q64" s="5"/>
      <c r="R64" s="5"/>
      <c r="S64" s="5"/>
      <c r="T64" s="5"/>
      <c r="U64" s="5"/>
      <c r="V64" s="5"/>
      <c r="W64" s="5"/>
      <c r="X64" s="5"/>
    </row>
    <row r="65" spans="1:24" ht="13.5" thickBot="1">
      <c r="A65" s="21"/>
      <c r="B65" s="21"/>
      <c r="C65" s="22"/>
      <c r="D65" s="21"/>
      <c r="E65" s="21"/>
      <c r="F65" s="21"/>
      <c r="G65" s="21"/>
      <c r="H65" s="21"/>
      <c r="I65" s="21"/>
      <c r="J65" s="21"/>
      <c r="K65" s="21"/>
      <c r="L65" s="21"/>
      <c r="M65" s="21"/>
      <c r="N65" s="21"/>
      <c r="O65" s="21"/>
      <c r="P65" s="21"/>
      <c r="Q65" s="21"/>
      <c r="R65" s="21"/>
      <c r="S65" s="21"/>
      <c r="T65" s="21"/>
      <c r="U65" s="21"/>
      <c r="V65" s="21"/>
      <c r="W65" s="21"/>
      <c r="X65" s="21"/>
    </row>
    <row r="66" spans="1:24" ht="12.95" customHeight="1" thickBot="1">
      <c r="A66" s="95" t="s">
        <v>11</v>
      </c>
      <c r="B66" s="97" t="s">
        <v>16</v>
      </c>
      <c r="C66" s="8"/>
      <c r="D66" s="927" t="s">
        <v>78</v>
      </c>
      <c r="E66" s="928"/>
      <c r="F66" s="928"/>
      <c r="G66" s="929"/>
      <c r="H66" s="927" t="s">
        <v>77</v>
      </c>
      <c r="I66" s="928"/>
      <c r="J66" s="928"/>
      <c r="K66" s="929"/>
      <c r="L66" s="927" t="s">
        <v>81</v>
      </c>
      <c r="M66" s="928"/>
      <c r="N66" s="928"/>
      <c r="O66" s="929"/>
      <c r="P66" s="927" t="s">
        <v>254</v>
      </c>
      <c r="Q66" s="928"/>
      <c r="R66" s="928"/>
      <c r="S66" s="929"/>
      <c r="T66" s="927" t="s">
        <v>76</v>
      </c>
      <c r="U66" s="928"/>
      <c r="V66" s="928"/>
      <c r="W66" s="929"/>
      <c r="X66" s="16" t="s">
        <v>12</v>
      </c>
    </row>
    <row r="67" spans="1:24" ht="12.95" customHeight="1" thickBot="1">
      <c r="A67" s="868" t="s">
        <v>57</v>
      </c>
      <c r="B67" s="868" t="s">
        <v>58</v>
      </c>
      <c r="C67" s="9" t="s">
        <v>2</v>
      </c>
      <c r="D67" s="966" t="s">
        <v>255</v>
      </c>
      <c r="E67" s="967"/>
      <c r="F67" s="967"/>
      <c r="G67" s="968"/>
      <c r="H67" s="942">
        <v>1</v>
      </c>
      <c r="I67" s="943"/>
      <c r="J67" s="943"/>
      <c r="K67" s="944"/>
      <c r="L67" s="942">
        <v>1</v>
      </c>
      <c r="M67" s="943"/>
      <c r="N67" s="943"/>
      <c r="O67" s="944"/>
      <c r="P67" s="942">
        <v>1.4</v>
      </c>
      <c r="Q67" s="943"/>
      <c r="R67" s="943"/>
      <c r="S67" s="944"/>
      <c r="T67" s="1262">
        <v>2.5</v>
      </c>
      <c r="U67" s="1263"/>
      <c r="V67" s="1263"/>
      <c r="W67" s="1264"/>
      <c r="X67" s="879" t="s">
        <v>97</v>
      </c>
    </row>
    <row r="68" spans="1:24" ht="13.5" thickBot="1">
      <c r="A68" s="885"/>
      <c r="B68" s="885"/>
      <c r="C68" s="10" t="s">
        <v>3</v>
      </c>
      <c r="D68" s="957"/>
      <c r="E68" s="958"/>
      <c r="F68" s="958"/>
      <c r="G68" s="959"/>
      <c r="H68" s="957"/>
      <c r="I68" s="958"/>
      <c r="J68" s="958"/>
      <c r="K68" s="959"/>
      <c r="L68" s="963">
        <v>1</v>
      </c>
      <c r="M68" s="964"/>
      <c r="N68" s="964"/>
      <c r="O68" s="965"/>
      <c r="P68" s="963">
        <v>1.6</v>
      </c>
      <c r="Q68" s="964"/>
      <c r="R68" s="964"/>
      <c r="S68" s="965"/>
      <c r="T68" s="963">
        <v>0</v>
      </c>
      <c r="U68" s="964"/>
      <c r="V68" s="964"/>
      <c r="W68" s="965"/>
      <c r="X68" s="880"/>
    </row>
    <row r="69" spans="1:24" ht="12.95" customHeight="1" thickBot="1">
      <c r="A69" s="885"/>
      <c r="B69" s="885"/>
      <c r="C69" s="1258" t="s">
        <v>170</v>
      </c>
      <c r="D69" s="927" t="s">
        <v>4</v>
      </c>
      <c r="E69" s="928"/>
      <c r="F69" s="928"/>
      <c r="G69" s="928"/>
      <c r="H69" s="928"/>
      <c r="I69" s="928"/>
      <c r="J69" s="928"/>
      <c r="K69" s="928"/>
      <c r="L69" s="928"/>
      <c r="M69" s="928"/>
      <c r="N69" s="928"/>
      <c r="O69" s="928"/>
      <c r="P69" s="928"/>
      <c r="Q69" s="928"/>
      <c r="R69" s="928"/>
      <c r="S69" s="928"/>
      <c r="T69" s="928"/>
      <c r="U69" s="928"/>
      <c r="V69" s="928"/>
      <c r="W69" s="929"/>
      <c r="X69" s="880"/>
    </row>
    <row r="70" spans="1:24" ht="12.95" customHeight="1" thickBot="1">
      <c r="A70" s="885"/>
      <c r="B70" s="869"/>
      <c r="C70" s="1259"/>
      <c r="D70" s="930" t="s">
        <v>272</v>
      </c>
      <c r="E70" s="931"/>
      <c r="F70" s="931"/>
      <c r="G70" s="931"/>
      <c r="H70" s="931"/>
      <c r="I70" s="931"/>
      <c r="J70" s="931"/>
      <c r="K70" s="931"/>
      <c r="L70" s="931"/>
      <c r="M70" s="931"/>
      <c r="N70" s="931"/>
      <c r="O70" s="931"/>
      <c r="P70" s="931"/>
      <c r="Q70" s="931"/>
      <c r="R70" s="931"/>
      <c r="S70" s="931"/>
      <c r="T70" s="931"/>
      <c r="U70" s="931"/>
      <c r="V70" s="931"/>
      <c r="W70" s="932"/>
      <c r="X70" s="880"/>
    </row>
    <row r="71" spans="1:24" ht="12.95" customHeight="1" thickBot="1">
      <c r="A71" s="885"/>
      <c r="B71" s="11" t="s">
        <v>17</v>
      </c>
      <c r="C71" s="12"/>
      <c r="D71" s="927" t="s">
        <v>78</v>
      </c>
      <c r="E71" s="928"/>
      <c r="F71" s="928"/>
      <c r="G71" s="929"/>
      <c r="H71" s="927" t="s">
        <v>77</v>
      </c>
      <c r="I71" s="928"/>
      <c r="J71" s="928"/>
      <c r="K71" s="929"/>
      <c r="L71" s="927" t="s">
        <v>81</v>
      </c>
      <c r="M71" s="928"/>
      <c r="N71" s="928"/>
      <c r="O71" s="929"/>
      <c r="P71" s="927" t="s">
        <v>254</v>
      </c>
      <c r="Q71" s="928"/>
      <c r="R71" s="928"/>
      <c r="S71" s="929"/>
      <c r="T71" s="927" t="s">
        <v>76</v>
      </c>
      <c r="U71" s="928"/>
      <c r="V71" s="928"/>
      <c r="W71" s="929"/>
      <c r="X71" s="880"/>
    </row>
    <row r="72" spans="1:24" ht="12.95" customHeight="1" thickBot="1">
      <c r="A72" s="885"/>
      <c r="B72" s="868" t="s">
        <v>59</v>
      </c>
      <c r="C72" s="23" t="s">
        <v>2</v>
      </c>
      <c r="D72" s="966" t="s">
        <v>255</v>
      </c>
      <c r="E72" s="967"/>
      <c r="F72" s="967"/>
      <c r="G72" s="968"/>
      <c r="H72" s="963">
        <v>1</v>
      </c>
      <c r="I72" s="964"/>
      <c r="J72" s="964"/>
      <c r="K72" s="965"/>
      <c r="L72" s="963">
        <v>1</v>
      </c>
      <c r="M72" s="964"/>
      <c r="N72" s="964"/>
      <c r="O72" s="965"/>
      <c r="P72" s="963">
        <v>1.5</v>
      </c>
      <c r="Q72" s="964"/>
      <c r="R72" s="964"/>
      <c r="S72" s="965"/>
      <c r="T72" s="1262">
        <v>2</v>
      </c>
      <c r="U72" s="1263"/>
      <c r="V72" s="1263"/>
      <c r="W72" s="1264"/>
      <c r="X72" s="880"/>
    </row>
    <row r="73" spans="1:24" ht="13.5" thickBot="1">
      <c r="A73" s="885"/>
      <c r="B73" s="885"/>
      <c r="C73" s="9" t="s">
        <v>3</v>
      </c>
      <c r="D73" s="957"/>
      <c r="E73" s="958"/>
      <c r="F73" s="958"/>
      <c r="G73" s="959"/>
      <c r="H73" s="957"/>
      <c r="I73" s="958"/>
      <c r="J73" s="958"/>
      <c r="K73" s="959"/>
      <c r="L73" s="963">
        <v>1</v>
      </c>
      <c r="M73" s="964"/>
      <c r="N73" s="964"/>
      <c r="O73" s="965"/>
      <c r="P73" s="963">
        <v>1.2</v>
      </c>
      <c r="Q73" s="964"/>
      <c r="R73" s="964"/>
      <c r="S73" s="965"/>
      <c r="T73" s="963">
        <v>0</v>
      </c>
      <c r="U73" s="964"/>
      <c r="V73" s="964"/>
      <c r="W73" s="965"/>
      <c r="X73" s="880"/>
    </row>
    <row r="74" spans="1:24" ht="12.95" customHeight="1" thickBot="1">
      <c r="A74" s="885"/>
      <c r="B74" s="885"/>
      <c r="C74" s="1258" t="s">
        <v>170</v>
      </c>
      <c r="D74" s="927" t="s">
        <v>4</v>
      </c>
      <c r="E74" s="928"/>
      <c r="F74" s="928"/>
      <c r="G74" s="928"/>
      <c r="H74" s="928"/>
      <c r="I74" s="928"/>
      <c r="J74" s="928"/>
      <c r="K74" s="928"/>
      <c r="L74" s="928"/>
      <c r="M74" s="928"/>
      <c r="N74" s="928"/>
      <c r="O74" s="928"/>
      <c r="P74" s="928"/>
      <c r="Q74" s="928"/>
      <c r="R74" s="928"/>
      <c r="S74" s="928"/>
      <c r="T74" s="928"/>
      <c r="U74" s="928"/>
      <c r="V74" s="928"/>
      <c r="W74" s="929"/>
      <c r="X74" s="880"/>
    </row>
    <row r="75" spans="1:24" ht="12.95" customHeight="1" thickBot="1">
      <c r="A75" s="885"/>
      <c r="B75" s="869"/>
      <c r="C75" s="1259"/>
      <c r="D75" s="930" t="s">
        <v>118</v>
      </c>
      <c r="E75" s="931"/>
      <c r="F75" s="931"/>
      <c r="G75" s="931"/>
      <c r="H75" s="931"/>
      <c r="I75" s="931"/>
      <c r="J75" s="931"/>
      <c r="K75" s="931"/>
      <c r="L75" s="931"/>
      <c r="M75" s="931"/>
      <c r="N75" s="931"/>
      <c r="O75" s="931"/>
      <c r="P75" s="931"/>
      <c r="Q75" s="931"/>
      <c r="R75" s="931"/>
      <c r="S75" s="931"/>
      <c r="T75" s="931"/>
      <c r="U75" s="931"/>
      <c r="V75" s="931"/>
      <c r="W75" s="932"/>
      <c r="X75" s="880"/>
    </row>
    <row r="76" spans="1:24" ht="12.95" customHeight="1" thickBot="1">
      <c r="A76" s="885"/>
      <c r="B76" s="11" t="s">
        <v>18</v>
      </c>
      <c r="C76" s="12"/>
      <c r="D76" s="927" t="s">
        <v>78</v>
      </c>
      <c r="E76" s="928"/>
      <c r="F76" s="928"/>
      <c r="G76" s="929"/>
      <c r="H76" s="927" t="s">
        <v>77</v>
      </c>
      <c r="I76" s="928"/>
      <c r="J76" s="928"/>
      <c r="K76" s="929"/>
      <c r="L76" s="927" t="s">
        <v>81</v>
      </c>
      <c r="M76" s="928"/>
      <c r="N76" s="928"/>
      <c r="O76" s="929"/>
      <c r="P76" s="927" t="s">
        <v>254</v>
      </c>
      <c r="Q76" s="928"/>
      <c r="R76" s="928"/>
      <c r="S76" s="929"/>
      <c r="T76" s="927" t="s">
        <v>76</v>
      </c>
      <c r="U76" s="928"/>
      <c r="V76" s="928"/>
      <c r="W76" s="929"/>
      <c r="X76" s="880"/>
    </row>
    <row r="77" spans="1:24" ht="12.95" customHeight="1" thickBot="1">
      <c r="A77" s="885"/>
      <c r="B77" s="868" t="s">
        <v>60</v>
      </c>
      <c r="C77" s="23" t="s">
        <v>2</v>
      </c>
      <c r="D77" s="966" t="s">
        <v>255</v>
      </c>
      <c r="E77" s="967"/>
      <c r="F77" s="967"/>
      <c r="G77" s="968"/>
      <c r="H77" s="951">
        <v>0</v>
      </c>
      <c r="I77" s="969"/>
      <c r="J77" s="969"/>
      <c r="K77" s="952"/>
      <c r="L77" s="951">
        <v>0</v>
      </c>
      <c r="M77" s="969"/>
      <c r="N77" s="969"/>
      <c r="O77" s="952"/>
      <c r="P77" s="924">
        <v>1</v>
      </c>
      <c r="Q77" s="925"/>
      <c r="R77" s="925"/>
      <c r="S77" s="926"/>
      <c r="T77" s="1309">
        <v>2</v>
      </c>
      <c r="U77" s="1273"/>
      <c r="V77" s="1273"/>
      <c r="W77" s="1261"/>
      <c r="X77" s="880"/>
    </row>
    <row r="78" spans="1:24" ht="13.5" thickBot="1">
      <c r="A78" s="869"/>
      <c r="B78" s="885"/>
      <c r="C78" s="9" t="s">
        <v>3</v>
      </c>
      <c r="D78" s="957"/>
      <c r="E78" s="958"/>
      <c r="F78" s="958"/>
      <c r="G78" s="959"/>
      <c r="H78" s="957"/>
      <c r="I78" s="958"/>
      <c r="J78" s="958"/>
      <c r="K78" s="959"/>
      <c r="L78" s="939">
        <v>0</v>
      </c>
      <c r="M78" s="970"/>
      <c r="N78" s="970"/>
      <c r="O78" s="953"/>
      <c r="P78" s="939">
        <v>1</v>
      </c>
      <c r="Q78" s="970"/>
      <c r="R78" s="970"/>
      <c r="S78" s="953"/>
      <c r="T78" s="939">
        <v>0</v>
      </c>
      <c r="U78" s="970"/>
      <c r="V78" s="970"/>
      <c r="W78" s="953"/>
      <c r="X78" s="881"/>
    </row>
    <row r="79" spans="1:24" ht="12.95" customHeight="1" thickBot="1">
      <c r="A79" s="96" t="s">
        <v>13</v>
      </c>
      <c r="B79" s="885"/>
      <c r="C79" s="1258" t="s">
        <v>170</v>
      </c>
      <c r="D79" s="927" t="s">
        <v>4</v>
      </c>
      <c r="E79" s="928"/>
      <c r="F79" s="928"/>
      <c r="G79" s="928"/>
      <c r="H79" s="928"/>
      <c r="I79" s="928"/>
      <c r="J79" s="928"/>
      <c r="K79" s="928"/>
      <c r="L79" s="928"/>
      <c r="M79" s="928"/>
      <c r="N79" s="928"/>
      <c r="O79" s="928"/>
      <c r="P79" s="928"/>
      <c r="Q79" s="928"/>
      <c r="R79" s="928"/>
      <c r="S79" s="928"/>
      <c r="T79" s="928"/>
      <c r="U79" s="928"/>
      <c r="V79" s="928"/>
      <c r="W79" s="929"/>
      <c r="X79" s="24" t="s">
        <v>14</v>
      </c>
    </row>
    <row r="80" spans="1:24" ht="12.95" customHeight="1" thickBot="1">
      <c r="A80" s="25" t="s">
        <v>75</v>
      </c>
      <c r="B80" s="869"/>
      <c r="C80" s="1259"/>
      <c r="D80" s="930" t="s">
        <v>119</v>
      </c>
      <c r="E80" s="931"/>
      <c r="F80" s="931"/>
      <c r="G80" s="931"/>
      <c r="H80" s="931"/>
      <c r="I80" s="931"/>
      <c r="J80" s="931"/>
      <c r="K80" s="931"/>
      <c r="L80" s="931"/>
      <c r="M80" s="931"/>
      <c r="N80" s="931"/>
      <c r="O80" s="931"/>
      <c r="P80" s="931"/>
      <c r="Q80" s="931"/>
      <c r="R80" s="931"/>
      <c r="S80" s="931"/>
      <c r="T80" s="931"/>
      <c r="U80" s="931"/>
      <c r="V80" s="931"/>
      <c r="W80" s="932"/>
      <c r="X80" s="18" t="s">
        <v>92</v>
      </c>
    </row>
    <row r="81" spans="1:24" ht="12.95" customHeight="1" thickBot="1">
      <c r="A81" s="906" t="s">
        <v>7</v>
      </c>
      <c r="B81" s="908" t="s">
        <v>173</v>
      </c>
      <c r="C81" s="909"/>
      <c r="D81" s="908" t="s">
        <v>8</v>
      </c>
      <c r="E81" s="918"/>
      <c r="F81" s="918"/>
      <c r="G81" s="909"/>
      <c r="H81" s="908" t="s">
        <v>88</v>
      </c>
      <c r="I81" s="918"/>
      <c r="J81" s="918"/>
      <c r="K81" s="909"/>
      <c r="L81" s="908" t="s">
        <v>89</v>
      </c>
      <c r="M81" s="918"/>
      <c r="N81" s="918"/>
      <c r="O81" s="909"/>
      <c r="P81" s="908" t="s">
        <v>9</v>
      </c>
      <c r="Q81" s="918"/>
      <c r="R81" s="918"/>
      <c r="S81" s="909"/>
      <c r="T81" s="908" t="s">
        <v>174</v>
      </c>
      <c r="U81" s="918"/>
      <c r="V81" s="918"/>
      <c r="W81" s="918"/>
      <c r="X81" s="909"/>
    </row>
    <row r="82" spans="1:24" ht="13.5" thickBot="1">
      <c r="A82" s="907"/>
      <c r="B82" s="1256"/>
      <c r="C82" s="1257"/>
      <c r="D82" s="916"/>
      <c r="E82" s="994"/>
      <c r="F82" s="994"/>
      <c r="G82" s="917"/>
      <c r="H82" s="916"/>
      <c r="I82" s="994"/>
      <c r="J82" s="994"/>
      <c r="K82" s="917"/>
      <c r="L82" s="916"/>
      <c r="M82" s="994"/>
      <c r="N82" s="994"/>
      <c r="O82" s="917"/>
      <c r="P82" s="916">
        <f>SUM(B82:O82)</f>
        <v>0</v>
      </c>
      <c r="Q82" s="994"/>
      <c r="R82" s="994"/>
      <c r="S82" s="917"/>
      <c r="T82" s="916" t="e">
        <f>B82/P82%</f>
        <v>#DIV/0!</v>
      </c>
      <c r="U82" s="994"/>
      <c r="V82" s="994"/>
      <c r="W82" s="994"/>
      <c r="X82" s="917"/>
    </row>
    <row r="83" spans="1:24" ht="13.5" thickBot="1">
      <c r="A83" s="906" t="s">
        <v>10</v>
      </c>
      <c r="B83" s="908" t="s">
        <v>175</v>
      </c>
      <c r="C83" s="909"/>
      <c r="D83" s="910"/>
      <c r="E83" s="911"/>
      <c r="F83" s="911"/>
      <c r="G83" s="911"/>
      <c r="H83" s="911"/>
      <c r="I83" s="911"/>
      <c r="J83" s="911"/>
      <c r="K83" s="911"/>
      <c r="L83" s="911"/>
      <c r="M83" s="911"/>
      <c r="N83" s="911"/>
      <c r="O83" s="911"/>
      <c r="P83" s="911"/>
      <c r="Q83" s="911"/>
      <c r="R83" s="911"/>
      <c r="S83" s="911"/>
      <c r="T83" s="911"/>
      <c r="U83" s="911"/>
      <c r="V83" s="911"/>
      <c r="W83" s="911"/>
      <c r="X83" s="912"/>
    </row>
    <row r="84" spans="1:24" ht="13.5" thickBot="1">
      <c r="A84" s="907"/>
      <c r="B84" s="1256"/>
      <c r="C84" s="1257"/>
      <c r="D84" s="913"/>
      <c r="E84" s="914"/>
      <c r="F84" s="914"/>
      <c r="G84" s="914"/>
      <c r="H84" s="914"/>
      <c r="I84" s="914"/>
      <c r="J84" s="914"/>
      <c r="K84" s="914"/>
      <c r="L84" s="914"/>
      <c r="M84" s="914"/>
      <c r="N84" s="914"/>
      <c r="O84" s="914"/>
      <c r="P84" s="914"/>
      <c r="Q84" s="914"/>
      <c r="R84" s="914"/>
      <c r="S84" s="914"/>
      <c r="T84" s="914"/>
      <c r="U84" s="914"/>
      <c r="V84" s="914"/>
      <c r="W84" s="914"/>
      <c r="X84" s="915"/>
    </row>
    <row r="85" spans="1:24">
      <c r="A85" s="5"/>
      <c r="B85" s="5"/>
      <c r="C85" s="6"/>
      <c r="D85" s="5"/>
      <c r="E85" s="5"/>
      <c r="F85" s="5"/>
      <c r="G85" s="5"/>
      <c r="H85" s="5"/>
      <c r="I85" s="5"/>
      <c r="J85" s="5"/>
      <c r="K85" s="5"/>
      <c r="L85" s="5"/>
      <c r="M85" s="5"/>
      <c r="N85" s="5"/>
      <c r="O85" s="5"/>
      <c r="P85" s="5"/>
      <c r="Q85" s="5"/>
      <c r="R85" s="5"/>
      <c r="S85" s="5"/>
      <c r="T85" s="5"/>
      <c r="U85" s="5"/>
      <c r="V85" s="5"/>
      <c r="W85" s="5"/>
      <c r="X85" s="5"/>
    </row>
    <row r="86" spans="1:24" ht="13.5" thickBot="1">
      <c r="A86" s="5"/>
      <c r="B86" s="5"/>
      <c r="C86" s="6"/>
      <c r="D86" s="5"/>
      <c r="E86" s="5"/>
      <c r="F86" s="5"/>
      <c r="G86" s="5"/>
      <c r="H86" s="5"/>
      <c r="I86" s="5"/>
      <c r="J86" s="5"/>
      <c r="K86" s="5"/>
      <c r="L86" s="5"/>
      <c r="M86" s="5"/>
      <c r="N86" s="5"/>
      <c r="O86" s="5"/>
      <c r="P86" s="5"/>
      <c r="Q86" s="5"/>
      <c r="R86" s="5"/>
      <c r="S86" s="5"/>
      <c r="T86" s="5"/>
      <c r="U86" s="5"/>
      <c r="V86" s="5"/>
      <c r="W86" s="5"/>
      <c r="X86" s="5"/>
    </row>
    <row r="87" spans="1:24" ht="12.95" customHeight="1" thickBot="1">
      <c r="A87" s="95" t="s">
        <v>15</v>
      </c>
      <c r="B87" s="97" t="s">
        <v>19</v>
      </c>
      <c r="C87" s="8"/>
      <c r="D87" s="927" t="s">
        <v>78</v>
      </c>
      <c r="E87" s="928"/>
      <c r="F87" s="928"/>
      <c r="G87" s="929"/>
      <c r="H87" s="927" t="s">
        <v>77</v>
      </c>
      <c r="I87" s="928"/>
      <c r="J87" s="928"/>
      <c r="K87" s="929"/>
      <c r="L87" s="927" t="s">
        <v>81</v>
      </c>
      <c r="M87" s="928"/>
      <c r="N87" s="928"/>
      <c r="O87" s="929"/>
      <c r="P87" s="927" t="s">
        <v>254</v>
      </c>
      <c r="Q87" s="928"/>
      <c r="R87" s="928"/>
      <c r="S87" s="929"/>
      <c r="T87" s="927" t="s">
        <v>76</v>
      </c>
      <c r="U87" s="928"/>
      <c r="V87" s="928"/>
      <c r="W87" s="929"/>
      <c r="X87" s="16" t="s">
        <v>6</v>
      </c>
    </row>
    <row r="88" spans="1:24" ht="12.95" customHeight="1" thickBot="1">
      <c r="A88" s="868" t="s">
        <v>61</v>
      </c>
      <c r="B88" s="868" t="s">
        <v>62</v>
      </c>
      <c r="C88" s="9" t="s">
        <v>2</v>
      </c>
      <c r="D88" s="966" t="s">
        <v>255</v>
      </c>
      <c r="E88" s="967"/>
      <c r="F88" s="967"/>
      <c r="G88" s="968"/>
      <c r="H88" s="942">
        <v>1</v>
      </c>
      <c r="I88" s="943"/>
      <c r="J88" s="943"/>
      <c r="K88" s="944"/>
      <c r="L88" s="942">
        <v>1</v>
      </c>
      <c r="M88" s="943"/>
      <c r="N88" s="943"/>
      <c r="O88" s="944"/>
      <c r="P88" s="942">
        <v>1.3</v>
      </c>
      <c r="Q88" s="943"/>
      <c r="R88" s="943"/>
      <c r="S88" s="944"/>
      <c r="T88" s="1262">
        <v>3</v>
      </c>
      <c r="U88" s="1263"/>
      <c r="V88" s="1263"/>
      <c r="W88" s="1264"/>
      <c r="X88" s="879" t="s">
        <v>94</v>
      </c>
    </row>
    <row r="89" spans="1:24" ht="13.5" thickBot="1">
      <c r="A89" s="885"/>
      <c r="B89" s="885"/>
      <c r="C89" s="99" t="s">
        <v>3</v>
      </c>
      <c r="D89" s="957"/>
      <c r="E89" s="958"/>
      <c r="F89" s="958"/>
      <c r="G89" s="959"/>
      <c r="H89" s="957"/>
      <c r="I89" s="958"/>
      <c r="J89" s="958"/>
      <c r="K89" s="959"/>
      <c r="L89" s="963">
        <v>1</v>
      </c>
      <c r="M89" s="964"/>
      <c r="N89" s="964"/>
      <c r="O89" s="965"/>
      <c r="P89" s="963">
        <v>1.8</v>
      </c>
      <c r="Q89" s="964"/>
      <c r="R89" s="964"/>
      <c r="S89" s="965"/>
      <c r="T89" s="963">
        <v>0</v>
      </c>
      <c r="U89" s="964"/>
      <c r="V89" s="964"/>
      <c r="W89" s="965"/>
      <c r="X89" s="880"/>
    </row>
    <row r="90" spans="1:24" ht="12.95" customHeight="1" thickBot="1">
      <c r="A90" s="885"/>
      <c r="B90" s="885"/>
      <c r="C90" s="1258" t="s">
        <v>170</v>
      </c>
      <c r="D90" s="927" t="s">
        <v>4</v>
      </c>
      <c r="E90" s="928"/>
      <c r="F90" s="928"/>
      <c r="G90" s="928"/>
      <c r="H90" s="928"/>
      <c r="I90" s="928"/>
      <c r="J90" s="928"/>
      <c r="K90" s="928"/>
      <c r="L90" s="928"/>
      <c r="M90" s="928"/>
      <c r="N90" s="928"/>
      <c r="O90" s="928"/>
      <c r="P90" s="928"/>
      <c r="Q90" s="928"/>
      <c r="R90" s="928"/>
      <c r="S90" s="928"/>
      <c r="T90" s="928"/>
      <c r="U90" s="928"/>
      <c r="V90" s="928"/>
      <c r="W90" s="929"/>
      <c r="X90" s="880"/>
    </row>
    <row r="91" spans="1:24" ht="12.95" customHeight="1" thickBot="1">
      <c r="A91" s="885"/>
      <c r="B91" s="869"/>
      <c r="C91" s="1259"/>
      <c r="D91" s="930" t="s">
        <v>272</v>
      </c>
      <c r="E91" s="931"/>
      <c r="F91" s="931"/>
      <c r="G91" s="931"/>
      <c r="H91" s="931"/>
      <c r="I91" s="931"/>
      <c r="J91" s="931"/>
      <c r="K91" s="931"/>
      <c r="L91" s="931"/>
      <c r="M91" s="931"/>
      <c r="N91" s="931"/>
      <c r="O91" s="931"/>
      <c r="P91" s="931"/>
      <c r="Q91" s="931"/>
      <c r="R91" s="931"/>
      <c r="S91" s="931"/>
      <c r="T91" s="931"/>
      <c r="U91" s="931"/>
      <c r="V91" s="931"/>
      <c r="W91" s="932"/>
      <c r="X91" s="880"/>
    </row>
    <row r="92" spans="1:24" ht="12.95" customHeight="1" thickBot="1">
      <c r="A92" s="885"/>
      <c r="B92" s="11" t="s">
        <v>20</v>
      </c>
      <c r="C92" s="12"/>
      <c r="D92" s="927" t="s">
        <v>78</v>
      </c>
      <c r="E92" s="928"/>
      <c r="F92" s="928"/>
      <c r="G92" s="929"/>
      <c r="H92" s="927" t="s">
        <v>77</v>
      </c>
      <c r="I92" s="928"/>
      <c r="J92" s="928"/>
      <c r="K92" s="929"/>
      <c r="L92" s="927" t="s">
        <v>81</v>
      </c>
      <c r="M92" s="928"/>
      <c r="N92" s="928"/>
      <c r="O92" s="929"/>
      <c r="P92" s="927" t="s">
        <v>254</v>
      </c>
      <c r="Q92" s="928"/>
      <c r="R92" s="928"/>
      <c r="S92" s="929"/>
      <c r="T92" s="927" t="s">
        <v>76</v>
      </c>
      <c r="U92" s="928"/>
      <c r="V92" s="928"/>
      <c r="W92" s="929"/>
      <c r="X92" s="880"/>
    </row>
    <row r="93" spans="1:24" ht="12.95" customHeight="1" thickBot="1">
      <c r="A93" s="885"/>
      <c r="B93" s="868" t="s">
        <v>59</v>
      </c>
      <c r="C93" s="23" t="s">
        <v>2</v>
      </c>
      <c r="D93" s="966" t="s">
        <v>255</v>
      </c>
      <c r="E93" s="967"/>
      <c r="F93" s="967"/>
      <c r="G93" s="968"/>
      <c r="H93" s="942">
        <v>1</v>
      </c>
      <c r="I93" s="943"/>
      <c r="J93" s="943"/>
      <c r="K93" s="944"/>
      <c r="L93" s="942">
        <v>1</v>
      </c>
      <c r="M93" s="943"/>
      <c r="N93" s="943"/>
      <c r="O93" s="944"/>
      <c r="P93" s="942">
        <v>1.3</v>
      </c>
      <c r="Q93" s="943"/>
      <c r="R93" s="943"/>
      <c r="S93" s="944"/>
      <c r="T93" s="942">
        <v>2.2999999999999998</v>
      </c>
      <c r="U93" s="943"/>
      <c r="V93" s="943"/>
      <c r="W93" s="944"/>
      <c r="X93" s="880"/>
    </row>
    <row r="94" spans="1:24" ht="13.5" thickBot="1">
      <c r="A94" s="885"/>
      <c r="B94" s="885"/>
      <c r="C94" s="9" t="s">
        <v>3</v>
      </c>
      <c r="D94" s="957"/>
      <c r="E94" s="958"/>
      <c r="F94" s="958"/>
      <c r="G94" s="959"/>
      <c r="H94" s="957"/>
      <c r="I94" s="958"/>
      <c r="J94" s="958"/>
      <c r="K94" s="959"/>
      <c r="L94" s="963">
        <v>1</v>
      </c>
      <c r="M94" s="964"/>
      <c r="N94" s="964"/>
      <c r="O94" s="965"/>
      <c r="P94" s="963">
        <v>3.2</v>
      </c>
      <c r="Q94" s="964"/>
      <c r="R94" s="964"/>
      <c r="S94" s="965"/>
      <c r="T94" s="963">
        <v>0</v>
      </c>
      <c r="U94" s="964"/>
      <c r="V94" s="964"/>
      <c r="W94" s="965"/>
      <c r="X94" s="880"/>
    </row>
    <row r="95" spans="1:24" ht="12.95" customHeight="1" thickBot="1">
      <c r="A95" s="885"/>
      <c r="B95" s="885"/>
      <c r="C95" s="1258" t="s">
        <v>170</v>
      </c>
      <c r="D95" s="927" t="s">
        <v>4</v>
      </c>
      <c r="E95" s="928"/>
      <c r="F95" s="928"/>
      <c r="G95" s="928"/>
      <c r="H95" s="928"/>
      <c r="I95" s="928"/>
      <c r="J95" s="928"/>
      <c r="K95" s="928"/>
      <c r="L95" s="928"/>
      <c r="M95" s="928"/>
      <c r="N95" s="928"/>
      <c r="O95" s="928"/>
      <c r="P95" s="928"/>
      <c r="Q95" s="928"/>
      <c r="R95" s="928"/>
      <c r="S95" s="928"/>
      <c r="T95" s="928"/>
      <c r="U95" s="928"/>
      <c r="V95" s="928"/>
      <c r="W95" s="929"/>
      <c r="X95" s="880"/>
    </row>
    <row r="96" spans="1:24" ht="12.95" customHeight="1" thickBot="1">
      <c r="A96" s="885"/>
      <c r="B96" s="869"/>
      <c r="C96" s="1259"/>
      <c r="D96" s="930" t="s">
        <v>118</v>
      </c>
      <c r="E96" s="931"/>
      <c r="F96" s="931"/>
      <c r="G96" s="931"/>
      <c r="H96" s="931"/>
      <c r="I96" s="931"/>
      <c r="J96" s="931"/>
      <c r="K96" s="931"/>
      <c r="L96" s="931"/>
      <c r="M96" s="931"/>
      <c r="N96" s="931"/>
      <c r="O96" s="931"/>
      <c r="P96" s="931"/>
      <c r="Q96" s="931"/>
      <c r="R96" s="931"/>
      <c r="S96" s="931"/>
      <c r="T96" s="931"/>
      <c r="U96" s="931"/>
      <c r="V96" s="931"/>
      <c r="W96" s="932"/>
      <c r="X96" s="880"/>
    </row>
    <row r="97" spans="1:24" ht="12.95" customHeight="1" thickBot="1">
      <c r="A97" s="885"/>
      <c r="B97" s="11" t="s">
        <v>21</v>
      </c>
      <c r="C97" s="12"/>
      <c r="D97" s="927" t="s">
        <v>78</v>
      </c>
      <c r="E97" s="928"/>
      <c r="F97" s="928"/>
      <c r="G97" s="929"/>
      <c r="H97" s="927" t="s">
        <v>77</v>
      </c>
      <c r="I97" s="928"/>
      <c r="J97" s="928"/>
      <c r="K97" s="929"/>
      <c r="L97" s="927" t="s">
        <v>81</v>
      </c>
      <c r="M97" s="928"/>
      <c r="N97" s="928"/>
      <c r="O97" s="929"/>
      <c r="P97" s="927" t="s">
        <v>254</v>
      </c>
      <c r="Q97" s="928"/>
      <c r="R97" s="928"/>
      <c r="S97" s="929"/>
      <c r="T97" s="927" t="s">
        <v>76</v>
      </c>
      <c r="U97" s="928"/>
      <c r="V97" s="928"/>
      <c r="W97" s="929"/>
      <c r="X97" s="880"/>
    </row>
    <row r="98" spans="1:24" ht="12.95" customHeight="1" thickBot="1">
      <c r="A98" s="885"/>
      <c r="B98" s="868" t="s">
        <v>63</v>
      </c>
      <c r="C98" s="26" t="s">
        <v>2</v>
      </c>
      <c r="D98" s="966" t="s">
        <v>255</v>
      </c>
      <c r="E98" s="967"/>
      <c r="F98" s="967"/>
      <c r="G98" s="968"/>
      <c r="H98" s="951">
        <v>0</v>
      </c>
      <c r="I98" s="969"/>
      <c r="J98" s="969"/>
      <c r="K98" s="952"/>
      <c r="L98" s="951">
        <v>0</v>
      </c>
      <c r="M98" s="969"/>
      <c r="N98" s="969"/>
      <c r="O98" s="952"/>
      <c r="P98" s="951">
        <v>1</v>
      </c>
      <c r="Q98" s="969"/>
      <c r="R98" s="969"/>
      <c r="S98" s="952"/>
      <c r="T98" s="1306">
        <v>2</v>
      </c>
      <c r="U98" s="1307"/>
      <c r="V98" s="1307"/>
      <c r="W98" s="1308"/>
      <c r="X98" s="880"/>
    </row>
    <row r="99" spans="1:24" ht="13.5" thickBot="1">
      <c r="A99" s="869"/>
      <c r="B99" s="885"/>
      <c r="C99" s="9" t="s">
        <v>3</v>
      </c>
      <c r="D99" s="957"/>
      <c r="E99" s="958"/>
      <c r="F99" s="958"/>
      <c r="G99" s="959"/>
      <c r="H99" s="957"/>
      <c r="I99" s="958"/>
      <c r="J99" s="958"/>
      <c r="K99" s="959"/>
      <c r="L99" s="939">
        <v>0</v>
      </c>
      <c r="M99" s="970"/>
      <c r="N99" s="970"/>
      <c r="O99" s="953"/>
      <c r="P99" s="939">
        <v>0</v>
      </c>
      <c r="Q99" s="970"/>
      <c r="R99" s="970"/>
      <c r="S99" s="953"/>
      <c r="T99" s="939">
        <v>0</v>
      </c>
      <c r="U99" s="970"/>
      <c r="V99" s="970"/>
      <c r="W99" s="953"/>
      <c r="X99" s="881"/>
    </row>
    <row r="100" spans="1:24" ht="12.95" customHeight="1" thickBot="1">
      <c r="A100" s="96" t="s">
        <v>13</v>
      </c>
      <c r="B100" s="885"/>
      <c r="C100" s="1258" t="s">
        <v>170</v>
      </c>
      <c r="D100" s="927" t="s">
        <v>4</v>
      </c>
      <c r="E100" s="928"/>
      <c r="F100" s="928"/>
      <c r="G100" s="928"/>
      <c r="H100" s="928"/>
      <c r="I100" s="928"/>
      <c r="J100" s="928"/>
      <c r="K100" s="928"/>
      <c r="L100" s="928"/>
      <c r="M100" s="928"/>
      <c r="N100" s="928"/>
      <c r="O100" s="928"/>
      <c r="P100" s="928"/>
      <c r="Q100" s="928"/>
      <c r="R100" s="928"/>
      <c r="S100" s="928"/>
      <c r="T100" s="928"/>
      <c r="U100" s="928"/>
      <c r="V100" s="928"/>
      <c r="W100" s="929"/>
      <c r="X100" s="24" t="s">
        <v>14</v>
      </c>
    </row>
    <row r="101" spans="1:24" ht="12.95" customHeight="1" thickBot="1">
      <c r="A101" s="25" t="s">
        <v>75</v>
      </c>
      <c r="B101" s="869"/>
      <c r="C101" s="1259"/>
      <c r="D101" s="930" t="s">
        <v>119</v>
      </c>
      <c r="E101" s="931"/>
      <c r="F101" s="931"/>
      <c r="G101" s="931"/>
      <c r="H101" s="931"/>
      <c r="I101" s="931"/>
      <c r="J101" s="931"/>
      <c r="K101" s="931"/>
      <c r="L101" s="931"/>
      <c r="M101" s="931"/>
      <c r="N101" s="931"/>
      <c r="O101" s="931"/>
      <c r="P101" s="931"/>
      <c r="Q101" s="931"/>
      <c r="R101" s="931"/>
      <c r="S101" s="931"/>
      <c r="T101" s="931"/>
      <c r="U101" s="931"/>
      <c r="V101" s="931"/>
      <c r="W101" s="932"/>
      <c r="X101" s="18" t="s">
        <v>93</v>
      </c>
    </row>
    <row r="102" spans="1:24" ht="12.95" customHeight="1" thickBot="1">
      <c r="A102" s="906" t="s">
        <v>7</v>
      </c>
      <c r="B102" s="908" t="s">
        <v>173</v>
      </c>
      <c r="C102" s="909"/>
      <c r="D102" s="908" t="s">
        <v>8</v>
      </c>
      <c r="E102" s="918"/>
      <c r="F102" s="918"/>
      <c r="G102" s="909"/>
      <c r="H102" s="908" t="s">
        <v>88</v>
      </c>
      <c r="I102" s="918"/>
      <c r="J102" s="918"/>
      <c r="K102" s="909"/>
      <c r="L102" s="908" t="s">
        <v>89</v>
      </c>
      <c r="M102" s="918"/>
      <c r="N102" s="918"/>
      <c r="O102" s="909"/>
      <c r="P102" s="908" t="s">
        <v>9</v>
      </c>
      <c r="Q102" s="918"/>
      <c r="R102" s="918"/>
      <c r="S102" s="909"/>
      <c r="T102" s="908" t="s">
        <v>174</v>
      </c>
      <c r="U102" s="918"/>
      <c r="V102" s="918"/>
      <c r="W102" s="918"/>
      <c r="X102" s="909"/>
    </row>
    <row r="103" spans="1:24" ht="13.5" thickBot="1">
      <c r="A103" s="907"/>
      <c r="B103" s="1256"/>
      <c r="C103" s="1257"/>
      <c r="D103" s="916"/>
      <c r="E103" s="994"/>
      <c r="F103" s="994"/>
      <c r="G103" s="917"/>
      <c r="H103" s="916"/>
      <c r="I103" s="994"/>
      <c r="J103" s="994"/>
      <c r="K103" s="917"/>
      <c r="L103" s="916"/>
      <c r="M103" s="994"/>
      <c r="N103" s="994"/>
      <c r="O103" s="917"/>
      <c r="P103" s="916">
        <f>SUM(B103:O103)</f>
        <v>0</v>
      </c>
      <c r="Q103" s="994"/>
      <c r="R103" s="994"/>
      <c r="S103" s="917"/>
      <c r="T103" s="916" t="e">
        <f>B103/P103%</f>
        <v>#DIV/0!</v>
      </c>
      <c r="U103" s="994"/>
      <c r="V103" s="994"/>
      <c r="W103" s="994"/>
      <c r="X103" s="917"/>
    </row>
    <row r="104" spans="1:24" ht="13.5" thickBot="1">
      <c r="A104" s="906" t="s">
        <v>10</v>
      </c>
      <c r="B104" s="908" t="s">
        <v>175</v>
      </c>
      <c r="C104" s="909"/>
      <c r="D104" s="910"/>
      <c r="E104" s="911"/>
      <c r="F104" s="911"/>
      <c r="G104" s="911"/>
      <c r="H104" s="911"/>
      <c r="I104" s="911"/>
      <c r="J104" s="911"/>
      <c r="K104" s="911"/>
      <c r="L104" s="911"/>
      <c r="M104" s="911"/>
      <c r="N104" s="911"/>
      <c r="O104" s="911"/>
      <c r="P104" s="911"/>
      <c r="Q104" s="911"/>
      <c r="R104" s="911"/>
      <c r="S104" s="911"/>
      <c r="T104" s="911"/>
      <c r="U104" s="911"/>
      <c r="V104" s="911"/>
      <c r="W104" s="911"/>
      <c r="X104" s="912"/>
    </row>
    <row r="105" spans="1:24" ht="13.5" thickBot="1">
      <c r="A105" s="907"/>
      <c r="B105" s="1256"/>
      <c r="C105" s="1257"/>
      <c r="D105" s="913"/>
      <c r="E105" s="914"/>
      <c r="F105" s="914"/>
      <c r="G105" s="914"/>
      <c r="H105" s="914"/>
      <c r="I105" s="914"/>
      <c r="J105" s="914"/>
      <c r="K105" s="914"/>
      <c r="L105" s="914"/>
      <c r="M105" s="914"/>
      <c r="N105" s="914"/>
      <c r="O105" s="914"/>
      <c r="P105" s="914"/>
      <c r="Q105" s="914"/>
      <c r="R105" s="914"/>
      <c r="S105" s="914"/>
      <c r="T105" s="914"/>
      <c r="U105" s="914"/>
      <c r="V105" s="914"/>
      <c r="W105" s="914"/>
      <c r="X105" s="915"/>
    </row>
    <row r="107" spans="1:24" ht="13.5" thickBot="1"/>
    <row r="108" spans="1:24" ht="12.95" customHeight="1" thickBot="1">
      <c r="A108" s="95" t="s">
        <v>26</v>
      </c>
      <c r="B108" s="97" t="s">
        <v>29</v>
      </c>
      <c r="C108" s="8"/>
      <c r="D108" s="927" t="s">
        <v>78</v>
      </c>
      <c r="E108" s="928"/>
      <c r="F108" s="928"/>
      <c r="G108" s="929"/>
      <c r="H108" s="927" t="s">
        <v>77</v>
      </c>
      <c r="I108" s="928"/>
      <c r="J108" s="928"/>
      <c r="K108" s="929"/>
      <c r="L108" s="927" t="s">
        <v>81</v>
      </c>
      <c r="M108" s="928"/>
      <c r="N108" s="928"/>
      <c r="O108" s="929"/>
      <c r="P108" s="927" t="s">
        <v>254</v>
      </c>
      <c r="Q108" s="928"/>
      <c r="R108" s="928"/>
      <c r="S108" s="929"/>
      <c r="T108" s="927" t="s">
        <v>76</v>
      </c>
      <c r="U108" s="928"/>
      <c r="V108" s="928"/>
      <c r="W108" s="929"/>
      <c r="X108" s="16" t="s">
        <v>12</v>
      </c>
    </row>
    <row r="109" spans="1:24" ht="56.1" customHeight="1" thickBot="1">
      <c r="A109" s="868" t="s">
        <v>64</v>
      </c>
      <c r="B109" s="868" t="s">
        <v>156</v>
      </c>
      <c r="C109" s="9"/>
      <c r="D109" s="17" t="s">
        <v>101</v>
      </c>
      <c r="E109" s="17" t="s">
        <v>104</v>
      </c>
      <c r="F109" s="17" t="s">
        <v>102</v>
      </c>
      <c r="G109" s="17" t="s">
        <v>103</v>
      </c>
      <c r="H109" s="17" t="s">
        <v>101</v>
      </c>
      <c r="I109" s="17" t="s">
        <v>104</v>
      </c>
      <c r="J109" s="17" t="s">
        <v>102</v>
      </c>
      <c r="K109" s="17" t="s">
        <v>103</v>
      </c>
      <c r="L109" s="17" t="s">
        <v>101</v>
      </c>
      <c r="M109" s="17" t="s">
        <v>104</v>
      </c>
      <c r="N109" s="17" t="s">
        <v>102</v>
      </c>
      <c r="O109" s="17" t="s">
        <v>103</v>
      </c>
      <c r="P109" s="17" t="s">
        <v>101</v>
      </c>
      <c r="Q109" s="17" t="s">
        <v>104</v>
      </c>
      <c r="R109" s="17" t="s">
        <v>102</v>
      </c>
      <c r="S109" s="17" t="s">
        <v>103</v>
      </c>
      <c r="T109" s="17" t="s">
        <v>101</v>
      </c>
      <c r="U109" s="17" t="s">
        <v>104</v>
      </c>
      <c r="V109" s="17" t="s">
        <v>102</v>
      </c>
      <c r="W109" s="17" t="s">
        <v>103</v>
      </c>
      <c r="X109" s="879" t="s">
        <v>98</v>
      </c>
    </row>
    <row r="110" spans="1:24" ht="12.95" customHeight="1" thickBot="1">
      <c r="A110" s="885"/>
      <c r="B110" s="885"/>
      <c r="C110" s="9" t="s">
        <v>2</v>
      </c>
      <c r="D110" s="966" t="s">
        <v>255</v>
      </c>
      <c r="E110" s="967"/>
      <c r="F110" s="967"/>
      <c r="G110" s="968"/>
      <c r="H110" s="18">
        <v>2</v>
      </c>
      <c r="I110" s="18">
        <v>0</v>
      </c>
      <c r="J110" s="18">
        <v>0</v>
      </c>
      <c r="K110" s="18">
        <v>0</v>
      </c>
      <c r="L110" s="18">
        <v>2</v>
      </c>
      <c r="M110" s="18">
        <v>0</v>
      </c>
      <c r="N110" s="18">
        <v>0</v>
      </c>
      <c r="O110" s="18">
        <v>0</v>
      </c>
      <c r="P110" s="18">
        <v>4</v>
      </c>
      <c r="Q110" s="18">
        <v>2</v>
      </c>
      <c r="R110" s="18">
        <v>2</v>
      </c>
      <c r="S110" s="18">
        <v>1</v>
      </c>
      <c r="T110" s="786">
        <v>10</v>
      </c>
      <c r="U110" s="786">
        <v>10</v>
      </c>
      <c r="V110" s="786">
        <v>5</v>
      </c>
      <c r="W110" s="18">
        <v>2</v>
      </c>
      <c r="X110" s="880"/>
    </row>
    <row r="111" spans="1:24" ht="13.5" thickBot="1">
      <c r="A111" s="885"/>
      <c r="B111" s="93" t="s">
        <v>151</v>
      </c>
      <c r="C111" s="10" t="s">
        <v>3</v>
      </c>
      <c r="D111" s="957"/>
      <c r="E111" s="958"/>
      <c r="F111" s="958"/>
      <c r="G111" s="959"/>
      <c r="H111" s="957"/>
      <c r="I111" s="958"/>
      <c r="J111" s="958"/>
      <c r="K111" s="959"/>
      <c r="L111" s="68">
        <v>2</v>
      </c>
      <c r="M111" s="68">
        <v>0</v>
      </c>
      <c r="N111" s="68">
        <v>0</v>
      </c>
      <c r="O111" s="68">
        <v>0</v>
      </c>
      <c r="P111" s="68">
        <v>6</v>
      </c>
      <c r="Q111" s="68">
        <v>3</v>
      </c>
      <c r="R111" s="68">
        <v>1</v>
      </c>
      <c r="S111" s="68">
        <v>0</v>
      </c>
      <c r="T111" s="68">
        <v>0</v>
      </c>
      <c r="U111" s="68">
        <v>0</v>
      </c>
      <c r="V111" s="68">
        <v>0</v>
      </c>
      <c r="W111" s="68">
        <v>0</v>
      </c>
      <c r="X111" s="880"/>
    </row>
    <row r="112" spans="1:24" ht="12.95" customHeight="1" thickBot="1">
      <c r="A112" s="885"/>
      <c r="B112" s="93" t="s">
        <v>150</v>
      </c>
      <c r="C112" s="1258" t="s">
        <v>170</v>
      </c>
      <c r="D112" s="927" t="s">
        <v>4</v>
      </c>
      <c r="E112" s="928"/>
      <c r="F112" s="928"/>
      <c r="G112" s="928"/>
      <c r="H112" s="928"/>
      <c r="I112" s="928"/>
      <c r="J112" s="928"/>
      <c r="K112" s="928"/>
      <c r="L112" s="928"/>
      <c r="M112" s="928"/>
      <c r="N112" s="928"/>
      <c r="O112" s="928"/>
      <c r="P112" s="928"/>
      <c r="Q112" s="928"/>
      <c r="R112" s="928"/>
      <c r="S112" s="928"/>
      <c r="T112" s="928"/>
      <c r="U112" s="928"/>
      <c r="V112" s="928"/>
      <c r="W112" s="929"/>
      <c r="X112" s="880"/>
    </row>
    <row r="113" spans="1:24" ht="12.95" customHeight="1" thickBot="1">
      <c r="A113" s="885"/>
      <c r="B113" s="94" t="s">
        <v>149</v>
      </c>
      <c r="C113" s="1259"/>
      <c r="D113" s="930" t="s">
        <v>420</v>
      </c>
      <c r="E113" s="931"/>
      <c r="F113" s="931"/>
      <c r="G113" s="931"/>
      <c r="H113" s="931"/>
      <c r="I113" s="931"/>
      <c r="J113" s="931"/>
      <c r="K113" s="931"/>
      <c r="L113" s="931"/>
      <c r="M113" s="931"/>
      <c r="N113" s="931"/>
      <c r="O113" s="931"/>
      <c r="P113" s="931"/>
      <c r="Q113" s="931"/>
      <c r="R113" s="931"/>
      <c r="S113" s="931"/>
      <c r="T113" s="931"/>
      <c r="U113" s="931"/>
      <c r="V113" s="931"/>
      <c r="W113" s="932"/>
      <c r="X113" s="880"/>
    </row>
    <row r="114" spans="1:24" ht="12.95" customHeight="1" thickBot="1">
      <c r="A114" s="885"/>
      <c r="B114" s="11" t="s">
        <v>30</v>
      </c>
      <c r="C114" s="12"/>
      <c r="D114" s="927" t="s">
        <v>78</v>
      </c>
      <c r="E114" s="928"/>
      <c r="F114" s="928"/>
      <c r="G114" s="929"/>
      <c r="H114" s="927" t="s">
        <v>77</v>
      </c>
      <c r="I114" s="928"/>
      <c r="J114" s="928"/>
      <c r="K114" s="929"/>
      <c r="L114" s="927" t="s">
        <v>81</v>
      </c>
      <c r="M114" s="928"/>
      <c r="N114" s="928"/>
      <c r="O114" s="929"/>
      <c r="P114" s="927" t="s">
        <v>254</v>
      </c>
      <c r="Q114" s="928"/>
      <c r="R114" s="928"/>
      <c r="S114" s="929"/>
      <c r="T114" s="927" t="s">
        <v>76</v>
      </c>
      <c r="U114" s="928"/>
      <c r="V114" s="928"/>
      <c r="W114" s="929"/>
      <c r="X114" s="880"/>
    </row>
    <row r="115" spans="1:24" ht="44.1" customHeight="1" thickBot="1">
      <c r="A115" s="885"/>
      <c r="B115" s="868" t="s">
        <v>157</v>
      </c>
      <c r="C115" s="23"/>
      <c r="D115" s="17" t="s">
        <v>101</v>
      </c>
      <c r="E115" s="17" t="s">
        <v>104</v>
      </c>
      <c r="F115" s="17" t="s">
        <v>102</v>
      </c>
      <c r="G115" s="17" t="s">
        <v>103</v>
      </c>
      <c r="H115" s="17" t="s">
        <v>101</v>
      </c>
      <c r="I115" s="17" t="s">
        <v>104</v>
      </c>
      <c r="J115" s="17" t="s">
        <v>102</v>
      </c>
      <c r="K115" s="17" t="s">
        <v>103</v>
      </c>
      <c r="L115" s="17" t="s">
        <v>101</v>
      </c>
      <c r="M115" s="17" t="s">
        <v>104</v>
      </c>
      <c r="N115" s="17" t="s">
        <v>102</v>
      </c>
      <c r="O115" s="17" t="s">
        <v>103</v>
      </c>
      <c r="P115" s="17" t="s">
        <v>101</v>
      </c>
      <c r="Q115" s="17" t="s">
        <v>104</v>
      </c>
      <c r="R115" s="17" t="s">
        <v>102</v>
      </c>
      <c r="S115" s="17" t="s">
        <v>103</v>
      </c>
      <c r="T115" s="17" t="s">
        <v>101</v>
      </c>
      <c r="U115" s="17" t="s">
        <v>104</v>
      </c>
      <c r="V115" s="17" t="s">
        <v>102</v>
      </c>
      <c r="W115" s="17" t="s">
        <v>103</v>
      </c>
      <c r="X115" s="880"/>
    </row>
    <row r="116" spans="1:24" ht="12.95" customHeight="1" thickBot="1">
      <c r="A116" s="885"/>
      <c r="B116" s="885"/>
      <c r="C116" s="9" t="s">
        <v>2</v>
      </c>
      <c r="D116" s="966" t="s">
        <v>255</v>
      </c>
      <c r="E116" s="967"/>
      <c r="F116" s="967"/>
      <c r="G116" s="968"/>
      <c r="H116" s="18">
        <v>1</v>
      </c>
      <c r="I116" s="18">
        <v>0</v>
      </c>
      <c r="J116" s="18">
        <v>0</v>
      </c>
      <c r="K116" s="18">
        <v>0</v>
      </c>
      <c r="L116" s="18">
        <v>1</v>
      </c>
      <c r="M116" s="18">
        <v>0</v>
      </c>
      <c r="N116" s="18">
        <v>0</v>
      </c>
      <c r="O116" s="18">
        <v>0</v>
      </c>
      <c r="P116" s="18">
        <v>2</v>
      </c>
      <c r="Q116" s="18">
        <v>1</v>
      </c>
      <c r="R116" s="18">
        <v>1</v>
      </c>
      <c r="S116" s="18">
        <v>0</v>
      </c>
      <c r="T116" s="786">
        <v>8</v>
      </c>
      <c r="U116" s="786">
        <v>7</v>
      </c>
      <c r="V116" s="786">
        <v>4</v>
      </c>
      <c r="W116" s="18">
        <v>1</v>
      </c>
      <c r="X116" s="880"/>
    </row>
    <row r="117" spans="1:24" ht="13.5" thickBot="1">
      <c r="A117" s="885"/>
      <c r="B117" s="93" t="s">
        <v>151</v>
      </c>
      <c r="C117" s="9" t="s">
        <v>3</v>
      </c>
      <c r="D117" s="957"/>
      <c r="E117" s="958"/>
      <c r="F117" s="958"/>
      <c r="G117" s="959"/>
      <c r="H117" s="957"/>
      <c r="I117" s="958"/>
      <c r="J117" s="958"/>
      <c r="K117" s="959"/>
      <c r="L117" s="68">
        <v>1</v>
      </c>
      <c r="M117" s="68">
        <v>0</v>
      </c>
      <c r="N117" s="68">
        <v>0</v>
      </c>
      <c r="O117" s="68">
        <v>0</v>
      </c>
      <c r="P117" s="68">
        <v>0</v>
      </c>
      <c r="Q117" s="68">
        <v>0</v>
      </c>
      <c r="R117" s="68">
        <v>0</v>
      </c>
      <c r="S117" s="68">
        <v>0</v>
      </c>
      <c r="T117" s="68">
        <v>0</v>
      </c>
      <c r="U117" s="68">
        <v>0</v>
      </c>
      <c r="V117" s="68">
        <v>0</v>
      </c>
      <c r="W117" s="68">
        <v>0</v>
      </c>
      <c r="X117" s="880"/>
    </row>
    <row r="118" spans="1:24" ht="12.95" customHeight="1" thickBot="1">
      <c r="A118" s="885"/>
      <c r="B118" s="93" t="s">
        <v>150</v>
      </c>
      <c r="C118" s="1258" t="s">
        <v>170</v>
      </c>
      <c r="D118" s="927" t="s">
        <v>4</v>
      </c>
      <c r="E118" s="928"/>
      <c r="F118" s="928"/>
      <c r="G118" s="928"/>
      <c r="H118" s="928"/>
      <c r="I118" s="928"/>
      <c r="J118" s="928"/>
      <c r="K118" s="928"/>
      <c r="L118" s="928"/>
      <c r="M118" s="928"/>
      <c r="N118" s="928"/>
      <c r="O118" s="928"/>
      <c r="P118" s="928"/>
      <c r="Q118" s="928"/>
      <c r="R118" s="928"/>
      <c r="S118" s="928"/>
      <c r="T118" s="928"/>
      <c r="U118" s="928"/>
      <c r="V118" s="928"/>
      <c r="W118" s="929"/>
      <c r="X118" s="880"/>
    </row>
    <row r="119" spans="1:24" ht="12.95" customHeight="1" thickBot="1">
      <c r="A119" s="885"/>
      <c r="B119" s="94" t="s">
        <v>152</v>
      </c>
      <c r="C119" s="1259"/>
      <c r="D119" s="930" t="s">
        <v>420</v>
      </c>
      <c r="E119" s="931"/>
      <c r="F119" s="931"/>
      <c r="G119" s="931"/>
      <c r="H119" s="931"/>
      <c r="I119" s="931"/>
      <c r="J119" s="931"/>
      <c r="K119" s="931"/>
      <c r="L119" s="931"/>
      <c r="M119" s="931"/>
      <c r="N119" s="931"/>
      <c r="O119" s="931"/>
      <c r="P119" s="931"/>
      <c r="Q119" s="931"/>
      <c r="R119" s="931"/>
      <c r="S119" s="931"/>
      <c r="T119" s="931"/>
      <c r="U119" s="931"/>
      <c r="V119" s="931"/>
      <c r="W119" s="932"/>
      <c r="X119" s="880"/>
    </row>
    <row r="120" spans="1:24" ht="12.95" customHeight="1" thickBot="1">
      <c r="A120" s="885"/>
      <c r="B120" s="11" t="s">
        <v>31</v>
      </c>
      <c r="C120" s="12"/>
      <c r="D120" s="927" t="s">
        <v>78</v>
      </c>
      <c r="E120" s="928"/>
      <c r="F120" s="928"/>
      <c r="G120" s="929"/>
      <c r="H120" s="927" t="s">
        <v>77</v>
      </c>
      <c r="I120" s="928"/>
      <c r="J120" s="928"/>
      <c r="K120" s="929"/>
      <c r="L120" s="927" t="s">
        <v>81</v>
      </c>
      <c r="M120" s="928"/>
      <c r="N120" s="928"/>
      <c r="O120" s="929"/>
      <c r="P120" s="927" t="s">
        <v>254</v>
      </c>
      <c r="Q120" s="928"/>
      <c r="R120" s="928"/>
      <c r="S120" s="929"/>
      <c r="T120" s="927" t="s">
        <v>76</v>
      </c>
      <c r="U120" s="928"/>
      <c r="V120" s="928"/>
      <c r="W120" s="929"/>
      <c r="X120" s="880"/>
    </row>
    <row r="121" spans="1:24" ht="12.95" customHeight="1" thickBot="1">
      <c r="A121" s="885"/>
      <c r="B121" s="868" t="s">
        <v>421</v>
      </c>
      <c r="C121" s="23"/>
      <c r="D121" s="1230" t="s">
        <v>418</v>
      </c>
      <c r="E121" s="1232"/>
      <c r="F121" s="1240" t="s">
        <v>419</v>
      </c>
      <c r="G121" s="1232"/>
      <c r="H121" s="1240" t="s">
        <v>418</v>
      </c>
      <c r="I121" s="1232"/>
      <c r="J121" s="1240" t="s">
        <v>419</v>
      </c>
      <c r="K121" s="1232"/>
      <c r="L121" s="1240" t="s">
        <v>418</v>
      </c>
      <c r="M121" s="1232"/>
      <c r="N121" s="1240" t="s">
        <v>419</v>
      </c>
      <c r="O121" s="1232"/>
      <c r="P121" s="1240" t="s">
        <v>418</v>
      </c>
      <c r="Q121" s="1232"/>
      <c r="R121" s="1240" t="s">
        <v>419</v>
      </c>
      <c r="S121" s="1232"/>
      <c r="T121" s="1240" t="s">
        <v>418</v>
      </c>
      <c r="U121" s="1232"/>
      <c r="V121" s="1240" t="s">
        <v>419</v>
      </c>
      <c r="W121" s="1246"/>
      <c r="X121" s="880"/>
    </row>
    <row r="122" spans="1:24" ht="12.95" customHeight="1" thickBot="1">
      <c r="A122" s="885"/>
      <c r="B122" s="885"/>
      <c r="C122" s="26" t="s">
        <v>2</v>
      </c>
      <c r="D122" s="933" t="s">
        <v>172</v>
      </c>
      <c r="E122" s="934"/>
      <c r="F122" s="934"/>
      <c r="G122" s="935"/>
      <c r="H122" s="966" t="s">
        <v>572</v>
      </c>
      <c r="I122" s="967"/>
      <c r="J122" s="967"/>
      <c r="K122" s="968"/>
      <c r="L122" s="951">
        <v>20</v>
      </c>
      <c r="M122" s="952"/>
      <c r="N122" s="951">
        <v>5</v>
      </c>
      <c r="O122" s="952"/>
      <c r="P122" s="951">
        <v>25</v>
      </c>
      <c r="Q122" s="952"/>
      <c r="R122" s="951">
        <v>10</v>
      </c>
      <c r="S122" s="952"/>
      <c r="T122" s="951">
        <v>75</v>
      </c>
      <c r="U122" s="952"/>
      <c r="V122" s="951">
        <v>40</v>
      </c>
      <c r="W122" s="952"/>
      <c r="X122" s="880"/>
    </row>
    <row r="123" spans="1:24" ht="18" customHeight="1" thickBot="1">
      <c r="A123" s="885"/>
      <c r="B123" s="885"/>
      <c r="C123" s="9" t="s">
        <v>3</v>
      </c>
      <c r="D123" s="933"/>
      <c r="E123" s="934"/>
      <c r="F123" s="934"/>
      <c r="G123" s="935"/>
      <c r="H123" s="933"/>
      <c r="I123" s="934"/>
      <c r="J123" s="934"/>
      <c r="K123" s="935"/>
      <c r="L123" s="933"/>
      <c r="M123" s="934"/>
      <c r="N123" s="934"/>
      <c r="O123" s="935"/>
      <c r="P123" s="939">
        <v>30</v>
      </c>
      <c r="Q123" s="953"/>
      <c r="R123" s="939">
        <v>10</v>
      </c>
      <c r="S123" s="953"/>
      <c r="T123" s="939">
        <v>0</v>
      </c>
      <c r="U123" s="953"/>
      <c r="V123" s="939">
        <v>0</v>
      </c>
      <c r="W123" s="953"/>
      <c r="X123" s="880"/>
    </row>
    <row r="124" spans="1:24" ht="12.95" customHeight="1" thickBot="1">
      <c r="A124" s="885"/>
      <c r="B124" s="885"/>
      <c r="C124" s="1258" t="s">
        <v>170</v>
      </c>
      <c r="D124" s="927" t="s">
        <v>4</v>
      </c>
      <c r="E124" s="928"/>
      <c r="F124" s="928"/>
      <c r="G124" s="928"/>
      <c r="H124" s="928"/>
      <c r="I124" s="928"/>
      <c r="J124" s="928"/>
      <c r="K124" s="928"/>
      <c r="L124" s="928"/>
      <c r="M124" s="928"/>
      <c r="N124" s="928"/>
      <c r="O124" s="928"/>
      <c r="P124" s="928"/>
      <c r="Q124" s="928"/>
      <c r="R124" s="928"/>
      <c r="S124" s="928"/>
      <c r="T124" s="928"/>
      <c r="U124" s="928"/>
      <c r="V124" s="928"/>
      <c r="W124" s="929"/>
      <c r="X124" s="880"/>
    </row>
    <row r="125" spans="1:24" ht="12.95" customHeight="1" thickBot="1">
      <c r="A125" s="885"/>
      <c r="B125" s="94" t="s">
        <v>179</v>
      </c>
      <c r="C125" s="1259"/>
      <c r="D125" s="930" t="s">
        <v>121</v>
      </c>
      <c r="E125" s="931"/>
      <c r="F125" s="931"/>
      <c r="G125" s="931"/>
      <c r="H125" s="931"/>
      <c r="I125" s="931"/>
      <c r="J125" s="931"/>
      <c r="K125" s="931"/>
      <c r="L125" s="931"/>
      <c r="M125" s="931"/>
      <c r="N125" s="931"/>
      <c r="O125" s="931"/>
      <c r="P125" s="931"/>
      <c r="Q125" s="931"/>
      <c r="R125" s="931"/>
      <c r="S125" s="931"/>
      <c r="T125" s="931"/>
      <c r="U125" s="931"/>
      <c r="V125" s="931"/>
      <c r="W125" s="932"/>
      <c r="X125" s="880"/>
    </row>
    <row r="126" spans="1:24" ht="12.95" customHeight="1" thickBot="1">
      <c r="A126" s="885"/>
      <c r="B126" s="11" t="s">
        <v>40</v>
      </c>
      <c r="C126" s="12"/>
      <c r="D126" s="927" t="s">
        <v>78</v>
      </c>
      <c r="E126" s="928"/>
      <c r="F126" s="928"/>
      <c r="G126" s="929"/>
      <c r="H126" s="927" t="s">
        <v>77</v>
      </c>
      <c r="I126" s="928"/>
      <c r="J126" s="928"/>
      <c r="K126" s="929"/>
      <c r="L126" s="927" t="s">
        <v>81</v>
      </c>
      <c r="M126" s="928"/>
      <c r="N126" s="928"/>
      <c r="O126" s="929"/>
      <c r="P126" s="927" t="s">
        <v>254</v>
      </c>
      <c r="Q126" s="928"/>
      <c r="R126" s="928"/>
      <c r="S126" s="929"/>
      <c r="T126" s="927" t="s">
        <v>76</v>
      </c>
      <c r="U126" s="928"/>
      <c r="V126" s="928"/>
      <c r="W126" s="929"/>
      <c r="X126" s="880"/>
    </row>
    <row r="127" spans="1:24" ht="12.95" customHeight="1" thickBot="1">
      <c r="A127" s="885"/>
      <c r="B127" s="873" t="s">
        <v>644</v>
      </c>
      <c r="C127" s="23" t="s">
        <v>2</v>
      </c>
      <c r="D127" s="933" t="s">
        <v>172</v>
      </c>
      <c r="E127" s="934"/>
      <c r="F127" s="934"/>
      <c r="G127" s="935"/>
      <c r="H127" s="966" t="s">
        <v>572</v>
      </c>
      <c r="I127" s="967"/>
      <c r="J127" s="967"/>
      <c r="K127" s="968"/>
      <c r="L127" s="942">
        <v>2</v>
      </c>
      <c r="M127" s="943"/>
      <c r="N127" s="943"/>
      <c r="O127" s="944"/>
      <c r="P127" s="942">
        <v>2.2999999999999998</v>
      </c>
      <c r="Q127" s="943"/>
      <c r="R127" s="943"/>
      <c r="S127" s="944"/>
      <c r="T127" s="963">
        <v>3</v>
      </c>
      <c r="U127" s="964"/>
      <c r="V127" s="964"/>
      <c r="W127" s="965"/>
      <c r="X127" s="880"/>
    </row>
    <row r="128" spans="1:24" ht="13.5" thickBot="1">
      <c r="A128" s="869"/>
      <c r="B128" s="874"/>
      <c r="C128" s="9" t="s">
        <v>3</v>
      </c>
      <c r="D128" s="933"/>
      <c r="E128" s="934"/>
      <c r="F128" s="934"/>
      <c r="G128" s="935"/>
      <c r="H128" s="933"/>
      <c r="I128" s="934"/>
      <c r="J128" s="934"/>
      <c r="K128" s="935"/>
      <c r="L128" s="1171"/>
      <c r="M128" s="1172"/>
      <c r="N128" s="1172"/>
      <c r="O128" s="1173"/>
      <c r="P128" s="963">
        <v>2.8</v>
      </c>
      <c r="Q128" s="964"/>
      <c r="R128" s="964"/>
      <c r="S128" s="965"/>
      <c r="T128" s="963">
        <v>0</v>
      </c>
      <c r="U128" s="964"/>
      <c r="V128" s="964"/>
      <c r="W128" s="965"/>
      <c r="X128" s="881"/>
    </row>
    <row r="129" spans="1:24" ht="12.95" customHeight="1" thickBot="1">
      <c r="A129" s="96" t="s">
        <v>13</v>
      </c>
      <c r="B129" s="874"/>
      <c r="C129" s="1258" t="s">
        <v>170</v>
      </c>
      <c r="D129" s="927" t="s">
        <v>4</v>
      </c>
      <c r="E129" s="928"/>
      <c r="F129" s="928"/>
      <c r="G129" s="928"/>
      <c r="H129" s="928"/>
      <c r="I129" s="928"/>
      <c r="J129" s="928"/>
      <c r="K129" s="928"/>
      <c r="L129" s="928"/>
      <c r="M129" s="928"/>
      <c r="N129" s="928"/>
      <c r="O129" s="928"/>
      <c r="P129" s="928"/>
      <c r="Q129" s="928"/>
      <c r="R129" s="928"/>
      <c r="S129" s="928"/>
      <c r="T129" s="928"/>
      <c r="U129" s="928"/>
      <c r="V129" s="928"/>
      <c r="W129" s="929"/>
      <c r="X129" s="24" t="s">
        <v>14</v>
      </c>
    </row>
    <row r="130" spans="1:24" ht="12.95" customHeight="1" thickBot="1">
      <c r="A130" s="25" t="s">
        <v>75</v>
      </c>
      <c r="B130" s="875"/>
      <c r="C130" s="1259"/>
      <c r="D130" s="930" t="s">
        <v>122</v>
      </c>
      <c r="E130" s="931"/>
      <c r="F130" s="931"/>
      <c r="G130" s="931"/>
      <c r="H130" s="931"/>
      <c r="I130" s="931"/>
      <c r="J130" s="931"/>
      <c r="K130" s="931"/>
      <c r="L130" s="931"/>
      <c r="M130" s="931"/>
      <c r="N130" s="931"/>
      <c r="O130" s="931"/>
      <c r="P130" s="931"/>
      <c r="Q130" s="931"/>
      <c r="R130" s="931"/>
      <c r="S130" s="931"/>
      <c r="T130" s="931"/>
      <c r="U130" s="931"/>
      <c r="V130" s="931"/>
      <c r="W130" s="932"/>
      <c r="X130" s="18" t="s">
        <v>92</v>
      </c>
    </row>
    <row r="131" spans="1:24" ht="12.95" customHeight="1" thickBot="1">
      <c r="A131" s="906" t="s">
        <v>7</v>
      </c>
      <c r="B131" s="908" t="s">
        <v>173</v>
      </c>
      <c r="C131" s="909"/>
      <c r="D131" s="908" t="s">
        <v>8</v>
      </c>
      <c r="E131" s="918"/>
      <c r="F131" s="918"/>
      <c r="G131" s="909"/>
      <c r="H131" s="908" t="s">
        <v>88</v>
      </c>
      <c r="I131" s="918"/>
      <c r="J131" s="918"/>
      <c r="K131" s="909"/>
      <c r="L131" s="908" t="s">
        <v>89</v>
      </c>
      <c r="M131" s="918"/>
      <c r="N131" s="918"/>
      <c r="O131" s="909"/>
      <c r="P131" s="908" t="s">
        <v>9</v>
      </c>
      <c r="Q131" s="918"/>
      <c r="R131" s="918"/>
      <c r="S131" s="909"/>
      <c r="T131" s="908" t="s">
        <v>174</v>
      </c>
      <c r="U131" s="918"/>
      <c r="V131" s="918"/>
      <c r="W131" s="918"/>
      <c r="X131" s="909"/>
    </row>
    <row r="132" spans="1:24" ht="13.5" thickBot="1">
      <c r="A132" s="907"/>
      <c r="B132" s="1256"/>
      <c r="C132" s="1257"/>
      <c r="D132" s="916"/>
      <c r="E132" s="994"/>
      <c r="F132" s="994"/>
      <c r="G132" s="917"/>
      <c r="H132" s="916"/>
      <c r="I132" s="994"/>
      <c r="J132" s="994"/>
      <c r="K132" s="917"/>
      <c r="L132" s="916"/>
      <c r="M132" s="994"/>
      <c r="N132" s="994"/>
      <c r="O132" s="917"/>
      <c r="P132" s="916">
        <f>SUM(B132:O132)</f>
        <v>0</v>
      </c>
      <c r="Q132" s="994"/>
      <c r="R132" s="994"/>
      <c r="S132" s="917"/>
      <c r="T132" s="916" t="e">
        <f>B132/P132%</f>
        <v>#DIV/0!</v>
      </c>
      <c r="U132" s="994"/>
      <c r="V132" s="994"/>
      <c r="W132" s="994"/>
      <c r="X132" s="917"/>
    </row>
    <row r="133" spans="1:24" ht="13.5" thickBot="1">
      <c r="A133" s="906" t="s">
        <v>10</v>
      </c>
      <c r="B133" s="908" t="s">
        <v>175</v>
      </c>
      <c r="C133" s="909"/>
      <c r="D133" s="910"/>
      <c r="E133" s="911"/>
      <c r="F133" s="911"/>
      <c r="G133" s="911"/>
      <c r="H133" s="911"/>
      <c r="I133" s="911"/>
      <c r="J133" s="911"/>
      <c r="K133" s="911"/>
      <c r="L133" s="911"/>
      <c r="M133" s="911"/>
      <c r="N133" s="911"/>
      <c r="O133" s="911"/>
      <c r="P133" s="911"/>
      <c r="Q133" s="911"/>
      <c r="R133" s="911"/>
      <c r="S133" s="911"/>
      <c r="T133" s="911"/>
      <c r="U133" s="911"/>
      <c r="V133" s="911"/>
      <c r="W133" s="911"/>
      <c r="X133" s="912"/>
    </row>
    <row r="134" spans="1:24" ht="13.5" thickBot="1">
      <c r="A134" s="907"/>
      <c r="B134" s="1256"/>
      <c r="C134" s="1257"/>
      <c r="D134" s="913"/>
      <c r="E134" s="914"/>
      <c r="F134" s="914"/>
      <c r="G134" s="914"/>
      <c r="H134" s="914"/>
      <c r="I134" s="914"/>
      <c r="J134" s="914"/>
      <c r="K134" s="914"/>
      <c r="L134" s="914"/>
      <c r="M134" s="914"/>
      <c r="N134" s="914"/>
      <c r="O134" s="914"/>
      <c r="P134" s="914"/>
      <c r="Q134" s="914"/>
      <c r="R134" s="914"/>
      <c r="S134" s="914"/>
      <c r="T134" s="914"/>
      <c r="U134" s="914"/>
      <c r="V134" s="914"/>
      <c r="W134" s="914"/>
      <c r="X134" s="915"/>
    </row>
    <row r="135" spans="1:24">
      <c r="A135" s="5"/>
      <c r="B135" s="5"/>
      <c r="C135" s="6"/>
      <c r="D135" s="5"/>
      <c r="E135" s="5"/>
      <c r="F135" s="5"/>
      <c r="G135" s="5"/>
      <c r="H135" s="5"/>
      <c r="I135" s="5"/>
      <c r="J135" s="5"/>
      <c r="K135" s="5"/>
      <c r="L135" s="5"/>
      <c r="M135" s="5"/>
      <c r="N135" s="5"/>
      <c r="O135" s="5"/>
      <c r="P135" s="5"/>
      <c r="Q135" s="5"/>
      <c r="R135" s="5"/>
      <c r="S135" s="5"/>
      <c r="T135" s="5"/>
      <c r="U135" s="5"/>
      <c r="V135" s="5"/>
      <c r="W135" s="5"/>
      <c r="X135" s="5"/>
    </row>
    <row r="136" spans="1:24" ht="13.5" thickBot="1">
      <c r="A136" s="5"/>
      <c r="B136" s="5"/>
      <c r="C136" s="6"/>
      <c r="D136" s="5"/>
      <c r="E136" s="5"/>
      <c r="F136" s="5"/>
      <c r="G136" s="5"/>
      <c r="H136" s="5"/>
      <c r="I136" s="5"/>
      <c r="J136" s="5"/>
      <c r="K136" s="5"/>
      <c r="L136" s="5"/>
      <c r="M136" s="5"/>
      <c r="N136" s="5"/>
      <c r="O136" s="5"/>
      <c r="P136" s="5"/>
      <c r="Q136" s="5"/>
      <c r="R136" s="5"/>
      <c r="S136" s="5"/>
      <c r="T136" s="5"/>
      <c r="U136" s="5"/>
      <c r="V136" s="5"/>
      <c r="W136" s="5"/>
      <c r="X136" s="5"/>
    </row>
    <row r="137" spans="1:24" ht="12.95" customHeight="1" thickBot="1">
      <c r="A137" s="95" t="s">
        <v>28</v>
      </c>
      <c r="B137" s="97" t="s">
        <v>32</v>
      </c>
      <c r="C137" s="8"/>
      <c r="D137" s="927" t="s">
        <v>78</v>
      </c>
      <c r="E137" s="928"/>
      <c r="F137" s="928"/>
      <c r="G137" s="929"/>
      <c r="H137" s="927" t="s">
        <v>77</v>
      </c>
      <c r="I137" s="928"/>
      <c r="J137" s="928"/>
      <c r="K137" s="929"/>
      <c r="L137" s="927" t="s">
        <v>81</v>
      </c>
      <c r="M137" s="928"/>
      <c r="N137" s="928"/>
      <c r="O137" s="929"/>
      <c r="P137" s="927" t="s">
        <v>254</v>
      </c>
      <c r="Q137" s="928"/>
      <c r="R137" s="928"/>
      <c r="S137" s="929"/>
      <c r="T137" s="927" t="s">
        <v>76</v>
      </c>
      <c r="U137" s="928"/>
      <c r="V137" s="928"/>
      <c r="W137" s="929"/>
      <c r="X137" s="16" t="s">
        <v>6</v>
      </c>
    </row>
    <row r="138" spans="1:24" ht="12.95" customHeight="1" thickBot="1">
      <c r="A138" s="868" t="s">
        <v>65</v>
      </c>
      <c r="B138" s="868" t="s">
        <v>66</v>
      </c>
      <c r="C138" s="9" t="s">
        <v>2</v>
      </c>
      <c r="D138" s="966" t="s">
        <v>255</v>
      </c>
      <c r="E138" s="967"/>
      <c r="F138" s="967"/>
      <c r="G138" s="968"/>
      <c r="H138" s="942">
        <v>1</v>
      </c>
      <c r="I138" s="943"/>
      <c r="J138" s="943"/>
      <c r="K138" s="944"/>
      <c r="L138" s="942">
        <v>1</v>
      </c>
      <c r="M138" s="943"/>
      <c r="N138" s="943"/>
      <c r="O138" s="944"/>
      <c r="P138" s="942">
        <v>1.3</v>
      </c>
      <c r="Q138" s="943"/>
      <c r="R138" s="943"/>
      <c r="S138" s="944"/>
      <c r="T138" s="1262">
        <v>3</v>
      </c>
      <c r="U138" s="1263"/>
      <c r="V138" s="1263"/>
      <c r="W138" s="1264"/>
      <c r="X138" s="879" t="s">
        <v>91</v>
      </c>
    </row>
    <row r="139" spans="1:24" ht="13.5" thickBot="1">
      <c r="A139" s="885"/>
      <c r="B139" s="885"/>
      <c r="C139" s="99" t="s">
        <v>3</v>
      </c>
      <c r="D139" s="957"/>
      <c r="E139" s="958"/>
      <c r="F139" s="958"/>
      <c r="G139" s="959"/>
      <c r="H139" s="957"/>
      <c r="I139" s="958"/>
      <c r="J139" s="958"/>
      <c r="K139" s="959"/>
      <c r="L139" s="963">
        <v>1</v>
      </c>
      <c r="M139" s="964"/>
      <c r="N139" s="964"/>
      <c r="O139" s="965"/>
      <c r="P139" s="963">
        <v>3</v>
      </c>
      <c r="Q139" s="964"/>
      <c r="R139" s="964"/>
      <c r="S139" s="965"/>
      <c r="T139" s="963">
        <v>0</v>
      </c>
      <c r="U139" s="964"/>
      <c r="V139" s="964"/>
      <c r="W139" s="965"/>
      <c r="X139" s="880"/>
    </row>
    <row r="140" spans="1:24" ht="12.95" customHeight="1" thickBot="1">
      <c r="A140" s="885"/>
      <c r="B140" s="885"/>
      <c r="C140" s="1258" t="s">
        <v>170</v>
      </c>
      <c r="D140" s="927" t="s">
        <v>4</v>
      </c>
      <c r="E140" s="928"/>
      <c r="F140" s="928"/>
      <c r="G140" s="928"/>
      <c r="H140" s="928"/>
      <c r="I140" s="928"/>
      <c r="J140" s="928"/>
      <c r="K140" s="928"/>
      <c r="L140" s="928"/>
      <c r="M140" s="928"/>
      <c r="N140" s="928"/>
      <c r="O140" s="928"/>
      <c r="P140" s="928"/>
      <c r="Q140" s="928"/>
      <c r="R140" s="928"/>
      <c r="S140" s="928"/>
      <c r="T140" s="928"/>
      <c r="U140" s="928"/>
      <c r="V140" s="928"/>
      <c r="W140" s="929"/>
      <c r="X140" s="880"/>
    </row>
    <row r="141" spans="1:24" ht="12.95" customHeight="1" thickBot="1">
      <c r="A141" s="885"/>
      <c r="B141" s="869"/>
      <c r="C141" s="1259"/>
      <c r="D141" s="930" t="s">
        <v>123</v>
      </c>
      <c r="E141" s="931"/>
      <c r="F141" s="931"/>
      <c r="G141" s="931"/>
      <c r="H141" s="931"/>
      <c r="I141" s="931"/>
      <c r="J141" s="931"/>
      <c r="K141" s="931"/>
      <c r="L141" s="931"/>
      <c r="M141" s="931"/>
      <c r="N141" s="931"/>
      <c r="O141" s="931"/>
      <c r="P141" s="931"/>
      <c r="Q141" s="931"/>
      <c r="R141" s="931"/>
      <c r="S141" s="931"/>
      <c r="T141" s="931"/>
      <c r="U141" s="931"/>
      <c r="V141" s="931"/>
      <c r="W141" s="932"/>
      <c r="X141" s="880"/>
    </row>
    <row r="142" spans="1:24" ht="12.95" customHeight="1" thickBot="1">
      <c r="A142" s="885"/>
      <c r="B142" s="11" t="s">
        <v>33</v>
      </c>
      <c r="C142" s="12"/>
      <c r="D142" s="927" t="s">
        <v>78</v>
      </c>
      <c r="E142" s="928"/>
      <c r="F142" s="928"/>
      <c r="G142" s="929"/>
      <c r="H142" s="927" t="s">
        <v>77</v>
      </c>
      <c r="I142" s="928"/>
      <c r="J142" s="928"/>
      <c r="K142" s="929"/>
      <c r="L142" s="927" t="s">
        <v>81</v>
      </c>
      <c r="M142" s="928"/>
      <c r="N142" s="928"/>
      <c r="O142" s="929"/>
      <c r="P142" s="927" t="s">
        <v>254</v>
      </c>
      <c r="Q142" s="928"/>
      <c r="R142" s="928"/>
      <c r="S142" s="929"/>
      <c r="T142" s="927" t="s">
        <v>76</v>
      </c>
      <c r="U142" s="928"/>
      <c r="V142" s="928"/>
      <c r="W142" s="929"/>
      <c r="X142" s="880"/>
    </row>
    <row r="143" spans="1:24" ht="12.95" customHeight="1" thickBot="1">
      <c r="A143" s="885"/>
      <c r="B143" s="868" t="s">
        <v>67</v>
      </c>
      <c r="C143" s="23" t="s">
        <v>2</v>
      </c>
      <c r="D143" s="966" t="s">
        <v>255</v>
      </c>
      <c r="E143" s="967"/>
      <c r="F143" s="967"/>
      <c r="G143" s="968"/>
      <c r="H143" s="963">
        <v>2</v>
      </c>
      <c r="I143" s="964"/>
      <c r="J143" s="964"/>
      <c r="K143" s="965"/>
      <c r="L143" s="963">
        <v>2</v>
      </c>
      <c r="M143" s="964"/>
      <c r="N143" s="964"/>
      <c r="O143" s="965"/>
      <c r="P143" s="963">
        <v>2.4</v>
      </c>
      <c r="Q143" s="964"/>
      <c r="R143" s="964"/>
      <c r="S143" s="965"/>
      <c r="T143" s="1262">
        <v>3.5</v>
      </c>
      <c r="U143" s="1263"/>
      <c r="V143" s="1263"/>
      <c r="W143" s="1264"/>
      <c r="X143" s="880"/>
    </row>
    <row r="144" spans="1:24" ht="13.5" thickBot="1">
      <c r="A144" s="885"/>
      <c r="B144" s="885"/>
      <c r="C144" s="9" t="s">
        <v>3</v>
      </c>
      <c r="D144" s="957"/>
      <c r="E144" s="958"/>
      <c r="F144" s="958"/>
      <c r="G144" s="959"/>
      <c r="H144" s="957"/>
      <c r="I144" s="958"/>
      <c r="J144" s="958"/>
      <c r="K144" s="959"/>
      <c r="L144" s="963">
        <v>2</v>
      </c>
      <c r="M144" s="964"/>
      <c r="N144" s="964"/>
      <c r="O144" s="965"/>
      <c r="P144" s="963">
        <v>3.3</v>
      </c>
      <c r="Q144" s="964"/>
      <c r="R144" s="964"/>
      <c r="S144" s="965"/>
      <c r="T144" s="963">
        <v>0</v>
      </c>
      <c r="U144" s="964"/>
      <c r="V144" s="964"/>
      <c r="W144" s="965"/>
      <c r="X144" s="880"/>
    </row>
    <row r="145" spans="1:24" ht="12.95" customHeight="1" thickBot="1">
      <c r="A145" s="885"/>
      <c r="B145" s="885"/>
      <c r="C145" s="1258" t="s">
        <v>170</v>
      </c>
      <c r="D145" s="927" t="s">
        <v>4</v>
      </c>
      <c r="E145" s="928"/>
      <c r="F145" s="928"/>
      <c r="G145" s="928"/>
      <c r="H145" s="928"/>
      <c r="I145" s="928"/>
      <c r="J145" s="928"/>
      <c r="K145" s="928"/>
      <c r="L145" s="928"/>
      <c r="M145" s="928"/>
      <c r="N145" s="928"/>
      <c r="O145" s="928"/>
      <c r="P145" s="928"/>
      <c r="Q145" s="928"/>
      <c r="R145" s="928"/>
      <c r="S145" s="928"/>
      <c r="T145" s="928"/>
      <c r="U145" s="928"/>
      <c r="V145" s="928"/>
      <c r="W145" s="929"/>
      <c r="X145" s="880"/>
    </row>
    <row r="146" spans="1:24" ht="12.95" customHeight="1" thickBot="1">
      <c r="A146" s="885"/>
      <c r="B146" s="869"/>
      <c r="C146" s="1259"/>
      <c r="D146" s="930" t="s">
        <v>123</v>
      </c>
      <c r="E146" s="931"/>
      <c r="F146" s="931"/>
      <c r="G146" s="931"/>
      <c r="H146" s="931"/>
      <c r="I146" s="931"/>
      <c r="J146" s="931"/>
      <c r="K146" s="931"/>
      <c r="L146" s="931"/>
      <c r="M146" s="931"/>
      <c r="N146" s="931"/>
      <c r="O146" s="931"/>
      <c r="P146" s="931"/>
      <c r="Q146" s="931"/>
      <c r="R146" s="931"/>
      <c r="S146" s="931"/>
      <c r="T146" s="931"/>
      <c r="U146" s="931"/>
      <c r="V146" s="931"/>
      <c r="W146" s="932"/>
      <c r="X146" s="880"/>
    </row>
    <row r="147" spans="1:24" ht="12.95" customHeight="1" thickBot="1">
      <c r="A147" s="885"/>
      <c r="B147" s="11" t="s">
        <v>34</v>
      </c>
      <c r="C147" s="12"/>
      <c r="D147" s="927" t="s">
        <v>78</v>
      </c>
      <c r="E147" s="928"/>
      <c r="F147" s="928"/>
      <c r="G147" s="929"/>
      <c r="H147" s="927" t="s">
        <v>77</v>
      </c>
      <c r="I147" s="928"/>
      <c r="J147" s="928"/>
      <c r="K147" s="929"/>
      <c r="L147" s="927" t="s">
        <v>81</v>
      </c>
      <c r="M147" s="928"/>
      <c r="N147" s="928"/>
      <c r="O147" s="929"/>
      <c r="P147" s="927" t="s">
        <v>254</v>
      </c>
      <c r="Q147" s="928"/>
      <c r="R147" s="928"/>
      <c r="S147" s="929"/>
      <c r="T147" s="927" t="s">
        <v>76</v>
      </c>
      <c r="U147" s="928"/>
      <c r="V147" s="928"/>
      <c r="W147" s="929"/>
      <c r="X147" s="880"/>
    </row>
    <row r="148" spans="1:24" ht="12.95" customHeight="1" thickBot="1">
      <c r="A148" s="885"/>
      <c r="B148" s="868" t="s">
        <v>68</v>
      </c>
      <c r="C148" s="23" t="s">
        <v>2</v>
      </c>
      <c r="D148" s="966" t="s">
        <v>255</v>
      </c>
      <c r="E148" s="967"/>
      <c r="F148" s="967"/>
      <c r="G148" s="968"/>
      <c r="H148" s="942">
        <v>1</v>
      </c>
      <c r="I148" s="943"/>
      <c r="J148" s="943"/>
      <c r="K148" s="944"/>
      <c r="L148" s="942">
        <v>1</v>
      </c>
      <c r="M148" s="943"/>
      <c r="N148" s="943"/>
      <c r="O148" s="944"/>
      <c r="P148" s="942">
        <v>1.3</v>
      </c>
      <c r="Q148" s="943"/>
      <c r="R148" s="943"/>
      <c r="S148" s="944"/>
      <c r="T148" s="1262">
        <v>2.5</v>
      </c>
      <c r="U148" s="1263"/>
      <c r="V148" s="1263"/>
      <c r="W148" s="1264"/>
      <c r="X148" s="880"/>
    </row>
    <row r="149" spans="1:24" ht="13.5" thickBot="1">
      <c r="A149" s="885"/>
      <c r="B149" s="885"/>
      <c r="C149" s="9" t="s">
        <v>3</v>
      </c>
      <c r="D149" s="957"/>
      <c r="E149" s="958"/>
      <c r="F149" s="958"/>
      <c r="G149" s="959"/>
      <c r="H149" s="957"/>
      <c r="I149" s="958"/>
      <c r="J149" s="958"/>
      <c r="K149" s="959"/>
      <c r="L149" s="963">
        <v>1</v>
      </c>
      <c r="M149" s="964"/>
      <c r="N149" s="964"/>
      <c r="O149" s="965"/>
      <c r="P149" s="963">
        <v>2.6</v>
      </c>
      <c r="Q149" s="964"/>
      <c r="R149" s="964"/>
      <c r="S149" s="965"/>
      <c r="T149" s="963">
        <v>0</v>
      </c>
      <c r="U149" s="964"/>
      <c r="V149" s="964"/>
      <c r="W149" s="965"/>
      <c r="X149" s="880"/>
    </row>
    <row r="150" spans="1:24" ht="12.95" customHeight="1" thickBot="1">
      <c r="A150" s="885"/>
      <c r="B150" s="885"/>
      <c r="C150" s="1258" t="s">
        <v>170</v>
      </c>
      <c r="D150" s="927" t="s">
        <v>4</v>
      </c>
      <c r="E150" s="928"/>
      <c r="F150" s="928"/>
      <c r="G150" s="928"/>
      <c r="H150" s="928"/>
      <c r="I150" s="928"/>
      <c r="J150" s="928"/>
      <c r="K150" s="928"/>
      <c r="L150" s="928"/>
      <c r="M150" s="928"/>
      <c r="N150" s="928"/>
      <c r="O150" s="928"/>
      <c r="P150" s="928"/>
      <c r="Q150" s="928"/>
      <c r="R150" s="928"/>
      <c r="S150" s="928"/>
      <c r="T150" s="928"/>
      <c r="U150" s="928"/>
      <c r="V150" s="928"/>
      <c r="W150" s="929"/>
      <c r="X150" s="880"/>
    </row>
    <row r="151" spans="1:24" ht="12.95" customHeight="1" thickBot="1">
      <c r="A151" s="885"/>
      <c r="B151" s="869"/>
      <c r="C151" s="1259"/>
      <c r="D151" s="930" t="s">
        <v>123</v>
      </c>
      <c r="E151" s="931"/>
      <c r="F151" s="931"/>
      <c r="G151" s="931"/>
      <c r="H151" s="931"/>
      <c r="I151" s="931"/>
      <c r="J151" s="931"/>
      <c r="K151" s="931"/>
      <c r="L151" s="931"/>
      <c r="M151" s="931"/>
      <c r="N151" s="931"/>
      <c r="O151" s="931"/>
      <c r="P151" s="931"/>
      <c r="Q151" s="931"/>
      <c r="R151" s="931"/>
      <c r="S151" s="931"/>
      <c r="T151" s="931"/>
      <c r="U151" s="931"/>
      <c r="V151" s="931"/>
      <c r="W151" s="932"/>
      <c r="X151" s="880"/>
    </row>
    <row r="152" spans="1:24" ht="12.95" customHeight="1" thickBot="1">
      <c r="A152" s="885"/>
      <c r="B152" s="11" t="s">
        <v>41</v>
      </c>
      <c r="C152" s="12"/>
      <c r="D152" s="927" t="s">
        <v>78</v>
      </c>
      <c r="E152" s="928"/>
      <c r="F152" s="928"/>
      <c r="G152" s="929"/>
      <c r="H152" s="927" t="s">
        <v>77</v>
      </c>
      <c r="I152" s="928"/>
      <c r="J152" s="928"/>
      <c r="K152" s="929"/>
      <c r="L152" s="927" t="s">
        <v>81</v>
      </c>
      <c r="M152" s="928"/>
      <c r="N152" s="928"/>
      <c r="O152" s="929"/>
      <c r="P152" s="927" t="s">
        <v>254</v>
      </c>
      <c r="Q152" s="928"/>
      <c r="R152" s="928"/>
      <c r="S152" s="929"/>
      <c r="T152" s="927" t="s">
        <v>76</v>
      </c>
      <c r="U152" s="928"/>
      <c r="V152" s="928"/>
      <c r="W152" s="929"/>
      <c r="X152" s="880"/>
    </row>
    <row r="153" spans="1:24" ht="12.95" customHeight="1" thickBot="1">
      <c r="A153" s="885"/>
      <c r="B153" s="868" t="s">
        <v>69</v>
      </c>
      <c r="C153" s="23" t="s">
        <v>2</v>
      </c>
      <c r="D153" s="966" t="s">
        <v>255</v>
      </c>
      <c r="E153" s="967"/>
      <c r="F153" s="967"/>
      <c r="G153" s="968"/>
      <c r="H153" s="942">
        <v>1</v>
      </c>
      <c r="I153" s="943"/>
      <c r="J153" s="943"/>
      <c r="K153" s="944"/>
      <c r="L153" s="942">
        <v>1</v>
      </c>
      <c r="M153" s="943"/>
      <c r="N153" s="943"/>
      <c r="O153" s="944"/>
      <c r="P153" s="942">
        <v>1.3</v>
      </c>
      <c r="Q153" s="943"/>
      <c r="R153" s="943"/>
      <c r="S153" s="944"/>
      <c r="T153" s="1262">
        <v>2.7</v>
      </c>
      <c r="U153" s="1263"/>
      <c r="V153" s="1263"/>
      <c r="W153" s="1264"/>
      <c r="X153" s="880"/>
    </row>
    <row r="154" spans="1:24" ht="13.5" thickBot="1">
      <c r="A154" s="885"/>
      <c r="B154" s="885"/>
      <c r="C154" s="9" t="s">
        <v>3</v>
      </c>
      <c r="D154" s="957"/>
      <c r="E154" s="958"/>
      <c r="F154" s="958"/>
      <c r="G154" s="959"/>
      <c r="H154" s="957"/>
      <c r="I154" s="958"/>
      <c r="J154" s="958"/>
      <c r="K154" s="959"/>
      <c r="L154" s="963">
        <v>1</v>
      </c>
      <c r="M154" s="964"/>
      <c r="N154" s="964"/>
      <c r="O154" s="965"/>
      <c r="P154" s="963">
        <v>2.5</v>
      </c>
      <c r="Q154" s="964"/>
      <c r="R154" s="964"/>
      <c r="S154" s="965"/>
      <c r="T154" s="963">
        <v>0</v>
      </c>
      <c r="U154" s="964"/>
      <c r="V154" s="964"/>
      <c r="W154" s="965"/>
      <c r="X154" s="880"/>
    </row>
    <row r="155" spans="1:24" ht="12.95" customHeight="1" thickBot="1">
      <c r="A155" s="885"/>
      <c r="B155" s="885"/>
      <c r="C155" s="1258" t="s">
        <v>170</v>
      </c>
      <c r="D155" s="927" t="s">
        <v>4</v>
      </c>
      <c r="E155" s="928"/>
      <c r="F155" s="928"/>
      <c r="G155" s="928"/>
      <c r="H155" s="928"/>
      <c r="I155" s="928"/>
      <c r="J155" s="928"/>
      <c r="K155" s="928"/>
      <c r="L155" s="928"/>
      <c r="M155" s="928"/>
      <c r="N155" s="928"/>
      <c r="O155" s="928"/>
      <c r="P155" s="928"/>
      <c r="Q155" s="928"/>
      <c r="R155" s="928"/>
      <c r="S155" s="928"/>
      <c r="T155" s="928"/>
      <c r="U155" s="928"/>
      <c r="V155" s="928"/>
      <c r="W155" s="929"/>
      <c r="X155" s="880"/>
    </row>
    <row r="156" spans="1:24" ht="12.95" customHeight="1" thickBot="1">
      <c r="A156" s="885"/>
      <c r="B156" s="869"/>
      <c r="C156" s="1259"/>
      <c r="D156" s="930" t="s">
        <v>123</v>
      </c>
      <c r="E156" s="931"/>
      <c r="F156" s="931"/>
      <c r="G156" s="931"/>
      <c r="H156" s="931"/>
      <c r="I156" s="931"/>
      <c r="J156" s="931"/>
      <c r="K156" s="931"/>
      <c r="L156" s="931"/>
      <c r="M156" s="931"/>
      <c r="N156" s="931"/>
      <c r="O156" s="931"/>
      <c r="P156" s="931"/>
      <c r="Q156" s="931"/>
      <c r="R156" s="931"/>
      <c r="S156" s="931"/>
      <c r="T156" s="931"/>
      <c r="U156" s="931"/>
      <c r="V156" s="931"/>
      <c r="W156" s="932"/>
      <c r="X156" s="880"/>
    </row>
    <row r="157" spans="1:24" ht="12.95" customHeight="1" thickBot="1">
      <c r="A157" s="885"/>
      <c r="B157" s="11" t="s">
        <v>42</v>
      </c>
      <c r="C157" s="28"/>
      <c r="D157" s="927" t="s">
        <v>78</v>
      </c>
      <c r="E157" s="928"/>
      <c r="F157" s="928"/>
      <c r="G157" s="929"/>
      <c r="H157" s="927" t="s">
        <v>77</v>
      </c>
      <c r="I157" s="928"/>
      <c r="J157" s="928"/>
      <c r="K157" s="929"/>
      <c r="L157" s="927" t="s">
        <v>81</v>
      </c>
      <c r="M157" s="928"/>
      <c r="N157" s="928"/>
      <c r="O157" s="929"/>
      <c r="P157" s="927" t="s">
        <v>254</v>
      </c>
      <c r="Q157" s="928"/>
      <c r="R157" s="928"/>
      <c r="S157" s="929"/>
      <c r="T157" s="927" t="s">
        <v>76</v>
      </c>
      <c r="U157" s="928"/>
      <c r="V157" s="928"/>
      <c r="W157" s="929"/>
      <c r="X157" s="880"/>
    </row>
    <row r="158" spans="1:24" ht="18.95" customHeight="1" thickBot="1">
      <c r="A158" s="885"/>
      <c r="B158" s="868" t="s">
        <v>180</v>
      </c>
      <c r="C158" s="26"/>
      <c r="D158" s="955" t="s">
        <v>99</v>
      </c>
      <c r="E158" s="956"/>
      <c r="F158" s="955" t="s">
        <v>100</v>
      </c>
      <c r="G158" s="956"/>
      <c r="H158" s="955" t="s">
        <v>99</v>
      </c>
      <c r="I158" s="956"/>
      <c r="J158" s="955" t="s">
        <v>100</v>
      </c>
      <c r="K158" s="956"/>
      <c r="L158" s="955" t="s">
        <v>99</v>
      </c>
      <c r="M158" s="956"/>
      <c r="N158" s="955" t="s">
        <v>100</v>
      </c>
      <c r="O158" s="956"/>
      <c r="P158" s="955" t="s">
        <v>99</v>
      </c>
      <c r="Q158" s="956"/>
      <c r="R158" s="955" t="s">
        <v>100</v>
      </c>
      <c r="S158" s="956"/>
      <c r="T158" s="955" t="s">
        <v>99</v>
      </c>
      <c r="U158" s="956"/>
      <c r="V158" s="955" t="s">
        <v>100</v>
      </c>
      <c r="W158" s="956"/>
      <c r="X158" s="880"/>
    </row>
    <row r="159" spans="1:24" ht="12.95" customHeight="1" thickBot="1">
      <c r="A159" s="885"/>
      <c r="B159" s="885"/>
      <c r="C159" s="26" t="s">
        <v>2</v>
      </c>
      <c r="D159" s="966" t="s">
        <v>255</v>
      </c>
      <c r="E159" s="967"/>
      <c r="F159" s="967"/>
      <c r="G159" s="968"/>
      <c r="H159" s="951">
        <v>0</v>
      </c>
      <c r="I159" s="952"/>
      <c r="J159" s="951">
        <v>0</v>
      </c>
      <c r="K159" s="952"/>
      <c r="L159" s="951">
        <v>2</v>
      </c>
      <c r="M159" s="952"/>
      <c r="N159" s="951">
        <v>1</v>
      </c>
      <c r="O159" s="952"/>
      <c r="P159" s="951">
        <v>3</v>
      </c>
      <c r="Q159" s="952"/>
      <c r="R159" s="951">
        <v>1</v>
      </c>
      <c r="S159" s="952"/>
      <c r="T159" s="951">
        <v>5</v>
      </c>
      <c r="U159" s="952"/>
      <c r="V159" s="951">
        <v>2</v>
      </c>
      <c r="W159" s="952"/>
      <c r="X159" s="880"/>
    </row>
    <row r="160" spans="1:24" ht="13.5" thickBot="1">
      <c r="A160" s="869"/>
      <c r="B160" s="885"/>
      <c r="C160" s="9" t="s">
        <v>3</v>
      </c>
      <c r="D160" s="957"/>
      <c r="E160" s="958"/>
      <c r="F160" s="958"/>
      <c r="G160" s="959"/>
      <c r="H160" s="957"/>
      <c r="I160" s="958"/>
      <c r="J160" s="958"/>
      <c r="K160" s="959"/>
      <c r="L160" s="939">
        <v>2</v>
      </c>
      <c r="M160" s="953"/>
      <c r="N160" s="939">
        <v>1</v>
      </c>
      <c r="O160" s="953"/>
      <c r="P160" s="939">
        <v>4</v>
      </c>
      <c r="Q160" s="953"/>
      <c r="R160" s="939">
        <v>2</v>
      </c>
      <c r="S160" s="953"/>
      <c r="T160" s="939">
        <v>0</v>
      </c>
      <c r="U160" s="953"/>
      <c r="V160" s="939">
        <v>0</v>
      </c>
      <c r="W160" s="953"/>
      <c r="X160" s="881"/>
    </row>
    <row r="161" spans="1:24" ht="12.95" customHeight="1" thickBot="1">
      <c r="A161" s="96" t="s">
        <v>13</v>
      </c>
      <c r="B161" s="885" t="s">
        <v>178</v>
      </c>
      <c r="C161" s="1258" t="s">
        <v>170</v>
      </c>
      <c r="D161" s="927" t="s">
        <v>4</v>
      </c>
      <c r="E161" s="928"/>
      <c r="F161" s="928"/>
      <c r="G161" s="928"/>
      <c r="H161" s="928"/>
      <c r="I161" s="928"/>
      <c r="J161" s="928"/>
      <c r="K161" s="928"/>
      <c r="L161" s="928"/>
      <c r="M161" s="928"/>
      <c r="N161" s="928"/>
      <c r="O161" s="928"/>
      <c r="P161" s="928"/>
      <c r="Q161" s="928"/>
      <c r="R161" s="928"/>
      <c r="S161" s="928"/>
      <c r="T161" s="928"/>
      <c r="U161" s="928"/>
      <c r="V161" s="928"/>
      <c r="W161" s="929"/>
      <c r="X161" s="24" t="s">
        <v>14</v>
      </c>
    </row>
    <row r="162" spans="1:24" ht="12.95" customHeight="1" thickBot="1">
      <c r="A162" s="25" t="s">
        <v>74</v>
      </c>
      <c r="B162" s="869"/>
      <c r="C162" s="1259"/>
      <c r="D162" s="930" t="s">
        <v>124</v>
      </c>
      <c r="E162" s="931"/>
      <c r="F162" s="931"/>
      <c r="G162" s="931"/>
      <c r="H162" s="931"/>
      <c r="I162" s="931"/>
      <c r="J162" s="931"/>
      <c r="K162" s="931"/>
      <c r="L162" s="931"/>
      <c r="M162" s="931"/>
      <c r="N162" s="931"/>
      <c r="O162" s="931"/>
      <c r="P162" s="931"/>
      <c r="Q162" s="931"/>
      <c r="R162" s="931"/>
      <c r="S162" s="931"/>
      <c r="T162" s="931"/>
      <c r="U162" s="931"/>
      <c r="V162" s="931"/>
      <c r="W162" s="932"/>
      <c r="X162" s="18" t="s">
        <v>93</v>
      </c>
    </row>
    <row r="163" spans="1:24" ht="12.95" customHeight="1" thickBot="1">
      <c r="A163" s="906" t="s">
        <v>7</v>
      </c>
      <c r="B163" s="908" t="s">
        <v>173</v>
      </c>
      <c r="C163" s="909"/>
      <c r="D163" s="908" t="s">
        <v>8</v>
      </c>
      <c r="E163" s="918"/>
      <c r="F163" s="918"/>
      <c r="G163" s="909"/>
      <c r="H163" s="908" t="s">
        <v>88</v>
      </c>
      <c r="I163" s="918"/>
      <c r="J163" s="918"/>
      <c r="K163" s="909"/>
      <c r="L163" s="908" t="s">
        <v>89</v>
      </c>
      <c r="M163" s="918"/>
      <c r="N163" s="918"/>
      <c r="O163" s="909"/>
      <c r="P163" s="908" t="s">
        <v>9</v>
      </c>
      <c r="Q163" s="918"/>
      <c r="R163" s="918"/>
      <c r="S163" s="909"/>
      <c r="T163" s="908" t="s">
        <v>174</v>
      </c>
      <c r="U163" s="918"/>
      <c r="V163" s="918"/>
      <c r="W163" s="918"/>
      <c r="X163" s="909"/>
    </row>
    <row r="164" spans="1:24" ht="13.5" thickBot="1">
      <c r="A164" s="907"/>
      <c r="B164" s="1256"/>
      <c r="C164" s="1257"/>
      <c r="D164" s="916"/>
      <c r="E164" s="994"/>
      <c r="F164" s="994"/>
      <c r="G164" s="917"/>
      <c r="H164" s="916"/>
      <c r="I164" s="994"/>
      <c r="J164" s="994"/>
      <c r="K164" s="917"/>
      <c r="L164" s="916"/>
      <c r="M164" s="994"/>
      <c r="N164" s="994"/>
      <c r="O164" s="917"/>
      <c r="P164" s="916">
        <f>SUM(B164:O164)</f>
        <v>0</v>
      </c>
      <c r="Q164" s="994"/>
      <c r="R164" s="994"/>
      <c r="S164" s="917"/>
      <c r="T164" s="916" t="e">
        <f>B164/P164%</f>
        <v>#DIV/0!</v>
      </c>
      <c r="U164" s="994"/>
      <c r="V164" s="994"/>
      <c r="W164" s="994"/>
      <c r="X164" s="917"/>
    </row>
    <row r="165" spans="1:24" ht="13.5" thickBot="1">
      <c r="A165" s="906" t="s">
        <v>10</v>
      </c>
      <c r="B165" s="908" t="s">
        <v>175</v>
      </c>
      <c r="C165" s="909"/>
      <c r="D165" s="910"/>
      <c r="E165" s="911"/>
      <c r="F165" s="911"/>
      <c r="G165" s="911"/>
      <c r="H165" s="911"/>
      <c r="I165" s="911"/>
      <c r="J165" s="911"/>
      <c r="K165" s="911"/>
      <c r="L165" s="911"/>
      <c r="M165" s="911"/>
      <c r="N165" s="911"/>
      <c r="O165" s="911"/>
      <c r="P165" s="911"/>
      <c r="Q165" s="911"/>
      <c r="R165" s="911"/>
      <c r="S165" s="911"/>
      <c r="T165" s="911"/>
      <c r="U165" s="911"/>
      <c r="V165" s="911"/>
      <c r="W165" s="911"/>
      <c r="X165" s="912"/>
    </row>
    <row r="166" spans="1:24" ht="13.5" thickBot="1">
      <c r="A166" s="907"/>
      <c r="B166" s="1256"/>
      <c r="C166" s="1257"/>
      <c r="D166" s="913"/>
      <c r="E166" s="914"/>
      <c r="F166" s="914"/>
      <c r="G166" s="914"/>
      <c r="H166" s="914"/>
      <c r="I166" s="914"/>
      <c r="J166" s="914"/>
      <c r="K166" s="914"/>
      <c r="L166" s="914"/>
      <c r="M166" s="914"/>
      <c r="N166" s="914"/>
      <c r="O166" s="914"/>
      <c r="P166" s="914"/>
      <c r="Q166" s="914"/>
      <c r="R166" s="914"/>
      <c r="S166" s="914"/>
      <c r="T166" s="914"/>
      <c r="U166" s="914"/>
      <c r="V166" s="914"/>
      <c r="W166" s="914"/>
      <c r="X166" s="915"/>
    </row>
    <row r="168" spans="1:24" ht="13.5" thickBot="1"/>
    <row r="169" spans="1:24" ht="12.95" customHeight="1" thickBot="1">
      <c r="A169" s="472" t="s">
        <v>27</v>
      </c>
      <c r="B169" s="473" t="s">
        <v>35</v>
      </c>
      <c r="C169" s="474"/>
      <c r="D169" s="1230" t="s">
        <v>78</v>
      </c>
      <c r="E169" s="1231"/>
      <c r="F169" s="1231"/>
      <c r="G169" s="1232"/>
      <c r="H169" s="1240" t="s">
        <v>77</v>
      </c>
      <c r="I169" s="1231"/>
      <c r="J169" s="1231"/>
      <c r="K169" s="1232"/>
      <c r="L169" s="1240" t="s">
        <v>81</v>
      </c>
      <c r="M169" s="1231"/>
      <c r="N169" s="1231"/>
      <c r="O169" s="1232"/>
      <c r="P169" s="1240" t="s">
        <v>254</v>
      </c>
      <c r="Q169" s="1231"/>
      <c r="R169" s="1231"/>
      <c r="S169" s="1232"/>
      <c r="T169" s="1240" t="s">
        <v>76</v>
      </c>
      <c r="U169" s="1231"/>
      <c r="V169" s="1231"/>
      <c r="W169" s="1232"/>
      <c r="X169" s="475" t="s">
        <v>12</v>
      </c>
    </row>
    <row r="170" spans="1:24" ht="12.95" customHeight="1" thickBot="1">
      <c r="A170" s="1253" t="s">
        <v>70</v>
      </c>
      <c r="B170" s="873" t="s">
        <v>609</v>
      </c>
      <c r="C170" s="90"/>
      <c r="D170" s="1215" t="s">
        <v>636</v>
      </c>
      <c r="E170" s="1216"/>
      <c r="F170" s="1216"/>
      <c r="G170" s="1217"/>
      <c r="H170" s="1215" t="s">
        <v>636</v>
      </c>
      <c r="I170" s="1216"/>
      <c r="J170" s="1216"/>
      <c r="K170" s="1217"/>
      <c r="L170" s="1215" t="s">
        <v>636</v>
      </c>
      <c r="M170" s="1216"/>
      <c r="N170" s="1216"/>
      <c r="O170" s="1217"/>
      <c r="P170" s="476" t="s">
        <v>602</v>
      </c>
      <c r="Q170" s="476" t="s">
        <v>603</v>
      </c>
      <c r="R170" s="476" t="s">
        <v>608</v>
      </c>
      <c r="S170" s="476" t="s">
        <v>604</v>
      </c>
      <c r="T170" s="476" t="s">
        <v>602</v>
      </c>
      <c r="U170" s="476" t="s">
        <v>603</v>
      </c>
      <c r="V170" s="476" t="s">
        <v>608</v>
      </c>
      <c r="W170" s="476" t="s">
        <v>604</v>
      </c>
      <c r="X170" s="879" t="s">
        <v>90</v>
      </c>
    </row>
    <row r="171" spans="1:24" ht="13.35" customHeight="1" thickBot="1">
      <c r="A171" s="1254"/>
      <c r="B171" s="874"/>
      <c r="C171" s="26" t="s">
        <v>2</v>
      </c>
      <c r="D171" s="966" t="s">
        <v>255</v>
      </c>
      <c r="E171" s="967"/>
      <c r="F171" s="967"/>
      <c r="G171" s="968"/>
      <c r="H171" s="924">
        <v>0</v>
      </c>
      <c r="I171" s="925"/>
      <c r="J171" s="925"/>
      <c r="K171" s="926"/>
      <c r="L171" s="924">
        <v>2</v>
      </c>
      <c r="M171" s="925"/>
      <c r="N171" s="925"/>
      <c r="O171" s="926"/>
      <c r="P171" s="939">
        <v>4</v>
      </c>
      <c r="Q171" s="940"/>
      <c r="R171" s="940"/>
      <c r="S171" s="941"/>
      <c r="T171" s="793">
        <v>6</v>
      </c>
      <c r="U171" s="794">
        <v>3</v>
      </c>
      <c r="V171" s="794">
        <v>1</v>
      </c>
      <c r="W171" s="794">
        <v>1</v>
      </c>
      <c r="X171" s="880"/>
    </row>
    <row r="172" spans="1:24" ht="13.35" customHeight="1" thickBot="1">
      <c r="A172" s="1254"/>
      <c r="B172" s="874"/>
      <c r="C172" s="9" t="s">
        <v>3</v>
      </c>
      <c r="D172" s="957"/>
      <c r="E172" s="958"/>
      <c r="F172" s="958"/>
      <c r="G172" s="959"/>
      <c r="H172" s="957"/>
      <c r="I172" s="958"/>
      <c r="J172" s="958"/>
      <c r="K172" s="959"/>
      <c r="L172" s="1247">
        <v>2</v>
      </c>
      <c r="M172" s="940"/>
      <c r="N172" s="940"/>
      <c r="O172" s="1248"/>
      <c r="P172" s="150">
        <v>2</v>
      </c>
      <c r="Q172" s="794">
        <v>1</v>
      </c>
      <c r="R172" s="794">
        <v>1</v>
      </c>
      <c r="S172" s="777">
        <v>0</v>
      </c>
      <c r="T172" s="150">
        <v>0</v>
      </c>
      <c r="U172" s="150">
        <v>0</v>
      </c>
      <c r="V172" s="150">
        <v>0</v>
      </c>
      <c r="W172" s="150">
        <v>0</v>
      </c>
      <c r="X172" s="880"/>
    </row>
    <row r="173" spans="1:24" ht="13.35" customHeight="1" thickBot="1">
      <c r="A173" s="1254"/>
      <c r="B173" s="874"/>
      <c r="C173" s="1244" t="s">
        <v>838</v>
      </c>
      <c r="D173" s="1230" t="s">
        <v>839</v>
      </c>
      <c r="E173" s="1231"/>
      <c r="F173" s="1231"/>
      <c r="G173" s="1231"/>
      <c r="H173" s="1231"/>
      <c r="I173" s="1231"/>
      <c r="J173" s="1231"/>
      <c r="K173" s="1231"/>
      <c r="L173" s="1231"/>
      <c r="M173" s="1231"/>
      <c r="N173" s="1231"/>
      <c r="O173" s="1231"/>
      <c r="P173" s="1231"/>
      <c r="Q173" s="1231"/>
      <c r="R173" s="1231"/>
      <c r="S173" s="1231"/>
      <c r="T173" s="1231"/>
      <c r="U173" s="1231"/>
      <c r="V173" s="1231"/>
      <c r="W173" s="1232"/>
      <c r="X173" s="880"/>
    </row>
    <row r="174" spans="1:24" ht="12.95" customHeight="1" thickBot="1">
      <c r="A174" s="1254"/>
      <c r="B174" s="1249"/>
      <c r="C174" s="1245"/>
      <c r="D174" s="930" t="s">
        <v>125</v>
      </c>
      <c r="E174" s="931"/>
      <c r="F174" s="931"/>
      <c r="G174" s="931"/>
      <c r="H174" s="931"/>
      <c r="I174" s="931"/>
      <c r="J174" s="931"/>
      <c r="K174" s="931"/>
      <c r="L174" s="931"/>
      <c r="M174" s="931"/>
      <c r="N174" s="931"/>
      <c r="O174" s="931"/>
      <c r="P174" s="931"/>
      <c r="Q174" s="931"/>
      <c r="R174" s="931"/>
      <c r="S174" s="931"/>
      <c r="T174" s="931"/>
      <c r="U174" s="931"/>
      <c r="V174" s="931"/>
      <c r="W174" s="932"/>
      <c r="X174" s="880"/>
    </row>
    <row r="175" spans="1:24" ht="12.95" customHeight="1" thickBot="1">
      <c r="A175" s="1254"/>
      <c r="B175" s="477" t="s">
        <v>36</v>
      </c>
      <c r="C175" s="478"/>
      <c r="D175" s="1230" t="s">
        <v>78</v>
      </c>
      <c r="E175" s="1231"/>
      <c r="F175" s="1231"/>
      <c r="G175" s="1232"/>
      <c r="H175" s="1240" t="s">
        <v>77</v>
      </c>
      <c r="I175" s="1231"/>
      <c r="J175" s="1231"/>
      <c r="K175" s="1232"/>
      <c r="L175" s="1240" t="s">
        <v>81</v>
      </c>
      <c r="M175" s="1231"/>
      <c r="N175" s="1231"/>
      <c r="O175" s="1232"/>
      <c r="P175" s="1240" t="s">
        <v>254</v>
      </c>
      <c r="Q175" s="1231"/>
      <c r="R175" s="1231"/>
      <c r="S175" s="1232"/>
      <c r="T175" s="1240" t="s">
        <v>76</v>
      </c>
      <c r="U175" s="1231"/>
      <c r="V175" s="1231"/>
      <c r="W175" s="1246"/>
      <c r="X175" s="880"/>
    </row>
    <row r="176" spans="1:24" ht="13.35" customHeight="1" thickBot="1">
      <c r="A176" s="1254"/>
      <c r="B176" s="873" t="s">
        <v>601</v>
      </c>
      <c r="C176" s="90"/>
      <c r="D176" s="1215" t="s">
        <v>636</v>
      </c>
      <c r="E176" s="1216"/>
      <c r="F176" s="1216"/>
      <c r="G176" s="1217"/>
      <c r="H176" s="1215" t="s">
        <v>636</v>
      </c>
      <c r="I176" s="1216"/>
      <c r="J176" s="1216"/>
      <c r="K176" s="1217"/>
      <c r="L176" s="1215" t="s">
        <v>636</v>
      </c>
      <c r="M176" s="1216"/>
      <c r="N176" s="1216"/>
      <c r="O176" s="1217"/>
      <c r="P176" s="479" t="s">
        <v>101</v>
      </c>
      <c r="Q176" s="479" t="s">
        <v>104</v>
      </c>
      <c r="R176" s="479" t="s">
        <v>102</v>
      </c>
      <c r="S176" s="479" t="s">
        <v>103</v>
      </c>
      <c r="T176" s="479" t="s">
        <v>101</v>
      </c>
      <c r="U176" s="479" t="s">
        <v>104</v>
      </c>
      <c r="V176" s="479" t="s">
        <v>102</v>
      </c>
      <c r="W176" s="479" t="s">
        <v>103</v>
      </c>
      <c r="X176" s="880"/>
    </row>
    <row r="177" spans="1:24" ht="12.95" customHeight="1" thickBot="1">
      <c r="A177" s="1254"/>
      <c r="B177" s="874"/>
      <c r="C177" s="26" t="s">
        <v>2</v>
      </c>
      <c r="D177" s="966" t="s">
        <v>255</v>
      </c>
      <c r="E177" s="967"/>
      <c r="F177" s="967"/>
      <c r="G177" s="968"/>
      <c r="H177" s="924">
        <v>0</v>
      </c>
      <c r="I177" s="925"/>
      <c r="J177" s="925"/>
      <c r="K177" s="926"/>
      <c r="L177" s="924">
        <v>1</v>
      </c>
      <c r="M177" s="925"/>
      <c r="N177" s="925"/>
      <c r="O177" s="926"/>
      <c r="P177" s="939">
        <v>2</v>
      </c>
      <c r="Q177" s="940"/>
      <c r="R177" s="940"/>
      <c r="S177" s="941"/>
      <c r="T177" s="150">
        <v>5</v>
      </c>
      <c r="U177" s="794">
        <v>2</v>
      </c>
      <c r="V177" s="150">
        <v>0</v>
      </c>
      <c r="W177" s="150">
        <v>0</v>
      </c>
      <c r="X177" s="880"/>
    </row>
    <row r="178" spans="1:24" ht="13.35" customHeight="1" thickBot="1">
      <c r="A178" s="1254"/>
      <c r="B178" s="874"/>
      <c r="C178" s="9" t="s">
        <v>3</v>
      </c>
      <c r="D178" s="957"/>
      <c r="E178" s="958"/>
      <c r="F178" s="958"/>
      <c r="G178" s="959"/>
      <c r="H178" s="957"/>
      <c r="I178" s="958"/>
      <c r="J178" s="958"/>
      <c r="K178" s="959"/>
      <c r="L178" s="1251">
        <v>1</v>
      </c>
      <c r="M178" s="925"/>
      <c r="N178" s="925"/>
      <c r="O178" s="926"/>
      <c r="P178" s="150">
        <v>2</v>
      </c>
      <c r="Q178" s="794">
        <v>2</v>
      </c>
      <c r="R178" s="777">
        <v>0</v>
      </c>
      <c r="S178" s="777">
        <v>0</v>
      </c>
      <c r="T178" s="150">
        <v>0</v>
      </c>
      <c r="U178" s="150">
        <v>0</v>
      </c>
      <c r="V178" s="150">
        <v>0</v>
      </c>
      <c r="W178" s="150">
        <v>0</v>
      </c>
      <c r="X178" s="880"/>
    </row>
    <row r="179" spans="1:24" ht="12.95" customHeight="1" thickBot="1">
      <c r="A179" s="1254"/>
      <c r="B179" s="874"/>
      <c r="C179" s="1252" t="s">
        <v>838</v>
      </c>
      <c r="D179" s="1230" t="s">
        <v>839</v>
      </c>
      <c r="E179" s="1231"/>
      <c r="F179" s="1231"/>
      <c r="G179" s="1231"/>
      <c r="H179" s="1231"/>
      <c r="I179" s="1231"/>
      <c r="J179" s="1231"/>
      <c r="K179" s="1231"/>
      <c r="L179" s="1231"/>
      <c r="M179" s="1231"/>
      <c r="N179" s="1231"/>
      <c r="O179" s="1231"/>
      <c r="P179" s="1231"/>
      <c r="Q179" s="1231"/>
      <c r="R179" s="1231"/>
      <c r="S179" s="1231"/>
      <c r="T179" s="1231"/>
      <c r="U179" s="1231"/>
      <c r="V179" s="1231"/>
      <c r="W179" s="1232"/>
      <c r="X179" s="880"/>
    </row>
    <row r="180" spans="1:24" ht="12.95" customHeight="1" thickBot="1">
      <c r="A180" s="1254"/>
      <c r="B180" s="1249"/>
      <c r="C180" s="1229"/>
      <c r="D180" s="930" t="s">
        <v>125</v>
      </c>
      <c r="E180" s="931"/>
      <c r="F180" s="931"/>
      <c r="G180" s="931"/>
      <c r="H180" s="931"/>
      <c r="I180" s="931"/>
      <c r="J180" s="931"/>
      <c r="K180" s="931"/>
      <c r="L180" s="931"/>
      <c r="M180" s="931"/>
      <c r="N180" s="931"/>
      <c r="O180" s="931"/>
      <c r="P180" s="931"/>
      <c r="Q180" s="931"/>
      <c r="R180" s="931"/>
      <c r="S180" s="931"/>
      <c r="T180" s="931"/>
      <c r="U180" s="931"/>
      <c r="V180" s="931"/>
      <c r="W180" s="1233"/>
      <c r="X180" s="880"/>
    </row>
    <row r="181" spans="1:24" ht="12.95" customHeight="1" thickBot="1">
      <c r="A181" s="1254"/>
      <c r="B181" s="477" t="s">
        <v>600</v>
      </c>
      <c r="C181" s="478"/>
      <c r="D181" s="1230" t="s">
        <v>78</v>
      </c>
      <c r="E181" s="1231"/>
      <c r="F181" s="1231"/>
      <c r="G181" s="1232"/>
      <c r="H181" s="1240" t="s">
        <v>77</v>
      </c>
      <c r="I181" s="1231"/>
      <c r="J181" s="1231"/>
      <c r="K181" s="1232"/>
      <c r="L181" s="1240" t="s">
        <v>81</v>
      </c>
      <c r="M181" s="1231"/>
      <c r="N181" s="1231"/>
      <c r="O181" s="1232"/>
      <c r="P181" s="1240" t="s">
        <v>254</v>
      </c>
      <c r="Q181" s="1231"/>
      <c r="R181" s="1231"/>
      <c r="S181" s="1232"/>
      <c r="T181" s="1240" t="s">
        <v>76</v>
      </c>
      <c r="U181" s="1231"/>
      <c r="V181" s="1231"/>
      <c r="W181" s="1232"/>
      <c r="X181" s="880"/>
    </row>
    <row r="182" spans="1:24" ht="14.25" thickBot="1">
      <c r="A182" s="1254"/>
      <c r="B182" s="1132" t="s">
        <v>648</v>
      </c>
      <c r="C182" s="90"/>
      <c r="D182" s="1215"/>
      <c r="E182" s="1216"/>
      <c r="F182" s="1216"/>
      <c r="G182" s="1217"/>
      <c r="H182" s="1215"/>
      <c r="I182" s="1216"/>
      <c r="J182" s="1216"/>
      <c r="K182" s="1217"/>
      <c r="L182" s="1215"/>
      <c r="M182" s="1216"/>
      <c r="N182" s="1216"/>
      <c r="O182" s="1217"/>
      <c r="P182" s="479" t="s">
        <v>840</v>
      </c>
      <c r="Q182" s="476" t="s">
        <v>607</v>
      </c>
      <c r="R182" s="479" t="s">
        <v>606</v>
      </c>
      <c r="S182" s="479" t="s">
        <v>605</v>
      </c>
      <c r="T182" s="479" t="s">
        <v>840</v>
      </c>
      <c r="U182" s="476" t="s">
        <v>607</v>
      </c>
      <c r="V182" s="479" t="s">
        <v>606</v>
      </c>
      <c r="W182" s="479" t="s">
        <v>605</v>
      </c>
      <c r="X182" s="880"/>
    </row>
    <row r="183" spans="1:24" ht="13.35" customHeight="1" thickBot="1">
      <c r="A183" s="1254"/>
      <c r="B183" s="1133"/>
      <c r="C183" s="26" t="s">
        <v>2</v>
      </c>
      <c r="D183" s="957"/>
      <c r="E183" s="958"/>
      <c r="F183" s="958"/>
      <c r="G183" s="959"/>
      <c r="H183" s="1241" t="s">
        <v>635</v>
      </c>
      <c r="I183" s="1242"/>
      <c r="J183" s="1242"/>
      <c r="K183" s="1243"/>
      <c r="L183" s="966" t="s">
        <v>841</v>
      </c>
      <c r="M183" s="967"/>
      <c r="N183" s="967"/>
      <c r="O183" s="968"/>
      <c r="P183" s="150">
        <v>1</v>
      </c>
      <c r="Q183" s="150">
        <v>1</v>
      </c>
      <c r="R183" s="150">
        <v>0</v>
      </c>
      <c r="S183" s="150">
        <v>0</v>
      </c>
      <c r="T183" s="150">
        <v>3</v>
      </c>
      <c r="U183" s="150">
        <v>2</v>
      </c>
      <c r="V183" s="150">
        <v>0</v>
      </c>
      <c r="W183" s="150">
        <v>0</v>
      </c>
      <c r="X183" s="880"/>
    </row>
    <row r="184" spans="1:24" ht="13.35" customHeight="1" thickBot="1">
      <c r="A184" s="1255"/>
      <c r="B184" s="1133"/>
      <c r="C184" s="9" t="s">
        <v>3</v>
      </c>
      <c r="D184" s="957"/>
      <c r="E184" s="958"/>
      <c r="F184" s="958"/>
      <c r="G184" s="959"/>
      <c r="H184" s="957"/>
      <c r="I184" s="958"/>
      <c r="J184" s="958"/>
      <c r="K184" s="959"/>
      <c r="L184" s="957"/>
      <c r="M184" s="958"/>
      <c r="N184" s="958"/>
      <c r="O184" s="959"/>
      <c r="P184" s="957"/>
      <c r="Q184" s="958"/>
      <c r="R184" s="958"/>
      <c r="S184" s="959"/>
      <c r="T184" s="150">
        <v>0</v>
      </c>
      <c r="U184" s="104">
        <v>0</v>
      </c>
      <c r="V184" s="104">
        <v>0</v>
      </c>
      <c r="W184" s="104">
        <v>0</v>
      </c>
      <c r="X184" s="881"/>
    </row>
    <row r="185" spans="1:24" ht="12.95" customHeight="1" thickBot="1">
      <c r="A185" s="480" t="s">
        <v>13</v>
      </c>
      <c r="B185" s="1133"/>
      <c r="C185" s="1228" t="s">
        <v>838</v>
      </c>
      <c r="D185" s="1230" t="s">
        <v>4</v>
      </c>
      <c r="E185" s="1231"/>
      <c r="F185" s="1231"/>
      <c r="G185" s="1231"/>
      <c r="H185" s="1231"/>
      <c r="I185" s="1231"/>
      <c r="J185" s="1231"/>
      <c r="K185" s="1231"/>
      <c r="L185" s="1231"/>
      <c r="M185" s="1231"/>
      <c r="N185" s="1231"/>
      <c r="O185" s="1231"/>
      <c r="P185" s="1231"/>
      <c r="Q185" s="1231"/>
      <c r="R185" s="1231"/>
      <c r="S185" s="1231"/>
      <c r="T185" s="1231"/>
      <c r="U185" s="1231"/>
      <c r="V185" s="1231"/>
      <c r="W185" s="1232"/>
      <c r="X185" s="24" t="s">
        <v>14</v>
      </c>
    </row>
    <row r="186" spans="1:24" ht="12.95" customHeight="1" thickBot="1">
      <c r="A186" s="481" t="s">
        <v>73</v>
      </c>
      <c r="B186" s="1134"/>
      <c r="C186" s="1229"/>
      <c r="D186" s="930" t="s">
        <v>125</v>
      </c>
      <c r="E186" s="931"/>
      <c r="F186" s="931"/>
      <c r="G186" s="931"/>
      <c r="H186" s="931"/>
      <c r="I186" s="931"/>
      <c r="J186" s="931"/>
      <c r="K186" s="931"/>
      <c r="L186" s="931"/>
      <c r="M186" s="931"/>
      <c r="N186" s="931"/>
      <c r="O186" s="931"/>
      <c r="P186" s="931"/>
      <c r="Q186" s="931"/>
      <c r="R186" s="931"/>
      <c r="S186" s="931"/>
      <c r="T186" s="931"/>
      <c r="U186" s="931"/>
      <c r="V186" s="931"/>
      <c r="W186" s="1233"/>
      <c r="X186" s="18" t="s">
        <v>92</v>
      </c>
    </row>
    <row r="187" spans="1:24" ht="12.95" customHeight="1" thickBot="1">
      <c r="A187" s="1218" t="s">
        <v>7</v>
      </c>
      <c r="B187" s="1220" t="s">
        <v>173</v>
      </c>
      <c r="C187" s="1221"/>
      <c r="D187" s="1220" t="s">
        <v>8</v>
      </c>
      <c r="E187" s="1235"/>
      <c r="F187" s="1235"/>
      <c r="G187" s="1236"/>
      <c r="H187" s="1237" t="s">
        <v>88</v>
      </c>
      <c r="I187" s="1235"/>
      <c r="J187" s="1235"/>
      <c r="K187" s="1236"/>
      <c r="L187" s="1237" t="s">
        <v>89</v>
      </c>
      <c r="M187" s="1235"/>
      <c r="N187" s="1235"/>
      <c r="O187" s="1236"/>
      <c r="P187" s="1237" t="s">
        <v>9</v>
      </c>
      <c r="Q187" s="1235"/>
      <c r="R187" s="1235"/>
      <c r="S187" s="1236"/>
      <c r="T187" s="1237" t="s">
        <v>174</v>
      </c>
      <c r="U187" s="1235"/>
      <c r="V187" s="1235"/>
      <c r="W187" s="1235"/>
      <c r="X187" s="1236"/>
    </row>
    <row r="188" spans="1:24" ht="13.5" thickBot="1">
      <c r="A188" s="1234"/>
      <c r="B188" s="975"/>
      <c r="C188" s="976"/>
      <c r="D188" s="975"/>
      <c r="E188" s="977"/>
      <c r="F188" s="977"/>
      <c r="G188" s="1238"/>
      <c r="H188" s="1239"/>
      <c r="I188" s="977"/>
      <c r="J188" s="977"/>
      <c r="K188" s="1238"/>
      <c r="L188" s="1239"/>
      <c r="M188" s="977"/>
      <c r="N188" s="977"/>
      <c r="O188" s="1238"/>
      <c r="P188" s="916">
        <f>SUM(B188:O188)</f>
        <v>0</v>
      </c>
      <c r="Q188" s="994"/>
      <c r="R188" s="994"/>
      <c r="S188" s="917"/>
      <c r="T188" s="916" t="e">
        <f>B188/P188%</f>
        <v>#DIV/0!</v>
      </c>
      <c r="U188" s="994"/>
      <c r="V188" s="994"/>
      <c r="W188" s="994"/>
      <c r="X188" s="917"/>
    </row>
    <row r="189" spans="1:24" ht="13.5" thickBot="1">
      <c r="A189" s="1218" t="s">
        <v>10</v>
      </c>
      <c r="B189" s="1220" t="s">
        <v>175</v>
      </c>
      <c r="C189" s="1221"/>
      <c r="D189" s="1222"/>
      <c r="E189" s="1223"/>
      <c r="F189" s="1223"/>
      <c r="G189" s="1223"/>
      <c r="H189" s="1223"/>
      <c r="I189" s="1223"/>
      <c r="J189" s="1223"/>
      <c r="K189" s="1223"/>
      <c r="L189" s="1223"/>
      <c r="M189" s="1223"/>
      <c r="N189" s="1223"/>
      <c r="O189" s="1223"/>
      <c r="P189" s="1223"/>
      <c r="Q189" s="1223"/>
      <c r="R189" s="1223"/>
      <c r="S189" s="1223"/>
      <c r="T189" s="1223"/>
      <c r="U189" s="1223"/>
      <c r="V189" s="1223"/>
      <c r="W189" s="1223"/>
      <c r="X189" s="1224"/>
    </row>
    <row r="190" spans="1:24" ht="13.5" thickBot="1">
      <c r="A190" s="1219"/>
      <c r="B190" s="916"/>
      <c r="C190" s="917"/>
      <c r="D190" s="1225"/>
      <c r="E190" s="1226"/>
      <c r="F190" s="1226"/>
      <c r="G190" s="1226"/>
      <c r="H190" s="1226"/>
      <c r="I190" s="1226"/>
      <c r="J190" s="1226"/>
      <c r="K190" s="1226"/>
      <c r="L190" s="1226"/>
      <c r="M190" s="1226"/>
      <c r="N190" s="1226"/>
      <c r="O190" s="1226"/>
      <c r="P190" s="1226"/>
      <c r="Q190" s="1226"/>
      <c r="R190" s="1226"/>
      <c r="S190" s="1226"/>
      <c r="T190" s="1226"/>
      <c r="U190" s="1226"/>
      <c r="V190" s="1226"/>
      <c r="W190" s="1226"/>
      <c r="X190" s="1227"/>
    </row>
  </sheetData>
  <sheetProtection password="CF55" sheet="1" objects="1" scenarios="1" selectLockedCells="1" selectUnlockedCells="1"/>
  <mergeCells count="631">
    <mergeCell ref="D21:G21"/>
    <mergeCell ref="D42:W42"/>
    <mergeCell ref="D43:W43"/>
    <mergeCell ref="D44:G44"/>
    <mergeCell ref="T44:W44"/>
    <mergeCell ref="D45:G45"/>
    <mergeCell ref="P45:S45"/>
    <mergeCell ref="T45:W45"/>
    <mergeCell ref="L39:O39"/>
    <mergeCell ref="P39:S39"/>
    <mergeCell ref="T39:W39"/>
    <mergeCell ref="T40:W40"/>
    <mergeCell ref="D39:G39"/>
    <mergeCell ref="D35:W35"/>
    <mergeCell ref="D36:W36"/>
    <mergeCell ref="D33:G33"/>
    <mergeCell ref="L26:O26"/>
    <mergeCell ref="P26:S26"/>
    <mergeCell ref="T26:W26"/>
    <mergeCell ref="P22:S22"/>
    <mergeCell ref="T22:W22"/>
    <mergeCell ref="H34:K34"/>
    <mergeCell ref="T41:W41"/>
    <mergeCell ref="X4:X18"/>
    <mergeCell ref="P9:S9"/>
    <mergeCell ref="T9:W9"/>
    <mergeCell ref="P14:S14"/>
    <mergeCell ref="T14:W14"/>
    <mergeCell ref="P31:S31"/>
    <mergeCell ref="L4:O4"/>
    <mergeCell ref="P4:S4"/>
    <mergeCell ref="T4:W4"/>
    <mergeCell ref="P27:S27"/>
    <mergeCell ref="T27:W27"/>
    <mergeCell ref="L28:O28"/>
    <mergeCell ref="P28:S28"/>
    <mergeCell ref="L14:O14"/>
    <mergeCell ref="D15:W15"/>
    <mergeCell ref="D16:W16"/>
    <mergeCell ref="D29:W29"/>
    <mergeCell ref="D4:G4"/>
    <mergeCell ref="H4:K4"/>
    <mergeCell ref="H21:K21"/>
    <mergeCell ref="L21:O21"/>
    <mergeCell ref="P21:S21"/>
    <mergeCell ref="T21:W21"/>
    <mergeCell ref="D24:W24"/>
    <mergeCell ref="A5:A18"/>
    <mergeCell ref="B5:B8"/>
    <mergeCell ref="D5:W5"/>
    <mergeCell ref="D6:W6"/>
    <mergeCell ref="C7:C8"/>
    <mergeCell ref="D7:W7"/>
    <mergeCell ref="D8:W8"/>
    <mergeCell ref="D9:G9"/>
    <mergeCell ref="H9:K9"/>
    <mergeCell ref="L9:O9"/>
    <mergeCell ref="B10:B13"/>
    <mergeCell ref="D10:W10"/>
    <mergeCell ref="D11:W11"/>
    <mergeCell ref="C12:C13"/>
    <mergeCell ref="D12:W12"/>
    <mergeCell ref="D13:W13"/>
    <mergeCell ref="D14:G14"/>
    <mergeCell ref="B15:B18"/>
    <mergeCell ref="C17:C18"/>
    <mergeCell ref="D17:W17"/>
    <mergeCell ref="D18:W18"/>
    <mergeCell ref="H14:K14"/>
    <mergeCell ref="A22:A36"/>
    <mergeCell ref="B22:B25"/>
    <mergeCell ref="D22:G22"/>
    <mergeCell ref="H22:K22"/>
    <mergeCell ref="L22:O22"/>
    <mergeCell ref="B32:B33"/>
    <mergeCell ref="C35:C36"/>
    <mergeCell ref="X22:X36"/>
    <mergeCell ref="D23:G23"/>
    <mergeCell ref="H23:K23"/>
    <mergeCell ref="L23:O23"/>
    <mergeCell ref="P23:S23"/>
    <mergeCell ref="T23:W23"/>
    <mergeCell ref="T28:W28"/>
    <mergeCell ref="D25:W25"/>
    <mergeCell ref="D26:G26"/>
    <mergeCell ref="H26:K26"/>
    <mergeCell ref="T31:W31"/>
    <mergeCell ref="D27:G27"/>
    <mergeCell ref="H27:K27"/>
    <mergeCell ref="L27:O27"/>
    <mergeCell ref="D30:W30"/>
    <mergeCell ref="D31:G31"/>
    <mergeCell ref="D34:G34"/>
    <mergeCell ref="A60:A61"/>
    <mergeCell ref="B60:C60"/>
    <mergeCell ref="D60:G60"/>
    <mergeCell ref="H60:K60"/>
    <mergeCell ref="L60:O60"/>
    <mergeCell ref="B61:C61"/>
    <mergeCell ref="D61:G61"/>
    <mergeCell ref="H61:K61"/>
    <mergeCell ref="L61:O61"/>
    <mergeCell ref="B45:B48"/>
    <mergeCell ref="L45:O45"/>
    <mergeCell ref="B27:B30"/>
    <mergeCell ref="C24:C25"/>
    <mergeCell ref="C29:C30"/>
    <mergeCell ref="H31:K31"/>
    <mergeCell ref="L31:O31"/>
    <mergeCell ref="D28:G28"/>
    <mergeCell ref="H28:K28"/>
    <mergeCell ref="C47:C48"/>
    <mergeCell ref="H39:K39"/>
    <mergeCell ref="H45:K45"/>
    <mergeCell ref="D47:W47"/>
    <mergeCell ref="D48:W48"/>
    <mergeCell ref="A40:A59"/>
    <mergeCell ref="B40:B43"/>
    <mergeCell ref="D40:G40"/>
    <mergeCell ref="H40:K40"/>
    <mergeCell ref="L40:O40"/>
    <mergeCell ref="P40:S40"/>
    <mergeCell ref="C42:C43"/>
    <mergeCell ref="H44:K44"/>
    <mergeCell ref="L44:O44"/>
    <mergeCell ref="P44:S44"/>
    <mergeCell ref="C58:C59"/>
    <mergeCell ref="H51:K51"/>
    <mergeCell ref="L51:O51"/>
    <mergeCell ref="P51:S51"/>
    <mergeCell ref="D46:G46"/>
    <mergeCell ref="H46:K46"/>
    <mergeCell ref="L46:O46"/>
    <mergeCell ref="P46:S46"/>
    <mergeCell ref="D56:G56"/>
    <mergeCell ref="H57:K57"/>
    <mergeCell ref="B55:B56"/>
    <mergeCell ref="B50:B53"/>
    <mergeCell ref="C52:C53"/>
    <mergeCell ref="D52:W52"/>
    <mergeCell ref="L54:O54"/>
    <mergeCell ref="P54:S54"/>
    <mergeCell ref="T54:W54"/>
    <mergeCell ref="D57:G57"/>
    <mergeCell ref="D58:W58"/>
    <mergeCell ref="D59:W59"/>
    <mergeCell ref="X40:X59"/>
    <mergeCell ref="D41:G41"/>
    <mergeCell ref="H41:K41"/>
    <mergeCell ref="L41:O41"/>
    <mergeCell ref="P41:S41"/>
    <mergeCell ref="D50:G50"/>
    <mergeCell ref="H50:K50"/>
    <mergeCell ref="L50:O50"/>
    <mergeCell ref="P50:S50"/>
    <mergeCell ref="T50:W50"/>
    <mergeCell ref="D54:G54"/>
    <mergeCell ref="T46:W46"/>
    <mergeCell ref="L67:O67"/>
    <mergeCell ref="D77:G77"/>
    <mergeCell ref="P67:S67"/>
    <mergeCell ref="H71:K71"/>
    <mergeCell ref="L71:O71"/>
    <mergeCell ref="P71:S71"/>
    <mergeCell ref="T67:W67"/>
    <mergeCell ref="T71:W71"/>
    <mergeCell ref="L49:O49"/>
    <mergeCell ref="P49:S49"/>
    <mergeCell ref="D49:G49"/>
    <mergeCell ref="T49:W49"/>
    <mergeCell ref="H49:K49"/>
    <mergeCell ref="T51:W51"/>
    <mergeCell ref="D51:G51"/>
    <mergeCell ref="H67:K67"/>
    <mergeCell ref="D76:G76"/>
    <mergeCell ref="T73:W73"/>
    <mergeCell ref="D53:W53"/>
    <mergeCell ref="P61:S61"/>
    <mergeCell ref="T61:X61"/>
    <mergeCell ref="P60:S60"/>
    <mergeCell ref="T60:X60"/>
    <mergeCell ref="H54:K54"/>
    <mergeCell ref="A62:A63"/>
    <mergeCell ref="B62:C62"/>
    <mergeCell ref="D62:X63"/>
    <mergeCell ref="B63:C63"/>
    <mergeCell ref="D66:G66"/>
    <mergeCell ref="H66:K66"/>
    <mergeCell ref="L66:O66"/>
    <mergeCell ref="P66:S66"/>
    <mergeCell ref="T66:W66"/>
    <mergeCell ref="D80:W80"/>
    <mergeCell ref="B77:B80"/>
    <mergeCell ref="T77:W77"/>
    <mergeCell ref="H77:K77"/>
    <mergeCell ref="L77:O77"/>
    <mergeCell ref="P77:S77"/>
    <mergeCell ref="B72:B75"/>
    <mergeCell ref="P72:S72"/>
    <mergeCell ref="T72:W72"/>
    <mergeCell ref="D73:G73"/>
    <mergeCell ref="H73:K73"/>
    <mergeCell ref="L73:O73"/>
    <mergeCell ref="P73:S73"/>
    <mergeCell ref="C79:C80"/>
    <mergeCell ref="D79:W79"/>
    <mergeCell ref="L76:O76"/>
    <mergeCell ref="P76:S76"/>
    <mergeCell ref="T76:W76"/>
    <mergeCell ref="D72:G72"/>
    <mergeCell ref="H72:K72"/>
    <mergeCell ref="L72:O72"/>
    <mergeCell ref="H78:K78"/>
    <mergeCell ref="L78:O78"/>
    <mergeCell ref="P78:S78"/>
    <mergeCell ref="A67:A78"/>
    <mergeCell ref="B67:B70"/>
    <mergeCell ref="C69:C70"/>
    <mergeCell ref="C74:C75"/>
    <mergeCell ref="D74:W74"/>
    <mergeCell ref="D75:W75"/>
    <mergeCell ref="H76:K76"/>
    <mergeCell ref="P82:S82"/>
    <mergeCell ref="T82:X82"/>
    <mergeCell ref="B81:C81"/>
    <mergeCell ref="D81:G81"/>
    <mergeCell ref="H81:K81"/>
    <mergeCell ref="L81:O81"/>
    <mergeCell ref="P81:S81"/>
    <mergeCell ref="X67:X78"/>
    <mergeCell ref="D68:G68"/>
    <mergeCell ref="H68:K68"/>
    <mergeCell ref="L68:O68"/>
    <mergeCell ref="P68:S68"/>
    <mergeCell ref="T68:W68"/>
    <mergeCell ref="D69:W69"/>
    <mergeCell ref="D70:W70"/>
    <mergeCell ref="D71:G71"/>
    <mergeCell ref="D78:G78"/>
    <mergeCell ref="T78:W78"/>
    <mergeCell ref="D67:G67"/>
    <mergeCell ref="A81:A82"/>
    <mergeCell ref="L88:O88"/>
    <mergeCell ref="P88:S88"/>
    <mergeCell ref="H92:K92"/>
    <mergeCell ref="L92:O92"/>
    <mergeCell ref="D87:G87"/>
    <mergeCell ref="H87:K87"/>
    <mergeCell ref="L87:O87"/>
    <mergeCell ref="D89:G89"/>
    <mergeCell ref="H89:K89"/>
    <mergeCell ref="L89:O89"/>
    <mergeCell ref="A83:A84"/>
    <mergeCell ref="B83:C83"/>
    <mergeCell ref="D83:X84"/>
    <mergeCell ref="B84:C84"/>
    <mergeCell ref="P87:S87"/>
    <mergeCell ref="T87:W87"/>
    <mergeCell ref="T88:W88"/>
    <mergeCell ref="P89:S89"/>
    <mergeCell ref="T81:X81"/>
    <mergeCell ref="B82:C82"/>
    <mergeCell ref="D82:G82"/>
    <mergeCell ref="H82:K82"/>
    <mergeCell ref="L82:O82"/>
    <mergeCell ref="L102:O102"/>
    <mergeCell ref="P102:S102"/>
    <mergeCell ref="L94:O94"/>
    <mergeCell ref="T93:W93"/>
    <mergeCell ref="D97:G97"/>
    <mergeCell ref="H97:K97"/>
    <mergeCell ref="L97:O97"/>
    <mergeCell ref="T89:W89"/>
    <mergeCell ref="D98:G98"/>
    <mergeCell ref="H98:K98"/>
    <mergeCell ref="L98:O98"/>
    <mergeCell ref="P98:S98"/>
    <mergeCell ref="P97:S97"/>
    <mergeCell ref="T97:W97"/>
    <mergeCell ref="A88:A99"/>
    <mergeCell ref="B88:B91"/>
    <mergeCell ref="C90:C91"/>
    <mergeCell ref="D99:G99"/>
    <mergeCell ref="H99:K99"/>
    <mergeCell ref="D94:G94"/>
    <mergeCell ref="A102:A103"/>
    <mergeCell ref="B102:C102"/>
    <mergeCell ref="D102:G102"/>
    <mergeCell ref="H102:K102"/>
    <mergeCell ref="H94:K94"/>
    <mergeCell ref="D90:W90"/>
    <mergeCell ref="D91:W91"/>
    <mergeCell ref="D92:G92"/>
    <mergeCell ref="D88:G88"/>
    <mergeCell ref="H88:K88"/>
    <mergeCell ref="B93:B96"/>
    <mergeCell ref="D93:G93"/>
    <mergeCell ref="H93:K93"/>
    <mergeCell ref="L93:O93"/>
    <mergeCell ref="P93:S93"/>
    <mergeCell ref="D95:W95"/>
    <mergeCell ref="D96:W96"/>
    <mergeCell ref="B98:B101"/>
    <mergeCell ref="A104:A105"/>
    <mergeCell ref="B104:C104"/>
    <mergeCell ref="D104:X105"/>
    <mergeCell ref="B105:C105"/>
    <mergeCell ref="T99:W99"/>
    <mergeCell ref="C100:C101"/>
    <mergeCell ref="D100:W100"/>
    <mergeCell ref="D101:W101"/>
    <mergeCell ref="X88:X99"/>
    <mergeCell ref="P92:S92"/>
    <mergeCell ref="T92:W92"/>
    <mergeCell ref="T98:W98"/>
    <mergeCell ref="T94:W94"/>
    <mergeCell ref="C95:C96"/>
    <mergeCell ref="L99:O99"/>
    <mergeCell ref="T102:X102"/>
    <mergeCell ref="B103:C103"/>
    <mergeCell ref="D103:G103"/>
    <mergeCell ref="H103:K103"/>
    <mergeCell ref="L103:O103"/>
    <mergeCell ref="P103:S103"/>
    <mergeCell ref="T103:X103"/>
    <mergeCell ref="P99:S99"/>
    <mergeCell ref="P94:S94"/>
    <mergeCell ref="D108:G108"/>
    <mergeCell ref="H108:K108"/>
    <mergeCell ref="L108:O108"/>
    <mergeCell ref="P108:S108"/>
    <mergeCell ref="B115:B116"/>
    <mergeCell ref="T108:W108"/>
    <mergeCell ref="B121:B124"/>
    <mergeCell ref="D121:E121"/>
    <mergeCell ref="F121:G121"/>
    <mergeCell ref="H121:I121"/>
    <mergeCell ref="J121:K121"/>
    <mergeCell ref="D110:G110"/>
    <mergeCell ref="D116:G116"/>
    <mergeCell ref="D114:G114"/>
    <mergeCell ref="D117:G117"/>
    <mergeCell ref="P114:S114"/>
    <mergeCell ref="T114:W114"/>
    <mergeCell ref="V121:W121"/>
    <mergeCell ref="H117:K117"/>
    <mergeCell ref="C118:C119"/>
    <mergeCell ref="D118:W118"/>
    <mergeCell ref="D119:W119"/>
    <mergeCell ref="L114:O114"/>
    <mergeCell ref="H111:K111"/>
    <mergeCell ref="H114:K114"/>
    <mergeCell ref="L120:O120"/>
    <mergeCell ref="P120:S120"/>
    <mergeCell ref="T120:W120"/>
    <mergeCell ref="T122:U122"/>
    <mergeCell ref="V122:W122"/>
    <mergeCell ref="L121:M121"/>
    <mergeCell ref="N121:O121"/>
    <mergeCell ref="P121:Q121"/>
    <mergeCell ref="R121:S121"/>
    <mergeCell ref="T121:U121"/>
    <mergeCell ref="D112:W112"/>
    <mergeCell ref="D113:W113"/>
    <mergeCell ref="T127:W127"/>
    <mergeCell ref="D128:G128"/>
    <mergeCell ref="H128:K128"/>
    <mergeCell ref="L128:O128"/>
    <mergeCell ref="V123:W123"/>
    <mergeCell ref="D122:G122"/>
    <mergeCell ref="H122:K122"/>
    <mergeCell ref="L122:M122"/>
    <mergeCell ref="N122:O122"/>
    <mergeCell ref="P122:Q122"/>
    <mergeCell ref="R122:S122"/>
    <mergeCell ref="D123:G123"/>
    <mergeCell ref="H123:K123"/>
    <mergeCell ref="L123:O123"/>
    <mergeCell ref="P123:Q123"/>
    <mergeCell ref="R123:S123"/>
    <mergeCell ref="T123:U123"/>
    <mergeCell ref="D120:G120"/>
    <mergeCell ref="H120:K120"/>
    <mergeCell ref="P126:S126"/>
    <mergeCell ref="T126:W126"/>
    <mergeCell ref="T128:W128"/>
    <mergeCell ref="X109:X128"/>
    <mergeCell ref="A133:A134"/>
    <mergeCell ref="B133:C133"/>
    <mergeCell ref="D133:X134"/>
    <mergeCell ref="B134:C134"/>
    <mergeCell ref="P131:S131"/>
    <mergeCell ref="B127:B130"/>
    <mergeCell ref="P128:S128"/>
    <mergeCell ref="C124:C125"/>
    <mergeCell ref="D124:W124"/>
    <mergeCell ref="D125:W125"/>
    <mergeCell ref="D126:G126"/>
    <mergeCell ref="H126:K126"/>
    <mergeCell ref="L126:O126"/>
    <mergeCell ref="D127:G127"/>
    <mergeCell ref="H127:K127"/>
    <mergeCell ref="L127:O127"/>
    <mergeCell ref="L132:O132"/>
    <mergeCell ref="P132:S132"/>
    <mergeCell ref="T132:X132"/>
    <mergeCell ref="A109:A128"/>
    <mergeCell ref="B109:B110"/>
    <mergeCell ref="D111:G111"/>
    <mergeCell ref="C112:C113"/>
    <mergeCell ref="T137:W137"/>
    <mergeCell ref="A131:A132"/>
    <mergeCell ref="B131:C131"/>
    <mergeCell ref="D131:G131"/>
    <mergeCell ref="H131:K131"/>
    <mergeCell ref="L131:O131"/>
    <mergeCell ref="T131:X131"/>
    <mergeCell ref="B132:C132"/>
    <mergeCell ref="D132:G132"/>
    <mergeCell ref="H132:K132"/>
    <mergeCell ref="P127:S127"/>
    <mergeCell ref="A138:A160"/>
    <mergeCell ref="B138:B141"/>
    <mergeCell ref="D138:G138"/>
    <mergeCell ref="H138:K138"/>
    <mergeCell ref="L138:O138"/>
    <mergeCell ref="P138:S138"/>
    <mergeCell ref="C140:C141"/>
    <mergeCell ref="H142:K142"/>
    <mergeCell ref="L142:O142"/>
    <mergeCell ref="D137:G137"/>
    <mergeCell ref="H137:K137"/>
    <mergeCell ref="L137:O137"/>
    <mergeCell ref="P137:S137"/>
    <mergeCell ref="C129:C130"/>
    <mergeCell ref="D129:W129"/>
    <mergeCell ref="D130:W130"/>
    <mergeCell ref="D159:G159"/>
    <mergeCell ref="P143:S143"/>
    <mergeCell ref="D147:G147"/>
    <mergeCell ref="P149:S149"/>
    <mergeCell ref="P142:S142"/>
    <mergeCell ref="B143:B146"/>
    <mergeCell ref="C145:C146"/>
    <mergeCell ref="B148:B151"/>
    <mergeCell ref="D148:G148"/>
    <mergeCell ref="H148:K148"/>
    <mergeCell ref="L148:O148"/>
    <mergeCell ref="P148:S148"/>
    <mergeCell ref="C150:C151"/>
    <mergeCell ref="D150:W150"/>
    <mergeCell ref="D151:W151"/>
    <mergeCell ref="H144:K144"/>
    <mergeCell ref="L144:O144"/>
    <mergeCell ref="P144:S144"/>
    <mergeCell ref="T144:W144"/>
    <mergeCell ref="T147:W147"/>
    <mergeCell ref="T138:W138"/>
    <mergeCell ref="D143:G143"/>
    <mergeCell ref="H143:K143"/>
    <mergeCell ref="L143:O143"/>
    <mergeCell ref="T148:W148"/>
    <mergeCell ref="D149:G149"/>
    <mergeCell ref="H149:K149"/>
    <mergeCell ref="L149:O149"/>
    <mergeCell ref="T149:W149"/>
    <mergeCell ref="D145:W145"/>
    <mergeCell ref="D146:W146"/>
    <mergeCell ref="H147:K147"/>
    <mergeCell ref="L147:O147"/>
    <mergeCell ref="P147:S147"/>
    <mergeCell ref="T143:W143"/>
    <mergeCell ref="D144:G144"/>
    <mergeCell ref="P139:S139"/>
    <mergeCell ref="T139:W139"/>
    <mergeCell ref="D140:W140"/>
    <mergeCell ref="D141:W141"/>
    <mergeCell ref="D142:G142"/>
    <mergeCell ref="T142:W142"/>
    <mergeCell ref="H157:K157"/>
    <mergeCell ref="L157:O157"/>
    <mergeCell ref="P157:S157"/>
    <mergeCell ref="T153:W153"/>
    <mergeCell ref="D154:G154"/>
    <mergeCell ref="H154:K154"/>
    <mergeCell ref="L154:O154"/>
    <mergeCell ref="P154:S154"/>
    <mergeCell ref="T154:W154"/>
    <mergeCell ref="T157:W157"/>
    <mergeCell ref="D157:G157"/>
    <mergeCell ref="T152:W152"/>
    <mergeCell ref="B153:B156"/>
    <mergeCell ref="D153:G153"/>
    <mergeCell ref="H153:K153"/>
    <mergeCell ref="L153:O153"/>
    <mergeCell ref="P153:S153"/>
    <mergeCell ref="D152:G152"/>
    <mergeCell ref="H152:K152"/>
    <mergeCell ref="L152:O152"/>
    <mergeCell ref="P152:S152"/>
    <mergeCell ref="C155:C156"/>
    <mergeCell ref="D155:W155"/>
    <mergeCell ref="D156:W156"/>
    <mergeCell ref="P158:Q158"/>
    <mergeCell ref="R158:S158"/>
    <mergeCell ref="T158:U158"/>
    <mergeCell ref="V158:W158"/>
    <mergeCell ref="B161:B162"/>
    <mergeCell ref="C161:C162"/>
    <mergeCell ref="D161:W161"/>
    <mergeCell ref="D162:W162"/>
    <mergeCell ref="B158:B160"/>
    <mergeCell ref="H159:I159"/>
    <mergeCell ref="J159:K159"/>
    <mergeCell ref="L159:M159"/>
    <mergeCell ref="D158:E158"/>
    <mergeCell ref="F158:G158"/>
    <mergeCell ref="H158:I158"/>
    <mergeCell ref="J158:K158"/>
    <mergeCell ref="L158:M158"/>
    <mergeCell ref="N159:O159"/>
    <mergeCell ref="P159:Q159"/>
    <mergeCell ref="R159:S159"/>
    <mergeCell ref="T159:U159"/>
    <mergeCell ref="V159:W159"/>
    <mergeCell ref="D160:G160"/>
    <mergeCell ref="R160:S160"/>
    <mergeCell ref="H160:K160"/>
    <mergeCell ref="L160:M160"/>
    <mergeCell ref="N160:O160"/>
    <mergeCell ref="P160:Q160"/>
    <mergeCell ref="T160:U160"/>
    <mergeCell ref="V160:W160"/>
    <mergeCell ref="A163:A164"/>
    <mergeCell ref="B163:C163"/>
    <mergeCell ref="D163:G163"/>
    <mergeCell ref="H163:K163"/>
    <mergeCell ref="L163:O163"/>
    <mergeCell ref="P163:S163"/>
    <mergeCell ref="T163:X163"/>
    <mergeCell ref="B164:C164"/>
    <mergeCell ref="D164:G164"/>
    <mergeCell ref="H164:K164"/>
    <mergeCell ref="L164:O164"/>
    <mergeCell ref="P164:S164"/>
    <mergeCell ref="T164:X164"/>
    <mergeCell ref="X138:X160"/>
    <mergeCell ref="D139:G139"/>
    <mergeCell ref="H139:K139"/>
    <mergeCell ref="L139:O139"/>
    <mergeCell ref="N158:O158"/>
    <mergeCell ref="A165:A166"/>
    <mergeCell ref="B165:C165"/>
    <mergeCell ref="D165:X166"/>
    <mergeCell ref="B166:C166"/>
    <mergeCell ref="D169:G169"/>
    <mergeCell ref="H169:K169"/>
    <mergeCell ref="L169:O169"/>
    <mergeCell ref="P169:S169"/>
    <mergeCell ref="T169:W169"/>
    <mergeCell ref="P175:S175"/>
    <mergeCell ref="T175:W175"/>
    <mergeCell ref="D176:G176"/>
    <mergeCell ref="H176:K176"/>
    <mergeCell ref="L176:O176"/>
    <mergeCell ref="L175:O175"/>
    <mergeCell ref="L170:O170"/>
    <mergeCell ref="D173:W173"/>
    <mergeCell ref="D170:G170"/>
    <mergeCell ref="D171:G171"/>
    <mergeCell ref="H171:K171"/>
    <mergeCell ref="L171:O171"/>
    <mergeCell ref="P171:S171"/>
    <mergeCell ref="X170:X184"/>
    <mergeCell ref="D172:G172"/>
    <mergeCell ref="H172:K172"/>
    <mergeCell ref="L172:O172"/>
    <mergeCell ref="C173:C174"/>
    <mergeCell ref="D174:W174"/>
    <mergeCell ref="B176:B180"/>
    <mergeCell ref="D177:G177"/>
    <mergeCell ref="H177:K177"/>
    <mergeCell ref="L177:O177"/>
    <mergeCell ref="P177:S177"/>
    <mergeCell ref="D178:G178"/>
    <mergeCell ref="H178:K178"/>
    <mergeCell ref="L178:O178"/>
    <mergeCell ref="C179:C180"/>
    <mergeCell ref="D179:W179"/>
    <mergeCell ref="D180:W180"/>
    <mergeCell ref="D181:G181"/>
    <mergeCell ref="H181:K181"/>
    <mergeCell ref="L181:O181"/>
    <mergeCell ref="P181:S181"/>
    <mergeCell ref="T181:W181"/>
    <mergeCell ref="D175:G175"/>
    <mergeCell ref="H175:K175"/>
    <mergeCell ref="L182:O182"/>
    <mergeCell ref="D183:G183"/>
    <mergeCell ref="H183:K183"/>
    <mergeCell ref="L183:O183"/>
    <mergeCell ref="D184:G184"/>
    <mergeCell ref="H184:K184"/>
    <mergeCell ref="L184:O184"/>
    <mergeCell ref="A170:A184"/>
    <mergeCell ref="B170:B174"/>
    <mergeCell ref="H170:K170"/>
    <mergeCell ref="A189:A190"/>
    <mergeCell ref="B189:C189"/>
    <mergeCell ref="D189:X190"/>
    <mergeCell ref="B190:C190"/>
    <mergeCell ref="P184:S184"/>
    <mergeCell ref="C185:C186"/>
    <mergeCell ref="D185:W185"/>
    <mergeCell ref="D186:W186"/>
    <mergeCell ref="A187:A188"/>
    <mergeCell ref="B187:C187"/>
    <mergeCell ref="D187:G187"/>
    <mergeCell ref="H187:K187"/>
    <mergeCell ref="L187:O187"/>
    <mergeCell ref="P187:S187"/>
    <mergeCell ref="T187:X187"/>
    <mergeCell ref="B188:C188"/>
    <mergeCell ref="D188:G188"/>
    <mergeCell ref="H188:K188"/>
    <mergeCell ref="L188:O188"/>
    <mergeCell ref="P188:S188"/>
    <mergeCell ref="T188:X188"/>
    <mergeCell ref="B182:B186"/>
    <mergeCell ref="D182:G182"/>
    <mergeCell ref="H182:K182"/>
  </mergeCells>
  <hyperlinks>
    <hyperlink ref="C24" location="Reference!C12" display="press for guidance"/>
    <hyperlink ref="C25" location="Reference!C12" display="Reference!C12"/>
    <hyperlink ref="C17" location="Reference!C10" display="press for guidance"/>
    <hyperlink ref="C18" location="Reference!C10" display="Reference!C10"/>
    <hyperlink ref="C12" location="Reference!C8" display="press for guidance"/>
    <hyperlink ref="C13" location="Reference!C8" display="Reference!C8"/>
    <hyperlink ref="C7" location="Reference!C6" display="press for guidance"/>
    <hyperlink ref="C8" location="Reference!C6" display="Reference!C6"/>
    <hyperlink ref="C29" location="Reference!C14" display="press for guidance"/>
    <hyperlink ref="C30" location="Reference!C14" display="Reference!C14"/>
    <hyperlink ref="C35" location="Reference!C16" display="press for guidance"/>
    <hyperlink ref="C36" location="Reference!C16" display="Reference!C16"/>
    <hyperlink ref="C42" location="Reference!C18" display="press for guidance"/>
    <hyperlink ref="C43" location="Reference!C18" display="Reference!C18"/>
    <hyperlink ref="C47" location="Reference!C20" display="press for guidance"/>
    <hyperlink ref="C48" location="Reference!C20" display="Reference!C20"/>
    <hyperlink ref="C52" location="Reference!C22" display="press for guidance"/>
    <hyperlink ref="C53" location="Reference!C22" display="Reference!C22"/>
    <hyperlink ref="C58" location="Reference!C24" display="press for guidance"/>
    <hyperlink ref="C59" location="Reference!C24" display="Reference!C24"/>
    <hyperlink ref="C69" location="Reference!C26" display="press for guidance"/>
    <hyperlink ref="C70" location="Reference!C26" display="Reference!C26"/>
    <hyperlink ref="C74" location="Reference!C28" display="press for guidance"/>
    <hyperlink ref="C75" location="Reference!C28" display="Reference!C28"/>
    <hyperlink ref="C79" location="Reference!C30" display="press for guidance"/>
    <hyperlink ref="C80" location="Reference!C30" display="Reference!C30"/>
    <hyperlink ref="C90" location="Reference!C32" display="press for guidance"/>
    <hyperlink ref="C91" location="Reference!C32" display="Reference!C32"/>
    <hyperlink ref="C95" location="Reference'C34" display="press for guidance"/>
    <hyperlink ref="C96" location="Reference'C34" display="Reference'C34"/>
    <hyperlink ref="C100" location="Reference!C36" display="press for guidance"/>
    <hyperlink ref="C101" location="Reference!C36" display="Reference!C36"/>
    <hyperlink ref="C112" location="Reference!C38" display="press for guidance"/>
    <hyperlink ref="C113" location="Reference!C38" display="Reference!C38"/>
    <hyperlink ref="C118" location="Reference!C40" display="press for guidance"/>
    <hyperlink ref="C119" location="Reference!C40" display="Reference!C40"/>
    <hyperlink ref="C124" location="Reference!C42" display="press for guidance"/>
    <hyperlink ref="C125" location="Reference!C42" display="Reference!C42"/>
    <hyperlink ref="C129" location="Reference!C44" display="press for guidance"/>
    <hyperlink ref="C130" location="Reference!C44" display="Reference!C44"/>
    <hyperlink ref="C140" location="Reference!C46" display="press for guidance"/>
    <hyperlink ref="C141" location="Reference!C46" display="Reference!C46"/>
    <hyperlink ref="C145" location="Reference!C48" display="press for guidance"/>
    <hyperlink ref="C146" location="Reference!C48" display="Reference!C48"/>
    <hyperlink ref="C150" location="Reference!C50" display="press for guidance"/>
    <hyperlink ref="C151" location="Reference!C50" display="Reference!C50"/>
    <hyperlink ref="C155" location="Reference!C52" display="press for guidance"/>
    <hyperlink ref="C156" location="Reference!C52" display="Reference!C52"/>
    <hyperlink ref="C161" location="Reference!C54" display="press for guidance"/>
    <hyperlink ref="C162" location="Reference!C54" display="Reference!C54"/>
    <hyperlink ref="C173" location="Reference!C71" display="★ click here for guidance"/>
    <hyperlink ref="C174" location="Reference!C71" display="Reference!C71"/>
    <hyperlink ref="C179" location="Reference!C73" display="★ click here for guidance"/>
    <hyperlink ref="C180" location="Reference!C73" display="Reference!C73"/>
    <hyperlink ref="C185" location="Reference!C75" display="★ click here for guidance"/>
    <hyperlink ref="C186" location="Reference!C75" display="Reference!C75"/>
  </hyperlinks>
  <pageMargins left="0.79000000000000015" right="0.79000000000000015" top="0.79000000000000015" bottom="0.79000000000000015" header="0.39000000000000007" footer="0.39000000000000007"/>
  <pageSetup paperSize="9" scale="55" fitToHeight="3" orientation="landscape"/>
  <headerFooter>
    <oddFooter>&amp;L&amp;K000000&amp;F&amp;C&amp;K000000&amp;D&amp;R&amp;K000000Page &amp;P</oddFooter>
  </headerFooter>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pageSetUpPr fitToPage="1"/>
  </sheetPr>
  <dimension ref="A1:X190"/>
  <sheetViews>
    <sheetView workbookViewId="0">
      <pane xSplit="2" ySplit="1" topLeftCell="C2" activePane="bottomRight" state="frozen"/>
      <selection activeCell="D136" sqref="D136:W136"/>
      <selection pane="topRight" activeCell="D136" sqref="D136:W136"/>
      <selection pane="bottomLeft" activeCell="D136" sqref="D136:W136"/>
      <selection pane="bottomRight" activeCell="D136" sqref="D136:W136"/>
    </sheetView>
  </sheetViews>
  <sheetFormatPr defaultColWidth="8.85546875" defaultRowHeight="12.75"/>
  <cols>
    <col min="1" max="1" width="20.85546875" style="4" customWidth="1"/>
    <col min="2" max="2" width="40.85546875" style="4" customWidth="1"/>
    <col min="3" max="3" width="10.85546875" style="27" customWidth="1"/>
    <col min="4" max="23" width="5.85546875" style="4" customWidth="1"/>
    <col min="24" max="24" width="30.85546875" style="4" customWidth="1"/>
    <col min="25" max="16384" width="8.85546875" style="4"/>
  </cols>
  <sheetData>
    <row r="1" spans="1:24" s="67" customFormat="1" ht="32.25" thickBot="1">
      <c r="A1" s="3" t="s">
        <v>0</v>
      </c>
      <c r="B1" s="64" t="s">
        <v>231</v>
      </c>
      <c r="C1" s="65" t="s">
        <v>279</v>
      </c>
      <c r="D1" s="65"/>
      <c r="E1" s="65"/>
      <c r="F1" s="65"/>
      <c r="G1" s="65"/>
      <c r="H1" s="65"/>
      <c r="I1" s="65"/>
      <c r="J1" s="65"/>
      <c r="K1" s="65"/>
      <c r="L1" s="65"/>
      <c r="M1" s="65"/>
      <c r="N1" s="65"/>
      <c r="O1" s="65"/>
      <c r="P1" s="65"/>
      <c r="Q1" s="65"/>
      <c r="R1" s="65"/>
      <c r="S1" s="65"/>
      <c r="T1" s="65"/>
      <c r="U1" s="65"/>
      <c r="V1" s="65"/>
      <c r="W1" s="65"/>
      <c r="X1" s="66"/>
    </row>
    <row r="2" spans="1:24">
      <c r="A2" s="5"/>
      <c r="B2" s="5"/>
      <c r="C2" s="6"/>
      <c r="D2" s="5"/>
      <c r="E2" s="5"/>
      <c r="F2" s="5"/>
      <c r="G2" s="5"/>
      <c r="H2" s="5"/>
      <c r="I2" s="5"/>
      <c r="J2" s="5"/>
      <c r="K2" s="5"/>
      <c r="L2" s="5"/>
      <c r="M2" s="5"/>
      <c r="N2" s="5"/>
      <c r="O2" s="5"/>
      <c r="P2" s="5"/>
      <c r="Q2" s="5"/>
      <c r="R2" s="5"/>
      <c r="S2" s="5"/>
      <c r="T2" s="5"/>
      <c r="U2" s="5"/>
      <c r="V2" s="5"/>
      <c r="W2" s="5"/>
      <c r="X2" s="5"/>
    </row>
    <row r="3" spans="1:24" ht="13.5" thickBot="1">
      <c r="A3" s="5"/>
      <c r="B3" s="5"/>
      <c r="C3" s="6"/>
      <c r="D3" s="5"/>
      <c r="E3" s="5"/>
      <c r="F3" s="5"/>
      <c r="G3" s="5"/>
      <c r="H3" s="5"/>
      <c r="I3" s="5"/>
      <c r="J3" s="5"/>
      <c r="K3" s="5"/>
      <c r="L3" s="5"/>
      <c r="M3" s="5"/>
      <c r="N3" s="5"/>
      <c r="O3" s="5"/>
      <c r="P3" s="5"/>
      <c r="Q3" s="5"/>
      <c r="R3" s="5"/>
      <c r="S3" s="5"/>
      <c r="T3" s="5"/>
      <c r="U3" s="5"/>
      <c r="V3" s="5"/>
      <c r="W3" s="5"/>
      <c r="X3" s="5"/>
    </row>
    <row r="4" spans="1:24" ht="12.95" customHeight="1" thickBot="1">
      <c r="A4" s="7" t="s">
        <v>50</v>
      </c>
      <c r="B4" s="97" t="s">
        <v>51</v>
      </c>
      <c r="C4" s="8"/>
      <c r="D4" s="927" t="s">
        <v>79</v>
      </c>
      <c r="E4" s="928"/>
      <c r="F4" s="928"/>
      <c r="G4" s="929"/>
      <c r="H4" s="927" t="s">
        <v>80</v>
      </c>
      <c r="I4" s="928"/>
      <c r="J4" s="928"/>
      <c r="K4" s="929"/>
      <c r="L4" s="927" t="s">
        <v>81</v>
      </c>
      <c r="M4" s="928"/>
      <c r="N4" s="928"/>
      <c r="O4" s="929"/>
      <c r="P4" s="927" t="s">
        <v>254</v>
      </c>
      <c r="Q4" s="928"/>
      <c r="R4" s="928"/>
      <c r="S4" s="929"/>
      <c r="T4" s="927" t="s">
        <v>76</v>
      </c>
      <c r="U4" s="928"/>
      <c r="V4" s="928"/>
      <c r="W4" s="929"/>
      <c r="X4" s="991"/>
    </row>
    <row r="5" spans="1:24" ht="13.5" thickBot="1">
      <c r="A5" s="868" t="s">
        <v>43</v>
      </c>
      <c r="B5" s="868" t="s">
        <v>46</v>
      </c>
      <c r="C5" s="9" t="s">
        <v>2</v>
      </c>
      <c r="D5" s="983" t="s">
        <v>82</v>
      </c>
      <c r="E5" s="984"/>
      <c r="F5" s="984"/>
      <c r="G5" s="984"/>
      <c r="H5" s="984"/>
      <c r="I5" s="984"/>
      <c r="J5" s="984"/>
      <c r="K5" s="984"/>
      <c r="L5" s="984"/>
      <c r="M5" s="984"/>
      <c r="N5" s="984"/>
      <c r="O5" s="984"/>
      <c r="P5" s="984"/>
      <c r="Q5" s="984"/>
      <c r="R5" s="984"/>
      <c r="S5" s="984"/>
      <c r="T5" s="984"/>
      <c r="U5" s="984"/>
      <c r="V5" s="984"/>
      <c r="W5" s="985"/>
      <c r="X5" s="992"/>
    </row>
    <row r="6" spans="1:24" ht="13.5" thickBot="1">
      <c r="A6" s="885"/>
      <c r="B6" s="885"/>
      <c r="C6" s="10" t="s">
        <v>3</v>
      </c>
      <c r="D6" s="986"/>
      <c r="E6" s="987"/>
      <c r="F6" s="987"/>
      <c r="G6" s="987"/>
      <c r="H6" s="987"/>
      <c r="I6" s="987"/>
      <c r="J6" s="987"/>
      <c r="K6" s="987"/>
      <c r="L6" s="987"/>
      <c r="M6" s="987"/>
      <c r="N6" s="987"/>
      <c r="O6" s="987"/>
      <c r="P6" s="987"/>
      <c r="Q6" s="987"/>
      <c r="R6" s="987"/>
      <c r="S6" s="987"/>
      <c r="T6" s="987"/>
      <c r="U6" s="987"/>
      <c r="V6" s="987"/>
      <c r="W6" s="988"/>
      <c r="X6" s="992"/>
    </row>
    <row r="7" spans="1:24" ht="12.95" customHeight="1" thickBot="1">
      <c r="A7" s="885"/>
      <c r="B7" s="885"/>
      <c r="C7" s="1278" t="s">
        <v>170</v>
      </c>
      <c r="D7" s="989" t="s">
        <v>4</v>
      </c>
      <c r="E7" s="990"/>
      <c r="F7" s="990"/>
      <c r="G7" s="990"/>
      <c r="H7" s="990"/>
      <c r="I7" s="990"/>
      <c r="J7" s="990"/>
      <c r="K7" s="990"/>
      <c r="L7" s="990"/>
      <c r="M7" s="990"/>
      <c r="N7" s="990"/>
      <c r="O7" s="990"/>
      <c r="P7" s="990"/>
      <c r="Q7" s="990"/>
      <c r="R7" s="990"/>
      <c r="S7" s="990"/>
      <c r="T7" s="990"/>
      <c r="U7" s="990"/>
      <c r="V7" s="990"/>
      <c r="W7" s="990"/>
      <c r="X7" s="992"/>
    </row>
    <row r="8" spans="1:24" ht="12.95" customHeight="1" thickBot="1">
      <c r="A8" s="885"/>
      <c r="B8" s="869"/>
      <c r="C8" s="1279"/>
      <c r="D8" s="930" t="s">
        <v>85</v>
      </c>
      <c r="E8" s="931"/>
      <c r="F8" s="931"/>
      <c r="G8" s="931"/>
      <c r="H8" s="931"/>
      <c r="I8" s="931"/>
      <c r="J8" s="931"/>
      <c r="K8" s="931"/>
      <c r="L8" s="931"/>
      <c r="M8" s="931"/>
      <c r="N8" s="931"/>
      <c r="O8" s="931"/>
      <c r="P8" s="931"/>
      <c r="Q8" s="931"/>
      <c r="R8" s="931"/>
      <c r="S8" s="931"/>
      <c r="T8" s="931"/>
      <c r="U8" s="931"/>
      <c r="V8" s="931"/>
      <c r="W8" s="932"/>
      <c r="X8" s="992"/>
    </row>
    <row r="9" spans="1:24" ht="12.95" customHeight="1" thickBot="1">
      <c r="A9" s="885"/>
      <c r="B9" s="11" t="s">
        <v>52</v>
      </c>
      <c r="C9" s="12"/>
      <c r="D9" s="927" t="s">
        <v>79</v>
      </c>
      <c r="E9" s="928"/>
      <c r="F9" s="928"/>
      <c r="G9" s="929"/>
      <c r="H9" s="927" t="s">
        <v>80</v>
      </c>
      <c r="I9" s="928"/>
      <c r="J9" s="928"/>
      <c r="K9" s="929"/>
      <c r="L9" s="927" t="s">
        <v>81</v>
      </c>
      <c r="M9" s="928"/>
      <c r="N9" s="928"/>
      <c r="O9" s="929"/>
      <c r="P9" s="927" t="s">
        <v>254</v>
      </c>
      <c r="Q9" s="928"/>
      <c r="R9" s="928"/>
      <c r="S9" s="929"/>
      <c r="T9" s="927" t="s">
        <v>76</v>
      </c>
      <c r="U9" s="928"/>
      <c r="V9" s="928"/>
      <c r="W9" s="929"/>
      <c r="X9" s="992"/>
    </row>
    <row r="10" spans="1:24" ht="36" customHeight="1" thickBot="1">
      <c r="A10" s="885"/>
      <c r="B10" s="868" t="s">
        <v>45</v>
      </c>
      <c r="C10" s="13" t="s">
        <v>2</v>
      </c>
      <c r="D10" s="930" t="s">
        <v>86</v>
      </c>
      <c r="E10" s="931"/>
      <c r="F10" s="931"/>
      <c r="G10" s="931"/>
      <c r="H10" s="931"/>
      <c r="I10" s="931"/>
      <c r="J10" s="931"/>
      <c r="K10" s="931"/>
      <c r="L10" s="931"/>
      <c r="M10" s="931"/>
      <c r="N10" s="931"/>
      <c r="O10" s="931"/>
      <c r="P10" s="931"/>
      <c r="Q10" s="931"/>
      <c r="R10" s="931"/>
      <c r="S10" s="931"/>
      <c r="T10" s="931"/>
      <c r="U10" s="931"/>
      <c r="V10" s="931"/>
      <c r="W10" s="932"/>
      <c r="X10" s="992"/>
    </row>
    <row r="11" spans="1:24" ht="13.5" thickBot="1">
      <c r="A11" s="885"/>
      <c r="B11" s="885"/>
      <c r="C11" s="10" t="s">
        <v>3</v>
      </c>
      <c r="D11" s="986"/>
      <c r="E11" s="987"/>
      <c r="F11" s="987"/>
      <c r="G11" s="987"/>
      <c r="H11" s="987"/>
      <c r="I11" s="987"/>
      <c r="J11" s="987"/>
      <c r="K11" s="987"/>
      <c r="L11" s="987"/>
      <c r="M11" s="987"/>
      <c r="N11" s="987"/>
      <c r="O11" s="987"/>
      <c r="P11" s="987"/>
      <c r="Q11" s="987"/>
      <c r="R11" s="987"/>
      <c r="S11" s="987"/>
      <c r="T11" s="987"/>
      <c r="U11" s="987"/>
      <c r="V11" s="987"/>
      <c r="W11" s="988"/>
      <c r="X11" s="992"/>
    </row>
    <row r="12" spans="1:24" ht="12.95" customHeight="1" thickBot="1">
      <c r="A12" s="885"/>
      <c r="B12" s="885"/>
      <c r="C12" s="1258" t="s">
        <v>170</v>
      </c>
      <c r="D12" s="927" t="s">
        <v>4</v>
      </c>
      <c r="E12" s="928"/>
      <c r="F12" s="928"/>
      <c r="G12" s="928"/>
      <c r="H12" s="928"/>
      <c r="I12" s="928"/>
      <c r="J12" s="928"/>
      <c r="K12" s="928"/>
      <c r="L12" s="928"/>
      <c r="M12" s="928"/>
      <c r="N12" s="928"/>
      <c r="O12" s="928"/>
      <c r="P12" s="928"/>
      <c r="Q12" s="928"/>
      <c r="R12" s="928"/>
      <c r="S12" s="928"/>
      <c r="T12" s="928"/>
      <c r="U12" s="928"/>
      <c r="V12" s="928"/>
      <c r="W12" s="928"/>
      <c r="X12" s="992"/>
    </row>
    <row r="13" spans="1:24" ht="24" customHeight="1" thickBot="1">
      <c r="A13" s="885"/>
      <c r="B13" s="869"/>
      <c r="C13" s="1259"/>
      <c r="D13" s="930" t="s">
        <v>87</v>
      </c>
      <c r="E13" s="931"/>
      <c r="F13" s="931"/>
      <c r="G13" s="931"/>
      <c r="H13" s="931"/>
      <c r="I13" s="931"/>
      <c r="J13" s="931"/>
      <c r="K13" s="931"/>
      <c r="L13" s="931"/>
      <c r="M13" s="931"/>
      <c r="N13" s="931"/>
      <c r="O13" s="931"/>
      <c r="P13" s="931"/>
      <c r="Q13" s="931"/>
      <c r="R13" s="931"/>
      <c r="S13" s="931"/>
      <c r="T13" s="931"/>
      <c r="U13" s="931"/>
      <c r="V13" s="931"/>
      <c r="W13" s="932"/>
      <c r="X13" s="992"/>
    </row>
    <row r="14" spans="1:24" ht="12.95" customHeight="1" thickBot="1">
      <c r="A14" s="885"/>
      <c r="B14" s="11" t="s">
        <v>53</v>
      </c>
      <c r="C14" s="12"/>
      <c r="D14" s="927" t="s">
        <v>79</v>
      </c>
      <c r="E14" s="928"/>
      <c r="F14" s="928"/>
      <c r="G14" s="929"/>
      <c r="H14" s="927" t="s">
        <v>80</v>
      </c>
      <c r="I14" s="928"/>
      <c r="J14" s="928"/>
      <c r="K14" s="929"/>
      <c r="L14" s="927" t="s">
        <v>81</v>
      </c>
      <c r="M14" s="928"/>
      <c r="N14" s="928"/>
      <c r="O14" s="929"/>
      <c r="P14" s="927" t="s">
        <v>254</v>
      </c>
      <c r="Q14" s="928"/>
      <c r="R14" s="928"/>
      <c r="S14" s="929"/>
      <c r="T14" s="927" t="s">
        <v>76</v>
      </c>
      <c r="U14" s="928"/>
      <c r="V14" s="928"/>
      <c r="W14" s="929"/>
      <c r="X14" s="992"/>
    </row>
    <row r="15" spans="1:24" ht="12.95" customHeight="1" thickBot="1">
      <c r="A15" s="885"/>
      <c r="B15" s="868" t="s">
        <v>44</v>
      </c>
      <c r="C15" s="9" t="s">
        <v>2</v>
      </c>
      <c r="D15" s="930" t="s">
        <v>83</v>
      </c>
      <c r="E15" s="931"/>
      <c r="F15" s="931"/>
      <c r="G15" s="931"/>
      <c r="H15" s="931"/>
      <c r="I15" s="931"/>
      <c r="J15" s="931"/>
      <c r="K15" s="931"/>
      <c r="L15" s="931"/>
      <c r="M15" s="931"/>
      <c r="N15" s="931"/>
      <c r="O15" s="931"/>
      <c r="P15" s="931"/>
      <c r="Q15" s="931"/>
      <c r="R15" s="931"/>
      <c r="S15" s="931"/>
      <c r="T15" s="931"/>
      <c r="U15" s="931"/>
      <c r="V15" s="931"/>
      <c r="W15" s="932"/>
      <c r="X15" s="992"/>
    </row>
    <row r="16" spans="1:24" ht="13.5" thickBot="1">
      <c r="A16" s="885"/>
      <c r="B16" s="885"/>
      <c r="C16" s="10" t="s">
        <v>3</v>
      </c>
      <c r="D16" s="986"/>
      <c r="E16" s="987"/>
      <c r="F16" s="987"/>
      <c r="G16" s="987"/>
      <c r="H16" s="987"/>
      <c r="I16" s="987"/>
      <c r="J16" s="987"/>
      <c r="K16" s="987"/>
      <c r="L16" s="987"/>
      <c r="M16" s="987"/>
      <c r="N16" s="987"/>
      <c r="O16" s="987"/>
      <c r="P16" s="987"/>
      <c r="Q16" s="987"/>
      <c r="R16" s="987"/>
      <c r="S16" s="987"/>
      <c r="T16" s="987"/>
      <c r="U16" s="987"/>
      <c r="V16" s="987"/>
      <c r="W16" s="988"/>
      <c r="X16" s="992"/>
    </row>
    <row r="17" spans="1:24" ht="12.95" customHeight="1" thickBot="1">
      <c r="A17" s="885"/>
      <c r="B17" s="885"/>
      <c r="C17" s="1258" t="s">
        <v>170</v>
      </c>
      <c r="D17" s="989" t="s">
        <v>4</v>
      </c>
      <c r="E17" s="990"/>
      <c r="F17" s="990"/>
      <c r="G17" s="990"/>
      <c r="H17" s="990"/>
      <c r="I17" s="990"/>
      <c r="J17" s="990"/>
      <c r="K17" s="990"/>
      <c r="L17" s="990"/>
      <c r="M17" s="990"/>
      <c r="N17" s="990"/>
      <c r="O17" s="990"/>
      <c r="P17" s="990"/>
      <c r="Q17" s="990"/>
      <c r="R17" s="990"/>
      <c r="S17" s="990"/>
      <c r="T17" s="990"/>
      <c r="U17" s="990"/>
      <c r="V17" s="990"/>
      <c r="W17" s="990"/>
      <c r="X17" s="992"/>
    </row>
    <row r="18" spans="1:24" ht="12.95" customHeight="1" thickBot="1">
      <c r="A18" s="869"/>
      <c r="B18" s="869"/>
      <c r="C18" s="1259"/>
      <c r="D18" s="930" t="s">
        <v>84</v>
      </c>
      <c r="E18" s="931"/>
      <c r="F18" s="931"/>
      <c r="G18" s="931"/>
      <c r="H18" s="931"/>
      <c r="I18" s="931"/>
      <c r="J18" s="931"/>
      <c r="K18" s="931"/>
      <c r="L18" s="931"/>
      <c r="M18" s="931"/>
      <c r="N18" s="931"/>
      <c r="O18" s="931"/>
      <c r="P18" s="931"/>
      <c r="Q18" s="931"/>
      <c r="R18" s="931"/>
      <c r="S18" s="931"/>
      <c r="T18" s="931"/>
      <c r="U18" s="931"/>
      <c r="V18" s="931"/>
      <c r="W18" s="932"/>
      <c r="X18" s="993"/>
    </row>
    <row r="19" spans="1:24">
      <c r="A19" s="5"/>
      <c r="B19" s="5"/>
      <c r="C19" s="14"/>
      <c r="D19" s="5"/>
      <c r="E19" s="5"/>
      <c r="F19" s="5"/>
      <c r="G19" s="5"/>
      <c r="H19" s="5"/>
      <c r="I19" s="5"/>
      <c r="J19" s="5"/>
      <c r="K19" s="5"/>
      <c r="L19" s="5"/>
      <c r="M19" s="5"/>
      <c r="N19" s="5"/>
      <c r="O19" s="5"/>
      <c r="P19" s="5"/>
      <c r="Q19" s="5"/>
      <c r="R19" s="5"/>
      <c r="S19" s="5"/>
      <c r="T19" s="5"/>
      <c r="U19" s="5"/>
      <c r="V19" s="5"/>
      <c r="W19" s="5"/>
      <c r="X19" s="5"/>
    </row>
    <row r="20" spans="1:24" ht="13.5" thickBot="1">
      <c r="A20" s="5"/>
      <c r="B20" s="5"/>
      <c r="C20" s="6"/>
      <c r="D20" s="5"/>
      <c r="E20" s="5"/>
      <c r="F20" s="5"/>
      <c r="G20" s="5"/>
      <c r="H20" s="5"/>
      <c r="I20" s="5"/>
      <c r="J20" s="5"/>
      <c r="K20" s="5"/>
      <c r="L20" s="5"/>
      <c r="M20" s="5"/>
      <c r="N20" s="5"/>
      <c r="O20" s="5"/>
      <c r="P20" s="5"/>
      <c r="Q20" s="5"/>
      <c r="R20" s="5"/>
      <c r="S20" s="5"/>
      <c r="T20" s="5"/>
      <c r="U20" s="5"/>
      <c r="V20" s="5"/>
      <c r="W20" s="5"/>
      <c r="X20" s="5"/>
    </row>
    <row r="21" spans="1:24" ht="12.95" customHeight="1" thickBot="1">
      <c r="A21" s="15" t="s">
        <v>1</v>
      </c>
      <c r="B21" s="97" t="s">
        <v>24</v>
      </c>
      <c r="C21" s="8"/>
      <c r="D21" s="927" t="s">
        <v>78</v>
      </c>
      <c r="E21" s="928"/>
      <c r="F21" s="928"/>
      <c r="G21" s="929"/>
      <c r="H21" s="927" t="s">
        <v>77</v>
      </c>
      <c r="I21" s="928"/>
      <c r="J21" s="928"/>
      <c r="K21" s="929"/>
      <c r="L21" s="927" t="s">
        <v>81</v>
      </c>
      <c r="M21" s="928"/>
      <c r="N21" s="928"/>
      <c r="O21" s="929"/>
      <c r="P21" s="927" t="s">
        <v>254</v>
      </c>
      <c r="Q21" s="928"/>
      <c r="R21" s="928"/>
      <c r="S21" s="929"/>
      <c r="T21" s="927" t="s">
        <v>76</v>
      </c>
      <c r="U21" s="928"/>
      <c r="V21" s="928"/>
      <c r="W21" s="929"/>
      <c r="X21" s="16" t="s">
        <v>6</v>
      </c>
    </row>
    <row r="22" spans="1:24" ht="12.95" customHeight="1" thickBot="1">
      <c r="A22" s="868" t="s">
        <v>47</v>
      </c>
      <c r="B22" s="868" t="s">
        <v>48</v>
      </c>
      <c r="C22" s="9" t="s">
        <v>2</v>
      </c>
      <c r="D22" s="966" t="s">
        <v>255</v>
      </c>
      <c r="E22" s="967"/>
      <c r="F22" s="967"/>
      <c r="G22" s="968"/>
      <c r="H22" s="942">
        <v>3.1</v>
      </c>
      <c r="I22" s="943"/>
      <c r="J22" s="943"/>
      <c r="K22" s="944"/>
      <c r="L22" s="942">
        <v>3.1</v>
      </c>
      <c r="M22" s="943"/>
      <c r="N22" s="943"/>
      <c r="O22" s="944"/>
      <c r="P22" s="942">
        <v>3.3</v>
      </c>
      <c r="Q22" s="943"/>
      <c r="R22" s="943"/>
      <c r="S22" s="944"/>
      <c r="T22" s="1313">
        <v>2.7</v>
      </c>
      <c r="U22" s="1314"/>
      <c r="V22" s="1314"/>
      <c r="W22" s="1315"/>
      <c r="X22" s="873" t="s">
        <v>96</v>
      </c>
    </row>
    <row r="23" spans="1:24" ht="13.5" thickBot="1">
      <c r="A23" s="885"/>
      <c r="B23" s="885"/>
      <c r="C23" s="10" t="s">
        <v>3</v>
      </c>
      <c r="D23" s="957"/>
      <c r="E23" s="958"/>
      <c r="F23" s="958"/>
      <c r="G23" s="959"/>
      <c r="H23" s="936"/>
      <c r="I23" s="937"/>
      <c r="J23" s="937"/>
      <c r="K23" s="938"/>
      <c r="L23" s="963">
        <v>3.1</v>
      </c>
      <c r="M23" s="964"/>
      <c r="N23" s="964"/>
      <c r="O23" s="965"/>
      <c r="P23" s="963">
        <v>2.1</v>
      </c>
      <c r="Q23" s="964"/>
      <c r="R23" s="964"/>
      <c r="S23" s="965"/>
      <c r="T23" s="963">
        <v>0</v>
      </c>
      <c r="U23" s="964"/>
      <c r="V23" s="964"/>
      <c r="W23" s="965"/>
      <c r="X23" s="874"/>
    </row>
    <row r="24" spans="1:24" ht="12.95" customHeight="1" thickBot="1">
      <c r="A24" s="885"/>
      <c r="B24" s="885"/>
      <c r="C24" s="1258" t="s">
        <v>170</v>
      </c>
      <c r="D24" s="927" t="s">
        <v>4</v>
      </c>
      <c r="E24" s="928"/>
      <c r="F24" s="928"/>
      <c r="G24" s="928"/>
      <c r="H24" s="928"/>
      <c r="I24" s="928"/>
      <c r="J24" s="928"/>
      <c r="K24" s="928"/>
      <c r="L24" s="928"/>
      <c r="M24" s="928"/>
      <c r="N24" s="928"/>
      <c r="O24" s="928"/>
      <c r="P24" s="928"/>
      <c r="Q24" s="928"/>
      <c r="R24" s="928"/>
      <c r="S24" s="928"/>
      <c r="T24" s="928"/>
      <c r="U24" s="928"/>
      <c r="V24" s="928"/>
      <c r="W24" s="928"/>
      <c r="X24" s="874"/>
    </row>
    <row r="25" spans="1:24" ht="12.95" customHeight="1" thickBot="1">
      <c r="A25" s="885"/>
      <c r="B25" s="869"/>
      <c r="C25" s="1259"/>
      <c r="D25" s="930" t="s">
        <v>115</v>
      </c>
      <c r="E25" s="931"/>
      <c r="F25" s="931"/>
      <c r="G25" s="931"/>
      <c r="H25" s="931"/>
      <c r="I25" s="931"/>
      <c r="J25" s="931"/>
      <c r="K25" s="931"/>
      <c r="L25" s="931"/>
      <c r="M25" s="931"/>
      <c r="N25" s="931"/>
      <c r="O25" s="931"/>
      <c r="P25" s="931"/>
      <c r="Q25" s="931"/>
      <c r="R25" s="931"/>
      <c r="S25" s="931"/>
      <c r="T25" s="931"/>
      <c r="U25" s="931"/>
      <c r="V25" s="931"/>
      <c r="W25" s="932"/>
      <c r="X25" s="874"/>
    </row>
    <row r="26" spans="1:24" ht="12.95" customHeight="1" thickBot="1">
      <c r="A26" s="885"/>
      <c r="B26" s="11" t="s">
        <v>25</v>
      </c>
      <c r="C26" s="12"/>
      <c r="D26" s="927" t="s">
        <v>78</v>
      </c>
      <c r="E26" s="928"/>
      <c r="F26" s="928"/>
      <c r="G26" s="929"/>
      <c r="H26" s="927" t="s">
        <v>77</v>
      </c>
      <c r="I26" s="928"/>
      <c r="J26" s="928"/>
      <c r="K26" s="929"/>
      <c r="L26" s="927" t="s">
        <v>81</v>
      </c>
      <c r="M26" s="928"/>
      <c r="N26" s="928"/>
      <c r="O26" s="929"/>
      <c r="P26" s="927" t="s">
        <v>254</v>
      </c>
      <c r="Q26" s="928"/>
      <c r="R26" s="928"/>
      <c r="S26" s="929"/>
      <c r="T26" s="927" t="s">
        <v>76</v>
      </c>
      <c r="U26" s="928"/>
      <c r="V26" s="928"/>
      <c r="W26" s="929"/>
      <c r="X26" s="874"/>
    </row>
    <row r="27" spans="1:24" ht="12.95" customHeight="1" thickBot="1">
      <c r="A27" s="885"/>
      <c r="B27" s="868" t="s">
        <v>49</v>
      </c>
      <c r="C27" s="9" t="s">
        <v>2</v>
      </c>
      <c r="D27" s="966" t="s">
        <v>255</v>
      </c>
      <c r="E27" s="967"/>
      <c r="F27" s="967"/>
      <c r="G27" s="968"/>
      <c r="H27" s="942">
        <v>1</v>
      </c>
      <c r="I27" s="943"/>
      <c r="J27" s="943"/>
      <c r="K27" s="944"/>
      <c r="L27" s="942">
        <v>1</v>
      </c>
      <c r="M27" s="943"/>
      <c r="N27" s="943"/>
      <c r="O27" s="944"/>
      <c r="P27" s="942">
        <v>1.2</v>
      </c>
      <c r="Q27" s="943"/>
      <c r="R27" s="943"/>
      <c r="S27" s="944"/>
      <c r="T27" s="1188">
        <v>3</v>
      </c>
      <c r="U27" s="1189"/>
      <c r="V27" s="1189"/>
      <c r="W27" s="1190"/>
      <c r="X27" s="874"/>
    </row>
    <row r="28" spans="1:24" ht="13.5" thickBot="1">
      <c r="A28" s="885"/>
      <c r="B28" s="885"/>
      <c r="C28" s="10" t="s">
        <v>3</v>
      </c>
      <c r="D28" s="957"/>
      <c r="E28" s="958"/>
      <c r="F28" s="958"/>
      <c r="G28" s="959"/>
      <c r="H28" s="936"/>
      <c r="I28" s="937"/>
      <c r="J28" s="937"/>
      <c r="K28" s="938"/>
      <c r="L28" s="963">
        <v>1</v>
      </c>
      <c r="M28" s="964"/>
      <c r="N28" s="964"/>
      <c r="O28" s="965"/>
      <c r="P28" s="963">
        <v>1.2</v>
      </c>
      <c r="Q28" s="964"/>
      <c r="R28" s="964"/>
      <c r="S28" s="965"/>
      <c r="T28" s="963">
        <v>0</v>
      </c>
      <c r="U28" s="964"/>
      <c r="V28" s="964"/>
      <c r="W28" s="965"/>
      <c r="X28" s="874"/>
    </row>
    <row r="29" spans="1:24" ht="12.95" customHeight="1" thickBot="1">
      <c r="A29" s="885"/>
      <c r="B29" s="885"/>
      <c r="C29" s="1258" t="s">
        <v>170</v>
      </c>
      <c r="D29" s="927" t="s">
        <v>4</v>
      </c>
      <c r="E29" s="928"/>
      <c r="F29" s="928"/>
      <c r="G29" s="928"/>
      <c r="H29" s="928"/>
      <c r="I29" s="928"/>
      <c r="J29" s="928"/>
      <c r="K29" s="928"/>
      <c r="L29" s="928"/>
      <c r="M29" s="928"/>
      <c r="N29" s="928"/>
      <c r="O29" s="928"/>
      <c r="P29" s="928"/>
      <c r="Q29" s="928"/>
      <c r="R29" s="928"/>
      <c r="S29" s="928"/>
      <c r="T29" s="928"/>
      <c r="U29" s="928"/>
      <c r="V29" s="928"/>
      <c r="W29" s="928"/>
      <c r="X29" s="874"/>
    </row>
    <row r="30" spans="1:24" ht="12.95" customHeight="1" thickBot="1">
      <c r="A30" s="885"/>
      <c r="B30" s="869"/>
      <c r="C30" s="1259"/>
      <c r="D30" s="930" t="s">
        <v>116</v>
      </c>
      <c r="E30" s="931"/>
      <c r="F30" s="931"/>
      <c r="G30" s="931"/>
      <c r="H30" s="931"/>
      <c r="I30" s="931"/>
      <c r="J30" s="931"/>
      <c r="K30" s="931"/>
      <c r="L30" s="931"/>
      <c r="M30" s="931"/>
      <c r="N30" s="931"/>
      <c r="O30" s="931"/>
      <c r="P30" s="931"/>
      <c r="Q30" s="931"/>
      <c r="R30" s="931"/>
      <c r="S30" s="931"/>
      <c r="T30" s="931"/>
      <c r="U30" s="931"/>
      <c r="V30" s="931"/>
      <c r="W30" s="932"/>
      <c r="X30" s="874"/>
    </row>
    <row r="31" spans="1:24" ht="12.95" customHeight="1" thickBot="1">
      <c r="A31" s="885"/>
      <c r="B31" s="11" t="s">
        <v>37</v>
      </c>
      <c r="C31" s="12"/>
      <c r="D31" s="927" t="s">
        <v>78</v>
      </c>
      <c r="E31" s="928"/>
      <c r="F31" s="928"/>
      <c r="G31" s="929"/>
      <c r="H31" s="927" t="s">
        <v>77</v>
      </c>
      <c r="I31" s="928"/>
      <c r="J31" s="928"/>
      <c r="K31" s="929"/>
      <c r="L31" s="927" t="s">
        <v>81</v>
      </c>
      <c r="M31" s="928"/>
      <c r="N31" s="928"/>
      <c r="O31" s="929"/>
      <c r="P31" s="927" t="s">
        <v>254</v>
      </c>
      <c r="Q31" s="928"/>
      <c r="R31" s="928"/>
      <c r="S31" s="929"/>
      <c r="T31" s="927" t="s">
        <v>76</v>
      </c>
      <c r="U31" s="928"/>
      <c r="V31" s="928"/>
      <c r="W31" s="929"/>
      <c r="X31" s="874"/>
    </row>
    <row r="32" spans="1:24" ht="33" customHeight="1" thickBot="1">
      <c r="A32" s="885"/>
      <c r="B32" s="868" t="s">
        <v>148</v>
      </c>
      <c r="C32" s="9"/>
      <c r="D32" s="17" t="s">
        <v>106</v>
      </c>
      <c r="E32" s="17" t="s">
        <v>107</v>
      </c>
      <c r="F32" s="17" t="s">
        <v>108</v>
      </c>
      <c r="G32" s="17" t="s">
        <v>109</v>
      </c>
      <c r="H32" s="17" t="s">
        <v>106</v>
      </c>
      <c r="I32" s="17" t="s">
        <v>107</v>
      </c>
      <c r="J32" s="17" t="s">
        <v>108</v>
      </c>
      <c r="K32" s="17" t="s">
        <v>109</v>
      </c>
      <c r="L32" s="17" t="s">
        <v>106</v>
      </c>
      <c r="M32" s="17" t="s">
        <v>107</v>
      </c>
      <c r="N32" s="17" t="s">
        <v>108</v>
      </c>
      <c r="O32" s="17" t="s">
        <v>109</v>
      </c>
      <c r="P32" s="17" t="s">
        <v>106</v>
      </c>
      <c r="Q32" s="17" t="s">
        <v>107</v>
      </c>
      <c r="R32" s="17" t="s">
        <v>108</v>
      </c>
      <c r="S32" s="17" t="s">
        <v>109</v>
      </c>
      <c r="T32" s="17" t="s">
        <v>106</v>
      </c>
      <c r="U32" s="17" t="s">
        <v>107</v>
      </c>
      <c r="V32" s="17" t="s">
        <v>108</v>
      </c>
      <c r="W32" s="17" t="s">
        <v>109</v>
      </c>
      <c r="X32" s="874"/>
    </row>
    <row r="33" spans="1:24" ht="12.95" customHeight="1" thickBot="1">
      <c r="A33" s="885"/>
      <c r="B33" s="885"/>
      <c r="C33" s="9" t="s">
        <v>2</v>
      </c>
      <c r="D33" s="966" t="s">
        <v>255</v>
      </c>
      <c r="E33" s="967"/>
      <c r="F33" s="967"/>
      <c r="G33" s="968"/>
      <c r="H33" s="18">
        <v>0</v>
      </c>
      <c r="I33" s="18">
        <v>0</v>
      </c>
      <c r="J33" s="18">
        <v>0</v>
      </c>
      <c r="K33" s="18">
        <v>12</v>
      </c>
      <c r="L33" s="18">
        <v>1</v>
      </c>
      <c r="M33" s="18">
        <v>1</v>
      </c>
      <c r="N33" s="18">
        <v>1</v>
      </c>
      <c r="O33" s="18">
        <v>12</v>
      </c>
      <c r="P33" s="18">
        <v>4</v>
      </c>
      <c r="Q33" s="18">
        <v>5</v>
      </c>
      <c r="R33" s="18">
        <v>2</v>
      </c>
      <c r="S33" s="18">
        <v>14</v>
      </c>
      <c r="T33" s="787">
        <v>6</v>
      </c>
      <c r="U33" s="787">
        <v>6</v>
      </c>
      <c r="V33" s="782">
        <v>12</v>
      </c>
      <c r="W33" s="18">
        <v>15</v>
      </c>
      <c r="X33" s="874"/>
    </row>
    <row r="34" spans="1:24" ht="13.5" thickBot="1">
      <c r="A34" s="885"/>
      <c r="B34" s="93" t="s">
        <v>145</v>
      </c>
      <c r="C34" s="10" t="s">
        <v>3</v>
      </c>
      <c r="D34" s="986"/>
      <c r="E34" s="987"/>
      <c r="F34" s="987"/>
      <c r="G34" s="988"/>
      <c r="H34" s="936"/>
      <c r="I34" s="937"/>
      <c r="J34" s="937"/>
      <c r="K34" s="938"/>
      <c r="L34" s="68">
        <v>1</v>
      </c>
      <c r="M34" s="68">
        <v>1</v>
      </c>
      <c r="N34" s="68">
        <v>1</v>
      </c>
      <c r="O34" s="68">
        <v>12</v>
      </c>
      <c r="P34" s="68">
        <v>6</v>
      </c>
      <c r="Q34" s="68">
        <v>6</v>
      </c>
      <c r="R34" s="68">
        <v>1</v>
      </c>
      <c r="S34" s="68">
        <v>15</v>
      </c>
      <c r="T34" s="68">
        <v>0</v>
      </c>
      <c r="U34" s="68">
        <v>0</v>
      </c>
      <c r="V34" s="68">
        <v>0</v>
      </c>
      <c r="W34" s="68">
        <v>0</v>
      </c>
      <c r="X34" s="874"/>
    </row>
    <row r="35" spans="1:24" ht="12.95" customHeight="1" thickBot="1">
      <c r="A35" s="885"/>
      <c r="B35" s="93" t="s">
        <v>147</v>
      </c>
      <c r="C35" s="1258" t="s">
        <v>170</v>
      </c>
      <c r="D35" s="927" t="s">
        <v>4</v>
      </c>
      <c r="E35" s="928"/>
      <c r="F35" s="928"/>
      <c r="G35" s="928"/>
      <c r="H35" s="928"/>
      <c r="I35" s="928"/>
      <c r="J35" s="928"/>
      <c r="K35" s="928"/>
      <c r="L35" s="928"/>
      <c r="M35" s="928"/>
      <c r="N35" s="928"/>
      <c r="O35" s="928"/>
      <c r="P35" s="928"/>
      <c r="Q35" s="928"/>
      <c r="R35" s="928"/>
      <c r="S35" s="928"/>
      <c r="T35" s="928"/>
      <c r="U35" s="928"/>
      <c r="V35" s="928"/>
      <c r="W35" s="928"/>
      <c r="X35" s="874"/>
    </row>
    <row r="36" spans="1:24" ht="12.95" customHeight="1" thickBot="1">
      <c r="A36" s="869"/>
      <c r="B36" s="94" t="s">
        <v>146</v>
      </c>
      <c r="C36" s="1259"/>
      <c r="D36" s="930" t="s">
        <v>117</v>
      </c>
      <c r="E36" s="931"/>
      <c r="F36" s="931"/>
      <c r="G36" s="931"/>
      <c r="H36" s="931"/>
      <c r="I36" s="931"/>
      <c r="J36" s="931"/>
      <c r="K36" s="931"/>
      <c r="L36" s="931"/>
      <c r="M36" s="931"/>
      <c r="N36" s="931"/>
      <c r="O36" s="931"/>
      <c r="P36" s="931"/>
      <c r="Q36" s="931"/>
      <c r="R36" s="931"/>
      <c r="S36" s="931"/>
      <c r="T36" s="931"/>
      <c r="U36" s="931"/>
      <c r="V36" s="931"/>
      <c r="W36" s="932"/>
      <c r="X36" s="875"/>
    </row>
    <row r="37" spans="1:24">
      <c r="A37" s="5"/>
      <c r="B37" s="5"/>
      <c r="C37" s="14"/>
      <c r="D37" s="5"/>
      <c r="E37" s="5"/>
      <c r="F37" s="5"/>
      <c r="G37" s="5"/>
      <c r="H37" s="5"/>
      <c r="I37" s="5"/>
      <c r="J37" s="5"/>
      <c r="K37" s="5"/>
      <c r="L37" s="5"/>
      <c r="M37" s="5"/>
      <c r="N37" s="5"/>
      <c r="O37" s="5"/>
      <c r="P37" s="5"/>
      <c r="Q37" s="5"/>
      <c r="R37" s="5"/>
      <c r="S37" s="5"/>
      <c r="T37" s="5"/>
      <c r="U37" s="5"/>
      <c r="V37" s="5"/>
      <c r="W37" s="5"/>
      <c r="X37" s="5"/>
    </row>
    <row r="38" spans="1:24" ht="13.5" thickBot="1">
      <c r="A38" s="5"/>
      <c r="B38" s="5"/>
      <c r="C38" s="6"/>
      <c r="D38" s="5"/>
      <c r="E38" s="5"/>
      <c r="F38" s="5"/>
      <c r="G38" s="5"/>
      <c r="H38" s="5"/>
      <c r="I38" s="5"/>
      <c r="J38" s="5"/>
      <c r="K38" s="5"/>
      <c r="L38" s="5"/>
      <c r="M38" s="5"/>
      <c r="N38" s="5"/>
      <c r="O38" s="5"/>
      <c r="P38" s="5"/>
      <c r="Q38" s="5"/>
      <c r="R38" s="5"/>
      <c r="S38" s="5"/>
      <c r="T38" s="5"/>
      <c r="U38" s="5"/>
      <c r="V38" s="5"/>
      <c r="W38" s="5"/>
      <c r="X38" s="5"/>
    </row>
    <row r="39" spans="1:24" ht="12.95" customHeight="1" thickBot="1">
      <c r="A39" s="7" t="s">
        <v>5</v>
      </c>
      <c r="B39" s="97" t="s">
        <v>22</v>
      </c>
      <c r="C39" s="8"/>
      <c r="D39" s="927" t="s">
        <v>78</v>
      </c>
      <c r="E39" s="928"/>
      <c r="F39" s="928"/>
      <c r="G39" s="929"/>
      <c r="H39" s="927" t="s">
        <v>77</v>
      </c>
      <c r="I39" s="928"/>
      <c r="J39" s="928"/>
      <c r="K39" s="929"/>
      <c r="L39" s="927" t="s">
        <v>81</v>
      </c>
      <c r="M39" s="928"/>
      <c r="N39" s="928"/>
      <c r="O39" s="929"/>
      <c r="P39" s="927" t="s">
        <v>254</v>
      </c>
      <c r="Q39" s="928"/>
      <c r="R39" s="928"/>
      <c r="S39" s="929"/>
      <c r="T39" s="927" t="s">
        <v>76</v>
      </c>
      <c r="U39" s="928"/>
      <c r="V39" s="928"/>
      <c r="W39" s="929"/>
      <c r="X39" s="19" t="s">
        <v>6</v>
      </c>
    </row>
    <row r="40" spans="1:24" ht="12.95" customHeight="1" thickBot="1">
      <c r="A40" s="868" t="s">
        <v>54</v>
      </c>
      <c r="B40" s="868" t="s">
        <v>55</v>
      </c>
      <c r="C40" s="9" t="s">
        <v>2</v>
      </c>
      <c r="D40" s="966" t="s">
        <v>255</v>
      </c>
      <c r="E40" s="967"/>
      <c r="F40" s="967"/>
      <c r="G40" s="968"/>
      <c r="H40" s="942">
        <v>2.8</v>
      </c>
      <c r="I40" s="943"/>
      <c r="J40" s="943"/>
      <c r="K40" s="944"/>
      <c r="L40" s="942">
        <v>2.8</v>
      </c>
      <c r="M40" s="943"/>
      <c r="N40" s="943"/>
      <c r="O40" s="944"/>
      <c r="P40" s="942">
        <v>3</v>
      </c>
      <c r="Q40" s="943"/>
      <c r="R40" s="943"/>
      <c r="S40" s="944"/>
      <c r="T40" s="1188">
        <v>4</v>
      </c>
      <c r="U40" s="1189"/>
      <c r="V40" s="1189"/>
      <c r="W40" s="1190"/>
      <c r="X40" s="879" t="s">
        <v>95</v>
      </c>
    </row>
    <row r="41" spans="1:24" ht="13.5" thickBot="1">
      <c r="A41" s="885"/>
      <c r="B41" s="885"/>
      <c r="C41" s="10" t="s">
        <v>3</v>
      </c>
      <c r="D41" s="957"/>
      <c r="E41" s="958"/>
      <c r="F41" s="958"/>
      <c r="G41" s="959"/>
      <c r="H41" s="936"/>
      <c r="I41" s="937"/>
      <c r="J41" s="937"/>
      <c r="K41" s="938"/>
      <c r="L41" s="963">
        <v>2.8</v>
      </c>
      <c r="M41" s="964"/>
      <c r="N41" s="964"/>
      <c r="O41" s="965"/>
      <c r="P41" s="963">
        <v>2.2000000000000002</v>
      </c>
      <c r="Q41" s="964"/>
      <c r="R41" s="964"/>
      <c r="S41" s="965"/>
      <c r="T41" s="963">
        <v>0</v>
      </c>
      <c r="U41" s="964"/>
      <c r="V41" s="964"/>
      <c r="W41" s="965"/>
      <c r="X41" s="880"/>
    </row>
    <row r="42" spans="1:24" ht="12.95" customHeight="1" thickBot="1">
      <c r="A42" s="885"/>
      <c r="B42" s="885"/>
      <c r="C42" s="1258" t="s">
        <v>170</v>
      </c>
      <c r="D42" s="927" t="s">
        <v>4</v>
      </c>
      <c r="E42" s="928"/>
      <c r="F42" s="928"/>
      <c r="G42" s="928"/>
      <c r="H42" s="928"/>
      <c r="I42" s="928"/>
      <c r="J42" s="928"/>
      <c r="K42" s="928"/>
      <c r="L42" s="928"/>
      <c r="M42" s="928"/>
      <c r="N42" s="928"/>
      <c r="O42" s="928"/>
      <c r="P42" s="928"/>
      <c r="Q42" s="928"/>
      <c r="R42" s="928"/>
      <c r="S42" s="928"/>
      <c r="T42" s="928"/>
      <c r="U42" s="928"/>
      <c r="V42" s="928"/>
      <c r="W42" s="928"/>
      <c r="X42" s="880"/>
    </row>
    <row r="43" spans="1:24" ht="12.95" customHeight="1" thickBot="1">
      <c r="A43" s="885"/>
      <c r="B43" s="869"/>
      <c r="C43" s="1259"/>
      <c r="D43" s="930" t="s">
        <v>115</v>
      </c>
      <c r="E43" s="931"/>
      <c r="F43" s="931"/>
      <c r="G43" s="931"/>
      <c r="H43" s="931"/>
      <c r="I43" s="931"/>
      <c r="J43" s="931"/>
      <c r="K43" s="931"/>
      <c r="L43" s="931"/>
      <c r="M43" s="931"/>
      <c r="N43" s="931"/>
      <c r="O43" s="931"/>
      <c r="P43" s="931"/>
      <c r="Q43" s="931"/>
      <c r="R43" s="931"/>
      <c r="S43" s="931"/>
      <c r="T43" s="931"/>
      <c r="U43" s="931"/>
      <c r="V43" s="931"/>
      <c r="W43" s="932"/>
      <c r="X43" s="880"/>
    </row>
    <row r="44" spans="1:24" ht="12.95" customHeight="1" thickBot="1">
      <c r="A44" s="885"/>
      <c r="B44" s="11" t="s">
        <v>23</v>
      </c>
      <c r="C44" s="12"/>
      <c r="D44" s="927" t="s">
        <v>78</v>
      </c>
      <c r="E44" s="928"/>
      <c r="F44" s="928"/>
      <c r="G44" s="929"/>
      <c r="H44" s="927" t="s">
        <v>77</v>
      </c>
      <c r="I44" s="928"/>
      <c r="J44" s="928"/>
      <c r="K44" s="929"/>
      <c r="L44" s="927" t="s">
        <v>81</v>
      </c>
      <c r="M44" s="928"/>
      <c r="N44" s="928"/>
      <c r="O44" s="929"/>
      <c r="P44" s="927" t="s">
        <v>254</v>
      </c>
      <c r="Q44" s="928"/>
      <c r="R44" s="928"/>
      <c r="S44" s="929"/>
      <c r="T44" s="927" t="s">
        <v>76</v>
      </c>
      <c r="U44" s="928"/>
      <c r="V44" s="928"/>
      <c r="W44" s="929"/>
      <c r="X44" s="880"/>
    </row>
    <row r="45" spans="1:24" ht="12.95" customHeight="1" thickBot="1">
      <c r="A45" s="885"/>
      <c r="B45" s="868" t="s">
        <v>56</v>
      </c>
      <c r="C45" s="9" t="s">
        <v>2</v>
      </c>
      <c r="D45" s="966" t="s">
        <v>255</v>
      </c>
      <c r="E45" s="967"/>
      <c r="F45" s="967"/>
      <c r="G45" s="968"/>
      <c r="H45" s="942">
        <v>1.7</v>
      </c>
      <c r="I45" s="943"/>
      <c r="J45" s="943"/>
      <c r="K45" s="944"/>
      <c r="L45" s="942">
        <v>1.7</v>
      </c>
      <c r="M45" s="943"/>
      <c r="N45" s="943"/>
      <c r="O45" s="944"/>
      <c r="P45" s="942">
        <v>2</v>
      </c>
      <c r="Q45" s="943"/>
      <c r="R45" s="943"/>
      <c r="S45" s="944"/>
      <c r="T45" s="1188">
        <v>4</v>
      </c>
      <c r="U45" s="1189"/>
      <c r="V45" s="1189"/>
      <c r="W45" s="1190"/>
      <c r="X45" s="880"/>
    </row>
    <row r="46" spans="1:24" ht="13.5" thickBot="1">
      <c r="A46" s="885"/>
      <c r="B46" s="885"/>
      <c r="C46" s="10" t="s">
        <v>3</v>
      </c>
      <c r="D46" s="957"/>
      <c r="E46" s="958"/>
      <c r="F46" s="958"/>
      <c r="G46" s="959"/>
      <c r="H46" s="936"/>
      <c r="I46" s="937"/>
      <c r="J46" s="937"/>
      <c r="K46" s="938"/>
      <c r="L46" s="963">
        <v>1.7</v>
      </c>
      <c r="M46" s="964"/>
      <c r="N46" s="964"/>
      <c r="O46" s="965"/>
      <c r="P46" s="963">
        <v>2.5</v>
      </c>
      <c r="Q46" s="964"/>
      <c r="R46" s="964"/>
      <c r="S46" s="965"/>
      <c r="T46" s="963">
        <v>0</v>
      </c>
      <c r="U46" s="964"/>
      <c r="V46" s="964"/>
      <c r="W46" s="965"/>
      <c r="X46" s="880"/>
    </row>
    <row r="47" spans="1:24" ht="12.95" customHeight="1" thickBot="1">
      <c r="A47" s="885"/>
      <c r="B47" s="885"/>
      <c r="C47" s="1258" t="s">
        <v>170</v>
      </c>
      <c r="D47" s="927" t="s">
        <v>4</v>
      </c>
      <c r="E47" s="928"/>
      <c r="F47" s="928"/>
      <c r="G47" s="928"/>
      <c r="H47" s="928"/>
      <c r="I47" s="928"/>
      <c r="J47" s="928"/>
      <c r="K47" s="928"/>
      <c r="L47" s="928"/>
      <c r="M47" s="928"/>
      <c r="N47" s="928"/>
      <c r="O47" s="928"/>
      <c r="P47" s="928"/>
      <c r="Q47" s="928"/>
      <c r="R47" s="928"/>
      <c r="S47" s="928"/>
      <c r="T47" s="928"/>
      <c r="U47" s="928"/>
      <c r="V47" s="928"/>
      <c r="W47" s="928"/>
      <c r="X47" s="880"/>
    </row>
    <row r="48" spans="1:24" ht="12.95" customHeight="1" thickBot="1">
      <c r="A48" s="885"/>
      <c r="B48" s="869"/>
      <c r="C48" s="1259"/>
      <c r="D48" s="930" t="s">
        <v>115</v>
      </c>
      <c r="E48" s="931"/>
      <c r="F48" s="931"/>
      <c r="G48" s="931"/>
      <c r="H48" s="931"/>
      <c r="I48" s="931"/>
      <c r="J48" s="931"/>
      <c r="K48" s="931"/>
      <c r="L48" s="931"/>
      <c r="M48" s="931"/>
      <c r="N48" s="931"/>
      <c r="O48" s="931"/>
      <c r="P48" s="931"/>
      <c r="Q48" s="931"/>
      <c r="R48" s="931"/>
      <c r="S48" s="931"/>
      <c r="T48" s="931"/>
      <c r="U48" s="931"/>
      <c r="V48" s="931"/>
      <c r="W48" s="932"/>
      <c r="X48" s="880"/>
    </row>
    <row r="49" spans="1:24" ht="12.95" customHeight="1" thickBot="1">
      <c r="A49" s="885"/>
      <c r="B49" s="11" t="s">
        <v>38</v>
      </c>
      <c r="C49" s="12"/>
      <c r="D49" s="927" t="s">
        <v>78</v>
      </c>
      <c r="E49" s="928"/>
      <c r="F49" s="928"/>
      <c r="G49" s="929"/>
      <c r="H49" s="927" t="s">
        <v>77</v>
      </c>
      <c r="I49" s="928"/>
      <c r="J49" s="928"/>
      <c r="K49" s="929"/>
      <c r="L49" s="927" t="s">
        <v>81</v>
      </c>
      <c r="M49" s="928"/>
      <c r="N49" s="928"/>
      <c r="O49" s="929"/>
      <c r="P49" s="927" t="s">
        <v>254</v>
      </c>
      <c r="Q49" s="928"/>
      <c r="R49" s="928"/>
      <c r="S49" s="929"/>
      <c r="T49" s="927" t="s">
        <v>76</v>
      </c>
      <c r="U49" s="928"/>
      <c r="V49" s="928"/>
      <c r="W49" s="929"/>
      <c r="X49" s="880"/>
    </row>
    <row r="50" spans="1:24" ht="12.95" customHeight="1" thickBot="1">
      <c r="A50" s="885"/>
      <c r="B50" s="868" t="s">
        <v>155</v>
      </c>
      <c r="C50" s="9" t="s">
        <v>2</v>
      </c>
      <c r="D50" s="933" t="s">
        <v>171</v>
      </c>
      <c r="E50" s="934"/>
      <c r="F50" s="934"/>
      <c r="G50" s="935"/>
      <c r="H50" s="966" t="s">
        <v>572</v>
      </c>
      <c r="I50" s="967"/>
      <c r="J50" s="967"/>
      <c r="K50" s="968"/>
      <c r="L50" s="942">
        <v>2.7</v>
      </c>
      <c r="M50" s="943"/>
      <c r="N50" s="943"/>
      <c r="O50" s="944"/>
      <c r="P50" s="942">
        <v>3</v>
      </c>
      <c r="Q50" s="943"/>
      <c r="R50" s="943"/>
      <c r="S50" s="944"/>
      <c r="T50" s="1188">
        <v>4</v>
      </c>
      <c r="U50" s="1189"/>
      <c r="V50" s="1189"/>
      <c r="W50" s="1190"/>
      <c r="X50" s="880"/>
    </row>
    <row r="51" spans="1:24" ht="13.5" thickBot="1">
      <c r="A51" s="885"/>
      <c r="B51" s="885"/>
      <c r="C51" s="98" t="s">
        <v>3</v>
      </c>
      <c r="D51" s="933"/>
      <c r="E51" s="934"/>
      <c r="F51" s="934"/>
      <c r="G51" s="935"/>
      <c r="H51" s="933"/>
      <c r="I51" s="934"/>
      <c r="J51" s="934"/>
      <c r="K51" s="935"/>
      <c r="L51" s="1171"/>
      <c r="M51" s="1172"/>
      <c r="N51" s="1172"/>
      <c r="O51" s="1173"/>
      <c r="P51" s="963">
        <v>3.1</v>
      </c>
      <c r="Q51" s="964"/>
      <c r="R51" s="964"/>
      <c r="S51" s="965"/>
      <c r="T51" s="963">
        <v>0</v>
      </c>
      <c r="U51" s="964"/>
      <c r="V51" s="964"/>
      <c r="W51" s="965"/>
      <c r="X51" s="880"/>
    </row>
    <row r="52" spans="1:24" ht="12.95" customHeight="1" thickBot="1">
      <c r="A52" s="885"/>
      <c r="B52" s="885"/>
      <c r="C52" s="922" t="s">
        <v>170</v>
      </c>
      <c r="D52" s="927" t="s">
        <v>4</v>
      </c>
      <c r="E52" s="928"/>
      <c r="F52" s="928"/>
      <c r="G52" s="928"/>
      <c r="H52" s="928"/>
      <c r="I52" s="928"/>
      <c r="J52" s="928"/>
      <c r="K52" s="928"/>
      <c r="L52" s="928"/>
      <c r="M52" s="928"/>
      <c r="N52" s="928"/>
      <c r="O52" s="928"/>
      <c r="P52" s="928"/>
      <c r="Q52" s="928"/>
      <c r="R52" s="928"/>
      <c r="S52" s="928"/>
      <c r="T52" s="928"/>
      <c r="U52" s="928"/>
      <c r="V52" s="928"/>
      <c r="W52" s="928"/>
      <c r="X52" s="880"/>
    </row>
    <row r="53" spans="1:24" ht="12.95" customHeight="1" thickBot="1">
      <c r="A53" s="885"/>
      <c r="B53" s="869"/>
      <c r="C53" s="923"/>
      <c r="D53" s="930" t="s">
        <v>115</v>
      </c>
      <c r="E53" s="931"/>
      <c r="F53" s="931"/>
      <c r="G53" s="931"/>
      <c r="H53" s="931"/>
      <c r="I53" s="931"/>
      <c r="J53" s="931"/>
      <c r="K53" s="931"/>
      <c r="L53" s="931"/>
      <c r="M53" s="931"/>
      <c r="N53" s="931"/>
      <c r="O53" s="931"/>
      <c r="P53" s="931"/>
      <c r="Q53" s="931"/>
      <c r="R53" s="931"/>
      <c r="S53" s="931"/>
      <c r="T53" s="931"/>
      <c r="U53" s="931"/>
      <c r="V53" s="931"/>
      <c r="W53" s="932"/>
      <c r="X53" s="880"/>
    </row>
    <row r="54" spans="1:24" ht="12.95" customHeight="1" thickBot="1">
      <c r="A54" s="885"/>
      <c r="B54" s="11" t="s">
        <v>39</v>
      </c>
      <c r="C54" s="12"/>
      <c r="D54" s="927" t="s">
        <v>78</v>
      </c>
      <c r="E54" s="928"/>
      <c r="F54" s="928"/>
      <c r="G54" s="929"/>
      <c r="H54" s="927" t="s">
        <v>77</v>
      </c>
      <c r="I54" s="928"/>
      <c r="J54" s="928"/>
      <c r="K54" s="929"/>
      <c r="L54" s="927" t="s">
        <v>81</v>
      </c>
      <c r="M54" s="928"/>
      <c r="N54" s="928"/>
      <c r="O54" s="929"/>
      <c r="P54" s="927" t="s">
        <v>254</v>
      </c>
      <c r="Q54" s="928"/>
      <c r="R54" s="928"/>
      <c r="S54" s="929"/>
      <c r="T54" s="927" t="s">
        <v>76</v>
      </c>
      <c r="U54" s="928"/>
      <c r="V54" s="928"/>
      <c r="W54" s="929"/>
      <c r="X54" s="880"/>
    </row>
    <row r="55" spans="1:24" ht="44.1" customHeight="1" thickBot="1">
      <c r="A55" s="885"/>
      <c r="B55" s="978" t="s">
        <v>575</v>
      </c>
      <c r="C55" s="9"/>
      <c r="D55" s="20" t="s">
        <v>105</v>
      </c>
      <c r="E55" s="20" t="s">
        <v>579</v>
      </c>
      <c r="F55" s="20" t="s">
        <v>580</v>
      </c>
      <c r="G55" s="20" t="s">
        <v>581</v>
      </c>
      <c r="H55" s="20" t="s">
        <v>105</v>
      </c>
      <c r="I55" s="20" t="s">
        <v>579</v>
      </c>
      <c r="J55" s="20" t="s">
        <v>580</v>
      </c>
      <c r="K55" s="20" t="s">
        <v>581</v>
      </c>
      <c r="L55" s="20" t="s">
        <v>105</v>
      </c>
      <c r="M55" s="20" t="s">
        <v>579</v>
      </c>
      <c r="N55" s="20" t="s">
        <v>580</v>
      </c>
      <c r="O55" s="20" t="s">
        <v>581</v>
      </c>
      <c r="P55" s="20" t="s">
        <v>105</v>
      </c>
      <c r="Q55" s="20" t="s">
        <v>579</v>
      </c>
      <c r="R55" s="20" t="s">
        <v>580</v>
      </c>
      <c r="S55" s="20" t="s">
        <v>581</v>
      </c>
      <c r="T55" s="20" t="s">
        <v>105</v>
      </c>
      <c r="U55" s="20" t="s">
        <v>579</v>
      </c>
      <c r="V55" s="20" t="s">
        <v>580</v>
      </c>
      <c r="W55" s="20" t="s">
        <v>581</v>
      </c>
      <c r="X55" s="880"/>
    </row>
    <row r="56" spans="1:24" ht="12.95" customHeight="1" thickBot="1">
      <c r="A56" s="885"/>
      <c r="B56" s="979"/>
      <c r="C56" s="9" t="s">
        <v>2</v>
      </c>
      <c r="D56" s="966" t="s">
        <v>255</v>
      </c>
      <c r="E56" s="967"/>
      <c r="F56" s="967"/>
      <c r="G56" s="968"/>
      <c r="H56" s="18">
        <v>0</v>
      </c>
      <c r="I56" s="18">
        <v>0</v>
      </c>
      <c r="J56" s="18">
        <v>0</v>
      </c>
      <c r="K56" s="18">
        <v>0</v>
      </c>
      <c r="L56" s="18">
        <v>0</v>
      </c>
      <c r="M56" s="18">
        <v>0</v>
      </c>
      <c r="N56" s="18">
        <v>0</v>
      </c>
      <c r="O56" s="18">
        <v>0</v>
      </c>
      <c r="P56" s="18">
        <v>2</v>
      </c>
      <c r="Q56" s="18">
        <v>1</v>
      </c>
      <c r="R56" s="18">
        <v>0</v>
      </c>
      <c r="S56" s="18">
        <v>0</v>
      </c>
      <c r="T56" s="18">
        <v>4</v>
      </c>
      <c r="U56" s="18">
        <v>3</v>
      </c>
      <c r="V56" s="18">
        <v>2</v>
      </c>
      <c r="W56" s="18">
        <v>0</v>
      </c>
      <c r="X56" s="880"/>
    </row>
    <row r="57" spans="1:24" ht="24" customHeight="1" thickBot="1">
      <c r="A57" s="885"/>
      <c r="B57" s="169" t="s">
        <v>159</v>
      </c>
      <c r="C57" s="10" t="s">
        <v>3</v>
      </c>
      <c r="D57" s="933"/>
      <c r="E57" s="934"/>
      <c r="F57" s="934"/>
      <c r="G57" s="935"/>
      <c r="H57" s="936"/>
      <c r="I57" s="937"/>
      <c r="J57" s="937"/>
      <c r="K57" s="938"/>
      <c r="L57" s="68">
        <v>0</v>
      </c>
      <c r="M57" s="68">
        <v>0</v>
      </c>
      <c r="N57" s="68">
        <v>0</v>
      </c>
      <c r="O57" s="68">
        <v>0</v>
      </c>
      <c r="P57" s="68">
        <v>2</v>
      </c>
      <c r="Q57" s="68">
        <v>1</v>
      </c>
      <c r="R57" s="68">
        <v>0</v>
      </c>
      <c r="S57" s="68">
        <v>0</v>
      </c>
      <c r="T57" s="68">
        <v>0</v>
      </c>
      <c r="U57" s="68">
        <v>0</v>
      </c>
      <c r="V57" s="68">
        <v>0</v>
      </c>
      <c r="W57" s="68">
        <v>0</v>
      </c>
      <c r="X57" s="880"/>
    </row>
    <row r="58" spans="1:24" ht="36.75" thickBot="1">
      <c r="A58" s="885"/>
      <c r="B58" s="169" t="s">
        <v>576</v>
      </c>
      <c r="C58" s="1258" t="s">
        <v>170</v>
      </c>
      <c r="D58" s="927" t="s">
        <v>4</v>
      </c>
      <c r="E58" s="928"/>
      <c r="F58" s="928"/>
      <c r="G58" s="928"/>
      <c r="H58" s="928"/>
      <c r="I58" s="928"/>
      <c r="J58" s="928"/>
      <c r="K58" s="928"/>
      <c r="L58" s="928"/>
      <c r="M58" s="928"/>
      <c r="N58" s="928"/>
      <c r="O58" s="928"/>
      <c r="P58" s="928"/>
      <c r="Q58" s="928"/>
      <c r="R58" s="928"/>
      <c r="S58" s="928"/>
      <c r="T58" s="928"/>
      <c r="U58" s="928"/>
      <c r="V58" s="928"/>
      <c r="W58" s="928"/>
      <c r="X58" s="880"/>
    </row>
    <row r="59" spans="1:24" ht="12.95" customHeight="1" thickBot="1">
      <c r="A59" s="869"/>
      <c r="B59" s="176" t="s">
        <v>577</v>
      </c>
      <c r="C59" s="1259"/>
      <c r="D59" s="930" t="s">
        <v>126</v>
      </c>
      <c r="E59" s="931"/>
      <c r="F59" s="931"/>
      <c r="G59" s="931"/>
      <c r="H59" s="931"/>
      <c r="I59" s="931"/>
      <c r="J59" s="931"/>
      <c r="K59" s="931"/>
      <c r="L59" s="931"/>
      <c r="M59" s="931"/>
      <c r="N59" s="931"/>
      <c r="O59" s="931"/>
      <c r="P59" s="931"/>
      <c r="Q59" s="931"/>
      <c r="R59" s="931"/>
      <c r="S59" s="931"/>
      <c r="T59" s="931"/>
      <c r="U59" s="931"/>
      <c r="V59" s="931"/>
      <c r="W59" s="932"/>
      <c r="X59" s="881"/>
    </row>
    <row r="60" spans="1:24" ht="12.95" customHeight="1" thickBot="1">
      <c r="A60" s="906" t="s">
        <v>7</v>
      </c>
      <c r="B60" s="908" t="s">
        <v>173</v>
      </c>
      <c r="C60" s="909"/>
      <c r="D60" s="908" t="s">
        <v>8</v>
      </c>
      <c r="E60" s="918"/>
      <c r="F60" s="918"/>
      <c r="G60" s="909"/>
      <c r="H60" s="908" t="s">
        <v>88</v>
      </c>
      <c r="I60" s="918"/>
      <c r="J60" s="918"/>
      <c r="K60" s="909"/>
      <c r="L60" s="908" t="s">
        <v>89</v>
      </c>
      <c r="M60" s="918"/>
      <c r="N60" s="918"/>
      <c r="O60" s="909"/>
      <c r="P60" s="908" t="s">
        <v>9</v>
      </c>
      <c r="Q60" s="918"/>
      <c r="R60" s="918"/>
      <c r="S60" s="909"/>
      <c r="T60" s="908" t="s">
        <v>174</v>
      </c>
      <c r="U60" s="918"/>
      <c r="V60" s="918"/>
      <c r="W60" s="918"/>
      <c r="X60" s="909"/>
    </row>
    <row r="61" spans="1:24" ht="13.5" thickBot="1">
      <c r="A61" s="907"/>
      <c r="B61" s="916">
        <f>SUM(B82+B103+B132+B164+B180)</f>
        <v>0</v>
      </c>
      <c r="C61" s="917"/>
      <c r="D61" s="1274" t="e">
        <f>SUM(D82+D103+D132+D164+D180)</f>
        <v>#VALUE!</v>
      </c>
      <c r="E61" s="994"/>
      <c r="F61" s="994">
        <f>SUM(F82+F103+F132+F164+F180)</f>
        <v>0</v>
      </c>
      <c r="G61" s="917"/>
      <c r="H61" s="1274">
        <f>SUM(H82+H103+H132+H164+H180)</f>
        <v>0</v>
      </c>
      <c r="I61" s="994"/>
      <c r="J61" s="994">
        <f>SUM(J82+J103+J132+J164+J180)</f>
        <v>0</v>
      </c>
      <c r="K61" s="917"/>
      <c r="L61" s="1274">
        <f>SUM(L82+L103+L132+L164+L180)</f>
        <v>0</v>
      </c>
      <c r="M61" s="994"/>
      <c r="N61" s="994">
        <f>SUM(N82+N103+N132+N164+N180)</f>
        <v>0</v>
      </c>
      <c r="O61" s="917"/>
      <c r="P61" s="916" t="e">
        <f>SUM(B61:O61)</f>
        <v>#VALUE!</v>
      </c>
      <c r="Q61" s="994"/>
      <c r="R61" s="994"/>
      <c r="S61" s="917"/>
      <c r="T61" s="916" t="e">
        <f>B61/P61%</f>
        <v>#VALUE!</v>
      </c>
      <c r="U61" s="994"/>
      <c r="V61" s="994"/>
      <c r="W61" s="994"/>
      <c r="X61" s="917"/>
    </row>
    <row r="62" spans="1:24" ht="13.5" thickBot="1">
      <c r="A62" s="906" t="s">
        <v>10</v>
      </c>
      <c r="B62" s="908" t="s">
        <v>175</v>
      </c>
      <c r="C62" s="909"/>
      <c r="D62" s="910"/>
      <c r="E62" s="911"/>
      <c r="F62" s="911"/>
      <c r="G62" s="911"/>
      <c r="H62" s="911"/>
      <c r="I62" s="911"/>
      <c r="J62" s="911"/>
      <c r="K62" s="911"/>
      <c r="L62" s="911"/>
      <c r="M62" s="911"/>
      <c r="N62" s="911"/>
      <c r="O62" s="911"/>
      <c r="P62" s="911"/>
      <c r="Q62" s="911"/>
      <c r="R62" s="911"/>
      <c r="S62" s="911"/>
      <c r="T62" s="911"/>
      <c r="U62" s="911"/>
      <c r="V62" s="911"/>
      <c r="W62" s="911"/>
      <c r="X62" s="912"/>
    </row>
    <row r="63" spans="1:24" ht="13.5" thickBot="1">
      <c r="A63" s="907"/>
      <c r="B63" s="916" t="e">
        <f>SUM(B84+B105+B134+B166+B182)</f>
        <v>#VALUE!</v>
      </c>
      <c r="C63" s="917"/>
      <c r="D63" s="913"/>
      <c r="E63" s="914"/>
      <c r="F63" s="914"/>
      <c r="G63" s="914"/>
      <c r="H63" s="914"/>
      <c r="I63" s="914"/>
      <c r="J63" s="914"/>
      <c r="K63" s="914"/>
      <c r="L63" s="914"/>
      <c r="M63" s="914"/>
      <c r="N63" s="914"/>
      <c r="O63" s="914"/>
      <c r="P63" s="914"/>
      <c r="Q63" s="914"/>
      <c r="R63" s="914"/>
      <c r="S63" s="914"/>
      <c r="T63" s="914"/>
      <c r="U63" s="914"/>
      <c r="V63" s="914"/>
      <c r="W63" s="914"/>
      <c r="X63" s="915"/>
    </row>
    <row r="64" spans="1:24">
      <c r="A64" s="5"/>
      <c r="B64" s="5"/>
      <c r="C64" s="6"/>
      <c r="D64" s="5"/>
      <c r="E64" s="5"/>
      <c r="F64" s="5"/>
      <c r="G64" s="5"/>
      <c r="H64" s="5"/>
      <c r="I64" s="5"/>
      <c r="J64" s="5"/>
      <c r="K64" s="5"/>
      <c r="L64" s="5"/>
      <c r="M64" s="5"/>
      <c r="N64" s="5"/>
      <c r="O64" s="5"/>
      <c r="P64" s="5"/>
      <c r="Q64" s="5"/>
      <c r="R64" s="5"/>
      <c r="S64" s="5"/>
      <c r="T64" s="5"/>
      <c r="U64" s="5"/>
      <c r="V64" s="5"/>
      <c r="W64" s="5"/>
      <c r="X64" s="5"/>
    </row>
    <row r="65" spans="1:24" ht="13.5" thickBot="1">
      <c r="A65" s="21"/>
      <c r="B65" s="21"/>
      <c r="C65" s="22"/>
      <c r="D65" s="21"/>
      <c r="E65" s="21"/>
      <c r="F65" s="21"/>
      <c r="G65" s="21"/>
      <c r="H65" s="21"/>
      <c r="I65" s="21"/>
      <c r="J65" s="21"/>
      <c r="K65" s="21"/>
      <c r="L65" s="21"/>
      <c r="M65" s="21"/>
      <c r="N65" s="21"/>
      <c r="O65" s="21"/>
      <c r="P65" s="21"/>
      <c r="Q65" s="21"/>
      <c r="R65" s="21"/>
      <c r="S65" s="21"/>
      <c r="T65" s="21"/>
      <c r="U65" s="21"/>
      <c r="V65" s="21"/>
      <c r="W65" s="21"/>
      <c r="X65" s="21"/>
    </row>
    <row r="66" spans="1:24" ht="12.95" customHeight="1" thickBot="1">
      <c r="A66" s="95" t="s">
        <v>11</v>
      </c>
      <c r="B66" s="97" t="s">
        <v>16</v>
      </c>
      <c r="C66" s="8"/>
      <c r="D66" s="927" t="s">
        <v>78</v>
      </c>
      <c r="E66" s="928"/>
      <c r="F66" s="928"/>
      <c r="G66" s="929"/>
      <c r="H66" s="927" t="s">
        <v>77</v>
      </c>
      <c r="I66" s="928"/>
      <c r="J66" s="928"/>
      <c r="K66" s="929"/>
      <c r="L66" s="927" t="s">
        <v>81</v>
      </c>
      <c r="M66" s="928"/>
      <c r="N66" s="928"/>
      <c r="O66" s="929"/>
      <c r="P66" s="927" t="s">
        <v>254</v>
      </c>
      <c r="Q66" s="928"/>
      <c r="R66" s="928"/>
      <c r="S66" s="929"/>
      <c r="T66" s="927" t="s">
        <v>76</v>
      </c>
      <c r="U66" s="928"/>
      <c r="V66" s="928"/>
      <c r="W66" s="929"/>
      <c r="X66" s="16" t="s">
        <v>12</v>
      </c>
    </row>
    <row r="67" spans="1:24" ht="12.95" customHeight="1" thickBot="1">
      <c r="A67" s="868" t="s">
        <v>57</v>
      </c>
      <c r="B67" s="868" t="s">
        <v>58</v>
      </c>
      <c r="C67" s="9" t="s">
        <v>2</v>
      </c>
      <c r="D67" s="966" t="s">
        <v>255</v>
      </c>
      <c r="E67" s="967"/>
      <c r="F67" s="967"/>
      <c r="G67" s="968"/>
      <c r="H67" s="942">
        <v>1</v>
      </c>
      <c r="I67" s="943"/>
      <c r="J67" s="943"/>
      <c r="K67" s="944"/>
      <c r="L67" s="942">
        <v>1.5</v>
      </c>
      <c r="M67" s="943"/>
      <c r="N67" s="943"/>
      <c r="O67" s="944"/>
      <c r="P67" s="942">
        <v>1.7</v>
      </c>
      <c r="Q67" s="943"/>
      <c r="R67" s="943"/>
      <c r="S67" s="944"/>
      <c r="T67" s="1188">
        <v>3.3</v>
      </c>
      <c r="U67" s="1189"/>
      <c r="V67" s="1189"/>
      <c r="W67" s="1190"/>
      <c r="X67" s="879" t="s">
        <v>97</v>
      </c>
    </row>
    <row r="68" spans="1:24" ht="13.5" thickBot="1">
      <c r="A68" s="885"/>
      <c r="B68" s="885"/>
      <c r="C68" s="10" t="s">
        <v>3</v>
      </c>
      <c r="D68" s="957"/>
      <c r="E68" s="958"/>
      <c r="F68" s="958"/>
      <c r="G68" s="959"/>
      <c r="H68" s="936"/>
      <c r="I68" s="937"/>
      <c r="J68" s="937"/>
      <c r="K68" s="938"/>
      <c r="L68" s="963">
        <v>1.5</v>
      </c>
      <c r="M68" s="964"/>
      <c r="N68" s="964"/>
      <c r="O68" s="965"/>
      <c r="P68" s="963">
        <v>1</v>
      </c>
      <c r="Q68" s="964"/>
      <c r="R68" s="964"/>
      <c r="S68" s="965"/>
      <c r="T68" s="963">
        <v>0</v>
      </c>
      <c r="U68" s="964"/>
      <c r="V68" s="964"/>
      <c r="W68" s="965"/>
      <c r="X68" s="880"/>
    </row>
    <row r="69" spans="1:24" ht="12.95" customHeight="1" thickBot="1">
      <c r="A69" s="885"/>
      <c r="B69" s="885"/>
      <c r="C69" s="1258" t="s">
        <v>170</v>
      </c>
      <c r="D69" s="927" t="s">
        <v>4</v>
      </c>
      <c r="E69" s="928"/>
      <c r="F69" s="928"/>
      <c r="G69" s="928"/>
      <c r="H69" s="928"/>
      <c r="I69" s="928"/>
      <c r="J69" s="928"/>
      <c r="K69" s="928"/>
      <c r="L69" s="928"/>
      <c r="M69" s="928"/>
      <c r="N69" s="928"/>
      <c r="O69" s="928"/>
      <c r="P69" s="928"/>
      <c r="Q69" s="928"/>
      <c r="R69" s="928"/>
      <c r="S69" s="928"/>
      <c r="T69" s="928"/>
      <c r="U69" s="928"/>
      <c r="V69" s="928"/>
      <c r="W69" s="929"/>
      <c r="X69" s="880"/>
    </row>
    <row r="70" spans="1:24" ht="12.95" customHeight="1" thickBot="1">
      <c r="A70" s="885"/>
      <c r="B70" s="869"/>
      <c r="C70" s="1259"/>
      <c r="D70" s="930" t="s">
        <v>272</v>
      </c>
      <c r="E70" s="931"/>
      <c r="F70" s="931"/>
      <c r="G70" s="931"/>
      <c r="H70" s="931"/>
      <c r="I70" s="931"/>
      <c r="J70" s="931"/>
      <c r="K70" s="931"/>
      <c r="L70" s="931"/>
      <c r="M70" s="931"/>
      <c r="N70" s="931"/>
      <c r="O70" s="931"/>
      <c r="P70" s="931"/>
      <c r="Q70" s="931"/>
      <c r="R70" s="931"/>
      <c r="S70" s="931"/>
      <c r="T70" s="931"/>
      <c r="U70" s="931"/>
      <c r="V70" s="931"/>
      <c r="W70" s="932"/>
      <c r="X70" s="880"/>
    </row>
    <row r="71" spans="1:24" ht="12.95" customHeight="1" thickBot="1">
      <c r="A71" s="885"/>
      <c r="B71" s="11" t="s">
        <v>17</v>
      </c>
      <c r="C71" s="12"/>
      <c r="D71" s="927" t="s">
        <v>78</v>
      </c>
      <c r="E71" s="928"/>
      <c r="F71" s="928"/>
      <c r="G71" s="929"/>
      <c r="H71" s="927" t="s">
        <v>77</v>
      </c>
      <c r="I71" s="928"/>
      <c r="J71" s="928"/>
      <c r="K71" s="929"/>
      <c r="L71" s="927" t="s">
        <v>81</v>
      </c>
      <c r="M71" s="928"/>
      <c r="N71" s="928"/>
      <c r="O71" s="929"/>
      <c r="P71" s="927" t="s">
        <v>254</v>
      </c>
      <c r="Q71" s="928"/>
      <c r="R71" s="928"/>
      <c r="S71" s="929"/>
      <c r="T71" s="927" t="s">
        <v>76</v>
      </c>
      <c r="U71" s="928"/>
      <c r="V71" s="928"/>
      <c r="W71" s="929"/>
      <c r="X71" s="880"/>
    </row>
    <row r="72" spans="1:24" ht="12.95" customHeight="1" thickBot="1">
      <c r="A72" s="885"/>
      <c r="B72" s="868" t="s">
        <v>59</v>
      </c>
      <c r="C72" s="23" t="s">
        <v>2</v>
      </c>
      <c r="D72" s="966" t="s">
        <v>255</v>
      </c>
      <c r="E72" s="967"/>
      <c r="F72" s="967"/>
      <c r="G72" s="968"/>
      <c r="H72" s="942">
        <v>1</v>
      </c>
      <c r="I72" s="943"/>
      <c r="J72" s="943"/>
      <c r="K72" s="944"/>
      <c r="L72" s="942">
        <v>1</v>
      </c>
      <c r="M72" s="943"/>
      <c r="N72" s="943"/>
      <c r="O72" s="944"/>
      <c r="P72" s="942">
        <v>1.3</v>
      </c>
      <c r="Q72" s="943"/>
      <c r="R72" s="943"/>
      <c r="S72" s="944"/>
      <c r="T72" s="1188">
        <v>3.5</v>
      </c>
      <c r="U72" s="1189"/>
      <c r="V72" s="1189"/>
      <c r="W72" s="1190"/>
      <c r="X72" s="880"/>
    </row>
    <row r="73" spans="1:24" ht="13.5" thickBot="1">
      <c r="A73" s="885"/>
      <c r="B73" s="885"/>
      <c r="C73" s="9" t="s">
        <v>3</v>
      </c>
      <c r="D73" s="957"/>
      <c r="E73" s="958"/>
      <c r="F73" s="958"/>
      <c r="G73" s="959"/>
      <c r="H73" s="936"/>
      <c r="I73" s="937"/>
      <c r="J73" s="937"/>
      <c r="K73" s="938"/>
      <c r="L73" s="963">
        <v>1</v>
      </c>
      <c r="M73" s="964"/>
      <c r="N73" s="964"/>
      <c r="O73" s="965"/>
      <c r="P73" s="963">
        <v>1</v>
      </c>
      <c r="Q73" s="964"/>
      <c r="R73" s="964"/>
      <c r="S73" s="965"/>
      <c r="T73" s="963">
        <v>0</v>
      </c>
      <c r="U73" s="964"/>
      <c r="V73" s="964"/>
      <c r="W73" s="965"/>
      <c r="X73" s="880"/>
    </row>
    <row r="74" spans="1:24" ht="12.95" customHeight="1" thickBot="1">
      <c r="A74" s="885"/>
      <c r="B74" s="885"/>
      <c r="C74" s="1258" t="s">
        <v>170</v>
      </c>
      <c r="D74" s="927" t="s">
        <v>4</v>
      </c>
      <c r="E74" s="928"/>
      <c r="F74" s="928"/>
      <c r="G74" s="928"/>
      <c r="H74" s="928"/>
      <c r="I74" s="928"/>
      <c r="J74" s="928"/>
      <c r="K74" s="928"/>
      <c r="L74" s="928"/>
      <c r="M74" s="928"/>
      <c r="N74" s="928"/>
      <c r="O74" s="928"/>
      <c r="P74" s="928"/>
      <c r="Q74" s="928"/>
      <c r="R74" s="928"/>
      <c r="S74" s="928"/>
      <c r="T74" s="928"/>
      <c r="U74" s="928"/>
      <c r="V74" s="928"/>
      <c r="W74" s="929"/>
      <c r="X74" s="880"/>
    </row>
    <row r="75" spans="1:24" ht="12.95" customHeight="1" thickBot="1">
      <c r="A75" s="885"/>
      <c r="B75" s="869"/>
      <c r="C75" s="1259"/>
      <c r="D75" s="930" t="s">
        <v>118</v>
      </c>
      <c r="E75" s="931"/>
      <c r="F75" s="931"/>
      <c r="G75" s="931"/>
      <c r="H75" s="931"/>
      <c r="I75" s="931"/>
      <c r="J75" s="931"/>
      <c r="K75" s="931"/>
      <c r="L75" s="931"/>
      <c r="M75" s="931"/>
      <c r="N75" s="931"/>
      <c r="O75" s="931"/>
      <c r="P75" s="931"/>
      <c r="Q75" s="931"/>
      <c r="R75" s="931"/>
      <c r="S75" s="931"/>
      <c r="T75" s="931"/>
      <c r="U75" s="931"/>
      <c r="V75" s="931"/>
      <c r="W75" s="932"/>
      <c r="X75" s="880"/>
    </row>
    <row r="76" spans="1:24" ht="12.95" customHeight="1" thickBot="1">
      <c r="A76" s="885"/>
      <c r="B76" s="11" t="s">
        <v>18</v>
      </c>
      <c r="C76" s="12"/>
      <c r="D76" s="927" t="s">
        <v>78</v>
      </c>
      <c r="E76" s="928"/>
      <c r="F76" s="928"/>
      <c r="G76" s="929"/>
      <c r="H76" s="927" t="s">
        <v>77</v>
      </c>
      <c r="I76" s="928"/>
      <c r="J76" s="928"/>
      <c r="K76" s="929"/>
      <c r="L76" s="927" t="s">
        <v>81</v>
      </c>
      <c r="M76" s="928"/>
      <c r="N76" s="928"/>
      <c r="O76" s="929"/>
      <c r="P76" s="927" t="s">
        <v>254</v>
      </c>
      <c r="Q76" s="928"/>
      <c r="R76" s="928"/>
      <c r="S76" s="929"/>
      <c r="T76" s="927" t="s">
        <v>76</v>
      </c>
      <c r="U76" s="928"/>
      <c r="V76" s="928"/>
      <c r="W76" s="929"/>
      <c r="X76" s="880"/>
    </row>
    <row r="77" spans="1:24" ht="12.95" customHeight="1" thickBot="1">
      <c r="A77" s="885"/>
      <c r="B77" s="868" t="s">
        <v>60</v>
      </c>
      <c r="C77" s="23" t="s">
        <v>2</v>
      </c>
      <c r="D77" s="966" t="s">
        <v>255</v>
      </c>
      <c r="E77" s="967"/>
      <c r="F77" s="967"/>
      <c r="G77" s="968"/>
      <c r="H77" s="1006">
        <v>0</v>
      </c>
      <c r="I77" s="1289"/>
      <c r="J77" s="1289"/>
      <c r="K77" s="1007"/>
      <c r="L77" s="1006">
        <v>0</v>
      </c>
      <c r="M77" s="1289"/>
      <c r="N77" s="1289"/>
      <c r="O77" s="1007"/>
      <c r="P77" s="1006">
        <v>0</v>
      </c>
      <c r="Q77" s="1289"/>
      <c r="R77" s="1289"/>
      <c r="S77" s="1007"/>
      <c r="T77" s="1310">
        <v>1</v>
      </c>
      <c r="U77" s="1311"/>
      <c r="V77" s="1311"/>
      <c r="W77" s="1312"/>
      <c r="X77" s="880"/>
    </row>
    <row r="78" spans="1:24" ht="13.5" thickBot="1">
      <c r="A78" s="869"/>
      <c r="B78" s="885"/>
      <c r="C78" s="9" t="s">
        <v>3</v>
      </c>
      <c r="D78" s="933"/>
      <c r="E78" s="934"/>
      <c r="F78" s="934"/>
      <c r="G78" s="935"/>
      <c r="H78" s="936"/>
      <c r="I78" s="937"/>
      <c r="J78" s="937"/>
      <c r="K78" s="938"/>
      <c r="L78" s="939">
        <v>0</v>
      </c>
      <c r="M78" s="970"/>
      <c r="N78" s="970"/>
      <c r="O78" s="953"/>
      <c r="P78" s="939">
        <v>0</v>
      </c>
      <c r="Q78" s="970"/>
      <c r="R78" s="970"/>
      <c r="S78" s="953"/>
      <c r="T78" s="939">
        <v>0</v>
      </c>
      <c r="U78" s="970"/>
      <c r="V78" s="970"/>
      <c r="W78" s="953"/>
      <c r="X78" s="881"/>
    </row>
    <row r="79" spans="1:24" ht="12.95" customHeight="1" thickBot="1">
      <c r="A79" s="96" t="s">
        <v>13</v>
      </c>
      <c r="B79" s="885"/>
      <c r="C79" s="1258" t="s">
        <v>170</v>
      </c>
      <c r="D79" s="927" t="s">
        <v>4</v>
      </c>
      <c r="E79" s="928"/>
      <c r="F79" s="928"/>
      <c r="G79" s="928"/>
      <c r="H79" s="928"/>
      <c r="I79" s="928"/>
      <c r="J79" s="928"/>
      <c r="K79" s="928"/>
      <c r="L79" s="928"/>
      <c r="M79" s="928"/>
      <c r="N79" s="928"/>
      <c r="O79" s="928"/>
      <c r="P79" s="928"/>
      <c r="Q79" s="928"/>
      <c r="R79" s="928"/>
      <c r="S79" s="928"/>
      <c r="T79" s="928"/>
      <c r="U79" s="928"/>
      <c r="V79" s="928"/>
      <c r="W79" s="929"/>
      <c r="X79" s="24" t="s">
        <v>14</v>
      </c>
    </row>
    <row r="80" spans="1:24" ht="12.95" customHeight="1" thickBot="1">
      <c r="A80" s="25" t="s">
        <v>75</v>
      </c>
      <c r="B80" s="869"/>
      <c r="C80" s="1259"/>
      <c r="D80" s="930" t="s">
        <v>119</v>
      </c>
      <c r="E80" s="931"/>
      <c r="F80" s="931"/>
      <c r="G80" s="931"/>
      <c r="H80" s="931"/>
      <c r="I80" s="931"/>
      <c r="J80" s="931"/>
      <c r="K80" s="931"/>
      <c r="L80" s="931"/>
      <c r="M80" s="931"/>
      <c r="N80" s="931"/>
      <c r="O80" s="931"/>
      <c r="P80" s="931"/>
      <c r="Q80" s="931"/>
      <c r="R80" s="931"/>
      <c r="S80" s="931"/>
      <c r="T80" s="931"/>
      <c r="U80" s="931"/>
      <c r="V80" s="931"/>
      <c r="W80" s="932"/>
      <c r="X80" s="18" t="s">
        <v>92</v>
      </c>
    </row>
    <row r="81" spans="1:24" ht="12.95" customHeight="1" thickBot="1">
      <c r="A81" s="906" t="s">
        <v>7</v>
      </c>
      <c r="B81" s="908" t="s">
        <v>173</v>
      </c>
      <c r="C81" s="909"/>
      <c r="D81" s="908" t="s">
        <v>8</v>
      </c>
      <c r="E81" s="918"/>
      <c r="F81" s="918"/>
      <c r="G81" s="909"/>
      <c r="H81" s="908" t="s">
        <v>88</v>
      </c>
      <c r="I81" s="918"/>
      <c r="J81" s="918"/>
      <c r="K81" s="909"/>
      <c r="L81" s="908" t="s">
        <v>89</v>
      </c>
      <c r="M81" s="918"/>
      <c r="N81" s="918"/>
      <c r="O81" s="909"/>
      <c r="P81" s="908" t="s">
        <v>9</v>
      </c>
      <c r="Q81" s="918"/>
      <c r="R81" s="918"/>
      <c r="S81" s="909"/>
      <c r="T81" s="908" t="s">
        <v>174</v>
      </c>
      <c r="U81" s="918"/>
      <c r="V81" s="918"/>
      <c r="W81" s="918"/>
      <c r="X81" s="909"/>
    </row>
    <row r="82" spans="1:24" ht="13.5" thickBot="1">
      <c r="A82" s="907"/>
      <c r="B82" s="1256"/>
      <c r="C82" s="1257"/>
      <c r="D82" s="916"/>
      <c r="E82" s="994"/>
      <c r="F82" s="994"/>
      <c r="G82" s="917"/>
      <c r="H82" s="916"/>
      <c r="I82" s="994"/>
      <c r="J82" s="994"/>
      <c r="K82" s="917"/>
      <c r="L82" s="916"/>
      <c r="M82" s="994"/>
      <c r="N82" s="994"/>
      <c r="O82" s="917"/>
      <c r="P82" s="916">
        <f>SUM(B82:O82)</f>
        <v>0</v>
      </c>
      <c r="Q82" s="994"/>
      <c r="R82" s="994"/>
      <c r="S82" s="917"/>
      <c r="T82" s="916" t="e">
        <f>B82/P82%</f>
        <v>#DIV/0!</v>
      </c>
      <c r="U82" s="994"/>
      <c r="V82" s="994"/>
      <c r="W82" s="994"/>
      <c r="X82" s="917"/>
    </row>
    <row r="83" spans="1:24" ht="13.5" thickBot="1">
      <c r="A83" s="906" t="s">
        <v>10</v>
      </c>
      <c r="B83" s="908" t="s">
        <v>175</v>
      </c>
      <c r="C83" s="909"/>
      <c r="D83" s="910"/>
      <c r="E83" s="911"/>
      <c r="F83" s="911"/>
      <c r="G83" s="911"/>
      <c r="H83" s="911"/>
      <c r="I83" s="911"/>
      <c r="J83" s="911"/>
      <c r="K83" s="911"/>
      <c r="L83" s="911"/>
      <c r="M83" s="911"/>
      <c r="N83" s="911"/>
      <c r="O83" s="911"/>
      <c r="P83" s="911"/>
      <c r="Q83" s="911"/>
      <c r="R83" s="911"/>
      <c r="S83" s="911"/>
      <c r="T83" s="911"/>
      <c r="U83" s="911"/>
      <c r="V83" s="911"/>
      <c r="W83" s="911"/>
      <c r="X83" s="912"/>
    </row>
    <row r="84" spans="1:24" ht="13.5" thickBot="1">
      <c r="A84" s="907"/>
      <c r="B84" s="1256"/>
      <c r="C84" s="1257"/>
      <c r="D84" s="913"/>
      <c r="E84" s="914"/>
      <c r="F84" s="914"/>
      <c r="G84" s="914"/>
      <c r="H84" s="914"/>
      <c r="I84" s="914"/>
      <c r="J84" s="914"/>
      <c r="K84" s="914"/>
      <c r="L84" s="914"/>
      <c r="M84" s="914"/>
      <c r="N84" s="914"/>
      <c r="O84" s="914"/>
      <c r="P84" s="914"/>
      <c r="Q84" s="914"/>
      <c r="R84" s="914"/>
      <c r="S84" s="914"/>
      <c r="T84" s="914"/>
      <c r="U84" s="914"/>
      <c r="V84" s="914"/>
      <c r="W84" s="914"/>
      <c r="X84" s="915"/>
    </row>
    <row r="85" spans="1:24">
      <c r="A85" s="5"/>
      <c r="B85" s="5"/>
      <c r="C85" s="6"/>
      <c r="D85" s="5"/>
      <c r="E85" s="5"/>
      <c r="F85" s="5"/>
      <c r="G85" s="5"/>
      <c r="H85" s="5"/>
      <c r="I85" s="5"/>
      <c r="J85" s="5"/>
      <c r="K85" s="5"/>
      <c r="L85" s="5"/>
      <c r="M85" s="5"/>
      <c r="N85" s="5"/>
      <c r="O85" s="5"/>
      <c r="P85" s="5"/>
      <c r="Q85" s="5"/>
      <c r="R85" s="5"/>
      <c r="S85" s="5"/>
      <c r="T85" s="5"/>
      <c r="U85" s="5"/>
      <c r="V85" s="5"/>
      <c r="W85" s="5"/>
      <c r="X85" s="5"/>
    </row>
    <row r="86" spans="1:24" ht="13.5" thickBot="1">
      <c r="A86" s="5"/>
      <c r="B86" s="5"/>
      <c r="C86" s="6"/>
      <c r="D86" s="5"/>
      <c r="E86" s="5"/>
      <c r="F86" s="5"/>
      <c r="G86" s="5"/>
      <c r="H86" s="5"/>
      <c r="I86" s="5"/>
      <c r="J86" s="5"/>
      <c r="K86" s="5"/>
      <c r="L86" s="5"/>
      <c r="M86" s="5"/>
      <c r="N86" s="5"/>
      <c r="O86" s="5"/>
      <c r="P86" s="5"/>
      <c r="Q86" s="5"/>
      <c r="R86" s="5"/>
      <c r="S86" s="5"/>
      <c r="T86" s="5"/>
      <c r="U86" s="5"/>
      <c r="V86" s="5"/>
      <c r="W86" s="5"/>
      <c r="X86" s="5"/>
    </row>
    <row r="87" spans="1:24" ht="12.95" customHeight="1" thickBot="1">
      <c r="A87" s="95" t="s">
        <v>15</v>
      </c>
      <c r="B87" s="97" t="s">
        <v>19</v>
      </c>
      <c r="C87" s="8"/>
      <c r="D87" s="927" t="s">
        <v>78</v>
      </c>
      <c r="E87" s="928"/>
      <c r="F87" s="928"/>
      <c r="G87" s="929"/>
      <c r="H87" s="927" t="s">
        <v>77</v>
      </c>
      <c r="I87" s="928"/>
      <c r="J87" s="928"/>
      <c r="K87" s="929"/>
      <c r="L87" s="927" t="s">
        <v>81</v>
      </c>
      <c r="M87" s="928"/>
      <c r="N87" s="928"/>
      <c r="O87" s="929"/>
      <c r="P87" s="927" t="s">
        <v>254</v>
      </c>
      <c r="Q87" s="928"/>
      <c r="R87" s="928"/>
      <c r="S87" s="929"/>
      <c r="T87" s="927" t="s">
        <v>76</v>
      </c>
      <c r="U87" s="928"/>
      <c r="V87" s="928"/>
      <c r="W87" s="929"/>
      <c r="X87" s="16" t="s">
        <v>6</v>
      </c>
    </row>
    <row r="88" spans="1:24" ht="12.95" customHeight="1" thickBot="1">
      <c r="A88" s="868" t="s">
        <v>61</v>
      </c>
      <c r="B88" s="868" t="s">
        <v>62</v>
      </c>
      <c r="C88" s="9" t="s">
        <v>2</v>
      </c>
      <c r="D88" s="966" t="s">
        <v>255</v>
      </c>
      <c r="E88" s="967"/>
      <c r="F88" s="967"/>
      <c r="G88" s="968"/>
      <c r="H88" s="942">
        <v>1</v>
      </c>
      <c r="I88" s="943"/>
      <c r="J88" s="943"/>
      <c r="K88" s="944"/>
      <c r="L88" s="942">
        <v>1</v>
      </c>
      <c r="M88" s="943"/>
      <c r="N88" s="943"/>
      <c r="O88" s="944"/>
      <c r="P88" s="942">
        <v>1.5</v>
      </c>
      <c r="Q88" s="943"/>
      <c r="R88" s="943"/>
      <c r="S88" s="944"/>
      <c r="T88" s="1188">
        <v>4</v>
      </c>
      <c r="U88" s="1189"/>
      <c r="V88" s="1189"/>
      <c r="W88" s="1190"/>
      <c r="X88" s="879" t="s">
        <v>94</v>
      </c>
    </row>
    <row r="89" spans="1:24" ht="13.5" thickBot="1">
      <c r="A89" s="885"/>
      <c r="B89" s="885"/>
      <c r="C89" s="99" t="s">
        <v>3</v>
      </c>
      <c r="D89" s="957"/>
      <c r="E89" s="958"/>
      <c r="F89" s="958"/>
      <c r="G89" s="959"/>
      <c r="H89" s="936"/>
      <c r="I89" s="937"/>
      <c r="J89" s="937"/>
      <c r="K89" s="938"/>
      <c r="L89" s="963">
        <v>1</v>
      </c>
      <c r="M89" s="964"/>
      <c r="N89" s="964"/>
      <c r="O89" s="965"/>
      <c r="P89" s="963">
        <v>1.1000000000000001</v>
      </c>
      <c r="Q89" s="964"/>
      <c r="R89" s="964"/>
      <c r="S89" s="965"/>
      <c r="T89" s="963">
        <v>0</v>
      </c>
      <c r="U89" s="964"/>
      <c r="V89" s="964"/>
      <c r="W89" s="965"/>
      <c r="X89" s="880"/>
    </row>
    <row r="90" spans="1:24" ht="12.95" customHeight="1" thickBot="1">
      <c r="A90" s="885"/>
      <c r="B90" s="885"/>
      <c r="C90" s="1258" t="s">
        <v>170</v>
      </c>
      <c r="D90" s="927" t="s">
        <v>4</v>
      </c>
      <c r="E90" s="928"/>
      <c r="F90" s="928"/>
      <c r="G90" s="928"/>
      <c r="H90" s="928"/>
      <c r="I90" s="928"/>
      <c r="J90" s="928"/>
      <c r="K90" s="928"/>
      <c r="L90" s="928"/>
      <c r="M90" s="928"/>
      <c r="N90" s="928"/>
      <c r="O90" s="928"/>
      <c r="P90" s="928"/>
      <c r="Q90" s="928"/>
      <c r="R90" s="928"/>
      <c r="S90" s="928"/>
      <c r="T90" s="928"/>
      <c r="U90" s="928"/>
      <c r="V90" s="928"/>
      <c r="W90" s="929"/>
      <c r="X90" s="880"/>
    </row>
    <row r="91" spans="1:24" ht="12.95" customHeight="1" thickBot="1">
      <c r="A91" s="885"/>
      <c r="B91" s="869"/>
      <c r="C91" s="1259"/>
      <c r="D91" s="930" t="s">
        <v>272</v>
      </c>
      <c r="E91" s="931"/>
      <c r="F91" s="931"/>
      <c r="G91" s="931"/>
      <c r="H91" s="931"/>
      <c r="I91" s="931"/>
      <c r="J91" s="931"/>
      <c r="K91" s="931"/>
      <c r="L91" s="931"/>
      <c r="M91" s="931"/>
      <c r="N91" s="931"/>
      <c r="O91" s="931"/>
      <c r="P91" s="931"/>
      <c r="Q91" s="931"/>
      <c r="R91" s="931"/>
      <c r="S91" s="931"/>
      <c r="T91" s="931"/>
      <c r="U91" s="931"/>
      <c r="V91" s="931"/>
      <c r="W91" s="932"/>
      <c r="X91" s="880"/>
    </row>
    <row r="92" spans="1:24" ht="12.95" customHeight="1" thickBot="1">
      <c r="A92" s="885"/>
      <c r="B92" s="11" t="s">
        <v>20</v>
      </c>
      <c r="C92" s="12"/>
      <c r="D92" s="927" t="s">
        <v>78</v>
      </c>
      <c r="E92" s="928"/>
      <c r="F92" s="928"/>
      <c r="G92" s="929"/>
      <c r="H92" s="927" t="s">
        <v>77</v>
      </c>
      <c r="I92" s="928"/>
      <c r="J92" s="928"/>
      <c r="K92" s="929"/>
      <c r="L92" s="927" t="s">
        <v>81</v>
      </c>
      <c r="M92" s="928"/>
      <c r="N92" s="928"/>
      <c r="O92" s="929"/>
      <c r="P92" s="927" t="s">
        <v>254</v>
      </c>
      <c r="Q92" s="928"/>
      <c r="R92" s="928"/>
      <c r="S92" s="929"/>
      <c r="T92" s="927" t="s">
        <v>76</v>
      </c>
      <c r="U92" s="928"/>
      <c r="V92" s="928"/>
      <c r="W92" s="929"/>
      <c r="X92" s="880"/>
    </row>
    <row r="93" spans="1:24" ht="12.95" customHeight="1" thickBot="1">
      <c r="A93" s="885"/>
      <c r="B93" s="868" t="s">
        <v>59</v>
      </c>
      <c r="C93" s="23" t="s">
        <v>2</v>
      </c>
      <c r="D93" s="966" t="s">
        <v>255</v>
      </c>
      <c r="E93" s="967"/>
      <c r="F93" s="967"/>
      <c r="G93" s="968"/>
      <c r="H93" s="942">
        <v>1</v>
      </c>
      <c r="I93" s="943"/>
      <c r="J93" s="943"/>
      <c r="K93" s="944"/>
      <c r="L93" s="942">
        <v>1</v>
      </c>
      <c r="M93" s="943"/>
      <c r="N93" s="943"/>
      <c r="O93" s="944"/>
      <c r="P93" s="942">
        <v>1.2</v>
      </c>
      <c r="Q93" s="943"/>
      <c r="R93" s="943"/>
      <c r="S93" s="944"/>
      <c r="T93" s="1188">
        <v>3.5</v>
      </c>
      <c r="U93" s="1189"/>
      <c r="V93" s="1189"/>
      <c r="W93" s="1190"/>
      <c r="X93" s="880"/>
    </row>
    <row r="94" spans="1:24" ht="13.5" thickBot="1">
      <c r="A94" s="885"/>
      <c r="B94" s="885"/>
      <c r="C94" s="9" t="s">
        <v>3</v>
      </c>
      <c r="D94" s="957"/>
      <c r="E94" s="958"/>
      <c r="F94" s="958"/>
      <c r="G94" s="959"/>
      <c r="H94" s="936"/>
      <c r="I94" s="937"/>
      <c r="J94" s="937"/>
      <c r="K94" s="938"/>
      <c r="L94" s="963">
        <v>1</v>
      </c>
      <c r="M94" s="964"/>
      <c r="N94" s="964"/>
      <c r="O94" s="965"/>
      <c r="P94" s="963">
        <v>1</v>
      </c>
      <c r="Q94" s="964"/>
      <c r="R94" s="964"/>
      <c r="S94" s="965"/>
      <c r="T94" s="963">
        <v>0</v>
      </c>
      <c r="U94" s="964"/>
      <c r="V94" s="964"/>
      <c r="W94" s="965"/>
      <c r="X94" s="880"/>
    </row>
    <row r="95" spans="1:24" ht="12.95" customHeight="1" thickBot="1">
      <c r="A95" s="885"/>
      <c r="B95" s="885"/>
      <c r="C95" s="1258" t="s">
        <v>170</v>
      </c>
      <c r="D95" s="927" t="s">
        <v>4</v>
      </c>
      <c r="E95" s="928"/>
      <c r="F95" s="928"/>
      <c r="G95" s="928"/>
      <c r="H95" s="928"/>
      <c r="I95" s="928"/>
      <c r="J95" s="928"/>
      <c r="K95" s="928"/>
      <c r="L95" s="928"/>
      <c r="M95" s="928"/>
      <c r="N95" s="928"/>
      <c r="O95" s="928"/>
      <c r="P95" s="928"/>
      <c r="Q95" s="928"/>
      <c r="R95" s="928"/>
      <c r="S95" s="928"/>
      <c r="T95" s="928"/>
      <c r="U95" s="928"/>
      <c r="V95" s="928"/>
      <c r="W95" s="929"/>
      <c r="X95" s="880"/>
    </row>
    <row r="96" spans="1:24" ht="12.95" customHeight="1" thickBot="1">
      <c r="A96" s="885"/>
      <c r="B96" s="869"/>
      <c r="C96" s="1259"/>
      <c r="D96" s="930" t="s">
        <v>118</v>
      </c>
      <c r="E96" s="931"/>
      <c r="F96" s="931"/>
      <c r="G96" s="931"/>
      <c r="H96" s="931"/>
      <c r="I96" s="931"/>
      <c r="J96" s="931"/>
      <c r="K96" s="931"/>
      <c r="L96" s="931"/>
      <c r="M96" s="931"/>
      <c r="N96" s="931"/>
      <c r="O96" s="931"/>
      <c r="P96" s="931"/>
      <c r="Q96" s="931"/>
      <c r="R96" s="931"/>
      <c r="S96" s="931"/>
      <c r="T96" s="931"/>
      <c r="U96" s="931"/>
      <c r="V96" s="931"/>
      <c r="W96" s="932"/>
      <c r="X96" s="880"/>
    </row>
    <row r="97" spans="1:24" ht="12.95" customHeight="1" thickBot="1">
      <c r="A97" s="885"/>
      <c r="B97" s="11" t="s">
        <v>21</v>
      </c>
      <c r="C97" s="12"/>
      <c r="D97" s="927" t="s">
        <v>78</v>
      </c>
      <c r="E97" s="928"/>
      <c r="F97" s="928"/>
      <c r="G97" s="929"/>
      <c r="H97" s="927" t="s">
        <v>77</v>
      </c>
      <c r="I97" s="928"/>
      <c r="J97" s="928"/>
      <c r="K97" s="929"/>
      <c r="L97" s="927" t="s">
        <v>81</v>
      </c>
      <c r="M97" s="928"/>
      <c r="N97" s="928"/>
      <c r="O97" s="929"/>
      <c r="P97" s="927" t="s">
        <v>254</v>
      </c>
      <c r="Q97" s="928"/>
      <c r="R97" s="928"/>
      <c r="S97" s="929"/>
      <c r="T97" s="927" t="s">
        <v>76</v>
      </c>
      <c r="U97" s="928"/>
      <c r="V97" s="928"/>
      <c r="W97" s="929"/>
      <c r="X97" s="880"/>
    </row>
    <row r="98" spans="1:24" ht="12.95" customHeight="1" thickBot="1">
      <c r="A98" s="885"/>
      <c r="B98" s="868" t="s">
        <v>63</v>
      </c>
      <c r="C98" s="26" t="s">
        <v>2</v>
      </c>
      <c r="D98" s="966" t="s">
        <v>255</v>
      </c>
      <c r="E98" s="967"/>
      <c r="F98" s="967"/>
      <c r="G98" s="968"/>
      <c r="H98" s="951">
        <v>0</v>
      </c>
      <c r="I98" s="969"/>
      <c r="J98" s="969"/>
      <c r="K98" s="952"/>
      <c r="L98" s="951">
        <v>0</v>
      </c>
      <c r="M98" s="969"/>
      <c r="N98" s="969"/>
      <c r="O98" s="952"/>
      <c r="P98" s="951">
        <v>0</v>
      </c>
      <c r="Q98" s="969"/>
      <c r="R98" s="969"/>
      <c r="S98" s="952"/>
      <c r="T98" s="1310">
        <v>1</v>
      </c>
      <c r="U98" s="1311"/>
      <c r="V98" s="1311"/>
      <c r="W98" s="1312"/>
      <c r="X98" s="880"/>
    </row>
    <row r="99" spans="1:24" ht="13.5" thickBot="1">
      <c r="A99" s="869"/>
      <c r="B99" s="885"/>
      <c r="C99" s="9" t="s">
        <v>3</v>
      </c>
      <c r="D99" s="933"/>
      <c r="E99" s="934"/>
      <c r="F99" s="934"/>
      <c r="G99" s="935"/>
      <c r="H99" s="936"/>
      <c r="I99" s="937"/>
      <c r="J99" s="937"/>
      <c r="K99" s="938"/>
      <c r="L99" s="939">
        <v>0</v>
      </c>
      <c r="M99" s="970"/>
      <c r="N99" s="970"/>
      <c r="O99" s="953"/>
      <c r="P99" s="939">
        <v>0</v>
      </c>
      <c r="Q99" s="970"/>
      <c r="R99" s="970"/>
      <c r="S99" s="953"/>
      <c r="T99" s="939">
        <v>0</v>
      </c>
      <c r="U99" s="970"/>
      <c r="V99" s="970"/>
      <c r="W99" s="953"/>
      <c r="X99" s="881"/>
    </row>
    <row r="100" spans="1:24" ht="12.95" customHeight="1" thickBot="1">
      <c r="A100" s="96" t="s">
        <v>13</v>
      </c>
      <c r="B100" s="885"/>
      <c r="C100" s="1258" t="s">
        <v>170</v>
      </c>
      <c r="D100" s="927" t="s">
        <v>4</v>
      </c>
      <c r="E100" s="928"/>
      <c r="F100" s="928"/>
      <c r="G100" s="928"/>
      <c r="H100" s="928"/>
      <c r="I100" s="928"/>
      <c r="J100" s="928"/>
      <c r="K100" s="928"/>
      <c r="L100" s="928"/>
      <c r="M100" s="928"/>
      <c r="N100" s="928"/>
      <c r="O100" s="928"/>
      <c r="P100" s="928"/>
      <c r="Q100" s="928"/>
      <c r="R100" s="928"/>
      <c r="S100" s="928"/>
      <c r="T100" s="928"/>
      <c r="U100" s="928"/>
      <c r="V100" s="928"/>
      <c r="W100" s="929"/>
      <c r="X100" s="24" t="s">
        <v>14</v>
      </c>
    </row>
    <row r="101" spans="1:24" ht="12.95" customHeight="1" thickBot="1">
      <c r="A101" s="25" t="s">
        <v>75</v>
      </c>
      <c r="B101" s="869"/>
      <c r="C101" s="1259"/>
      <c r="D101" s="930" t="s">
        <v>119</v>
      </c>
      <c r="E101" s="931"/>
      <c r="F101" s="931"/>
      <c r="G101" s="931"/>
      <c r="H101" s="931"/>
      <c r="I101" s="931"/>
      <c r="J101" s="931"/>
      <c r="K101" s="931"/>
      <c r="L101" s="931"/>
      <c r="M101" s="931"/>
      <c r="N101" s="931"/>
      <c r="O101" s="931"/>
      <c r="P101" s="931"/>
      <c r="Q101" s="931"/>
      <c r="R101" s="931"/>
      <c r="S101" s="931"/>
      <c r="T101" s="931"/>
      <c r="U101" s="931"/>
      <c r="V101" s="931"/>
      <c r="W101" s="932"/>
      <c r="X101" s="18" t="s">
        <v>93</v>
      </c>
    </row>
    <row r="102" spans="1:24" ht="12.95" customHeight="1" thickBot="1">
      <c r="A102" s="906" t="s">
        <v>7</v>
      </c>
      <c r="B102" s="908" t="s">
        <v>173</v>
      </c>
      <c r="C102" s="909"/>
      <c r="D102" s="908" t="s">
        <v>8</v>
      </c>
      <c r="E102" s="918"/>
      <c r="F102" s="918"/>
      <c r="G102" s="909"/>
      <c r="H102" s="908" t="s">
        <v>88</v>
      </c>
      <c r="I102" s="918"/>
      <c r="J102" s="918"/>
      <c r="K102" s="909"/>
      <c r="L102" s="908" t="s">
        <v>89</v>
      </c>
      <c r="M102" s="918"/>
      <c r="N102" s="918"/>
      <c r="O102" s="909"/>
      <c r="P102" s="908" t="s">
        <v>9</v>
      </c>
      <c r="Q102" s="918"/>
      <c r="R102" s="918"/>
      <c r="S102" s="909"/>
      <c r="T102" s="908" t="s">
        <v>174</v>
      </c>
      <c r="U102" s="918"/>
      <c r="V102" s="918"/>
      <c r="W102" s="918"/>
      <c r="X102" s="909"/>
    </row>
    <row r="103" spans="1:24" ht="13.5" thickBot="1">
      <c r="A103" s="907"/>
      <c r="B103" s="1256"/>
      <c r="C103" s="1257"/>
      <c r="D103" s="916"/>
      <c r="E103" s="994"/>
      <c r="F103" s="994"/>
      <c r="G103" s="917"/>
      <c r="H103" s="916"/>
      <c r="I103" s="994"/>
      <c r="J103" s="994"/>
      <c r="K103" s="917"/>
      <c r="L103" s="916"/>
      <c r="M103" s="994"/>
      <c r="N103" s="994"/>
      <c r="O103" s="917"/>
      <c r="P103" s="916">
        <f>SUM(B103:O103)</f>
        <v>0</v>
      </c>
      <c r="Q103" s="994"/>
      <c r="R103" s="994"/>
      <c r="S103" s="917"/>
      <c r="T103" s="916" t="e">
        <f>B103/P103%</f>
        <v>#DIV/0!</v>
      </c>
      <c r="U103" s="994"/>
      <c r="V103" s="994"/>
      <c r="W103" s="994"/>
      <c r="X103" s="917"/>
    </row>
    <row r="104" spans="1:24" ht="13.5" thickBot="1">
      <c r="A104" s="906" t="s">
        <v>10</v>
      </c>
      <c r="B104" s="908" t="s">
        <v>175</v>
      </c>
      <c r="C104" s="909"/>
      <c r="D104" s="910"/>
      <c r="E104" s="911"/>
      <c r="F104" s="911"/>
      <c r="G104" s="911"/>
      <c r="H104" s="911"/>
      <c r="I104" s="911"/>
      <c r="J104" s="911"/>
      <c r="K104" s="911"/>
      <c r="L104" s="911"/>
      <c r="M104" s="911"/>
      <c r="N104" s="911"/>
      <c r="O104" s="911"/>
      <c r="P104" s="911"/>
      <c r="Q104" s="911"/>
      <c r="R104" s="911"/>
      <c r="S104" s="911"/>
      <c r="T104" s="911"/>
      <c r="U104" s="911"/>
      <c r="V104" s="911"/>
      <c r="W104" s="911"/>
      <c r="X104" s="912"/>
    </row>
    <row r="105" spans="1:24" ht="13.5" thickBot="1">
      <c r="A105" s="907"/>
      <c r="B105" s="1256"/>
      <c r="C105" s="1257"/>
      <c r="D105" s="913"/>
      <c r="E105" s="914"/>
      <c r="F105" s="914"/>
      <c r="G105" s="914"/>
      <c r="H105" s="914"/>
      <c r="I105" s="914"/>
      <c r="J105" s="914"/>
      <c r="K105" s="914"/>
      <c r="L105" s="914"/>
      <c r="M105" s="914"/>
      <c r="N105" s="914"/>
      <c r="O105" s="914"/>
      <c r="P105" s="914"/>
      <c r="Q105" s="914"/>
      <c r="R105" s="914"/>
      <c r="S105" s="914"/>
      <c r="T105" s="914"/>
      <c r="U105" s="914"/>
      <c r="V105" s="914"/>
      <c r="W105" s="914"/>
      <c r="X105" s="915"/>
    </row>
    <row r="107" spans="1:24" ht="13.5" thickBot="1"/>
    <row r="108" spans="1:24" ht="12.95" customHeight="1" thickBot="1">
      <c r="A108" s="95" t="s">
        <v>26</v>
      </c>
      <c r="B108" s="97" t="s">
        <v>29</v>
      </c>
      <c r="C108" s="8"/>
      <c r="D108" s="927" t="s">
        <v>78</v>
      </c>
      <c r="E108" s="928"/>
      <c r="F108" s="928"/>
      <c r="G108" s="929"/>
      <c r="H108" s="927" t="s">
        <v>77</v>
      </c>
      <c r="I108" s="928"/>
      <c r="J108" s="928"/>
      <c r="K108" s="929"/>
      <c r="L108" s="927" t="s">
        <v>81</v>
      </c>
      <c r="M108" s="928"/>
      <c r="N108" s="928"/>
      <c r="O108" s="929"/>
      <c r="P108" s="927" t="s">
        <v>254</v>
      </c>
      <c r="Q108" s="928"/>
      <c r="R108" s="928"/>
      <c r="S108" s="929"/>
      <c r="T108" s="927" t="s">
        <v>76</v>
      </c>
      <c r="U108" s="928"/>
      <c r="V108" s="928"/>
      <c r="W108" s="929"/>
      <c r="X108" s="16" t="s">
        <v>12</v>
      </c>
    </row>
    <row r="109" spans="1:24" ht="56.1" customHeight="1" thickBot="1">
      <c r="A109" s="868" t="s">
        <v>64</v>
      </c>
      <c r="B109" s="868" t="s">
        <v>156</v>
      </c>
      <c r="C109" s="9"/>
      <c r="D109" s="17" t="s">
        <v>101</v>
      </c>
      <c r="E109" s="17" t="s">
        <v>104</v>
      </c>
      <c r="F109" s="17" t="s">
        <v>102</v>
      </c>
      <c r="G109" s="17" t="s">
        <v>103</v>
      </c>
      <c r="H109" s="17" t="s">
        <v>101</v>
      </c>
      <c r="I109" s="17" t="s">
        <v>104</v>
      </c>
      <c r="J109" s="17" t="s">
        <v>102</v>
      </c>
      <c r="K109" s="17" t="s">
        <v>103</v>
      </c>
      <c r="L109" s="17" t="s">
        <v>101</v>
      </c>
      <c r="M109" s="17" t="s">
        <v>104</v>
      </c>
      <c r="N109" s="17" t="s">
        <v>102</v>
      </c>
      <c r="O109" s="17" t="s">
        <v>103</v>
      </c>
      <c r="P109" s="17" t="s">
        <v>101</v>
      </c>
      <c r="Q109" s="17" t="s">
        <v>104</v>
      </c>
      <c r="R109" s="17" t="s">
        <v>102</v>
      </c>
      <c r="S109" s="17" t="s">
        <v>103</v>
      </c>
      <c r="T109" s="17" t="s">
        <v>101</v>
      </c>
      <c r="U109" s="17" t="s">
        <v>104</v>
      </c>
      <c r="V109" s="17" t="s">
        <v>102</v>
      </c>
      <c r="W109" s="17" t="s">
        <v>103</v>
      </c>
      <c r="X109" s="879" t="s">
        <v>98</v>
      </c>
    </row>
    <row r="110" spans="1:24" ht="12.95" customHeight="1" thickBot="1">
      <c r="A110" s="885"/>
      <c r="B110" s="885"/>
      <c r="C110" s="9" t="s">
        <v>2</v>
      </c>
      <c r="D110" s="966" t="s">
        <v>255</v>
      </c>
      <c r="E110" s="967"/>
      <c r="F110" s="967"/>
      <c r="G110" s="968"/>
      <c r="H110" s="18">
        <v>0</v>
      </c>
      <c r="I110" s="18">
        <v>0</v>
      </c>
      <c r="J110" s="18">
        <v>0</v>
      </c>
      <c r="K110" s="18">
        <v>0</v>
      </c>
      <c r="L110" s="18">
        <v>3</v>
      </c>
      <c r="M110" s="18">
        <v>2</v>
      </c>
      <c r="N110" s="18">
        <v>0</v>
      </c>
      <c r="O110" s="18">
        <v>0</v>
      </c>
      <c r="P110" s="18">
        <v>4</v>
      </c>
      <c r="Q110" s="18">
        <v>2</v>
      </c>
      <c r="R110" s="18">
        <v>1</v>
      </c>
      <c r="S110" s="18">
        <v>0</v>
      </c>
      <c r="T110" s="782">
        <v>8</v>
      </c>
      <c r="U110" s="782">
        <v>6</v>
      </c>
      <c r="V110" s="782">
        <v>4</v>
      </c>
      <c r="W110" s="787">
        <v>1</v>
      </c>
      <c r="X110" s="880"/>
    </row>
    <row r="111" spans="1:24" ht="13.5" thickBot="1">
      <c r="A111" s="885"/>
      <c r="B111" s="93" t="s">
        <v>151</v>
      </c>
      <c r="C111" s="10" t="s">
        <v>3</v>
      </c>
      <c r="D111" s="1265"/>
      <c r="E111" s="1266"/>
      <c r="F111" s="1266"/>
      <c r="G111" s="1267"/>
      <c r="H111" s="936"/>
      <c r="I111" s="937"/>
      <c r="J111" s="937"/>
      <c r="K111" s="938"/>
      <c r="L111" s="68">
        <v>0</v>
      </c>
      <c r="M111" s="68">
        <v>0</v>
      </c>
      <c r="N111" s="68">
        <v>0</v>
      </c>
      <c r="O111" s="68">
        <v>0</v>
      </c>
      <c r="P111" s="68">
        <v>9</v>
      </c>
      <c r="Q111" s="68">
        <v>4</v>
      </c>
      <c r="R111" s="68">
        <v>0</v>
      </c>
      <c r="S111" s="68">
        <v>0</v>
      </c>
      <c r="T111" s="68">
        <v>0</v>
      </c>
      <c r="U111" s="68">
        <v>0</v>
      </c>
      <c r="V111" s="68">
        <v>0</v>
      </c>
      <c r="W111" s="68">
        <v>0</v>
      </c>
      <c r="X111" s="880"/>
    </row>
    <row r="112" spans="1:24" ht="12.95" customHeight="1" thickBot="1">
      <c r="A112" s="885"/>
      <c r="B112" s="93" t="s">
        <v>150</v>
      </c>
      <c r="C112" s="1258" t="s">
        <v>170</v>
      </c>
      <c r="D112" s="927" t="s">
        <v>4</v>
      </c>
      <c r="E112" s="928"/>
      <c r="F112" s="928"/>
      <c r="G112" s="928"/>
      <c r="H112" s="928"/>
      <c r="I112" s="928"/>
      <c r="J112" s="928"/>
      <c r="K112" s="928"/>
      <c r="L112" s="928"/>
      <c r="M112" s="928"/>
      <c r="N112" s="928"/>
      <c r="O112" s="928"/>
      <c r="P112" s="928"/>
      <c r="Q112" s="928"/>
      <c r="R112" s="928"/>
      <c r="S112" s="928"/>
      <c r="T112" s="928"/>
      <c r="U112" s="928"/>
      <c r="V112" s="928"/>
      <c r="W112" s="929"/>
      <c r="X112" s="880"/>
    </row>
    <row r="113" spans="1:24" ht="12.95" customHeight="1" thickBot="1">
      <c r="A113" s="885"/>
      <c r="B113" s="94" t="s">
        <v>149</v>
      </c>
      <c r="C113" s="1259"/>
      <c r="D113" s="930" t="s">
        <v>420</v>
      </c>
      <c r="E113" s="931"/>
      <c r="F113" s="931"/>
      <c r="G113" s="931"/>
      <c r="H113" s="931"/>
      <c r="I113" s="931"/>
      <c r="J113" s="931"/>
      <c r="K113" s="931"/>
      <c r="L113" s="931"/>
      <c r="M113" s="931"/>
      <c r="N113" s="931"/>
      <c r="O113" s="931"/>
      <c r="P113" s="931"/>
      <c r="Q113" s="931"/>
      <c r="R113" s="931"/>
      <c r="S113" s="931"/>
      <c r="T113" s="931"/>
      <c r="U113" s="931"/>
      <c r="V113" s="931"/>
      <c r="W113" s="932"/>
      <c r="X113" s="880"/>
    </row>
    <row r="114" spans="1:24" ht="12.95" customHeight="1" thickBot="1">
      <c r="A114" s="885"/>
      <c r="B114" s="11" t="s">
        <v>30</v>
      </c>
      <c r="C114" s="12"/>
      <c r="D114" s="927" t="s">
        <v>78</v>
      </c>
      <c r="E114" s="928"/>
      <c r="F114" s="928"/>
      <c r="G114" s="929"/>
      <c r="H114" s="927" t="s">
        <v>77</v>
      </c>
      <c r="I114" s="928"/>
      <c r="J114" s="928"/>
      <c r="K114" s="929"/>
      <c r="L114" s="927" t="s">
        <v>81</v>
      </c>
      <c r="M114" s="928"/>
      <c r="N114" s="928"/>
      <c r="O114" s="929"/>
      <c r="P114" s="927" t="s">
        <v>254</v>
      </c>
      <c r="Q114" s="928"/>
      <c r="R114" s="928"/>
      <c r="S114" s="929"/>
      <c r="T114" s="927" t="s">
        <v>76</v>
      </c>
      <c r="U114" s="928"/>
      <c r="V114" s="928"/>
      <c r="W114" s="929"/>
      <c r="X114" s="880"/>
    </row>
    <row r="115" spans="1:24" ht="44.1" customHeight="1" thickBot="1">
      <c r="A115" s="885"/>
      <c r="B115" s="868" t="s">
        <v>157</v>
      </c>
      <c r="C115" s="23"/>
      <c r="D115" s="17" t="s">
        <v>101</v>
      </c>
      <c r="E115" s="17" t="s">
        <v>104</v>
      </c>
      <c r="F115" s="17" t="s">
        <v>102</v>
      </c>
      <c r="G115" s="17" t="s">
        <v>103</v>
      </c>
      <c r="H115" s="17" t="s">
        <v>101</v>
      </c>
      <c r="I115" s="17" t="s">
        <v>104</v>
      </c>
      <c r="J115" s="17" t="s">
        <v>102</v>
      </c>
      <c r="K115" s="17" t="s">
        <v>103</v>
      </c>
      <c r="L115" s="17" t="s">
        <v>101</v>
      </c>
      <c r="M115" s="17" t="s">
        <v>104</v>
      </c>
      <c r="N115" s="17" t="s">
        <v>102</v>
      </c>
      <c r="O115" s="17" t="s">
        <v>103</v>
      </c>
      <c r="P115" s="17" t="s">
        <v>101</v>
      </c>
      <c r="Q115" s="17" t="s">
        <v>104</v>
      </c>
      <c r="R115" s="17" t="s">
        <v>102</v>
      </c>
      <c r="S115" s="17" t="s">
        <v>103</v>
      </c>
      <c r="T115" s="17" t="s">
        <v>101</v>
      </c>
      <c r="U115" s="17" t="s">
        <v>104</v>
      </c>
      <c r="V115" s="17" t="s">
        <v>102</v>
      </c>
      <c r="W115" s="17" t="s">
        <v>103</v>
      </c>
      <c r="X115" s="880"/>
    </row>
    <row r="116" spans="1:24" ht="12.95" customHeight="1" thickBot="1">
      <c r="A116" s="885"/>
      <c r="B116" s="885"/>
      <c r="C116" s="9" t="s">
        <v>2</v>
      </c>
      <c r="D116" s="966" t="s">
        <v>255</v>
      </c>
      <c r="E116" s="967"/>
      <c r="F116" s="967"/>
      <c r="G116" s="968"/>
      <c r="H116" s="18">
        <v>0</v>
      </c>
      <c r="I116" s="18">
        <v>0</v>
      </c>
      <c r="J116" s="18">
        <v>0</v>
      </c>
      <c r="K116" s="18">
        <v>0</v>
      </c>
      <c r="L116" s="18">
        <v>3</v>
      </c>
      <c r="M116" s="18">
        <v>2</v>
      </c>
      <c r="N116" s="18">
        <v>0</v>
      </c>
      <c r="O116" s="18">
        <v>0</v>
      </c>
      <c r="P116" s="18">
        <v>3</v>
      </c>
      <c r="Q116" s="18">
        <v>2</v>
      </c>
      <c r="R116" s="18">
        <v>0</v>
      </c>
      <c r="S116" s="18">
        <v>0</v>
      </c>
      <c r="T116" s="782">
        <v>7</v>
      </c>
      <c r="U116" s="782">
        <v>5</v>
      </c>
      <c r="V116" s="782">
        <v>4</v>
      </c>
      <c r="W116" s="18">
        <v>1</v>
      </c>
      <c r="X116" s="880"/>
    </row>
    <row r="117" spans="1:24" ht="13.5" thickBot="1">
      <c r="A117" s="885"/>
      <c r="B117" s="93" t="s">
        <v>151</v>
      </c>
      <c r="C117" s="9" t="s">
        <v>3</v>
      </c>
      <c r="D117" s="933"/>
      <c r="E117" s="934"/>
      <c r="F117" s="934"/>
      <c r="G117" s="935"/>
      <c r="H117" s="936"/>
      <c r="I117" s="937"/>
      <c r="J117" s="937"/>
      <c r="K117" s="938"/>
      <c r="L117" s="68">
        <v>0</v>
      </c>
      <c r="M117" s="68">
        <v>0</v>
      </c>
      <c r="N117" s="68">
        <v>0</v>
      </c>
      <c r="O117" s="68">
        <v>0</v>
      </c>
      <c r="P117" s="68">
        <v>2</v>
      </c>
      <c r="Q117" s="68">
        <v>2</v>
      </c>
      <c r="R117" s="68">
        <v>2</v>
      </c>
      <c r="S117" s="68">
        <v>0</v>
      </c>
      <c r="T117" s="68">
        <v>0</v>
      </c>
      <c r="U117" s="68">
        <v>0</v>
      </c>
      <c r="V117" s="68">
        <v>0</v>
      </c>
      <c r="W117" s="68">
        <v>0</v>
      </c>
      <c r="X117" s="880"/>
    </row>
    <row r="118" spans="1:24" ht="12.95" customHeight="1" thickBot="1">
      <c r="A118" s="885"/>
      <c r="B118" s="93" t="s">
        <v>150</v>
      </c>
      <c r="C118" s="1258" t="s">
        <v>170</v>
      </c>
      <c r="D118" s="927" t="s">
        <v>4</v>
      </c>
      <c r="E118" s="928"/>
      <c r="F118" s="928"/>
      <c r="G118" s="928"/>
      <c r="H118" s="928"/>
      <c r="I118" s="928"/>
      <c r="J118" s="928"/>
      <c r="K118" s="928"/>
      <c r="L118" s="928"/>
      <c r="M118" s="928"/>
      <c r="N118" s="928"/>
      <c r="O118" s="928"/>
      <c r="P118" s="928"/>
      <c r="Q118" s="928"/>
      <c r="R118" s="928"/>
      <c r="S118" s="928"/>
      <c r="T118" s="928"/>
      <c r="U118" s="928"/>
      <c r="V118" s="928"/>
      <c r="W118" s="929"/>
      <c r="X118" s="880"/>
    </row>
    <row r="119" spans="1:24" ht="12.95" customHeight="1" thickBot="1">
      <c r="A119" s="885"/>
      <c r="B119" s="94" t="s">
        <v>152</v>
      </c>
      <c r="C119" s="1259"/>
      <c r="D119" s="930" t="s">
        <v>420</v>
      </c>
      <c r="E119" s="931"/>
      <c r="F119" s="931"/>
      <c r="G119" s="931"/>
      <c r="H119" s="931"/>
      <c r="I119" s="931"/>
      <c r="J119" s="931"/>
      <c r="K119" s="931"/>
      <c r="L119" s="931"/>
      <c r="M119" s="931"/>
      <c r="N119" s="931"/>
      <c r="O119" s="931"/>
      <c r="P119" s="931"/>
      <c r="Q119" s="931"/>
      <c r="R119" s="931"/>
      <c r="S119" s="931"/>
      <c r="T119" s="931"/>
      <c r="U119" s="931"/>
      <c r="V119" s="931"/>
      <c r="W119" s="932"/>
      <c r="X119" s="880"/>
    </row>
    <row r="120" spans="1:24" ht="12.95" customHeight="1" thickBot="1">
      <c r="A120" s="885"/>
      <c r="B120" s="11" t="s">
        <v>31</v>
      </c>
      <c r="C120" s="12"/>
      <c r="D120" s="927" t="s">
        <v>78</v>
      </c>
      <c r="E120" s="928"/>
      <c r="F120" s="928"/>
      <c r="G120" s="929"/>
      <c r="H120" s="927" t="s">
        <v>77</v>
      </c>
      <c r="I120" s="928"/>
      <c r="J120" s="928"/>
      <c r="K120" s="929"/>
      <c r="L120" s="927" t="s">
        <v>81</v>
      </c>
      <c r="M120" s="928"/>
      <c r="N120" s="928"/>
      <c r="O120" s="929"/>
      <c r="P120" s="927" t="s">
        <v>254</v>
      </c>
      <c r="Q120" s="928"/>
      <c r="R120" s="928"/>
      <c r="S120" s="929"/>
      <c r="T120" s="927" t="s">
        <v>76</v>
      </c>
      <c r="U120" s="928"/>
      <c r="V120" s="928"/>
      <c r="W120" s="929"/>
      <c r="X120" s="880"/>
    </row>
    <row r="121" spans="1:24" ht="12.95" customHeight="1" thickBot="1">
      <c r="A121" s="885"/>
      <c r="B121" s="868" t="s">
        <v>421</v>
      </c>
      <c r="C121" s="23"/>
      <c r="D121" s="1230" t="s">
        <v>418</v>
      </c>
      <c r="E121" s="1232"/>
      <c r="F121" s="1240" t="s">
        <v>419</v>
      </c>
      <c r="G121" s="1232"/>
      <c r="H121" s="1240" t="s">
        <v>418</v>
      </c>
      <c r="I121" s="1232"/>
      <c r="J121" s="1240" t="s">
        <v>419</v>
      </c>
      <c r="K121" s="1232"/>
      <c r="L121" s="1240" t="s">
        <v>418</v>
      </c>
      <c r="M121" s="1232"/>
      <c r="N121" s="1240" t="s">
        <v>419</v>
      </c>
      <c r="O121" s="1232"/>
      <c r="P121" s="1240" t="s">
        <v>418</v>
      </c>
      <c r="Q121" s="1232"/>
      <c r="R121" s="1240" t="s">
        <v>419</v>
      </c>
      <c r="S121" s="1232"/>
      <c r="T121" s="1240" t="s">
        <v>418</v>
      </c>
      <c r="U121" s="1232"/>
      <c r="V121" s="1240" t="s">
        <v>419</v>
      </c>
      <c r="W121" s="1246"/>
      <c r="X121" s="880"/>
    </row>
    <row r="122" spans="1:24" ht="12.95" customHeight="1" thickBot="1">
      <c r="A122" s="885"/>
      <c r="B122" s="885"/>
      <c r="C122" s="26" t="s">
        <v>2</v>
      </c>
      <c r="D122" s="933" t="s">
        <v>172</v>
      </c>
      <c r="E122" s="934"/>
      <c r="F122" s="934"/>
      <c r="G122" s="935"/>
      <c r="H122" s="966" t="s">
        <v>572</v>
      </c>
      <c r="I122" s="967"/>
      <c r="J122" s="967"/>
      <c r="K122" s="968"/>
      <c r="L122" s="951">
        <v>25</v>
      </c>
      <c r="M122" s="952"/>
      <c r="N122" s="951">
        <v>32</v>
      </c>
      <c r="O122" s="952"/>
      <c r="P122" s="951">
        <v>50</v>
      </c>
      <c r="Q122" s="952"/>
      <c r="R122" s="951">
        <v>45</v>
      </c>
      <c r="S122" s="952"/>
      <c r="T122" s="951">
        <v>75</v>
      </c>
      <c r="U122" s="952"/>
      <c r="V122" s="951">
        <v>65</v>
      </c>
      <c r="W122" s="952"/>
      <c r="X122" s="880"/>
    </row>
    <row r="123" spans="1:24" ht="18" customHeight="1" thickBot="1">
      <c r="A123" s="885"/>
      <c r="B123" s="885"/>
      <c r="C123" s="9" t="s">
        <v>3</v>
      </c>
      <c r="D123" s="933"/>
      <c r="E123" s="934"/>
      <c r="F123" s="934"/>
      <c r="G123" s="935"/>
      <c r="H123" s="933"/>
      <c r="I123" s="934"/>
      <c r="J123" s="934"/>
      <c r="K123" s="935"/>
      <c r="L123" s="933"/>
      <c r="M123" s="934"/>
      <c r="N123" s="934"/>
      <c r="O123" s="935"/>
      <c r="P123" s="939">
        <v>40</v>
      </c>
      <c r="Q123" s="953"/>
      <c r="R123" s="939">
        <v>40</v>
      </c>
      <c r="S123" s="953"/>
      <c r="T123" s="939">
        <v>0</v>
      </c>
      <c r="U123" s="953"/>
      <c r="V123" s="939">
        <v>0</v>
      </c>
      <c r="W123" s="953"/>
      <c r="X123" s="880"/>
    </row>
    <row r="124" spans="1:24" ht="12.95" customHeight="1" thickBot="1">
      <c r="A124" s="885"/>
      <c r="B124" s="885"/>
      <c r="C124" s="1258" t="s">
        <v>170</v>
      </c>
      <c r="D124" s="927" t="s">
        <v>4</v>
      </c>
      <c r="E124" s="928"/>
      <c r="F124" s="928"/>
      <c r="G124" s="928"/>
      <c r="H124" s="928"/>
      <c r="I124" s="928"/>
      <c r="J124" s="928"/>
      <c r="K124" s="928"/>
      <c r="L124" s="928"/>
      <c r="M124" s="928"/>
      <c r="N124" s="928"/>
      <c r="O124" s="928"/>
      <c r="P124" s="928"/>
      <c r="Q124" s="928"/>
      <c r="R124" s="928"/>
      <c r="S124" s="928"/>
      <c r="T124" s="928"/>
      <c r="U124" s="928"/>
      <c r="V124" s="928"/>
      <c r="W124" s="929"/>
      <c r="X124" s="880"/>
    </row>
    <row r="125" spans="1:24" ht="12.95" customHeight="1" thickBot="1">
      <c r="A125" s="885"/>
      <c r="B125" s="94" t="s">
        <v>179</v>
      </c>
      <c r="C125" s="1259"/>
      <c r="D125" s="930" t="s">
        <v>121</v>
      </c>
      <c r="E125" s="931"/>
      <c r="F125" s="931"/>
      <c r="G125" s="931"/>
      <c r="H125" s="931"/>
      <c r="I125" s="931"/>
      <c r="J125" s="931"/>
      <c r="K125" s="931"/>
      <c r="L125" s="931"/>
      <c r="M125" s="931"/>
      <c r="N125" s="931"/>
      <c r="O125" s="931"/>
      <c r="P125" s="931"/>
      <c r="Q125" s="931"/>
      <c r="R125" s="931"/>
      <c r="S125" s="931"/>
      <c r="T125" s="931"/>
      <c r="U125" s="931"/>
      <c r="V125" s="931"/>
      <c r="W125" s="932"/>
      <c r="X125" s="880"/>
    </row>
    <row r="126" spans="1:24" ht="12.95" customHeight="1" thickBot="1">
      <c r="A126" s="885"/>
      <c r="B126" s="11" t="s">
        <v>40</v>
      </c>
      <c r="C126" s="12"/>
      <c r="D126" s="927" t="s">
        <v>78</v>
      </c>
      <c r="E126" s="928"/>
      <c r="F126" s="928"/>
      <c r="G126" s="929"/>
      <c r="H126" s="927" t="s">
        <v>77</v>
      </c>
      <c r="I126" s="928"/>
      <c r="J126" s="928"/>
      <c r="K126" s="929"/>
      <c r="L126" s="927" t="s">
        <v>81</v>
      </c>
      <c r="M126" s="928"/>
      <c r="N126" s="928"/>
      <c r="O126" s="929"/>
      <c r="P126" s="927" t="s">
        <v>254</v>
      </c>
      <c r="Q126" s="928"/>
      <c r="R126" s="928"/>
      <c r="S126" s="929"/>
      <c r="T126" s="927" t="s">
        <v>76</v>
      </c>
      <c r="U126" s="928"/>
      <c r="V126" s="928"/>
      <c r="W126" s="929"/>
      <c r="X126" s="880"/>
    </row>
    <row r="127" spans="1:24" ht="12.95" customHeight="1" thickBot="1">
      <c r="A127" s="885"/>
      <c r="B127" s="873" t="s">
        <v>644</v>
      </c>
      <c r="C127" s="23" t="s">
        <v>2</v>
      </c>
      <c r="D127" s="933" t="s">
        <v>171</v>
      </c>
      <c r="E127" s="934"/>
      <c r="F127" s="934"/>
      <c r="G127" s="935"/>
      <c r="H127" s="966" t="s">
        <v>572</v>
      </c>
      <c r="I127" s="967"/>
      <c r="J127" s="967"/>
      <c r="K127" s="968"/>
      <c r="L127" s="942">
        <v>2.2000000000000002</v>
      </c>
      <c r="M127" s="943"/>
      <c r="N127" s="943"/>
      <c r="O127" s="944"/>
      <c r="P127" s="942">
        <v>2.5</v>
      </c>
      <c r="Q127" s="943"/>
      <c r="R127" s="943"/>
      <c r="S127" s="944"/>
      <c r="T127" s="1188">
        <v>4</v>
      </c>
      <c r="U127" s="1189"/>
      <c r="V127" s="1189"/>
      <c r="W127" s="1190"/>
      <c r="X127" s="880"/>
    </row>
    <row r="128" spans="1:24" ht="13.5" thickBot="1">
      <c r="A128" s="869"/>
      <c r="B128" s="874"/>
      <c r="C128" s="9" t="s">
        <v>3</v>
      </c>
      <c r="D128" s="933"/>
      <c r="E128" s="934"/>
      <c r="F128" s="934"/>
      <c r="G128" s="935"/>
      <c r="H128" s="933"/>
      <c r="I128" s="934"/>
      <c r="J128" s="934"/>
      <c r="K128" s="935"/>
      <c r="L128" s="1171"/>
      <c r="M128" s="1172"/>
      <c r="N128" s="1172"/>
      <c r="O128" s="1173"/>
      <c r="P128" s="963">
        <v>2.2999999999999998</v>
      </c>
      <c r="Q128" s="964"/>
      <c r="R128" s="964"/>
      <c r="S128" s="965"/>
      <c r="T128" s="963">
        <v>0</v>
      </c>
      <c r="U128" s="964"/>
      <c r="V128" s="964"/>
      <c r="W128" s="965"/>
      <c r="X128" s="881"/>
    </row>
    <row r="129" spans="1:24" ht="12.95" customHeight="1" thickBot="1">
      <c r="A129" s="96" t="s">
        <v>13</v>
      </c>
      <c r="B129" s="874"/>
      <c r="C129" s="1258" t="s">
        <v>170</v>
      </c>
      <c r="D129" s="927" t="s">
        <v>4</v>
      </c>
      <c r="E129" s="928"/>
      <c r="F129" s="928"/>
      <c r="G129" s="928"/>
      <c r="H129" s="928"/>
      <c r="I129" s="928"/>
      <c r="J129" s="928"/>
      <c r="K129" s="928"/>
      <c r="L129" s="928"/>
      <c r="M129" s="928"/>
      <c r="N129" s="928"/>
      <c r="O129" s="928"/>
      <c r="P129" s="928"/>
      <c r="Q129" s="928"/>
      <c r="R129" s="928"/>
      <c r="S129" s="928"/>
      <c r="T129" s="928"/>
      <c r="U129" s="928"/>
      <c r="V129" s="928"/>
      <c r="W129" s="929"/>
      <c r="X129" s="24" t="s">
        <v>14</v>
      </c>
    </row>
    <row r="130" spans="1:24" ht="12.95" customHeight="1" thickBot="1">
      <c r="A130" s="25" t="s">
        <v>75</v>
      </c>
      <c r="B130" s="875"/>
      <c r="C130" s="1259"/>
      <c r="D130" s="930" t="s">
        <v>122</v>
      </c>
      <c r="E130" s="931"/>
      <c r="F130" s="931"/>
      <c r="G130" s="931"/>
      <c r="H130" s="931"/>
      <c r="I130" s="931"/>
      <c r="J130" s="931"/>
      <c r="K130" s="931"/>
      <c r="L130" s="931"/>
      <c r="M130" s="931"/>
      <c r="N130" s="931"/>
      <c r="O130" s="931"/>
      <c r="P130" s="931"/>
      <c r="Q130" s="931"/>
      <c r="R130" s="931"/>
      <c r="S130" s="931"/>
      <c r="T130" s="931"/>
      <c r="U130" s="931"/>
      <c r="V130" s="931"/>
      <c r="W130" s="932"/>
      <c r="X130" s="18" t="s">
        <v>92</v>
      </c>
    </row>
    <row r="131" spans="1:24" ht="12.95" customHeight="1" thickBot="1">
      <c r="A131" s="906" t="s">
        <v>7</v>
      </c>
      <c r="B131" s="908" t="s">
        <v>173</v>
      </c>
      <c r="C131" s="909"/>
      <c r="D131" s="908" t="s">
        <v>8</v>
      </c>
      <c r="E131" s="918"/>
      <c r="F131" s="918"/>
      <c r="G131" s="909"/>
      <c r="H131" s="908" t="s">
        <v>88</v>
      </c>
      <c r="I131" s="918"/>
      <c r="J131" s="918"/>
      <c r="K131" s="909"/>
      <c r="L131" s="908" t="s">
        <v>89</v>
      </c>
      <c r="M131" s="918"/>
      <c r="N131" s="918"/>
      <c r="O131" s="909"/>
      <c r="P131" s="908" t="s">
        <v>9</v>
      </c>
      <c r="Q131" s="918"/>
      <c r="R131" s="918"/>
      <c r="S131" s="909"/>
      <c r="T131" s="908" t="s">
        <v>174</v>
      </c>
      <c r="U131" s="918"/>
      <c r="V131" s="918"/>
      <c r="W131" s="918"/>
      <c r="X131" s="909"/>
    </row>
    <row r="132" spans="1:24" ht="13.5" thickBot="1">
      <c r="A132" s="907"/>
      <c r="B132" s="1256"/>
      <c r="C132" s="1257"/>
      <c r="D132" s="916"/>
      <c r="E132" s="994"/>
      <c r="F132" s="994"/>
      <c r="G132" s="917"/>
      <c r="H132" s="916"/>
      <c r="I132" s="994"/>
      <c r="J132" s="994"/>
      <c r="K132" s="917"/>
      <c r="L132" s="916"/>
      <c r="M132" s="994"/>
      <c r="N132" s="994"/>
      <c r="O132" s="917"/>
      <c r="P132" s="916">
        <f>SUM(B132:O132)</f>
        <v>0</v>
      </c>
      <c r="Q132" s="994"/>
      <c r="R132" s="994"/>
      <c r="S132" s="917"/>
      <c r="T132" s="916" t="e">
        <f>B132/P132%</f>
        <v>#DIV/0!</v>
      </c>
      <c r="U132" s="994"/>
      <c r="V132" s="994"/>
      <c r="W132" s="994"/>
      <c r="X132" s="917"/>
    </row>
    <row r="133" spans="1:24" ht="13.5" thickBot="1">
      <c r="A133" s="906" t="s">
        <v>10</v>
      </c>
      <c r="B133" s="908" t="s">
        <v>175</v>
      </c>
      <c r="C133" s="909"/>
      <c r="D133" s="910"/>
      <c r="E133" s="911"/>
      <c r="F133" s="911"/>
      <c r="G133" s="911"/>
      <c r="H133" s="911"/>
      <c r="I133" s="911"/>
      <c r="J133" s="911"/>
      <c r="K133" s="911"/>
      <c r="L133" s="911"/>
      <c r="M133" s="911"/>
      <c r="N133" s="911"/>
      <c r="O133" s="911"/>
      <c r="P133" s="911"/>
      <c r="Q133" s="911"/>
      <c r="R133" s="911"/>
      <c r="S133" s="911"/>
      <c r="T133" s="911"/>
      <c r="U133" s="911"/>
      <c r="V133" s="911"/>
      <c r="W133" s="911"/>
      <c r="X133" s="912"/>
    </row>
    <row r="134" spans="1:24" ht="13.5" thickBot="1">
      <c r="A134" s="907"/>
      <c r="B134" s="1256"/>
      <c r="C134" s="1257"/>
      <c r="D134" s="913"/>
      <c r="E134" s="914"/>
      <c r="F134" s="914"/>
      <c r="G134" s="914"/>
      <c r="H134" s="914"/>
      <c r="I134" s="914"/>
      <c r="J134" s="914"/>
      <c r="K134" s="914"/>
      <c r="L134" s="914"/>
      <c r="M134" s="914"/>
      <c r="N134" s="914"/>
      <c r="O134" s="914"/>
      <c r="P134" s="914"/>
      <c r="Q134" s="914"/>
      <c r="R134" s="914"/>
      <c r="S134" s="914"/>
      <c r="T134" s="914"/>
      <c r="U134" s="914"/>
      <c r="V134" s="914"/>
      <c r="W134" s="914"/>
      <c r="X134" s="915"/>
    </row>
    <row r="135" spans="1:24">
      <c r="A135" s="5"/>
      <c r="B135" s="5"/>
      <c r="C135" s="6"/>
      <c r="D135" s="5"/>
      <c r="E135" s="5"/>
      <c r="F135" s="5"/>
      <c r="G135" s="5"/>
      <c r="H135" s="5"/>
      <c r="I135" s="5"/>
      <c r="J135" s="5"/>
      <c r="K135" s="5"/>
      <c r="L135" s="5"/>
      <c r="M135" s="5"/>
      <c r="N135" s="5"/>
      <c r="O135" s="5"/>
      <c r="P135" s="5"/>
      <c r="Q135" s="5"/>
      <c r="R135" s="5"/>
      <c r="S135" s="5"/>
      <c r="T135" s="5"/>
      <c r="U135" s="5"/>
      <c r="V135" s="5"/>
      <c r="W135" s="5"/>
      <c r="X135" s="5"/>
    </row>
    <row r="136" spans="1:24" ht="13.5" thickBot="1">
      <c r="A136" s="5"/>
      <c r="B136" s="5"/>
      <c r="C136" s="6"/>
      <c r="D136" s="5"/>
      <c r="E136" s="5"/>
      <c r="F136" s="5"/>
      <c r="G136" s="5"/>
      <c r="H136" s="5"/>
      <c r="I136" s="5"/>
      <c r="J136" s="5"/>
      <c r="K136" s="5"/>
      <c r="L136" s="5"/>
      <c r="M136" s="5"/>
      <c r="N136" s="5"/>
      <c r="O136" s="5"/>
      <c r="P136" s="5"/>
      <c r="Q136" s="5"/>
      <c r="R136" s="5"/>
      <c r="S136" s="5"/>
      <c r="T136" s="5"/>
      <c r="U136" s="5"/>
      <c r="V136" s="5"/>
      <c r="W136" s="5"/>
      <c r="X136" s="5"/>
    </row>
    <row r="137" spans="1:24" ht="12.95" customHeight="1" thickBot="1">
      <c r="A137" s="95" t="s">
        <v>28</v>
      </c>
      <c r="B137" s="97" t="s">
        <v>32</v>
      </c>
      <c r="C137" s="8"/>
      <c r="D137" s="927" t="s">
        <v>78</v>
      </c>
      <c r="E137" s="928"/>
      <c r="F137" s="928"/>
      <c r="G137" s="929"/>
      <c r="H137" s="927" t="s">
        <v>77</v>
      </c>
      <c r="I137" s="928"/>
      <c r="J137" s="928"/>
      <c r="K137" s="929"/>
      <c r="L137" s="927" t="s">
        <v>81</v>
      </c>
      <c r="M137" s="928"/>
      <c r="N137" s="928"/>
      <c r="O137" s="929"/>
      <c r="P137" s="927" t="s">
        <v>254</v>
      </c>
      <c r="Q137" s="928"/>
      <c r="R137" s="928"/>
      <c r="S137" s="929"/>
      <c r="T137" s="927" t="s">
        <v>76</v>
      </c>
      <c r="U137" s="928"/>
      <c r="V137" s="928"/>
      <c r="W137" s="929"/>
      <c r="X137" s="16" t="s">
        <v>6</v>
      </c>
    </row>
    <row r="138" spans="1:24" ht="12.95" customHeight="1" thickBot="1">
      <c r="A138" s="868" t="s">
        <v>65</v>
      </c>
      <c r="B138" s="868" t="s">
        <v>66</v>
      </c>
      <c r="C138" s="9" t="s">
        <v>2</v>
      </c>
      <c r="D138" s="966" t="s">
        <v>255</v>
      </c>
      <c r="E138" s="967"/>
      <c r="F138" s="967"/>
      <c r="G138" s="968"/>
      <c r="H138" s="942">
        <v>2.5</v>
      </c>
      <c r="I138" s="943"/>
      <c r="J138" s="943"/>
      <c r="K138" s="944"/>
      <c r="L138" s="942">
        <v>2.5</v>
      </c>
      <c r="M138" s="943"/>
      <c r="N138" s="943"/>
      <c r="O138" s="944"/>
      <c r="P138" s="942">
        <v>2.7</v>
      </c>
      <c r="Q138" s="943"/>
      <c r="R138" s="943"/>
      <c r="S138" s="944"/>
      <c r="T138" s="1188">
        <v>4.2</v>
      </c>
      <c r="U138" s="1189"/>
      <c r="V138" s="1189"/>
      <c r="W138" s="1190"/>
      <c r="X138" s="879" t="s">
        <v>91</v>
      </c>
    </row>
    <row r="139" spans="1:24" ht="13.5" thickBot="1">
      <c r="A139" s="885"/>
      <c r="B139" s="885"/>
      <c r="C139" s="99" t="s">
        <v>3</v>
      </c>
      <c r="D139" s="957"/>
      <c r="E139" s="958"/>
      <c r="F139" s="958"/>
      <c r="G139" s="959"/>
      <c r="H139" s="936"/>
      <c r="I139" s="937"/>
      <c r="J139" s="937"/>
      <c r="K139" s="938"/>
      <c r="L139" s="963">
        <v>2.5</v>
      </c>
      <c r="M139" s="964"/>
      <c r="N139" s="964"/>
      <c r="O139" s="965"/>
      <c r="P139" s="963">
        <v>2.8</v>
      </c>
      <c r="Q139" s="964"/>
      <c r="R139" s="964"/>
      <c r="S139" s="965"/>
      <c r="T139" s="963">
        <v>0</v>
      </c>
      <c r="U139" s="964"/>
      <c r="V139" s="964"/>
      <c r="W139" s="965"/>
      <c r="X139" s="880"/>
    </row>
    <row r="140" spans="1:24" ht="12.95" customHeight="1" thickBot="1">
      <c r="A140" s="885"/>
      <c r="B140" s="885"/>
      <c r="C140" s="1258" t="s">
        <v>170</v>
      </c>
      <c r="D140" s="927" t="s">
        <v>4</v>
      </c>
      <c r="E140" s="928"/>
      <c r="F140" s="928"/>
      <c r="G140" s="928"/>
      <c r="H140" s="928"/>
      <c r="I140" s="928"/>
      <c r="J140" s="928"/>
      <c r="K140" s="928"/>
      <c r="L140" s="928"/>
      <c r="M140" s="928"/>
      <c r="N140" s="928"/>
      <c r="O140" s="928"/>
      <c r="P140" s="928"/>
      <c r="Q140" s="928"/>
      <c r="R140" s="928"/>
      <c r="S140" s="928"/>
      <c r="T140" s="928"/>
      <c r="U140" s="928"/>
      <c r="V140" s="928"/>
      <c r="W140" s="929"/>
      <c r="X140" s="880"/>
    </row>
    <row r="141" spans="1:24" ht="12.95" customHeight="1" thickBot="1">
      <c r="A141" s="885"/>
      <c r="B141" s="869"/>
      <c r="C141" s="1259"/>
      <c r="D141" s="930" t="s">
        <v>123</v>
      </c>
      <c r="E141" s="931"/>
      <c r="F141" s="931"/>
      <c r="G141" s="931"/>
      <c r="H141" s="931"/>
      <c r="I141" s="931"/>
      <c r="J141" s="931"/>
      <c r="K141" s="931"/>
      <c r="L141" s="931"/>
      <c r="M141" s="931"/>
      <c r="N141" s="931"/>
      <c r="O141" s="931"/>
      <c r="P141" s="931"/>
      <c r="Q141" s="931"/>
      <c r="R141" s="931"/>
      <c r="S141" s="931"/>
      <c r="T141" s="931"/>
      <c r="U141" s="931"/>
      <c r="V141" s="931"/>
      <c r="W141" s="932"/>
      <c r="X141" s="880"/>
    </row>
    <row r="142" spans="1:24" ht="12.95" customHeight="1" thickBot="1">
      <c r="A142" s="885"/>
      <c r="B142" s="11" t="s">
        <v>33</v>
      </c>
      <c r="C142" s="12"/>
      <c r="D142" s="927" t="s">
        <v>78</v>
      </c>
      <c r="E142" s="928"/>
      <c r="F142" s="928"/>
      <c r="G142" s="929"/>
      <c r="H142" s="927" t="s">
        <v>77</v>
      </c>
      <c r="I142" s="928"/>
      <c r="J142" s="928"/>
      <c r="K142" s="929"/>
      <c r="L142" s="927" t="s">
        <v>81</v>
      </c>
      <c r="M142" s="928"/>
      <c r="N142" s="928"/>
      <c r="O142" s="929"/>
      <c r="P142" s="927" t="s">
        <v>254</v>
      </c>
      <c r="Q142" s="928"/>
      <c r="R142" s="928"/>
      <c r="S142" s="929"/>
      <c r="T142" s="927" t="s">
        <v>76</v>
      </c>
      <c r="U142" s="928"/>
      <c r="V142" s="928"/>
      <c r="W142" s="929"/>
      <c r="X142" s="880"/>
    </row>
    <row r="143" spans="1:24" ht="12.95" customHeight="1" thickBot="1">
      <c r="A143" s="885"/>
      <c r="B143" s="868" t="s">
        <v>67</v>
      </c>
      <c r="C143" s="23" t="s">
        <v>2</v>
      </c>
      <c r="D143" s="966" t="s">
        <v>255</v>
      </c>
      <c r="E143" s="967"/>
      <c r="F143" s="967"/>
      <c r="G143" s="968"/>
      <c r="H143" s="942">
        <v>3.7</v>
      </c>
      <c r="I143" s="943"/>
      <c r="J143" s="943"/>
      <c r="K143" s="944"/>
      <c r="L143" s="942">
        <v>3.7</v>
      </c>
      <c r="M143" s="943"/>
      <c r="N143" s="943"/>
      <c r="O143" s="944"/>
      <c r="P143" s="942">
        <v>4</v>
      </c>
      <c r="Q143" s="943"/>
      <c r="R143" s="943"/>
      <c r="S143" s="944"/>
      <c r="T143" s="1188">
        <v>4.8</v>
      </c>
      <c r="U143" s="1189"/>
      <c r="V143" s="1189"/>
      <c r="W143" s="1190"/>
      <c r="X143" s="880"/>
    </row>
    <row r="144" spans="1:24" ht="13.5" thickBot="1">
      <c r="A144" s="885"/>
      <c r="B144" s="885"/>
      <c r="C144" s="9" t="s">
        <v>3</v>
      </c>
      <c r="D144" s="957"/>
      <c r="E144" s="958"/>
      <c r="F144" s="958"/>
      <c r="G144" s="959"/>
      <c r="H144" s="936"/>
      <c r="I144" s="937"/>
      <c r="J144" s="937"/>
      <c r="K144" s="938"/>
      <c r="L144" s="963">
        <v>3.7</v>
      </c>
      <c r="M144" s="964"/>
      <c r="N144" s="964"/>
      <c r="O144" s="965"/>
      <c r="P144" s="963">
        <v>3.5</v>
      </c>
      <c r="Q144" s="964"/>
      <c r="R144" s="964"/>
      <c r="S144" s="965"/>
      <c r="T144" s="963">
        <v>0</v>
      </c>
      <c r="U144" s="964"/>
      <c r="V144" s="964"/>
      <c r="W144" s="965"/>
      <c r="X144" s="880"/>
    </row>
    <row r="145" spans="1:24" ht="12.95" customHeight="1" thickBot="1">
      <c r="A145" s="885"/>
      <c r="B145" s="885"/>
      <c r="C145" s="1258" t="s">
        <v>170</v>
      </c>
      <c r="D145" s="927" t="s">
        <v>4</v>
      </c>
      <c r="E145" s="928"/>
      <c r="F145" s="928"/>
      <c r="G145" s="928"/>
      <c r="H145" s="928"/>
      <c r="I145" s="928"/>
      <c r="J145" s="928"/>
      <c r="K145" s="928"/>
      <c r="L145" s="928"/>
      <c r="M145" s="928"/>
      <c r="N145" s="928"/>
      <c r="O145" s="928"/>
      <c r="P145" s="928"/>
      <c r="Q145" s="928"/>
      <c r="R145" s="928"/>
      <c r="S145" s="928"/>
      <c r="T145" s="928"/>
      <c r="U145" s="928"/>
      <c r="V145" s="928"/>
      <c r="W145" s="929"/>
      <c r="X145" s="880"/>
    </row>
    <row r="146" spans="1:24" ht="12.95" customHeight="1" thickBot="1">
      <c r="A146" s="885"/>
      <c r="B146" s="869"/>
      <c r="C146" s="1259"/>
      <c r="D146" s="930" t="s">
        <v>123</v>
      </c>
      <c r="E146" s="931"/>
      <c r="F146" s="931"/>
      <c r="G146" s="931"/>
      <c r="H146" s="931"/>
      <c r="I146" s="931"/>
      <c r="J146" s="931"/>
      <c r="K146" s="931"/>
      <c r="L146" s="931"/>
      <c r="M146" s="931"/>
      <c r="N146" s="931"/>
      <c r="O146" s="931"/>
      <c r="P146" s="931"/>
      <c r="Q146" s="931"/>
      <c r="R146" s="931"/>
      <c r="S146" s="931"/>
      <c r="T146" s="931"/>
      <c r="U146" s="931"/>
      <c r="V146" s="931"/>
      <c r="W146" s="932"/>
      <c r="X146" s="880"/>
    </row>
    <row r="147" spans="1:24" ht="12.95" customHeight="1" thickBot="1">
      <c r="A147" s="885"/>
      <c r="B147" s="11" t="s">
        <v>34</v>
      </c>
      <c r="C147" s="12"/>
      <c r="D147" s="927" t="s">
        <v>78</v>
      </c>
      <c r="E147" s="928"/>
      <c r="F147" s="928"/>
      <c r="G147" s="929"/>
      <c r="H147" s="927" t="s">
        <v>77</v>
      </c>
      <c r="I147" s="928"/>
      <c r="J147" s="928"/>
      <c r="K147" s="929"/>
      <c r="L147" s="927" t="s">
        <v>81</v>
      </c>
      <c r="M147" s="928"/>
      <c r="N147" s="928"/>
      <c r="O147" s="929"/>
      <c r="P147" s="927" t="s">
        <v>254</v>
      </c>
      <c r="Q147" s="928"/>
      <c r="R147" s="928"/>
      <c r="S147" s="929"/>
      <c r="T147" s="927" t="s">
        <v>76</v>
      </c>
      <c r="U147" s="928"/>
      <c r="V147" s="928"/>
      <c r="W147" s="929"/>
      <c r="X147" s="880"/>
    </row>
    <row r="148" spans="1:24" ht="12.95" customHeight="1" thickBot="1">
      <c r="A148" s="885"/>
      <c r="B148" s="868" t="s">
        <v>68</v>
      </c>
      <c r="C148" s="23" t="s">
        <v>2</v>
      </c>
      <c r="D148" s="966" t="s">
        <v>255</v>
      </c>
      <c r="E148" s="967"/>
      <c r="F148" s="967"/>
      <c r="G148" s="968"/>
      <c r="H148" s="942">
        <v>2</v>
      </c>
      <c r="I148" s="943"/>
      <c r="J148" s="943"/>
      <c r="K148" s="944"/>
      <c r="L148" s="942">
        <v>2</v>
      </c>
      <c r="M148" s="943"/>
      <c r="N148" s="943"/>
      <c r="O148" s="944"/>
      <c r="P148" s="942">
        <v>2.5</v>
      </c>
      <c r="Q148" s="943"/>
      <c r="R148" s="943"/>
      <c r="S148" s="944"/>
      <c r="T148" s="1188">
        <v>4.0999999999999996</v>
      </c>
      <c r="U148" s="1189"/>
      <c r="V148" s="1189"/>
      <c r="W148" s="1190"/>
      <c r="X148" s="880"/>
    </row>
    <row r="149" spans="1:24" ht="13.5" thickBot="1">
      <c r="A149" s="885"/>
      <c r="B149" s="885"/>
      <c r="C149" s="9" t="s">
        <v>3</v>
      </c>
      <c r="D149" s="957"/>
      <c r="E149" s="958"/>
      <c r="F149" s="958"/>
      <c r="G149" s="959"/>
      <c r="H149" s="936"/>
      <c r="I149" s="937"/>
      <c r="J149" s="937"/>
      <c r="K149" s="938"/>
      <c r="L149" s="963">
        <v>2</v>
      </c>
      <c r="M149" s="964"/>
      <c r="N149" s="964"/>
      <c r="O149" s="965"/>
      <c r="P149" s="963">
        <v>2.4</v>
      </c>
      <c r="Q149" s="964"/>
      <c r="R149" s="964"/>
      <c r="S149" s="965"/>
      <c r="T149" s="963">
        <v>0</v>
      </c>
      <c r="U149" s="964"/>
      <c r="V149" s="964"/>
      <c r="W149" s="965"/>
      <c r="X149" s="880"/>
    </row>
    <row r="150" spans="1:24" ht="12.95" customHeight="1" thickBot="1">
      <c r="A150" s="885"/>
      <c r="B150" s="885"/>
      <c r="C150" s="1258" t="s">
        <v>170</v>
      </c>
      <c r="D150" s="927" t="s">
        <v>4</v>
      </c>
      <c r="E150" s="928"/>
      <c r="F150" s="928"/>
      <c r="G150" s="928"/>
      <c r="H150" s="928"/>
      <c r="I150" s="928"/>
      <c r="J150" s="928"/>
      <c r="K150" s="928"/>
      <c r="L150" s="928"/>
      <c r="M150" s="928"/>
      <c r="N150" s="928"/>
      <c r="O150" s="928"/>
      <c r="P150" s="928"/>
      <c r="Q150" s="928"/>
      <c r="R150" s="928"/>
      <c r="S150" s="928"/>
      <c r="T150" s="928"/>
      <c r="U150" s="928"/>
      <c r="V150" s="928"/>
      <c r="W150" s="929"/>
      <c r="X150" s="880"/>
    </row>
    <row r="151" spans="1:24" ht="12.95" customHeight="1" thickBot="1">
      <c r="A151" s="885"/>
      <c r="B151" s="869"/>
      <c r="C151" s="1259"/>
      <c r="D151" s="930" t="s">
        <v>123</v>
      </c>
      <c r="E151" s="931"/>
      <c r="F151" s="931"/>
      <c r="G151" s="931"/>
      <c r="H151" s="931"/>
      <c r="I151" s="931"/>
      <c r="J151" s="931"/>
      <c r="K151" s="931"/>
      <c r="L151" s="931"/>
      <c r="M151" s="931"/>
      <c r="N151" s="931"/>
      <c r="O151" s="931"/>
      <c r="P151" s="931"/>
      <c r="Q151" s="931"/>
      <c r="R151" s="931"/>
      <c r="S151" s="931"/>
      <c r="T151" s="931"/>
      <c r="U151" s="931"/>
      <c r="V151" s="931"/>
      <c r="W151" s="932"/>
      <c r="X151" s="880"/>
    </row>
    <row r="152" spans="1:24" ht="12.95" customHeight="1" thickBot="1">
      <c r="A152" s="885"/>
      <c r="B152" s="11" t="s">
        <v>41</v>
      </c>
      <c r="C152" s="12"/>
      <c r="D152" s="927" t="s">
        <v>78</v>
      </c>
      <c r="E152" s="928"/>
      <c r="F152" s="928"/>
      <c r="G152" s="929"/>
      <c r="H152" s="927" t="s">
        <v>77</v>
      </c>
      <c r="I152" s="928"/>
      <c r="J152" s="928"/>
      <c r="K152" s="929"/>
      <c r="L152" s="927" t="s">
        <v>81</v>
      </c>
      <c r="M152" s="928"/>
      <c r="N152" s="928"/>
      <c r="O152" s="929"/>
      <c r="P152" s="927" t="s">
        <v>254</v>
      </c>
      <c r="Q152" s="928"/>
      <c r="R152" s="928"/>
      <c r="S152" s="929"/>
      <c r="T152" s="927" t="s">
        <v>76</v>
      </c>
      <c r="U152" s="928"/>
      <c r="V152" s="928"/>
      <c r="W152" s="929"/>
      <c r="X152" s="880"/>
    </row>
    <row r="153" spans="1:24" ht="12.95" customHeight="1" thickBot="1">
      <c r="A153" s="885"/>
      <c r="B153" s="868" t="s">
        <v>69</v>
      </c>
      <c r="C153" s="23" t="s">
        <v>2</v>
      </c>
      <c r="D153" s="966" t="s">
        <v>255</v>
      </c>
      <c r="E153" s="967"/>
      <c r="F153" s="967"/>
      <c r="G153" s="968"/>
      <c r="H153" s="942">
        <v>2.2999999999999998</v>
      </c>
      <c r="I153" s="943"/>
      <c r="J153" s="943"/>
      <c r="K153" s="944"/>
      <c r="L153" s="942">
        <v>2.2999999999999998</v>
      </c>
      <c r="M153" s="943"/>
      <c r="N153" s="943"/>
      <c r="O153" s="944"/>
      <c r="P153" s="942">
        <v>2.5</v>
      </c>
      <c r="Q153" s="943"/>
      <c r="R153" s="943"/>
      <c r="S153" s="944"/>
      <c r="T153" s="1188">
        <v>3.6</v>
      </c>
      <c r="U153" s="1189"/>
      <c r="V153" s="1189"/>
      <c r="W153" s="1190"/>
      <c r="X153" s="880"/>
    </row>
    <row r="154" spans="1:24" ht="13.5" thickBot="1">
      <c r="A154" s="885"/>
      <c r="B154" s="885"/>
      <c r="C154" s="9" t="s">
        <v>3</v>
      </c>
      <c r="D154" s="957"/>
      <c r="E154" s="958"/>
      <c r="F154" s="958"/>
      <c r="G154" s="959"/>
      <c r="H154" s="936"/>
      <c r="I154" s="937"/>
      <c r="J154" s="937"/>
      <c r="K154" s="938"/>
      <c r="L154" s="963">
        <v>2.2999999999999998</v>
      </c>
      <c r="M154" s="964"/>
      <c r="N154" s="964"/>
      <c r="O154" s="965"/>
      <c r="P154" s="963">
        <v>1.8</v>
      </c>
      <c r="Q154" s="964"/>
      <c r="R154" s="964"/>
      <c r="S154" s="965"/>
      <c r="T154" s="963">
        <v>0</v>
      </c>
      <c r="U154" s="964"/>
      <c r="V154" s="964"/>
      <c r="W154" s="965"/>
      <c r="X154" s="880"/>
    </row>
    <row r="155" spans="1:24" ht="12.95" customHeight="1" thickBot="1">
      <c r="A155" s="885"/>
      <c r="B155" s="885"/>
      <c r="C155" s="1258" t="s">
        <v>170</v>
      </c>
      <c r="D155" s="927" t="s">
        <v>4</v>
      </c>
      <c r="E155" s="928"/>
      <c r="F155" s="928"/>
      <c r="G155" s="928"/>
      <c r="H155" s="928"/>
      <c r="I155" s="928"/>
      <c r="J155" s="928"/>
      <c r="K155" s="928"/>
      <c r="L155" s="928"/>
      <c r="M155" s="928"/>
      <c r="N155" s="928"/>
      <c r="O155" s="928"/>
      <c r="P155" s="928"/>
      <c r="Q155" s="928"/>
      <c r="R155" s="928"/>
      <c r="S155" s="928"/>
      <c r="T155" s="928"/>
      <c r="U155" s="928"/>
      <c r="V155" s="928"/>
      <c r="W155" s="929"/>
      <c r="X155" s="880"/>
    </row>
    <row r="156" spans="1:24" ht="12.95" customHeight="1" thickBot="1">
      <c r="A156" s="885"/>
      <c r="B156" s="869"/>
      <c r="C156" s="1259"/>
      <c r="D156" s="930" t="s">
        <v>123</v>
      </c>
      <c r="E156" s="931"/>
      <c r="F156" s="931"/>
      <c r="G156" s="931"/>
      <c r="H156" s="931"/>
      <c r="I156" s="931"/>
      <c r="J156" s="931"/>
      <c r="K156" s="931"/>
      <c r="L156" s="931"/>
      <c r="M156" s="931"/>
      <c r="N156" s="931"/>
      <c r="O156" s="931"/>
      <c r="P156" s="931"/>
      <c r="Q156" s="931"/>
      <c r="R156" s="931"/>
      <c r="S156" s="931"/>
      <c r="T156" s="931"/>
      <c r="U156" s="931"/>
      <c r="V156" s="931"/>
      <c r="W156" s="932"/>
      <c r="X156" s="880"/>
    </row>
    <row r="157" spans="1:24" ht="12.95" customHeight="1" thickBot="1">
      <c r="A157" s="885"/>
      <c r="B157" s="11" t="s">
        <v>42</v>
      </c>
      <c r="C157" s="28"/>
      <c r="D157" s="927" t="s">
        <v>78</v>
      </c>
      <c r="E157" s="928"/>
      <c r="F157" s="928"/>
      <c r="G157" s="929"/>
      <c r="H157" s="927" t="s">
        <v>77</v>
      </c>
      <c r="I157" s="928"/>
      <c r="J157" s="928"/>
      <c r="K157" s="929"/>
      <c r="L157" s="927" t="s">
        <v>81</v>
      </c>
      <c r="M157" s="928"/>
      <c r="N157" s="928"/>
      <c r="O157" s="929"/>
      <c r="P157" s="927" t="s">
        <v>254</v>
      </c>
      <c r="Q157" s="928"/>
      <c r="R157" s="928"/>
      <c r="S157" s="929"/>
      <c r="T157" s="927" t="s">
        <v>76</v>
      </c>
      <c r="U157" s="928"/>
      <c r="V157" s="928"/>
      <c r="W157" s="929"/>
      <c r="X157" s="880"/>
    </row>
    <row r="158" spans="1:24" ht="18.95" customHeight="1" thickBot="1">
      <c r="A158" s="885"/>
      <c r="B158" s="868" t="s">
        <v>180</v>
      </c>
      <c r="C158" s="26"/>
      <c r="D158" s="955" t="s">
        <v>99</v>
      </c>
      <c r="E158" s="956"/>
      <c r="F158" s="955" t="s">
        <v>100</v>
      </c>
      <c r="G158" s="956"/>
      <c r="H158" s="955" t="s">
        <v>99</v>
      </c>
      <c r="I158" s="956"/>
      <c r="J158" s="955" t="s">
        <v>100</v>
      </c>
      <c r="K158" s="956"/>
      <c r="L158" s="955" t="s">
        <v>99</v>
      </c>
      <c r="M158" s="956"/>
      <c r="N158" s="955" t="s">
        <v>100</v>
      </c>
      <c r="O158" s="956"/>
      <c r="P158" s="955" t="s">
        <v>99</v>
      </c>
      <c r="Q158" s="956"/>
      <c r="R158" s="955" t="s">
        <v>100</v>
      </c>
      <c r="S158" s="956"/>
      <c r="T158" s="955" t="s">
        <v>99</v>
      </c>
      <c r="U158" s="956"/>
      <c r="V158" s="955" t="s">
        <v>100</v>
      </c>
      <c r="W158" s="956"/>
      <c r="X158" s="880"/>
    </row>
    <row r="159" spans="1:24" ht="12.95" customHeight="1" thickBot="1">
      <c r="A159" s="885"/>
      <c r="B159" s="885"/>
      <c r="C159" s="26" t="s">
        <v>2</v>
      </c>
      <c r="D159" s="966" t="s">
        <v>255</v>
      </c>
      <c r="E159" s="967"/>
      <c r="F159" s="967"/>
      <c r="G159" s="968"/>
      <c r="H159" s="951">
        <v>0</v>
      </c>
      <c r="I159" s="952"/>
      <c r="J159" s="951">
        <v>0</v>
      </c>
      <c r="K159" s="952"/>
      <c r="L159" s="951">
        <v>3</v>
      </c>
      <c r="M159" s="952"/>
      <c r="N159" s="951">
        <v>1</v>
      </c>
      <c r="O159" s="952"/>
      <c r="P159" s="951">
        <v>4</v>
      </c>
      <c r="Q159" s="952"/>
      <c r="R159" s="951">
        <v>1</v>
      </c>
      <c r="S159" s="952"/>
      <c r="T159" s="951">
        <v>5</v>
      </c>
      <c r="U159" s="952"/>
      <c r="V159" s="951">
        <v>2</v>
      </c>
      <c r="W159" s="952"/>
      <c r="X159" s="880"/>
    </row>
    <row r="160" spans="1:24" ht="13.5" thickBot="1">
      <c r="A160" s="869"/>
      <c r="B160" s="885"/>
      <c r="C160" s="9" t="s">
        <v>3</v>
      </c>
      <c r="D160" s="933"/>
      <c r="E160" s="934"/>
      <c r="F160" s="934"/>
      <c r="G160" s="935"/>
      <c r="H160" s="936"/>
      <c r="I160" s="937"/>
      <c r="J160" s="937"/>
      <c r="K160" s="938"/>
      <c r="L160" s="939">
        <v>0</v>
      </c>
      <c r="M160" s="953"/>
      <c r="N160" s="939">
        <v>0</v>
      </c>
      <c r="O160" s="953"/>
      <c r="P160" s="939">
        <v>2</v>
      </c>
      <c r="Q160" s="953"/>
      <c r="R160" s="939">
        <v>2</v>
      </c>
      <c r="S160" s="953"/>
      <c r="T160" s="939">
        <v>0</v>
      </c>
      <c r="U160" s="953"/>
      <c r="V160" s="939">
        <v>0</v>
      </c>
      <c r="W160" s="953"/>
      <c r="X160" s="881"/>
    </row>
    <row r="161" spans="1:24" ht="12.95" customHeight="1" thickBot="1">
      <c r="A161" s="96" t="s">
        <v>13</v>
      </c>
      <c r="B161" s="885" t="s">
        <v>178</v>
      </c>
      <c r="C161" s="1258" t="s">
        <v>170</v>
      </c>
      <c r="D161" s="927" t="s">
        <v>4</v>
      </c>
      <c r="E161" s="928"/>
      <c r="F161" s="928"/>
      <c r="G161" s="928"/>
      <c r="H161" s="928"/>
      <c r="I161" s="928"/>
      <c r="J161" s="928"/>
      <c r="K161" s="928"/>
      <c r="L161" s="928"/>
      <c r="M161" s="928"/>
      <c r="N161" s="928"/>
      <c r="O161" s="928"/>
      <c r="P161" s="928"/>
      <c r="Q161" s="928"/>
      <c r="R161" s="928"/>
      <c r="S161" s="928"/>
      <c r="T161" s="928"/>
      <c r="U161" s="928"/>
      <c r="V161" s="928"/>
      <c r="W161" s="929"/>
      <c r="X161" s="24" t="s">
        <v>14</v>
      </c>
    </row>
    <row r="162" spans="1:24" ht="12.95" customHeight="1" thickBot="1">
      <c r="A162" s="25" t="s">
        <v>74</v>
      </c>
      <c r="B162" s="869"/>
      <c r="C162" s="1259"/>
      <c r="D162" s="930" t="s">
        <v>124</v>
      </c>
      <c r="E162" s="931"/>
      <c r="F162" s="931"/>
      <c r="G162" s="931"/>
      <c r="H162" s="931"/>
      <c r="I162" s="931"/>
      <c r="J162" s="931"/>
      <c r="K162" s="931"/>
      <c r="L162" s="931"/>
      <c r="M162" s="931"/>
      <c r="N162" s="931"/>
      <c r="O162" s="931"/>
      <c r="P162" s="931"/>
      <c r="Q162" s="931"/>
      <c r="R162" s="931"/>
      <c r="S162" s="931"/>
      <c r="T162" s="931"/>
      <c r="U162" s="931"/>
      <c r="V162" s="931"/>
      <c r="W162" s="932"/>
      <c r="X162" s="18" t="s">
        <v>93</v>
      </c>
    </row>
    <row r="163" spans="1:24" ht="12.95" customHeight="1" thickBot="1">
      <c r="A163" s="906" t="s">
        <v>7</v>
      </c>
      <c r="B163" s="908" t="s">
        <v>173</v>
      </c>
      <c r="C163" s="909"/>
      <c r="D163" s="908" t="s">
        <v>8</v>
      </c>
      <c r="E163" s="918"/>
      <c r="F163" s="918"/>
      <c r="G163" s="909"/>
      <c r="H163" s="908" t="s">
        <v>88</v>
      </c>
      <c r="I163" s="918"/>
      <c r="J163" s="918"/>
      <c r="K163" s="909"/>
      <c r="L163" s="908" t="s">
        <v>89</v>
      </c>
      <c r="M163" s="918"/>
      <c r="N163" s="918"/>
      <c r="O163" s="909"/>
      <c r="P163" s="908" t="s">
        <v>9</v>
      </c>
      <c r="Q163" s="918"/>
      <c r="R163" s="918"/>
      <c r="S163" s="909"/>
      <c r="T163" s="908" t="s">
        <v>174</v>
      </c>
      <c r="U163" s="918"/>
      <c r="V163" s="918"/>
      <c r="W163" s="918"/>
      <c r="X163" s="909"/>
    </row>
    <row r="164" spans="1:24" ht="13.5" thickBot="1">
      <c r="A164" s="907"/>
      <c r="B164" s="1256"/>
      <c r="C164" s="1257"/>
      <c r="D164" s="916"/>
      <c r="E164" s="994"/>
      <c r="F164" s="994"/>
      <c r="G164" s="917"/>
      <c r="H164" s="916"/>
      <c r="I164" s="994"/>
      <c r="J164" s="994"/>
      <c r="K164" s="917"/>
      <c r="L164" s="916"/>
      <c r="M164" s="994"/>
      <c r="N164" s="994"/>
      <c r="O164" s="917"/>
      <c r="P164" s="916">
        <f>SUM(B164:O164)</f>
        <v>0</v>
      </c>
      <c r="Q164" s="994"/>
      <c r="R164" s="994"/>
      <c r="S164" s="917"/>
      <c r="T164" s="916" t="e">
        <f>B164/P164%</f>
        <v>#DIV/0!</v>
      </c>
      <c r="U164" s="994"/>
      <c r="V164" s="994"/>
      <c r="W164" s="994"/>
      <c r="X164" s="917"/>
    </row>
    <row r="165" spans="1:24" ht="13.5" thickBot="1">
      <c r="A165" s="906" t="s">
        <v>10</v>
      </c>
      <c r="B165" s="908" t="s">
        <v>175</v>
      </c>
      <c r="C165" s="909"/>
      <c r="D165" s="910"/>
      <c r="E165" s="911"/>
      <c r="F165" s="911"/>
      <c r="G165" s="911"/>
      <c r="H165" s="911"/>
      <c r="I165" s="911"/>
      <c r="J165" s="911"/>
      <c r="K165" s="911"/>
      <c r="L165" s="911"/>
      <c r="M165" s="911"/>
      <c r="N165" s="911"/>
      <c r="O165" s="911"/>
      <c r="P165" s="911"/>
      <c r="Q165" s="911"/>
      <c r="R165" s="911"/>
      <c r="S165" s="911"/>
      <c r="T165" s="911"/>
      <c r="U165" s="911"/>
      <c r="V165" s="911"/>
      <c r="W165" s="911"/>
      <c r="X165" s="912"/>
    </row>
    <row r="166" spans="1:24" ht="13.5" thickBot="1">
      <c r="A166" s="907"/>
      <c r="B166" s="1256"/>
      <c r="C166" s="1257"/>
      <c r="D166" s="913"/>
      <c r="E166" s="914"/>
      <c r="F166" s="914"/>
      <c r="G166" s="914"/>
      <c r="H166" s="914"/>
      <c r="I166" s="914"/>
      <c r="J166" s="914"/>
      <c r="K166" s="914"/>
      <c r="L166" s="914"/>
      <c r="M166" s="914"/>
      <c r="N166" s="914"/>
      <c r="O166" s="914"/>
      <c r="P166" s="914"/>
      <c r="Q166" s="914"/>
      <c r="R166" s="914"/>
      <c r="S166" s="914"/>
      <c r="T166" s="914"/>
      <c r="U166" s="914"/>
      <c r="V166" s="914"/>
      <c r="W166" s="914"/>
      <c r="X166" s="915"/>
    </row>
    <row r="168" spans="1:24" ht="13.5" thickBot="1"/>
    <row r="169" spans="1:24" ht="12.95" customHeight="1" thickBot="1">
      <c r="A169" s="472" t="s">
        <v>27</v>
      </c>
      <c r="B169" s="473" t="s">
        <v>35</v>
      </c>
      <c r="C169" s="474"/>
      <c r="D169" s="1230" t="s">
        <v>78</v>
      </c>
      <c r="E169" s="1231"/>
      <c r="F169" s="1231"/>
      <c r="G169" s="1232"/>
      <c r="H169" s="1240" t="s">
        <v>77</v>
      </c>
      <c r="I169" s="1231"/>
      <c r="J169" s="1231"/>
      <c r="K169" s="1232"/>
      <c r="L169" s="1240" t="s">
        <v>81</v>
      </c>
      <c r="M169" s="1231"/>
      <c r="N169" s="1231"/>
      <c r="O169" s="1232"/>
      <c r="P169" s="1240" t="s">
        <v>254</v>
      </c>
      <c r="Q169" s="1231"/>
      <c r="R169" s="1231"/>
      <c r="S169" s="1232"/>
      <c r="T169" s="1240" t="s">
        <v>76</v>
      </c>
      <c r="U169" s="1231"/>
      <c r="V169" s="1231"/>
      <c r="W169" s="1232"/>
      <c r="X169" s="475" t="s">
        <v>12</v>
      </c>
    </row>
    <row r="170" spans="1:24" ht="12.95" customHeight="1" thickBot="1">
      <c r="A170" s="1253" t="s">
        <v>70</v>
      </c>
      <c r="B170" s="873" t="s">
        <v>609</v>
      </c>
      <c r="C170" s="90"/>
      <c r="D170" s="1215" t="s">
        <v>636</v>
      </c>
      <c r="E170" s="1216"/>
      <c r="F170" s="1216"/>
      <c r="G170" s="1217"/>
      <c r="H170" s="1215" t="s">
        <v>636</v>
      </c>
      <c r="I170" s="1216"/>
      <c r="J170" s="1216"/>
      <c r="K170" s="1217"/>
      <c r="L170" s="1215" t="s">
        <v>636</v>
      </c>
      <c r="M170" s="1216"/>
      <c r="N170" s="1216"/>
      <c r="O170" s="1217"/>
      <c r="P170" s="476" t="s">
        <v>602</v>
      </c>
      <c r="Q170" s="476" t="s">
        <v>603</v>
      </c>
      <c r="R170" s="476" t="s">
        <v>608</v>
      </c>
      <c r="S170" s="476" t="s">
        <v>604</v>
      </c>
      <c r="T170" s="476" t="s">
        <v>602</v>
      </c>
      <c r="U170" s="476" t="s">
        <v>603</v>
      </c>
      <c r="V170" s="476" t="s">
        <v>608</v>
      </c>
      <c r="W170" s="476" t="s">
        <v>604</v>
      </c>
      <c r="X170" s="879" t="s">
        <v>90</v>
      </c>
    </row>
    <row r="171" spans="1:24" ht="12.95" customHeight="1" thickBot="1">
      <c r="A171" s="1254"/>
      <c r="B171" s="874"/>
      <c r="C171" s="26" t="s">
        <v>2</v>
      </c>
      <c r="D171" s="966" t="s">
        <v>255</v>
      </c>
      <c r="E171" s="967"/>
      <c r="F171" s="967"/>
      <c r="G171" s="968"/>
      <c r="H171" s="924">
        <v>0</v>
      </c>
      <c r="I171" s="925"/>
      <c r="J171" s="925"/>
      <c r="K171" s="926"/>
      <c r="L171" s="924">
        <v>1</v>
      </c>
      <c r="M171" s="925"/>
      <c r="N171" s="925"/>
      <c r="O171" s="926"/>
      <c r="P171" s="939">
        <v>3</v>
      </c>
      <c r="Q171" s="940"/>
      <c r="R171" s="940"/>
      <c r="S171" s="941"/>
      <c r="T171" s="150">
        <v>10</v>
      </c>
      <c r="U171" s="150">
        <v>5</v>
      </c>
      <c r="V171" s="785">
        <v>5</v>
      </c>
      <c r="W171" s="785">
        <v>5</v>
      </c>
      <c r="X171" s="880"/>
    </row>
    <row r="172" spans="1:24" ht="12.95" customHeight="1" thickBot="1">
      <c r="A172" s="1254"/>
      <c r="B172" s="874"/>
      <c r="C172" s="9" t="s">
        <v>3</v>
      </c>
      <c r="D172" s="1241"/>
      <c r="E172" s="1242"/>
      <c r="F172" s="1242"/>
      <c r="G172" s="1243"/>
      <c r="H172" s="1250"/>
      <c r="I172" s="1242"/>
      <c r="J172" s="1242"/>
      <c r="K172" s="1243"/>
      <c r="L172" s="1247">
        <v>1</v>
      </c>
      <c r="M172" s="940"/>
      <c r="N172" s="940"/>
      <c r="O172" s="1248"/>
      <c r="P172" s="150">
        <v>3</v>
      </c>
      <c r="Q172" s="777">
        <v>2</v>
      </c>
      <c r="R172" s="777">
        <v>1</v>
      </c>
      <c r="S172" s="777">
        <v>0</v>
      </c>
      <c r="T172" s="150">
        <v>0</v>
      </c>
      <c r="U172" s="150">
        <v>0</v>
      </c>
      <c r="V172" s="150">
        <v>0</v>
      </c>
      <c r="W172" s="150">
        <v>0</v>
      </c>
      <c r="X172" s="880"/>
    </row>
    <row r="173" spans="1:24" ht="12.95" customHeight="1" thickBot="1">
      <c r="A173" s="1254"/>
      <c r="B173" s="874"/>
      <c r="C173" s="1244" t="s">
        <v>838</v>
      </c>
      <c r="D173" s="1230" t="s">
        <v>842</v>
      </c>
      <c r="E173" s="1231"/>
      <c r="F173" s="1231"/>
      <c r="G173" s="1231"/>
      <c r="H173" s="1231"/>
      <c r="I173" s="1231"/>
      <c r="J173" s="1231"/>
      <c r="K173" s="1231"/>
      <c r="L173" s="1231"/>
      <c r="M173" s="1231"/>
      <c r="N173" s="1231"/>
      <c r="O173" s="1231"/>
      <c r="P173" s="1231"/>
      <c r="Q173" s="1231"/>
      <c r="R173" s="1231"/>
      <c r="S173" s="1231"/>
      <c r="T173" s="1231"/>
      <c r="U173" s="1231"/>
      <c r="V173" s="1231"/>
      <c r="W173" s="1232"/>
      <c r="X173" s="880"/>
    </row>
    <row r="174" spans="1:24" ht="12.95" customHeight="1" thickBot="1">
      <c r="A174" s="1254"/>
      <c r="B174" s="1249"/>
      <c r="C174" s="1245"/>
      <c r="D174" s="930" t="s">
        <v>125</v>
      </c>
      <c r="E174" s="931"/>
      <c r="F174" s="931"/>
      <c r="G174" s="931"/>
      <c r="H174" s="931"/>
      <c r="I174" s="931"/>
      <c r="J174" s="931"/>
      <c r="K174" s="931"/>
      <c r="L174" s="931"/>
      <c r="M174" s="931"/>
      <c r="N174" s="931"/>
      <c r="O174" s="931"/>
      <c r="P174" s="931"/>
      <c r="Q174" s="931"/>
      <c r="R174" s="931"/>
      <c r="S174" s="931"/>
      <c r="T174" s="931"/>
      <c r="U174" s="931"/>
      <c r="V174" s="931"/>
      <c r="W174" s="932"/>
      <c r="X174" s="880"/>
    </row>
    <row r="175" spans="1:24" ht="12.95" customHeight="1" thickBot="1">
      <c r="A175" s="1254"/>
      <c r="B175" s="477" t="s">
        <v>36</v>
      </c>
      <c r="C175" s="478"/>
      <c r="D175" s="1230" t="s">
        <v>78</v>
      </c>
      <c r="E175" s="1231"/>
      <c r="F175" s="1231"/>
      <c r="G175" s="1232"/>
      <c r="H175" s="1240" t="s">
        <v>77</v>
      </c>
      <c r="I175" s="1231"/>
      <c r="J175" s="1231"/>
      <c r="K175" s="1232"/>
      <c r="L175" s="1240" t="s">
        <v>81</v>
      </c>
      <c r="M175" s="1231"/>
      <c r="N175" s="1231"/>
      <c r="O175" s="1232"/>
      <c r="P175" s="1240" t="s">
        <v>254</v>
      </c>
      <c r="Q175" s="1231"/>
      <c r="R175" s="1231"/>
      <c r="S175" s="1232"/>
      <c r="T175" s="1240" t="s">
        <v>76</v>
      </c>
      <c r="U175" s="1231"/>
      <c r="V175" s="1231"/>
      <c r="W175" s="1246"/>
      <c r="X175" s="880"/>
    </row>
    <row r="176" spans="1:24" ht="12.95" customHeight="1" thickBot="1">
      <c r="A176" s="1254"/>
      <c r="B176" s="873" t="s">
        <v>601</v>
      </c>
      <c r="C176" s="90"/>
      <c r="D176" s="1215" t="s">
        <v>636</v>
      </c>
      <c r="E176" s="1216"/>
      <c r="F176" s="1216"/>
      <c r="G176" s="1217"/>
      <c r="H176" s="1215" t="s">
        <v>636</v>
      </c>
      <c r="I176" s="1216"/>
      <c r="J176" s="1216"/>
      <c r="K176" s="1217"/>
      <c r="L176" s="1215" t="s">
        <v>636</v>
      </c>
      <c r="M176" s="1216"/>
      <c r="N176" s="1216"/>
      <c r="O176" s="1217"/>
      <c r="P176" s="479" t="s">
        <v>101</v>
      </c>
      <c r="Q176" s="479" t="s">
        <v>104</v>
      </c>
      <c r="R176" s="479" t="s">
        <v>102</v>
      </c>
      <c r="S176" s="479" t="s">
        <v>103</v>
      </c>
      <c r="T176" s="479" t="s">
        <v>101</v>
      </c>
      <c r="U176" s="479" t="s">
        <v>104</v>
      </c>
      <c r="V176" s="479" t="s">
        <v>102</v>
      </c>
      <c r="W176" s="479" t="s">
        <v>103</v>
      </c>
      <c r="X176" s="880"/>
    </row>
    <row r="177" spans="1:24" ht="12.95" customHeight="1" thickBot="1">
      <c r="A177" s="1254"/>
      <c r="B177" s="874"/>
      <c r="C177" s="26" t="s">
        <v>2</v>
      </c>
      <c r="D177" s="966" t="s">
        <v>255</v>
      </c>
      <c r="E177" s="967"/>
      <c r="F177" s="967"/>
      <c r="G177" s="968"/>
      <c r="H177" s="924">
        <v>0</v>
      </c>
      <c r="I177" s="925"/>
      <c r="J177" s="925"/>
      <c r="K177" s="926"/>
      <c r="L177" s="924">
        <v>0</v>
      </c>
      <c r="M177" s="925"/>
      <c r="N177" s="925"/>
      <c r="O177" s="926"/>
      <c r="P177" s="939">
        <v>0</v>
      </c>
      <c r="Q177" s="940"/>
      <c r="R177" s="940"/>
      <c r="S177" s="941"/>
      <c r="T177" s="150">
        <v>6</v>
      </c>
      <c r="U177" s="150">
        <v>4</v>
      </c>
      <c r="V177" s="785">
        <v>3</v>
      </c>
      <c r="W177" s="785">
        <v>3</v>
      </c>
      <c r="X177" s="880"/>
    </row>
    <row r="178" spans="1:24" ht="12.95" customHeight="1" thickBot="1">
      <c r="A178" s="1254"/>
      <c r="B178" s="874"/>
      <c r="C178" s="9" t="s">
        <v>3</v>
      </c>
      <c r="D178" s="1241"/>
      <c r="E178" s="1242"/>
      <c r="F178" s="1242"/>
      <c r="G178" s="1243"/>
      <c r="H178" s="1250"/>
      <c r="I178" s="1242"/>
      <c r="J178" s="1242"/>
      <c r="K178" s="1243"/>
      <c r="L178" s="1251">
        <v>0</v>
      </c>
      <c r="M178" s="925"/>
      <c r="N178" s="925"/>
      <c r="O178" s="926"/>
      <c r="P178" s="150">
        <v>2</v>
      </c>
      <c r="Q178" s="777">
        <v>1</v>
      </c>
      <c r="R178" s="777">
        <v>0</v>
      </c>
      <c r="S178" s="777">
        <v>0</v>
      </c>
      <c r="T178" s="150">
        <v>0</v>
      </c>
      <c r="U178" s="150">
        <v>0</v>
      </c>
      <c r="V178" s="150">
        <v>0</v>
      </c>
      <c r="W178" s="150">
        <v>0</v>
      </c>
      <c r="X178" s="880"/>
    </row>
    <row r="179" spans="1:24" ht="12.95" customHeight="1" thickBot="1">
      <c r="A179" s="1254"/>
      <c r="B179" s="874"/>
      <c r="C179" s="1252" t="s">
        <v>838</v>
      </c>
      <c r="D179" s="1230" t="s">
        <v>842</v>
      </c>
      <c r="E179" s="1231"/>
      <c r="F179" s="1231"/>
      <c r="G179" s="1231"/>
      <c r="H179" s="1231"/>
      <c r="I179" s="1231"/>
      <c r="J179" s="1231"/>
      <c r="K179" s="1231"/>
      <c r="L179" s="1231"/>
      <c r="M179" s="1231"/>
      <c r="N179" s="1231"/>
      <c r="O179" s="1231"/>
      <c r="P179" s="1231"/>
      <c r="Q179" s="1231"/>
      <c r="R179" s="1231"/>
      <c r="S179" s="1231"/>
      <c r="T179" s="1231"/>
      <c r="U179" s="1231"/>
      <c r="V179" s="1231"/>
      <c r="W179" s="1232"/>
      <c r="X179" s="880"/>
    </row>
    <row r="180" spans="1:24" ht="12.95" customHeight="1" thickBot="1">
      <c r="A180" s="1254"/>
      <c r="B180" s="1249"/>
      <c r="C180" s="1229"/>
      <c r="D180" s="930" t="s">
        <v>125</v>
      </c>
      <c r="E180" s="931"/>
      <c r="F180" s="931"/>
      <c r="G180" s="931"/>
      <c r="H180" s="931"/>
      <c r="I180" s="931"/>
      <c r="J180" s="931"/>
      <c r="K180" s="931"/>
      <c r="L180" s="931"/>
      <c r="M180" s="931"/>
      <c r="N180" s="931"/>
      <c r="O180" s="931"/>
      <c r="P180" s="931"/>
      <c r="Q180" s="931"/>
      <c r="R180" s="931"/>
      <c r="S180" s="931"/>
      <c r="T180" s="931"/>
      <c r="U180" s="931"/>
      <c r="V180" s="931"/>
      <c r="W180" s="1233"/>
      <c r="X180" s="880"/>
    </row>
    <row r="181" spans="1:24" ht="12.95" customHeight="1" thickBot="1">
      <c r="A181" s="1254"/>
      <c r="B181" s="477" t="s">
        <v>600</v>
      </c>
      <c r="C181" s="478"/>
      <c r="D181" s="1230" t="s">
        <v>78</v>
      </c>
      <c r="E181" s="1231"/>
      <c r="F181" s="1231"/>
      <c r="G181" s="1232"/>
      <c r="H181" s="1240" t="s">
        <v>77</v>
      </c>
      <c r="I181" s="1231"/>
      <c r="J181" s="1231"/>
      <c r="K181" s="1232"/>
      <c r="L181" s="1240" t="s">
        <v>81</v>
      </c>
      <c r="M181" s="1231"/>
      <c r="N181" s="1231"/>
      <c r="O181" s="1232"/>
      <c r="P181" s="1240" t="s">
        <v>254</v>
      </c>
      <c r="Q181" s="1231"/>
      <c r="R181" s="1231"/>
      <c r="S181" s="1232"/>
      <c r="T181" s="1240" t="s">
        <v>76</v>
      </c>
      <c r="U181" s="1231"/>
      <c r="V181" s="1231"/>
      <c r="W181" s="1232"/>
      <c r="X181" s="880"/>
    </row>
    <row r="182" spans="1:24" ht="14.25" thickBot="1">
      <c r="A182" s="1254"/>
      <c r="B182" s="1132" t="s">
        <v>648</v>
      </c>
      <c r="C182" s="90"/>
      <c r="D182" s="1215"/>
      <c r="E182" s="1216"/>
      <c r="F182" s="1216"/>
      <c r="G182" s="1217"/>
      <c r="H182" s="1215"/>
      <c r="I182" s="1216"/>
      <c r="J182" s="1216"/>
      <c r="K182" s="1217"/>
      <c r="L182" s="1215"/>
      <c r="M182" s="1216"/>
      <c r="N182" s="1216"/>
      <c r="O182" s="1217"/>
      <c r="P182" s="479" t="s">
        <v>840</v>
      </c>
      <c r="Q182" s="476" t="s">
        <v>607</v>
      </c>
      <c r="R182" s="479" t="s">
        <v>606</v>
      </c>
      <c r="S182" s="479" t="s">
        <v>605</v>
      </c>
      <c r="T182" s="479" t="s">
        <v>840</v>
      </c>
      <c r="U182" s="476" t="s">
        <v>607</v>
      </c>
      <c r="V182" s="479" t="s">
        <v>606</v>
      </c>
      <c r="W182" s="479" t="s">
        <v>605</v>
      </c>
      <c r="X182" s="880"/>
    </row>
    <row r="183" spans="1:24" ht="12.95" customHeight="1" thickBot="1">
      <c r="A183" s="1254"/>
      <c r="B183" s="1133"/>
      <c r="C183" s="26" t="s">
        <v>2</v>
      </c>
      <c r="D183" s="957"/>
      <c r="E183" s="958"/>
      <c r="F183" s="958"/>
      <c r="G183" s="959"/>
      <c r="H183" s="1241" t="s">
        <v>635</v>
      </c>
      <c r="I183" s="1242"/>
      <c r="J183" s="1242"/>
      <c r="K183" s="1243"/>
      <c r="L183" s="966" t="s">
        <v>841</v>
      </c>
      <c r="M183" s="967"/>
      <c r="N183" s="967"/>
      <c r="O183" s="968"/>
      <c r="P183" s="150">
        <v>2</v>
      </c>
      <c r="Q183" s="150">
        <v>0</v>
      </c>
      <c r="R183" s="150">
        <v>0</v>
      </c>
      <c r="S183" s="150">
        <v>0</v>
      </c>
      <c r="T183" s="150">
        <v>3</v>
      </c>
      <c r="U183" s="150">
        <v>2</v>
      </c>
      <c r="V183" s="150">
        <v>1</v>
      </c>
      <c r="W183" s="150">
        <v>0</v>
      </c>
      <c r="X183" s="880"/>
    </row>
    <row r="184" spans="1:24" ht="12.95" customHeight="1" thickBot="1">
      <c r="A184" s="1255"/>
      <c r="B184" s="1133"/>
      <c r="C184" s="9" t="s">
        <v>3</v>
      </c>
      <c r="D184" s="957"/>
      <c r="E184" s="958"/>
      <c r="F184" s="958"/>
      <c r="G184" s="959"/>
      <c r="H184" s="957"/>
      <c r="I184" s="958"/>
      <c r="J184" s="958"/>
      <c r="K184" s="959"/>
      <c r="L184" s="957"/>
      <c r="M184" s="958"/>
      <c r="N184" s="958"/>
      <c r="O184" s="959"/>
      <c r="P184" s="957"/>
      <c r="Q184" s="958"/>
      <c r="R184" s="958"/>
      <c r="S184" s="959"/>
      <c r="T184" s="150">
        <v>0</v>
      </c>
      <c r="U184" s="104">
        <v>0</v>
      </c>
      <c r="V184" s="104">
        <v>0</v>
      </c>
      <c r="W184" s="104">
        <v>0</v>
      </c>
      <c r="X184" s="881"/>
    </row>
    <row r="185" spans="1:24" ht="12.95" customHeight="1" thickBot="1">
      <c r="A185" s="480" t="s">
        <v>13</v>
      </c>
      <c r="B185" s="1133"/>
      <c r="C185" s="1228" t="s">
        <v>838</v>
      </c>
      <c r="D185" s="1230" t="s">
        <v>4</v>
      </c>
      <c r="E185" s="1231"/>
      <c r="F185" s="1231"/>
      <c r="G185" s="1231"/>
      <c r="H185" s="1231"/>
      <c r="I185" s="1231"/>
      <c r="J185" s="1231"/>
      <c r="K185" s="1231"/>
      <c r="L185" s="1231"/>
      <c r="M185" s="1231"/>
      <c r="N185" s="1231"/>
      <c r="O185" s="1231"/>
      <c r="P185" s="1231"/>
      <c r="Q185" s="1231"/>
      <c r="R185" s="1231"/>
      <c r="S185" s="1231"/>
      <c r="T185" s="1231"/>
      <c r="U185" s="1231"/>
      <c r="V185" s="1231"/>
      <c r="W185" s="1232"/>
      <c r="X185" s="24" t="s">
        <v>14</v>
      </c>
    </row>
    <row r="186" spans="1:24" ht="12.95" customHeight="1" thickBot="1">
      <c r="A186" s="481" t="s">
        <v>73</v>
      </c>
      <c r="B186" s="1134"/>
      <c r="C186" s="1229"/>
      <c r="D186" s="930" t="s">
        <v>125</v>
      </c>
      <c r="E186" s="931"/>
      <c r="F186" s="931"/>
      <c r="G186" s="931"/>
      <c r="H186" s="931"/>
      <c r="I186" s="931"/>
      <c r="J186" s="931"/>
      <c r="K186" s="931"/>
      <c r="L186" s="931"/>
      <c r="M186" s="931"/>
      <c r="N186" s="931"/>
      <c r="O186" s="931"/>
      <c r="P186" s="931"/>
      <c r="Q186" s="931"/>
      <c r="R186" s="931"/>
      <c r="S186" s="931"/>
      <c r="T186" s="931"/>
      <c r="U186" s="931"/>
      <c r="V186" s="931"/>
      <c r="W186" s="1233"/>
      <c r="X186" s="18" t="s">
        <v>92</v>
      </c>
    </row>
    <row r="187" spans="1:24" ht="12.95" customHeight="1" thickBot="1">
      <c r="A187" s="1218" t="s">
        <v>7</v>
      </c>
      <c r="B187" s="1220" t="s">
        <v>173</v>
      </c>
      <c r="C187" s="1221"/>
      <c r="D187" s="1220" t="s">
        <v>8</v>
      </c>
      <c r="E187" s="1235"/>
      <c r="F187" s="1235"/>
      <c r="G187" s="1236"/>
      <c r="H187" s="1237" t="s">
        <v>88</v>
      </c>
      <c r="I187" s="1235"/>
      <c r="J187" s="1235"/>
      <c r="K187" s="1236"/>
      <c r="L187" s="1237" t="s">
        <v>89</v>
      </c>
      <c r="M187" s="1235"/>
      <c r="N187" s="1235"/>
      <c r="O187" s="1236"/>
      <c r="P187" s="1237" t="s">
        <v>9</v>
      </c>
      <c r="Q187" s="1235"/>
      <c r="R187" s="1235"/>
      <c r="S187" s="1236"/>
      <c r="T187" s="1237" t="s">
        <v>174</v>
      </c>
      <c r="U187" s="1235"/>
      <c r="V187" s="1235"/>
      <c r="W187" s="1235"/>
      <c r="X187" s="1236"/>
    </row>
    <row r="188" spans="1:24" ht="13.5" thickBot="1">
      <c r="A188" s="1234"/>
      <c r="B188" s="975"/>
      <c r="C188" s="976"/>
      <c r="D188" s="975"/>
      <c r="E188" s="977"/>
      <c r="F188" s="977"/>
      <c r="G188" s="1238"/>
      <c r="H188" s="1239"/>
      <c r="I188" s="977"/>
      <c r="J188" s="977"/>
      <c r="K188" s="1238"/>
      <c r="L188" s="1239"/>
      <c r="M188" s="977"/>
      <c r="N188" s="977"/>
      <c r="O188" s="1238"/>
      <c r="P188" s="916">
        <f>SUM(B188:O188)</f>
        <v>0</v>
      </c>
      <c r="Q188" s="994"/>
      <c r="R188" s="994"/>
      <c r="S188" s="917"/>
      <c r="T188" s="916" t="e">
        <f>B188/P188%</f>
        <v>#DIV/0!</v>
      </c>
      <c r="U188" s="994"/>
      <c r="V188" s="994"/>
      <c r="W188" s="994"/>
      <c r="X188" s="917"/>
    </row>
    <row r="189" spans="1:24" ht="13.5" thickBot="1">
      <c r="A189" s="1218" t="s">
        <v>10</v>
      </c>
      <c r="B189" s="1220" t="s">
        <v>175</v>
      </c>
      <c r="C189" s="1221"/>
      <c r="D189" s="1222"/>
      <c r="E189" s="1223"/>
      <c r="F189" s="1223"/>
      <c r="G189" s="1223"/>
      <c r="H189" s="1223"/>
      <c r="I189" s="1223"/>
      <c r="J189" s="1223"/>
      <c r="K189" s="1223"/>
      <c r="L189" s="1223"/>
      <c r="M189" s="1223"/>
      <c r="N189" s="1223"/>
      <c r="O189" s="1223"/>
      <c r="P189" s="1223"/>
      <c r="Q189" s="1223"/>
      <c r="R189" s="1223"/>
      <c r="S189" s="1223"/>
      <c r="T189" s="1223"/>
      <c r="U189" s="1223"/>
      <c r="V189" s="1223"/>
      <c r="W189" s="1223"/>
      <c r="X189" s="1224"/>
    </row>
    <row r="190" spans="1:24" ht="13.5" thickBot="1">
      <c r="A190" s="1219"/>
      <c r="B190" s="916"/>
      <c r="C190" s="917"/>
      <c r="D190" s="1225"/>
      <c r="E190" s="1226"/>
      <c r="F190" s="1226"/>
      <c r="G190" s="1226"/>
      <c r="H190" s="1226"/>
      <c r="I190" s="1226"/>
      <c r="J190" s="1226"/>
      <c r="K190" s="1226"/>
      <c r="L190" s="1226"/>
      <c r="M190" s="1226"/>
      <c r="N190" s="1226"/>
      <c r="O190" s="1226"/>
      <c r="P190" s="1226"/>
      <c r="Q190" s="1226"/>
      <c r="R190" s="1226"/>
      <c r="S190" s="1226"/>
      <c r="T190" s="1226"/>
      <c r="U190" s="1226"/>
      <c r="V190" s="1226"/>
      <c r="W190" s="1226"/>
      <c r="X190" s="1227"/>
    </row>
  </sheetData>
  <sheetProtection password="CF55" sheet="1" objects="1" scenarios="1" selectLockedCells="1" selectUnlockedCells="1"/>
  <mergeCells count="631">
    <mergeCell ref="H39:K39"/>
    <mergeCell ref="H14:K14"/>
    <mergeCell ref="D21:G21"/>
    <mergeCell ref="D42:W42"/>
    <mergeCell ref="D43:W43"/>
    <mergeCell ref="D44:G44"/>
    <mergeCell ref="T44:W44"/>
    <mergeCell ref="D45:G45"/>
    <mergeCell ref="P45:S45"/>
    <mergeCell ref="T45:W45"/>
    <mergeCell ref="L39:O39"/>
    <mergeCell ref="P39:S39"/>
    <mergeCell ref="T39:W39"/>
    <mergeCell ref="T40:W40"/>
    <mergeCell ref="D39:G39"/>
    <mergeCell ref="D35:W35"/>
    <mergeCell ref="D36:W36"/>
    <mergeCell ref="D33:G33"/>
    <mergeCell ref="H34:K34"/>
    <mergeCell ref="L26:O26"/>
    <mergeCell ref="P26:S26"/>
    <mergeCell ref="T26:W26"/>
    <mergeCell ref="P22:S22"/>
    <mergeCell ref="T22:W22"/>
    <mergeCell ref="X4:X18"/>
    <mergeCell ref="P9:S9"/>
    <mergeCell ref="T9:W9"/>
    <mergeCell ref="P14:S14"/>
    <mergeCell ref="T14:W14"/>
    <mergeCell ref="P31:S31"/>
    <mergeCell ref="L4:O4"/>
    <mergeCell ref="P4:S4"/>
    <mergeCell ref="T4:W4"/>
    <mergeCell ref="P27:S27"/>
    <mergeCell ref="T27:W27"/>
    <mergeCell ref="L28:O28"/>
    <mergeCell ref="P28:S28"/>
    <mergeCell ref="L14:O14"/>
    <mergeCell ref="D15:W15"/>
    <mergeCell ref="D16:W16"/>
    <mergeCell ref="D29:W29"/>
    <mergeCell ref="D4:G4"/>
    <mergeCell ref="H4:K4"/>
    <mergeCell ref="H21:K21"/>
    <mergeCell ref="L21:O21"/>
    <mergeCell ref="P21:S21"/>
    <mergeCell ref="T21:W21"/>
    <mergeCell ref="D24:W24"/>
    <mergeCell ref="A5:A18"/>
    <mergeCell ref="B5:B8"/>
    <mergeCell ref="D5:W5"/>
    <mergeCell ref="D6:W6"/>
    <mergeCell ref="C7:C8"/>
    <mergeCell ref="D7:W7"/>
    <mergeCell ref="D8:W8"/>
    <mergeCell ref="D9:G9"/>
    <mergeCell ref="H9:K9"/>
    <mergeCell ref="L9:O9"/>
    <mergeCell ref="B10:B13"/>
    <mergeCell ref="D10:W10"/>
    <mergeCell ref="D11:W11"/>
    <mergeCell ref="C12:C13"/>
    <mergeCell ref="D12:W12"/>
    <mergeCell ref="D13:W13"/>
    <mergeCell ref="D14:G14"/>
    <mergeCell ref="B15:B18"/>
    <mergeCell ref="C17:C18"/>
    <mergeCell ref="D17:W17"/>
    <mergeCell ref="D18:W18"/>
    <mergeCell ref="X22:X36"/>
    <mergeCell ref="D23:G23"/>
    <mergeCell ref="H23:K23"/>
    <mergeCell ref="L23:O23"/>
    <mergeCell ref="P23:S23"/>
    <mergeCell ref="T23:W23"/>
    <mergeCell ref="T28:W28"/>
    <mergeCell ref="D25:W25"/>
    <mergeCell ref="D26:G26"/>
    <mergeCell ref="H26:K26"/>
    <mergeCell ref="T31:W31"/>
    <mergeCell ref="D27:G27"/>
    <mergeCell ref="H27:K27"/>
    <mergeCell ref="L27:O27"/>
    <mergeCell ref="D30:W30"/>
    <mergeCell ref="D31:G31"/>
    <mergeCell ref="D34:G34"/>
    <mergeCell ref="B27:B30"/>
    <mergeCell ref="C24:C25"/>
    <mergeCell ref="C29:C30"/>
    <mergeCell ref="H31:K31"/>
    <mergeCell ref="L31:O31"/>
    <mergeCell ref="D28:G28"/>
    <mergeCell ref="H28:K28"/>
    <mergeCell ref="A60:A61"/>
    <mergeCell ref="B60:C60"/>
    <mergeCell ref="D60:G60"/>
    <mergeCell ref="H60:K60"/>
    <mergeCell ref="L60:O60"/>
    <mergeCell ref="B61:C61"/>
    <mergeCell ref="D61:G61"/>
    <mergeCell ref="H61:K61"/>
    <mergeCell ref="L61:O61"/>
    <mergeCell ref="C47:C48"/>
    <mergeCell ref="A22:A36"/>
    <mergeCell ref="B22:B25"/>
    <mergeCell ref="D22:G22"/>
    <mergeCell ref="H22:K22"/>
    <mergeCell ref="L22:O22"/>
    <mergeCell ref="B32:B33"/>
    <mergeCell ref="C35:C36"/>
    <mergeCell ref="A40:A59"/>
    <mergeCell ref="B40:B43"/>
    <mergeCell ref="D40:G40"/>
    <mergeCell ref="H40:K40"/>
    <mergeCell ref="L40:O40"/>
    <mergeCell ref="P40:S40"/>
    <mergeCell ref="C42:C43"/>
    <mergeCell ref="H44:K44"/>
    <mergeCell ref="L44:O44"/>
    <mergeCell ref="P44:S44"/>
    <mergeCell ref="C58:C59"/>
    <mergeCell ref="H51:K51"/>
    <mergeCell ref="L51:O51"/>
    <mergeCell ref="P51:S51"/>
    <mergeCell ref="D46:G46"/>
    <mergeCell ref="H46:K46"/>
    <mergeCell ref="L46:O46"/>
    <mergeCell ref="P46:S46"/>
    <mergeCell ref="P61:S61"/>
    <mergeCell ref="T61:X61"/>
    <mergeCell ref="P60:S60"/>
    <mergeCell ref="T60:X60"/>
    <mergeCell ref="H54:K54"/>
    <mergeCell ref="L54:O54"/>
    <mergeCell ref="P54:S54"/>
    <mergeCell ref="T54:W54"/>
    <mergeCell ref="D57:G57"/>
    <mergeCell ref="D56:G56"/>
    <mergeCell ref="H57:K57"/>
    <mergeCell ref="D58:W58"/>
    <mergeCell ref="D59:W59"/>
    <mergeCell ref="X40:X59"/>
    <mergeCell ref="D41:G41"/>
    <mergeCell ref="H41:K41"/>
    <mergeCell ref="L41:O41"/>
    <mergeCell ref="P41:S41"/>
    <mergeCell ref="D50:G50"/>
    <mergeCell ref="H50:K50"/>
    <mergeCell ref="L50:O50"/>
    <mergeCell ref="P50:S50"/>
    <mergeCell ref="T50:W50"/>
    <mergeCell ref="D51:G51"/>
    <mergeCell ref="T41:W41"/>
    <mergeCell ref="B55:B56"/>
    <mergeCell ref="B50:B53"/>
    <mergeCell ref="B45:B48"/>
    <mergeCell ref="H45:K45"/>
    <mergeCell ref="L45:O45"/>
    <mergeCell ref="L49:O49"/>
    <mergeCell ref="P49:S49"/>
    <mergeCell ref="D47:W47"/>
    <mergeCell ref="D48:W48"/>
    <mergeCell ref="D49:G49"/>
    <mergeCell ref="T49:W49"/>
    <mergeCell ref="H49:K49"/>
    <mergeCell ref="T51:W51"/>
    <mergeCell ref="C52:C53"/>
    <mergeCell ref="D52:W52"/>
    <mergeCell ref="D53:W53"/>
    <mergeCell ref="D54:G54"/>
    <mergeCell ref="T46:W46"/>
    <mergeCell ref="L67:O67"/>
    <mergeCell ref="D77:G77"/>
    <mergeCell ref="P67:S67"/>
    <mergeCell ref="H71:K71"/>
    <mergeCell ref="L71:O71"/>
    <mergeCell ref="P71:S71"/>
    <mergeCell ref="T67:W67"/>
    <mergeCell ref="A62:A63"/>
    <mergeCell ref="B62:C62"/>
    <mergeCell ref="D62:X63"/>
    <mergeCell ref="B63:C63"/>
    <mergeCell ref="D66:G66"/>
    <mergeCell ref="H66:K66"/>
    <mergeCell ref="L66:O66"/>
    <mergeCell ref="P66:S66"/>
    <mergeCell ref="T66:W66"/>
    <mergeCell ref="T71:W71"/>
    <mergeCell ref="A67:A78"/>
    <mergeCell ref="B67:B70"/>
    <mergeCell ref="C69:C70"/>
    <mergeCell ref="C74:C75"/>
    <mergeCell ref="D74:W74"/>
    <mergeCell ref="D75:W75"/>
    <mergeCell ref="H76:K76"/>
    <mergeCell ref="D80:W80"/>
    <mergeCell ref="B77:B80"/>
    <mergeCell ref="T77:W77"/>
    <mergeCell ref="H77:K77"/>
    <mergeCell ref="L77:O77"/>
    <mergeCell ref="P77:S77"/>
    <mergeCell ref="X67:X78"/>
    <mergeCell ref="D68:G68"/>
    <mergeCell ref="H68:K68"/>
    <mergeCell ref="L68:O68"/>
    <mergeCell ref="P68:S68"/>
    <mergeCell ref="T68:W68"/>
    <mergeCell ref="D69:W69"/>
    <mergeCell ref="D70:W70"/>
    <mergeCell ref="D71:G71"/>
    <mergeCell ref="D78:G78"/>
    <mergeCell ref="H78:K78"/>
    <mergeCell ref="L78:O78"/>
    <mergeCell ref="P78:S78"/>
    <mergeCell ref="D76:G76"/>
    <mergeCell ref="T73:W73"/>
    <mergeCell ref="T78:W78"/>
    <mergeCell ref="D67:G67"/>
    <mergeCell ref="H67:K67"/>
    <mergeCell ref="L76:O76"/>
    <mergeCell ref="P76:S76"/>
    <mergeCell ref="T76:W76"/>
    <mergeCell ref="B72:B75"/>
    <mergeCell ref="D72:G72"/>
    <mergeCell ref="H72:K72"/>
    <mergeCell ref="L72:O72"/>
    <mergeCell ref="P72:S72"/>
    <mergeCell ref="T72:W72"/>
    <mergeCell ref="D73:G73"/>
    <mergeCell ref="H73:K73"/>
    <mergeCell ref="L73:O73"/>
    <mergeCell ref="P73:S73"/>
    <mergeCell ref="H82:K82"/>
    <mergeCell ref="L82:O82"/>
    <mergeCell ref="P82:S82"/>
    <mergeCell ref="T82:X82"/>
    <mergeCell ref="B81:C81"/>
    <mergeCell ref="D81:G81"/>
    <mergeCell ref="H81:K81"/>
    <mergeCell ref="L81:O81"/>
    <mergeCell ref="P81:S81"/>
    <mergeCell ref="C79:C80"/>
    <mergeCell ref="D79:W79"/>
    <mergeCell ref="A81:A82"/>
    <mergeCell ref="L88:O88"/>
    <mergeCell ref="P88:S88"/>
    <mergeCell ref="H92:K92"/>
    <mergeCell ref="L92:O92"/>
    <mergeCell ref="D87:G87"/>
    <mergeCell ref="H87:K87"/>
    <mergeCell ref="L87:O87"/>
    <mergeCell ref="D89:G89"/>
    <mergeCell ref="H89:K89"/>
    <mergeCell ref="L89:O89"/>
    <mergeCell ref="A83:A84"/>
    <mergeCell ref="B83:C83"/>
    <mergeCell ref="D83:X84"/>
    <mergeCell ref="B84:C84"/>
    <mergeCell ref="P87:S87"/>
    <mergeCell ref="T87:W87"/>
    <mergeCell ref="T88:W88"/>
    <mergeCell ref="P89:S89"/>
    <mergeCell ref="T81:X81"/>
    <mergeCell ref="B82:C82"/>
    <mergeCell ref="D82:G82"/>
    <mergeCell ref="L102:O102"/>
    <mergeCell ref="P102:S102"/>
    <mergeCell ref="L94:O94"/>
    <mergeCell ref="T93:W93"/>
    <mergeCell ref="D97:G97"/>
    <mergeCell ref="H97:K97"/>
    <mergeCell ref="L97:O97"/>
    <mergeCell ref="A88:A99"/>
    <mergeCell ref="B88:B91"/>
    <mergeCell ref="C90:C91"/>
    <mergeCell ref="D99:G99"/>
    <mergeCell ref="H99:K99"/>
    <mergeCell ref="D94:G94"/>
    <mergeCell ref="A102:A103"/>
    <mergeCell ref="B102:C102"/>
    <mergeCell ref="D102:G102"/>
    <mergeCell ref="H102:K102"/>
    <mergeCell ref="H94:K94"/>
    <mergeCell ref="T89:W89"/>
    <mergeCell ref="D90:W90"/>
    <mergeCell ref="D91:W91"/>
    <mergeCell ref="D92:G92"/>
    <mergeCell ref="D88:G88"/>
    <mergeCell ref="H88:K88"/>
    <mergeCell ref="B93:B96"/>
    <mergeCell ref="D93:G93"/>
    <mergeCell ref="H93:K93"/>
    <mergeCell ref="L93:O93"/>
    <mergeCell ref="P93:S93"/>
    <mergeCell ref="D95:W95"/>
    <mergeCell ref="D96:W96"/>
    <mergeCell ref="B98:B101"/>
    <mergeCell ref="D98:G98"/>
    <mergeCell ref="H98:K98"/>
    <mergeCell ref="L98:O98"/>
    <mergeCell ref="P98:S98"/>
    <mergeCell ref="P97:S97"/>
    <mergeCell ref="T97:W97"/>
    <mergeCell ref="A104:A105"/>
    <mergeCell ref="B104:C104"/>
    <mergeCell ref="D104:X105"/>
    <mergeCell ref="B105:C105"/>
    <mergeCell ref="T99:W99"/>
    <mergeCell ref="C100:C101"/>
    <mergeCell ref="D100:W100"/>
    <mergeCell ref="D101:W101"/>
    <mergeCell ref="X88:X99"/>
    <mergeCell ref="P92:S92"/>
    <mergeCell ref="T92:W92"/>
    <mergeCell ref="T98:W98"/>
    <mergeCell ref="T94:W94"/>
    <mergeCell ref="C95:C96"/>
    <mergeCell ref="L99:O99"/>
    <mergeCell ref="T102:X102"/>
    <mergeCell ref="B103:C103"/>
    <mergeCell ref="D103:G103"/>
    <mergeCell ref="H103:K103"/>
    <mergeCell ref="L103:O103"/>
    <mergeCell ref="P103:S103"/>
    <mergeCell ref="T103:X103"/>
    <mergeCell ref="P99:S99"/>
    <mergeCell ref="P94:S94"/>
    <mergeCell ref="D108:G108"/>
    <mergeCell ref="H108:K108"/>
    <mergeCell ref="L108:O108"/>
    <mergeCell ref="P108:S108"/>
    <mergeCell ref="B115:B116"/>
    <mergeCell ref="T108:W108"/>
    <mergeCell ref="B121:B124"/>
    <mergeCell ref="D121:E121"/>
    <mergeCell ref="F121:G121"/>
    <mergeCell ref="H121:I121"/>
    <mergeCell ref="J121:K121"/>
    <mergeCell ref="D110:G110"/>
    <mergeCell ref="H111:K111"/>
    <mergeCell ref="D116:G116"/>
    <mergeCell ref="D114:G114"/>
    <mergeCell ref="D117:G117"/>
    <mergeCell ref="P114:S114"/>
    <mergeCell ref="T114:W114"/>
    <mergeCell ref="V121:W121"/>
    <mergeCell ref="H117:K117"/>
    <mergeCell ref="C118:C119"/>
    <mergeCell ref="D118:W118"/>
    <mergeCell ref="D119:W119"/>
    <mergeCell ref="L114:O114"/>
    <mergeCell ref="H114:K114"/>
    <mergeCell ref="L120:O120"/>
    <mergeCell ref="P120:S120"/>
    <mergeCell ref="T120:W120"/>
    <mergeCell ref="T122:U122"/>
    <mergeCell ref="V122:W122"/>
    <mergeCell ref="L121:M121"/>
    <mergeCell ref="N121:O121"/>
    <mergeCell ref="P121:Q121"/>
    <mergeCell ref="R121:S121"/>
    <mergeCell ref="T121:U121"/>
    <mergeCell ref="D112:W112"/>
    <mergeCell ref="D113:W113"/>
    <mergeCell ref="T127:W127"/>
    <mergeCell ref="D128:G128"/>
    <mergeCell ref="H128:K128"/>
    <mergeCell ref="L128:O128"/>
    <mergeCell ref="V123:W123"/>
    <mergeCell ref="D122:G122"/>
    <mergeCell ref="H122:K122"/>
    <mergeCell ref="L122:M122"/>
    <mergeCell ref="N122:O122"/>
    <mergeCell ref="P122:Q122"/>
    <mergeCell ref="R122:S122"/>
    <mergeCell ref="D123:G123"/>
    <mergeCell ref="H123:K123"/>
    <mergeCell ref="L123:O123"/>
    <mergeCell ref="P123:Q123"/>
    <mergeCell ref="R123:S123"/>
    <mergeCell ref="T123:U123"/>
    <mergeCell ref="D120:G120"/>
    <mergeCell ref="H120:K120"/>
    <mergeCell ref="P126:S126"/>
    <mergeCell ref="T126:W126"/>
    <mergeCell ref="T128:W128"/>
    <mergeCell ref="X109:X128"/>
    <mergeCell ref="A133:A134"/>
    <mergeCell ref="B133:C133"/>
    <mergeCell ref="D133:X134"/>
    <mergeCell ref="B134:C134"/>
    <mergeCell ref="P131:S131"/>
    <mergeCell ref="B127:B130"/>
    <mergeCell ref="P128:S128"/>
    <mergeCell ref="C124:C125"/>
    <mergeCell ref="D124:W124"/>
    <mergeCell ref="D125:W125"/>
    <mergeCell ref="D126:G126"/>
    <mergeCell ref="H126:K126"/>
    <mergeCell ref="L126:O126"/>
    <mergeCell ref="D127:G127"/>
    <mergeCell ref="H127:K127"/>
    <mergeCell ref="L127:O127"/>
    <mergeCell ref="L132:O132"/>
    <mergeCell ref="P132:S132"/>
    <mergeCell ref="T132:X132"/>
    <mergeCell ref="A109:A128"/>
    <mergeCell ref="B109:B110"/>
    <mergeCell ref="D111:G111"/>
    <mergeCell ref="C112:C113"/>
    <mergeCell ref="T137:W137"/>
    <mergeCell ref="A131:A132"/>
    <mergeCell ref="B131:C131"/>
    <mergeCell ref="D131:G131"/>
    <mergeCell ref="H131:K131"/>
    <mergeCell ref="L131:O131"/>
    <mergeCell ref="T131:X131"/>
    <mergeCell ref="B132:C132"/>
    <mergeCell ref="D132:G132"/>
    <mergeCell ref="H132:K132"/>
    <mergeCell ref="P127:S127"/>
    <mergeCell ref="A138:A160"/>
    <mergeCell ref="B138:B141"/>
    <mergeCell ref="D138:G138"/>
    <mergeCell ref="H138:K138"/>
    <mergeCell ref="L138:O138"/>
    <mergeCell ref="P138:S138"/>
    <mergeCell ref="C140:C141"/>
    <mergeCell ref="H142:K142"/>
    <mergeCell ref="L142:O142"/>
    <mergeCell ref="D137:G137"/>
    <mergeCell ref="H137:K137"/>
    <mergeCell ref="L137:O137"/>
    <mergeCell ref="P137:S137"/>
    <mergeCell ref="C129:C130"/>
    <mergeCell ref="D129:W129"/>
    <mergeCell ref="D130:W130"/>
    <mergeCell ref="D159:G159"/>
    <mergeCell ref="P143:S143"/>
    <mergeCell ref="D147:G147"/>
    <mergeCell ref="P149:S149"/>
    <mergeCell ref="P142:S142"/>
    <mergeCell ref="B143:B146"/>
    <mergeCell ref="C145:C146"/>
    <mergeCell ref="B148:B151"/>
    <mergeCell ref="D148:G148"/>
    <mergeCell ref="H148:K148"/>
    <mergeCell ref="L148:O148"/>
    <mergeCell ref="P148:S148"/>
    <mergeCell ref="C150:C151"/>
    <mergeCell ref="D150:W150"/>
    <mergeCell ref="D151:W151"/>
    <mergeCell ref="H144:K144"/>
    <mergeCell ref="L144:O144"/>
    <mergeCell ref="P144:S144"/>
    <mergeCell ref="T144:W144"/>
    <mergeCell ref="T147:W147"/>
    <mergeCell ref="T138:W138"/>
    <mergeCell ref="D143:G143"/>
    <mergeCell ref="H143:K143"/>
    <mergeCell ref="L143:O143"/>
    <mergeCell ref="T148:W148"/>
    <mergeCell ref="D149:G149"/>
    <mergeCell ref="H149:K149"/>
    <mergeCell ref="L149:O149"/>
    <mergeCell ref="T149:W149"/>
    <mergeCell ref="D145:W145"/>
    <mergeCell ref="D146:W146"/>
    <mergeCell ref="H147:K147"/>
    <mergeCell ref="L147:O147"/>
    <mergeCell ref="P147:S147"/>
    <mergeCell ref="T143:W143"/>
    <mergeCell ref="D144:G144"/>
    <mergeCell ref="P139:S139"/>
    <mergeCell ref="T139:W139"/>
    <mergeCell ref="D140:W140"/>
    <mergeCell ref="D141:W141"/>
    <mergeCell ref="D142:G142"/>
    <mergeCell ref="T142:W142"/>
    <mergeCell ref="H157:K157"/>
    <mergeCell ref="L157:O157"/>
    <mergeCell ref="P157:S157"/>
    <mergeCell ref="T153:W153"/>
    <mergeCell ref="D154:G154"/>
    <mergeCell ref="H154:K154"/>
    <mergeCell ref="L154:O154"/>
    <mergeCell ref="P154:S154"/>
    <mergeCell ref="T154:W154"/>
    <mergeCell ref="T157:W157"/>
    <mergeCell ref="D157:G157"/>
    <mergeCell ref="T152:W152"/>
    <mergeCell ref="B153:B156"/>
    <mergeCell ref="D153:G153"/>
    <mergeCell ref="H153:K153"/>
    <mergeCell ref="L153:O153"/>
    <mergeCell ref="P153:S153"/>
    <mergeCell ref="D152:G152"/>
    <mergeCell ref="H152:K152"/>
    <mergeCell ref="L152:O152"/>
    <mergeCell ref="P152:S152"/>
    <mergeCell ref="C155:C156"/>
    <mergeCell ref="D155:W155"/>
    <mergeCell ref="D156:W156"/>
    <mergeCell ref="P158:Q158"/>
    <mergeCell ref="R158:S158"/>
    <mergeCell ref="T158:U158"/>
    <mergeCell ref="V158:W158"/>
    <mergeCell ref="B161:B162"/>
    <mergeCell ref="C161:C162"/>
    <mergeCell ref="D161:W161"/>
    <mergeCell ref="D162:W162"/>
    <mergeCell ref="B158:B160"/>
    <mergeCell ref="H159:I159"/>
    <mergeCell ref="J159:K159"/>
    <mergeCell ref="L159:M159"/>
    <mergeCell ref="D158:E158"/>
    <mergeCell ref="F158:G158"/>
    <mergeCell ref="H158:I158"/>
    <mergeCell ref="J158:K158"/>
    <mergeCell ref="L158:M158"/>
    <mergeCell ref="N159:O159"/>
    <mergeCell ref="P159:Q159"/>
    <mergeCell ref="R159:S159"/>
    <mergeCell ref="T159:U159"/>
    <mergeCell ref="V159:W159"/>
    <mergeCell ref="D160:G160"/>
    <mergeCell ref="R160:S160"/>
    <mergeCell ref="H160:K160"/>
    <mergeCell ref="L160:M160"/>
    <mergeCell ref="N160:O160"/>
    <mergeCell ref="P160:Q160"/>
    <mergeCell ref="T160:U160"/>
    <mergeCell ref="V160:W160"/>
    <mergeCell ref="A163:A164"/>
    <mergeCell ref="B163:C163"/>
    <mergeCell ref="D163:G163"/>
    <mergeCell ref="H163:K163"/>
    <mergeCell ref="L163:O163"/>
    <mergeCell ref="P163:S163"/>
    <mergeCell ref="T163:X163"/>
    <mergeCell ref="B164:C164"/>
    <mergeCell ref="D164:G164"/>
    <mergeCell ref="H164:K164"/>
    <mergeCell ref="L164:O164"/>
    <mergeCell ref="P164:S164"/>
    <mergeCell ref="T164:X164"/>
    <mergeCell ref="X138:X160"/>
    <mergeCell ref="D139:G139"/>
    <mergeCell ref="H139:K139"/>
    <mergeCell ref="L139:O139"/>
    <mergeCell ref="N158:O158"/>
    <mergeCell ref="A165:A166"/>
    <mergeCell ref="B165:C165"/>
    <mergeCell ref="D165:X166"/>
    <mergeCell ref="B166:C166"/>
    <mergeCell ref="D169:G169"/>
    <mergeCell ref="H169:K169"/>
    <mergeCell ref="L169:O169"/>
    <mergeCell ref="P169:S169"/>
    <mergeCell ref="T169:W169"/>
    <mergeCell ref="P175:S175"/>
    <mergeCell ref="T175:W175"/>
    <mergeCell ref="D176:G176"/>
    <mergeCell ref="H176:K176"/>
    <mergeCell ref="L176:O176"/>
    <mergeCell ref="L175:O175"/>
    <mergeCell ref="L170:O170"/>
    <mergeCell ref="D173:W173"/>
    <mergeCell ref="D170:G170"/>
    <mergeCell ref="D171:G171"/>
    <mergeCell ref="H171:K171"/>
    <mergeCell ref="L171:O171"/>
    <mergeCell ref="P171:S171"/>
    <mergeCell ref="X170:X184"/>
    <mergeCell ref="D172:G172"/>
    <mergeCell ref="H172:K172"/>
    <mergeCell ref="L172:O172"/>
    <mergeCell ref="C173:C174"/>
    <mergeCell ref="D174:W174"/>
    <mergeCell ref="B176:B180"/>
    <mergeCell ref="D177:G177"/>
    <mergeCell ref="H177:K177"/>
    <mergeCell ref="L177:O177"/>
    <mergeCell ref="P177:S177"/>
    <mergeCell ref="D178:G178"/>
    <mergeCell ref="H178:K178"/>
    <mergeCell ref="L178:O178"/>
    <mergeCell ref="C179:C180"/>
    <mergeCell ref="D179:W179"/>
    <mergeCell ref="D180:W180"/>
    <mergeCell ref="D181:G181"/>
    <mergeCell ref="H181:K181"/>
    <mergeCell ref="L181:O181"/>
    <mergeCell ref="P181:S181"/>
    <mergeCell ref="T181:W181"/>
    <mergeCell ref="D175:G175"/>
    <mergeCell ref="H175:K175"/>
    <mergeCell ref="L182:O182"/>
    <mergeCell ref="D183:G183"/>
    <mergeCell ref="H183:K183"/>
    <mergeCell ref="L183:O183"/>
    <mergeCell ref="D184:G184"/>
    <mergeCell ref="H184:K184"/>
    <mergeCell ref="L184:O184"/>
    <mergeCell ref="A170:A184"/>
    <mergeCell ref="B170:B174"/>
    <mergeCell ref="H170:K170"/>
    <mergeCell ref="A189:A190"/>
    <mergeCell ref="B189:C189"/>
    <mergeCell ref="D189:X190"/>
    <mergeCell ref="B190:C190"/>
    <mergeCell ref="P184:S184"/>
    <mergeCell ref="C185:C186"/>
    <mergeCell ref="D185:W185"/>
    <mergeCell ref="D186:W186"/>
    <mergeCell ref="A187:A188"/>
    <mergeCell ref="B187:C187"/>
    <mergeCell ref="D187:G187"/>
    <mergeCell ref="H187:K187"/>
    <mergeCell ref="L187:O187"/>
    <mergeCell ref="P187:S187"/>
    <mergeCell ref="T187:X187"/>
    <mergeCell ref="B188:C188"/>
    <mergeCell ref="D188:G188"/>
    <mergeCell ref="H188:K188"/>
    <mergeCell ref="L188:O188"/>
    <mergeCell ref="P188:S188"/>
    <mergeCell ref="T188:X188"/>
    <mergeCell ref="B182:B186"/>
    <mergeCell ref="D182:G182"/>
    <mergeCell ref="H182:K182"/>
  </mergeCells>
  <hyperlinks>
    <hyperlink ref="C24" location="Reference!C12" display="press for guidance"/>
    <hyperlink ref="C25" location="Reference!C12" display="Reference!C12"/>
    <hyperlink ref="C17" location="Reference!C10" display="press for guidance"/>
    <hyperlink ref="C18" location="Reference!C10" display="Reference!C10"/>
    <hyperlink ref="C12" location="Reference!C8" display="press for guidance"/>
    <hyperlink ref="C13" location="Reference!C8" display="Reference!C8"/>
    <hyperlink ref="C7" location="Reference!C6" display="press for guidance"/>
    <hyperlink ref="C8" location="Reference!C6" display="Reference!C6"/>
    <hyperlink ref="C29" location="Reference!C14" display="press for guidance"/>
    <hyperlink ref="C30" location="Reference!C14" display="Reference!C14"/>
    <hyperlink ref="C35" location="Reference!C16" display="press for guidance"/>
    <hyperlink ref="C36" location="Reference!C16" display="Reference!C16"/>
    <hyperlink ref="C42" location="Reference!C18" display="press for guidance"/>
    <hyperlink ref="C43" location="Reference!C18" display="Reference!C18"/>
    <hyperlink ref="C47" location="Reference!C20" display="press for guidance"/>
    <hyperlink ref="C48" location="Reference!C20" display="Reference!C20"/>
    <hyperlink ref="C52" location="Reference!C22" display="press for guidance"/>
    <hyperlink ref="C53" location="Reference!C22" display="Reference!C22"/>
    <hyperlink ref="C58" location="Reference!C24" display="press for guidance"/>
    <hyperlink ref="C59" location="Reference!C24" display="Reference!C24"/>
    <hyperlink ref="C69" location="Reference!C26" display="press for guidance"/>
    <hyperlink ref="C70" location="Reference!C26" display="Reference!C26"/>
    <hyperlink ref="C74" location="Reference!C28" display="press for guidance"/>
    <hyperlink ref="C75" location="Reference!C28" display="Reference!C28"/>
    <hyperlink ref="C79" location="Reference!C30" display="press for guidance"/>
    <hyperlink ref="C80" location="Reference!C30" display="Reference!C30"/>
    <hyperlink ref="C90" location="Reference!C32" display="press for guidance"/>
    <hyperlink ref="C91" location="Reference!C32" display="Reference!C32"/>
    <hyperlink ref="C95" location="Reference'C34" display="press for guidance"/>
    <hyperlink ref="C96" location="Reference'C34" display="Reference'C34"/>
    <hyperlink ref="C100" location="Reference!C36" display="press for guidance"/>
    <hyperlink ref="C101" location="Reference!C36" display="Reference!C36"/>
    <hyperlink ref="C112" location="Reference!C38" display="press for guidance"/>
    <hyperlink ref="C113" location="Reference!C38" display="Reference!C38"/>
    <hyperlink ref="C118" location="Reference!C40" display="press for guidance"/>
    <hyperlink ref="C119" location="Reference!C40" display="Reference!C40"/>
    <hyperlink ref="C124" location="Reference!C42" display="press for guidance"/>
    <hyperlink ref="C125" location="Reference!C42" display="Reference!C42"/>
    <hyperlink ref="C129" location="Reference!C44" display="press for guidance"/>
    <hyperlink ref="C130" location="Reference!C44" display="Reference!C44"/>
    <hyperlink ref="C140" location="Reference!C46" display="press for guidance"/>
    <hyperlink ref="C141" location="Reference!C46" display="Reference!C46"/>
    <hyperlink ref="C145" location="Reference!C48" display="press for guidance"/>
    <hyperlink ref="C146" location="Reference!C48" display="Reference!C48"/>
    <hyperlink ref="C150" location="Reference!C50" display="press for guidance"/>
    <hyperlink ref="C151" location="Reference!C50" display="Reference!C50"/>
    <hyperlink ref="C155" location="Reference!C52" display="press for guidance"/>
    <hyperlink ref="C156" location="Reference!C52" display="Reference!C52"/>
    <hyperlink ref="C161" location="Reference!C54" display="press for guidance"/>
    <hyperlink ref="C162" location="Reference!C54" display="Reference!C54"/>
    <hyperlink ref="C173" location="Reference!C71" display="★ click here for guidance"/>
    <hyperlink ref="C174" location="Reference!C71" display="Reference!C71"/>
    <hyperlink ref="C179" location="Reference!C73" display="★ click here for guidance"/>
    <hyperlink ref="C180" location="Reference!C73" display="Reference!C73"/>
    <hyperlink ref="C185" location="Reference!C75" display="★ click here for guidance"/>
    <hyperlink ref="C186" location="Reference!C75" display="Reference!C75"/>
  </hyperlinks>
  <pageMargins left="0.79000000000000015" right="0.79000000000000015" top="0.79000000000000015" bottom="0.79000000000000015" header="0.39000000000000007" footer="0.39000000000000007"/>
  <pageSetup paperSize="9" scale="55" fitToHeight="3" orientation="landscape"/>
  <headerFooter>
    <oddFooter>&amp;L&amp;K000000&amp;F&amp;C&amp;K000000&amp;D&amp;R&amp;K000000Page &amp;P</oddFooter>
  </headerFooter>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pageSetUpPr fitToPage="1"/>
  </sheetPr>
  <dimension ref="A1:X190"/>
  <sheetViews>
    <sheetView workbookViewId="0">
      <pane xSplit="2" ySplit="1" topLeftCell="C2" activePane="bottomRight" state="frozen"/>
      <selection activeCell="D136" sqref="D136:W136"/>
      <selection pane="topRight" activeCell="D136" sqref="D136:W136"/>
      <selection pane="bottomLeft" activeCell="D136" sqref="D136:W136"/>
      <selection pane="bottomRight" activeCell="D136" sqref="D136:W136"/>
    </sheetView>
  </sheetViews>
  <sheetFormatPr defaultColWidth="8.85546875" defaultRowHeight="12.75"/>
  <cols>
    <col min="1" max="1" width="20.85546875" style="4" customWidth="1"/>
    <col min="2" max="2" width="40.85546875" style="4" customWidth="1"/>
    <col min="3" max="3" width="10.85546875" style="27" customWidth="1"/>
    <col min="4" max="23" width="5.85546875" style="4" customWidth="1"/>
    <col min="24" max="24" width="30.85546875" style="4" customWidth="1"/>
    <col min="25" max="16384" width="8.85546875" style="4"/>
  </cols>
  <sheetData>
    <row r="1" spans="1:24" s="67" customFormat="1" ht="32.25" thickBot="1">
      <c r="A1" s="3" t="s">
        <v>0</v>
      </c>
      <c r="B1" s="64" t="s">
        <v>231</v>
      </c>
      <c r="C1" s="65" t="s">
        <v>280</v>
      </c>
      <c r="D1" s="65"/>
      <c r="E1" s="65"/>
      <c r="F1" s="65"/>
      <c r="G1" s="65"/>
      <c r="H1" s="65"/>
      <c r="I1" s="65"/>
      <c r="J1" s="65"/>
      <c r="K1" s="65"/>
      <c r="L1" s="65"/>
      <c r="M1" s="65"/>
      <c r="N1" s="65"/>
      <c r="O1" s="65"/>
      <c r="P1" s="65"/>
      <c r="Q1" s="65"/>
      <c r="R1" s="65"/>
      <c r="S1" s="65"/>
      <c r="T1" s="65"/>
      <c r="U1" s="65"/>
      <c r="V1" s="65"/>
      <c r="W1" s="65"/>
      <c r="X1" s="66"/>
    </row>
    <row r="2" spans="1:24">
      <c r="A2" s="5"/>
      <c r="B2" s="5"/>
      <c r="C2" s="6"/>
      <c r="D2" s="5"/>
      <c r="E2" s="5"/>
      <c r="F2" s="5"/>
      <c r="G2" s="5"/>
      <c r="H2" s="5"/>
      <c r="I2" s="5"/>
      <c r="J2" s="5"/>
      <c r="K2" s="5"/>
      <c r="L2" s="5"/>
      <c r="M2" s="5"/>
      <c r="N2" s="5"/>
      <c r="O2" s="5"/>
      <c r="P2" s="5"/>
      <c r="Q2" s="5"/>
      <c r="R2" s="5"/>
      <c r="S2" s="5"/>
      <c r="T2" s="5"/>
      <c r="U2" s="5"/>
      <c r="V2" s="5"/>
      <c r="W2" s="5"/>
      <c r="X2" s="5"/>
    </row>
    <row r="3" spans="1:24" ht="13.5" thickBot="1">
      <c r="A3" s="5"/>
      <c r="B3" s="5"/>
      <c r="C3" s="6"/>
      <c r="D3" s="5"/>
      <c r="E3" s="5"/>
      <c r="F3" s="5"/>
      <c r="G3" s="5"/>
      <c r="H3" s="5"/>
      <c r="I3" s="5"/>
      <c r="J3" s="5"/>
      <c r="K3" s="5"/>
      <c r="L3" s="5"/>
      <c r="M3" s="5"/>
      <c r="N3" s="5"/>
      <c r="O3" s="5"/>
      <c r="P3" s="5"/>
      <c r="Q3" s="5"/>
      <c r="R3" s="5"/>
      <c r="S3" s="5"/>
      <c r="T3" s="5"/>
      <c r="U3" s="5"/>
      <c r="V3" s="5"/>
      <c r="W3" s="5"/>
      <c r="X3" s="5"/>
    </row>
    <row r="4" spans="1:24" ht="12.95" customHeight="1" thickBot="1">
      <c r="A4" s="7" t="s">
        <v>50</v>
      </c>
      <c r="B4" s="97" t="s">
        <v>51</v>
      </c>
      <c r="C4" s="8"/>
      <c r="D4" s="927" t="s">
        <v>79</v>
      </c>
      <c r="E4" s="928"/>
      <c r="F4" s="928"/>
      <c r="G4" s="929"/>
      <c r="H4" s="927" t="s">
        <v>80</v>
      </c>
      <c r="I4" s="928"/>
      <c r="J4" s="928"/>
      <c r="K4" s="929"/>
      <c r="L4" s="927" t="s">
        <v>81</v>
      </c>
      <c r="M4" s="928"/>
      <c r="N4" s="928"/>
      <c r="O4" s="929"/>
      <c r="P4" s="927" t="s">
        <v>254</v>
      </c>
      <c r="Q4" s="928"/>
      <c r="R4" s="928"/>
      <c r="S4" s="929"/>
      <c r="T4" s="927" t="s">
        <v>76</v>
      </c>
      <c r="U4" s="928"/>
      <c r="V4" s="928"/>
      <c r="W4" s="929"/>
      <c r="X4" s="991"/>
    </row>
    <row r="5" spans="1:24" ht="13.5" thickBot="1">
      <c r="A5" s="868" t="s">
        <v>43</v>
      </c>
      <c r="B5" s="868" t="s">
        <v>46</v>
      </c>
      <c r="C5" s="9" t="s">
        <v>2</v>
      </c>
      <c r="D5" s="983" t="s">
        <v>82</v>
      </c>
      <c r="E5" s="984"/>
      <c r="F5" s="984"/>
      <c r="G5" s="984"/>
      <c r="H5" s="984"/>
      <c r="I5" s="984"/>
      <c r="J5" s="984"/>
      <c r="K5" s="984"/>
      <c r="L5" s="984"/>
      <c r="M5" s="984"/>
      <c r="N5" s="984"/>
      <c r="O5" s="984"/>
      <c r="P5" s="984"/>
      <c r="Q5" s="984"/>
      <c r="R5" s="984"/>
      <c r="S5" s="984"/>
      <c r="T5" s="984"/>
      <c r="U5" s="984"/>
      <c r="V5" s="984"/>
      <c r="W5" s="985"/>
      <c r="X5" s="992"/>
    </row>
    <row r="6" spans="1:24" ht="13.5" thickBot="1">
      <c r="A6" s="885"/>
      <c r="B6" s="885"/>
      <c r="C6" s="10" t="s">
        <v>3</v>
      </c>
      <c r="D6" s="986"/>
      <c r="E6" s="987"/>
      <c r="F6" s="987"/>
      <c r="G6" s="987"/>
      <c r="H6" s="987"/>
      <c r="I6" s="987"/>
      <c r="J6" s="987"/>
      <c r="K6" s="987"/>
      <c r="L6" s="987"/>
      <c r="M6" s="987"/>
      <c r="N6" s="987"/>
      <c r="O6" s="987"/>
      <c r="P6" s="987"/>
      <c r="Q6" s="987"/>
      <c r="R6" s="987"/>
      <c r="S6" s="987"/>
      <c r="T6" s="987"/>
      <c r="U6" s="987"/>
      <c r="V6" s="987"/>
      <c r="W6" s="988"/>
      <c r="X6" s="992"/>
    </row>
    <row r="7" spans="1:24" ht="12.95" customHeight="1" thickBot="1">
      <c r="A7" s="885"/>
      <c r="B7" s="885"/>
      <c r="C7" s="1278" t="s">
        <v>170</v>
      </c>
      <c r="D7" s="989" t="s">
        <v>4</v>
      </c>
      <c r="E7" s="990"/>
      <c r="F7" s="990"/>
      <c r="G7" s="990"/>
      <c r="H7" s="990"/>
      <c r="I7" s="990"/>
      <c r="J7" s="990"/>
      <c r="K7" s="990"/>
      <c r="L7" s="990"/>
      <c r="M7" s="990"/>
      <c r="N7" s="990"/>
      <c r="O7" s="990"/>
      <c r="P7" s="990"/>
      <c r="Q7" s="990"/>
      <c r="R7" s="990"/>
      <c r="S7" s="990"/>
      <c r="T7" s="990"/>
      <c r="U7" s="990"/>
      <c r="V7" s="990"/>
      <c r="W7" s="990"/>
      <c r="X7" s="992"/>
    </row>
    <row r="8" spans="1:24" ht="12.95" customHeight="1" thickBot="1">
      <c r="A8" s="885"/>
      <c r="B8" s="869"/>
      <c r="C8" s="1279"/>
      <c r="D8" s="930" t="s">
        <v>85</v>
      </c>
      <c r="E8" s="931"/>
      <c r="F8" s="931"/>
      <c r="G8" s="931"/>
      <c r="H8" s="931"/>
      <c r="I8" s="931"/>
      <c r="J8" s="931"/>
      <c r="K8" s="931"/>
      <c r="L8" s="931"/>
      <c r="M8" s="931"/>
      <c r="N8" s="931"/>
      <c r="O8" s="931"/>
      <c r="P8" s="931"/>
      <c r="Q8" s="931"/>
      <c r="R8" s="931"/>
      <c r="S8" s="931"/>
      <c r="T8" s="931"/>
      <c r="U8" s="931"/>
      <c r="V8" s="931"/>
      <c r="W8" s="932"/>
      <c r="X8" s="992"/>
    </row>
    <row r="9" spans="1:24" ht="12.95" customHeight="1" thickBot="1">
      <c r="A9" s="885"/>
      <c r="B9" s="11" t="s">
        <v>52</v>
      </c>
      <c r="C9" s="12"/>
      <c r="D9" s="927" t="s">
        <v>79</v>
      </c>
      <c r="E9" s="928"/>
      <c r="F9" s="928"/>
      <c r="G9" s="929"/>
      <c r="H9" s="927" t="s">
        <v>80</v>
      </c>
      <c r="I9" s="928"/>
      <c r="J9" s="928"/>
      <c r="K9" s="929"/>
      <c r="L9" s="927" t="s">
        <v>81</v>
      </c>
      <c r="M9" s="928"/>
      <c r="N9" s="928"/>
      <c r="O9" s="929"/>
      <c r="P9" s="927" t="s">
        <v>254</v>
      </c>
      <c r="Q9" s="928"/>
      <c r="R9" s="928"/>
      <c r="S9" s="929"/>
      <c r="T9" s="927" t="s">
        <v>76</v>
      </c>
      <c r="U9" s="928"/>
      <c r="V9" s="928"/>
      <c r="W9" s="929"/>
      <c r="X9" s="992"/>
    </row>
    <row r="10" spans="1:24" ht="36" customHeight="1" thickBot="1">
      <c r="A10" s="885"/>
      <c r="B10" s="868" t="s">
        <v>45</v>
      </c>
      <c r="C10" s="13" t="s">
        <v>2</v>
      </c>
      <c r="D10" s="930" t="s">
        <v>86</v>
      </c>
      <c r="E10" s="931"/>
      <c r="F10" s="931"/>
      <c r="G10" s="931"/>
      <c r="H10" s="931"/>
      <c r="I10" s="931"/>
      <c r="J10" s="931"/>
      <c r="K10" s="931"/>
      <c r="L10" s="931"/>
      <c r="M10" s="931"/>
      <c r="N10" s="931"/>
      <c r="O10" s="931"/>
      <c r="P10" s="931"/>
      <c r="Q10" s="931"/>
      <c r="R10" s="931"/>
      <c r="S10" s="931"/>
      <c r="T10" s="931"/>
      <c r="U10" s="931"/>
      <c r="V10" s="931"/>
      <c r="W10" s="932"/>
      <c r="X10" s="992"/>
    </row>
    <row r="11" spans="1:24" ht="13.5" thickBot="1">
      <c r="A11" s="885"/>
      <c r="B11" s="885"/>
      <c r="C11" s="10" t="s">
        <v>3</v>
      </c>
      <c r="D11" s="986"/>
      <c r="E11" s="987"/>
      <c r="F11" s="987"/>
      <c r="G11" s="987"/>
      <c r="H11" s="987"/>
      <c r="I11" s="987"/>
      <c r="J11" s="987"/>
      <c r="K11" s="987"/>
      <c r="L11" s="987"/>
      <c r="M11" s="987"/>
      <c r="N11" s="987"/>
      <c r="O11" s="987"/>
      <c r="P11" s="987"/>
      <c r="Q11" s="987"/>
      <c r="R11" s="987"/>
      <c r="S11" s="987"/>
      <c r="T11" s="987"/>
      <c r="U11" s="987"/>
      <c r="V11" s="987"/>
      <c r="W11" s="988"/>
      <c r="X11" s="992"/>
    </row>
    <row r="12" spans="1:24" ht="12.95" customHeight="1" thickBot="1">
      <c r="A12" s="885"/>
      <c r="B12" s="885"/>
      <c r="C12" s="1258" t="s">
        <v>170</v>
      </c>
      <c r="D12" s="927" t="s">
        <v>4</v>
      </c>
      <c r="E12" s="928"/>
      <c r="F12" s="928"/>
      <c r="G12" s="928"/>
      <c r="H12" s="928"/>
      <c r="I12" s="928"/>
      <c r="J12" s="928"/>
      <c r="K12" s="928"/>
      <c r="L12" s="928"/>
      <c r="M12" s="928"/>
      <c r="N12" s="928"/>
      <c r="O12" s="928"/>
      <c r="P12" s="928"/>
      <c r="Q12" s="928"/>
      <c r="R12" s="928"/>
      <c r="S12" s="928"/>
      <c r="T12" s="928"/>
      <c r="U12" s="928"/>
      <c r="V12" s="928"/>
      <c r="W12" s="928"/>
      <c r="X12" s="992"/>
    </row>
    <row r="13" spans="1:24" ht="24" customHeight="1" thickBot="1">
      <c r="A13" s="885"/>
      <c r="B13" s="869"/>
      <c r="C13" s="1259"/>
      <c r="D13" s="930" t="s">
        <v>87</v>
      </c>
      <c r="E13" s="931"/>
      <c r="F13" s="931"/>
      <c r="G13" s="931"/>
      <c r="H13" s="931"/>
      <c r="I13" s="931"/>
      <c r="J13" s="931"/>
      <c r="K13" s="931"/>
      <c r="L13" s="931"/>
      <c r="M13" s="931"/>
      <c r="N13" s="931"/>
      <c r="O13" s="931"/>
      <c r="P13" s="931"/>
      <c r="Q13" s="931"/>
      <c r="R13" s="931"/>
      <c r="S13" s="931"/>
      <c r="T13" s="931"/>
      <c r="U13" s="931"/>
      <c r="V13" s="931"/>
      <c r="W13" s="932"/>
      <c r="X13" s="992"/>
    </row>
    <row r="14" spans="1:24" ht="12.95" customHeight="1" thickBot="1">
      <c r="A14" s="885"/>
      <c r="B14" s="11" t="s">
        <v>53</v>
      </c>
      <c r="C14" s="12"/>
      <c r="D14" s="927" t="s">
        <v>79</v>
      </c>
      <c r="E14" s="928"/>
      <c r="F14" s="928"/>
      <c r="G14" s="929"/>
      <c r="H14" s="927" t="s">
        <v>80</v>
      </c>
      <c r="I14" s="928"/>
      <c r="J14" s="928"/>
      <c r="K14" s="929"/>
      <c r="L14" s="927" t="s">
        <v>81</v>
      </c>
      <c r="M14" s="928"/>
      <c r="N14" s="928"/>
      <c r="O14" s="929"/>
      <c r="P14" s="927" t="s">
        <v>254</v>
      </c>
      <c r="Q14" s="928"/>
      <c r="R14" s="928"/>
      <c r="S14" s="929"/>
      <c r="T14" s="927" t="s">
        <v>76</v>
      </c>
      <c r="U14" s="928"/>
      <c r="V14" s="928"/>
      <c r="W14" s="929"/>
      <c r="X14" s="992"/>
    </row>
    <row r="15" spans="1:24" ht="12.95" customHeight="1" thickBot="1">
      <c r="A15" s="885"/>
      <c r="B15" s="868" t="s">
        <v>44</v>
      </c>
      <c r="C15" s="9" t="s">
        <v>2</v>
      </c>
      <c r="D15" s="930" t="s">
        <v>83</v>
      </c>
      <c r="E15" s="931"/>
      <c r="F15" s="931"/>
      <c r="G15" s="931"/>
      <c r="H15" s="931"/>
      <c r="I15" s="931"/>
      <c r="J15" s="931"/>
      <c r="K15" s="931"/>
      <c r="L15" s="931"/>
      <c r="M15" s="931"/>
      <c r="N15" s="931"/>
      <c r="O15" s="931"/>
      <c r="P15" s="931"/>
      <c r="Q15" s="931"/>
      <c r="R15" s="931"/>
      <c r="S15" s="931"/>
      <c r="T15" s="931"/>
      <c r="U15" s="931"/>
      <c r="V15" s="931"/>
      <c r="W15" s="932"/>
      <c r="X15" s="992"/>
    </row>
    <row r="16" spans="1:24" ht="13.5" thickBot="1">
      <c r="A16" s="885"/>
      <c r="B16" s="885"/>
      <c r="C16" s="10" t="s">
        <v>3</v>
      </c>
      <c r="D16" s="986"/>
      <c r="E16" s="987"/>
      <c r="F16" s="987"/>
      <c r="G16" s="987"/>
      <c r="H16" s="987"/>
      <c r="I16" s="987"/>
      <c r="J16" s="987"/>
      <c r="K16" s="987"/>
      <c r="L16" s="987"/>
      <c r="M16" s="987"/>
      <c r="N16" s="987"/>
      <c r="O16" s="987"/>
      <c r="P16" s="987"/>
      <c r="Q16" s="987"/>
      <c r="R16" s="987"/>
      <c r="S16" s="987"/>
      <c r="T16" s="987"/>
      <c r="U16" s="987"/>
      <c r="V16" s="987"/>
      <c r="W16" s="988"/>
      <c r="X16" s="992"/>
    </row>
    <row r="17" spans="1:24" ht="12.95" customHeight="1" thickBot="1">
      <c r="A17" s="885"/>
      <c r="B17" s="885"/>
      <c r="C17" s="1258" t="s">
        <v>170</v>
      </c>
      <c r="D17" s="989" t="s">
        <v>4</v>
      </c>
      <c r="E17" s="990"/>
      <c r="F17" s="990"/>
      <c r="G17" s="990"/>
      <c r="H17" s="990"/>
      <c r="I17" s="990"/>
      <c r="J17" s="990"/>
      <c r="K17" s="990"/>
      <c r="L17" s="990"/>
      <c r="M17" s="990"/>
      <c r="N17" s="990"/>
      <c r="O17" s="990"/>
      <c r="P17" s="990"/>
      <c r="Q17" s="990"/>
      <c r="R17" s="990"/>
      <c r="S17" s="990"/>
      <c r="T17" s="990"/>
      <c r="U17" s="990"/>
      <c r="V17" s="990"/>
      <c r="W17" s="990"/>
      <c r="X17" s="992"/>
    </row>
    <row r="18" spans="1:24" ht="12.95" customHeight="1" thickBot="1">
      <c r="A18" s="869"/>
      <c r="B18" s="869"/>
      <c r="C18" s="1259"/>
      <c r="D18" s="930" t="s">
        <v>84</v>
      </c>
      <c r="E18" s="931"/>
      <c r="F18" s="931"/>
      <c r="G18" s="931"/>
      <c r="H18" s="931"/>
      <c r="I18" s="931"/>
      <c r="J18" s="931"/>
      <c r="K18" s="931"/>
      <c r="L18" s="931"/>
      <c r="M18" s="931"/>
      <c r="N18" s="931"/>
      <c r="O18" s="931"/>
      <c r="P18" s="931"/>
      <c r="Q18" s="931"/>
      <c r="R18" s="931"/>
      <c r="S18" s="931"/>
      <c r="T18" s="931"/>
      <c r="U18" s="931"/>
      <c r="V18" s="931"/>
      <c r="W18" s="932"/>
      <c r="X18" s="993"/>
    </row>
    <row r="19" spans="1:24">
      <c r="A19" s="5"/>
      <c r="B19" s="5"/>
      <c r="C19" s="14"/>
      <c r="D19" s="5"/>
      <c r="E19" s="5"/>
      <c r="F19" s="5"/>
      <c r="G19" s="5"/>
      <c r="H19" s="5"/>
      <c r="I19" s="5"/>
      <c r="J19" s="5"/>
      <c r="K19" s="5"/>
      <c r="L19" s="5"/>
      <c r="M19" s="5"/>
      <c r="N19" s="5"/>
      <c r="O19" s="5"/>
      <c r="P19" s="5"/>
      <c r="Q19" s="5"/>
      <c r="R19" s="5"/>
      <c r="S19" s="5"/>
      <c r="T19" s="5"/>
      <c r="U19" s="5"/>
      <c r="V19" s="5"/>
      <c r="W19" s="5"/>
      <c r="X19" s="5"/>
    </row>
    <row r="20" spans="1:24" ht="13.5" thickBot="1">
      <c r="A20" s="5"/>
      <c r="B20" s="5"/>
      <c r="C20" s="6"/>
      <c r="D20" s="5"/>
      <c r="E20" s="5"/>
      <c r="F20" s="5"/>
      <c r="G20" s="5"/>
      <c r="H20" s="5"/>
      <c r="I20" s="5"/>
      <c r="J20" s="5"/>
      <c r="K20" s="5"/>
      <c r="L20" s="5"/>
      <c r="M20" s="5"/>
      <c r="N20" s="5"/>
      <c r="O20" s="5"/>
      <c r="P20" s="5"/>
      <c r="Q20" s="5"/>
      <c r="R20" s="5"/>
      <c r="S20" s="5"/>
      <c r="T20" s="5"/>
      <c r="U20" s="5"/>
      <c r="V20" s="5"/>
      <c r="W20" s="5"/>
      <c r="X20" s="5"/>
    </row>
    <row r="21" spans="1:24" ht="12.95" customHeight="1" thickBot="1">
      <c r="A21" s="15" t="s">
        <v>1</v>
      </c>
      <c r="B21" s="97" t="s">
        <v>24</v>
      </c>
      <c r="C21" s="8"/>
      <c r="D21" s="927" t="s">
        <v>78</v>
      </c>
      <c r="E21" s="928"/>
      <c r="F21" s="928"/>
      <c r="G21" s="929"/>
      <c r="H21" s="927" t="s">
        <v>77</v>
      </c>
      <c r="I21" s="928"/>
      <c r="J21" s="928"/>
      <c r="K21" s="929"/>
      <c r="L21" s="927" t="s">
        <v>81</v>
      </c>
      <c r="M21" s="928"/>
      <c r="N21" s="928"/>
      <c r="O21" s="929"/>
      <c r="P21" s="927" t="s">
        <v>254</v>
      </c>
      <c r="Q21" s="928"/>
      <c r="R21" s="928"/>
      <c r="S21" s="929"/>
      <c r="T21" s="927" t="s">
        <v>76</v>
      </c>
      <c r="U21" s="928"/>
      <c r="V21" s="928"/>
      <c r="W21" s="929"/>
      <c r="X21" s="16" t="s">
        <v>6</v>
      </c>
    </row>
    <row r="22" spans="1:24" ht="12.95" customHeight="1" thickBot="1">
      <c r="A22" s="868" t="s">
        <v>47</v>
      </c>
      <c r="B22" s="868" t="s">
        <v>48</v>
      </c>
      <c r="C22" s="9" t="s">
        <v>2</v>
      </c>
      <c r="D22" s="1316" t="s">
        <v>255</v>
      </c>
      <c r="E22" s="1317"/>
      <c r="F22" s="1317"/>
      <c r="G22" s="1319"/>
      <c r="H22" s="942">
        <v>2.1</v>
      </c>
      <c r="I22" s="943"/>
      <c r="J22" s="943"/>
      <c r="K22" s="944"/>
      <c r="L22" s="942">
        <v>2.1</v>
      </c>
      <c r="M22" s="943"/>
      <c r="N22" s="943"/>
      <c r="O22" s="944"/>
      <c r="P22" s="942">
        <v>2.2000000000000002</v>
      </c>
      <c r="Q22" s="943"/>
      <c r="R22" s="943"/>
      <c r="S22" s="944"/>
      <c r="T22" s="1188">
        <v>3</v>
      </c>
      <c r="U22" s="1189"/>
      <c r="V22" s="1189"/>
      <c r="W22" s="1190"/>
      <c r="X22" s="873" t="s">
        <v>96</v>
      </c>
    </row>
    <row r="23" spans="1:24" ht="13.5" thickBot="1">
      <c r="A23" s="885"/>
      <c r="B23" s="885"/>
      <c r="C23" s="10" t="s">
        <v>3</v>
      </c>
      <c r="D23" s="957"/>
      <c r="E23" s="958"/>
      <c r="F23" s="958"/>
      <c r="G23" s="959"/>
      <c r="H23" s="957"/>
      <c r="I23" s="958"/>
      <c r="J23" s="958"/>
      <c r="K23" s="959"/>
      <c r="L23" s="963">
        <v>2.1</v>
      </c>
      <c r="M23" s="964"/>
      <c r="N23" s="964"/>
      <c r="O23" s="965"/>
      <c r="P23" s="963">
        <v>3</v>
      </c>
      <c r="Q23" s="964"/>
      <c r="R23" s="964"/>
      <c r="S23" s="965"/>
      <c r="T23" s="963">
        <v>0</v>
      </c>
      <c r="U23" s="964"/>
      <c r="V23" s="964"/>
      <c r="W23" s="965"/>
      <c r="X23" s="874"/>
    </row>
    <row r="24" spans="1:24" ht="12.95" customHeight="1" thickBot="1">
      <c r="A24" s="885"/>
      <c r="B24" s="885"/>
      <c r="C24" s="1258" t="s">
        <v>170</v>
      </c>
      <c r="D24" s="927" t="s">
        <v>4</v>
      </c>
      <c r="E24" s="928"/>
      <c r="F24" s="928"/>
      <c r="G24" s="928"/>
      <c r="H24" s="928"/>
      <c r="I24" s="928"/>
      <c r="J24" s="928"/>
      <c r="K24" s="928"/>
      <c r="L24" s="928"/>
      <c r="M24" s="928"/>
      <c r="N24" s="928"/>
      <c r="O24" s="928"/>
      <c r="P24" s="928"/>
      <c r="Q24" s="928"/>
      <c r="R24" s="928"/>
      <c r="S24" s="928"/>
      <c r="T24" s="928"/>
      <c r="U24" s="928"/>
      <c r="V24" s="928"/>
      <c r="W24" s="928"/>
      <c r="X24" s="874"/>
    </row>
    <row r="25" spans="1:24" ht="12.95" customHeight="1" thickBot="1">
      <c r="A25" s="885"/>
      <c r="B25" s="869"/>
      <c r="C25" s="1259"/>
      <c r="D25" s="930" t="s">
        <v>115</v>
      </c>
      <c r="E25" s="931"/>
      <c r="F25" s="931"/>
      <c r="G25" s="931"/>
      <c r="H25" s="931"/>
      <c r="I25" s="931"/>
      <c r="J25" s="931"/>
      <c r="K25" s="931"/>
      <c r="L25" s="931"/>
      <c r="M25" s="931"/>
      <c r="N25" s="931"/>
      <c r="O25" s="931"/>
      <c r="P25" s="931"/>
      <c r="Q25" s="931"/>
      <c r="R25" s="931"/>
      <c r="S25" s="931"/>
      <c r="T25" s="931"/>
      <c r="U25" s="931"/>
      <c r="V25" s="931"/>
      <c r="W25" s="932"/>
      <c r="X25" s="874"/>
    </row>
    <row r="26" spans="1:24" ht="12.95" customHeight="1" thickBot="1">
      <c r="A26" s="885"/>
      <c r="B26" s="11" t="s">
        <v>25</v>
      </c>
      <c r="C26" s="12"/>
      <c r="D26" s="927" t="s">
        <v>78</v>
      </c>
      <c r="E26" s="928"/>
      <c r="F26" s="928"/>
      <c r="G26" s="929"/>
      <c r="H26" s="927" t="s">
        <v>77</v>
      </c>
      <c r="I26" s="928"/>
      <c r="J26" s="928"/>
      <c r="K26" s="929"/>
      <c r="L26" s="927" t="s">
        <v>81</v>
      </c>
      <c r="M26" s="928"/>
      <c r="N26" s="928"/>
      <c r="O26" s="929"/>
      <c r="P26" s="927" t="s">
        <v>254</v>
      </c>
      <c r="Q26" s="928"/>
      <c r="R26" s="928"/>
      <c r="S26" s="929"/>
      <c r="T26" s="927" t="s">
        <v>76</v>
      </c>
      <c r="U26" s="928"/>
      <c r="V26" s="928"/>
      <c r="W26" s="929"/>
      <c r="X26" s="874"/>
    </row>
    <row r="27" spans="1:24" ht="12.95" customHeight="1" thickBot="1">
      <c r="A27" s="885"/>
      <c r="B27" s="868" t="s">
        <v>49</v>
      </c>
      <c r="C27" s="9" t="s">
        <v>2</v>
      </c>
      <c r="D27" s="1316" t="s">
        <v>255</v>
      </c>
      <c r="E27" s="1317"/>
      <c r="F27" s="1317"/>
      <c r="G27" s="1319"/>
      <c r="H27" s="942">
        <v>1</v>
      </c>
      <c r="I27" s="943"/>
      <c r="J27" s="943"/>
      <c r="K27" s="944"/>
      <c r="L27" s="942">
        <v>1</v>
      </c>
      <c r="M27" s="943"/>
      <c r="N27" s="943"/>
      <c r="O27" s="944"/>
      <c r="P27" s="942">
        <v>1.1000000000000001</v>
      </c>
      <c r="Q27" s="943"/>
      <c r="R27" s="943"/>
      <c r="S27" s="944"/>
      <c r="T27" s="1320">
        <v>2.5</v>
      </c>
      <c r="U27" s="1321"/>
      <c r="V27" s="1321"/>
      <c r="W27" s="1322"/>
      <c r="X27" s="874"/>
    </row>
    <row r="28" spans="1:24" ht="13.5" thickBot="1">
      <c r="A28" s="885"/>
      <c r="B28" s="885"/>
      <c r="C28" s="10" t="s">
        <v>3</v>
      </c>
      <c r="D28" s="957"/>
      <c r="E28" s="958"/>
      <c r="F28" s="958"/>
      <c r="G28" s="959"/>
      <c r="H28" s="957"/>
      <c r="I28" s="958"/>
      <c r="J28" s="958"/>
      <c r="K28" s="959"/>
      <c r="L28" s="963">
        <v>1</v>
      </c>
      <c r="M28" s="964"/>
      <c r="N28" s="964"/>
      <c r="O28" s="965"/>
      <c r="P28" s="963">
        <v>3.1</v>
      </c>
      <c r="Q28" s="964"/>
      <c r="R28" s="964"/>
      <c r="S28" s="965"/>
      <c r="T28" s="963">
        <v>0</v>
      </c>
      <c r="U28" s="964"/>
      <c r="V28" s="964"/>
      <c r="W28" s="965"/>
      <c r="X28" s="874"/>
    </row>
    <row r="29" spans="1:24" ht="12.95" customHeight="1" thickBot="1">
      <c r="A29" s="885"/>
      <c r="B29" s="885"/>
      <c r="C29" s="1258" t="s">
        <v>170</v>
      </c>
      <c r="D29" s="927" t="s">
        <v>4</v>
      </c>
      <c r="E29" s="928"/>
      <c r="F29" s="928"/>
      <c r="G29" s="928"/>
      <c r="H29" s="928"/>
      <c r="I29" s="928"/>
      <c r="J29" s="928"/>
      <c r="K29" s="928"/>
      <c r="L29" s="928"/>
      <c r="M29" s="928"/>
      <c r="N29" s="928"/>
      <c r="O29" s="928"/>
      <c r="P29" s="928"/>
      <c r="Q29" s="928"/>
      <c r="R29" s="928"/>
      <c r="S29" s="928"/>
      <c r="T29" s="928"/>
      <c r="U29" s="928"/>
      <c r="V29" s="928"/>
      <c r="W29" s="928"/>
      <c r="X29" s="874"/>
    </row>
    <row r="30" spans="1:24" ht="12.95" customHeight="1" thickBot="1">
      <c r="A30" s="885"/>
      <c r="B30" s="869"/>
      <c r="C30" s="1259"/>
      <c r="D30" s="930" t="s">
        <v>116</v>
      </c>
      <c r="E30" s="931"/>
      <c r="F30" s="931"/>
      <c r="G30" s="931"/>
      <c r="H30" s="931"/>
      <c r="I30" s="931"/>
      <c r="J30" s="931"/>
      <c r="K30" s="931"/>
      <c r="L30" s="931"/>
      <c r="M30" s="931"/>
      <c r="N30" s="931"/>
      <c r="O30" s="931"/>
      <c r="P30" s="931"/>
      <c r="Q30" s="931"/>
      <c r="R30" s="931"/>
      <c r="S30" s="931"/>
      <c r="T30" s="931"/>
      <c r="U30" s="931"/>
      <c r="V30" s="931"/>
      <c r="W30" s="932"/>
      <c r="X30" s="874"/>
    </row>
    <row r="31" spans="1:24" ht="12.95" customHeight="1" thickBot="1">
      <c r="A31" s="885"/>
      <c r="B31" s="11" t="s">
        <v>37</v>
      </c>
      <c r="C31" s="12"/>
      <c r="D31" s="927" t="s">
        <v>78</v>
      </c>
      <c r="E31" s="928"/>
      <c r="F31" s="928"/>
      <c r="G31" s="929"/>
      <c r="H31" s="927" t="s">
        <v>77</v>
      </c>
      <c r="I31" s="928"/>
      <c r="J31" s="928"/>
      <c r="K31" s="929"/>
      <c r="L31" s="927" t="s">
        <v>81</v>
      </c>
      <c r="M31" s="928"/>
      <c r="N31" s="928"/>
      <c r="O31" s="929"/>
      <c r="P31" s="927" t="s">
        <v>254</v>
      </c>
      <c r="Q31" s="928"/>
      <c r="R31" s="928"/>
      <c r="S31" s="929"/>
      <c r="T31" s="927" t="s">
        <v>76</v>
      </c>
      <c r="U31" s="928"/>
      <c r="V31" s="928"/>
      <c r="W31" s="929"/>
      <c r="X31" s="874"/>
    </row>
    <row r="32" spans="1:24" ht="33" customHeight="1" thickBot="1">
      <c r="A32" s="885"/>
      <c r="B32" s="868" t="s">
        <v>148</v>
      </c>
      <c r="C32" s="9"/>
      <c r="D32" s="17" t="s">
        <v>106</v>
      </c>
      <c r="E32" s="17" t="s">
        <v>107</v>
      </c>
      <c r="F32" s="17" t="s">
        <v>108</v>
      </c>
      <c r="G32" s="17" t="s">
        <v>109</v>
      </c>
      <c r="H32" s="17" t="s">
        <v>106</v>
      </c>
      <c r="I32" s="17" t="s">
        <v>107</v>
      </c>
      <c r="J32" s="17" t="s">
        <v>108</v>
      </c>
      <c r="K32" s="17" t="s">
        <v>109</v>
      </c>
      <c r="L32" s="17" t="s">
        <v>106</v>
      </c>
      <c r="M32" s="17" t="s">
        <v>107</v>
      </c>
      <c r="N32" s="17" t="s">
        <v>108</v>
      </c>
      <c r="O32" s="17" t="s">
        <v>109</v>
      </c>
      <c r="P32" s="17" t="s">
        <v>106</v>
      </c>
      <c r="Q32" s="17" t="s">
        <v>107</v>
      </c>
      <c r="R32" s="17" t="s">
        <v>108</v>
      </c>
      <c r="S32" s="17" t="s">
        <v>109</v>
      </c>
      <c r="T32" s="17" t="s">
        <v>106</v>
      </c>
      <c r="U32" s="17" t="s">
        <v>107</v>
      </c>
      <c r="V32" s="17" t="s">
        <v>108</v>
      </c>
      <c r="W32" s="17" t="s">
        <v>109</v>
      </c>
      <c r="X32" s="874"/>
    </row>
    <row r="33" spans="1:24" ht="12.95" customHeight="1" thickBot="1">
      <c r="A33" s="885"/>
      <c r="B33" s="885"/>
      <c r="C33" s="9" t="s">
        <v>2</v>
      </c>
      <c r="D33" s="1316" t="s">
        <v>255</v>
      </c>
      <c r="E33" s="1317"/>
      <c r="F33" s="1317"/>
      <c r="G33" s="1318"/>
      <c r="H33" s="18">
        <v>1</v>
      </c>
      <c r="I33" s="18">
        <v>1</v>
      </c>
      <c r="J33" s="18">
        <v>0</v>
      </c>
      <c r="K33" s="18">
        <v>13</v>
      </c>
      <c r="L33" s="18">
        <v>1</v>
      </c>
      <c r="M33" s="18">
        <v>1</v>
      </c>
      <c r="N33" s="18">
        <v>0</v>
      </c>
      <c r="O33" s="18">
        <v>13</v>
      </c>
      <c r="P33" s="18">
        <v>2</v>
      </c>
      <c r="Q33" s="18">
        <v>1</v>
      </c>
      <c r="R33" s="18">
        <v>1</v>
      </c>
      <c r="S33" s="18">
        <v>14</v>
      </c>
      <c r="T33" s="782">
        <v>9</v>
      </c>
      <c r="U33" s="782">
        <v>9</v>
      </c>
      <c r="V33" s="782">
        <v>10</v>
      </c>
      <c r="W33" s="18">
        <v>15</v>
      </c>
      <c r="X33" s="874"/>
    </row>
    <row r="34" spans="1:24" ht="13.5" thickBot="1">
      <c r="A34" s="885"/>
      <c r="B34" s="93" t="s">
        <v>145</v>
      </c>
      <c r="C34" s="10" t="s">
        <v>3</v>
      </c>
      <c r="D34" s="986"/>
      <c r="E34" s="987"/>
      <c r="F34" s="987"/>
      <c r="G34" s="988"/>
      <c r="H34" s="957"/>
      <c r="I34" s="958"/>
      <c r="J34" s="958"/>
      <c r="K34" s="959"/>
      <c r="L34" s="68">
        <v>1</v>
      </c>
      <c r="M34" s="68">
        <v>1</v>
      </c>
      <c r="N34" s="68">
        <v>0</v>
      </c>
      <c r="O34" s="68">
        <v>13</v>
      </c>
      <c r="P34" s="68">
        <v>1</v>
      </c>
      <c r="Q34" s="68">
        <v>1</v>
      </c>
      <c r="R34" s="68">
        <v>0</v>
      </c>
      <c r="S34" s="68">
        <v>14</v>
      </c>
      <c r="T34" s="68">
        <v>0</v>
      </c>
      <c r="U34" s="68">
        <v>0</v>
      </c>
      <c r="V34" s="68">
        <v>0</v>
      </c>
      <c r="W34" s="68">
        <v>0</v>
      </c>
      <c r="X34" s="874"/>
    </row>
    <row r="35" spans="1:24" ht="12.95" customHeight="1" thickBot="1">
      <c r="A35" s="885"/>
      <c r="B35" s="93" t="s">
        <v>147</v>
      </c>
      <c r="C35" s="1258" t="s">
        <v>170</v>
      </c>
      <c r="D35" s="927" t="s">
        <v>4</v>
      </c>
      <c r="E35" s="928"/>
      <c r="F35" s="928"/>
      <c r="G35" s="928"/>
      <c r="H35" s="928"/>
      <c r="I35" s="928"/>
      <c r="J35" s="928"/>
      <c r="K35" s="928"/>
      <c r="L35" s="928"/>
      <c r="M35" s="928"/>
      <c r="N35" s="928"/>
      <c r="O35" s="928"/>
      <c r="P35" s="928"/>
      <c r="Q35" s="928"/>
      <c r="R35" s="928"/>
      <c r="S35" s="928"/>
      <c r="T35" s="928"/>
      <c r="U35" s="928"/>
      <c r="V35" s="928"/>
      <c r="W35" s="928"/>
      <c r="X35" s="874"/>
    </row>
    <row r="36" spans="1:24" ht="12.95" customHeight="1" thickBot="1">
      <c r="A36" s="869"/>
      <c r="B36" s="94" t="s">
        <v>146</v>
      </c>
      <c r="C36" s="1259"/>
      <c r="D36" s="930" t="s">
        <v>117</v>
      </c>
      <c r="E36" s="931"/>
      <c r="F36" s="931"/>
      <c r="G36" s="931"/>
      <c r="H36" s="931"/>
      <c r="I36" s="931"/>
      <c r="J36" s="931"/>
      <c r="K36" s="931"/>
      <c r="L36" s="931"/>
      <c r="M36" s="931"/>
      <c r="N36" s="931"/>
      <c r="O36" s="931"/>
      <c r="P36" s="931"/>
      <c r="Q36" s="931"/>
      <c r="R36" s="931"/>
      <c r="S36" s="931"/>
      <c r="T36" s="931"/>
      <c r="U36" s="931"/>
      <c r="V36" s="931"/>
      <c r="W36" s="932"/>
      <c r="X36" s="875"/>
    </row>
    <row r="37" spans="1:24">
      <c r="A37" s="5"/>
      <c r="B37" s="5"/>
      <c r="C37" s="14"/>
      <c r="D37" s="5"/>
      <c r="E37" s="5"/>
      <c r="F37" s="5"/>
      <c r="G37" s="5"/>
      <c r="H37" s="5"/>
      <c r="I37" s="5"/>
      <c r="J37" s="5"/>
      <c r="K37" s="5"/>
      <c r="L37" s="5"/>
      <c r="M37" s="5"/>
      <c r="N37" s="5"/>
      <c r="O37" s="5"/>
      <c r="P37" s="5"/>
      <c r="Q37" s="5"/>
      <c r="R37" s="5"/>
      <c r="S37" s="5"/>
      <c r="T37" s="5"/>
      <c r="U37" s="5"/>
      <c r="V37" s="5"/>
      <c r="W37" s="5"/>
      <c r="X37" s="5"/>
    </row>
    <row r="38" spans="1:24" ht="13.5" thickBot="1">
      <c r="A38" s="5"/>
      <c r="B38" s="5"/>
      <c r="C38" s="6"/>
      <c r="D38" s="5"/>
      <c r="E38" s="5"/>
      <c r="F38" s="5"/>
      <c r="G38" s="5"/>
      <c r="H38" s="5"/>
      <c r="I38" s="5"/>
      <c r="J38" s="5"/>
      <c r="K38" s="5"/>
      <c r="L38" s="5"/>
      <c r="M38" s="5"/>
      <c r="N38" s="5"/>
      <c r="O38" s="5"/>
      <c r="P38" s="5"/>
      <c r="Q38" s="5"/>
      <c r="R38" s="5"/>
      <c r="S38" s="5"/>
      <c r="T38" s="5"/>
      <c r="U38" s="5"/>
      <c r="V38" s="5"/>
      <c r="W38" s="5"/>
      <c r="X38" s="5"/>
    </row>
    <row r="39" spans="1:24" ht="12.95" customHeight="1" thickBot="1">
      <c r="A39" s="7" t="s">
        <v>5</v>
      </c>
      <c r="B39" s="97" t="s">
        <v>22</v>
      </c>
      <c r="C39" s="8"/>
      <c r="D39" s="927" t="s">
        <v>78</v>
      </c>
      <c r="E39" s="928"/>
      <c r="F39" s="928"/>
      <c r="G39" s="929"/>
      <c r="H39" s="927" t="s">
        <v>77</v>
      </c>
      <c r="I39" s="928"/>
      <c r="J39" s="928"/>
      <c r="K39" s="929"/>
      <c r="L39" s="927" t="s">
        <v>81</v>
      </c>
      <c r="M39" s="928"/>
      <c r="N39" s="928"/>
      <c r="O39" s="929"/>
      <c r="P39" s="927" t="s">
        <v>254</v>
      </c>
      <c r="Q39" s="928"/>
      <c r="R39" s="928"/>
      <c r="S39" s="929"/>
      <c r="T39" s="927" t="s">
        <v>76</v>
      </c>
      <c r="U39" s="928"/>
      <c r="V39" s="928"/>
      <c r="W39" s="929"/>
      <c r="X39" s="19" t="s">
        <v>6</v>
      </c>
    </row>
    <row r="40" spans="1:24" ht="12.95" customHeight="1" thickBot="1">
      <c r="A40" s="868" t="s">
        <v>54</v>
      </c>
      <c r="B40" s="868" t="s">
        <v>55</v>
      </c>
      <c r="C40" s="9" t="s">
        <v>2</v>
      </c>
      <c r="D40" s="1316" t="s">
        <v>255</v>
      </c>
      <c r="E40" s="1317"/>
      <c r="F40" s="1317"/>
      <c r="G40" s="1319"/>
      <c r="H40" s="942">
        <v>2.2000000000000002</v>
      </c>
      <c r="I40" s="943"/>
      <c r="J40" s="943"/>
      <c r="K40" s="944"/>
      <c r="L40" s="942">
        <v>2.2000000000000002</v>
      </c>
      <c r="M40" s="943"/>
      <c r="N40" s="943"/>
      <c r="O40" s="944"/>
      <c r="P40" s="942">
        <v>2.4</v>
      </c>
      <c r="Q40" s="943"/>
      <c r="R40" s="943"/>
      <c r="S40" s="944"/>
      <c r="T40" s="942">
        <v>2.7</v>
      </c>
      <c r="U40" s="943"/>
      <c r="V40" s="943"/>
      <c r="W40" s="944"/>
      <c r="X40" s="879" t="s">
        <v>95</v>
      </c>
    </row>
    <row r="41" spans="1:24" ht="13.5" thickBot="1">
      <c r="A41" s="885"/>
      <c r="B41" s="885"/>
      <c r="C41" s="10" t="s">
        <v>3</v>
      </c>
      <c r="D41" s="957"/>
      <c r="E41" s="958"/>
      <c r="F41" s="958"/>
      <c r="G41" s="959"/>
      <c r="H41" s="957"/>
      <c r="I41" s="958"/>
      <c r="J41" s="958"/>
      <c r="K41" s="959"/>
      <c r="L41" s="963">
        <v>2.2000000000000002</v>
      </c>
      <c r="M41" s="964"/>
      <c r="N41" s="964"/>
      <c r="O41" s="965"/>
      <c r="P41" s="963">
        <v>2.5</v>
      </c>
      <c r="Q41" s="964"/>
      <c r="R41" s="964"/>
      <c r="S41" s="965"/>
      <c r="T41" s="963">
        <v>0</v>
      </c>
      <c r="U41" s="964"/>
      <c r="V41" s="964"/>
      <c r="W41" s="965"/>
      <c r="X41" s="880"/>
    </row>
    <row r="42" spans="1:24" ht="12.95" customHeight="1" thickBot="1">
      <c r="A42" s="885"/>
      <c r="B42" s="885"/>
      <c r="C42" s="1258" t="s">
        <v>170</v>
      </c>
      <c r="D42" s="927" t="s">
        <v>4</v>
      </c>
      <c r="E42" s="928"/>
      <c r="F42" s="928"/>
      <c r="G42" s="928"/>
      <c r="H42" s="928"/>
      <c r="I42" s="928"/>
      <c r="J42" s="928"/>
      <c r="K42" s="928"/>
      <c r="L42" s="928"/>
      <c r="M42" s="928"/>
      <c r="N42" s="928"/>
      <c r="O42" s="928"/>
      <c r="P42" s="928"/>
      <c r="Q42" s="928"/>
      <c r="R42" s="928"/>
      <c r="S42" s="928"/>
      <c r="T42" s="928"/>
      <c r="U42" s="928"/>
      <c r="V42" s="928"/>
      <c r="W42" s="928"/>
      <c r="X42" s="880"/>
    </row>
    <row r="43" spans="1:24" ht="12.95" customHeight="1" thickBot="1">
      <c r="A43" s="885"/>
      <c r="B43" s="869"/>
      <c r="C43" s="1259"/>
      <c r="D43" s="930" t="s">
        <v>115</v>
      </c>
      <c r="E43" s="931"/>
      <c r="F43" s="931"/>
      <c r="G43" s="931"/>
      <c r="H43" s="931"/>
      <c r="I43" s="931"/>
      <c r="J43" s="931"/>
      <c r="K43" s="931"/>
      <c r="L43" s="931"/>
      <c r="M43" s="931"/>
      <c r="N43" s="931"/>
      <c r="O43" s="931"/>
      <c r="P43" s="931"/>
      <c r="Q43" s="931"/>
      <c r="R43" s="931"/>
      <c r="S43" s="931"/>
      <c r="T43" s="931"/>
      <c r="U43" s="931"/>
      <c r="V43" s="931"/>
      <c r="W43" s="932"/>
      <c r="X43" s="880"/>
    </row>
    <row r="44" spans="1:24" ht="12.95" customHeight="1" thickBot="1">
      <c r="A44" s="885"/>
      <c r="B44" s="11" t="s">
        <v>23</v>
      </c>
      <c r="C44" s="12"/>
      <c r="D44" s="927" t="s">
        <v>78</v>
      </c>
      <c r="E44" s="928"/>
      <c r="F44" s="928"/>
      <c r="G44" s="929"/>
      <c r="H44" s="927" t="s">
        <v>77</v>
      </c>
      <c r="I44" s="928"/>
      <c r="J44" s="928"/>
      <c r="K44" s="929"/>
      <c r="L44" s="927" t="s">
        <v>81</v>
      </c>
      <c r="M44" s="928"/>
      <c r="N44" s="928"/>
      <c r="O44" s="929"/>
      <c r="P44" s="927" t="s">
        <v>254</v>
      </c>
      <c r="Q44" s="928"/>
      <c r="R44" s="928"/>
      <c r="S44" s="929"/>
      <c r="T44" s="927" t="s">
        <v>76</v>
      </c>
      <c r="U44" s="928"/>
      <c r="V44" s="928"/>
      <c r="W44" s="929"/>
      <c r="X44" s="880"/>
    </row>
    <row r="45" spans="1:24" ht="12.95" customHeight="1" thickBot="1">
      <c r="A45" s="885"/>
      <c r="B45" s="868" t="s">
        <v>56</v>
      </c>
      <c r="C45" s="9" t="s">
        <v>2</v>
      </c>
      <c r="D45" s="1316" t="s">
        <v>255</v>
      </c>
      <c r="E45" s="1317"/>
      <c r="F45" s="1317"/>
      <c r="G45" s="1319"/>
      <c r="H45" s="942">
        <v>1.5</v>
      </c>
      <c r="I45" s="943"/>
      <c r="J45" s="943"/>
      <c r="K45" s="944"/>
      <c r="L45" s="942">
        <v>1.5</v>
      </c>
      <c r="M45" s="943"/>
      <c r="N45" s="943"/>
      <c r="O45" s="944"/>
      <c r="P45" s="942">
        <v>1.8</v>
      </c>
      <c r="Q45" s="943"/>
      <c r="R45" s="943"/>
      <c r="S45" s="944"/>
      <c r="T45" s="942">
        <v>2.5</v>
      </c>
      <c r="U45" s="943"/>
      <c r="V45" s="943"/>
      <c r="W45" s="944"/>
      <c r="X45" s="880"/>
    </row>
    <row r="46" spans="1:24" ht="13.5" thickBot="1">
      <c r="A46" s="885"/>
      <c r="B46" s="885"/>
      <c r="C46" s="10" t="s">
        <v>3</v>
      </c>
      <c r="D46" s="933"/>
      <c r="E46" s="934"/>
      <c r="F46" s="934"/>
      <c r="G46" s="935"/>
      <c r="H46" s="933"/>
      <c r="I46" s="934"/>
      <c r="J46" s="934"/>
      <c r="K46" s="935"/>
      <c r="L46" s="963">
        <v>1.5</v>
      </c>
      <c r="M46" s="964"/>
      <c r="N46" s="964"/>
      <c r="O46" s="965"/>
      <c r="P46" s="963">
        <v>2.2000000000000002</v>
      </c>
      <c r="Q46" s="964"/>
      <c r="R46" s="964"/>
      <c r="S46" s="965"/>
      <c r="T46" s="963">
        <v>0</v>
      </c>
      <c r="U46" s="964"/>
      <c r="V46" s="964"/>
      <c r="W46" s="965"/>
      <c r="X46" s="880"/>
    </row>
    <row r="47" spans="1:24" ht="12.95" customHeight="1" thickBot="1">
      <c r="A47" s="885"/>
      <c r="B47" s="885"/>
      <c r="C47" s="1258" t="s">
        <v>170</v>
      </c>
      <c r="D47" s="927" t="s">
        <v>4</v>
      </c>
      <c r="E47" s="928"/>
      <c r="F47" s="928"/>
      <c r="G47" s="928"/>
      <c r="H47" s="928"/>
      <c r="I47" s="928"/>
      <c r="J47" s="928"/>
      <c r="K47" s="928"/>
      <c r="L47" s="928"/>
      <c r="M47" s="928"/>
      <c r="N47" s="928"/>
      <c r="O47" s="928"/>
      <c r="P47" s="928"/>
      <c r="Q47" s="928"/>
      <c r="R47" s="928"/>
      <c r="S47" s="928"/>
      <c r="T47" s="928"/>
      <c r="U47" s="928"/>
      <c r="V47" s="928"/>
      <c r="W47" s="928"/>
      <c r="X47" s="880"/>
    </row>
    <row r="48" spans="1:24" ht="12.95" customHeight="1" thickBot="1">
      <c r="A48" s="885"/>
      <c r="B48" s="869"/>
      <c r="C48" s="1259"/>
      <c r="D48" s="930" t="s">
        <v>115</v>
      </c>
      <c r="E48" s="931"/>
      <c r="F48" s="931"/>
      <c r="G48" s="931"/>
      <c r="H48" s="931"/>
      <c r="I48" s="931"/>
      <c r="J48" s="931"/>
      <c r="K48" s="931"/>
      <c r="L48" s="931"/>
      <c r="M48" s="931"/>
      <c r="N48" s="931"/>
      <c r="O48" s="931"/>
      <c r="P48" s="931"/>
      <c r="Q48" s="931"/>
      <c r="R48" s="931"/>
      <c r="S48" s="931"/>
      <c r="T48" s="931"/>
      <c r="U48" s="931"/>
      <c r="V48" s="931"/>
      <c r="W48" s="932"/>
      <c r="X48" s="880"/>
    </row>
    <row r="49" spans="1:24" ht="12.95" customHeight="1" thickBot="1">
      <c r="A49" s="885"/>
      <c r="B49" s="11" t="s">
        <v>38</v>
      </c>
      <c r="C49" s="12"/>
      <c r="D49" s="927" t="s">
        <v>78</v>
      </c>
      <c r="E49" s="928"/>
      <c r="F49" s="928"/>
      <c r="G49" s="929"/>
      <c r="H49" s="927" t="s">
        <v>77</v>
      </c>
      <c r="I49" s="928"/>
      <c r="J49" s="928"/>
      <c r="K49" s="929"/>
      <c r="L49" s="927" t="s">
        <v>81</v>
      </c>
      <c r="M49" s="928"/>
      <c r="N49" s="928"/>
      <c r="O49" s="929"/>
      <c r="P49" s="927" t="s">
        <v>254</v>
      </c>
      <c r="Q49" s="928"/>
      <c r="R49" s="928"/>
      <c r="S49" s="929"/>
      <c r="T49" s="927" t="s">
        <v>76</v>
      </c>
      <c r="U49" s="928"/>
      <c r="V49" s="928"/>
      <c r="W49" s="929"/>
      <c r="X49" s="880"/>
    </row>
    <row r="50" spans="1:24" ht="12.95" customHeight="1" thickBot="1">
      <c r="A50" s="885"/>
      <c r="B50" s="868" t="s">
        <v>155</v>
      </c>
      <c r="C50" s="9" t="s">
        <v>2</v>
      </c>
      <c r="D50" s="933" t="s">
        <v>171</v>
      </c>
      <c r="E50" s="934"/>
      <c r="F50" s="934"/>
      <c r="G50" s="935"/>
      <c r="H50" s="966" t="s">
        <v>572</v>
      </c>
      <c r="I50" s="967"/>
      <c r="J50" s="967"/>
      <c r="K50" s="968"/>
      <c r="L50" s="942">
        <v>2.5</v>
      </c>
      <c r="M50" s="943"/>
      <c r="N50" s="943"/>
      <c r="O50" s="944"/>
      <c r="P50" s="942">
        <v>2.8</v>
      </c>
      <c r="Q50" s="943"/>
      <c r="R50" s="943"/>
      <c r="S50" s="944"/>
      <c r="T50" s="942">
        <v>3</v>
      </c>
      <c r="U50" s="943"/>
      <c r="V50" s="943"/>
      <c r="W50" s="944"/>
      <c r="X50" s="880"/>
    </row>
    <row r="51" spans="1:24" ht="13.5" thickBot="1">
      <c r="A51" s="885"/>
      <c r="B51" s="885"/>
      <c r="C51" s="98" t="s">
        <v>3</v>
      </c>
      <c r="D51" s="933"/>
      <c r="E51" s="934"/>
      <c r="F51" s="934"/>
      <c r="G51" s="935"/>
      <c r="H51" s="933"/>
      <c r="I51" s="934"/>
      <c r="J51" s="934"/>
      <c r="K51" s="935"/>
      <c r="L51" s="1171"/>
      <c r="M51" s="1172"/>
      <c r="N51" s="1172"/>
      <c r="O51" s="1173"/>
      <c r="P51" s="963">
        <v>2.9</v>
      </c>
      <c r="Q51" s="964"/>
      <c r="R51" s="964"/>
      <c r="S51" s="965"/>
      <c r="T51" s="963">
        <v>0</v>
      </c>
      <c r="U51" s="964"/>
      <c r="V51" s="964"/>
      <c r="W51" s="965"/>
      <c r="X51" s="880"/>
    </row>
    <row r="52" spans="1:24" ht="12.95" customHeight="1" thickBot="1">
      <c r="A52" s="885"/>
      <c r="B52" s="885"/>
      <c r="C52" s="922" t="s">
        <v>170</v>
      </c>
      <c r="D52" s="927" t="s">
        <v>4</v>
      </c>
      <c r="E52" s="928"/>
      <c r="F52" s="928"/>
      <c r="G52" s="928"/>
      <c r="H52" s="928"/>
      <c r="I52" s="928"/>
      <c r="J52" s="928"/>
      <c r="K52" s="928"/>
      <c r="L52" s="928"/>
      <c r="M52" s="928"/>
      <c r="N52" s="928"/>
      <c r="O52" s="928"/>
      <c r="P52" s="928"/>
      <c r="Q52" s="928"/>
      <c r="R52" s="928"/>
      <c r="S52" s="928"/>
      <c r="T52" s="928"/>
      <c r="U52" s="928"/>
      <c r="V52" s="928"/>
      <c r="W52" s="928"/>
      <c r="X52" s="880"/>
    </row>
    <row r="53" spans="1:24" ht="12.95" customHeight="1" thickBot="1">
      <c r="A53" s="885"/>
      <c r="B53" s="869"/>
      <c r="C53" s="923"/>
      <c r="D53" s="930" t="s">
        <v>115</v>
      </c>
      <c r="E53" s="931"/>
      <c r="F53" s="931"/>
      <c r="G53" s="931"/>
      <c r="H53" s="931"/>
      <c r="I53" s="931"/>
      <c r="J53" s="931"/>
      <c r="K53" s="931"/>
      <c r="L53" s="931"/>
      <c r="M53" s="931"/>
      <c r="N53" s="931"/>
      <c r="O53" s="931"/>
      <c r="P53" s="931"/>
      <c r="Q53" s="931"/>
      <c r="R53" s="931"/>
      <c r="S53" s="931"/>
      <c r="T53" s="931"/>
      <c r="U53" s="931"/>
      <c r="V53" s="931"/>
      <c r="W53" s="932"/>
      <c r="X53" s="880"/>
    </row>
    <row r="54" spans="1:24" ht="12.95" customHeight="1" thickBot="1">
      <c r="A54" s="885"/>
      <c r="B54" s="11" t="s">
        <v>39</v>
      </c>
      <c r="C54" s="12"/>
      <c r="D54" s="927" t="s">
        <v>78</v>
      </c>
      <c r="E54" s="928"/>
      <c r="F54" s="928"/>
      <c r="G54" s="929"/>
      <c r="H54" s="927" t="s">
        <v>77</v>
      </c>
      <c r="I54" s="928"/>
      <c r="J54" s="928"/>
      <c r="K54" s="929"/>
      <c r="L54" s="927" t="s">
        <v>81</v>
      </c>
      <c r="M54" s="928"/>
      <c r="N54" s="928"/>
      <c r="O54" s="929"/>
      <c r="P54" s="927" t="s">
        <v>254</v>
      </c>
      <c r="Q54" s="928"/>
      <c r="R54" s="928"/>
      <c r="S54" s="929"/>
      <c r="T54" s="927" t="s">
        <v>76</v>
      </c>
      <c r="U54" s="928"/>
      <c r="V54" s="928"/>
      <c r="W54" s="929"/>
      <c r="X54" s="880"/>
    </row>
    <row r="55" spans="1:24" ht="44.1" customHeight="1" thickBot="1">
      <c r="A55" s="885"/>
      <c r="B55" s="978" t="s">
        <v>575</v>
      </c>
      <c r="C55" s="9"/>
      <c r="D55" s="20" t="s">
        <v>105</v>
      </c>
      <c r="E55" s="20" t="s">
        <v>579</v>
      </c>
      <c r="F55" s="20" t="s">
        <v>580</v>
      </c>
      <c r="G55" s="20" t="s">
        <v>581</v>
      </c>
      <c r="H55" s="20" t="s">
        <v>105</v>
      </c>
      <c r="I55" s="20" t="s">
        <v>579</v>
      </c>
      <c r="J55" s="20" t="s">
        <v>580</v>
      </c>
      <c r="K55" s="20" t="s">
        <v>581</v>
      </c>
      <c r="L55" s="20" t="s">
        <v>105</v>
      </c>
      <c r="M55" s="20" t="s">
        <v>579</v>
      </c>
      <c r="N55" s="20" t="s">
        <v>580</v>
      </c>
      <c r="O55" s="20" t="s">
        <v>581</v>
      </c>
      <c r="P55" s="20" t="s">
        <v>105</v>
      </c>
      <c r="Q55" s="20" t="s">
        <v>579</v>
      </c>
      <c r="R55" s="20" t="s">
        <v>580</v>
      </c>
      <c r="S55" s="20" t="s">
        <v>581</v>
      </c>
      <c r="T55" s="20" t="s">
        <v>105</v>
      </c>
      <c r="U55" s="20" t="s">
        <v>579</v>
      </c>
      <c r="V55" s="20" t="s">
        <v>580</v>
      </c>
      <c r="W55" s="20" t="s">
        <v>581</v>
      </c>
      <c r="X55" s="880"/>
    </row>
    <row r="56" spans="1:24" ht="12.95" customHeight="1" thickBot="1">
      <c r="A56" s="885"/>
      <c r="B56" s="979"/>
      <c r="C56" s="9" t="s">
        <v>2</v>
      </c>
      <c r="D56" s="1316" t="s">
        <v>255</v>
      </c>
      <c r="E56" s="1317"/>
      <c r="F56" s="1317"/>
      <c r="G56" s="1318"/>
      <c r="H56" s="18">
        <v>0</v>
      </c>
      <c r="I56" s="18">
        <v>0</v>
      </c>
      <c r="J56" s="18">
        <v>0</v>
      </c>
      <c r="K56" s="18">
        <v>0</v>
      </c>
      <c r="L56" s="18">
        <v>0</v>
      </c>
      <c r="M56" s="18">
        <v>0</v>
      </c>
      <c r="N56" s="18">
        <v>0</v>
      </c>
      <c r="O56" s="18">
        <v>0</v>
      </c>
      <c r="P56" s="18">
        <v>3</v>
      </c>
      <c r="Q56" s="18">
        <v>1</v>
      </c>
      <c r="R56" s="18">
        <v>1</v>
      </c>
      <c r="S56" s="18">
        <v>0</v>
      </c>
      <c r="T56" s="782">
        <v>13</v>
      </c>
      <c r="U56" s="18">
        <v>3</v>
      </c>
      <c r="V56" s="18">
        <v>2</v>
      </c>
      <c r="W56" s="18">
        <v>1</v>
      </c>
      <c r="X56" s="880"/>
    </row>
    <row r="57" spans="1:24" ht="24" customHeight="1" thickBot="1">
      <c r="A57" s="885"/>
      <c r="B57" s="169" t="s">
        <v>159</v>
      </c>
      <c r="C57" s="10" t="s">
        <v>3</v>
      </c>
      <c r="D57" s="933"/>
      <c r="E57" s="934"/>
      <c r="F57" s="934"/>
      <c r="G57" s="935"/>
      <c r="H57" s="933"/>
      <c r="I57" s="934"/>
      <c r="J57" s="934"/>
      <c r="K57" s="935"/>
      <c r="L57" s="68">
        <v>0</v>
      </c>
      <c r="M57" s="68">
        <v>0</v>
      </c>
      <c r="N57" s="68">
        <v>0</v>
      </c>
      <c r="O57" s="68">
        <v>0</v>
      </c>
      <c r="P57" s="68">
        <v>11</v>
      </c>
      <c r="Q57" s="68">
        <v>3</v>
      </c>
      <c r="R57" s="68">
        <v>1</v>
      </c>
      <c r="S57" s="68">
        <v>0</v>
      </c>
      <c r="T57" s="68">
        <v>0</v>
      </c>
      <c r="U57" s="68">
        <v>0</v>
      </c>
      <c r="V57" s="68">
        <v>0</v>
      </c>
      <c r="W57" s="68">
        <v>0</v>
      </c>
      <c r="X57" s="880"/>
    </row>
    <row r="58" spans="1:24" ht="36.75" thickBot="1">
      <c r="A58" s="885"/>
      <c r="B58" s="169" t="s">
        <v>576</v>
      </c>
      <c r="C58" s="1258" t="s">
        <v>170</v>
      </c>
      <c r="D58" s="927" t="s">
        <v>4</v>
      </c>
      <c r="E58" s="928"/>
      <c r="F58" s="928"/>
      <c r="G58" s="928"/>
      <c r="H58" s="928"/>
      <c r="I58" s="928"/>
      <c r="J58" s="928"/>
      <c r="K58" s="928"/>
      <c r="L58" s="928"/>
      <c r="M58" s="928"/>
      <c r="N58" s="928"/>
      <c r="O58" s="928"/>
      <c r="P58" s="928"/>
      <c r="Q58" s="928"/>
      <c r="R58" s="928"/>
      <c r="S58" s="928"/>
      <c r="T58" s="928"/>
      <c r="U58" s="928"/>
      <c r="V58" s="928"/>
      <c r="W58" s="928"/>
      <c r="X58" s="880"/>
    </row>
    <row r="59" spans="1:24" ht="12.95" customHeight="1" thickBot="1">
      <c r="A59" s="869"/>
      <c r="B59" s="176" t="s">
        <v>577</v>
      </c>
      <c r="C59" s="1259"/>
      <c r="D59" s="930" t="s">
        <v>126</v>
      </c>
      <c r="E59" s="931"/>
      <c r="F59" s="931"/>
      <c r="G59" s="931"/>
      <c r="H59" s="931"/>
      <c r="I59" s="931"/>
      <c r="J59" s="931"/>
      <c r="K59" s="931"/>
      <c r="L59" s="931"/>
      <c r="M59" s="931"/>
      <c r="N59" s="931"/>
      <c r="O59" s="931"/>
      <c r="P59" s="931"/>
      <c r="Q59" s="931"/>
      <c r="R59" s="931"/>
      <c r="S59" s="931"/>
      <c r="T59" s="931"/>
      <c r="U59" s="931"/>
      <c r="V59" s="931"/>
      <c r="W59" s="932"/>
      <c r="X59" s="881"/>
    </row>
    <row r="60" spans="1:24" ht="12.95" customHeight="1" thickBot="1">
      <c r="A60" s="906" t="s">
        <v>7</v>
      </c>
      <c r="B60" s="908" t="s">
        <v>173</v>
      </c>
      <c r="C60" s="909"/>
      <c r="D60" s="908" t="s">
        <v>8</v>
      </c>
      <c r="E60" s="918"/>
      <c r="F60" s="918"/>
      <c r="G60" s="909"/>
      <c r="H60" s="908" t="s">
        <v>88</v>
      </c>
      <c r="I60" s="918"/>
      <c r="J60" s="918"/>
      <c r="K60" s="909"/>
      <c r="L60" s="908" t="s">
        <v>89</v>
      </c>
      <c r="M60" s="918"/>
      <c r="N60" s="918"/>
      <c r="O60" s="909"/>
      <c r="P60" s="908" t="s">
        <v>9</v>
      </c>
      <c r="Q60" s="918"/>
      <c r="R60" s="918"/>
      <c r="S60" s="909"/>
      <c r="T60" s="908" t="s">
        <v>174</v>
      </c>
      <c r="U60" s="918"/>
      <c r="V60" s="918"/>
      <c r="W60" s="918"/>
      <c r="X60" s="909"/>
    </row>
    <row r="61" spans="1:24" ht="13.5" thickBot="1">
      <c r="A61" s="907"/>
      <c r="B61" s="916">
        <f>SUM(B82+B103+B132+B164+B180)</f>
        <v>0</v>
      </c>
      <c r="C61" s="917"/>
      <c r="D61" s="1274" t="e">
        <f>SUM(D82+D103+D132+D164+D180)</f>
        <v>#VALUE!</v>
      </c>
      <c r="E61" s="994"/>
      <c r="F61" s="994">
        <f>SUM(F82+F103+F132+F164+F180)</f>
        <v>0</v>
      </c>
      <c r="G61" s="917"/>
      <c r="H61" s="1274">
        <f>SUM(H82+H103+H132+H164+H180)</f>
        <v>0</v>
      </c>
      <c r="I61" s="994"/>
      <c r="J61" s="994">
        <f>SUM(J82+J103+J132+J164+J180)</f>
        <v>0</v>
      </c>
      <c r="K61" s="917"/>
      <c r="L61" s="1274">
        <f>SUM(L82+L103+L132+L164+L180)</f>
        <v>0</v>
      </c>
      <c r="M61" s="994"/>
      <c r="N61" s="994">
        <f>SUM(N82+N103+N132+N164+N180)</f>
        <v>0</v>
      </c>
      <c r="O61" s="917"/>
      <c r="P61" s="916" t="e">
        <f>SUM(B61:O61)</f>
        <v>#VALUE!</v>
      </c>
      <c r="Q61" s="994"/>
      <c r="R61" s="994"/>
      <c r="S61" s="917"/>
      <c r="T61" s="916" t="e">
        <f>B61/P61%</f>
        <v>#VALUE!</v>
      </c>
      <c r="U61" s="994"/>
      <c r="V61" s="994"/>
      <c r="W61" s="994"/>
      <c r="X61" s="917"/>
    </row>
    <row r="62" spans="1:24" ht="13.5" thickBot="1">
      <c r="A62" s="906" t="s">
        <v>10</v>
      </c>
      <c r="B62" s="908" t="s">
        <v>175</v>
      </c>
      <c r="C62" s="909"/>
      <c r="D62" s="910"/>
      <c r="E62" s="911"/>
      <c r="F62" s="911"/>
      <c r="G62" s="911"/>
      <c r="H62" s="911"/>
      <c r="I62" s="911"/>
      <c r="J62" s="911"/>
      <c r="K62" s="911"/>
      <c r="L62" s="911"/>
      <c r="M62" s="911"/>
      <c r="N62" s="911"/>
      <c r="O62" s="911"/>
      <c r="P62" s="911"/>
      <c r="Q62" s="911"/>
      <c r="R62" s="911"/>
      <c r="S62" s="911"/>
      <c r="T62" s="911"/>
      <c r="U62" s="911"/>
      <c r="V62" s="911"/>
      <c r="W62" s="911"/>
      <c r="X62" s="912"/>
    </row>
    <row r="63" spans="1:24" ht="13.5" thickBot="1">
      <c r="A63" s="907"/>
      <c r="B63" s="916" t="e">
        <f>SUM(B84+B105+B134+B166+B182)</f>
        <v>#VALUE!</v>
      </c>
      <c r="C63" s="917"/>
      <c r="D63" s="913"/>
      <c r="E63" s="914"/>
      <c r="F63" s="914"/>
      <c r="G63" s="914"/>
      <c r="H63" s="914"/>
      <c r="I63" s="914"/>
      <c r="J63" s="914"/>
      <c r="K63" s="914"/>
      <c r="L63" s="914"/>
      <c r="M63" s="914"/>
      <c r="N63" s="914"/>
      <c r="O63" s="914"/>
      <c r="P63" s="914"/>
      <c r="Q63" s="914"/>
      <c r="R63" s="914"/>
      <c r="S63" s="914"/>
      <c r="T63" s="914"/>
      <c r="U63" s="914"/>
      <c r="V63" s="914"/>
      <c r="W63" s="914"/>
      <c r="X63" s="915"/>
    </row>
    <row r="64" spans="1:24">
      <c r="A64" s="5"/>
      <c r="B64" s="5"/>
      <c r="C64" s="6"/>
      <c r="D64" s="5"/>
      <c r="E64" s="5"/>
      <c r="F64" s="5"/>
      <c r="G64" s="5"/>
      <c r="H64" s="5"/>
      <c r="I64" s="5"/>
      <c r="J64" s="5"/>
      <c r="K64" s="5"/>
      <c r="L64" s="5"/>
      <c r="M64" s="5"/>
      <c r="N64" s="5"/>
      <c r="O64" s="5"/>
      <c r="P64" s="5"/>
      <c r="Q64" s="5"/>
      <c r="R64" s="5"/>
      <c r="S64" s="5"/>
      <c r="T64" s="5"/>
      <c r="U64" s="5"/>
      <c r="V64" s="5"/>
      <c r="W64" s="5"/>
      <c r="X64" s="5"/>
    </row>
    <row r="65" spans="1:24" ht="13.5" thickBot="1">
      <c r="A65" s="21"/>
      <c r="B65" s="21"/>
      <c r="C65" s="22"/>
      <c r="D65" s="21"/>
      <c r="E65" s="21"/>
      <c r="F65" s="21"/>
      <c r="G65" s="21"/>
      <c r="H65" s="21"/>
      <c r="I65" s="21"/>
      <c r="J65" s="21"/>
      <c r="K65" s="21"/>
      <c r="L65" s="21"/>
      <c r="M65" s="21"/>
      <c r="N65" s="21"/>
      <c r="O65" s="21"/>
      <c r="P65" s="21"/>
      <c r="Q65" s="21"/>
      <c r="R65" s="21"/>
      <c r="S65" s="21"/>
      <c r="T65" s="21"/>
      <c r="U65" s="21"/>
      <c r="V65" s="21"/>
      <c r="W65" s="21"/>
      <c r="X65" s="21"/>
    </row>
    <row r="66" spans="1:24" ht="12.95" customHeight="1" thickBot="1">
      <c r="A66" s="95" t="s">
        <v>11</v>
      </c>
      <c r="B66" s="97" t="s">
        <v>16</v>
      </c>
      <c r="C66" s="8"/>
      <c r="D66" s="927" t="s">
        <v>78</v>
      </c>
      <c r="E66" s="928"/>
      <c r="F66" s="928"/>
      <c r="G66" s="929"/>
      <c r="H66" s="927" t="s">
        <v>77</v>
      </c>
      <c r="I66" s="928"/>
      <c r="J66" s="928"/>
      <c r="K66" s="929"/>
      <c r="L66" s="927" t="s">
        <v>81</v>
      </c>
      <c r="M66" s="928"/>
      <c r="N66" s="928"/>
      <c r="O66" s="929"/>
      <c r="P66" s="927" t="s">
        <v>254</v>
      </c>
      <c r="Q66" s="928"/>
      <c r="R66" s="928"/>
      <c r="S66" s="929"/>
      <c r="T66" s="927" t="s">
        <v>76</v>
      </c>
      <c r="U66" s="928"/>
      <c r="V66" s="928"/>
      <c r="W66" s="929"/>
      <c r="X66" s="16" t="s">
        <v>12</v>
      </c>
    </row>
    <row r="67" spans="1:24" ht="12.95" customHeight="1" thickBot="1">
      <c r="A67" s="868" t="s">
        <v>57</v>
      </c>
      <c r="B67" s="868" t="s">
        <v>58</v>
      </c>
      <c r="C67" s="9" t="s">
        <v>2</v>
      </c>
      <c r="D67" s="1316" t="s">
        <v>255</v>
      </c>
      <c r="E67" s="1317"/>
      <c r="F67" s="1317"/>
      <c r="G67" s="1318"/>
      <c r="H67" s="942">
        <v>1</v>
      </c>
      <c r="I67" s="943"/>
      <c r="J67" s="943"/>
      <c r="K67" s="944"/>
      <c r="L67" s="942">
        <v>1</v>
      </c>
      <c r="M67" s="943"/>
      <c r="N67" s="943"/>
      <c r="O67" s="944"/>
      <c r="P67" s="942">
        <v>1.4</v>
      </c>
      <c r="Q67" s="943"/>
      <c r="R67" s="943"/>
      <c r="S67" s="944"/>
      <c r="T67" s="942">
        <v>2.5</v>
      </c>
      <c r="U67" s="943"/>
      <c r="V67" s="943"/>
      <c r="W67" s="944"/>
      <c r="X67" s="879" t="s">
        <v>97</v>
      </c>
    </row>
    <row r="68" spans="1:24" ht="13.5" thickBot="1">
      <c r="A68" s="885"/>
      <c r="B68" s="885"/>
      <c r="C68" s="10" t="s">
        <v>3</v>
      </c>
      <c r="D68" s="957"/>
      <c r="E68" s="958"/>
      <c r="F68" s="958"/>
      <c r="G68" s="959"/>
      <c r="H68" s="957"/>
      <c r="I68" s="958"/>
      <c r="J68" s="958"/>
      <c r="K68" s="959"/>
      <c r="L68" s="963">
        <v>1</v>
      </c>
      <c r="M68" s="964"/>
      <c r="N68" s="964"/>
      <c r="O68" s="965"/>
      <c r="P68" s="963">
        <v>1.8</v>
      </c>
      <c r="Q68" s="964"/>
      <c r="R68" s="964"/>
      <c r="S68" s="965"/>
      <c r="T68" s="963">
        <v>0</v>
      </c>
      <c r="U68" s="964"/>
      <c r="V68" s="964"/>
      <c r="W68" s="965"/>
      <c r="X68" s="880"/>
    </row>
    <row r="69" spans="1:24" ht="12.95" customHeight="1" thickBot="1">
      <c r="A69" s="885"/>
      <c r="B69" s="885"/>
      <c r="C69" s="1258" t="s">
        <v>170</v>
      </c>
      <c r="D69" s="927" t="s">
        <v>4</v>
      </c>
      <c r="E69" s="928"/>
      <c r="F69" s="928"/>
      <c r="G69" s="928"/>
      <c r="H69" s="928"/>
      <c r="I69" s="928"/>
      <c r="J69" s="928"/>
      <c r="K69" s="928"/>
      <c r="L69" s="928"/>
      <c r="M69" s="928"/>
      <c r="N69" s="928"/>
      <c r="O69" s="928"/>
      <c r="P69" s="928"/>
      <c r="Q69" s="928"/>
      <c r="R69" s="928"/>
      <c r="S69" s="928"/>
      <c r="T69" s="928"/>
      <c r="U69" s="928"/>
      <c r="V69" s="928"/>
      <c r="W69" s="929"/>
      <c r="X69" s="880"/>
    </row>
    <row r="70" spans="1:24" ht="12.95" customHeight="1" thickBot="1">
      <c r="A70" s="885"/>
      <c r="B70" s="869"/>
      <c r="C70" s="1259"/>
      <c r="D70" s="930" t="s">
        <v>272</v>
      </c>
      <c r="E70" s="931"/>
      <c r="F70" s="931"/>
      <c r="G70" s="931"/>
      <c r="H70" s="931"/>
      <c r="I70" s="931"/>
      <c r="J70" s="931"/>
      <c r="K70" s="931"/>
      <c r="L70" s="931"/>
      <c r="M70" s="931"/>
      <c r="N70" s="931"/>
      <c r="O70" s="931"/>
      <c r="P70" s="931"/>
      <c r="Q70" s="931"/>
      <c r="R70" s="931"/>
      <c r="S70" s="931"/>
      <c r="T70" s="931"/>
      <c r="U70" s="931"/>
      <c r="V70" s="931"/>
      <c r="W70" s="932"/>
      <c r="X70" s="880"/>
    </row>
    <row r="71" spans="1:24" ht="12.95" customHeight="1" thickBot="1">
      <c r="A71" s="885"/>
      <c r="B71" s="11" t="s">
        <v>17</v>
      </c>
      <c r="C71" s="12"/>
      <c r="D71" s="927" t="s">
        <v>78</v>
      </c>
      <c r="E71" s="928"/>
      <c r="F71" s="928"/>
      <c r="G71" s="929"/>
      <c r="H71" s="927" t="s">
        <v>77</v>
      </c>
      <c r="I71" s="928"/>
      <c r="J71" s="928"/>
      <c r="K71" s="929"/>
      <c r="L71" s="927" t="s">
        <v>81</v>
      </c>
      <c r="M71" s="928"/>
      <c r="N71" s="928"/>
      <c r="O71" s="929"/>
      <c r="P71" s="927" t="s">
        <v>254</v>
      </c>
      <c r="Q71" s="928"/>
      <c r="R71" s="928"/>
      <c r="S71" s="929"/>
      <c r="T71" s="927" t="s">
        <v>76</v>
      </c>
      <c r="U71" s="928"/>
      <c r="V71" s="928"/>
      <c r="W71" s="929"/>
      <c r="X71" s="880"/>
    </row>
    <row r="72" spans="1:24" ht="12.95" customHeight="1" thickBot="1">
      <c r="A72" s="885"/>
      <c r="B72" s="868" t="s">
        <v>59</v>
      </c>
      <c r="C72" s="23" t="s">
        <v>2</v>
      </c>
      <c r="D72" s="1316" t="s">
        <v>255</v>
      </c>
      <c r="E72" s="1317"/>
      <c r="F72" s="1317"/>
      <c r="G72" s="1318"/>
      <c r="H72" s="942">
        <v>1</v>
      </c>
      <c r="I72" s="943"/>
      <c r="J72" s="943"/>
      <c r="K72" s="944"/>
      <c r="L72" s="942">
        <v>1</v>
      </c>
      <c r="M72" s="943"/>
      <c r="N72" s="943"/>
      <c r="O72" s="944"/>
      <c r="P72" s="942">
        <v>1.4</v>
      </c>
      <c r="Q72" s="943"/>
      <c r="R72" s="943"/>
      <c r="S72" s="944"/>
      <c r="T72" s="1188">
        <v>3</v>
      </c>
      <c r="U72" s="1189"/>
      <c r="V72" s="1189"/>
      <c r="W72" s="1190"/>
      <c r="X72" s="880"/>
    </row>
    <row r="73" spans="1:24" ht="13.5" thickBot="1">
      <c r="A73" s="885"/>
      <c r="B73" s="885"/>
      <c r="C73" s="9" t="s">
        <v>3</v>
      </c>
      <c r="D73" s="957"/>
      <c r="E73" s="958"/>
      <c r="F73" s="958"/>
      <c r="G73" s="959"/>
      <c r="H73" s="957"/>
      <c r="I73" s="958"/>
      <c r="J73" s="958"/>
      <c r="K73" s="959"/>
      <c r="L73" s="963">
        <v>1</v>
      </c>
      <c r="M73" s="964"/>
      <c r="N73" s="964"/>
      <c r="O73" s="965"/>
      <c r="P73" s="963">
        <v>1.6</v>
      </c>
      <c r="Q73" s="964"/>
      <c r="R73" s="964"/>
      <c r="S73" s="965"/>
      <c r="T73" s="963">
        <v>0</v>
      </c>
      <c r="U73" s="964"/>
      <c r="V73" s="964"/>
      <c r="W73" s="965"/>
      <c r="X73" s="880"/>
    </row>
    <row r="74" spans="1:24" ht="12.95" customHeight="1" thickBot="1">
      <c r="A74" s="885"/>
      <c r="B74" s="885"/>
      <c r="C74" s="1258" t="s">
        <v>170</v>
      </c>
      <c r="D74" s="927" t="s">
        <v>4</v>
      </c>
      <c r="E74" s="928"/>
      <c r="F74" s="928"/>
      <c r="G74" s="928"/>
      <c r="H74" s="928"/>
      <c r="I74" s="928"/>
      <c r="J74" s="928"/>
      <c r="K74" s="928"/>
      <c r="L74" s="928"/>
      <c r="M74" s="928"/>
      <c r="N74" s="928"/>
      <c r="O74" s="928"/>
      <c r="P74" s="928"/>
      <c r="Q74" s="928"/>
      <c r="R74" s="928"/>
      <c r="S74" s="928"/>
      <c r="T74" s="928"/>
      <c r="U74" s="928"/>
      <c r="V74" s="928"/>
      <c r="W74" s="929"/>
      <c r="X74" s="880"/>
    </row>
    <row r="75" spans="1:24" ht="12.95" customHeight="1" thickBot="1">
      <c r="A75" s="885"/>
      <c r="B75" s="869"/>
      <c r="C75" s="1259"/>
      <c r="D75" s="930" t="s">
        <v>118</v>
      </c>
      <c r="E75" s="931"/>
      <c r="F75" s="931"/>
      <c r="G75" s="931"/>
      <c r="H75" s="931"/>
      <c r="I75" s="931"/>
      <c r="J75" s="931"/>
      <c r="K75" s="931"/>
      <c r="L75" s="931"/>
      <c r="M75" s="931"/>
      <c r="N75" s="931"/>
      <c r="O75" s="931"/>
      <c r="P75" s="931"/>
      <c r="Q75" s="931"/>
      <c r="R75" s="931"/>
      <c r="S75" s="931"/>
      <c r="T75" s="931"/>
      <c r="U75" s="931"/>
      <c r="V75" s="931"/>
      <c r="W75" s="932"/>
      <c r="X75" s="880"/>
    </row>
    <row r="76" spans="1:24" ht="12.95" customHeight="1" thickBot="1">
      <c r="A76" s="885"/>
      <c r="B76" s="11" t="s">
        <v>18</v>
      </c>
      <c r="C76" s="12"/>
      <c r="D76" s="927" t="s">
        <v>78</v>
      </c>
      <c r="E76" s="928"/>
      <c r="F76" s="928"/>
      <c r="G76" s="929"/>
      <c r="H76" s="927" t="s">
        <v>77</v>
      </c>
      <c r="I76" s="928"/>
      <c r="J76" s="928"/>
      <c r="K76" s="929"/>
      <c r="L76" s="927" t="s">
        <v>81</v>
      </c>
      <c r="M76" s="928"/>
      <c r="N76" s="928"/>
      <c r="O76" s="929"/>
      <c r="P76" s="927" t="s">
        <v>254</v>
      </c>
      <c r="Q76" s="928"/>
      <c r="R76" s="928"/>
      <c r="S76" s="929"/>
      <c r="T76" s="927" t="s">
        <v>76</v>
      </c>
      <c r="U76" s="928"/>
      <c r="V76" s="928"/>
      <c r="W76" s="929"/>
      <c r="X76" s="880"/>
    </row>
    <row r="77" spans="1:24" ht="12.95" customHeight="1" thickBot="1">
      <c r="A77" s="885"/>
      <c r="B77" s="868" t="s">
        <v>60</v>
      </c>
      <c r="C77" s="23" t="s">
        <v>2</v>
      </c>
      <c r="D77" s="1316" t="s">
        <v>255</v>
      </c>
      <c r="E77" s="1317"/>
      <c r="F77" s="1317"/>
      <c r="G77" s="1318"/>
      <c r="H77" s="951">
        <v>0</v>
      </c>
      <c r="I77" s="969"/>
      <c r="J77" s="969"/>
      <c r="K77" s="952"/>
      <c r="L77" s="951">
        <v>0</v>
      </c>
      <c r="M77" s="969"/>
      <c r="N77" s="969"/>
      <c r="O77" s="952"/>
      <c r="P77" s="951">
        <v>2</v>
      </c>
      <c r="Q77" s="969"/>
      <c r="R77" s="969"/>
      <c r="S77" s="952"/>
      <c r="T77" s="951">
        <v>4</v>
      </c>
      <c r="U77" s="969"/>
      <c r="V77" s="969"/>
      <c r="W77" s="952"/>
      <c r="X77" s="880"/>
    </row>
    <row r="78" spans="1:24" ht="13.5" thickBot="1">
      <c r="A78" s="869"/>
      <c r="B78" s="885"/>
      <c r="C78" s="9" t="s">
        <v>3</v>
      </c>
      <c r="D78" s="957"/>
      <c r="E78" s="958"/>
      <c r="F78" s="958"/>
      <c r="G78" s="959"/>
      <c r="H78" s="957"/>
      <c r="I78" s="958"/>
      <c r="J78" s="958"/>
      <c r="K78" s="959"/>
      <c r="L78" s="939">
        <v>0</v>
      </c>
      <c r="M78" s="970"/>
      <c r="N78" s="970"/>
      <c r="O78" s="953"/>
      <c r="P78" s="939">
        <v>3</v>
      </c>
      <c r="Q78" s="970"/>
      <c r="R78" s="970"/>
      <c r="S78" s="953"/>
      <c r="T78" s="939">
        <v>0</v>
      </c>
      <c r="U78" s="970"/>
      <c r="V78" s="970"/>
      <c r="W78" s="953"/>
      <c r="X78" s="881"/>
    </row>
    <row r="79" spans="1:24" ht="12.95" customHeight="1" thickBot="1">
      <c r="A79" s="96" t="s">
        <v>13</v>
      </c>
      <c r="B79" s="885"/>
      <c r="C79" s="1258" t="s">
        <v>170</v>
      </c>
      <c r="D79" s="927" t="s">
        <v>4</v>
      </c>
      <c r="E79" s="928"/>
      <c r="F79" s="928"/>
      <c r="G79" s="928"/>
      <c r="H79" s="928"/>
      <c r="I79" s="928"/>
      <c r="J79" s="928"/>
      <c r="K79" s="928"/>
      <c r="L79" s="928"/>
      <c r="M79" s="928"/>
      <c r="N79" s="928"/>
      <c r="O79" s="928"/>
      <c r="P79" s="928"/>
      <c r="Q79" s="928"/>
      <c r="R79" s="928"/>
      <c r="S79" s="928"/>
      <c r="T79" s="928"/>
      <c r="U79" s="928"/>
      <c r="V79" s="928"/>
      <c r="W79" s="929"/>
      <c r="X79" s="24" t="s">
        <v>14</v>
      </c>
    </row>
    <row r="80" spans="1:24" ht="12.95" customHeight="1" thickBot="1">
      <c r="A80" s="25" t="s">
        <v>75</v>
      </c>
      <c r="B80" s="869"/>
      <c r="C80" s="1259"/>
      <c r="D80" s="930" t="s">
        <v>119</v>
      </c>
      <c r="E80" s="931"/>
      <c r="F80" s="931"/>
      <c r="G80" s="931"/>
      <c r="H80" s="931"/>
      <c r="I80" s="931"/>
      <c r="J80" s="931"/>
      <c r="K80" s="931"/>
      <c r="L80" s="931"/>
      <c r="M80" s="931"/>
      <c r="N80" s="931"/>
      <c r="O80" s="931"/>
      <c r="P80" s="931"/>
      <c r="Q80" s="931"/>
      <c r="R80" s="931"/>
      <c r="S80" s="931"/>
      <c r="T80" s="931"/>
      <c r="U80" s="931"/>
      <c r="V80" s="931"/>
      <c r="W80" s="932"/>
      <c r="X80" s="18" t="s">
        <v>92</v>
      </c>
    </row>
    <row r="81" spans="1:24" ht="12.95" customHeight="1" thickBot="1">
      <c r="A81" s="906" t="s">
        <v>7</v>
      </c>
      <c r="B81" s="908" t="s">
        <v>173</v>
      </c>
      <c r="C81" s="909"/>
      <c r="D81" s="908" t="s">
        <v>8</v>
      </c>
      <c r="E81" s="918"/>
      <c r="F81" s="918"/>
      <c r="G81" s="909"/>
      <c r="H81" s="908" t="s">
        <v>88</v>
      </c>
      <c r="I81" s="918"/>
      <c r="J81" s="918"/>
      <c r="K81" s="909"/>
      <c r="L81" s="908" t="s">
        <v>89</v>
      </c>
      <c r="M81" s="918"/>
      <c r="N81" s="918"/>
      <c r="O81" s="909"/>
      <c r="P81" s="908" t="s">
        <v>9</v>
      </c>
      <c r="Q81" s="918"/>
      <c r="R81" s="918"/>
      <c r="S81" s="909"/>
      <c r="T81" s="908" t="s">
        <v>174</v>
      </c>
      <c r="U81" s="918"/>
      <c r="V81" s="918"/>
      <c r="W81" s="918"/>
      <c r="X81" s="909"/>
    </row>
    <row r="82" spans="1:24" ht="13.5" thickBot="1">
      <c r="A82" s="907"/>
      <c r="B82" s="1256"/>
      <c r="C82" s="1257"/>
      <c r="D82" s="916"/>
      <c r="E82" s="994"/>
      <c r="F82" s="994"/>
      <c r="G82" s="917"/>
      <c r="H82" s="916"/>
      <c r="I82" s="994"/>
      <c r="J82" s="994"/>
      <c r="K82" s="917"/>
      <c r="L82" s="916"/>
      <c r="M82" s="994"/>
      <c r="N82" s="994"/>
      <c r="O82" s="917"/>
      <c r="P82" s="916">
        <f>SUM(B82:O82)</f>
        <v>0</v>
      </c>
      <c r="Q82" s="994"/>
      <c r="R82" s="994"/>
      <c r="S82" s="917"/>
      <c r="T82" s="916" t="e">
        <f>B82/P82%</f>
        <v>#DIV/0!</v>
      </c>
      <c r="U82" s="994"/>
      <c r="V82" s="994"/>
      <c r="W82" s="994"/>
      <c r="X82" s="917"/>
    </row>
    <row r="83" spans="1:24" ht="13.5" thickBot="1">
      <c r="A83" s="906" t="s">
        <v>10</v>
      </c>
      <c r="B83" s="908" t="s">
        <v>175</v>
      </c>
      <c r="C83" s="909"/>
      <c r="D83" s="910"/>
      <c r="E83" s="911"/>
      <c r="F83" s="911"/>
      <c r="G83" s="911"/>
      <c r="H83" s="911"/>
      <c r="I83" s="911"/>
      <c r="J83" s="911"/>
      <c r="K83" s="911"/>
      <c r="L83" s="911"/>
      <c r="M83" s="911"/>
      <c r="N83" s="911"/>
      <c r="O83" s="911"/>
      <c r="P83" s="911"/>
      <c r="Q83" s="911"/>
      <c r="R83" s="911"/>
      <c r="S83" s="911"/>
      <c r="T83" s="911"/>
      <c r="U83" s="911"/>
      <c r="V83" s="911"/>
      <c r="W83" s="911"/>
      <c r="X83" s="912"/>
    </row>
    <row r="84" spans="1:24" ht="13.5" thickBot="1">
      <c r="A84" s="907"/>
      <c r="B84" s="1256"/>
      <c r="C84" s="1257"/>
      <c r="D84" s="913"/>
      <c r="E84" s="914"/>
      <c r="F84" s="914"/>
      <c r="G84" s="914"/>
      <c r="H84" s="914"/>
      <c r="I84" s="914"/>
      <c r="J84" s="914"/>
      <c r="K84" s="914"/>
      <c r="L84" s="914"/>
      <c r="M84" s="914"/>
      <c r="N84" s="914"/>
      <c r="O84" s="914"/>
      <c r="P84" s="914"/>
      <c r="Q84" s="914"/>
      <c r="R84" s="914"/>
      <c r="S84" s="914"/>
      <c r="T84" s="914"/>
      <c r="U84" s="914"/>
      <c r="V84" s="914"/>
      <c r="W84" s="914"/>
      <c r="X84" s="915"/>
    </row>
    <row r="85" spans="1:24">
      <c r="A85" s="5"/>
      <c r="B85" s="5"/>
      <c r="C85" s="6"/>
      <c r="D85" s="5"/>
      <c r="E85" s="5"/>
      <c r="F85" s="5"/>
      <c r="G85" s="5"/>
      <c r="H85" s="5"/>
      <c r="I85" s="5"/>
      <c r="J85" s="5"/>
      <c r="K85" s="5"/>
      <c r="L85" s="5"/>
      <c r="M85" s="5"/>
      <c r="N85" s="5"/>
      <c r="O85" s="5"/>
      <c r="P85" s="5"/>
      <c r="Q85" s="5"/>
      <c r="R85" s="5"/>
      <c r="S85" s="5"/>
      <c r="T85" s="5"/>
      <c r="U85" s="5"/>
      <c r="V85" s="5"/>
      <c r="W85" s="5"/>
      <c r="X85" s="5"/>
    </row>
    <row r="86" spans="1:24" ht="13.5" thickBot="1">
      <c r="A86" s="5"/>
      <c r="B86" s="5"/>
      <c r="C86" s="6"/>
      <c r="D86" s="5"/>
      <c r="E86" s="5"/>
      <c r="F86" s="5"/>
      <c r="G86" s="5"/>
      <c r="H86" s="5"/>
      <c r="I86" s="5"/>
      <c r="J86" s="5"/>
      <c r="K86" s="5"/>
      <c r="L86" s="5"/>
      <c r="M86" s="5"/>
      <c r="N86" s="5"/>
      <c r="O86" s="5"/>
      <c r="P86" s="5"/>
      <c r="Q86" s="5"/>
      <c r="R86" s="5"/>
      <c r="S86" s="5"/>
      <c r="T86" s="5"/>
      <c r="U86" s="5"/>
      <c r="V86" s="5"/>
      <c r="W86" s="5"/>
      <c r="X86" s="5"/>
    </row>
    <row r="87" spans="1:24" ht="12.95" customHeight="1" thickBot="1">
      <c r="A87" s="95" t="s">
        <v>15</v>
      </c>
      <c r="B87" s="97" t="s">
        <v>19</v>
      </c>
      <c r="C87" s="8"/>
      <c r="D87" s="927" t="s">
        <v>78</v>
      </c>
      <c r="E87" s="928"/>
      <c r="F87" s="928"/>
      <c r="G87" s="929"/>
      <c r="H87" s="927" t="s">
        <v>77</v>
      </c>
      <c r="I87" s="928"/>
      <c r="J87" s="928"/>
      <c r="K87" s="929"/>
      <c r="L87" s="927" t="s">
        <v>81</v>
      </c>
      <c r="M87" s="928"/>
      <c r="N87" s="928"/>
      <c r="O87" s="929"/>
      <c r="P87" s="927" t="s">
        <v>254</v>
      </c>
      <c r="Q87" s="928"/>
      <c r="R87" s="928"/>
      <c r="S87" s="929"/>
      <c r="T87" s="927" t="s">
        <v>76</v>
      </c>
      <c r="U87" s="928"/>
      <c r="V87" s="928"/>
      <c r="W87" s="929"/>
      <c r="X87" s="16" t="s">
        <v>6</v>
      </c>
    </row>
    <row r="88" spans="1:24" ht="12.95" customHeight="1" thickBot="1">
      <c r="A88" s="868" t="s">
        <v>61</v>
      </c>
      <c r="B88" s="868" t="s">
        <v>62</v>
      </c>
      <c r="C88" s="9" t="s">
        <v>2</v>
      </c>
      <c r="D88" s="1316" t="s">
        <v>255</v>
      </c>
      <c r="E88" s="1317"/>
      <c r="F88" s="1317"/>
      <c r="G88" s="1318"/>
      <c r="H88" s="942">
        <v>1</v>
      </c>
      <c r="I88" s="943"/>
      <c r="J88" s="943"/>
      <c r="K88" s="944"/>
      <c r="L88" s="942">
        <v>1</v>
      </c>
      <c r="M88" s="943"/>
      <c r="N88" s="943"/>
      <c r="O88" s="944"/>
      <c r="P88" s="942">
        <v>1.5</v>
      </c>
      <c r="Q88" s="943"/>
      <c r="R88" s="943"/>
      <c r="S88" s="944"/>
      <c r="T88" s="942">
        <v>3</v>
      </c>
      <c r="U88" s="943"/>
      <c r="V88" s="943"/>
      <c r="W88" s="944"/>
      <c r="X88" s="879" t="s">
        <v>94</v>
      </c>
    </row>
    <row r="89" spans="1:24" ht="13.5" thickBot="1">
      <c r="A89" s="885"/>
      <c r="B89" s="885"/>
      <c r="C89" s="99" t="s">
        <v>3</v>
      </c>
      <c r="D89" s="957"/>
      <c r="E89" s="958"/>
      <c r="F89" s="958"/>
      <c r="G89" s="959"/>
      <c r="H89" s="957"/>
      <c r="I89" s="958"/>
      <c r="J89" s="958"/>
      <c r="K89" s="959"/>
      <c r="L89" s="963">
        <v>1</v>
      </c>
      <c r="M89" s="964"/>
      <c r="N89" s="964"/>
      <c r="O89" s="965"/>
      <c r="P89" s="963">
        <v>2.1</v>
      </c>
      <c r="Q89" s="964"/>
      <c r="R89" s="964"/>
      <c r="S89" s="965"/>
      <c r="T89" s="963">
        <v>0</v>
      </c>
      <c r="U89" s="964"/>
      <c r="V89" s="964"/>
      <c r="W89" s="965"/>
      <c r="X89" s="880"/>
    </row>
    <row r="90" spans="1:24" ht="12.95" customHeight="1" thickBot="1">
      <c r="A90" s="885"/>
      <c r="B90" s="885"/>
      <c r="C90" s="1258" t="s">
        <v>170</v>
      </c>
      <c r="D90" s="927" t="s">
        <v>4</v>
      </c>
      <c r="E90" s="928"/>
      <c r="F90" s="928"/>
      <c r="G90" s="928"/>
      <c r="H90" s="928"/>
      <c r="I90" s="928"/>
      <c r="J90" s="928"/>
      <c r="K90" s="928"/>
      <c r="L90" s="928"/>
      <c r="M90" s="928"/>
      <c r="N90" s="928"/>
      <c r="O90" s="928"/>
      <c r="P90" s="928"/>
      <c r="Q90" s="928"/>
      <c r="R90" s="928"/>
      <c r="S90" s="928"/>
      <c r="T90" s="928"/>
      <c r="U90" s="928"/>
      <c r="V90" s="928"/>
      <c r="W90" s="929"/>
      <c r="X90" s="880"/>
    </row>
    <row r="91" spans="1:24" ht="12.95" customHeight="1" thickBot="1">
      <c r="A91" s="885"/>
      <c r="B91" s="869"/>
      <c r="C91" s="1259"/>
      <c r="D91" s="930" t="s">
        <v>272</v>
      </c>
      <c r="E91" s="931"/>
      <c r="F91" s="931"/>
      <c r="G91" s="931"/>
      <c r="H91" s="931"/>
      <c r="I91" s="931"/>
      <c r="J91" s="931"/>
      <c r="K91" s="931"/>
      <c r="L91" s="931"/>
      <c r="M91" s="931"/>
      <c r="N91" s="931"/>
      <c r="O91" s="931"/>
      <c r="P91" s="931"/>
      <c r="Q91" s="931"/>
      <c r="R91" s="931"/>
      <c r="S91" s="931"/>
      <c r="T91" s="931"/>
      <c r="U91" s="931"/>
      <c r="V91" s="931"/>
      <c r="W91" s="932"/>
      <c r="X91" s="880"/>
    </row>
    <row r="92" spans="1:24" ht="12.95" customHeight="1" thickBot="1">
      <c r="A92" s="885"/>
      <c r="B92" s="11" t="s">
        <v>20</v>
      </c>
      <c r="C92" s="12"/>
      <c r="D92" s="927" t="s">
        <v>78</v>
      </c>
      <c r="E92" s="928"/>
      <c r="F92" s="928"/>
      <c r="G92" s="929"/>
      <c r="H92" s="927" t="s">
        <v>77</v>
      </c>
      <c r="I92" s="928"/>
      <c r="J92" s="928"/>
      <c r="K92" s="929"/>
      <c r="L92" s="927" t="s">
        <v>81</v>
      </c>
      <c r="M92" s="928"/>
      <c r="N92" s="928"/>
      <c r="O92" s="929"/>
      <c r="P92" s="927" t="s">
        <v>254</v>
      </c>
      <c r="Q92" s="928"/>
      <c r="R92" s="928"/>
      <c r="S92" s="929"/>
      <c r="T92" s="927" t="s">
        <v>76</v>
      </c>
      <c r="U92" s="928"/>
      <c r="V92" s="928"/>
      <c r="W92" s="929"/>
      <c r="X92" s="880"/>
    </row>
    <row r="93" spans="1:24" ht="12.95" customHeight="1" thickBot="1">
      <c r="A93" s="885"/>
      <c r="B93" s="868" t="s">
        <v>59</v>
      </c>
      <c r="C93" s="23" t="s">
        <v>2</v>
      </c>
      <c r="D93" s="1316" t="s">
        <v>255</v>
      </c>
      <c r="E93" s="1317"/>
      <c r="F93" s="1317"/>
      <c r="G93" s="1318"/>
      <c r="H93" s="942">
        <v>1</v>
      </c>
      <c r="I93" s="943"/>
      <c r="J93" s="943"/>
      <c r="K93" s="944"/>
      <c r="L93" s="942">
        <v>1</v>
      </c>
      <c r="M93" s="943"/>
      <c r="N93" s="943"/>
      <c r="O93" s="944"/>
      <c r="P93" s="942">
        <v>1.4</v>
      </c>
      <c r="Q93" s="943"/>
      <c r="R93" s="943"/>
      <c r="S93" s="944"/>
      <c r="T93" s="1188">
        <v>3.5</v>
      </c>
      <c r="U93" s="1189"/>
      <c r="V93" s="1189"/>
      <c r="W93" s="1190"/>
      <c r="X93" s="880"/>
    </row>
    <row r="94" spans="1:24" ht="13.5" thickBot="1">
      <c r="A94" s="885"/>
      <c r="B94" s="885"/>
      <c r="C94" s="9" t="s">
        <v>3</v>
      </c>
      <c r="D94" s="957"/>
      <c r="E94" s="958"/>
      <c r="F94" s="958"/>
      <c r="G94" s="959"/>
      <c r="H94" s="957"/>
      <c r="I94" s="958"/>
      <c r="J94" s="958"/>
      <c r="K94" s="959"/>
      <c r="L94" s="963">
        <v>1</v>
      </c>
      <c r="M94" s="964"/>
      <c r="N94" s="964"/>
      <c r="O94" s="965"/>
      <c r="P94" s="963">
        <v>3.8</v>
      </c>
      <c r="Q94" s="964"/>
      <c r="R94" s="964"/>
      <c r="S94" s="965"/>
      <c r="T94" s="963">
        <v>0</v>
      </c>
      <c r="U94" s="964"/>
      <c r="V94" s="964"/>
      <c r="W94" s="965"/>
      <c r="X94" s="880"/>
    </row>
    <row r="95" spans="1:24" ht="12.95" customHeight="1" thickBot="1">
      <c r="A95" s="885"/>
      <c r="B95" s="885"/>
      <c r="C95" s="1258" t="s">
        <v>170</v>
      </c>
      <c r="D95" s="927" t="s">
        <v>4</v>
      </c>
      <c r="E95" s="928"/>
      <c r="F95" s="928"/>
      <c r="G95" s="928"/>
      <c r="H95" s="928"/>
      <c r="I95" s="928"/>
      <c r="J95" s="928"/>
      <c r="K95" s="928"/>
      <c r="L95" s="928"/>
      <c r="M95" s="928"/>
      <c r="N95" s="928"/>
      <c r="O95" s="928"/>
      <c r="P95" s="928"/>
      <c r="Q95" s="928"/>
      <c r="R95" s="928"/>
      <c r="S95" s="928"/>
      <c r="T95" s="928"/>
      <c r="U95" s="928"/>
      <c r="V95" s="928"/>
      <c r="W95" s="929"/>
      <c r="X95" s="880"/>
    </row>
    <row r="96" spans="1:24" ht="12.95" customHeight="1" thickBot="1">
      <c r="A96" s="885"/>
      <c r="B96" s="869"/>
      <c r="C96" s="1259"/>
      <c r="D96" s="930" t="s">
        <v>118</v>
      </c>
      <c r="E96" s="931"/>
      <c r="F96" s="931"/>
      <c r="G96" s="931"/>
      <c r="H96" s="931"/>
      <c r="I96" s="931"/>
      <c r="J96" s="931"/>
      <c r="K96" s="931"/>
      <c r="L96" s="931"/>
      <c r="M96" s="931"/>
      <c r="N96" s="931"/>
      <c r="O96" s="931"/>
      <c r="P96" s="931"/>
      <c r="Q96" s="931"/>
      <c r="R96" s="931"/>
      <c r="S96" s="931"/>
      <c r="T96" s="931"/>
      <c r="U96" s="931"/>
      <c r="V96" s="931"/>
      <c r="W96" s="932"/>
      <c r="X96" s="880"/>
    </row>
    <row r="97" spans="1:24" ht="12.95" customHeight="1" thickBot="1">
      <c r="A97" s="885"/>
      <c r="B97" s="11" t="s">
        <v>21</v>
      </c>
      <c r="C97" s="12"/>
      <c r="D97" s="927" t="s">
        <v>78</v>
      </c>
      <c r="E97" s="928"/>
      <c r="F97" s="928"/>
      <c r="G97" s="929"/>
      <c r="H97" s="927" t="s">
        <v>77</v>
      </c>
      <c r="I97" s="928"/>
      <c r="J97" s="928"/>
      <c r="K97" s="929"/>
      <c r="L97" s="927" t="s">
        <v>81</v>
      </c>
      <c r="M97" s="928"/>
      <c r="N97" s="928"/>
      <c r="O97" s="929"/>
      <c r="P97" s="927" t="s">
        <v>254</v>
      </c>
      <c r="Q97" s="928"/>
      <c r="R97" s="928"/>
      <c r="S97" s="929"/>
      <c r="T97" s="927" t="s">
        <v>76</v>
      </c>
      <c r="U97" s="928"/>
      <c r="V97" s="928"/>
      <c r="W97" s="929"/>
      <c r="X97" s="880"/>
    </row>
    <row r="98" spans="1:24" ht="12.95" customHeight="1" thickBot="1">
      <c r="A98" s="885"/>
      <c r="B98" s="868" t="s">
        <v>63</v>
      </c>
      <c r="C98" s="26" t="s">
        <v>2</v>
      </c>
      <c r="D98" s="1316" t="s">
        <v>255</v>
      </c>
      <c r="E98" s="1317"/>
      <c r="F98" s="1317"/>
      <c r="G98" s="1318"/>
      <c r="H98" s="951">
        <v>0</v>
      </c>
      <c r="I98" s="969"/>
      <c r="J98" s="969"/>
      <c r="K98" s="952"/>
      <c r="L98" s="951">
        <v>0</v>
      </c>
      <c r="M98" s="969"/>
      <c r="N98" s="969"/>
      <c r="O98" s="952"/>
      <c r="P98" s="951">
        <v>1</v>
      </c>
      <c r="Q98" s="969"/>
      <c r="R98" s="969"/>
      <c r="S98" s="952"/>
      <c r="T98" s="951">
        <v>3</v>
      </c>
      <c r="U98" s="969"/>
      <c r="V98" s="969"/>
      <c r="W98" s="952"/>
      <c r="X98" s="880"/>
    </row>
    <row r="99" spans="1:24" ht="13.5" thickBot="1">
      <c r="A99" s="869"/>
      <c r="B99" s="885"/>
      <c r="C99" s="9" t="s">
        <v>3</v>
      </c>
      <c r="D99" s="957"/>
      <c r="E99" s="958"/>
      <c r="F99" s="958"/>
      <c r="G99" s="959"/>
      <c r="H99" s="957"/>
      <c r="I99" s="958"/>
      <c r="J99" s="958"/>
      <c r="K99" s="959"/>
      <c r="L99" s="939">
        <v>0</v>
      </c>
      <c r="M99" s="970"/>
      <c r="N99" s="970"/>
      <c r="O99" s="953"/>
      <c r="P99" s="939">
        <v>3</v>
      </c>
      <c r="Q99" s="970"/>
      <c r="R99" s="970"/>
      <c r="S99" s="953"/>
      <c r="T99" s="939">
        <v>0</v>
      </c>
      <c r="U99" s="970"/>
      <c r="V99" s="970"/>
      <c r="W99" s="953"/>
      <c r="X99" s="881"/>
    </row>
    <row r="100" spans="1:24" ht="12.95" customHeight="1" thickBot="1">
      <c r="A100" s="96" t="s">
        <v>13</v>
      </c>
      <c r="B100" s="885"/>
      <c r="C100" s="1258" t="s">
        <v>170</v>
      </c>
      <c r="D100" s="927" t="s">
        <v>4</v>
      </c>
      <c r="E100" s="928"/>
      <c r="F100" s="928"/>
      <c r="G100" s="928"/>
      <c r="H100" s="928"/>
      <c r="I100" s="928"/>
      <c r="J100" s="928"/>
      <c r="K100" s="928"/>
      <c r="L100" s="928"/>
      <c r="M100" s="928"/>
      <c r="N100" s="928"/>
      <c r="O100" s="928"/>
      <c r="P100" s="928"/>
      <c r="Q100" s="928"/>
      <c r="R100" s="928"/>
      <c r="S100" s="928"/>
      <c r="T100" s="928"/>
      <c r="U100" s="928"/>
      <c r="V100" s="928"/>
      <c r="W100" s="929"/>
      <c r="X100" s="24" t="s">
        <v>14</v>
      </c>
    </row>
    <row r="101" spans="1:24" ht="12.95" customHeight="1" thickBot="1">
      <c r="A101" s="25" t="s">
        <v>75</v>
      </c>
      <c r="B101" s="869"/>
      <c r="C101" s="1259"/>
      <c r="D101" s="930" t="s">
        <v>119</v>
      </c>
      <c r="E101" s="931"/>
      <c r="F101" s="931"/>
      <c r="G101" s="931"/>
      <c r="H101" s="931"/>
      <c r="I101" s="931"/>
      <c r="J101" s="931"/>
      <c r="K101" s="931"/>
      <c r="L101" s="931"/>
      <c r="M101" s="931"/>
      <c r="N101" s="931"/>
      <c r="O101" s="931"/>
      <c r="P101" s="931"/>
      <c r="Q101" s="931"/>
      <c r="R101" s="931"/>
      <c r="S101" s="931"/>
      <c r="T101" s="931"/>
      <c r="U101" s="931"/>
      <c r="V101" s="931"/>
      <c r="W101" s="932"/>
      <c r="X101" s="18" t="s">
        <v>93</v>
      </c>
    </row>
    <row r="102" spans="1:24" ht="12.95" customHeight="1" thickBot="1">
      <c r="A102" s="906" t="s">
        <v>7</v>
      </c>
      <c r="B102" s="908" t="s">
        <v>173</v>
      </c>
      <c r="C102" s="909"/>
      <c r="D102" s="908" t="s">
        <v>8</v>
      </c>
      <c r="E102" s="918"/>
      <c r="F102" s="918"/>
      <c r="G102" s="909"/>
      <c r="H102" s="908" t="s">
        <v>88</v>
      </c>
      <c r="I102" s="918"/>
      <c r="J102" s="918"/>
      <c r="K102" s="909"/>
      <c r="L102" s="908" t="s">
        <v>89</v>
      </c>
      <c r="M102" s="918"/>
      <c r="N102" s="918"/>
      <c r="O102" s="909"/>
      <c r="P102" s="908" t="s">
        <v>9</v>
      </c>
      <c r="Q102" s="918"/>
      <c r="R102" s="918"/>
      <c r="S102" s="909"/>
      <c r="T102" s="908" t="s">
        <v>174</v>
      </c>
      <c r="U102" s="918"/>
      <c r="V102" s="918"/>
      <c r="W102" s="918"/>
      <c r="X102" s="909"/>
    </row>
    <row r="103" spans="1:24" ht="13.5" thickBot="1">
      <c r="A103" s="907"/>
      <c r="B103" s="1256"/>
      <c r="C103" s="1257"/>
      <c r="D103" s="916"/>
      <c r="E103" s="994"/>
      <c r="F103" s="994"/>
      <c r="G103" s="917"/>
      <c r="H103" s="916"/>
      <c r="I103" s="994"/>
      <c r="J103" s="994"/>
      <c r="K103" s="917"/>
      <c r="L103" s="916"/>
      <c r="M103" s="994"/>
      <c r="N103" s="994"/>
      <c r="O103" s="917"/>
      <c r="P103" s="916">
        <f>SUM(B103:O103)</f>
        <v>0</v>
      </c>
      <c r="Q103" s="994"/>
      <c r="R103" s="994"/>
      <c r="S103" s="917"/>
      <c r="T103" s="916" t="e">
        <f>B103/P103%</f>
        <v>#DIV/0!</v>
      </c>
      <c r="U103" s="994"/>
      <c r="V103" s="994"/>
      <c r="W103" s="994"/>
      <c r="X103" s="917"/>
    </row>
    <row r="104" spans="1:24" ht="13.5" thickBot="1">
      <c r="A104" s="906" t="s">
        <v>10</v>
      </c>
      <c r="B104" s="908" t="s">
        <v>175</v>
      </c>
      <c r="C104" s="909"/>
      <c r="D104" s="910"/>
      <c r="E104" s="911"/>
      <c r="F104" s="911"/>
      <c r="G104" s="911"/>
      <c r="H104" s="911"/>
      <c r="I104" s="911"/>
      <c r="J104" s="911"/>
      <c r="K104" s="911"/>
      <c r="L104" s="911"/>
      <c r="M104" s="911"/>
      <c r="N104" s="911"/>
      <c r="O104" s="911"/>
      <c r="P104" s="911"/>
      <c r="Q104" s="911"/>
      <c r="R104" s="911"/>
      <c r="S104" s="911"/>
      <c r="T104" s="911"/>
      <c r="U104" s="911"/>
      <c r="V104" s="911"/>
      <c r="W104" s="911"/>
      <c r="X104" s="912"/>
    </row>
    <row r="105" spans="1:24" ht="13.5" thickBot="1">
      <c r="A105" s="907"/>
      <c r="B105" s="1256"/>
      <c r="C105" s="1257"/>
      <c r="D105" s="913"/>
      <c r="E105" s="914"/>
      <c r="F105" s="914"/>
      <c r="G105" s="914"/>
      <c r="H105" s="914"/>
      <c r="I105" s="914"/>
      <c r="J105" s="914"/>
      <c r="K105" s="914"/>
      <c r="L105" s="914"/>
      <c r="M105" s="914"/>
      <c r="N105" s="914"/>
      <c r="O105" s="914"/>
      <c r="P105" s="914"/>
      <c r="Q105" s="914"/>
      <c r="R105" s="914"/>
      <c r="S105" s="914"/>
      <c r="T105" s="914"/>
      <c r="U105" s="914"/>
      <c r="V105" s="914"/>
      <c r="W105" s="914"/>
      <c r="X105" s="915"/>
    </row>
    <row r="107" spans="1:24" ht="13.5" thickBot="1"/>
    <row r="108" spans="1:24" ht="12.95" customHeight="1" thickBot="1">
      <c r="A108" s="95" t="s">
        <v>26</v>
      </c>
      <c r="B108" s="97" t="s">
        <v>29</v>
      </c>
      <c r="C108" s="8"/>
      <c r="D108" s="927" t="s">
        <v>78</v>
      </c>
      <c r="E108" s="928"/>
      <c r="F108" s="928"/>
      <c r="G108" s="929"/>
      <c r="H108" s="927" t="s">
        <v>77</v>
      </c>
      <c r="I108" s="928"/>
      <c r="J108" s="928"/>
      <c r="K108" s="929"/>
      <c r="L108" s="927" t="s">
        <v>81</v>
      </c>
      <c r="M108" s="928"/>
      <c r="N108" s="928"/>
      <c r="O108" s="929"/>
      <c r="P108" s="927" t="s">
        <v>254</v>
      </c>
      <c r="Q108" s="928"/>
      <c r="R108" s="928"/>
      <c r="S108" s="929"/>
      <c r="T108" s="927" t="s">
        <v>76</v>
      </c>
      <c r="U108" s="928"/>
      <c r="V108" s="928"/>
      <c r="W108" s="929"/>
      <c r="X108" s="16" t="s">
        <v>12</v>
      </c>
    </row>
    <row r="109" spans="1:24" ht="56.1" customHeight="1" thickBot="1">
      <c r="A109" s="868" t="s">
        <v>64</v>
      </c>
      <c r="B109" s="868" t="s">
        <v>156</v>
      </c>
      <c r="C109" s="9"/>
      <c r="D109" s="17" t="s">
        <v>101</v>
      </c>
      <c r="E109" s="17" t="s">
        <v>104</v>
      </c>
      <c r="F109" s="17" t="s">
        <v>102</v>
      </c>
      <c r="G109" s="17" t="s">
        <v>103</v>
      </c>
      <c r="H109" s="17" t="s">
        <v>101</v>
      </c>
      <c r="I109" s="17" t="s">
        <v>104</v>
      </c>
      <c r="J109" s="17" t="s">
        <v>102</v>
      </c>
      <c r="K109" s="17" t="s">
        <v>103</v>
      </c>
      <c r="L109" s="17" t="s">
        <v>101</v>
      </c>
      <c r="M109" s="17" t="s">
        <v>104</v>
      </c>
      <c r="N109" s="17" t="s">
        <v>102</v>
      </c>
      <c r="O109" s="17" t="s">
        <v>103</v>
      </c>
      <c r="P109" s="17" t="s">
        <v>101</v>
      </c>
      <c r="Q109" s="17" t="s">
        <v>104</v>
      </c>
      <c r="R109" s="17" t="s">
        <v>102</v>
      </c>
      <c r="S109" s="17" t="s">
        <v>103</v>
      </c>
      <c r="T109" s="17" t="s">
        <v>101</v>
      </c>
      <c r="U109" s="17" t="s">
        <v>104</v>
      </c>
      <c r="V109" s="17" t="s">
        <v>102</v>
      </c>
      <c r="W109" s="17" t="s">
        <v>103</v>
      </c>
      <c r="X109" s="879" t="s">
        <v>98</v>
      </c>
    </row>
    <row r="110" spans="1:24" ht="12.95" customHeight="1" thickBot="1">
      <c r="A110" s="885"/>
      <c r="B110" s="885"/>
      <c r="C110" s="9" t="s">
        <v>2</v>
      </c>
      <c r="D110" s="1316" t="s">
        <v>255</v>
      </c>
      <c r="E110" s="1317"/>
      <c r="F110" s="1317"/>
      <c r="G110" s="1318"/>
      <c r="H110" s="18">
        <v>0</v>
      </c>
      <c r="I110" s="18">
        <v>0</v>
      </c>
      <c r="J110" s="18">
        <v>0</v>
      </c>
      <c r="K110" s="18">
        <v>0</v>
      </c>
      <c r="L110" s="18">
        <v>0</v>
      </c>
      <c r="M110" s="18">
        <v>0</v>
      </c>
      <c r="N110" s="18">
        <v>0</v>
      </c>
      <c r="O110" s="18">
        <v>0</v>
      </c>
      <c r="P110" s="18">
        <v>4</v>
      </c>
      <c r="Q110" s="18">
        <v>2</v>
      </c>
      <c r="R110" s="18">
        <v>0</v>
      </c>
      <c r="S110" s="18">
        <v>0</v>
      </c>
      <c r="T110" s="782">
        <v>9</v>
      </c>
      <c r="U110" s="782">
        <v>8</v>
      </c>
      <c r="V110" s="18">
        <v>3</v>
      </c>
      <c r="W110" s="18">
        <v>2</v>
      </c>
      <c r="X110" s="880"/>
    </row>
    <row r="111" spans="1:24" ht="13.5" thickBot="1">
      <c r="A111" s="885"/>
      <c r="B111" s="93" t="s">
        <v>151</v>
      </c>
      <c r="C111" s="10" t="s">
        <v>3</v>
      </c>
      <c r="D111" s="933"/>
      <c r="E111" s="934"/>
      <c r="F111" s="934"/>
      <c r="G111" s="935"/>
      <c r="H111" s="933"/>
      <c r="I111" s="934"/>
      <c r="J111" s="934"/>
      <c r="K111" s="935"/>
      <c r="L111" s="68">
        <v>0</v>
      </c>
      <c r="M111" s="68">
        <v>0</v>
      </c>
      <c r="N111" s="68">
        <v>0</v>
      </c>
      <c r="O111" s="68">
        <v>0</v>
      </c>
      <c r="P111" s="68">
        <v>10</v>
      </c>
      <c r="Q111" s="68">
        <v>8</v>
      </c>
      <c r="R111" s="68">
        <v>3</v>
      </c>
      <c r="S111" s="68">
        <v>1</v>
      </c>
      <c r="T111" s="68">
        <v>0</v>
      </c>
      <c r="U111" s="68">
        <v>0</v>
      </c>
      <c r="V111" s="68">
        <v>0</v>
      </c>
      <c r="W111" s="68">
        <v>0</v>
      </c>
      <c r="X111" s="880"/>
    </row>
    <row r="112" spans="1:24" ht="12.95" customHeight="1" thickBot="1">
      <c r="A112" s="885"/>
      <c r="B112" s="93" t="s">
        <v>150</v>
      </c>
      <c r="C112" s="1258" t="s">
        <v>170</v>
      </c>
      <c r="D112" s="927" t="s">
        <v>4</v>
      </c>
      <c r="E112" s="928"/>
      <c r="F112" s="928"/>
      <c r="G112" s="928"/>
      <c r="H112" s="928"/>
      <c r="I112" s="928"/>
      <c r="J112" s="928"/>
      <c r="K112" s="928"/>
      <c r="L112" s="928"/>
      <c r="M112" s="928"/>
      <c r="N112" s="928"/>
      <c r="O112" s="928"/>
      <c r="P112" s="928"/>
      <c r="Q112" s="928"/>
      <c r="R112" s="928"/>
      <c r="S112" s="928"/>
      <c r="T112" s="928"/>
      <c r="U112" s="928"/>
      <c r="V112" s="928"/>
      <c r="W112" s="929"/>
      <c r="X112" s="880"/>
    </row>
    <row r="113" spans="1:24" ht="12.95" customHeight="1" thickBot="1">
      <c r="A113" s="885"/>
      <c r="B113" s="94" t="s">
        <v>149</v>
      </c>
      <c r="C113" s="1259"/>
      <c r="D113" s="930" t="s">
        <v>420</v>
      </c>
      <c r="E113" s="931"/>
      <c r="F113" s="931"/>
      <c r="G113" s="931"/>
      <c r="H113" s="931"/>
      <c r="I113" s="931"/>
      <c r="J113" s="931"/>
      <c r="K113" s="931"/>
      <c r="L113" s="931"/>
      <c r="M113" s="931"/>
      <c r="N113" s="931"/>
      <c r="O113" s="931"/>
      <c r="P113" s="931"/>
      <c r="Q113" s="931"/>
      <c r="R113" s="931"/>
      <c r="S113" s="931"/>
      <c r="T113" s="931"/>
      <c r="U113" s="931"/>
      <c r="V113" s="931"/>
      <c r="W113" s="932"/>
      <c r="X113" s="880"/>
    </row>
    <row r="114" spans="1:24" ht="12.95" customHeight="1" thickBot="1">
      <c r="A114" s="885"/>
      <c r="B114" s="11" t="s">
        <v>30</v>
      </c>
      <c r="C114" s="12"/>
      <c r="D114" s="927" t="s">
        <v>78</v>
      </c>
      <c r="E114" s="928"/>
      <c r="F114" s="928"/>
      <c r="G114" s="929"/>
      <c r="H114" s="927" t="s">
        <v>77</v>
      </c>
      <c r="I114" s="928"/>
      <c r="J114" s="928"/>
      <c r="K114" s="929"/>
      <c r="L114" s="927" t="s">
        <v>81</v>
      </c>
      <c r="M114" s="928"/>
      <c r="N114" s="928"/>
      <c r="O114" s="929"/>
      <c r="P114" s="927" t="s">
        <v>254</v>
      </c>
      <c r="Q114" s="928"/>
      <c r="R114" s="928"/>
      <c r="S114" s="929"/>
      <c r="T114" s="927" t="s">
        <v>76</v>
      </c>
      <c r="U114" s="928"/>
      <c r="V114" s="928"/>
      <c r="W114" s="929"/>
      <c r="X114" s="880"/>
    </row>
    <row r="115" spans="1:24" ht="44.1" customHeight="1" thickBot="1">
      <c r="A115" s="885"/>
      <c r="B115" s="868" t="s">
        <v>157</v>
      </c>
      <c r="C115" s="23"/>
      <c r="D115" s="17" t="s">
        <v>101</v>
      </c>
      <c r="E115" s="17" t="s">
        <v>104</v>
      </c>
      <c r="F115" s="17" t="s">
        <v>102</v>
      </c>
      <c r="G115" s="17" t="s">
        <v>103</v>
      </c>
      <c r="H115" s="17" t="s">
        <v>101</v>
      </c>
      <c r="I115" s="17" t="s">
        <v>104</v>
      </c>
      <c r="J115" s="17" t="s">
        <v>102</v>
      </c>
      <c r="K115" s="17" t="s">
        <v>103</v>
      </c>
      <c r="L115" s="17" t="s">
        <v>101</v>
      </c>
      <c r="M115" s="17" t="s">
        <v>104</v>
      </c>
      <c r="N115" s="17" t="s">
        <v>102</v>
      </c>
      <c r="O115" s="17" t="s">
        <v>103</v>
      </c>
      <c r="P115" s="17" t="s">
        <v>101</v>
      </c>
      <c r="Q115" s="17" t="s">
        <v>104</v>
      </c>
      <c r="R115" s="17" t="s">
        <v>102</v>
      </c>
      <c r="S115" s="17" t="s">
        <v>103</v>
      </c>
      <c r="T115" s="17" t="s">
        <v>101</v>
      </c>
      <c r="U115" s="17" t="s">
        <v>104</v>
      </c>
      <c r="V115" s="17" t="s">
        <v>102</v>
      </c>
      <c r="W115" s="17" t="s">
        <v>103</v>
      </c>
      <c r="X115" s="880"/>
    </row>
    <row r="116" spans="1:24" ht="12.95" customHeight="1" thickBot="1">
      <c r="A116" s="885"/>
      <c r="B116" s="885"/>
      <c r="C116" s="9" t="s">
        <v>2</v>
      </c>
      <c r="D116" s="1316" t="s">
        <v>255</v>
      </c>
      <c r="E116" s="1317"/>
      <c r="F116" s="1317"/>
      <c r="G116" s="1318"/>
      <c r="H116" s="18">
        <v>0</v>
      </c>
      <c r="I116" s="18">
        <v>0</v>
      </c>
      <c r="J116" s="18">
        <v>0</v>
      </c>
      <c r="K116" s="18">
        <v>0</v>
      </c>
      <c r="L116" s="18">
        <v>0</v>
      </c>
      <c r="M116" s="18">
        <v>0</v>
      </c>
      <c r="N116" s="18">
        <v>0</v>
      </c>
      <c r="O116" s="18">
        <v>0</v>
      </c>
      <c r="P116" s="18">
        <v>2</v>
      </c>
      <c r="Q116" s="18">
        <v>1</v>
      </c>
      <c r="R116" s="18">
        <v>0</v>
      </c>
      <c r="S116" s="18">
        <v>0</v>
      </c>
      <c r="T116" s="782">
        <v>8</v>
      </c>
      <c r="U116" s="782">
        <v>6</v>
      </c>
      <c r="V116" s="18">
        <v>1</v>
      </c>
      <c r="W116" s="823">
        <v>1</v>
      </c>
      <c r="X116" s="880"/>
    </row>
    <row r="117" spans="1:24" ht="13.5" thickBot="1">
      <c r="A117" s="885"/>
      <c r="B117" s="93" t="s">
        <v>151</v>
      </c>
      <c r="C117" s="9" t="s">
        <v>3</v>
      </c>
      <c r="D117" s="933"/>
      <c r="E117" s="934"/>
      <c r="F117" s="934"/>
      <c r="G117" s="935"/>
      <c r="H117" s="933"/>
      <c r="I117" s="934"/>
      <c r="J117" s="934"/>
      <c r="K117" s="935"/>
      <c r="L117" s="68">
        <v>0</v>
      </c>
      <c r="M117" s="68">
        <v>0</v>
      </c>
      <c r="N117" s="68">
        <v>0</v>
      </c>
      <c r="O117" s="68">
        <v>0</v>
      </c>
      <c r="P117" s="68">
        <v>5</v>
      </c>
      <c r="Q117" s="68">
        <v>2</v>
      </c>
      <c r="R117" s="68">
        <v>0</v>
      </c>
      <c r="S117" s="68">
        <v>0</v>
      </c>
      <c r="T117" s="68">
        <v>0</v>
      </c>
      <c r="U117" s="68">
        <v>0</v>
      </c>
      <c r="V117" s="68">
        <v>0</v>
      </c>
      <c r="W117" s="68">
        <v>0</v>
      </c>
      <c r="X117" s="880"/>
    </row>
    <row r="118" spans="1:24" ht="12.95" customHeight="1" thickBot="1">
      <c r="A118" s="885"/>
      <c r="B118" s="93" t="s">
        <v>150</v>
      </c>
      <c r="C118" s="1258" t="s">
        <v>170</v>
      </c>
      <c r="D118" s="927" t="s">
        <v>4</v>
      </c>
      <c r="E118" s="928"/>
      <c r="F118" s="928"/>
      <c r="G118" s="928"/>
      <c r="H118" s="928"/>
      <c r="I118" s="928"/>
      <c r="J118" s="928"/>
      <c r="K118" s="928"/>
      <c r="L118" s="928"/>
      <c r="M118" s="928"/>
      <c r="N118" s="928"/>
      <c r="O118" s="928"/>
      <c r="P118" s="928"/>
      <c r="Q118" s="928"/>
      <c r="R118" s="928"/>
      <c r="S118" s="928"/>
      <c r="T118" s="928"/>
      <c r="U118" s="928"/>
      <c r="V118" s="928"/>
      <c r="W118" s="929"/>
      <c r="X118" s="880"/>
    </row>
    <row r="119" spans="1:24" ht="12.95" customHeight="1" thickBot="1">
      <c r="A119" s="885"/>
      <c r="B119" s="94" t="s">
        <v>152</v>
      </c>
      <c r="C119" s="1259"/>
      <c r="D119" s="930" t="s">
        <v>420</v>
      </c>
      <c r="E119" s="931"/>
      <c r="F119" s="931"/>
      <c r="G119" s="931"/>
      <c r="H119" s="931"/>
      <c r="I119" s="931"/>
      <c r="J119" s="931"/>
      <c r="K119" s="931"/>
      <c r="L119" s="931"/>
      <c r="M119" s="931"/>
      <c r="N119" s="931"/>
      <c r="O119" s="931"/>
      <c r="P119" s="931"/>
      <c r="Q119" s="931"/>
      <c r="R119" s="931"/>
      <c r="S119" s="931"/>
      <c r="T119" s="931"/>
      <c r="U119" s="931"/>
      <c r="V119" s="931"/>
      <c r="W119" s="932"/>
      <c r="X119" s="880"/>
    </row>
    <row r="120" spans="1:24" ht="12.95" customHeight="1" thickBot="1">
      <c r="A120" s="885"/>
      <c r="B120" s="11" t="s">
        <v>31</v>
      </c>
      <c r="C120" s="12"/>
      <c r="D120" s="927" t="s">
        <v>78</v>
      </c>
      <c r="E120" s="928"/>
      <c r="F120" s="928"/>
      <c r="G120" s="929"/>
      <c r="H120" s="927" t="s">
        <v>77</v>
      </c>
      <c r="I120" s="928"/>
      <c r="J120" s="928"/>
      <c r="K120" s="929"/>
      <c r="L120" s="927" t="s">
        <v>81</v>
      </c>
      <c r="M120" s="928"/>
      <c r="N120" s="928"/>
      <c r="O120" s="929"/>
      <c r="P120" s="927" t="s">
        <v>254</v>
      </c>
      <c r="Q120" s="928"/>
      <c r="R120" s="928"/>
      <c r="S120" s="929"/>
      <c r="T120" s="927" t="s">
        <v>76</v>
      </c>
      <c r="U120" s="928"/>
      <c r="V120" s="928"/>
      <c r="W120" s="929"/>
      <c r="X120" s="880"/>
    </row>
    <row r="121" spans="1:24" ht="12.95" customHeight="1" thickBot="1">
      <c r="A121" s="885"/>
      <c r="B121" s="868" t="s">
        <v>421</v>
      </c>
      <c r="C121" s="23"/>
      <c r="D121" s="1230" t="s">
        <v>418</v>
      </c>
      <c r="E121" s="1232"/>
      <c r="F121" s="1240" t="s">
        <v>419</v>
      </c>
      <c r="G121" s="1232"/>
      <c r="H121" s="1240" t="s">
        <v>418</v>
      </c>
      <c r="I121" s="1232"/>
      <c r="J121" s="1240" t="s">
        <v>419</v>
      </c>
      <c r="K121" s="1232"/>
      <c r="L121" s="1240" t="s">
        <v>418</v>
      </c>
      <c r="M121" s="1232"/>
      <c r="N121" s="1240" t="s">
        <v>419</v>
      </c>
      <c r="O121" s="1232"/>
      <c r="P121" s="1240" t="s">
        <v>418</v>
      </c>
      <c r="Q121" s="1232"/>
      <c r="R121" s="1240" t="s">
        <v>419</v>
      </c>
      <c r="S121" s="1232"/>
      <c r="T121" s="1240" t="s">
        <v>418</v>
      </c>
      <c r="U121" s="1232"/>
      <c r="V121" s="1240" t="s">
        <v>419</v>
      </c>
      <c r="W121" s="1246"/>
      <c r="X121" s="880"/>
    </row>
    <row r="122" spans="1:24" ht="12.95" customHeight="1" thickBot="1">
      <c r="A122" s="885"/>
      <c r="B122" s="885"/>
      <c r="C122" s="26" t="s">
        <v>2</v>
      </c>
      <c r="D122" s="933" t="s">
        <v>172</v>
      </c>
      <c r="E122" s="934"/>
      <c r="F122" s="934"/>
      <c r="G122" s="935"/>
      <c r="H122" s="966" t="s">
        <v>572</v>
      </c>
      <c r="I122" s="967"/>
      <c r="J122" s="967"/>
      <c r="K122" s="968"/>
      <c r="L122" s="951">
        <v>40</v>
      </c>
      <c r="M122" s="952"/>
      <c r="N122" s="951">
        <v>25</v>
      </c>
      <c r="O122" s="952"/>
      <c r="P122" s="951">
        <v>50</v>
      </c>
      <c r="Q122" s="952"/>
      <c r="R122" s="951">
        <v>30</v>
      </c>
      <c r="S122" s="952"/>
      <c r="T122" s="951">
        <v>75</v>
      </c>
      <c r="U122" s="952"/>
      <c r="V122" s="951">
        <v>45</v>
      </c>
      <c r="W122" s="952"/>
      <c r="X122" s="880"/>
    </row>
    <row r="123" spans="1:24" ht="18" customHeight="1" thickBot="1">
      <c r="A123" s="885"/>
      <c r="B123" s="885"/>
      <c r="C123" s="9" t="s">
        <v>3</v>
      </c>
      <c r="D123" s="933"/>
      <c r="E123" s="934"/>
      <c r="F123" s="934"/>
      <c r="G123" s="935"/>
      <c r="H123" s="933"/>
      <c r="I123" s="934"/>
      <c r="J123" s="934"/>
      <c r="K123" s="935"/>
      <c r="L123" s="933"/>
      <c r="M123" s="934"/>
      <c r="N123" s="934"/>
      <c r="O123" s="935"/>
      <c r="P123" s="939">
        <v>58</v>
      </c>
      <c r="Q123" s="953"/>
      <c r="R123" s="939">
        <v>32</v>
      </c>
      <c r="S123" s="953"/>
      <c r="T123" s="939">
        <v>0</v>
      </c>
      <c r="U123" s="953"/>
      <c r="V123" s="939">
        <v>0</v>
      </c>
      <c r="W123" s="953"/>
      <c r="X123" s="880"/>
    </row>
    <row r="124" spans="1:24" ht="12.95" customHeight="1" thickBot="1">
      <c r="A124" s="885"/>
      <c r="B124" s="885"/>
      <c r="C124" s="1258" t="s">
        <v>170</v>
      </c>
      <c r="D124" s="927" t="s">
        <v>4</v>
      </c>
      <c r="E124" s="928"/>
      <c r="F124" s="928"/>
      <c r="G124" s="928"/>
      <c r="H124" s="928"/>
      <c r="I124" s="928"/>
      <c r="J124" s="928"/>
      <c r="K124" s="928"/>
      <c r="L124" s="928"/>
      <c r="M124" s="928"/>
      <c r="N124" s="928"/>
      <c r="O124" s="928"/>
      <c r="P124" s="928"/>
      <c r="Q124" s="928"/>
      <c r="R124" s="928"/>
      <c r="S124" s="928"/>
      <c r="T124" s="928"/>
      <c r="U124" s="928"/>
      <c r="V124" s="928"/>
      <c r="W124" s="929"/>
      <c r="X124" s="880"/>
    </row>
    <row r="125" spans="1:24" ht="12.95" customHeight="1" thickBot="1">
      <c r="A125" s="885"/>
      <c r="B125" s="94" t="s">
        <v>179</v>
      </c>
      <c r="C125" s="1259"/>
      <c r="D125" s="930" t="s">
        <v>121</v>
      </c>
      <c r="E125" s="931"/>
      <c r="F125" s="931"/>
      <c r="G125" s="931"/>
      <c r="H125" s="931"/>
      <c r="I125" s="931"/>
      <c r="J125" s="931"/>
      <c r="K125" s="931"/>
      <c r="L125" s="931"/>
      <c r="M125" s="931"/>
      <c r="N125" s="931"/>
      <c r="O125" s="931"/>
      <c r="P125" s="931"/>
      <c r="Q125" s="931"/>
      <c r="R125" s="931"/>
      <c r="S125" s="931"/>
      <c r="T125" s="931"/>
      <c r="U125" s="931"/>
      <c r="V125" s="931"/>
      <c r="W125" s="932"/>
      <c r="X125" s="880"/>
    </row>
    <row r="126" spans="1:24" ht="12.95" customHeight="1" thickBot="1">
      <c r="A126" s="885"/>
      <c r="B126" s="11" t="s">
        <v>40</v>
      </c>
      <c r="C126" s="12"/>
      <c r="D126" s="927" t="s">
        <v>78</v>
      </c>
      <c r="E126" s="928"/>
      <c r="F126" s="928"/>
      <c r="G126" s="929"/>
      <c r="H126" s="927" t="s">
        <v>77</v>
      </c>
      <c r="I126" s="928"/>
      <c r="J126" s="928"/>
      <c r="K126" s="929"/>
      <c r="L126" s="927" t="s">
        <v>81</v>
      </c>
      <c r="M126" s="928"/>
      <c r="N126" s="928"/>
      <c r="O126" s="929"/>
      <c r="P126" s="927" t="s">
        <v>254</v>
      </c>
      <c r="Q126" s="928"/>
      <c r="R126" s="928"/>
      <c r="S126" s="929"/>
      <c r="T126" s="927" t="s">
        <v>76</v>
      </c>
      <c r="U126" s="928"/>
      <c r="V126" s="928"/>
      <c r="W126" s="929"/>
      <c r="X126" s="880"/>
    </row>
    <row r="127" spans="1:24" ht="12.95" customHeight="1" thickBot="1">
      <c r="A127" s="885"/>
      <c r="B127" s="873" t="s">
        <v>644</v>
      </c>
      <c r="C127" s="23" t="s">
        <v>2</v>
      </c>
      <c r="D127" s="933" t="s">
        <v>171</v>
      </c>
      <c r="E127" s="934"/>
      <c r="F127" s="934"/>
      <c r="G127" s="935"/>
      <c r="H127" s="966" t="s">
        <v>572</v>
      </c>
      <c r="I127" s="967"/>
      <c r="J127" s="967"/>
      <c r="K127" s="968"/>
      <c r="L127" s="942">
        <v>1.9</v>
      </c>
      <c r="M127" s="943"/>
      <c r="N127" s="943"/>
      <c r="O127" s="944"/>
      <c r="P127" s="942">
        <v>2.2000000000000002</v>
      </c>
      <c r="Q127" s="943"/>
      <c r="R127" s="943"/>
      <c r="S127" s="944"/>
      <c r="T127" s="963">
        <v>2.5</v>
      </c>
      <c r="U127" s="964"/>
      <c r="V127" s="964"/>
      <c r="W127" s="965"/>
      <c r="X127" s="880"/>
    </row>
    <row r="128" spans="1:24" ht="13.5" thickBot="1">
      <c r="A128" s="869"/>
      <c r="B128" s="874"/>
      <c r="C128" s="9" t="s">
        <v>3</v>
      </c>
      <c r="D128" s="933"/>
      <c r="E128" s="934"/>
      <c r="F128" s="934"/>
      <c r="G128" s="935"/>
      <c r="H128" s="933"/>
      <c r="I128" s="934"/>
      <c r="J128" s="934"/>
      <c r="K128" s="935"/>
      <c r="L128" s="1171"/>
      <c r="M128" s="1172"/>
      <c r="N128" s="1172"/>
      <c r="O128" s="1173"/>
      <c r="P128" s="963">
        <v>2.4</v>
      </c>
      <c r="Q128" s="964"/>
      <c r="R128" s="964"/>
      <c r="S128" s="965"/>
      <c r="T128" s="963">
        <v>0</v>
      </c>
      <c r="U128" s="964"/>
      <c r="V128" s="964"/>
      <c r="W128" s="965"/>
      <c r="X128" s="881"/>
    </row>
    <row r="129" spans="1:24" ht="12.95" customHeight="1" thickBot="1">
      <c r="A129" s="96" t="s">
        <v>13</v>
      </c>
      <c r="B129" s="874"/>
      <c r="C129" s="1258" t="s">
        <v>170</v>
      </c>
      <c r="D129" s="927" t="s">
        <v>4</v>
      </c>
      <c r="E129" s="928"/>
      <c r="F129" s="928"/>
      <c r="G129" s="928"/>
      <c r="H129" s="928"/>
      <c r="I129" s="928"/>
      <c r="J129" s="928"/>
      <c r="K129" s="928"/>
      <c r="L129" s="928"/>
      <c r="M129" s="928"/>
      <c r="N129" s="928"/>
      <c r="O129" s="928"/>
      <c r="P129" s="928"/>
      <c r="Q129" s="928"/>
      <c r="R129" s="928"/>
      <c r="S129" s="928"/>
      <c r="T129" s="928"/>
      <c r="U129" s="928"/>
      <c r="V129" s="928"/>
      <c r="W129" s="929"/>
      <c r="X129" s="24" t="s">
        <v>14</v>
      </c>
    </row>
    <row r="130" spans="1:24" ht="12.95" customHeight="1" thickBot="1">
      <c r="A130" s="25" t="s">
        <v>75</v>
      </c>
      <c r="B130" s="875"/>
      <c r="C130" s="1259"/>
      <c r="D130" s="930" t="s">
        <v>122</v>
      </c>
      <c r="E130" s="931"/>
      <c r="F130" s="931"/>
      <c r="G130" s="931"/>
      <c r="H130" s="931"/>
      <c r="I130" s="931"/>
      <c r="J130" s="931"/>
      <c r="K130" s="931"/>
      <c r="L130" s="931"/>
      <c r="M130" s="931"/>
      <c r="N130" s="931"/>
      <c r="O130" s="931"/>
      <c r="P130" s="931"/>
      <c r="Q130" s="931"/>
      <c r="R130" s="931"/>
      <c r="S130" s="931"/>
      <c r="T130" s="931"/>
      <c r="U130" s="931"/>
      <c r="V130" s="931"/>
      <c r="W130" s="932"/>
      <c r="X130" s="18" t="s">
        <v>92</v>
      </c>
    </row>
    <row r="131" spans="1:24" ht="12.95" customHeight="1" thickBot="1">
      <c r="A131" s="906" t="s">
        <v>7</v>
      </c>
      <c r="B131" s="908" t="s">
        <v>173</v>
      </c>
      <c r="C131" s="909"/>
      <c r="D131" s="908" t="s">
        <v>8</v>
      </c>
      <c r="E131" s="918"/>
      <c r="F131" s="918"/>
      <c r="G131" s="909"/>
      <c r="H131" s="908" t="s">
        <v>88</v>
      </c>
      <c r="I131" s="918"/>
      <c r="J131" s="918"/>
      <c r="K131" s="909"/>
      <c r="L131" s="908" t="s">
        <v>89</v>
      </c>
      <c r="M131" s="918"/>
      <c r="N131" s="918"/>
      <c r="O131" s="909"/>
      <c r="P131" s="908" t="s">
        <v>9</v>
      </c>
      <c r="Q131" s="918"/>
      <c r="R131" s="918"/>
      <c r="S131" s="909"/>
      <c r="T131" s="908" t="s">
        <v>174</v>
      </c>
      <c r="U131" s="918"/>
      <c r="V131" s="918"/>
      <c r="W131" s="918"/>
      <c r="X131" s="909"/>
    </row>
    <row r="132" spans="1:24" ht="13.5" thickBot="1">
      <c r="A132" s="907"/>
      <c r="B132" s="1256"/>
      <c r="C132" s="1257"/>
      <c r="D132" s="916"/>
      <c r="E132" s="994"/>
      <c r="F132" s="994"/>
      <c r="G132" s="917"/>
      <c r="H132" s="916"/>
      <c r="I132" s="994"/>
      <c r="J132" s="994"/>
      <c r="K132" s="917"/>
      <c r="L132" s="916"/>
      <c r="M132" s="994"/>
      <c r="N132" s="994"/>
      <c r="O132" s="917"/>
      <c r="P132" s="916">
        <f>SUM(B132:O132)</f>
        <v>0</v>
      </c>
      <c r="Q132" s="994"/>
      <c r="R132" s="994"/>
      <c r="S132" s="917"/>
      <c r="T132" s="916" t="e">
        <f>B132/P132%</f>
        <v>#DIV/0!</v>
      </c>
      <c r="U132" s="994"/>
      <c r="V132" s="994"/>
      <c r="W132" s="994"/>
      <c r="X132" s="917"/>
    </row>
    <row r="133" spans="1:24" ht="13.5" thickBot="1">
      <c r="A133" s="906" t="s">
        <v>10</v>
      </c>
      <c r="B133" s="908" t="s">
        <v>175</v>
      </c>
      <c r="C133" s="909"/>
      <c r="D133" s="910"/>
      <c r="E133" s="911"/>
      <c r="F133" s="911"/>
      <c r="G133" s="911"/>
      <c r="H133" s="911"/>
      <c r="I133" s="911"/>
      <c r="J133" s="911"/>
      <c r="K133" s="911"/>
      <c r="L133" s="911"/>
      <c r="M133" s="911"/>
      <c r="N133" s="911"/>
      <c r="O133" s="911"/>
      <c r="P133" s="911"/>
      <c r="Q133" s="911"/>
      <c r="R133" s="911"/>
      <c r="S133" s="911"/>
      <c r="T133" s="911"/>
      <c r="U133" s="911"/>
      <c r="V133" s="911"/>
      <c r="W133" s="911"/>
      <c r="X133" s="912"/>
    </row>
    <row r="134" spans="1:24" ht="13.5" thickBot="1">
      <c r="A134" s="907"/>
      <c r="B134" s="1256"/>
      <c r="C134" s="1257"/>
      <c r="D134" s="913"/>
      <c r="E134" s="914"/>
      <c r="F134" s="914"/>
      <c r="G134" s="914"/>
      <c r="H134" s="914"/>
      <c r="I134" s="914"/>
      <c r="J134" s="914"/>
      <c r="K134" s="914"/>
      <c r="L134" s="914"/>
      <c r="M134" s="914"/>
      <c r="N134" s="914"/>
      <c r="O134" s="914"/>
      <c r="P134" s="914"/>
      <c r="Q134" s="914"/>
      <c r="R134" s="914"/>
      <c r="S134" s="914"/>
      <c r="T134" s="914"/>
      <c r="U134" s="914"/>
      <c r="V134" s="914"/>
      <c r="W134" s="914"/>
      <c r="X134" s="915"/>
    </row>
    <row r="135" spans="1:24">
      <c r="A135" s="5"/>
      <c r="B135" s="5"/>
      <c r="C135" s="6"/>
      <c r="D135" s="5"/>
      <c r="E135" s="5"/>
      <c r="F135" s="5"/>
      <c r="G135" s="5"/>
      <c r="H135" s="5"/>
      <c r="I135" s="5"/>
      <c r="J135" s="5"/>
      <c r="K135" s="5"/>
      <c r="L135" s="5"/>
      <c r="M135" s="5"/>
      <c r="N135" s="5"/>
      <c r="O135" s="5"/>
      <c r="P135" s="5"/>
      <c r="Q135" s="5"/>
      <c r="R135" s="5"/>
      <c r="S135" s="5"/>
      <c r="T135" s="5"/>
      <c r="U135" s="5"/>
      <c r="V135" s="5"/>
      <c r="W135" s="5"/>
      <c r="X135" s="5"/>
    </row>
    <row r="136" spans="1:24" ht="13.5" thickBot="1">
      <c r="A136" s="5"/>
      <c r="B136" s="5"/>
      <c r="C136" s="6"/>
      <c r="D136" s="5"/>
      <c r="E136" s="5"/>
      <c r="F136" s="5"/>
      <c r="G136" s="5"/>
      <c r="H136" s="5"/>
      <c r="I136" s="5"/>
      <c r="J136" s="5"/>
      <c r="K136" s="5"/>
      <c r="L136" s="5"/>
      <c r="M136" s="5"/>
      <c r="N136" s="5"/>
      <c r="O136" s="5"/>
      <c r="P136" s="5"/>
      <c r="Q136" s="5"/>
      <c r="R136" s="5"/>
      <c r="S136" s="5"/>
      <c r="T136" s="5"/>
      <c r="U136" s="5"/>
      <c r="V136" s="5"/>
      <c r="W136" s="5"/>
      <c r="X136" s="5"/>
    </row>
    <row r="137" spans="1:24" ht="12.95" customHeight="1" thickBot="1">
      <c r="A137" s="95" t="s">
        <v>28</v>
      </c>
      <c r="B137" s="97" t="s">
        <v>32</v>
      </c>
      <c r="C137" s="8"/>
      <c r="D137" s="927" t="s">
        <v>78</v>
      </c>
      <c r="E137" s="928"/>
      <c r="F137" s="928"/>
      <c r="G137" s="929"/>
      <c r="H137" s="927" t="s">
        <v>77</v>
      </c>
      <c r="I137" s="928"/>
      <c r="J137" s="928"/>
      <c r="K137" s="929"/>
      <c r="L137" s="927" t="s">
        <v>81</v>
      </c>
      <c r="M137" s="928"/>
      <c r="N137" s="928"/>
      <c r="O137" s="929"/>
      <c r="P137" s="927" t="s">
        <v>254</v>
      </c>
      <c r="Q137" s="928"/>
      <c r="R137" s="928"/>
      <c r="S137" s="929"/>
      <c r="T137" s="927" t="s">
        <v>76</v>
      </c>
      <c r="U137" s="928"/>
      <c r="V137" s="928"/>
      <c r="W137" s="929"/>
      <c r="X137" s="16" t="s">
        <v>6</v>
      </c>
    </row>
    <row r="138" spans="1:24" ht="12.95" customHeight="1" thickBot="1">
      <c r="A138" s="868" t="s">
        <v>65</v>
      </c>
      <c r="B138" s="868" t="s">
        <v>66</v>
      </c>
      <c r="C138" s="9" t="s">
        <v>2</v>
      </c>
      <c r="D138" s="1316" t="s">
        <v>255</v>
      </c>
      <c r="E138" s="1317"/>
      <c r="F138" s="1317"/>
      <c r="G138" s="1318"/>
      <c r="H138" s="942">
        <v>1</v>
      </c>
      <c r="I138" s="943"/>
      <c r="J138" s="943"/>
      <c r="K138" s="944"/>
      <c r="L138" s="942">
        <v>1</v>
      </c>
      <c r="M138" s="943"/>
      <c r="N138" s="943"/>
      <c r="O138" s="944"/>
      <c r="P138" s="942">
        <v>1.5</v>
      </c>
      <c r="Q138" s="943"/>
      <c r="R138" s="943"/>
      <c r="S138" s="944"/>
      <c r="T138" s="1188">
        <v>3</v>
      </c>
      <c r="U138" s="1189"/>
      <c r="V138" s="1189"/>
      <c r="W138" s="1190"/>
      <c r="X138" s="879" t="s">
        <v>91</v>
      </c>
    </row>
    <row r="139" spans="1:24" ht="13.5" thickBot="1">
      <c r="A139" s="885"/>
      <c r="B139" s="885"/>
      <c r="C139" s="99" t="s">
        <v>3</v>
      </c>
      <c r="D139" s="957"/>
      <c r="E139" s="958"/>
      <c r="F139" s="958"/>
      <c r="G139" s="959"/>
      <c r="H139" s="933"/>
      <c r="I139" s="934"/>
      <c r="J139" s="934"/>
      <c r="K139" s="935"/>
      <c r="L139" s="963">
        <v>1</v>
      </c>
      <c r="M139" s="964"/>
      <c r="N139" s="964"/>
      <c r="O139" s="965"/>
      <c r="P139" s="963">
        <v>2.2999999999999998</v>
      </c>
      <c r="Q139" s="964"/>
      <c r="R139" s="964"/>
      <c r="S139" s="965"/>
      <c r="T139" s="963">
        <v>0</v>
      </c>
      <c r="U139" s="964"/>
      <c r="V139" s="964"/>
      <c r="W139" s="965"/>
      <c r="X139" s="880"/>
    </row>
    <row r="140" spans="1:24" ht="12.95" customHeight="1" thickBot="1">
      <c r="A140" s="885"/>
      <c r="B140" s="885"/>
      <c r="C140" s="1258" t="s">
        <v>170</v>
      </c>
      <c r="D140" s="927" t="s">
        <v>4</v>
      </c>
      <c r="E140" s="928"/>
      <c r="F140" s="928"/>
      <c r="G140" s="928"/>
      <c r="H140" s="928"/>
      <c r="I140" s="928"/>
      <c r="J140" s="928"/>
      <c r="K140" s="928"/>
      <c r="L140" s="928"/>
      <c r="M140" s="928"/>
      <c r="N140" s="928"/>
      <c r="O140" s="928"/>
      <c r="P140" s="928"/>
      <c r="Q140" s="928"/>
      <c r="R140" s="928"/>
      <c r="S140" s="928"/>
      <c r="T140" s="928"/>
      <c r="U140" s="928"/>
      <c r="V140" s="928"/>
      <c r="W140" s="929"/>
      <c r="X140" s="880"/>
    </row>
    <row r="141" spans="1:24" ht="12.95" customHeight="1" thickBot="1">
      <c r="A141" s="885"/>
      <c r="B141" s="869"/>
      <c r="C141" s="1259"/>
      <c r="D141" s="930" t="s">
        <v>123</v>
      </c>
      <c r="E141" s="931"/>
      <c r="F141" s="931"/>
      <c r="G141" s="931"/>
      <c r="H141" s="931"/>
      <c r="I141" s="931"/>
      <c r="J141" s="931"/>
      <c r="K141" s="931"/>
      <c r="L141" s="931"/>
      <c r="M141" s="931"/>
      <c r="N141" s="931"/>
      <c r="O141" s="931"/>
      <c r="P141" s="931"/>
      <c r="Q141" s="931"/>
      <c r="R141" s="931"/>
      <c r="S141" s="931"/>
      <c r="T141" s="931"/>
      <c r="U141" s="931"/>
      <c r="V141" s="931"/>
      <c r="W141" s="932"/>
      <c r="X141" s="880"/>
    </row>
    <row r="142" spans="1:24" ht="12.95" customHeight="1" thickBot="1">
      <c r="A142" s="885"/>
      <c r="B142" s="11" t="s">
        <v>33</v>
      </c>
      <c r="C142" s="12"/>
      <c r="D142" s="927" t="s">
        <v>78</v>
      </c>
      <c r="E142" s="928"/>
      <c r="F142" s="928"/>
      <c r="G142" s="929"/>
      <c r="H142" s="927" t="s">
        <v>77</v>
      </c>
      <c r="I142" s="928"/>
      <c r="J142" s="928"/>
      <c r="K142" s="929"/>
      <c r="L142" s="927" t="s">
        <v>81</v>
      </c>
      <c r="M142" s="928"/>
      <c r="N142" s="928"/>
      <c r="O142" s="929"/>
      <c r="P142" s="927" t="s">
        <v>254</v>
      </c>
      <c r="Q142" s="928"/>
      <c r="R142" s="928"/>
      <c r="S142" s="929"/>
      <c r="T142" s="927" t="s">
        <v>76</v>
      </c>
      <c r="U142" s="928"/>
      <c r="V142" s="928"/>
      <c r="W142" s="929"/>
      <c r="X142" s="880"/>
    </row>
    <row r="143" spans="1:24" ht="12.95" customHeight="1" thickBot="1">
      <c r="A143" s="885"/>
      <c r="B143" s="868" t="s">
        <v>67</v>
      </c>
      <c r="C143" s="23" t="s">
        <v>2</v>
      </c>
      <c r="D143" s="1316" t="s">
        <v>255</v>
      </c>
      <c r="E143" s="1317"/>
      <c r="F143" s="1317"/>
      <c r="G143" s="1318"/>
      <c r="H143" s="942">
        <v>1.7</v>
      </c>
      <c r="I143" s="943"/>
      <c r="J143" s="943"/>
      <c r="K143" s="944"/>
      <c r="L143" s="942">
        <v>1.7</v>
      </c>
      <c r="M143" s="943"/>
      <c r="N143" s="943"/>
      <c r="O143" s="944"/>
      <c r="P143" s="942">
        <v>2</v>
      </c>
      <c r="Q143" s="943"/>
      <c r="R143" s="943"/>
      <c r="S143" s="944"/>
      <c r="T143" s="1188">
        <v>3.2</v>
      </c>
      <c r="U143" s="1189"/>
      <c r="V143" s="1189"/>
      <c r="W143" s="1190"/>
      <c r="X143" s="880"/>
    </row>
    <row r="144" spans="1:24" ht="13.5" thickBot="1">
      <c r="A144" s="885"/>
      <c r="B144" s="885"/>
      <c r="C144" s="9" t="s">
        <v>3</v>
      </c>
      <c r="D144" s="957"/>
      <c r="E144" s="958"/>
      <c r="F144" s="958"/>
      <c r="G144" s="959"/>
      <c r="H144" s="933"/>
      <c r="I144" s="934"/>
      <c r="J144" s="934"/>
      <c r="K144" s="935"/>
      <c r="L144" s="963">
        <v>1.7</v>
      </c>
      <c r="M144" s="964"/>
      <c r="N144" s="964"/>
      <c r="O144" s="965"/>
      <c r="P144" s="963">
        <v>2.2999999999999998</v>
      </c>
      <c r="Q144" s="964"/>
      <c r="R144" s="964"/>
      <c r="S144" s="965"/>
      <c r="T144" s="963">
        <v>0</v>
      </c>
      <c r="U144" s="964"/>
      <c r="V144" s="964"/>
      <c r="W144" s="965"/>
      <c r="X144" s="880"/>
    </row>
    <row r="145" spans="1:24" ht="12.95" customHeight="1" thickBot="1">
      <c r="A145" s="885"/>
      <c r="B145" s="885"/>
      <c r="C145" s="1258" t="s">
        <v>170</v>
      </c>
      <c r="D145" s="927" t="s">
        <v>4</v>
      </c>
      <c r="E145" s="928"/>
      <c r="F145" s="928"/>
      <c r="G145" s="928"/>
      <c r="H145" s="928"/>
      <c r="I145" s="928"/>
      <c r="J145" s="928"/>
      <c r="K145" s="928"/>
      <c r="L145" s="928"/>
      <c r="M145" s="928"/>
      <c r="N145" s="928"/>
      <c r="O145" s="928"/>
      <c r="P145" s="928"/>
      <c r="Q145" s="928"/>
      <c r="R145" s="928"/>
      <c r="S145" s="928"/>
      <c r="T145" s="928"/>
      <c r="U145" s="928"/>
      <c r="V145" s="928"/>
      <c r="W145" s="929"/>
      <c r="X145" s="880"/>
    </row>
    <row r="146" spans="1:24" ht="12.95" customHeight="1" thickBot="1">
      <c r="A146" s="885"/>
      <c r="B146" s="869"/>
      <c r="C146" s="1259"/>
      <c r="D146" s="930" t="s">
        <v>123</v>
      </c>
      <c r="E146" s="931"/>
      <c r="F146" s="931"/>
      <c r="G146" s="931"/>
      <c r="H146" s="931"/>
      <c r="I146" s="931"/>
      <c r="J146" s="931"/>
      <c r="K146" s="931"/>
      <c r="L146" s="931"/>
      <c r="M146" s="931"/>
      <c r="N146" s="931"/>
      <c r="O146" s="931"/>
      <c r="P146" s="931"/>
      <c r="Q146" s="931"/>
      <c r="R146" s="931"/>
      <c r="S146" s="931"/>
      <c r="T146" s="931"/>
      <c r="U146" s="931"/>
      <c r="V146" s="931"/>
      <c r="W146" s="932"/>
      <c r="X146" s="880"/>
    </row>
    <row r="147" spans="1:24" ht="12.95" customHeight="1" thickBot="1">
      <c r="A147" s="885"/>
      <c r="B147" s="11" t="s">
        <v>34</v>
      </c>
      <c r="C147" s="12"/>
      <c r="D147" s="927" t="s">
        <v>78</v>
      </c>
      <c r="E147" s="928"/>
      <c r="F147" s="928"/>
      <c r="G147" s="929"/>
      <c r="H147" s="927" t="s">
        <v>77</v>
      </c>
      <c r="I147" s="928"/>
      <c r="J147" s="928"/>
      <c r="K147" s="929"/>
      <c r="L147" s="927" t="s">
        <v>81</v>
      </c>
      <c r="M147" s="928"/>
      <c r="N147" s="928"/>
      <c r="O147" s="929"/>
      <c r="P147" s="927" t="s">
        <v>254</v>
      </c>
      <c r="Q147" s="928"/>
      <c r="R147" s="928"/>
      <c r="S147" s="929"/>
      <c r="T147" s="927" t="s">
        <v>76</v>
      </c>
      <c r="U147" s="928"/>
      <c r="V147" s="928"/>
      <c r="W147" s="929"/>
      <c r="X147" s="880"/>
    </row>
    <row r="148" spans="1:24" ht="12.95" customHeight="1" thickBot="1">
      <c r="A148" s="885"/>
      <c r="B148" s="868" t="s">
        <v>68</v>
      </c>
      <c r="C148" s="23" t="s">
        <v>2</v>
      </c>
      <c r="D148" s="1316" t="s">
        <v>255</v>
      </c>
      <c r="E148" s="1317"/>
      <c r="F148" s="1317"/>
      <c r="G148" s="1318"/>
      <c r="H148" s="942">
        <v>1.8</v>
      </c>
      <c r="I148" s="943"/>
      <c r="J148" s="943"/>
      <c r="K148" s="944"/>
      <c r="L148" s="942">
        <v>1.8</v>
      </c>
      <c r="M148" s="943"/>
      <c r="N148" s="943"/>
      <c r="O148" s="944"/>
      <c r="P148" s="942">
        <v>2.1</v>
      </c>
      <c r="Q148" s="943"/>
      <c r="R148" s="943"/>
      <c r="S148" s="944"/>
      <c r="T148" s="1188">
        <v>3</v>
      </c>
      <c r="U148" s="1189"/>
      <c r="V148" s="1189"/>
      <c r="W148" s="1190"/>
      <c r="X148" s="880"/>
    </row>
    <row r="149" spans="1:24" ht="13.5" thickBot="1">
      <c r="A149" s="885"/>
      <c r="B149" s="885"/>
      <c r="C149" s="9" t="s">
        <v>3</v>
      </c>
      <c r="D149" s="957"/>
      <c r="E149" s="958"/>
      <c r="F149" s="958"/>
      <c r="G149" s="959"/>
      <c r="H149" s="933"/>
      <c r="I149" s="934"/>
      <c r="J149" s="934"/>
      <c r="K149" s="935"/>
      <c r="L149" s="963">
        <v>1.8</v>
      </c>
      <c r="M149" s="964"/>
      <c r="N149" s="964"/>
      <c r="O149" s="965"/>
      <c r="P149" s="963">
        <v>2</v>
      </c>
      <c r="Q149" s="964"/>
      <c r="R149" s="964"/>
      <c r="S149" s="965"/>
      <c r="T149" s="963">
        <v>0</v>
      </c>
      <c r="U149" s="964"/>
      <c r="V149" s="964"/>
      <c r="W149" s="965"/>
      <c r="X149" s="880"/>
    </row>
    <row r="150" spans="1:24" ht="12.95" customHeight="1" thickBot="1">
      <c r="A150" s="885"/>
      <c r="B150" s="885"/>
      <c r="C150" s="1258" t="s">
        <v>170</v>
      </c>
      <c r="D150" s="927" t="s">
        <v>4</v>
      </c>
      <c r="E150" s="928"/>
      <c r="F150" s="928"/>
      <c r="G150" s="928"/>
      <c r="H150" s="928"/>
      <c r="I150" s="928"/>
      <c r="J150" s="928"/>
      <c r="K150" s="928"/>
      <c r="L150" s="928"/>
      <c r="M150" s="928"/>
      <c r="N150" s="928"/>
      <c r="O150" s="928"/>
      <c r="P150" s="928"/>
      <c r="Q150" s="928"/>
      <c r="R150" s="928"/>
      <c r="S150" s="928"/>
      <c r="T150" s="928"/>
      <c r="U150" s="928"/>
      <c r="V150" s="928"/>
      <c r="W150" s="929"/>
      <c r="X150" s="880"/>
    </row>
    <row r="151" spans="1:24" ht="12.95" customHeight="1" thickBot="1">
      <c r="A151" s="885"/>
      <c r="B151" s="869"/>
      <c r="C151" s="1259"/>
      <c r="D151" s="930" t="s">
        <v>123</v>
      </c>
      <c r="E151" s="931"/>
      <c r="F151" s="931"/>
      <c r="G151" s="931"/>
      <c r="H151" s="931"/>
      <c r="I151" s="931"/>
      <c r="J151" s="931"/>
      <c r="K151" s="931"/>
      <c r="L151" s="931"/>
      <c r="M151" s="931"/>
      <c r="N151" s="931"/>
      <c r="O151" s="931"/>
      <c r="P151" s="931"/>
      <c r="Q151" s="931"/>
      <c r="R151" s="931"/>
      <c r="S151" s="931"/>
      <c r="T151" s="931"/>
      <c r="U151" s="931"/>
      <c r="V151" s="931"/>
      <c r="W151" s="932"/>
      <c r="X151" s="880"/>
    </row>
    <row r="152" spans="1:24" ht="12.95" customHeight="1" thickBot="1">
      <c r="A152" s="885"/>
      <c r="B152" s="11" t="s">
        <v>41</v>
      </c>
      <c r="C152" s="12"/>
      <c r="D152" s="927" t="s">
        <v>78</v>
      </c>
      <c r="E152" s="928"/>
      <c r="F152" s="928"/>
      <c r="G152" s="929"/>
      <c r="H152" s="927" t="s">
        <v>77</v>
      </c>
      <c r="I152" s="928"/>
      <c r="J152" s="928"/>
      <c r="K152" s="929"/>
      <c r="L152" s="927" t="s">
        <v>81</v>
      </c>
      <c r="M152" s="928"/>
      <c r="N152" s="928"/>
      <c r="O152" s="929"/>
      <c r="P152" s="927" t="s">
        <v>254</v>
      </c>
      <c r="Q152" s="928"/>
      <c r="R152" s="928"/>
      <c r="S152" s="929"/>
      <c r="T152" s="927" t="s">
        <v>76</v>
      </c>
      <c r="U152" s="928"/>
      <c r="V152" s="928"/>
      <c r="W152" s="929"/>
      <c r="X152" s="880"/>
    </row>
    <row r="153" spans="1:24" ht="12.95" customHeight="1" thickBot="1">
      <c r="A153" s="885"/>
      <c r="B153" s="868" t="s">
        <v>69</v>
      </c>
      <c r="C153" s="23" t="s">
        <v>2</v>
      </c>
      <c r="D153" s="1316" t="s">
        <v>255</v>
      </c>
      <c r="E153" s="1317"/>
      <c r="F153" s="1317"/>
      <c r="G153" s="1318"/>
      <c r="H153" s="942">
        <v>1.9</v>
      </c>
      <c r="I153" s="943"/>
      <c r="J153" s="943"/>
      <c r="K153" s="944"/>
      <c r="L153" s="942">
        <v>1.9</v>
      </c>
      <c r="M153" s="943"/>
      <c r="N153" s="943"/>
      <c r="O153" s="944"/>
      <c r="P153" s="942">
        <v>2.1</v>
      </c>
      <c r="Q153" s="943"/>
      <c r="R153" s="943"/>
      <c r="S153" s="944"/>
      <c r="T153" s="1188">
        <v>3.2</v>
      </c>
      <c r="U153" s="1189"/>
      <c r="V153" s="1189"/>
      <c r="W153" s="1190"/>
      <c r="X153" s="880"/>
    </row>
    <row r="154" spans="1:24" ht="13.5" thickBot="1">
      <c r="A154" s="885"/>
      <c r="B154" s="885"/>
      <c r="C154" s="9" t="s">
        <v>3</v>
      </c>
      <c r="D154" s="957"/>
      <c r="E154" s="958"/>
      <c r="F154" s="958"/>
      <c r="G154" s="959"/>
      <c r="H154" s="933"/>
      <c r="I154" s="934"/>
      <c r="J154" s="934"/>
      <c r="K154" s="935"/>
      <c r="L154" s="963">
        <v>1.9</v>
      </c>
      <c r="M154" s="964"/>
      <c r="N154" s="964"/>
      <c r="O154" s="965"/>
      <c r="P154" s="963">
        <v>2.4</v>
      </c>
      <c r="Q154" s="964"/>
      <c r="R154" s="964"/>
      <c r="S154" s="965"/>
      <c r="T154" s="963">
        <v>0</v>
      </c>
      <c r="U154" s="964"/>
      <c r="V154" s="964"/>
      <c r="W154" s="965"/>
      <c r="X154" s="880"/>
    </row>
    <row r="155" spans="1:24" ht="12.95" customHeight="1" thickBot="1">
      <c r="A155" s="885"/>
      <c r="B155" s="885"/>
      <c r="C155" s="1258" t="s">
        <v>170</v>
      </c>
      <c r="D155" s="927" t="s">
        <v>4</v>
      </c>
      <c r="E155" s="928"/>
      <c r="F155" s="928"/>
      <c r="G155" s="928"/>
      <c r="H155" s="928"/>
      <c r="I155" s="928"/>
      <c r="J155" s="928"/>
      <c r="K155" s="928"/>
      <c r="L155" s="928"/>
      <c r="M155" s="928"/>
      <c r="N155" s="928"/>
      <c r="O155" s="928"/>
      <c r="P155" s="928"/>
      <c r="Q155" s="928"/>
      <c r="R155" s="928"/>
      <c r="S155" s="928"/>
      <c r="T155" s="928"/>
      <c r="U155" s="928"/>
      <c r="V155" s="928"/>
      <c r="W155" s="929"/>
      <c r="X155" s="880"/>
    </row>
    <row r="156" spans="1:24" ht="12.95" customHeight="1" thickBot="1">
      <c r="A156" s="885"/>
      <c r="B156" s="869"/>
      <c r="C156" s="1259"/>
      <c r="D156" s="930" t="s">
        <v>123</v>
      </c>
      <c r="E156" s="931"/>
      <c r="F156" s="931"/>
      <c r="G156" s="931"/>
      <c r="H156" s="931"/>
      <c r="I156" s="931"/>
      <c r="J156" s="931"/>
      <c r="K156" s="931"/>
      <c r="L156" s="931"/>
      <c r="M156" s="931"/>
      <c r="N156" s="931"/>
      <c r="O156" s="931"/>
      <c r="P156" s="931"/>
      <c r="Q156" s="931"/>
      <c r="R156" s="931"/>
      <c r="S156" s="931"/>
      <c r="T156" s="931"/>
      <c r="U156" s="931"/>
      <c r="V156" s="931"/>
      <c r="W156" s="932"/>
      <c r="X156" s="880"/>
    </row>
    <row r="157" spans="1:24" ht="12.95" customHeight="1" thickBot="1">
      <c r="A157" s="885"/>
      <c r="B157" s="11" t="s">
        <v>42</v>
      </c>
      <c r="C157" s="28"/>
      <c r="D157" s="927" t="s">
        <v>78</v>
      </c>
      <c r="E157" s="928"/>
      <c r="F157" s="928"/>
      <c r="G157" s="929"/>
      <c r="H157" s="927" t="s">
        <v>77</v>
      </c>
      <c r="I157" s="928"/>
      <c r="J157" s="928"/>
      <c r="K157" s="929"/>
      <c r="L157" s="927" t="s">
        <v>81</v>
      </c>
      <c r="M157" s="928"/>
      <c r="N157" s="928"/>
      <c r="O157" s="929"/>
      <c r="P157" s="927" t="s">
        <v>254</v>
      </c>
      <c r="Q157" s="928"/>
      <c r="R157" s="928"/>
      <c r="S157" s="929"/>
      <c r="T157" s="927" t="s">
        <v>76</v>
      </c>
      <c r="U157" s="928"/>
      <c r="V157" s="928"/>
      <c r="W157" s="929"/>
      <c r="X157" s="880"/>
    </row>
    <row r="158" spans="1:24" ht="18.95" customHeight="1" thickBot="1">
      <c r="A158" s="885"/>
      <c r="B158" s="868" t="s">
        <v>180</v>
      </c>
      <c r="C158" s="26"/>
      <c r="D158" s="955" t="s">
        <v>99</v>
      </c>
      <c r="E158" s="956"/>
      <c r="F158" s="955" t="s">
        <v>100</v>
      </c>
      <c r="G158" s="956"/>
      <c r="H158" s="955" t="s">
        <v>99</v>
      </c>
      <c r="I158" s="956"/>
      <c r="J158" s="955" t="s">
        <v>100</v>
      </c>
      <c r="K158" s="956"/>
      <c r="L158" s="955" t="s">
        <v>99</v>
      </c>
      <c r="M158" s="956"/>
      <c r="N158" s="955" t="s">
        <v>100</v>
      </c>
      <c r="O158" s="956"/>
      <c r="P158" s="955" t="s">
        <v>99</v>
      </c>
      <c r="Q158" s="956"/>
      <c r="R158" s="955" t="s">
        <v>100</v>
      </c>
      <c r="S158" s="956"/>
      <c r="T158" s="955" t="s">
        <v>99</v>
      </c>
      <c r="U158" s="956"/>
      <c r="V158" s="955" t="s">
        <v>100</v>
      </c>
      <c r="W158" s="956"/>
      <c r="X158" s="880"/>
    </row>
    <row r="159" spans="1:24" ht="12.95" customHeight="1" thickBot="1">
      <c r="A159" s="885"/>
      <c r="B159" s="885"/>
      <c r="C159" s="26" t="s">
        <v>2</v>
      </c>
      <c r="D159" s="1316" t="s">
        <v>255</v>
      </c>
      <c r="E159" s="1317"/>
      <c r="F159" s="1317"/>
      <c r="G159" s="1318"/>
      <c r="H159" s="951">
        <v>0</v>
      </c>
      <c r="I159" s="952"/>
      <c r="J159" s="951">
        <v>0</v>
      </c>
      <c r="K159" s="952"/>
      <c r="L159" s="951">
        <v>0</v>
      </c>
      <c r="M159" s="952"/>
      <c r="N159" s="951">
        <v>0</v>
      </c>
      <c r="O159" s="952"/>
      <c r="P159" s="951">
        <v>2</v>
      </c>
      <c r="Q159" s="952"/>
      <c r="R159" s="951">
        <v>1</v>
      </c>
      <c r="S159" s="952"/>
      <c r="T159" s="951">
        <v>4</v>
      </c>
      <c r="U159" s="952"/>
      <c r="V159" s="951">
        <v>2</v>
      </c>
      <c r="W159" s="952"/>
      <c r="X159" s="880"/>
    </row>
    <row r="160" spans="1:24" ht="13.5" thickBot="1">
      <c r="A160" s="869"/>
      <c r="B160" s="885"/>
      <c r="C160" s="9" t="s">
        <v>3</v>
      </c>
      <c r="D160" s="933"/>
      <c r="E160" s="934"/>
      <c r="F160" s="934"/>
      <c r="G160" s="935"/>
      <c r="H160" s="933"/>
      <c r="I160" s="934"/>
      <c r="J160" s="934"/>
      <c r="K160" s="935"/>
      <c r="L160" s="939">
        <v>0</v>
      </c>
      <c r="M160" s="953"/>
      <c r="N160" s="939">
        <v>0</v>
      </c>
      <c r="O160" s="953"/>
      <c r="P160" s="939">
        <v>3</v>
      </c>
      <c r="Q160" s="953"/>
      <c r="R160" s="939">
        <v>1</v>
      </c>
      <c r="S160" s="953"/>
      <c r="T160" s="939">
        <v>0</v>
      </c>
      <c r="U160" s="953"/>
      <c r="V160" s="939">
        <v>0</v>
      </c>
      <c r="W160" s="953"/>
      <c r="X160" s="881"/>
    </row>
    <row r="161" spans="1:24" ht="12.95" customHeight="1" thickBot="1">
      <c r="A161" s="96" t="s">
        <v>13</v>
      </c>
      <c r="B161" s="885" t="s">
        <v>178</v>
      </c>
      <c r="C161" s="1258" t="s">
        <v>170</v>
      </c>
      <c r="D161" s="927" t="s">
        <v>4</v>
      </c>
      <c r="E161" s="928"/>
      <c r="F161" s="928"/>
      <c r="G161" s="928"/>
      <c r="H161" s="928"/>
      <c r="I161" s="928"/>
      <c r="J161" s="928"/>
      <c r="K161" s="928"/>
      <c r="L161" s="928"/>
      <c r="M161" s="928"/>
      <c r="N161" s="928"/>
      <c r="O161" s="928"/>
      <c r="P161" s="928"/>
      <c r="Q161" s="928"/>
      <c r="R161" s="928"/>
      <c r="S161" s="928"/>
      <c r="T161" s="928"/>
      <c r="U161" s="928"/>
      <c r="V161" s="928"/>
      <c r="W161" s="929"/>
      <c r="X161" s="24" t="s">
        <v>14</v>
      </c>
    </row>
    <row r="162" spans="1:24" ht="12.95" customHeight="1" thickBot="1">
      <c r="A162" s="25" t="s">
        <v>74</v>
      </c>
      <c r="B162" s="869"/>
      <c r="C162" s="1259"/>
      <c r="D162" s="930" t="s">
        <v>124</v>
      </c>
      <c r="E162" s="931"/>
      <c r="F162" s="931"/>
      <c r="G162" s="931"/>
      <c r="H162" s="931"/>
      <c r="I162" s="931"/>
      <c r="J162" s="931"/>
      <c r="K162" s="931"/>
      <c r="L162" s="931"/>
      <c r="M162" s="931"/>
      <c r="N162" s="931"/>
      <c r="O162" s="931"/>
      <c r="P162" s="931"/>
      <c r="Q162" s="931"/>
      <c r="R162" s="931"/>
      <c r="S162" s="931"/>
      <c r="T162" s="931"/>
      <c r="U162" s="931"/>
      <c r="V162" s="931"/>
      <c r="W162" s="932"/>
      <c r="X162" s="18" t="s">
        <v>93</v>
      </c>
    </row>
    <row r="163" spans="1:24" ht="12.95" customHeight="1" thickBot="1">
      <c r="A163" s="906" t="s">
        <v>7</v>
      </c>
      <c r="B163" s="908" t="s">
        <v>173</v>
      </c>
      <c r="C163" s="909"/>
      <c r="D163" s="908" t="s">
        <v>8</v>
      </c>
      <c r="E163" s="918"/>
      <c r="F163" s="918"/>
      <c r="G163" s="909"/>
      <c r="H163" s="908" t="s">
        <v>88</v>
      </c>
      <c r="I163" s="918"/>
      <c r="J163" s="918"/>
      <c r="K163" s="909"/>
      <c r="L163" s="908" t="s">
        <v>89</v>
      </c>
      <c r="M163" s="918"/>
      <c r="N163" s="918"/>
      <c r="O163" s="909"/>
      <c r="P163" s="908" t="s">
        <v>9</v>
      </c>
      <c r="Q163" s="918"/>
      <c r="R163" s="918"/>
      <c r="S163" s="909"/>
      <c r="T163" s="908" t="s">
        <v>174</v>
      </c>
      <c r="U163" s="918"/>
      <c r="V163" s="918"/>
      <c r="W163" s="918"/>
      <c r="X163" s="909"/>
    </row>
    <row r="164" spans="1:24" ht="13.5" thickBot="1">
      <c r="A164" s="907"/>
      <c r="B164" s="1256"/>
      <c r="C164" s="1257"/>
      <c r="D164" s="916"/>
      <c r="E164" s="994"/>
      <c r="F164" s="994"/>
      <c r="G164" s="917"/>
      <c r="H164" s="916"/>
      <c r="I164" s="994"/>
      <c r="J164" s="994"/>
      <c r="K164" s="917"/>
      <c r="L164" s="916"/>
      <c r="M164" s="994"/>
      <c r="N164" s="994"/>
      <c r="O164" s="917"/>
      <c r="P164" s="916">
        <f>SUM(B164:O164)</f>
        <v>0</v>
      </c>
      <c r="Q164" s="994"/>
      <c r="R164" s="994"/>
      <c r="S164" s="917"/>
      <c r="T164" s="916" t="e">
        <f>B164/P164%</f>
        <v>#DIV/0!</v>
      </c>
      <c r="U164" s="994"/>
      <c r="V164" s="994"/>
      <c r="W164" s="994"/>
      <c r="X164" s="917"/>
    </row>
    <row r="165" spans="1:24" ht="13.5" thickBot="1">
      <c r="A165" s="906" t="s">
        <v>10</v>
      </c>
      <c r="B165" s="908" t="s">
        <v>175</v>
      </c>
      <c r="C165" s="909"/>
      <c r="D165" s="910"/>
      <c r="E165" s="911"/>
      <c r="F165" s="911"/>
      <c r="G165" s="911"/>
      <c r="H165" s="911"/>
      <c r="I165" s="911"/>
      <c r="J165" s="911"/>
      <c r="K165" s="911"/>
      <c r="L165" s="911"/>
      <c r="M165" s="911"/>
      <c r="N165" s="911"/>
      <c r="O165" s="911"/>
      <c r="P165" s="911"/>
      <c r="Q165" s="911"/>
      <c r="R165" s="911"/>
      <c r="S165" s="911"/>
      <c r="T165" s="911"/>
      <c r="U165" s="911"/>
      <c r="V165" s="911"/>
      <c r="W165" s="911"/>
      <c r="X165" s="912"/>
    </row>
    <row r="166" spans="1:24" ht="13.5" thickBot="1">
      <c r="A166" s="907"/>
      <c r="B166" s="1256"/>
      <c r="C166" s="1257"/>
      <c r="D166" s="913"/>
      <c r="E166" s="914"/>
      <c r="F166" s="914"/>
      <c r="G166" s="914"/>
      <c r="H166" s="914"/>
      <c r="I166" s="914"/>
      <c r="J166" s="914"/>
      <c r="K166" s="914"/>
      <c r="L166" s="914"/>
      <c r="M166" s="914"/>
      <c r="N166" s="914"/>
      <c r="O166" s="914"/>
      <c r="P166" s="914"/>
      <c r="Q166" s="914"/>
      <c r="R166" s="914"/>
      <c r="S166" s="914"/>
      <c r="T166" s="914"/>
      <c r="U166" s="914"/>
      <c r="V166" s="914"/>
      <c r="W166" s="914"/>
      <c r="X166" s="915"/>
    </row>
    <row r="168" spans="1:24" ht="13.5" thickBot="1"/>
    <row r="169" spans="1:24" ht="12.95" customHeight="1" thickBot="1">
      <c r="A169" s="472" t="s">
        <v>27</v>
      </c>
      <c r="B169" s="473" t="s">
        <v>35</v>
      </c>
      <c r="C169" s="474"/>
      <c r="D169" s="1230" t="s">
        <v>78</v>
      </c>
      <c r="E169" s="1231"/>
      <c r="F169" s="1231"/>
      <c r="G169" s="1232"/>
      <c r="H169" s="1240" t="s">
        <v>77</v>
      </c>
      <c r="I169" s="1231"/>
      <c r="J169" s="1231"/>
      <c r="K169" s="1232"/>
      <c r="L169" s="1240" t="s">
        <v>81</v>
      </c>
      <c r="M169" s="1231"/>
      <c r="N169" s="1231"/>
      <c r="O169" s="1232"/>
      <c r="P169" s="1240" t="s">
        <v>254</v>
      </c>
      <c r="Q169" s="1231"/>
      <c r="R169" s="1231"/>
      <c r="S169" s="1232"/>
      <c r="T169" s="1240" t="s">
        <v>76</v>
      </c>
      <c r="U169" s="1231"/>
      <c r="V169" s="1231"/>
      <c r="W169" s="1232"/>
      <c r="X169" s="475" t="s">
        <v>12</v>
      </c>
    </row>
    <row r="170" spans="1:24" ht="12.95" customHeight="1" thickBot="1">
      <c r="A170" s="1253" t="s">
        <v>70</v>
      </c>
      <c r="B170" s="873" t="s">
        <v>609</v>
      </c>
      <c r="C170" s="90"/>
      <c r="D170" s="1215" t="s">
        <v>636</v>
      </c>
      <c r="E170" s="1216"/>
      <c r="F170" s="1216"/>
      <c r="G170" s="1217"/>
      <c r="H170" s="1215" t="s">
        <v>636</v>
      </c>
      <c r="I170" s="1216"/>
      <c r="J170" s="1216"/>
      <c r="K170" s="1217"/>
      <c r="L170" s="1215" t="s">
        <v>636</v>
      </c>
      <c r="M170" s="1216"/>
      <c r="N170" s="1216"/>
      <c r="O170" s="1217"/>
      <c r="P170" s="476" t="s">
        <v>602</v>
      </c>
      <c r="Q170" s="476" t="s">
        <v>603</v>
      </c>
      <c r="R170" s="476" t="s">
        <v>608</v>
      </c>
      <c r="S170" s="476" t="s">
        <v>604</v>
      </c>
      <c r="T170" s="476" t="s">
        <v>602</v>
      </c>
      <c r="U170" s="476" t="s">
        <v>603</v>
      </c>
      <c r="V170" s="476" t="s">
        <v>608</v>
      </c>
      <c r="W170" s="476" t="s">
        <v>604</v>
      </c>
      <c r="X170" s="879" t="s">
        <v>90</v>
      </c>
    </row>
    <row r="171" spans="1:24" ht="12.95" customHeight="1" thickBot="1">
      <c r="A171" s="1254"/>
      <c r="B171" s="874"/>
      <c r="C171" s="26" t="s">
        <v>2</v>
      </c>
      <c r="D171" s="1316" t="s">
        <v>255</v>
      </c>
      <c r="E171" s="1317"/>
      <c r="F171" s="1317"/>
      <c r="G171" s="1318"/>
      <c r="H171" s="924">
        <v>0</v>
      </c>
      <c r="I171" s="925"/>
      <c r="J171" s="925"/>
      <c r="K171" s="926"/>
      <c r="L171" s="924">
        <v>1</v>
      </c>
      <c r="M171" s="925"/>
      <c r="N171" s="925"/>
      <c r="O171" s="926"/>
      <c r="P171" s="939">
        <v>1</v>
      </c>
      <c r="Q171" s="940"/>
      <c r="R171" s="940"/>
      <c r="S171" s="941"/>
      <c r="T171" s="150">
        <v>8</v>
      </c>
      <c r="U171" s="150">
        <v>4</v>
      </c>
      <c r="V171" s="150">
        <v>4</v>
      </c>
      <c r="W171" s="783">
        <v>1</v>
      </c>
      <c r="X171" s="880"/>
    </row>
    <row r="172" spans="1:24" ht="12.95" customHeight="1" thickBot="1">
      <c r="A172" s="1254"/>
      <c r="B172" s="874"/>
      <c r="C172" s="9" t="s">
        <v>3</v>
      </c>
      <c r="D172" s="957"/>
      <c r="E172" s="958"/>
      <c r="F172" s="958"/>
      <c r="G172" s="959"/>
      <c r="H172" s="957"/>
      <c r="I172" s="958"/>
      <c r="J172" s="958"/>
      <c r="K172" s="959"/>
      <c r="L172" s="1247">
        <v>1</v>
      </c>
      <c r="M172" s="940"/>
      <c r="N172" s="940"/>
      <c r="O172" s="1248"/>
      <c r="P172" s="150">
        <v>1</v>
      </c>
      <c r="Q172" s="777">
        <v>0</v>
      </c>
      <c r="R172" s="777">
        <v>1</v>
      </c>
      <c r="S172" s="777">
        <v>0</v>
      </c>
      <c r="T172" s="150">
        <v>0</v>
      </c>
      <c r="U172" s="150">
        <v>0</v>
      </c>
      <c r="V172" s="150">
        <v>0</v>
      </c>
      <c r="W172" s="150">
        <v>0</v>
      </c>
      <c r="X172" s="880"/>
    </row>
    <row r="173" spans="1:24" ht="12.95" customHeight="1" thickBot="1">
      <c r="A173" s="1254"/>
      <c r="B173" s="874"/>
      <c r="C173" s="1297" t="s">
        <v>838</v>
      </c>
      <c r="D173" s="1230" t="s">
        <v>839</v>
      </c>
      <c r="E173" s="1231"/>
      <c r="F173" s="1231"/>
      <c r="G173" s="1231"/>
      <c r="H173" s="1231"/>
      <c r="I173" s="1231"/>
      <c r="J173" s="1231"/>
      <c r="K173" s="1231"/>
      <c r="L173" s="1231"/>
      <c r="M173" s="1231"/>
      <c r="N173" s="1231"/>
      <c r="O173" s="1231"/>
      <c r="P173" s="1231"/>
      <c r="Q173" s="1231"/>
      <c r="R173" s="1231"/>
      <c r="S173" s="1231"/>
      <c r="T173" s="1231"/>
      <c r="U173" s="1231"/>
      <c r="V173" s="1231"/>
      <c r="W173" s="1232"/>
      <c r="X173" s="880"/>
    </row>
    <row r="174" spans="1:24" ht="12.95" customHeight="1" thickBot="1">
      <c r="A174" s="1254"/>
      <c r="B174" s="1249"/>
      <c r="C174" s="1298"/>
      <c r="D174" s="930" t="s">
        <v>125</v>
      </c>
      <c r="E174" s="931"/>
      <c r="F174" s="931"/>
      <c r="G174" s="931"/>
      <c r="H174" s="931"/>
      <c r="I174" s="931"/>
      <c r="J174" s="931"/>
      <c r="K174" s="931"/>
      <c r="L174" s="931"/>
      <c r="M174" s="931"/>
      <c r="N174" s="931"/>
      <c r="O174" s="931"/>
      <c r="P174" s="931"/>
      <c r="Q174" s="931"/>
      <c r="R174" s="931"/>
      <c r="S174" s="931"/>
      <c r="T174" s="931"/>
      <c r="U174" s="931"/>
      <c r="V174" s="931"/>
      <c r="W174" s="932"/>
      <c r="X174" s="880"/>
    </row>
    <row r="175" spans="1:24" ht="12.95" customHeight="1" thickBot="1">
      <c r="A175" s="1254"/>
      <c r="B175" s="477" t="s">
        <v>36</v>
      </c>
      <c r="C175" s="478"/>
      <c r="D175" s="1230" t="s">
        <v>78</v>
      </c>
      <c r="E175" s="1231"/>
      <c r="F175" s="1231"/>
      <c r="G175" s="1232"/>
      <c r="H175" s="1240" t="s">
        <v>77</v>
      </c>
      <c r="I175" s="1231"/>
      <c r="J175" s="1231"/>
      <c r="K175" s="1232"/>
      <c r="L175" s="1240" t="s">
        <v>81</v>
      </c>
      <c r="M175" s="1231"/>
      <c r="N175" s="1231"/>
      <c r="O175" s="1232"/>
      <c r="P175" s="1240" t="s">
        <v>254</v>
      </c>
      <c r="Q175" s="1231"/>
      <c r="R175" s="1231"/>
      <c r="S175" s="1232"/>
      <c r="T175" s="1240" t="s">
        <v>76</v>
      </c>
      <c r="U175" s="1231"/>
      <c r="V175" s="1231"/>
      <c r="W175" s="1246"/>
      <c r="X175" s="880"/>
    </row>
    <row r="176" spans="1:24" ht="12.95" customHeight="1" thickBot="1">
      <c r="A176" s="1254"/>
      <c r="B176" s="873" t="s">
        <v>601</v>
      </c>
      <c r="C176" s="90"/>
      <c r="D176" s="1215" t="s">
        <v>636</v>
      </c>
      <c r="E176" s="1216"/>
      <c r="F176" s="1216"/>
      <c r="G176" s="1217"/>
      <c r="H176" s="1215" t="s">
        <v>636</v>
      </c>
      <c r="I176" s="1216"/>
      <c r="J176" s="1216"/>
      <c r="K176" s="1217"/>
      <c r="L176" s="1215" t="s">
        <v>636</v>
      </c>
      <c r="M176" s="1216"/>
      <c r="N176" s="1216"/>
      <c r="O176" s="1217"/>
      <c r="P176" s="479" t="s">
        <v>101</v>
      </c>
      <c r="Q176" s="479" t="s">
        <v>104</v>
      </c>
      <c r="R176" s="479" t="s">
        <v>102</v>
      </c>
      <c r="S176" s="479" t="s">
        <v>103</v>
      </c>
      <c r="T176" s="479" t="s">
        <v>101</v>
      </c>
      <c r="U176" s="479" t="s">
        <v>104</v>
      </c>
      <c r="V176" s="479" t="s">
        <v>102</v>
      </c>
      <c r="W176" s="479" t="s">
        <v>103</v>
      </c>
      <c r="X176" s="880"/>
    </row>
    <row r="177" spans="1:24" ht="12.95" customHeight="1" thickBot="1">
      <c r="A177" s="1254"/>
      <c r="B177" s="874"/>
      <c r="C177" s="26" t="s">
        <v>2</v>
      </c>
      <c r="D177" s="1316" t="s">
        <v>255</v>
      </c>
      <c r="E177" s="1317"/>
      <c r="F177" s="1317"/>
      <c r="G177" s="1318"/>
      <c r="H177" s="924">
        <v>0</v>
      </c>
      <c r="I177" s="925"/>
      <c r="J177" s="925"/>
      <c r="K177" s="926"/>
      <c r="L177" s="924">
        <v>0</v>
      </c>
      <c r="M177" s="925"/>
      <c r="N177" s="925"/>
      <c r="O177" s="926"/>
      <c r="P177" s="939">
        <v>0</v>
      </c>
      <c r="Q177" s="940"/>
      <c r="R177" s="940"/>
      <c r="S177" s="941"/>
      <c r="T177" s="150">
        <v>4</v>
      </c>
      <c r="U177" s="150">
        <v>3</v>
      </c>
      <c r="V177" s="150">
        <v>2</v>
      </c>
      <c r="W177" s="150">
        <v>1</v>
      </c>
      <c r="X177" s="880"/>
    </row>
    <row r="178" spans="1:24" ht="12.95" customHeight="1" thickBot="1">
      <c r="A178" s="1254"/>
      <c r="B178" s="874"/>
      <c r="C178" s="9" t="s">
        <v>3</v>
      </c>
      <c r="D178" s="957"/>
      <c r="E178" s="958"/>
      <c r="F178" s="958"/>
      <c r="G178" s="959"/>
      <c r="H178" s="957"/>
      <c r="I178" s="958"/>
      <c r="J178" s="958"/>
      <c r="K178" s="959"/>
      <c r="L178" s="1251">
        <v>0</v>
      </c>
      <c r="M178" s="925"/>
      <c r="N178" s="925"/>
      <c r="O178" s="926"/>
      <c r="P178" s="150">
        <v>1</v>
      </c>
      <c r="Q178" s="777">
        <v>1</v>
      </c>
      <c r="R178" s="777">
        <v>0</v>
      </c>
      <c r="S178" s="777">
        <v>0</v>
      </c>
      <c r="T178" s="150">
        <v>0</v>
      </c>
      <c r="U178" s="150">
        <v>0</v>
      </c>
      <c r="V178" s="150">
        <v>0</v>
      </c>
      <c r="W178" s="150">
        <v>0</v>
      </c>
      <c r="X178" s="880"/>
    </row>
    <row r="179" spans="1:24" ht="12.95" customHeight="1" thickBot="1">
      <c r="A179" s="1254"/>
      <c r="B179" s="874"/>
      <c r="C179" s="1299" t="s">
        <v>838</v>
      </c>
      <c r="D179" s="1230" t="s">
        <v>839</v>
      </c>
      <c r="E179" s="1231"/>
      <c r="F179" s="1231"/>
      <c r="G179" s="1231"/>
      <c r="H179" s="1231"/>
      <c r="I179" s="1231"/>
      <c r="J179" s="1231"/>
      <c r="K179" s="1231"/>
      <c r="L179" s="1231"/>
      <c r="M179" s="1231"/>
      <c r="N179" s="1231"/>
      <c r="O179" s="1231"/>
      <c r="P179" s="1231"/>
      <c r="Q179" s="1231"/>
      <c r="R179" s="1231"/>
      <c r="S179" s="1231"/>
      <c r="T179" s="1231"/>
      <c r="U179" s="1231"/>
      <c r="V179" s="1231"/>
      <c r="W179" s="1232"/>
      <c r="X179" s="880"/>
    </row>
    <row r="180" spans="1:24" ht="12.95" customHeight="1" thickBot="1">
      <c r="A180" s="1254"/>
      <c r="B180" s="1249"/>
      <c r="C180" s="1296"/>
      <c r="D180" s="930" t="s">
        <v>125</v>
      </c>
      <c r="E180" s="931"/>
      <c r="F180" s="931"/>
      <c r="G180" s="931"/>
      <c r="H180" s="931"/>
      <c r="I180" s="931"/>
      <c r="J180" s="931"/>
      <c r="K180" s="931"/>
      <c r="L180" s="931"/>
      <c r="M180" s="931"/>
      <c r="N180" s="931"/>
      <c r="O180" s="931"/>
      <c r="P180" s="931"/>
      <c r="Q180" s="931"/>
      <c r="R180" s="931"/>
      <c r="S180" s="931"/>
      <c r="T180" s="931"/>
      <c r="U180" s="931"/>
      <c r="V180" s="931"/>
      <c r="W180" s="1233"/>
      <c r="X180" s="880"/>
    </row>
    <row r="181" spans="1:24" ht="12.95" customHeight="1" thickBot="1">
      <c r="A181" s="1254"/>
      <c r="B181" s="477" t="s">
        <v>600</v>
      </c>
      <c r="C181" s="478"/>
      <c r="D181" s="1230" t="s">
        <v>78</v>
      </c>
      <c r="E181" s="1231"/>
      <c r="F181" s="1231"/>
      <c r="G181" s="1232"/>
      <c r="H181" s="1240" t="s">
        <v>77</v>
      </c>
      <c r="I181" s="1231"/>
      <c r="J181" s="1231"/>
      <c r="K181" s="1232"/>
      <c r="L181" s="1240" t="s">
        <v>81</v>
      </c>
      <c r="M181" s="1231"/>
      <c r="N181" s="1231"/>
      <c r="O181" s="1232"/>
      <c r="P181" s="1240" t="s">
        <v>254</v>
      </c>
      <c r="Q181" s="1231"/>
      <c r="R181" s="1231"/>
      <c r="S181" s="1232"/>
      <c r="T181" s="1240" t="s">
        <v>76</v>
      </c>
      <c r="U181" s="1231"/>
      <c r="V181" s="1231"/>
      <c r="W181" s="1232"/>
      <c r="X181" s="880"/>
    </row>
    <row r="182" spans="1:24" ht="14.25" thickBot="1">
      <c r="A182" s="1254"/>
      <c r="B182" s="1132" t="s">
        <v>648</v>
      </c>
      <c r="C182" s="90"/>
      <c r="D182" s="1215"/>
      <c r="E182" s="1216"/>
      <c r="F182" s="1216"/>
      <c r="G182" s="1217"/>
      <c r="H182" s="1215"/>
      <c r="I182" s="1216"/>
      <c r="J182" s="1216"/>
      <c r="K182" s="1217"/>
      <c r="L182" s="1215"/>
      <c r="M182" s="1216"/>
      <c r="N182" s="1216"/>
      <c r="O182" s="1217"/>
      <c r="P182" s="479" t="s">
        <v>840</v>
      </c>
      <c r="Q182" s="476" t="s">
        <v>607</v>
      </c>
      <c r="R182" s="479" t="s">
        <v>606</v>
      </c>
      <c r="S182" s="479" t="s">
        <v>605</v>
      </c>
      <c r="T182" s="479" t="s">
        <v>840</v>
      </c>
      <c r="U182" s="476" t="s">
        <v>607</v>
      </c>
      <c r="V182" s="479" t="s">
        <v>606</v>
      </c>
      <c r="W182" s="479" t="s">
        <v>605</v>
      </c>
      <c r="X182" s="880"/>
    </row>
    <row r="183" spans="1:24" ht="12.95" customHeight="1" thickBot="1">
      <c r="A183" s="1254"/>
      <c r="B183" s="1133"/>
      <c r="C183" s="26" t="s">
        <v>2</v>
      </c>
      <c r="D183" s="957"/>
      <c r="E183" s="958"/>
      <c r="F183" s="958"/>
      <c r="G183" s="959"/>
      <c r="H183" s="1241" t="s">
        <v>635</v>
      </c>
      <c r="I183" s="1242"/>
      <c r="J183" s="1242"/>
      <c r="K183" s="1243"/>
      <c r="L183" s="966" t="s">
        <v>841</v>
      </c>
      <c r="M183" s="967"/>
      <c r="N183" s="967"/>
      <c r="O183" s="968"/>
      <c r="P183" s="150">
        <v>1</v>
      </c>
      <c r="Q183" s="150">
        <v>0</v>
      </c>
      <c r="R183" s="150">
        <v>0</v>
      </c>
      <c r="S183" s="150">
        <v>0</v>
      </c>
      <c r="T183" s="783">
        <v>2</v>
      </c>
      <c r="U183" s="150">
        <v>2</v>
      </c>
      <c r="V183" s="150">
        <v>1</v>
      </c>
      <c r="W183" s="150">
        <v>0</v>
      </c>
      <c r="X183" s="880"/>
    </row>
    <row r="184" spans="1:24" ht="12.95" customHeight="1" thickBot="1">
      <c r="A184" s="1255"/>
      <c r="B184" s="1133"/>
      <c r="C184" s="9" t="s">
        <v>3</v>
      </c>
      <c r="D184" s="957"/>
      <c r="E184" s="958"/>
      <c r="F184" s="958"/>
      <c r="G184" s="959"/>
      <c r="H184" s="957"/>
      <c r="I184" s="958"/>
      <c r="J184" s="958"/>
      <c r="K184" s="959"/>
      <c r="L184" s="957"/>
      <c r="M184" s="958"/>
      <c r="N184" s="958"/>
      <c r="O184" s="959"/>
      <c r="P184" s="957"/>
      <c r="Q184" s="958"/>
      <c r="R184" s="958"/>
      <c r="S184" s="959"/>
      <c r="T184" s="150">
        <v>0</v>
      </c>
      <c r="U184" s="104">
        <v>0</v>
      </c>
      <c r="V184" s="104">
        <v>0</v>
      </c>
      <c r="W184" s="104">
        <v>0</v>
      </c>
      <c r="X184" s="881"/>
    </row>
    <row r="185" spans="1:24" ht="12.95" customHeight="1" thickBot="1">
      <c r="A185" s="480" t="s">
        <v>13</v>
      </c>
      <c r="B185" s="1133"/>
      <c r="C185" s="1295" t="s">
        <v>838</v>
      </c>
      <c r="D185" s="1230" t="s">
        <v>4</v>
      </c>
      <c r="E185" s="1231"/>
      <c r="F185" s="1231"/>
      <c r="G185" s="1231"/>
      <c r="H185" s="1231"/>
      <c r="I185" s="1231"/>
      <c r="J185" s="1231"/>
      <c r="K185" s="1231"/>
      <c r="L185" s="1231"/>
      <c r="M185" s="1231"/>
      <c r="N185" s="1231"/>
      <c r="O185" s="1231"/>
      <c r="P185" s="1231"/>
      <c r="Q185" s="1231"/>
      <c r="R185" s="1231"/>
      <c r="S185" s="1231"/>
      <c r="T185" s="1231"/>
      <c r="U185" s="1231"/>
      <c r="V185" s="1231"/>
      <c r="W185" s="1232"/>
      <c r="X185" s="24" t="s">
        <v>14</v>
      </c>
    </row>
    <row r="186" spans="1:24" ht="12.95" customHeight="1" thickBot="1">
      <c r="A186" s="481" t="s">
        <v>73</v>
      </c>
      <c r="B186" s="1134"/>
      <c r="C186" s="1296"/>
      <c r="D186" s="930" t="s">
        <v>125</v>
      </c>
      <c r="E186" s="931"/>
      <c r="F186" s="931"/>
      <c r="G186" s="931"/>
      <c r="H186" s="931"/>
      <c r="I186" s="931"/>
      <c r="J186" s="931"/>
      <c r="K186" s="931"/>
      <c r="L186" s="931"/>
      <c r="M186" s="931"/>
      <c r="N186" s="931"/>
      <c r="O186" s="931"/>
      <c r="P186" s="931"/>
      <c r="Q186" s="931"/>
      <c r="R186" s="931"/>
      <c r="S186" s="931"/>
      <c r="T186" s="931"/>
      <c r="U186" s="931"/>
      <c r="V186" s="931"/>
      <c r="W186" s="1233"/>
      <c r="X186" s="18" t="s">
        <v>92</v>
      </c>
    </row>
    <row r="187" spans="1:24" ht="12.95" customHeight="1" thickBot="1">
      <c r="A187" s="1218" t="s">
        <v>7</v>
      </c>
      <c r="B187" s="1220" t="s">
        <v>173</v>
      </c>
      <c r="C187" s="1221"/>
      <c r="D187" s="1220" t="s">
        <v>8</v>
      </c>
      <c r="E187" s="1235"/>
      <c r="F187" s="1235"/>
      <c r="G187" s="1236"/>
      <c r="H187" s="1237" t="s">
        <v>88</v>
      </c>
      <c r="I187" s="1235"/>
      <c r="J187" s="1235"/>
      <c r="K187" s="1236"/>
      <c r="L187" s="1237" t="s">
        <v>89</v>
      </c>
      <c r="M187" s="1235"/>
      <c r="N187" s="1235"/>
      <c r="O187" s="1236"/>
      <c r="P187" s="1237" t="s">
        <v>9</v>
      </c>
      <c r="Q187" s="1235"/>
      <c r="R187" s="1235"/>
      <c r="S187" s="1236"/>
      <c r="T187" s="1237" t="s">
        <v>174</v>
      </c>
      <c r="U187" s="1235"/>
      <c r="V187" s="1235"/>
      <c r="W187" s="1235"/>
      <c r="X187" s="1236"/>
    </row>
    <row r="188" spans="1:24" ht="13.5" thickBot="1">
      <c r="A188" s="1234"/>
      <c r="B188" s="975"/>
      <c r="C188" s="976"/>
      <c r="D188" s="975"/>
      <c r="E188" s="977"/>
      <c r="F188" s="977"/>
      <c r="G188" s="1238"/>
      <c r="H188" s="1239"/>
      <c r="I188" s="977"/>
      <c r="J188" s="977"/>
      <c r="K188" s="1238"/>
      <c r="L188" s="1239"/>
      <c r="M188" s="977"/>
      <c r="N188" s="977"/>
      <c r="O188" s="1238"/>
      <c r="P188" s="916">
        <f>SUM(B188:O188)</f>
        <v>0</v>
      </c>
      <c r="Q188" s="994"/>
      <c r="R188" s="994"/>
      <c r="S188" s="917"/>
      <c r="T188" s="916" t="e">
        <f>B188/P188%</f>
        <v>#DIV/0!</v>
      </c>
      <c r="U188" s="994"/>
      <c r="V188" s="994"/>
      <c r="W188" s="994"/>
      <c r="X188" s="917"/>
    </row>
    <row r="189" spans="1:24" ht="13.5" thickBot="1">
      <c r="A189" s="1218" t="s">
        <v>10</v>
      </c>
      <c r="B189" s="1220" t="s">
        <v>175</v>
      </c>
      <c r="C189" s="1221"/>
      <c r="D189" s="1222"/>
      <c r="E189" s="1223"/>
      <c r="F189" s="1223"/>
      <c r="G189" s="1223"/>
      <c r="H189" s="1223"/>
      <c r="I189" s="1223"/>
      <c r="J189" s="1223"/>
      <c r="K189" s="1223"/>
      <c r="L189" s="1223"/>
      <c r="M189" s="1223"/>
      <c r="N189" s="1223"/>
      <c r="O189" s="1223"/>
      <c r="P189" s="1223"/>
      <c r="Q189" s="1223"/>
      <c r="R189" s="1223"/>
      <c r="S189" s="1223"/>
      <c r="T189" s="1223"/>
      <c r="U189" s="1223"/>
      <c r="V189" s="1223"/>
      <c r="W189" s="1223"/>
      <c r="X189" s="1224"/>
    </row>
    <row r="190" spans="1:24" ht="13.5" thickBot="1">
      <c r="A190" s="1219"/>
      <c r="B190" s="916"/>
      <c r="C190" s="917"/>
      <c r="D190" s="1225"/>
      <c r="E190" s="1226"/>
      <c r="F190" s="1226"/>
      <c r="G190" s="1226"/>
      <c r="H190" s="1226"/>
      <c r="I190" s="1226"/>
      <c r="J190" s="1226"/>
      <c r="K190" s="1226"/>
      <c r="L190" s="1226"/>
      <c r="M190" s="1226"/>
      <c r="N190" s="1226"/>
      <c r="O190" s="1226"/>
      <c r="P190" s="1226"/>
      <c r="Q190" s="1226"/>
      <c r="R190" s="1226"/>
      <c r="S190" s="1226"/>
      <c r="T190" s="1226"/>
      <c r="U190" s="1226"/>
      <c r="V190" s="1226"/>
      <c r="W190" s="1226"/>
      <c r="X190" s="1227"/>
    </row>
  </sheetData>
  <sheetProtection password="CF55" sheet="1" objects="1" scenarios="1" selectLockedCells="1" selectUnlockedCells="1"/>
  <mergeCells count="631">
    <mergeCell ref="H39:K39"/>
    <mergeCell ref="H14:K14"/>
    <mergeCell ref="D21:G21"/>
    <mergeCell ref="D42:W42"/>
    <mergeCell ref="D43:W43"/>
    <mergeCell ref="D44:G44"/>
    <mergeCell ref="T44:W44"/>
    <mergeCell ref="D45:G45"/>
    <mergeCell ref="P45:S45"/>
    <mergeCell ref="T45:W45"/>
    <mergeCell ref="L39:O39"/>
    <mergeCell ref="P39:S39"/>
    <mergeCell ref="T39:W39"/>
    <mergeCell ref="T40:W40"/>
    <mergeCell ref="D39:G39"/>
    <mergeCell ref="D35:W35"/>
    <mergeCell ref="D36:W36"/>
    <mergeCell ref="D33:G33"/>
    <mergeCell ref="L26:O26"/>
    <mergeCell ref="P26:S26"/>
    <mergeCell ref="T26:W26"/>
    <mergeCell ref="P22:S22"/>
    <mergeCell ref="T22:W22"/>
    <mergeCell ref="H34:K34"/>
    <mergeCell ref="X4:X18"/>
    <mergeCell ref="P9:S9"/>
    <mergeCell ref="T9:W9"/>
    <mergeCell ref="P14:S14"/>
    <mergeCell ref="T14:W14"/>
    <mergeCell ref="P31:S31"/>
    <mergeCell ref="L4:O4"/>
    <mergeCell ref="P4:S4"/>
    <mergeCell ref="T4:W4"/>
    <mergeCell ref="P27:S27"/>
    <mergeCell ref="T27:W27"/>
    <mergeCell ref="L28:O28"/>
    <mergeCell ref="P28:S28"/>
    <mergeCell ref="L14:O14"/>
    <mergeCell ref="D15:W15"/>
    <mergeCell ref="D16:W16"/>
    <mergeCell ref="D29:W29"/>
    <mergeCell ref="D4:G4"/>
    <mergeCell ref="H4:K4"/>
    <mergeCell ref="H21:K21"/>
    <mergeCell ref="L21:O21"/>
    <mergeCell ref="P21:S21"/>
    <mergeCell ref="T21:W21"/>
    <mergeCell ref="D24:W24"/>
    <mergeCell ref="A5:A18"/>
    <mergeCell ref="B5:B8"/>
    <mergeCell ref="D5:W5"/>
    <mergeCell ref="D6:W6"/>
    <mergeCell ref="C7:C8"/>
    <mergeCell ref="D7:W7"/>
    <mergeCell ref="D8:W8"/>
    <mergeCell ref="D9:G9"/>
    <mergeCell ref="H9:K9"/>
    <mergeCell ref="L9:O9"/>
    <mergeCell ref="B10:B13"/>
    <mergeCell ref="D10:W10"/>
    <mergeCell ref="D11:W11"/>
    <mergeCell ref="C12:C13"/>
    <mergeCell ref="D12:W12"/>
    <mergeCell ref="D13:W13"/>
    <mergeCell ref="D14:G14"/>
    <mergeCell ref="B15:B18"/>
    <mergeCell ref="C17:C18"/>
    <mergeCell ref="D17:W17"/>
    <mergeCell ref="D18:W18"/>
    <mergeCell ref="X22:X36"/>
    <mergeCell ref="D23:G23"/>
    <mergeCell ref="H23:K23"/>
    <mergeCell ref="L23:O23"/>
    <mergeCell ref="P23:S23"/>
    <mergeCell ref="T23:W23"/>
    <mergeCell ref="T28:W28"/>
    <mergeCell ref="D25:W25"/>
    <mergeCell ref="D26:G26"/>
    <mergeCell ref="H26:K26"/>
    <mergeCell ref="T31:W31"/>
    <mergeCell ref="D27:G27"/>
    <mergeCell ref="H27:K27"/>
    <mergeCell ref="L27:O27"/>
    <mergeCell ref="D30:W30"/>
    <mergeCell ref="D31:G31"/>
    <mergeCell ref="D34:G34"/>
    <mergeCell ref="B27:B30"/>
    <mergeCell ref="C24:C25"/>
    <mergeCell ref="C29:C30"/>
    <mergeCell ref="H31:K31"/>
    <mergeCell ref="L31:O31"/>
    <mergeCell ref="D28:G28"/>
    <mergeCell ref="H28:K28"/>
    <mergeCell ref="A60:A61"/>
    <mergeCell ref="B60:C60"/>
    <mergeCell ref="D60:G60"/>
    <mergeCell ref="H60:K60"/>
    <mergeCell ref="L60:O60"/>
    <mergeCell ref="B61:C61"/>
    <mergeCell ref="D61:G61"/>
    <mergeCell ref="H61:K61"/>
    <mergeCell ref="L61:O61"/>
    <mergeCell ref="C47:C48"/>
    <mergeCell ref="A22:A36"/>
    <mergeCell ref="B22:B25"/>
    <mergeCell ref="D22:G22"/>
    <mergeCell ref="H22:K22"/>
    <mergeCell ref="L22:O22"/>
    <mergeCell ref="B32:B33"/>
    <mergeCell ref="C35:C36"/>
    <mergeCell ref="A40:A59"/>
    <mergeCell ref="B40:B43"/>
    <mergeCell ref="D40:G40"/>
    <mergeCell ref="H40:K40"/>
    <mergeCell ref="L40:O40"/>
    <mergeCell ref="P40:S40"/>
    <mergeCell ref="C42:C43"/>
    <mergeCell ref="H44:K44"/>
    <mergeCell ref="L44:O44"/>
    <mergeCell ref="P44:S44"/>
    <mergeCell ref="C58:C59"/>
    <mergeCell ref="H51:K51"/>
    <mergeCell ref="L51:O51"/>
    <mergeCell ref="P51:S51"/>
    <mergeCell ref="D46:G46"/>
    <mergeCell ref="H46:K46"/>
    <mergeCell ref="L46:O46"/>
    <mergeCell ref="P46:S46"/>
    <mergeCell ref="P61:S61"/>
    <mergeCell ref="T61:X61"/>
    <mergeCell ref="P60:S60"/>
    <mergeCell ref="T60:X60"/>
    <mergeCell ref="H54:K54"/>
    <mergeCell ref="L54:O54"/>
    <mergeCell ref="P54:S54"/>
    <mergeCell ref="T54:W54"/>
    <mergeCell ref="D57:G57"/>
    <mergeCell ref="D56:G56"/>
    <mergeCell ref="H57:K57"/>
    <mergeCell ref="D58:W58"/>
    <mergeCell ref="D59:W59"/>
    <mergeCell ref="X40:X59"/>
    <mergeCell ref="D41:G41"/>
    <mergeCell ref="H41:K41"/>
    <mergeCell ref="L41:O41"/>
    <mergeCell ref="P41:S41"/>
    <mergeCell ref="D50:G50"/>
    <mergeCell ref="H50:K50"/>
    <mergeCell ref="L50:O50"/>
    <mergeCell ref="P50:S50"/>
    <mergeCell ref="T50:W50"/>
    <mergeCell ref="D51:G51"/>
    <mergeCell ref="T41:W41"/>
    <mergeCell ref="B55:B56"/>
    <mergeCell ref="B50:B53"/>
    <mergeCell ref="B45:B48"/>
    <mergeCell ref="H45:K45"/>
    <mergeCell ref="L45:O45"/>
    <mergeCell ref="L49:O49"/>
    <mergeCell ref="P49:S49"/>
    <mergeCell ref="D47:W47"/>
    <mergeCell ref="D48:W48"/>
    <mergeCell ref="D49:G49"/>
    <mergeCell ref="T49:W49"/>
    <mergeCell ref="H49:K49"/>
    <mergeCell ref="T51:W51"/>
    <mergeCell ref="C52:C53"/>
    <mergeCell ref="D52:W52"/>
    <mergeCell ref="D53:W53"/>
    <mergeCell ref="D54:G54"/>
    <mergeCell ref="T46:W46"/>
    <mergeCell ref="L67:O67"/>
    <mergeCell ref="D77:G77"/>
    <mergeCell ref="P67:S67"/>
    <mergeCell ref="H71:K71"/>
    <mergeCell ref="L71:O71"/>
    <mergeCell ref="P71:S71"/>
    <mergeCell ref="T67:W67"/>
    <mergeCell ref="A62:A63"/>
    <mergeCell ref="B62:C62"/>
    <mergeCell ref="D62:X63"/>
    <mergeCell ref="B63:C63"/>
    <mergeCell ref="D66:G66"/>
    <mergeCell ref="H66:K66"/>
    <mergeCell ref="L66:O66"/>
    <mergeCell ref="P66:S66"/>
    <mergeCell ref="T66:W66"/>
    <mergeCell ref="T71:W71"/>
    <mergeCell ref="A67:A78"/>
    <mergeCell ref="B67:B70"/>
    <mergeCell ref="C69:C70"/>
    <mergeCell ref="C74:C75"/>
    <mergeCell ref="D74:W74"/>
    <mergeCell ref="D75:W75"/>
    <mergeCell ref="H76:K76"/>
    <mergeCell ref="D80:W80"/>
    <mergeCell ref="B77:B80"/>
    <mergeCell ref="T77:W77"/>
    <mergeCell ref="H77:K77"/>
    <mergeCell ref="L77:O77"/>
    <mergeCell ref="P77:S77"/>
    <mergeCell ref="X67:X78"/>
    <mergeCell ref="D68:G68"/>
    <mergeCell ref="H68:K68"/>
    <mergeCell ref="L68:O68"/>
    <mergeCell ref="P68:S68"/>
    <mergeCell ref="T68:W68"/>
    <mergeCell ref="D69:W69"/>
    <mergeCell ref="D70:W70"/>
    <mergeCell ref="D71:G71"/>
    <mergeCell ref="D78:G78"/>
    <mergeCell ref="H78:K78"/>
    <mergeCell ref="L78:O78"/>
    <mergeCell ref="P78:S78"/>
    <mergeCell ref="D76:G76"/>
    <mergeCell ref="T73:W73"/>
    <mergeCell ref="T78:W78"/>
    <mergeCell ref="D67:G67"/>
    <mergeCell ref="H67:K67"/>
    <mergeCell ref="L76:O76"/>
    <mergeCell ref="P76:S76"/>
    <mergeCell ref="T76:W76"/>
    <mergeCell ref="B72:B75"/>
    <mergeCell ref="D72:G72"/>
    <mergeCell ref="H72:K72"/>
    <mergeCell ref="L72:O72"/>
    <mergeCell ref="P72:S72"/>
    <mergeCell ref="T72:W72"/>
    <mergeCell ref="D73:G73"/>
    <mergeCell ref="H73:K73"/>
    <mergeCell ref="L73:O73"/>
    <mergeCell ref="P73:S73"/>
    <mergeCell ref="H82:K82"/>
    <mergeCell ref="L82:O82"/>
    <mergeCell ref="P82:S82"/>
    <mergeCell ref="T82:X82"/>
    <mergeCell ref="B81:C81"/>
    <mergeCell ref="D81:G81"/>
    <mergeCell ref="H81:K81"/>
    <mergeCell ref="L81:O81"/>
    <mergeCell ref="P81:S81"/>
    <mergeCell ref="C79:C80"/>
    <mergeCell ref="D79:W79"/>
    <mergeCell ref="A81:A82"/>
    <mergeCell ref="L88:O88"/>
    <mergeCell ref="P88:S88"/>
    <mergeCell ref="H92:K92"/>
    <mergeCell ref="L92:O92"/>
    <mergeCell ref="D87:G87"/>
    <mergeCell ref="H87:K87"/>
    <mergeCell ref="L87:O87"/>
    <mergeCell ref="D89:G89"/>
    <mergeCell ref="H89:K89"/>
    <mergeCell ref="L89:O89"/>
    <mergeCell ref="A83:A84"/>
    <mergeCell ref="B83:C83"/>
    <mergeCell ref="D83:X84"/>
    <mergeCell ref="B84:C84"/>
    <mergeCell ref="P87:S87"/>
    <mergeCell ref="T87:W87"/>
    <mergeCell ref="T88:W88"/>
    <mergeCell ref="P89:S89"/>
    <mergeCell ref="T81:X81"/>
    <mergeCell ref="B82:C82"/>
    <mergeCell ref="D82:G82"/>
    <mergeCell ref="A102:A103"/>
    <mergeCell ref="B102:C102"/>
    <mergeCell ref="D102:G102"/>
    <mergeCell ref="H102:K102"/>
    <mergeCell ref="H94:K94"/>
    <mergeCell ref="D90:W90"/>
    <mergeCell ref="D91:W91"/>
    <mergeCell ref="D92:G92"/>
    <mergeCell ref="D88:G88"/>
    <mergeCell ref="H88:K88"/>
    <mergeCell ref="T89:W89"/>
    <mergeCell ref="P103:S103"/>
    <mergeCell ref="T103:X103"/>
    <mergeCell ref="P99:S99"/>
    <mergeCell ref="P94:S94"/>
    <mergeCell ref="B93:B96"/>
    <mergeCell ref="D93:G93"/>
    <mergeCell ref="H93:K93"/>
    <mergeCell ref="P97:S97"/>
    <mergeCell ref="T97:W97"/>
    <mergeCell ref="L97:O97"/>
    <mergeCell ref="D97:G97"/>
    <mergeCell ref="H97:K97"/>
    <mergeCell ref="A88:A99"/>
    <mergeCell ref="B88:B91"/>
    <mergeCell ref="C90:C91"/>
    <mergeCell ref="D99:G99"/>
    <mergeCell ref="H99:K99"/>
    <mergeCell ref="D94:G94"/>
    <mergeCell ref="P108:S108"/>
    <mergeCell ref="D112:W112"/>
    <mergeCell ref="D113:W113"/>
    <mergeCell ref="T108:W108"/>
    <mergeCell ref="L93:O93"/>
    <mergeCell ref="P93:S93"/>
    <mergeCell ref="D95:W95"/>
    <mergeCell ref="D96:W96"/>
    <mergeCell ref="D108:G108"/>
    <mergeCell ref="H108:K108"/>
    <mergeCell ref="L108:O108"/>
    <mergeCell ref="D114:G114"/>
    <mergeCell ref="D117:G117"/>
    <mergeCell ref="H117:K117"/>
    <mergeCell ref="L114:O114"/>
    <mergeCell ref="H114:K114"/>
    <mergeCell ref="L94:O94"/>
    <mergeCell ref="T93:W93"/>
    <mergeCell ref="D98:G98"/>
    <mergeCell ref="H98:K98"/>
    <mergeCell ref="L98:O98"/>
    <mergeCell ref="A104:A105"/>
    <mergeCell ref="B104:C104"/>
    <mergeCell ref="D104:X105"/>
    <mergeCell ref="B105:C105"/>
    <mergeCell ref="T99:W99"/>
    <mergeCell ref="C100:C101"/>
    <mergeCell ref="D100:W100"/>
    <mergeCell ref="D101:W101"/>
    <mergeCell ref="X88:X99"/>
    <mergeCell ref="P92:S92"/>
    <mergeCell ref="T92:W92"/>
    <mergeCell ref="T98:W98"/>
    <mergeCell ref="T94:W94"/>
    <mergeCell ref="C95:C96"/>
    <mergeCell ref="L99:O99"/>
    <mergeCell ref="T102:X102"/>
    <mergeCell ref="B103:C103"/>
    <mergeCell ref="D103:G103"/>
    <mergeCell ref="H103:K103"/>
    <mergeCell ref="L103:O103"/>
    <mergeCell ref="L102:O102"/>
    <mergeCell ref="P102:S102"/>
    <mergeCell ref="B98:B101"/>
    <mergeCell ref="P98:S98"/>
    <mergeCell ref="T122:U122"/>
    <mergeCell ref="C118:C119"/>
    <mergeCell ref="D118:W118"/>
    <mergeCell ref="D119:W119"/>
    <mergeCell ref="T127:W127"/>
    <mergeCell ref="D128:G128"/>
    <mergeCell ref="H128:K128"/>
    <mergeCell ref="L128:O128"/>
    <mergeCell ref="V123:W123"/>
    <mergeCell ref="D122:G122"/>
    <mergeCell ref="H122:K122"/>
    <mergeCell ref="L122:M122"/>
    <mergeCell ref="N122:O122"/>
    <mergeCell ref="P122:Q122"/>
    <mergeCell ref="R122:S122"/>
    <mergeCell ref="T121:U121"/>
    <mergeCell ref="P121:Q121"/>
    <mergeCell ref="R121:S121"/>
    <mergeCell ref="L121:M121"/>
    <mergeCell ref="N121:O121"/>
    <mergeCell ref="L120:O120"/>
    <mergeCell ref="P120:S120"/>
    <mergeCell ref="T120:W120"/>
    <mergeCell ref="A109:A128"/>
    <mergeCell ref="B109:B110"/>
    <mergeCell ref="D111:G111"/>
    <mergeCell ref="V122:W122"/>
    <mergeCell ref="D123:G123"/>
    <mergeCell ref="H123:K123"/>
    <mergeCell ref="L123:O123"/>
    <mergeCell ref="P123:Q123"/>
    <mergeCell ref="R123:S123"/>
    <mergeCell ref="T123:U123"/>
    <mergeCell ref="V121:W121"/>
    <mergeCell ref="D120:G120"/>
    <mergeCell ref="H120:K120"/>
    <mergeCell ref="B115:B116"/>
    <mergeCell ref="D110:G110"/>
    <mergeCell ref="P114:S114"/>
    <mergeCell ref="T114:W114"/>
    <mergeCell ref="B121:B124"/>
    <mergeCell ref="D121:E121"/>
    <mergeCell ref="F121:G121"/>
    <mergeCell ref="H121:I121"/>
    <mergeCell ref="J121:K121"/>
    <mergeCell ref="H111:K111"/>
    <mergeCell ref="D116:G116"/>
    <mergeCell ref="D133:X134"/>
    <mergeCell ref="B134:C134"/>
    <mergeCell ref="P131:S131"/>
    <mergeCell ref="B127:B130"/>
    <mergeCell ref="P128:S128"/>
    <mergeCell ref="C124:C125"/>
    <mergeCell ref="D124:W124"/>
    <mergeCell ref="D125:W125"/>
    <mergeCell ref="D126:G126"/>
    <mergeCell ref="H126:K126"/>
    <mergeCell ref="L126:O126"/>
    <mergeCell ref="D127:G127"/>
    <mergeCell ref="H127:K127"/>
    <mergeCell ref="L127:O127"/>
    <mergeCell ref="L132:O132"/>
    <mergeCell ref="P132:S132"/>
    <mergeCell ref="T132:X132"/>
    <mergeCell ref="T126:W126"/>
    <mergeCell ref="T128:W128"/>
    <mergeCell ref="B148:B151"/>
    <mergeCell ref="C112:C113"/>
    <mergeCell ref="T137:W137"/>
    <mergeCell ref="A131:A132"/>
    <mergeCell ref="B131:C131"/>
    <mergeCell ref="D131:G131"/>
    <mergeCell ref="H131:K131"/>
    <mergeCell ref="L131:O131"/>
    <mergeCell ref="T131:X131"/>
    <mergeCell ref="B132:C132"/>
    <mergeCell ref="D132:G132"/>
    <mergeCell ref="H132:K132"/>
    <mergeCell ref="P127:S127"/>
    <mergeCell ref="D137:G137"/>
    <mergeCell ref="H137:K137"/>
    <mergeCell ref="L137:O137"/>
    <mergeCell ref="P137:S137"/>
    <mergeCell ref="C129:C130"/>
    <mergeCell ref="D129:W129"/>
    <mergeCell ref="D130:W130"/>
    <mergeCell ref="P126:S126"/>
    <mergeCell ref="X109:X128"/>
    <mergeCell ref="A133:A134"/>
    <mergeCell ref="B133:C133"/>
    <mergeCell ref="R160:S160"/>
    <mergeCell ref="T138:W138"/>
    <mergeCell ref="D143:G143"/>
    <mergeCell ref="H143:K143"/>
    <mergeCell ref="L143:O143"/>
    <mergeCell ref="T148:W148"/>
    <mergeCell ref="A138:A160"/>
    <mergeCell ref="B138:B141"/>
    <mergeCell ref="D138:G138"/>
    <mergeCell ref="H138:K138"/>
    <mergeCell ref="L138:O138"/>
    <mergeCell ref="P138:S138"/>
    <mergeCell ref="C140:C141"/>
    <mergeCell ref="H142:K142"/>
    <mergeCell ref="L142:O142"/>
    <mergeCell ref="D159:G159"/>
    <mergeCell ref="P143:S143"/>
    <mergeCell ref="D147:G147"/>
    <mergeCell ref="P149:S149"/>
    <mergeCell ref="P142:S142"/>
    <mergeCell ref="B143:B146"/>
    <mergeCell ref="C145:C146"/>
    <mergeCell ref="D145:W145"/>
    <mergeCell ref="D146:W146"/>
    <mergeCell ref="P139:S139"/>
    <mergeCell ref="T139:W139"/>
    <mergeCell ref="D140:W140"/>
    <mergeCell ref="D141:W141"/>
    <mergeCell ref="D142:G142"/>
    <mergeCell ref="T142:W142"/>
    <mergeCell ref="D157:G157"/>
    <mergeCell ref="H157:K157"/>
    <mergeCell ref="L157:O157"/>
    <mergeCell ref="P157:S157"/>
    <mergeCell ref="H147:K147"/>
    <mergeCell ref="L147:O147"/>
    <mergeCell ref="P147:S147"/>
    <mergeCell ref="T143:W143"/>
    <mergeCell ref="D144:G144"/>
    <mergeCell ref="D149:G149"/>
    <mergeCell ref="H149:K149"/>
    <mergeCell ref="L149:O149"/>
    <mergeCell ref="T149:W149"/>
    <mergeCell ref="T153:W153"/>
    <mergeCell ref="D154:G154"/>
    <mergeCell ref="H154:K154"/>
    <mergeCell ref="L154:O154"/>
    <mergeCell ref="P154:S154"/>
    <mergeCell ref="C150:C151"/>
    <mergeCell ref="D150:W150"/>
    <mergeCell ref="D151:W151"/>
    <mergeCell ref="H144:K144"/>
    <mergeCell ref="L144:O144"/>
    <mergeCell ref="P144:S144"/>
    <mergeCell ref="T144:W144"/>
    <mergeCell ref="T147:W147"/>
    <mergeCell ref="D148:G148"/>
    <mergeCell ref="H148:K148"/>
    <mergeCell ref="L148:O148"/>
    <mergeCell ref="P148:S148"/>
    <mergeCell ref="T154:W154"/>
    <mergeCell ref="T152:W152"/>
    <mergeCell ref="B153:B156"/>
    <mergeCell ref="D153:G153"/>
    <mergeCell ref="H153:K153"/>
    <mergeCell ref="L153:O153"/>
    <mergeCell ref="P153:S153"/>
    <mergeCell ref="D152:G152"/>
    <mergeCell ref="H152:K152"/>
    <mergeCell ref="L152:O152"/>
    <mergeCell ref="P152:S152"/>
    <mergeCell ref="C155:C156"/>
    <mergeCell ref="D155:W155"/>
    <mergeCell ref="D156:W156"/>
    <mergeCell ref="T157:W157"/>
    <mergeCell ref="N158:O158"/>
    <mergeCell ref="P158:Q158"/>
    <mergeCell ref="R158:S158"/>
    <mergeCell ref="T158:U158"/>
    <mergeCell ref="V158:W158"/>
    <mergeCell ref="B161:B162"/>
    <mergeCell ref="C161:C162"/>
    <mergeCell ref="D161:W161"/>
    <mergeCell ref="D162:W162"/>
    <mergeCell ref="B158:B160"/>
    <mergeCell ref="H159:I159"/>
    <mergeCell ref="J159:K159"/>
    <mergeCell ref="L159:M159"/>
    <mergeCell ref="D158:E158"/>
    <mergeCell ref="F158:G158"/>
    <mergeCell ref="H158:I158"/>
    <mergeCell ref="J158:K158"/>
    <mergeCell ref="L158:M158"/>
    <mergeCell ref="N159:O159"/>
    <mergeCell ref="P159:Q159"/>
    <mergeCell ref="R159:S159"/>
    <mergeCell ref="T159:U159"/>
    <mergeCell ref="V159:W159"/>
    <mergeCell ref="D160:G160"/>
    <mergeCell ref="H160:K160"/>
    <mergeCell ref="L160:M160"/>
    <mergeCell ref="N160:O160"/>
    <mergeCell ref="P160:Q160"/>
    <mergeCell ref="T160:U160"/>
    <mergeCell ref="V160:W160"/>
    <mergeCell ref="A163:A164"/>
    <mergeCell ref="B163:C163"/>
    <mergeCell ref="D163:G163"/>
    <mergeCell ref="H163:K163"/>
    <mergeCell ref="L163:O163"/>
    <mergeCell ref="P163:S163"/>
    <mergeCell ref="T163:X163"/>
    <mergeCell ref="B164:C164"/>
    <mergeCell ref="D164:G164"/>
    <mergeCell ref="H164:K164"/>
    <mergeCell ref="L164:O164"/>
    <mergeCell ref="P164:S164"/>
    <mergeCell ref="T164:X164"/>
    <mergeCell ref="X138:X160"/>
    <mergeCell ref="D139:G139"/>
    <mergeCell ref="H139:K139"/>
    <mergeCell ref="L139:O139"/>
    <mergeCell ref="A165:A166"/>
    <mergeCell ref="B165:C165"/>
    <mergeCell ref="D165:X166"/>
    <mergeCell ref="B166:C166"/>
    <mergeCell ref="D169:G169"/>
    <mergeCell ref="H169:K169"/>
    <mergeCell ref="L169:O169"/>
    <mergeCell ref="P169:S169"/>
    <mergeCell ref="T169:W169"/>
    <mergeCell ref="P175:S175"/>
    <mergeCell ref="T175:W175"/>
    <mergeCell ref="D176:G176"/>
    <mergeCell ref="H176:K176"/>
    <mergeCell ref="L176:O176"/>
    <mergeCell ref="L175:O175"/>
    <mergeCell ref="L170:O170"/>
    <mergeCell ref="D173:W173"/>
    <mergeCell ref="D170:G170"/>
    <mergeCell ref="D171:G171"/>
    <mergeCell ref="H171:K171"/>
    <mergeCell ref="L171:O171"/>
    <mergeCell ref="P171:S171"/>
    <mergeCell ref="X170:X184"/>
    <mergeCell ref="D172:G172"/>
    <mergeCell ref="H172:K172"/>
    <mergeCell ref="L172:O172"/>
    <mergeCell ref="C173:C174"/>
    <mergeCell ref="D174:W174"/>
    <mergeCell ref="B176:B180"/>
    <mergeCell ref="D177:G177"/>
    <mergeCell ref="H177:K177"/>
    <mergeCell ref="L177:O177"/>
    <mergeCell ref="P177:S177"/>
    <mergeCell ref="D178:G178"/>
    <mergeCell ref="H178:K178"/>
    <mergeCell ref="L178:O178"/>
    <mergeCell ref="C179:C180"/>
    <mergeCell ref="D179:W179"/>
    <mergeCell ref="D180:W180"/>
    <mergeCell ref="D181:G181"/>
    <mergeCell ref="H181:K181"/>
    <mergeCell ref="L181:O181"/>
    <mergeCell ref="P181:S181"/>
    <mergeCell ref="T181:W181"/>
    <mergeCell ref="D175:G175"/>
    <mergeCell ref="H175:K175"/>
    <mergeCell ref="L182:O182"/>
    <mergeCell ref="D183:G183"/>
    <mergeCell ref="H183:K183"/>
    <mergeCell ref="L183:O183"/>
    <mergeCell ref="D184:G184"/>
    <mergeCell ref="H184:K184"/>
    <mergeCell ref="L184:O184"/>
    <mergeCell ref="A170:A184"/>
    <mergeCell ref="B170:B174"/>
    <mergeCell ref="H170:K170"/>
    <mergeCell ref="A189:A190"/>
    <mergeCell ref="B189:C189"/>
    <mergeCell ref="D189:X190"/>
    <mergeCell ref="B190:C190"/>
    <mergeCell ref="P184:S184"/>
    <mergeCell ref="C185:C186"/>
    <mergeCell ref="D185:W185"/>
    <mergeCell ref="D186:W186"/>
    <mergeCell ref="A187:A188"/>
    <mergeCell ref="B187:C187"/>
    <mergeCell ref="D187:G187"/>
    <mergeCell ref="H187:K187"/>
    <mergeCell ref="L187:O187"/>
    <mergeCell ref="P187:S187"/>
    <mergeCell ref="T187:X187"/>
    <mergeCell ref="B188:C188"/>
    <mergeCell ref="D188:G188"/>
    <mergeCell ref="H188:K188"/>
    <mergeCell ref="L188:O188"/>
    <mergeCell ref="P188:S188"/>
    <mergeCell ref="T188:X188"/>
    <mergeCell ref="B182:B186"/>
    <mergeCell ref="D182:G182"/>
    <mergeCell ref="H182:K182"/>
  </mergeCells>
  <hyperlinks>
    <hyperlink ref="C24" location="Reference!C12" display="press for guidance"/>
    <hyperlink ref="C25" location="Reference!C12" display="Reference!C12"/>
    <hyperlink ref="C17" location="Reference!C10" display="press for guidance"/>
    <hyperlink ref="C18" location="Reference!C10" display="Reference!C10"/>
    <hyperlink ref="C12" location="Reference!C8" display="press for guidance"/>
    <hyperlink ref="C13" location="Reference!C8" display="Reference!C8"/>
    <hyperlink ref="C7" location="Reference!C6" display="press for guidance"/>
    <hyperlink ref="C8" location="Reference!C6" display="Reference!C6"/>
    <hyperlink ref="C29" location="Reference!C14" display="press for guidance"/>
    <hyperlink ref="C30" location="Reference!C14" display="Reference!C14"/>
    <hyperlink ref="C35" location="Reference!C16" display="press for guidance"/>
    <hyperlink ref="C36" location="Reference!C16" display="Reference!C16"/>
    <hyperlink ref="C42" location="Reference!C18" display="press for guidance"/>
    <hyperlink ref="C43" location="Reference!C18" display="Reference!C18"/>
    <hyperlink ref="C47" location="Reference!C20" display="press for guidance"/>
    <hyperlink ref="C48" location="Reference!C20" display="Reference!C20"/>
    <hyperlink ref="C52" location="Reference!C22" display="press for guidance"/>
    <hyperlink ref="C53" location="Reference!C22" display="Reference!C22"/>
    <hyperlink ref="C58" location="Reference!C24" display="press for guidance"/>
    <hyperlink ref="C59" location="Reference!C24" display="Reference!C24"/>
    <hyperlink ref="C69" location="Reference!C26" display="press for guidance"/>
    <hyperlink ref="C70" location="Reference!C26" display="Reference!C26"/>
    <hyperlink ref="C74" location="Reference!C28" display="press for guidance"/>
    <hyperlink ref="C75" location="Reference!C28" display="Reference!C28"/>
    <hyperlink ref="C79" location="Reference!C30" display="press for guidance"/>
    <hyperlink ref="C80" location="Reference!C30" display="Reference!C30"/>
    <hyperlink ref="C90" location="Reference!C32" display="press for guidance"/>
    <hyperlink ref="C91" location="Reference!C32" display="Reference!C32"/>
    <hyperlink ref="C95" location="Reference'C34" display="press for guidance"/>
    <hyperlink ref="C96" location="Reference'C34" display="Reference'C34"/>
    <hyperlink ref="C100" location="Reference!C36" display="press for guidance"/>
    <hyperlink ref="C101" location="Reference!C36" display="Reference!C36"/>
    <hyperlink ref="C112" location="Reference!C38" display="press for guidance"/>
    <hyperlink ref="C113" location="Reference!C38" display="Reference!C38"/>
    <hyperlink ref="C118" location="Reference!C40" display="press for guidance"/>
    <hyperlink ref="C119" location="Reference!C40" display="Reference!C40"/>
    <hyperlink ref="C124" location="Reference!C42" display="press for guidance"/>
    <hyperlink ref="C125" location="Reference!C42" display="Reference!C42"/>
    <hyperlink ref="C129" location="Reference!C44" display="press for guidance"/>
    <hyperlink ref="C130" location="Reference!C44" display="Reference!C44"/>
    <hyperlink ref="C140" location="Reference!C46" display="press for guidance"/>
    <hyperlink ref="C141" location="Reference!C46" display="Reference!C46"/>
    <hyperlink ref="C145" location="Reference!C48" display="press for guidance"/>
    <hyperlink ref="C146" location="Reference!C48" display="Reference!C48"/>
    <hyperlink ref="C150" location="Reference!C50" display="press for guidance"/>
    <hyperlink ref="C151" location="Reference!C50" display="Reference!C50"/>
    <hyperlink ref="C155" location="Reference!C52" display="press for guidance"/>
    <hyperlink ref="C156" location="Reference!C52" display="Reference!C52"/>
    <hyperlink ref="C161" location="Reference!C54" display="press for guidance"/>
    <hyperlink ref="C162" location="Reference!C54" display="Reference!C54"/>
    <hyperlink ref="C173" location="Reference!C71" display="★ click here for guidance"/>
    <hyperlink ref="C174" location="Reference!C71" display="Reference!C71"/>
    <hyperlink ref="C179" location="Reference!C73" display="★ click here for guidance"/>
    <hyperlink ref="C180" location="Reference!C73" display="Reference!C73"/>
    <hyperlink ref="C185" location="Reference!C75" display="★ click here for guidance"/>
    <hyperlink ref="C186" location="Reference!C75" display="Reference!C75"/>
  </hyperlinks>
  <pageMargins left="0.79000000000000015" right="0.79000000000000015" top="0.79000000000000015" bottom="0.79000000000000015" header="0.39000000000000007" footer="0.39000000000000007"/>
  <pageSetup paperSize="9" scale="55" fitToHeight="3" orientation="landscape"/>
  <headerFooter>
    <oddFooter>&amp;L&amp;K000000&amp;F&amp;C&amp;K000000&amp;D&amp;R&amp;K000000Page &amp;P</oddFooter>
  </headerFooter>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CCFFCC"/>
    <pageSetUpPr fitToPage="1"/>
  </sheetPr>
  <dimension ref="A1:X190"/>
  <sheetViews>
    <sheetView workbookViewId="0">
      <pane xSplit="2" ySplit="1" topLeftCell="C58" activePane="bottomRight" state="frozen"/>
      <selection activeCell="R122" sqref="R122:S122"/>
      <selection pane="topRight" activeCell="R122" sqref="R122:S122"/>
      <selection pane="bottomLeft" activeCell="R122" sqref="R122:S122"/>
      <selection pane="bottomRight" activeCell="R122" sqref="R122:S122"/>
    </sheetView>
  </sheetViews>
  <sheetFormatPr defaultColWidth="8.85546875" defaultRowHeight="12.75"/>
  <cols>
    <col min="1" max="1" width="20.85546875" style="4" customWidth="1"/>
    <col min="2" max="2" width="40.85546875" style="4" customWidth="1"/>
    <col min="3" max="3" width="10.85546875" style="27" customWidth="1"/>
    <col min="4" max="23" width="5.85546875" style="4" customWidth="1"/>
    <col min="24" max="24" width="30.85546875" style="4" customWidth="1"/>
    <col min="25" max="16384" width="8.85546875" style="4"/>
  </cols>
  <sheetData>
    <row r="1" spans="1:24" s="67" customFormat="1" ht="32.25" thickBot="1">
      <c r="A1" s="3" t="s">
        <v>0</v>
      </c>
      <c r="B1" s="64" t="s">
        <v>231</v>
      </c>
      <c r="C1" s="65" t="s">
        <v>281</v>
      </c>
      <c r="D1" s="65"/>
      <c r="E1" s="65"/>
      <c r="F1" s="65"/>
      <c r="G1" s="65"/>
      <c r="H1" s="65"/>
      <c r="I1" s="65"/>
      <c r="J1" s="65"/>
      <c r="K1" s="65"/>
      <c r="L1" s="65"/>
      <c r="M1" s="65"/>
      <c r="N1" s="65"/>
      <c r="O1" s="65"/>
      <c r="P1" s="65"/>
      <c r="Q1" s="65"/>
      <c r="R1" s="65"/>
      <c r="S1" s="65"/>
      <c r="T1" s="65"/>
      <c r="U1" s="65"/>
      <c r="V1" s="65"/>
      <c r="W1" s="65"/>
      <c r="X1" s="66"/>
    </row>
    <row r="2" spans="1:24">
      <c r="A2" s="5"/>
      <c r="B2" s="5"/>
      <c r="C2" s="6"/>
      <c r="D2" s="5"/>
      <c r="E2" s="5"/>
      <c r="F2" s="5"/>
      <c r="G2" s="5"/>
      <c r="H2" s="5"/>
      <c r="I2" s="5"/>
      <c r="J2" s="5"/>
      <c r="K2" s="5"/>
      <c r="L2" s="5"/>
      <c r="M2" s="5"/>
      <c r="N2" s="5"/>
      <c r="O2" s="5"/>
      <c r="P2" s="5"/>
      <c r="Q2" s="5"/>
      <c r="R2" s="5"/>
      <c r="S2" s="5"/>
      <c r="T2" s="5"/>
      <c r="U2" s="5"/>
      <c r="V2" s="5"/>
      <c r="W2" s="5"/>
      <c r="X2" s="5"/>
    </row>
    <row r="3" spans="1:24" ht="13.5" thickBot="1">
      <c r="A3" s="5"/>
      <c r="B3" s="5"/>
      <c r="C3" s="6"/>
      <c r="D3" s="5"/>
      <c r="E3" s="5"/>
      <c r="F3" s="5"/>
      <c r="G3" s="5"/>
      <c r="H3" s="5"/>
      <c r="I3" s="5"/>
      <c r="J3" s="5"/>
      <c r="K3" s="5"/>
      <c r="L3" s="5"/>
      <c r="M3" s="5"/>
      <c r="N3" s="5"/>
      <c r="O3" s="5"/>
      <c r="P3" s="5"/>
      <c r="Q3" s="5"/>
      <c r="R3" s="5"/>
      <c r="S3" s="5"/>
      <c r="T3" s="5"/>
      <c r="U3" s="5"/>
      <c r="V3" s="5"/>
      <c r="W3" s="5"/>
      <c r="X3" s="5"/>
    </row>
    <row r="4" spans="1:24" ht="12.95" customHeight="1" thickBot="1">
      <c r="A4" s="7" t="s">
        <v>50</v>
      </c>
      <c r="B4" s="97" t="s">
        <v>51</v>
      </c>
      <c r="C4" s="8"/>
      <c r="D4" s="927" t="s">
        <v>79</v>
      </c>
      <c r="E4" s="928"/>
      <c r="F4" s="928"/>
      <c r="G4" s="929"/>
      <c r="H4" s="927" t="s">
        <v>80</v>
      </c>
      <c r="I4" s="928"/>
      <c r="J4" s="928"/>
      <c r="K4" s="929"/>
      <c r="L4" s="927" t="s">
        <v>81</v>
      </c>
      <c r="M4" s="928"/>
      <c r="N4" s="928"/>
      <c r="O4" s="929"/>
      <c r="P4" s="927" t="s">
        <v>254</v>
      </c>
      <c r="Q4" s="928"/>
      <c r="R4" s="928"/>
      <c r="S4" s="929"/>
      <c r="T4" s="927" t="s">
        <v>76</v>
      </c>
      <c r="U4" s="928"/>
      <c r="V4" s="928"/>
      <c r="W4" s="929"/>
      <c r="X4" s="991"/>
    </row>
    <row r="5" spans="1:24" ht="13.5" thickBot="1">
      <c r="A5" s="868" t="s">
        <v>43</v>
      </c>
      <c r="B5" s="868" t="s">
        <v>46</v>
      </c>
      <c r="C5" s="9" t="s">
        <v>2</v>
      </c>
      <c r="D5" s="983" t="s">
        <v>82</v>
      </c>
      <c r="E5" s="984"/>
      <c r="F5" s="984"/>
      <c r="G5" s="984"/>
      <c r="H5" s="984"/>
      <c r="I5" s="984"/>
      <c r="J5" s="984"/>
      <c r="K5" s="984"/>
      <c r="L5" s="984"/>
      <c r="M5" s="984"/>
      <c r="N5" s="984"/>
      <c r="O5" s="984"/>
      <c r="P5" s="984"/>
      <c r="Q5" s="984"/>
      <c r="R5" s="984"/>
      <c r="S5" s="984"/>
      <c r="T5" s="984"/>
      <c r="U5" s="984"/>
      <c r="V5" s="984"/>
      <c r="W5" s="985"/>
      <c r="X5" s="992"/>
    </row>
    <row r="6" spans="1:24" ht="13.5" thickBot="1">
      <c r="A6" s="885"/>
      <c r="B6" s="885"/>
      <c r="C6" s="10" t="s">
        <v>3</v>
      </c>
      <c r="D6" s="986"/>
      <c r="E6" s="987"/>
      <c r="F6" s="987"/>
      <c r="G6" s="987"/>
      <c r="H6" s="987"/>
      <c r="I6" s="987"/>
      <c r="J6" s="987"/>
      <c r="K6" s="987"/>
      <c r="L6" s="987"/>
      <c r="M6" s="987"/>
      <c r="N6" s="987"/>
      <c r="O6" s="987"/>
      <c r="P6" s="987"/>
      <c r="Q6" s="987"/>
      <c r="R6" s="987"/>
      <c r="S6" s="987"/>
      <c r="T6" s="987"/>
      <c r="U6" s="987"/>
      <c r="V6" s="987"/>
      <c r="W6" s="988"/>
      <c r="X6" s="992"/>
    </row>
    <row r="7" spans="1:24" ht="12.95" customHeight="1" thickBot="1">
      <c r="A7" s="885"/>
      <c r="B7" s="885"/>
      <c r="C7" s="1278" t="s">
        <v>170</v>
      </c>
      <c r="D7" s="989" t="s">
        <v>4</v>
      </c>
      <c r="E7" s="990"/>
      <c r="F7" s="990"/>
      <c r="G7" s="990"/>
      <c r="H7" s="990"/>
      <c r="I7" s="990"/>
      <c r="J7" s="990"/>
      <c r="K7" s="990"/>
      <c r="L7" s="990"/>
      <c r="M7" s="990"/>
      <c r="N7" s="990"/>
      <c r="O7" s="990"/>
      <c r="P7" s="990"/>
      <c r="Q7" s="990"/>
      <c r="R7" s="990"/>
      <c r="S7" s="990"/>
      <c r="T7" s="990"/>
      <c r="U7" s="990"/>
      <c r="V7" s="990"/>
      <c r="W7" s="990"/>
      <c r="X7" s="992"/>
    </row>
    <row r="8" spans="1:24" ht="12.95" customHeight="1" thickBot="1">
      <c r="A8" s="885"/>
      <c r="B8" s="869"/>
      <c r="C8" s="1279"/>
      <c r="D8" s="930" t="s">
        <v>85</v>
      </c>
      <c r="E8" s="931"/>
      <c r="F8" s="931"/>
      <c r="G8" s="931"/>
      <c r="H8" s="931"/>
      <c r="I8" s="931"/>
      <c r="J8" s="931"/>
      <c r="K8" s="931"/>
      <c r="L8" s="931"/>
      <c r="M8" s="931"/>
      <c r="N8" s="931"/>
      <c r="O8" s="931"/>
      <c r="P8" s="931"/>
      <c r="Q8" s="931"/>
      <c r="R8" s="931"/>
      <c r="S8" s="931"/>
      <c r="T8" s="931"/>
      <c r="U8" s="931"/>
      <c r="V8" s="931"/>
      <c r="W8" s="932"/>
      <c r="X8" s="992"/>
    </row>
    <row r="9" spans="1:24" ht="12.95" customHeight="1" thickBot="1">
      <c r="A9" s="885"/>
      <c r="B9" s="11" t="s">
        <v>52</v>
      </c>
      <c r="C9" s="12"/>
      <c r="D9" s="927" t="s">
        <v>79</v>
      </c>
      <c r="E9" s="928"/>
      <c r="F9" s="928"/>
      <c r="G9" s="929"/>
      <c r="H9" s="927" t="s">
        <v>80</v>
      </c>
      <c r="I9" s="928"/>
      <c r="J9" s="928"/>
      <c r="K9" s="929"/>
      <c r="L9" s="927" t="s">
        <v>81</v>
      </c>
      <c r="M9" s="928"/>
      <c r="N9" s="928"/>
      <c r="O9" s="929"/>
      <c r="P9" s="927" t="s">
        <v>254</v>
      </c>
      <c r="Q9" s="928"/>
      <c r="R9" s="928"/>
      <c r="S9" s="929"/>
      <c r="T9" s="927" t="s">
        <v>76</v>
      </c>
      <c r="U9" s="928"/>
      <c r="V9" s="928"/>
      <c r="W9" s="929"/>
      <c r="X9" s="992"/>
    </row>
    <row r="10" spans="1:24" ht="36" customHeight="1" thickBot="1">
      <c r="A10" s="885"/>
      <c r="B10" s="868" t="s">
        <v>45</v>
      </c>
      <c r="C10" s="13" t="s">
        <v>2</v>
      </c>
      <c r="D10" s="930" t="s">
        <v>86</v>
      </c>
      <c r="E10" s="931"/>
      <c r="F10" s="931"/>
      <c r="G10" s="931"/>
      <c r="H10" s="931"/>
      <c r="I10" s="931"/>
      <c r="J10" s="931"/>
      <c r="K10" s="931"/>
      <c r="L10" s="931"/>
      <c r="M10" s="931"/>
      <c r="N10" s="931"/>
      <c r="O10" s="931"/>
      <c r="P10" s="931"/>
      <c r="Q10" s="931"/>
      <c r="R10" s="931"/>
      <c r="S10" s="931"/>
      <c r="T10" s="931"/>
      <c r="U10" s="931"/>
      <c r="V10" s="931"/>
      <c r="W10" s="932"/>
      <c r="X10" s="992"/>
    </row>
    <row r="11" spans="1:24" ht="13.5" thickBot="1">
      <c r="A11" s="885"/>
      <c r="B11" s="885"/>
      <c r="C11" s="10" t="s">
        <v>3</v>
      </c>
      <c r="D11" s="986"/>
      <c r="E11" s="987"/>
      <c r="F11" s="987"/>
      <c r="G11" s="987"/>
      <c r="H11" s="987"/>
      <c r="I11" s="987"/>
      <c r="J11" s="987"/>
      <c r="K11" s="987"/>
      <c r="L11" s="987"/>
      <c r="M11" s="987"/>
      <c r="N11" s="987"/>
      <c r="O11" s="987"/>
      <c r="P11" s="987"/>
      <c r="Q11" s="987"/>
      <c r="R11" s="987"/>
      <c r="S11" s="987"/>
      <c r="T11" s="987"/>
      <c r="U11" s="987"/>
      <c r="V11" s="987"/>
      <c r="W11" s="988"/>
      <c r="X11" s="992"/>
    </row>
    <row r="12" spans="1:24" ht="12.95" customHeight="1" thickBot="1">
      <c r="A12" s="885"/>
      <c r="B12" s="885"/>
      <c r="C12" s="1258" t="s">
        <v>170</v>
      </c>
      <c r="D12" s="927" t="s">
        <v>4</v>
      </c>
      <c r="E12" s="928"/>
      <c r="F12" s="928"/>
      <c r="G12" s="928"/>
      <c r="H12" s="928"/>
      <c r="I12" s="928"/>
      <c r="J12" s="928"/>
      <c r="K12" s="928"/>
      <c r="L12" s="928"/>
      <c r="M12" s="928"/>
      <c r="N12" s="928"/>
      <c r="O12" s="928"/>
      <c r="P12" s="928"/>
      <c r="Q12" s="928"/>
      <c r="R12" s="928"/>
      <c r="S12" s="928"/>
      <c r="T12" s="928"/>
      <c r="U12" s="928"/>
      <c r="V12" s="928"/>
      <c r="W12" s="928"/>
      <c r="X12" s="992"/>
    </row>
    <row r="13" spans="1:24" ht="24" customHeight="1" thickBot="1">
      <c r="A13" s="885"/>
      <c r="B13" s="869"/>
      <c r="C13" s="1259"/>
      <c r="D13" s="930" t="s">
        <v>87</v>
      </c>
      <c r="E13" s="931"/>
      <c r="F13" s="931"/>
      <c r="G13" s="931"/>
      <c r="H13" s="931"/>
      <c r="I13" s="931"/>
      <c r="J13" s="931"/>
      <c r="K13" s="931"/>
      <c r="L13" s="931"/>
      <c r="M13" s="931"/>
      <c r="N13" s="931"/>
      <c r="O13" s="931"/>
      <c r="P13" s="931"/>
      <c r="Q13" s="931"/>
      <c r="R13" s="931"/>
      <c r="S13" s="931"/>
      <c r="T13" s="931"/>
      <c r="U13" s="931"/>
      <c r="V13" s="931"/>
      <c r="W13" s="932"/>
      <c r="X13" s="992"/>
    </row>
    <row r="14" spans="1:24" ht="12.95" customHeight="1" thickBot="1">
      <c r="A14" s="885"/>
      <c r="B14" s="11" t="s">
        <v>53</v>
      </c>
      <c r="C14" s="12"/>
      <c r="D14" s="927" t="s">
        <v>79</v>
      </c>
      <c r="E14" s="928"/>
      <c r="F14" s="928"/>
      <c r="G14" s="929"/>
      <c r="H14" s="927" t="s">
        <v>80</v>
      </c>
      <c r="I14" s="928"/>
      <c r="J14" s="928"/>
      <c r="K14" s="929"/>
      <c r="L14" s="927" t="s">
        <v>81</v>
      </c>
      <c r="M14" s="928"/>
      <c r="N14" s="928"/>
      <c r="O14" s="929"/>
      <c r="P14" s="927" t="s">
        <v>254</v>
      </c>
      <c r="Q14" s="928"/>
      <c r="R14" s="928"/>
      <c r="S14" s="929"/>
      <c r="T14" s="927" t="s">
        <v>76</v>
      </c>
      <c r="U14" s="928"/>
      <c r="V14" s="928"/>
      <c r="W14" s="929"/>
      <c r="X14" s="992"/>
    </row>
    <row r="15" spans="1:24" ht="12.95" customHeight="1" thickBot="1">
      <c r="A15" s="885"/>
      <c r="B15" s="868" t="s">
        <v>44</v>
      </c>
      <c r="C15" s="9" t="s">
        <v>2</v>
      </c>
      <c r="D15" s="930" t="s">
        <v>83</v>
      </c>
      <c r="E15" s="931"/>
      <c r="F15" s="931"/>
      <c r="G15" s="931"/>
      <c r="H15" s="931"/>
      <c r="I15" s="931"/>
      <c r="J15" s="931"/>
      <c r="K15" s="931"/>
      <c r="L15" s="931"/>
      <c r="M15" s="931"/>
      <c r="N15" s="931"/>
      <c r="O15" s="931"/>
      <c r="P15" s="931"/>
      <c r="Q15" s="931"/>
      <c r="R15" s="931"/>
      <c r="S15" s="931"/>
      <c r="T15" s="931"/>
      <c r="U15" s="931"/>
      <c r="V15" s="931"/>
      <c r="W15" s="932"/>
      <c r="X15" s="992"/>
    </row>
    <row r="16" spans="1:24" ht="13.5" thickBot="1">
      <c r="A16" s="885"/>
      <c r="B16" s="885"/>
      <c r="C16" s="10" t="s">
        <v>3</v>
      </c>
      <c r="D16" s="986"/>
      <c r="E16" s="987"/>
      <c r="F16" s="987"/>
      <c r="G16" s="987"/>
      <c r="H16" s="987"/>
      <c r="I16" s="987"/>
      <c r="J16" s="987"/>
      <c r="K16" s="987"/>
      <c r="L16" s="987"/>
      <c r="M16" s="987"/>
      <c r="N16" s="987"/>
      <c r="O16" s="987"/>
      <c r="P16" s="987"/>
      <c r="Q16" s="987"/>
      <c r="R16" s="987"/>
      <c r="S16" s="987"/>
      <c r="T16" s="987"/>
      <c r="U16" s="987"/>
      <c r="V16" s="987"/>
      <c r="W16" s="988"/>
      <c r="X16" s="992"/>
    </row>
    <row r="17" spans="1:24" ht="12.95" customHeight="1" thickBot="1">
      <c r="A17" s="885"/>
      <c r="B17" s="885"/>
      <c r="C17" s="1258" t="s">
        <v>170</v>
      </c>
      <c r="D17" s="989" t="s">
        <v>4</v>
      </c>
      <c r="E17" s="990"/>
      <c r="F17" s="990"/>
      <c r="G17" s="990"/>
      <c r="H17" s="990"/>
      <c r="I17" s="990"/>
      <c r="J17" s="990"/>
      <c r="K17" s="990"/>
      <c r="L17" s="990"/>
      <c r="M17" s="990"/>
      <c r="N17" s="990"/>
      <c r="O17" s="990"/>
      <c r="P17" s="990"/>
      <c r="Q17" s="990"/>
      <c r="R17" s="990"/>
      <c r="S17" s="990"/>
      <c r="T17" s="990"/>
      <c r="U17" s="990"/>
      <c r="V17" s="990"/>
      <c r="W17" s="990"/>
      <c r="X17" s="992"/>
    </row>
    <row r="18" spans="1:24" ht="12.95" customHeight="1" thickBot="1">
      <c r="A18" s="869"/>
      <c r="B18" s="869"/>
      <c r="C18" s="1259"/>
      <c r="D18" s="930" t="s">
        <v>84</v>
      </c>
      <c r="E18" s="931"/>
      <c r="F18" s="931"/>
      <c r="G18" s="931"/>
      <c r="H18" s="931"/>
      <c r="I18" s="931"/>
      <c r="J18" s="931"/>
      <c r="K18" s="931"/>
      <c r="L18" s="931"/>
      <c r="M18" s="931"/>
      <c r="N18" s="931"/>
      <c r="O18" s="931"/>
      <c r="P18" s="931"/>
      <c r="Q18" s="931"/>
      <c r="R18" s="931"/>
      <c r="S18" s="931"/>
      <c r="T18" s="931"/>
      <c r="U18" s="931"/>
      <c r="V18" s="931"/>
      <c r="W18" s="932"/>
      <c r="X18" s="993"/>
    </row>
    <row r="19" spans="1:24">
      <c r="A19" s="5"/>
      <c r="B19" s="5"/>
      <c r="C19" s="14"/>
      <c r="D19" s="5"/>
      <c r="E19" s="5"/>
      <c r="F19" s="5"/>
      <c r="G19" s="5"/>
      <c r="H19" s="5"/>
      <c r="I19" s="5"/>
      <c r="J19" s="5"/>
      <c r="K19" s="5"/>
      <c r="L19" s="5"/>
      <c r="M19" s="5"/>
      <c r="N19" s="5"/>
      <c r="O19" s="5"/>
      <c r="P19" s="5"/>
      <c r="Q19" s="5"/>
      <c r="R19" s="5"/>
      <c r="S19" s="5"/>
      <c r="T19" s="5"/>
      <c r="U19" s="5"/>
      <c r="V19" s="5"/>
      <c r="W19" s="5"/>
      <c r="X19" s="5"/>
    </row>
    <row r="20" spans="1:24" ht="13.5" thickBot="1">
      <c r="A20" s="5"/>
      <c r="B20" s="5"/>
      <c r="C20" s="6"/>
      <c r="D20" s="5"/>
      <c r="E20" s="5"/>
      <c r="F20" s="5"/>
      <c r="G20" s="5"/>
      <c r="H20" s="5"/>
      <c r="I20" s="5"/>
      <c r="J20" s="5"/>
      <c r="K20" s="5"/>
      <c r="L20" s="5"/>
      <c r="M20" s="5"/>
      <c r="N20" s="5"/>
      <c r="O20" s="5"/>
      <c r="P20" s="5"/>
      <c r="Q20" s="5"/>
      <c r="R20" s="5"/>
      <c r="S20" s="5"/>
      <c r="T20" s="5"/>
      <c r="U20" s="5"/>
      <c r="V20" s="5"/>
      <c r="W20" s="5"/>
      <c r="X20" s="5"/>
    </row>
    <row r="21" spans="1:24" ht="12.95" customHeight="1" thickBot="1">
      <c r="A21" s="15" t="s">
        <v>1</v>
      </c>
      <c r="B21" s="97" t="s">
        <v>24</v>
      </c>
      <c r="C21" s="8"/>
      <c r="D21" s="927" t="s">
        <v>78</v>
      </c>
      <c r="E21" s="928"/>
      <c r="F21" s="928"/>
      <c r="G21" s="929"/>
      <c r="H21" s="927" t="s">
        <v>77</v>
      </c>
      <c r="I21" s="928"/>
      <c r="J21" s="928"/>
      <c r="K21" s="929"/>
      <c r="L21" s="927" t="s">
        <v>81</v>
      </c>
      <c r="M21" s="928"/>
      <c r="N21" s="928"/>
      <c r="O21" s="929"/>
      <c r="P21" s="927" t="s">
        <v>254</v>
      </c>
      <c r="Q21" s="928"/>
      <c r="R21" s="928"/>
      <c r="S21" s="929"/>
      <c r="T21" s="927" t="s">
        <v>76</v>
      </c>
      <c r="U21" s="928"/>
      <c r="V21" s="928"/>
      <c r="W21" s="929"/>
      <c r="X21" s="16" t="s">
        <v>6</v>
      </c>
    </row>
    <row r="22" spans="1:24" ht="12.95" customHeight="1" thickBot="1">
      <c r="A22" s="868" t="s">
        <v>47</v>
      </c>
      <c r="B22" s="868" t="s">
        <v>48</v>
      </c>
      <c r="C22" s="9" t="s">
        <v>2</v>
      </c>
      <c r="D22" s="957"/>
      <c r="E22" s="958"/>
      <c r="F22" s="958"/>
      <c r="G22" s="959"/>
      <c r="H22" s="1316"/>
      <c r="I22" s="1317"/>
      <c r="J22" s="1317"/>
      <c r="K22" s="1318"/>
      <c r="L22" s="1337" t="s">
        <v>909</v>
      </c>
      <c r="M22" s="1317"/>
      <c r="N22" s="1317"/>
      <c r="O22" s="1319"/>
      <c r="P22" s="942">
        <v>2.6</v>
      </c>
      <c r="Q22" s="943"/>
      <c r="R22" s="943"/>
      <c r="S22" s="944"/>
      <c r="T22" s="942">
        <v>2.7</v>
      </c>
      <c r="U22" s="943"/>
      <c r="V22" s="943"/>
      <c r="W22" s="944"/>
      <c r="X22" s="873" t="s">
        <v>96</v>
      </c>
    </row>
    <row r="23" spans="1:24" ht="13.5" thickBot="1">
      <c r="A23" s="885"/>
      <c r="B23" s="885"/>
      <c r="C23" s="10" t="s">
        <v>3</v>
      </c>
      <c r="D23" s="957"/>
      <c r="E23" s="958"/>
      <c r="F23" s="958"/>
      <c r="G23" s="959"/>
      <c r="H23" s="1328"/>
      <c r="I23" s="1329"/>
      <c r="J23" s="1329"/>
      <c r="K23" s="1330"/>
      <c r="L23" s="1331"/>
      <c r="M23" s="1329"/>
      <c r="N23" s="1329"/>
      <c r="O23" s="1332"/>
      <c r="P23" s="957"/>
      <c r="Q23" s="958"/>
      <c r="R23" s="958"/>
      <c r="S23" s="959"/>
      <c r="T23" s="963">
        <v>0</v>
      </c>
      <c r="U23" s="964"/>
      <c r="V23" s="964"/>
      <c r="W23" s="965"/>
      <c r="X23" s="874"/>
    </row>
    <row r="24" spans="1:24" ht="12.95" customHeight="1" thickBot="1">
      <c r="A24" s="885"/>
      <c r="B24" s="885"/>
      <c r="C24" s="1258" t="s">
        <v>170</v>
      </c>
      <c r="D24" s="927" t="s">
        <v>4</v>
      </c>
      <c r="E24" s="928"/>
      <c r="F24" s="928"/>
      <c r="G24" s="928"/>
      <c r="H24" s="928"/>
      <c r="I24" s="928"/>
      <c r="J24" s="928"/>
      <c r="K24" s="928"/>
      <c r="L24" s="928"/>
      <c r="M24" s="928"/>
      <c r="N24" s="928"/>
      <c r="O24" s="928"/>
      <c r="P24" s="928"/>
      <c r="Q24" s="928"/>
      <c r="R24" s="928"/>
      <c r="S24" s="928"/>
      <c r="T24" s="928"/>
      <c r="U24" s="928"/>
      <c r="V24" s="928"/>
      <c r="W24" s="928"/>
      <c r="X24" s="874"/>
    </row>
    <row r="25" spans="1:24" ht="12.95" customHeight="1" thickBot="1">
      <c r="A25" s="885"/>
      <c r="B25" s="869"/>
      <c r="C25" s="1259"/>
      <c r="D25" s="930" t="s">
        <v>115</v>
      </c>
      <c r="E25" s="931"/>
      <c r="F25" s="931"/>
      <c r="G25" s="931"/>
      <c r="H25" s="931"/>
      <c r="I25" s="931"/>
      <c r="J25" s="931"/>
      <c r="K25" s="931"/>
      <c r="L25" s="931"/>
      <c r="M25" s="931"/>
      <c r="N25" s="931"/>
      <c r="O25" s="931"/>
      <c r="P25" s="931"/>
      <c r="Q25" s="931"/>
      <c r="R25" s="931"/>
      <c r="S25" s="931"/>
      <c r="T25" s="931"/>
      <c r="U25" s="931"/>
      <c r="V25" s="931"/>
      <c r="W25" s="932"/>
      <c r="X25" s="874"/>
    </row>
    <row r="26" spans="1:24" ht="12.95" customHeight="1" thickBot="1">
      <c r="A26" s="885"/>
      <c r="B26" s="11" t="s">
        <v>25</v>
      </c>
      <c r="C26" s="12"/>
      <c r="D26" s="927" t="s">
        <v>78</v>
      </c>
      <c r="E26" s="928"/>
      <c r="F26" s="928"/>
      <c r="G26" s="929"/>
      <c r="H26" s="927" t="s">
        <v>77</v>
      </c>
      <c r="I26" s="928"/>
      <c r="J26" s="928"/>
      <c r="K26" s="929"/>
      <c r="L26" s="927" t="s">
        <v>81</v>
      </c>
      <c r="M26" s="928"/>
      <c r="N26" s="928"/>
      <c r="O26" s="929"/>
      <c r="P26" s="927" t="s">
        <v>254</v>
      </c>
      <c r="Q26" s="928"/>
      <c r="R26" s="928"/>
      <c r="S26" s="929"/>
      <c r="T26" s="927" t="s">
        <v>76</v>
      </c>
      <c r="U26" s="928"/>
      <c r="V26" s="928"/>
      <c r="W26" s="929"/>
      <c r="X26" s="874"/>
    </row>
    <row r="27" spans="1:24" ht="12.95" customHeight="1" thickBot="1">
      <c r="A27" s="885"/>
      <c r="B27" s="868" t="s">
        <v>49</v>
      </c>
      <c r="C27" s="9" t="s">
        <v>2</v>
      </c>
      <c r="D27" s="957"/>
      <c r="E27" s="958"/>
      <c r="F27" s="958"/>
      <c r="G27" s="959"/>
      <c r="H27" s="1316"/>
      <c r="I27" s="1317"/>
      <c r="J27" s="1317"/>
      <c r="K27" s="1318"/>
      <c r="L27" s="1337" t="s">
        <v>909</v>
      </c>
      <c r="M27" s="1317"/>
      <c r="N27" s="1317"/>
      <c r="O27" s="1319"/>
      <c r="P27" s="942">
        <v>0</v>
      </c>
      <c r="Q27" s="943"/>
      <c r="R27" s="943"/>
      <c r="S27" s="944"/>
      <c r="T27" s="942">
        <v>2.1</v>
      </c>
      <c r="U27" s="943"/>
      <c r="V27" s="943"/>
      <c r="W27" s="944"/>
      <c r="X27" s="874"/>
    </row>
    <row r="28" spans="1:24" ht="13.5" thickBot="1">
      <c r="A28" s="885"/>
      <c r="B28" s="885"/>
      <c r="C28" s="10" t="s">
        <v>3</v>
      </c>
      <c r="D28" s="957"/>
      <c r="E28" s="958"/>
      <c r="F28" s="958"/>
      <c r="G28" s="959"/>
      <c r="H28" s="1328"/>
      <c r="I28" s="1329"/>
      <c r="J28" s="1329"/>
      <c r="K28" s="1330"/>
      <c r="L28" s="1331"/>
      <c r="M28" s="1329"/>
      <c r="N28" s="1329"/>
      <c r="O28" s="1332"/>
      <c r="P28" s="957"/>
      <c r="Q28" s="958"/>
      <c r="R28" s="958"/>
      <c r="S28" s="959"/>
      <c r="T28" s="963">
        <v>0</v>
      </c>
      <c r="U28" s="964"/>
      <c r="V28" s="964"/>
      <c r="W28" s="965"/>
      <c r="X28" s="874"/>
    </row>
    <row r="29" spans="1:24" ht="12.95" customHeight="1" thickBot="1">
      <c r="A29" s="885"/>
      <c r="B29" s="885"/>
      <c r="C29" s="1258" t="s">
        <v>170</v>
      </c>
      <c r="D29" s="927" t="s">
        <v>4</v>
      </c>
      <c r="E29" s="928"/>
      <c r="F29" s="928"/>
      <c r="G29" s="928"/>
      <c r="H29" s="928"/>
      <c r="I29" s="928"/>
      <c r="J29" s="928"/>
      <c r="K29" s="928"/>
      <c r="L29" s="928"/>
      <c r="M29" s="928"/>
      <c r="N29" s="928"/>
      <c r="O29" s="928"/>
      <c r="P29" s="928"/>
      <c r="Q29" s="928"/>
      <c r="R29" s="928"/>
      <c r="S29" s="928"/>
      <c r="T29" s="928"/>
      <c r="U29" s="928"/>
      <c r="V29" s="928"/>
      <c r="W29" s="928"/>
      <c r="X29" s="874"/>
    </row>
    <row r="30" spans="1:24" ht="12.95" customHeight="1" thickBot="1">
      <c r="A30" s="885"/>
      <c r="B30" s="869"/>
      <c r="C30" s="1259"/>
      <c r="D30" s="930" t="s">
        <v>116</v>
      </c>
      <c r="E30" s="931"/>
      <c r="F30" s="931"/>
      <c r="G30" s="931"/>
      <c r="H30" s="931"/>
      <c r="I30" s="931"/>
      <c r="J30" s="931"/>
      <c r="K30" s="931"/>
      <c r="L30" s="931"/>
      <c r="M30" s="931"/>
      <c r="N30" s="931"/>
      <c r="O30" s="931"/>
      <c r="P30" s="931"/>
      <c r="Q30" s="931"/>
      <c r="R30" s="931"/>
      <c r="S30" s="931"/>
      <c r="T30" s="931"/>
      <c r="U30" s="931"/>
      <c r="V30" s="931"/>
      <c r="W30" s="932"/>
      <c r="X30" s="874"/>
    </row>
    <row r="31" spans="1:24" ht="12.95" customHeight="1" thickBot="1">
      <c r="A31" s="885"/>
      <c r="B31" s="11" t="s">
        <v>37</v>
      </c>
      <c r="C31" s="12"/>
      <c r="D31" s="927" t="s">
        <v>78</v>
      </c>
      <c r="E31" s="928"/>
      <c r="F31" s="928"/>
      <c r="G31" s="929"/>
      <c r="H31" s="927" t="s">
        <v>77</v>
      </c>
      <c r="I31" s="928"/>
      <c r="J31" s="928"/>
      <c r="K31" s="929"/>
      <c r="L31" s="927" t="s">
        <v>81</v>
      </c>
      <c r="M31" s="928"/>
      <c r="N31" s="928"/>
      <c r="O31" s="929"/>
      <c r="P31" s="927" t="s">
        <v>254</v>
      </c>
      <c r="Q31" s="928"/>
      <c r="R31" s="928"/>
      <c r="S31" s="929"/>
      <c r="T31" s="927" t="s">
        <v>76</v>
      </c>
      <c r="U31" s="928"/>
      <c r="V31" s="928"/>
      <c r="W31" s="929"/>
      <c r="X31" s="874"/>
    </row>
    <row r="32" spans="1:24" ht="33" customHeight="1" thickBot="1">
      <c r="A32" s="885"/>
      <c r="B32" s="868" t="s">
        <v>148</v>
      </c>
      <c r="C32" s="9"/>
      <c r="D32" s="17" t="s">
        <v>106</v>
      </c>
      <c r="E32" s="17" t="s">
        <v>107</v>
      </c>
      <c r="F32" s="17" t="s">
        <v>108</v>
      </c>
      <c r="G32" s="17" t="s">
        <v>109</v>
      </c>
      <c r="H32" s="17" t="s">
        <v>106</v>
      </c>
      <c r="I32" s="17" t="s">
        <v>107</v>
      </c>
      <c r="J32" s="17" t="s">
        <v>108</v>
      </c>
      <c r="K32" s="17" t="s">
        <v>109</v>
      </c>
      <c r="L32" s="17" t="s">
        <v>106</v>
      </c>
      <c r="M32" s="17" t="s">
        <v>107</v>
      </c>
      <c r="N32" s="17" t="s">
        <v>108</v>
      </c>
      <c r="O32" s="17" t="s">
        <v>109</v>
      </c>
      <c r="P32" s="17" t="s">
        <v>106</v>
      </c>
      <c r="Q32" s="17" t="s">
        <v>107</v>
      </c>
      <c r="R32" s="17" t="s">
        <v>108</v>
      </c>
      <c r="S32" s="17" t="s">
        <v>109</v>
      </c>
      <c r="T32" s="17" t="s">
        <v>106</v>
      </c>
      <c r="U32" s="17" t="s">
        <v>107</v>
      </c>
      <c r="V32" s="17" t="s">
        <v>108</v>
      </c>
      <c r="W32" s="17" t="s">
        <v>109</v>
      </c>
      <c r="X32" s="874"/>
    </row>
    <row r="33" spans="1:24" ht="12.95" customHeight="1" thickBot="1">
      <c r="A33" s="885"/>
      <c r="B33" s="885"/>
      <c r="C33" s="9" t="s">
        <v>2</v>
      </c>
      <c r="D33" s="957"/>
      <c r="E33" s="958"/>
      <c r="F33" s="958"/>
      <c r="G33" s="959"/>
      <c r="H33" s="1316"/>
      <c r="I33" s="1317"/>
      <c r="J33" s="1317"/>
      <c r="K33" s="1318"/>
      <c r="L33" s="1337" t="s">
        <v>909</v>
      </c>
      <c r="M33" s="1317"/>
      <c r="N33" s="1317"/>
      <c r="O33" s="1318"/>
      <c r="P33" s="18">
        <v>12</v>
      </c>
      <c r="Q33" s="18">
        <v>12</v>
      </c>
      <c r="R33" s="18">
        <v>12</v>
      </c>
      <c r="S33" s="18">
        <v>12</v>
      </c>
      <c r="T33" s="18">
        <v>12</v>
      </c>
      <c r="U33" s="18">
        <v>12</v>
      </c>
      <c r="V33" s="783">
        <v>12</v>
      </c>
      <c r="W33" s="18">
        <v>12</v>
      </c>
      <c r="X33" s="874"/>
    </row>
    <row r="34" spans="1:24" ht="13.5" thickBot="1">
      <c r="A34" s="885"/>
      <c r="B34" s="93" t="s">
        <v>145</v>
      </c>
      <c r="C34" s="10" t="s">
        <v>3</v>
      </c>
      <c r="D34" s="957"/>
      <c r="E34" s="958"/>
      <c r="F34" s="958"/>
      <c r="G34" s="959"/>
      <c r="H34" s="1328"/>
      <c r="I34" s="1329"/>
      <c r="J34" s="1329"/>
      <c r="K34" s="1330"/>
      <c r="L34" s="1331"/>
      <c r="M34" s="1329"/>
      <c r="N34" s="1329"/>
      <c r="O34" s="1332"/>
      <c r="P34" s="957"/>
      <c r="Q34" s="958">
        <v>0</v>
      </c>
      <c r="R34" s="958">
        <v>0</v>
      </c>
      <c r="S34" s="959">
        <v>0</v>
      </c>
      <c r="T34" s="68">
        <v>0</v>
      </c>
      <c r="U34" s="68">
        <v>0</v>
      </c>
      <c r="V34" s="68">
        <v>0</v>
      </c>
      <c r="W34" s="68">
        <v>0</v>
      </c>
      <c r="X34" s="874"/>
    </row>
    <row r="35" spans="1:24" ht="12.95" customHeight="1" thickBot="1">
      <c r="A35" s="885"/>
      <c r="B35" s="93" t="s">
        <v>147</v>
      </c>
      <c r="C35" s="1258" t="s">
        <v>170</v>
      </c>
      <c r="D35" s="927" t="s">
        <v>4</v>
      </c>
      <c r="E35" s="928"/>
      <c r="F35" s="928"/>
      <c r="G35" s="928"/>
      <c r="H35" s="928"/>
      <c r="I35" s="928"/>
      <c r="J35" s="928"/>
      <c r="K35" s="928"/>
      <c r="L35" s="928"/>
      <c r="M35" s="928"/>
      <c r="N35" s="928"/>
      <c r="O35" s="928"/>
      <c r="P35" s="928"/>
      <c r="Q35" s="928"/>
      <c r="R35" s="928"/>
      <c r="S35" s="928"/>
      <c r="T35" s="928"/>
      <c r="U35" s="928"/>
      <c r="V35" s="928"/>
      <c r="W35" s="928"/>
      <c r="X35" s="874"/>
    </row>
    <row r="36" spans="1:24" ht="12.95" customHeight="1" thickBot="1">
      <c r="A36" s="869"/>
      <c r="B36" s="94" t="s">
        <v>146</v>
      </c>
      <c r="C36" s="1259"/>
      <c r="D36" s="930" t="s">
        <v>117</v>
      </c>
      <c r="E36" s="931"/>
      <c r="F36" s="931"/>
      <c r="G36" s="931"/>
      <c r="H36" s="931"/>
      <c r="I36" s="931"/>
      <c r="J36" s="931"/>
      <c r="K36" s="931"/>
      <c r="L36" s="931"/>
      <c r="M36" s="931"/>
      <c r="N36" s="931"/>
      <c r="O36" s="931"/>
      <c r="P36" s="931"/>
      <c r="Q36" s="931"/>
      <c r="R36" s="931"/>
      <c r="S36" s="931"/>
      <c r="T36" s="931"/>
      <c r="U36" s="931"/>
      <c r="V36" s="931"/>
      <c r="W36" s="932"/>
      <c r="X36" s="875"/>
    </row>
    <row r="37" spans="1:24">
      <c r="A37" s="5"/>
      <c r="B37" s="5"/>
      <c r="C37" s="14"/>
      <c r="D37" s="5"/>
      <c r="E37" s="5"/>
      <c r="F37" s="5"/>
      <c r="G37" s="5"/>
      <c r="H37" s="5"/>
      <c r="I37" s="5"/>
      <c r="J37" s="5"/>
      <c r="K37" s="5"/>
      <c r="L37" s="5"/>
      <c r="M37" s="5"/>
      <c r="N37" s="5"/>
      <c r="O37" s="5"/>
      <c r="P37" s="5"/>
      <c r="Q37" s="5"/>
      <c r="R37" s="5"/>
      <c r="S37" s="5"/>
      <c r="T37" s="5"/>
      <c r="U37" s="5"/>
      <c r="V37" s="5"/>
      <c r="W37" s="5"/>
      <c r="X37" s="5"/>
    </row>
    <row r="38" spans="1:24" ht="13.5" thickBot="1">
      <c r="A38" s="5"/>
      <c r="B38" s="5"/>
      <c r="C38" s="6"/>
      <c r="D38" s="5"/>
      <c r="E38" s="5"/>
      <c r="F38" s="5"/>
      <c r="G38" s="5"/>
      <c r="H38" s="5"/>
      <c r="I38" s="5"/>
      <c r="J38" s="5"/>
      <c r="K38" s="5"/>
      <c r="L38" s="5"/>
      <c r="M38" s="5"/>
      <c r="N38" s="5"/>
      <c r="O38" s="5"/>
      <c r="P38" s="5"/>
      <c r="Q38" s="5"/>
      <c r="R38" s="5"/>
      <c r="S38" s="5"/>
      <c r="T38" s="5"/>
      <c r="U38" s="5"/>
      <c r="V38" s="5"/>
      <c r="W38" s="5"/>
      <c r="X38" s="5"/>
    </row>
    <row r="39" spans="1:24" ht="12.95" customHeight="1" thickBot="1">
      <c r="A39" s="7" t="s">
        <v>5</v>
      </c>
      <c r="B39" s="97" t="s">
        <v>22</v>
      </c>
      <c r="C39" s="8"/>
      <c r="D39" s="927" t="s">
        <v>78</v>
      </c>
      <c r="E39" s="928"/>
      <c r="F39" s="928"/>
      <c r="G39" s="929"/>
      <c r="H39" s="927" t="s">
        <v>77</v>
      </c>
      <c r="I39" s="928"/>
      <c r="J39" s="928"/>
      <c r="K39" s="929"/>
      <c r="L39" s="927" t="s">
        <v>81</v>
      </c>
      <c r="M39" s="928"/>
      <c r="N39" s="928"/>
      <c r="O39" s="929"/>
      <c r="P39" s="927" t="s">
        <v>254</v>
      </c>
      <c r="Q39" s="928"/>
      <c r="R39" s="928"/>
      <c r="S39" s="929"/>
      <c r="T39" s="927" t="s">
        <v>76</v>
      </c>
      <c r="U39" s="928"/>
      <c r="V39" s="928"/>
      <c r="W39" s="929"/>
      <c r="X39" s="19" t="s">
        <v>6</v>
      </c>
    </row>
    <row r="40" spans="1:24" ht="12.95" customHeight="1" thickBot="1">
      <c r="A40" s="868" t="s">
        <v>54</v>
      </c>
      <c r="B40" s="868" t="s">
        <v>55</v>
      </c>
      <c r="C40" s="9" t="s">
        <v>2</v>
      </c>
      <c r="D40" s="957"/>
      <c r="E40" s="958"/>
      <c r="F40" s="958"/>
      <c r="G40" s="959"/>
      <c r="H40" s="1316"/>
      <c r="I40" s="1317"/>
      <c r="J40" s="1317"/>
      <c r="K40" s="1318"/>
      <c r="L40" s="1337" t="s">
        <v>909</v>
      </c>
      <c r="M40" s="1317"/>
      <c r="N40" s="1317"/>
      <c r="O40" s="1319"/>
      <c r="P40" s="942">
        <v>2.1</v>
      </c>
      <c r="Q40" s="943"/>
      <c r="R40" s="943"/>
      <c r="S40" s="944"/>
      <c r="T40" s="1325">
        <v>2.2999999999999998</v>
      </c>
      <c r="U40" s="1326"/>
      <c r="V40" s="1326"/>
      <c r="W40" s="1327"/>
      <c r="X40" s="879" t="s">
        <v>95</v>
      </c>
    </row>
    <row r="41" spans="1:24" ht="13.5" thickBot="1">
      <c r="A41" s="885"/>
      <c r="B41" s="885"/>
      <c r="C41" s="10" t="s">
        <v>3</v>
      </c>
      <c r="D41" s="957"/>
      <c r="E41" s="958"/>
      <c r="F41" s="958"/>
      <c r="G41" s="959"/>
      <c r="H41" s="1328"/>
      <c r="I41" s="1329"/>
      <c r="J41" s="1329"/>
      <c r="K41" s="1330"/>
      <c r="L41" s="1331"/>
      <c r="M41" s="1329"/>
      <c r="N41" s="1329"/>
      <c r="O41" s="1332"/>
      <c r="P41" s="957"/>
      <c r="Q41" s="958"/>
      <c r="R41" s="958"/>
      <c r="S41" s="959"/>
      <c r="T41" s="963">
        <v>0</v>
      </c>
      <c r="U41" s="964"/>
      <c r="V41" s="964"/>
      <c r="W41" s="965"/>
      <c r="X41" s="880"/>
    </row>
    <row r="42" spans="1:24" ht="12.95" customHeight="1" thickBot="1">
      <c r="A42" s="885"/>
      <c r="B42" s="885"/>
      <c r="C42" s="1258" t="s">
        <v>170</v>
      </c>
      <c r="D42" s="927" t="s">
        <v>4</v>
      </c>
      <c r="E42" s="928"/>
      <c r="F42" s="928"/>
      <c r="G42" s="928"/>
      <c r="H42" s="928"/>
      <c r="I42" s="928"/>
      <c r="J42" s="928"/>
      <c r="K42" s="928"/>
      <c r="L42" s="928"/>
      <c r="M42" s="928"/>
      <c r="N42" s="928"/>
      <c r="O42" s="928"/>
      <c r="P42" s="928"/>
      <c r="Q42" s="928"/>
      <c r="R42" s="928"/>
      <c r="S42" s="928"/>
      <c r="T42" s="928"/>
      <c r="U42" s="928"/>
      <c r="V42" s="928"/>
      <c r="W42" s="928"/>
      <c r="X42" s="880"/>
    </row>
    <row r="43" spans="1:24" ht="12.95" customHeight="1" thickBot="1">
      <c r="A43" s="885"/>
      <c r="B43" s="869"/>
      <c r="C43" s="1259"/>
      <c r="D43" s="930" t="s">
        <v>115</v>
      </c>
      <c r="E43" s="931"/>
      <c r="F43" s="931"/>
      <c r="G43" s="931"/>
      <c r="H43" s="931"/>
      <c r="I43" s="931"/>
      <c r="J43" s="931"/>
      <c r="K43" s="931"/>
      <c r="L43" s="931"/>
      <c r="M43" s="931"/>
      <c r="N43" s="931"/>
      <c r="O43" s="931"/>
      <c r="P43" s="931"/>
      <c r="Q43" s="931"/>
      <c r="R43" s="931"/>
      <c r="S43" s="931"/>
      <c r="T43" s="931"/>
      <c r="U43" s="931"/>
      <c r="V43" s="931"/>
      <c r="W43" s="932"/>
      <c r="X43" s="880"/>
    </row>
    <row r="44" spans="1:24" ht="12.95" customHeight="1" thickBot="1">
      <c r="A44" s="885"/>
      <c r="B44" s="11" t="s">
        <v>23</v>
      </c>
      <c r="C44" s="12"/>
      <c r="D44" s="927" t="s">
        <v>78</v>
      </c>
      <c r="E44" s="928"/>
      <c r="F44" s="928"/>
      <c r="G44" s="929"/>
      <c r="H44" s="927" t="s">
        <v>77</v>
      </c>
      <c r="I44" s="928"/>
      <c r="J44" s="928"/>
      <c r="K44" s="929"/>
      <c r="L44" s="927" t="s">
        <v>81</v>
      </c>
      <c r="M44" s="928"/>
      <c r="N44" s="928"/>
      <c r="O44" s="929"/>
      <c r="P44" s="927" t="s">
        <v>254</v>
      </c>
      <c r="Q44" s="928"/>
      <c r="R44" s="928"/>
      <c r="S44" s="929"/>
      <c r="T44" s="927" t="s">
        <v>76</v>
      </c>
      <c r="U44" s="928"/>
      <c r="V44" s="928"/>
      <c r="W44" s="929"/>
      <c r="X44" s="880"/>
    </row>
    <row r="45" spans="1:24" ht="12.95" customHeight="1" thickBot="1">
      <c r="A45" s="885"/>
      <c r="B45" s="868" t="s">
        <v>56</v>
      </c>
      <c r="C45" s="9" t="s">
        <v>2</v>
      </c>
      <c r="D45" s="957"/>
      <c r="E45" s="958"/>
      <c r="F45" s="958"/>
      <c r="G45" s="959"/>
      <c r="H45" s="1316"/>
      <c r="I45" s="1317"/>
      <c r="J45" s="1317"/>
      <c r="K45" s="1318"/>
      <c r="L45" s="1337" t="s">
        <v>909</v>
      </c>
      <c r="M45" s="1317"/>
      <c r="N45" s="1317"/>
      <c r="O45" s="1319"/>
      <c r="P45" s="942">
        <v>2.2000000000000002</v>
      </c>
      <c r="Q45" s="943"/>
      <c r="R45" s="943"/>
      <c r="S45" s="944"/>
      <c r="T45" s="1325">
        <v>2.6</v>
      </c>
      <c r="U45" s="1326"/>
      <c r="V45" s="1326"/>
      <c r="W45" s="1327"/>
      <c r="X45" s="880"/>
    </row>
    <row r="46" spans="1:24" ht="13.5" thickBot="1">
      <c r="A46" s="885"/>
      <c r="B46" s="885"/>
      <c r="C46" s="10" t="s">
        <v>3</v>
      </c>
      <c r="D46" s="957"/>
      <c r="E46" s="958"/>
      <c r="F46" s="958"/>
      <c r="G46" s="959"/>
      <c r="H46" s="1328"/>
      <c r="I46" s="1329"/>
      <c r="J46" s="1329"/>
      <c r="K46" s="1330"/>
      <c r="L46" s="1331"/>
      <c r="M46" s="1329"/>
      <c r="N46" s="1329"/>
      <c r="O46" s="1332"/>
      <c r="P46" s="957"/>
      <c r="Q46" s="958"/>
      <c r="R46" s="958"/>
      <c r="S46" s="959"/>
      <c r="T46" s="963">
        <v>0</v>
      </c>
      <c r="U46" s="964"/>
      <c r="V46" s="964"/>
      <c r="W46" s="965"/>
      <c r="X46" s="880"/>
    </row>
    <row r="47" spans="1:24" ht="12.95" customHeight="1" thickBot="1">
      <c r="A47" s="885"/>
      <c r="B47" s="885"/>
      <c r="C47" s="1258" t="s">
        <v>170</v>
      </c>
      <c r="D47" s="927" t="s">
        <v>4</v>
      </c>
      <c r="E47" s="928"/>
      <c r="F47" s="928"/>
      <c r="G47" s="928"/>
      <c r="H47" s="928"/>
      <c r="I47" s="928"/>
      <c r="J47" s="928"/>
      <c r="K47" s="928"/>
      <c r="L47" s="928"/>
      <c r="M47" s="928"/>
      <c r="N47" s="928"/>
      <c r="O47" s="928"/>
      <c r="P47" s="928"/>
      <c r="Q47" s="928"/>
      <c r="R47" s="928"/>
      <c r="S47" s="928"/>
      <c r="T47" s="928"/>
      <c r="U47" s="928"/>
      <c r="V47" s="928"/>
      <c r="W47" s="928"/>
      <c r="X47" s="880"/>
    </row>
    <row r="48" spans="1:24" ht="12.95" customHeight="1" thickBot="1">
      <c r="A48" s="885"/>
      <c r="B48" s="869"/>
      <c r="C48" s="1259"/>
      <c r="D48" s="930" t="s">
        <v>115</v>
      </c>
      <c r="E48" s="931"/>
      <c r="F48" s="931"/>
      <c r="G48" s="931"/>
      <c r="H48" s="931"/>
      <c r="I48" s="931"/>
      <c r="J48" s="931"/>
      <c r="K48" s="931"/>
      <c r="L48" s="931"/>
      <c r="M48" s="931"/>
      <c r="N48" s="931"/>
      <c r="O48" s="931"/>
      <c r="P48" s="931"/>
      <c r="Q48" s="931"/>
      <c r="R48" s="931"/>
      <c r="S48" s="931"/>
      <c r="T48" s="931"/>
      <c r="U48" s="931"/>
      <c r="V48" s="931"/>
      <c r="W48" s="932"/>
      <c r="X48" s="880"/>
    </row>
    <row r="49" spans="1:24" ht="12.95" customHeight="1" thickBot="1">
      <c r="A49" s="885"/>
      <c r="B49" s="11" t="s">
        <v>38</v>
      </c>
      <c r="C49" s="12"/>
      <c r="D49" s="927" t="s">
        <v>78</v>
      </c>
      <c r="E49" s="928"/>
      <c r="F49" s="928"/>
      <c r="G49" s="929"/>
      <c r="H49" s="927" t="s">
        <v>77</v>
      </c>
      <c r="I49" s="928"/>
      <c r="J49" s="928"/>
      <c r="K49" s="929"/>
      <c r="L49" s="927" t="s">
        <v>81</v>
      </c>
      <c r="M49" s="928"/>
      <c r="N49" s="928"/>
      <c r="O49" s="929"/>
      <c r="P49" s="927" t="s">
        <v>254</v>
      </c>
      <c r="Q49" s="928"/>
      <c r="R49" s="928"/>
      <c r="S49" s="929"/>
      <c r="T49" s="927" t="s">
        <v>76</v>
      </c>
      <c r="U49" s="928"/>
      <c r="V49" s="928"/>
      <c r="W49" s="929"/>
      <c r="X49" s="880"/>
    </row>
    <row r="50" spans="1:24" ht="12.95" customHeight="1" thickBot="1">
      <c r="A50" s="885"/>
      <c r="B50" s="868" t="s">
        <v>155</v>
      </c>
      <c r="C50" s="9" t="s">
        <v>2</v>
      </c>
      <c r="D50" s="957"/>
      <c r="E50" s="958"/>
      <c r="F50" s="958"/>
      <c r="G50" s="959"/>
      <c r="H50" s="1316"/>
      <c r="I50" s="1317"/>
      <c r="J50" s="1317"/>
      <c r="K50" s="1318"/>
      <c r="L50" s="1337" t="s">
        <v>909</v>
      </c>
      <c r="M50" s="1317"/>
      <c r="N50" s="1317"/>
      <c r="O50" s="1319"/>
      <c r="P50" s="942">
        <v>3.1</v>
      </c>
      <c r="Q50" s="943"/>
      <c r="R50" s="943"/>
      <c r="S50" s="944"/>
      <c r="T50" s="942">
        <v>3.2</v>
      </c>
      <c r="U50" s="943"/>
      <c r="V50" s="943"/>
      <c r="W50" s="944"/>
      <c r="X50" s="880"/>
    </row>
    <row r="51" spans="1:24" ht="13.5" thickBot="1">
      <c r="A51" s="885"/>
      <c r="B51" s="885"/>
      <c r="C51" s="98" t="s">
        <v>3</v>
      </c>
      <c r="D51" s="957"/>
      <c r="E51" s="958"/>
      <c r="F51" s="958"/>
      <c r="G51" s="959"/>
      <c r="H51" s="1328"/>
      <c r="I51" s="1329"/>
      <c r="J51" s="1329"/>
      <c r="K51" s="1330"/>
      <c r="L51" s="1331"/>
      <c r="M51" s="1329"/>
      <c r="N51" s="1329"/>
      <c r="O51" s="1332"/>
      <c r="P51" s="957"/>
      <c r="Q51" s="958"/>
      <c r="R51" s="958"/>
      <c r="S51" s="959"/>
      <c r="T51" s="963">
        <v>0</v>
      </c>
      <c r="U51" s="964"/>
      <c r="V51" s="964"/>
      <c r="W51" s="965"/>
      <c r="X51" s="880"/>
    </row>
    <row r="52" spans="1:24" ht="12.95" customHeight="1" thickBot="1">
      <c r="A52" s="885"/>
      <c r="B52" s="885"/>
      <c r="C52" s="922" t="s">
        <v>170</v>
      </c>
      <c r="D52" s="927" t="s">
        <v>4</v>
      </c>
      <c r="E52" s="928"/>
      <c r="F52" s="928"/>
      <c r="G52" s="928"/>
      <c r="H52" s="928"/>
      <c r="I52" s="928"/>
      <c r="J52" s="928"/>
      <c r="K52" s="928"/>
      <c r="L52" s="928"/>
      <c r="M52" s="928"/>
      <c r="N52" s="928"/>
      <c r="O52" s="928"/>
      <c r="P52" s="928"/>
      <c r="Q52" s="928"/>
      <c r="R52" s="928"/>
      <c r="S52" s="928"/>
      <c r="T52" s="928"/>
      <c r="U52" s="928"/>
      <c r="V52" s="928"/>
      <c r="W52" s="928"/>
      <c r="X52" s="880"/>
    </row>
    <row r="53" spans="1:24" ht="12.95" customHeight="1" thickBot="1">
      <c r="A53" s="885"/>
      <c r="B53" s="869"/>
      <c r="C53" s="923"/>
      <c r="D53" s="930" t="s">
        <v>115</v>
      </c>
      <c r="E53" s="931"/>
      <c r="F53" s="931"/>
      <c r="G53" s="931"/>
      <c r="H53" s="931"/>
      <c r="I53" s="931"/>
      <c r="J53" s="931"/>
      <c r="K53" s="931"/>
      <c r="L53" s="931"/>
      <c r="M53" s="931"/>
      <c r="N53" s="931"/>
      <c r="O53" s="931"/>
      <c r="P53" s="931"/>
      <c r="Q53" s="931"/>
      <c r="R53" s="931"/>
      <c r="S53" s="931"/>
      <c r="T53" s="931"/>
      <c r="U53" s="931"/>
      <c r="V53" s="931"/>
      <c r="W53" s="932"/>
      <c r="X53" s="880"/>
    </row>
    <row r="54" spans="1:24" ht="12.95" customHeight="1" thickBot="1">
      <c r="A54" s="885"/>
      <c r="B54" s="11" t="s">
        <v>39</v>
      </c>
      <c r="C54" s="12"/>
      <c r="D54" s="927" t="s">
        <v>78</v>
      </c>
      <c r="E54" s="928"/>
      <c r="F54" s="928"/>
      <c r="G54" s="929"/>
      <c r="H54" s="927" t="s">
        <v>77</v>
      </c>
      <c r="I54" s="928"/>
      <c r="J54" s="928"/>
      <c r="K54" s="929"/>
      <c r="L54" s="927" t="s">
        <v>81</v>
      </c>
      <c r="M54" s="928"/>
      <c r="N54" s="928"/>
      <c r="O54" s="929"/>
      <c r="P54" s="927" t="s">
        <v>254</v>
      </c>
      <c r="Q54" s="928"/>
      <c r="R54" s="928"/>
      <c r="S54" s="929"/>
      <c r="T54" s="927" t="s">
        <v>76</v>
      </c>
      <c r="U54" s="928"/>
      <c r="V54" s="928"/>
      <c r="W54" s="929"/>
      <c r="X54" s="880"/>
    </row>
    <row r="55" spans="1:24" ht="44.1" customHeight="1" thickBot="1">
      <c r="A55" s="885"/>
      <c r="B55" s="978" t="s">
        <v>575</v>
      </c>
      <c r="C55" s="9"/>
      <c r="D55" s="20" t="s">
        <v>105</v>
      </c>
      <c r="E55" s="20" t="s">
        <v>579</v>
      </c>
      <c r="F55" s="20" t="s">
        <v>580</v>
      </c>
      <c r="G55" s="20" t="s">
        <v>581</v>
      </c>
      <c r="H55" s="20" t="s">
        <v>105</v>
      </c>
      <c r="I55" s="20" t="s">
        <v>579</v>
      </c>
      <c r="J55" s="20" t="s">
        <v>580</v>
      </c>
      <c r="K55" s="20" t="s">
        <v>581</v>
      </c>
      <c r="L55" s="20" t="s">
        <v>105</v>
      </c>
      <c r="M55" s="20" t="s">
        <v>579</v>
      </c>
      <c r="N55" s="20" t="s">
        <v>580</v>
      </c>
      <c r="O55" s="20" t="s">
        <v>581</v>
      </c>
      <c r="P55" s="20" t="s">
        <v>105</v>
      </c>
      <c r="Q55" s="20" t="s">
        <v>579</v>
      </c>
      <c r="R55" s="20" t="s">
        <v>580</v>
      </c>
      <c r="S55" s="20" t="s">
        <v>581</v>
      </c>
      <c r="T55" s="20" t="s">
        <v>105</v>
      </c>
      <c r="U55" s="20" t="s">
        <v>579</v>
      </c>
      <c r="V55" s="20" t="s">
        <v>580</v>
      </c>
      <c r="W55" s="20" t="s">
        <v>581</v>
      </c>
      <c r="X55" s="880"/>
    </row>
    <row r="56" spans="1:24" ht="12.95" customHeight="1" thickBot="1">
      <c r="A56" s="885"/>
      <c r="B56" s="979"/>
      <c r="C56" s="9" t="s">
        <v>2</v>
      </c>
      <c r="D56" s="957"/>
      <c r="E56" s="958"/>
      <c r="F56" s="958"/>
      <c r="G56" s="959"/>
      <c r="H56" s="1316"/>
      <c r="I56" s="1317"/>
      <c r="J56" s="1317"/>
      <c r="K56" s="1318"/>
      <c r="L56" s="1337" t="s">
        <v>909</v>
      </c>
      <c r="M56" s="1317"/>
      <c r="N56" s="1317"/>
      <c r="O56" s="1318"/>
      <c r="P56" s="18">
        <v>0</v>
      </c>
      <c r="Q56" s="18">
        <v>0</v>
      </c>
      <c r="R56" s="18">
        <v>0</v>
      </c>
      <c r="S56" s="18">
        <v>0</v>
      </c>
      <c r="T56" s="18">
        <v>1</v>
      </c>
      <c r="U56" s="18">
        <v>1</v>
      </c>
      <c r="V56" s="18">
        <v>0</v>
      </c>
      <c r="W56" s="18">
        <v>0</v>
      </c>
      <c r="X56" s="880"/>
    </row>
    <row r="57" spans="1:24" ht="24" customHeight="1" thickBot="1">
      <c r="A57" s="885"/>
      <c r="B57" s="169" t="s">
        <v>159</v>
      </c>
      <c r="C57" s="10" t="s">
        <v>3</v>
      </c>
      <c r="D57" s="957"/>
      <c r="E57" s="958"/>
      <c r="F57" s="958"/>
      <c r="G57" s="959"/>
      <c r="H57" s="1328"/>
      <c r="I57" s="1329"/>
      <c r="J57" s="1329"/>
      <c r="K57" s="1330"/>
      <c r="L57" s="1331"/>
      <c r="M57" s="1329"/>
      <c r="N57" s="1329"/>
      <c r="O57" s="1332"/>
      <c r="P57" s="957"/>
      <c r="Q57" s="958">
        <v>0</v>
      </c>
      <c r="R57" s="958">
        <v>0</v>
      </c>
      <c r="S57" s="959">
        <v>0</v>
      </c>
      <c r="T57" s="68">
        <v>0</v>
      </c>
      <c r="U57" s="68">
        <v>0</v>
      </c>
      <c r="V57" s="68">
        <v>0</v>
      </c>
      <c r="W57" s="68">
        <v>0</v>
      </c>
      <c r="X57" s="880"/>
    </row>
    <row r="58" spans="1:24" ht="36.75" thickBot="1">
      <c r="A58" s="885"/>
      <c r="B58" s="169" t="s">
        <v>576</v>
      </c>
      <c r="C58" s="1258" t="s">
        <v>170</v>
      </c>
      <c r="D58" s="927" t="s">
        <v>4</v>
      </c>
      <c r="E58" s="928"/>
      <c r="F58" s="928"/>
      <c r="G58" s="928"/>
      <c r="H58" s="928"/>
      <c r="I58" s="928"/>
      <c r="J58" s="928"/>
      <c r="K58" s="928"/>
      <c r="L58" s="928"/>
      <c r="M58" s="928"/>
      <c r="N58" s="928"/>
      <c r="O58" s="928"/>
      <c r="P58" s="928"/>
      <c r="Q58" s="928"/>
      <c r="R58" s="928"/>
      <c r="S58" s="928"/>
      <c r="T58" s="928"/>
      <c r="U58" s="928"/>
      <c r="V58" s="928"/>
      <c r="W58" s="928"/>
      <c r="X58" s="880"/>
    </row>
    <row r="59" spans="1:24" ht="12.95" customHeight="1" thickBot="1">
      <c r="A59" s="869"/>
      <c r="B59" s="176" t="s">
        <v>577</v>
      </c>
      <c r="C59" s="1259"/>
      <c r="D59" s="930" t="s">
        <v>126</v>
      </c>
      <c r="E59" s="931"/>
      <c r="F59" s="931"/>
      <c r="G59" s="931"/>
      <c r="H59" s="931"/>
      <c r="I59" s="931"/>
      <c r="J59" s="931"/>
      <c r="K59" s="931"/>
      <c r="L59" s="931"/>
      <c r="M59" s="931"/>
      <c r="N59" s="931"/>
      <c r="O59" s="931"/>
      <c r="P59" s="931"/>
      <c r="Q59" s="931"/>
      <c r="R59" s="931"/>
      <c r="S59" s="931"/>
      <c r="T59" s="931"/>
      <c r="U59" s="931"/>
      <c r="V59" s="931"/>
      <c r="W59" s="932"/>
      <c r="X59" s="881"/>
    </row>
    <row r="60" spans="1:24" ht="12.95" customHeight="1" thickBot="1">
      <c r="A60" s="906" t="s">
        <v>7</v>
      </c>
      <c r="B60" s="908" t="s">
        <v>173</v>
      </c>
      <c r="C60" s="909"/>
      <c r="D60" s="908" t="s">
        <v>8</v>
      </c>
      <c r="E60" s="918"/>
      <c r="F60" s="918"/>
      <c r="G60" s="909"/>
      <c r="H60" s="908" t="s">
        <v>88</v>
      </c>
      <c r="I60" s="918"/>
      <c r="J60" s="918"/>
      <c r="K60" s="909"/>
      <c r="L60" s="908" t="s">
        <v>89</v>
      </c>
      <c r="M60" s="918"/>
      <c r="N60" s="918"/>
      <c r="O60" s="909"/>
      <c r="P60" s="908" t="s">
        <v>9</v>
      </c>
      <c r="Q60" s="918"/>
      <c r="R60" s="918"/>
      <c r="S60" s="909"/>
      <c r="T60" s="908" t="s">
        <v>174</v>
      </c>
      <c r="U60" s="918"/>
      <c r="V60" s="918"/>
      <c r="W60" s="918"/>
      <c r="X60" s="909"/>
    </row>
    <row r="61" spans="1:24" ht="13.5" thickBot="1">
      <c r="A61" s="907"/>
      <c r="B61" s="916">
        <f>SUM(B82+B103+B132+B164+B180)</f>
        <v>0</v>
      </c>
      <c r="C61" s="917"/>
      <c r="D61" s="1274" t="e">
        <f>SUM(D82+D103+D132+D164+D180)</f>
        <v>#VALUE!</v>
      </c>
      <c r="E61" s="994"/>
      <c r="F61" s="994">
        <f>SUM(F82+F103+F132+F164+F180)</f>
        <v>0</v>
      </c>
      <c r="G61" s="917"/>
      <c r="H61" s="1274">
        <f>SUM(H82+H103+H132+H164+H180)</f>
        <v>0</v>
      </c>
      <c r="I61" s="994"/>
      <c r="J61" s="994">
        <f>SUM(J82+J103+J132+J164+J180)</f>
        <v>0</v>
      </c>
      <c r="K61" s="917"/>
      <c r="L61" s="1274">
        <f>SUM(L82+L103+L132+L164+L180)</f>
        <v>0</v>
      </c>
      <c r="M61" s="994"/>
      <c r="N61" s="994">
        <f>SUM(N82+N103+N132+N164+N180)</f>
        <v>0</v>
      </c>
      <c r="O61" s="917"/>
      <c r="P61" s="916" t="e">
        <f>SUM(B61:O61)</f>
        <v>#VALUE!</v>
      </c>
      <c r="Q61" s="994"/>
      <c r="R61" s="994"/>
      <c r="S61" s="917"/>
      <c r="T61" s="916" t="e">
        <f>B61/P61%</f>
        <v>#VALUE!</v>
      </c>
      <c r="U61" s="994"/>
      <c r="V61" s="994"/>
      <c r="W61" s="994"/>
      <c r="X61" s="917"/>
    </row>
    <row r="62" spans="1:24" ht="13.5" thickBot="1">
      <c r="A62" s="906" t="s">
        <v>10</v>
      </c>
      <c r="B62" s="908" t="s">
        <v>175</v>
      </c>
      <c r="C62" s="909"/>
      <c r="D62" s="910"/>
      <c r="E62" s="911"/>
      <c r="F62" s="911"/>
      <c r="G62" s="911"/>
      <c r="H62" s="911"/>
      <c r="I62" s="911"/>
      <c r="J62" s="911"/>
      <c r="K62" s="911"/>
      <c r="L62" s="911"/>
      <c r="M62" s="911"/>
      <c r="N62" s="911"/>
      <c r="O62" s="911"/>
      <c r="P62" s="911"/>
      <c r="Q62" s="911"/>
      <c r="R62" s="911"/>
      <c r="S62" s="911"/>
      <c r="T62" s="911"/>
      <c r="U62" s="911"/>
      <c r="V62" s="911"/>
      <c r="W62" s="911"/>
      <c r="X62" s="912"/>
    </row>
    <row r="63" spans="1:24" ht="13.5" thickBot="1">
      <c r="A63" s="907"/>
      <c r="B63" s="916" t="e">
        <f>SUM(B84+B105+B134+B166+B182)</f>
        <v>#VALUE!</v>
      </c>
      <c r="C63" s="917"/>
      <c r="D63" s="913"/>
      <c r="E63" s="914"/>
      <c r="F63" s="914"/>
      <c r="G63" s="914"/>
      <c r="H63" s="914"/>
      <c r="I63" s="914"/>
      <c r="J63" s="914"/>
      <c r="K63" s="914"/>
      <c r="L63" s="914"/>
      <c r="M63" s="914"/>
      <c r="N63" s="914"/>
      <c r="O63" s="914"/>
      <c r="P63" s="914"/>
      <c r="Q63" s="914"/>
      <c r="R63" s="914"/>
      <c r="S63" s="914"/>
      <c r="T63" s="914"/>
      <c r="U63" s="914"/>
      <c r="V63" s="914"/>
      <c r="W63" s="914"/>
      <c r="X63" s="915"/>
    </row>
    <row r="64" spans="1:24">
      <c r="A64" s="5"/>
      <c r="B64" s="5"/>
      <c r="C64" s="6"/>
      <c r="D64" s="5"/>
      <c r="E64" s="5"/>
      <c r="F64" s="5"/>
      <c r="G64" s="5"/>
      <c r="H64" s="5"/>
      <c r="I64" s="5"/>
      <c r="J64" s="5"/>
      <c r="K64" s="5"/>
      <c r="L64" s="5"/>
      <c r="M64" s="5"/>
      <c r="N64" s="5"/>
      <c r="O64" s="5"/>
      <c r="P64" s="5"/>
      <c r="Q64" s="5"/>
      <c r="R64" s="5"/>
      <c r="S64" s="5"/>
      <c r="T64" s="5"/>
      <c r="U64" s="5"/>
      <c r="V64" s="5"/>
      <c r="W64" s="5"/>
      <c r="X64" s="5"/>
    </row>
    <row r="65" spans="1:24" ht="13.5" thickBot="1">
      <c r="A65" s="21"/>
      <c r="B65" s="21"/>
      <c r="C65" s="22"/>
      <c r="D65" s="21"/>
      <c r="E65" s="21"/>
      <c r="F65" s="21"/>
      <c r="G65" s="21"/>
      <c r="H65" s="21"/>
      <c r="I65" s="21"/>
      <c r="J65" s="21"/>
      <c r="K65" s="21"/>
      <c r="L65" s="21"/>
      <c r="M65" s="21"/>
      <c r="N65" s="21"/>
      <c r="O65" s="21"/>
      <c r="P65" s="21"/>
      <c r="Q65" s="21"/>
      <c r="R65" s="21"/>
      <c r="S65" s="21"/>
      <c r="T65" s="21"/>
      <c r="U65" s="21"/>
      <c r="V65" s="21"/>
      <c r="W65" s="21"/>
      <c r="X65" s="21"/>
    </row>
    <row r="66" spans="1:24" ht="12.95" customHeight="1" thickBot="1">
      <c r="A66" s="95" t="s">
        <v>11</v>
      </c>
      <c r="B66" s="97" t="s">
        <v>16</v>
      </c>
      <c r="C66" s="8"/>
      <c r="D66" s="927" t="s">
        <v>78</v>
      </c>
      <c r="E66" s="928"/>
      <c r="F66" s="928"/>
      <c r="G66" s="929"/>
      <c r="H66" s="927" t="s">
        <v>77</v>
      </c>
      <c r="I66" s="928"/>
      <c r="J66" s="928"/>
      <c r="K66" s="929"/>
      <c r="L66" s="927" t="s">
        <v>81</v>
      </c>
      <c r="M66" s="928"/>
      <c r="N66" s="928"/>
      <c r="O66" s="929"/>
      <c r="P66" s="927" t="s">
        <v>254</v>
      </c>
      <c r="Q66" s="928"/>
      <c r="R66" s="928"/>
      <c r="S66" s="929"/>
      <c r="T66" s="927" t="s">
        <v>76</v>
      </c>
      <c r="U66" s="928"/>
      <c r="V66" s="928"/>
      <c r="W66" s="929"/>
      <c r="X66" s="16" t="s">
        <v>12</v>
      </c>
    </row>
    <row r="67" spans="1:24" ht="12.95" customHeight="1" thickBot="1">
      <c r="A67" s="868" t="s">
        <v>57</v>
      </c>
      <c r="B67" s="868" t="s">
        <v>58</v>
      </c>
      <c r="C67" s="9" t="s">
        <v>2</v>
      </c>
      <c r="D67" s="957"/>
      <c r="E67" s="958"/>
      <c r="F67" s="958"/>
      <c r="G67" s="959"/>
      <c r="H67" s="1316"/>
      <c r="I67" s="1317"/>
      <c r="J67" s="1317"/>
      <c r="K67" s="1318"/>
      <c r="L67" s="1334" t="s">
        <v>1508</v>
      </c>
      <c r="M67" s="1335"/>
      <c r="N67" s="1335"/>
      <c r="O67" s="1336"/>
      <c r="P67" s="1209">
        <v>1.2</v>
      </c>
      <c r="Q67" s="1210"/>
      <c r="R67" s="1210"/>
      <c r="S67" s="1211"/>
      <c r="T67" s="1209">
        <v>1.3</v>
      </c>
      <c r="U67" s="1210"/>
      <c r="V67" s="1210"/>
      <c r="W67" s="1211"/>
      <c r="X67" s="879" t="s">
        <v>97</v>
      </c>
    </row>
    <row r="68" spans="1:24" ht="13.5" thickBot="1">
      <c r="A68" s="885"/>
      <c r="B68" s="885"/>
      <c r="C68" s="10" t="s">
        <v>3</v>
      </c>
      <c r="D68" s="957"/>
      <c r="E68" s="958"/>
      <c r="F68" s="958"/>
      <c r="G68" s="959"/>
      <c r="H68" s="1328"/>
      <c r="I68" s="1329"/>
      <c r="J68" s="1329"/>
      <c r="K68" s="1330"/>
      <c r="L68" s="1331"/>
      <c r="M68" s="1329"/>
      <c r="N68" s="1329"/>
      <c r="O68" s="1332"/>
      <c r="P68" s="957"/>
      <c r="Q68" s="958"/>
      <c r="R68" s="958"/>
      <c r="S68" s="959"/>
      <c r="T68" s="963">
        <v>0</v>
      </c>
      <c r="U68" s="964"/>
      <c r="V68" s="964"/>
      <c r="W68" s="965"/>
      <c r="X68" s="880"/>
    </row>
    <row r="69" spans="1:24" ht="12.95" customHeight="1" thickBot="1">
      <c r="A69" s="885"/>
      <c r="B69" s="885"/>
      <c r="C69" s="1258" t="s">
        <v>170</v>
      </c>
      <c r="D69" s="927" t="s">
        <v>4</v>
      </c>
      <c r="E69" s="928"/>
      <c r="F69" s="928"/>
      <c r="G69" s="928"/>
      <c r="H69" s="928"/>
      <c r="I69" s="928"/>
      <c r="J69" s="928"/>
      <c r="K69" s="928"/>
      <c r="L69" s="928"/>
      <c r="M69" s="928"/>
      <c r="N69" s="928"/>
      <c r="O69" s="928"/>
      <c r="P69" s="928"/>
      <c r="Q69" s="928"/>
      <c r="R69" s="928"/>
      <c r="S69" s="928"/>
      <c r="T69" s="928"/>
      <c r="U69" s="928"/>
      <c r="V69" s="928"/>
      <c r="W69" s="929"/>
      <c r="X69" s="880"/>
    </row>
    <row r="70" spans="1:24" ht="12.95" customHeight="1" thickBot="1">
      <c r="A70" s="885"/>
      <c r="B70" s="869"/>
      <c r="C70" s="1259"/>
      <c r="D70" s="930" t="s">
        <v>272</v>
      </c>
      <c r="E70" s="931"/>
      <c r="F70" s="931"/>
      <c r="G70" s="931"/>
      <c r="H70" s="931"/>
      <c r="I70" s="931"/>
      <c r="J70" s="931"/>
      <c r="K70" s="931"/>
      <c r="L70" s="931"/>
      <c r="M70" s="931"/>
      <c r="N70" s="931"/>
      <c r="O70" s="931"/>
      <c r="P70" s="931"/>
      <c r="Q70" s="931"/>
      <c r="R70" s="931"/>
      <c r="S70" s="931"/>
      <c r="T70" s="931"/>
      <c r="U70" s="931"/>
      <c r="V70" s="931"/>
      <c r="W70" s="932"/>
      <c r="X70" s="880"/>
    </row>
    <row r="71" spans="1:24" ht="12.95" customHeight="1" thickBot="1">
      <c r="A71" s="885"/>
      <c r="B71" s="11" t="s">
        <v>17</v>
      </c>
      <c r="C71" s="12"/>
      <c r="D71" s="927" t="s">
        <v>78</v>
      </c>
      <c r="E71" s="928"/>
      <c r="F71" s="928"/>
      <c r="G71" s="929"/>
      <c r="H71" s="927" t="s">
        <v>77</v>
      </c>
      <c r="I71" s="928"/>
      <c r="J71" s="928"/>
      <c r="K71" s="929"/>
      <c r="L71" s="927" t="s">
        <v>81</v>
      </c>
      <c r="M71" s="928"/>
      <c r="N71" s="928"/>
      <c r="O71" s="929"/>
      <c r="P71" s="927" t="s">
        <v>254</v>
      </c>
      <c r="Q71" s="928"/>
      <c r="R71" s="928"/>
      <c r="S71" s="929"/>
      <c r="T71" s="927" t="s">
        <v>76</v>
      </c>
      <c r="U71" s="928"/>
      <c r="V71" s="928"/>
      <c r="W71" s="929"/>
      <c r="X71" s="880"/>
    </row>
    <row r="72" spans="1:24" ht="12.95" customHeight="1" thickBot="1">
      <c r="A72" s="885"/>
      <c r="B72" s="868" t="s">
        <v>59</v>
      </c>
      <c r="C72" s="23" t="s">
        <v>2</v>
      </c>
      <c r="D72" s="957"/>
      <c r="E72" s="958"/>
      <c r="F72" s="958"/>
      <c r="G72" s="959"/>
      <c r="H72" s="1316"/>
      <c r="I72" s="1317"/>
      <c r="J72" s="1317"/>
      <c r="K72" s="1318"/>
      <c r="L72" s="1334" t="s">
        <v>1508</v>
      </c>
      <c r="M72" s="1335"/>
      <c r="N72" s="1335"/>
      <c r="O72" s="1336"/>
      <c r="P72" s="1209">
        <v>2</v>
      </c>
      <c r="Q72" s="1210"/>
      <c r="R72" s="1210"/>
      <c r="S72" s="1211"/>
      <c r="T72" s="1209">
        <v>2.1</v>
      </c>
      <c r="U72" s="1210"/>
      <c r="V72" s="1210"/>
      <c r="W72" s="1211"/>
      <c r="X72" s="880"/>
    </row>
    <row r="73" spans="1:24" ht="13.5" thickBot="1">
      <c r="A73" s="885"/>
      <c r="B73" s="885"/>
      <c r="C73" s="9" t="s">
        <v>3</v>
      </c>
      <c r="D73" s="957"/>
      <c r="E73" s="958"/>
      <c r="F73" s="958"/>
      <c r="G73" s="959"/>
      <c r="H73" s="1328"/>
      <c r="I73" s="1329"/>
      <c r="J73" s="1329"/>
      <c r="K73" s="1330"/>
      <c r="L73" s="1331"/>
      <c r="M73" s="1329"/>
      <c r="N73" s="1329"/>
      <c r="O73" s="1332"/>
      <c r="P73" s="957"/>
      <c r="Q73" s="958"/>
      <c r="R73" s="958"/>
      <c r="S73" s="959"/>
      <c r="T73" s="963">
        <v>0</v>
      </c>
      <c r="U73" s="964"/>
      <c r="V73" s="964"/>
      <c r="W73" s="965"/>
      <c r="X73" s="880"/>
    </row>
    <row r="74" spans="1:24" ht="12.95" customHeight="1" thickBot="1">
      <c r="A74" s="885"/>
      <c r="B74" s="885"/>
      <c r="C74" s="1258" t="s">
        <v>170</v>
      </c>
      <c r="D74" s="927" t="s">
        <v>4</v>
      </c>
      <c r="E74" s="928"/>
      <c r="F74" s="928"/>
      <c r="G74" s="928"/>
      <c r="H74" s="928"/>
      <c r="I74" s="928"/>
      <c r="J74" s="928"/>
      <c r="K74" s="928"/>
      <c r="L74" s="928"/>
      <c r="M74" s="928"/>
      <c r="N74" s="928"/>
      <c r="O74" s="928"/>
      <c r="P74" s="928"/>
      <c r="Q74" s="928"/>
      <c r="R74" s="928"/>
      <c r="S74" s="928"/>
      <c r="T74" s="928"/>
      <c r="U74" s="928"/>
      <c r="V74" s="928"/>
      <c r="W74" s="929"/>
      <c r="X74" s="880"/>
    </row>
    <row r="75" spans="1:24" ht="12.95" customHeight="1" thickBot="1">
      <c r="A75" s="885"/>
      <c r="B75" s="869"/>
      <c r="C75" s="1259"/>
      <c r="D75" s="930" t="s">
        <v>118</v>
      </c>
      <c r="E75" s="931"/>
      <c r="F75" s="931"/>
      <c r="G75" s="931"/>
      <c r="H75" s="931"/>
      <c r="I75" s="931"/>
      <c r="J75" s="931"/>
      <c r="K75" s="931"/>
      <c r="L75" s="931"/>
      <c r="M75" s="931"/>
      <c r="N75" s="931"/>
      <c r="O75" s="931"/>
      <c r="P75" s="931"/>
      <c r="Q75" s="931"/>
      <c r="R75" s="931"/>
      <c r="S75" s="931"/>
      <c r="T75" s="931"/>
      <c r="U75" s="931"/>
      <c r="V75" s="931"/>
      <c r="W75" s="932"/>
      <c r="X75" s="880"/>
    </row>
    <row r="76" spans="1:24" ht="12.95" customHeight="1" thickBot="1">
      <c r="A76" s="885"/>
      <c r="B76" s="11" t="s">
        <v>18</v>
      </c>
      <c r="C76" s="12"/>
      <c r="D76" s="927" t="s">
        <v>78</v>
      </c>
      <c r="E76" s="928"/>
      <c r="F76" s="928"/>
      <c r="G76" s="929"/>
      <c r="H76" s="927" t="s">
        <v>77</v>
      </c>
      <c r="I76" s="928"/>
      <c r="J76" s="928"/>
      <c r="K76" s="929"/>
      <c r="L76" s="927" t="s">
        <v>81</v>
      </c>
      <c r="M76" s="928"/>
      <c r="N76" s="928"/>
      <c r="O76" s="929"/>
      <c r="P76" s="927" t="s">
        <v>254</v>
      </c>
      <c r="Q76" s="928"/>
      <c r="R76" s="928"/>
      <c r="S76" s="929"/>
      <c r="T76" s="927" t="s">
        <v>76</v>
      </c>
      <c r="U76" s="928"/>
      <c r="V76" s="928"/>
      <c r="W76" s="929"/>
      <c r="X76" s="880"/>
    </row>
    <row r="77" spans="1:24" ht="12.95" customHeight="1" thickBot="1">
      <c r="A77" s="885"/>
      <c r="B77" s="868" t="s">
        <v>60</v>
      </c>
      <c r="C77" s="23" t="s">
        <v>2</v>
      </c>
      <c r="D77" s="957"/>
      <c r="E77" s="958"/>
      <c r="F77" s="958"/>
      <c r="G77" s="959"/>
      <c r="H77" s="1316"/>
      <c r="I77" s="1317"/>
      <c r="J77" s="1317"/>
      <c r="K77" s="1318"/>
      <c r="L77" s="1337" t="s">
        <v>909</v>
      </c>
      <c r="M77" s="1317"/>
      <c r="N77" s="1317"/>
      <c r="O77" s="1319"/>
      <c r="P77" s="951">
        <v>0</v>
      </c>
      <c r="Q77" s="969"/>
      <c r="R77" s="969"/>
      <c r="S77" s="952"/>
      <c r="T77" s="951">
        <v>0</v>
      </c>
      <c r="U77" s="969"/>
      <c r="V77" s="969"/>
      <c r="W77" s="952"/>
      <c r="X77" s="880"/>
    </row>
    <row r="78" spans="1:24" ht="13.5" thickBot="1">
      <c r="A78" s="869"/>
      <c r="B78" s="885"/>
      <c r="C78" s="9" t="s">
        <v>3</v>
      </c>
      <c r="D78" s="957"/>
      <c r="E78" s="958"/>
      <c r="F78" s="958"/>
      <c r="G78" s="959"/>
      <c r="H78" s="1328"/>
      <c r="I78" s="1329"/>
      <c r="J78" s="1329"/>
      <c r="K78" s="1330"/>
      <c r="L78" s="1331"/>
      <c r="M78" s="1329"/>
      <c r="N78" s="1329"/>
      <c r="O78" s="1332"/>
      <c r="P78" s="957"/>
      <c r="Q78" s="958"/>
      <c r="R78" s="958"/>
      <c r="S78" s="959"/>
      <c r="T78" s="939">
        <v>0</v>
      </c>
      <c r="U78" s="970"/>
      <c r="V78" s="970"/>
      <c r="W78" s="953"/>
      <c r="X78" s="881"/>
    </row>
    <row r="79" spans="1:24" ht="12.95" customHeight="1" thickBot="1">
      <c r="A79" s="96" t="s">
        <v>13</v>
      </c>
      <c r="B79" s="885"/>
      <c r="C79" s="1258" t="s">
        <v>170</v>
      </c>
      <c r="D79" s="927" t="s">
        <v>4</v>
      </c>
      <c r="E79" s="928"/>
      <c r="F79" s="928"/>
      <c r="G79" s="928"/>
      <c r="H79" s="928"/>
      <c r="I79" s="928"/>
      <c r="J79" s="928"/>
      <c r="K79" s="928"/>
      <c r="L79" s="928"/>
      <c r="M79" s="928"/>
      <c r="N79" s="928"/>
      <c r="O79" s="928"/>
      <c r="P79" s="928"/>
      <c r="Q79" s="928"/>
      <c r="R79" s="928"/>
      <c r="S79" s="928"/>
      <c r="T79" s="928"/>
      <c r="U79" s="928"/>
      <c r="V79" s="928"/>
      <c r="W79" s="929"/>
      <c r="X79" s="24" t="s">
        <v>14</v>
      </c>
    </row>
    <row r="80" spans="1:24" ht="12.95" customHeight="1" thickBot="1">
      <c r="A80" s="25" t="s">
        <v>75</v>
      </c>
      <c r="B80" s="869"/>
      <c r="C80" s="1259"/>
      <c r="D80" s="930" t="s">
        <v>119</v>
      </c>
      <c r="E80" s="931"/>
      <c r="F80" s="931"/>
      <c r="G80" s="931"/>
      <c r="H80" s="931"/>
      <c r="I80" s="931"/>
      <c r="J80" s="931"/>
      <c r="K80" s="931"/>
      <c r="L80" s="931"/>
      <c r="M80" s="931"/>
      <c r="N80" s="931"/>
      <c r="O80" s="931"/>
      <c r="P80" s="931"/>
      <c r="Q80" s="931"/>
      <c r="R80" s="931"/>
      <c r="S80" s="931"/>
      <c r="T80" s="931"/>
      <c r="U80" s="931"/>
      <c r="V80" s="931"/>
      <c r="W80" s="932"/>
      <c r="X80" s="18" t="s">
        <v>92</v>
      </c>
    </row>
    <row r="81" spans="1:24" ht="12.95" customHeight="1" thickBot="1">
      <c r="A81" s="906" t="s">
        <v>7</v>
      </c>
      <c r="B81" s="908" t="s">
        <v>173</v>
      </c>
      <c r="C81" s="909"/>
      <c r="D81" s="908" t="s">
        <v>8</v>
      </c>
      <c r="E81" s="918"/>
      <c r="F81" s="918"/>
      <c r="G81" s="909"/>
      <c r="H81" s="908" t="s">
        <v>88</v>
      </c>
      <c r="I81" s="918"/>
      <c r="J81" s="918"/>
      <c r="K81" s="909"/>
      <c r="L81" s="908" t="s">
        <v>89</v>
      </c>
      <c r="M81" s="918"/>
      <c r="N81" s="918"/>
      <c r="O81" s="909"/>
      <c r="P81" s="908" t="s">
        <v>9</v>
      </c>
      <c r="Q81" s="918"/>
      <c r="R81" s="918"/>
      <c r="S81" s="909"/>
      <c r="T81" s="908" t="s">
        <v>174</v>
      </c>
      <c r="U81" s="918"/>
      <c r="V81" s="918"/>
      <c r="W81" s="918"/>
      <c r="X81" s="909"/>
    </row>
    <row r="82" spans="1:24" ht="13.5" thickBot="1">
      <c r="A82" s="907"/>
      <c r="B82" s="1256"/>
      <c r="C82" s="1257"/>
      <c r="D82" s="916"/>
      <c r="E82" s="994"/>
      <c r="F82" s="994"/>
      <c r="G82" s="917"/>
      <c r="H82" s="916"/>
      <c r="I82" s="994"/>
      <c r="J82" s="994"/>
      <c r="K82" s="917"/>
      <c r="L82" s="916"/>
      <c r="M82" s="994"/>
      <c r="N82" s="994"/>
      <c r="O82" s="917"/>
      <c r="P82" s="916">
        <f>SUM(B82:O82)</f>
        <v>0</v>
      </c>
      <c r="Q82" s="994"/>
      <c r="R82" s="994"/>
      <c r="S82" s="917"/>
      <c r="T82" s="916" t="e">
        <f>B82/P82%</f>
        <v>#DIV/0!</v>
      </c>
      <c r="U82" s="994"/>
      <c r="V82" s="994"/>
      <c r="W82" s="994"/>
      <c r="X82" s="917"/>
    </row>
    <row r="83" spans="1:24" ht="13.5" thickBot="1">
      <c r="A83" s="906" t="s">
        <v>10</v>
      </c>
      <c r="B83" s="908" t="s">
        <v>175</v>
      </c>
      <c r="C83" s="909"/>
      <c r="D83" s="910"/>
      <c r="E83" s="911"/>
      <c r="F83" s="911"/>
      <c r="G83" s="911"/>
      <c r="H83" s="911"/>
      <c r="I83" s="911"/>
      <c r="J83" s="911"/>
      <c r="K83" s="911"/>
      <c r="L83" s="911"/>
      <c r="M83" s="911"/>
      <c r="N83" s="911"/>
      <c r="O83" s="911"/>
      <c r="P83" s="911"/>
      <c r="Q83" s="911"/>
      <c r="R83" s="911"/>
      <c r="S83" s="911"/>
      <c r="T83" s="911"/>
      <c r="U83" s="911"/>
      <c r="V83" s="911"/>
      <c r="W83" s="911"/>
      <c r="X83" s="912"/>
    </row>
    <row r="84" spans="1:24" ht="13.5" thickBot="1">
      <c r="A84" s="907"/>
      <c r="B84" s="1256"/>
      <c r="C84" s="1257"/>
      <c r="D84" s="913"/>
      <c r="E84" s="914"/>
      <c r="F84" s="914"/>
      <c r="G84" s="914"/>
      <c r="H84" s="914"/>
      <c r="I84" s="914"/>
      <c r="J84" s="914"/>
      <c r="K84" s="914"/>
      <c r="L84" s="914"/>
      <c r="M84" s="914"/>
      <c r="N84" s="914"/>
      <c r="O84" s="914"/>
      <c r="P84" s="914"/>
      <c r="Q84" s="914"/>
      <c r="R84" s="914"/>
      <c r="S84" s="914"/>
      <c r="T84" s="914"/>
      <c r="U84" s="914"/>
      <c r="V84" s="914"/>
      <c r="W84" s="914"/>
      <c r="X84" s="915"/>
    </row>
    <row r="85" spans="1:24">
      <c r="A85" s="5"/>
      <c r="B85" s="5"/>
      <c r="C85" s="6"/>
      <c r="D85" s="5"/>
      <c r="E85" s="5"/>
      <c r="F85" s="5"/>
      <c r="G85" s="5"/>
      <c r="H85" s="5"/>
      <c r="I85" s="5"/>
      <c r="J85" s="5"/>
      <c r="K85" s="5"/>
      <c r="L85" s="5"/>
      <c r="M85" s="5"/>
      <c r="N85" s="5"/>
      <c r="O85" s="5"/>
      <c r="P85" s="5"/>
      <c r="Q85" s="5"/>
      <c r="R85" s="5"/>
      <c r="S85" s="5"/>
      <c r="T85" s="5"/>
      <c r="U85" s="5"/>
      <c r="V85" s="5"/>
      <c r="W85" s="5"/>
      <c r="X85" s="5"/>
    </row>
    <row r="86" spans="1:24" ht="13.5" thickBot="1">
      <c r="A86" s="5"/>
      <c r="B86" s="5"/>
      <c r="C86" s="6"/>
      <c r="D86" s="5"/>
      <c r="E86" s="5"/>
      <c r="F86" s="5"/>
      <c r="G86" s="5"/>
      <c r="H86" s="5"/>
      <c r="I86" s="5"/>
      <c r="J86" s="5"/>
      <c r="K86" s="5"/>
      <c r="L86" s="5"/>
      <c r="M86" s="5"/>
      <c r="N86" s="5"/>
      <c r="O86" s="5"/>
      <c r="P86" s="5"/>
      <c r="Q86" s="5"/>
      <c r="R86" s="5"/>
      <c r="S86" s="5"/>
      <c r="T86" s="5"/>
      <c r="U86" s="5"/>
      <c r="V86" s="5"/>
      <c r="W86" s="5"/>
      <c r="X86" s="5"/>
    </row>
    <row r="87" spans="1:24" ht="12.95" customHeight="1" thickBot="1">
      <c r="A87" s="95" t="s">
        <v>15</v>
      </c>
      <c r="B87" s="97" t="s">
        <v>19</v>
      </c>
      <c r="C87" s="8"/>
      <c r="D87" s="927" t="s">
        <v>78</v>
      </c>
      <c r="E87" s="928"/>
      <c r="F87" s="928"/>
      <c r="G87" s="929"/>
      <c r="H87" s="927" t="s">
        <v>77</v>
      </c>
      <c r="I87" s="928"/>
      <c r="J87" s="928"/>
      <c r="K87" s="929"/>
      <c r="L87" s="927" t="s">
        <v>81</v>
      </c>
      <c r="M87" s="928"/>
      <c r="N87" s="928"/>
      <c r="O87" s="929"/>
      <c r="P87" s="927" t="s">
        <v>254</v>
      </c>
      <c r="Q87" s="928"/>
      <c r="R87" s="928"/>
      <c r="S87" s="929"/>
      <c r="T87" s="927" t="s">
        <v>76</v>
      </c>
      <c r="U87" s="928"/>
      <c r="V87" s="928"/>
      <c r="W87" s="929"/>
      <c r="X87" s="16" t="s">
        <v>6</v>
      </c>
    </row>
    <row r="88" spans="1:24" ht="12.95" customHeight="1" thickBot="1">
      <c r="A88" s="868" t="s">
        <v>61</v>
      </c>
      <c r="B88" s="868" t="s">
        <v>62</v>
      </c>
      <c r="C88" s="9" t="s">
        <v>2</v>
      </c>
      <c r="D88" s="957"/>
      <c r="E88" s="958"/>
      <c r="F88" s="958"/>
      <c r="G88" s="959"/>
      <c r="H88" s="1316"/>
      <c r="I88" s="1317"/>
      <c r="J88" s="1317"/>
      <c r="K88" s="1318"/>
      <c r="L88" s="1337" t="s">
        <v>909</v>
      </c>
      <c r="M88" s="1317"/>
      <c r="N88" s="1317"/>
      <c r="O88" s="1319"/>
      <c r="P88" s="942">
        <v>1</v>
      </c>
      <c r="Q88" s="943"/>
      <c r="R88" s="943"/>
      <c r="S88" s="944"/>
      <c r="T88" s="942">
        <v>1.1000000000000001</v>
      </c>
      <c r="U88" s="943"/>
      <c r="V88" s="943"/>
      <c r="W88" s="944"/>
      <c r="X88" s="879" t="s">
        <v>94</v>
      </c>
    </row>
    <row r="89" spans="1:24" ht="13.5" thickBot="1">
      <c r="A89" s="885"/>
      <c r="B89" s="885"/>
      <c r="C89" s="99" t="s">
        <v>3</v>
      </c>
      <c r="D89" s="957"/>
      <c r="E89" s="958"/>
      <c r="F89" s="958"/>
      <c r="G89" s="959"/>
      <c r="H89" s="1328"/>
      <c r="I89" s="1329"/>
      <c r="J89" s="1329"/>
      <c r="K89" s="1330"/>
      <c r="L89" s="1331"/>
      <c r="M89" s="1329"/>
      <c r="N89" s="1329"/>
      <c r="O89" s="1332"/>
      <c r="P89" s="957"/>
      <c r="Q89" s="958"/>
      <c r="R89" s="958"/>
      <c r="S89" s="959"/>
      <c r="T89" s="963">
        <v>0</v>
      </c>
      <c r="U89" s="964"/>
      <c r="V89" s="964"/>
      <c r="W89" s="965"/>
      <c r="X89" s="880"/>
    </row>
    <row r="90" spans="1:24" ht="12.95" customHeight="1" thickBot="1">
      <c r="A90" s="885"/>
      <c r="B90" s="885"/>
      <c r="C90" s="1258" t="s">
        <v>170</v>
      </c>
      <c r="D90" s="927" t="s">
        <v>4</v>
      </c>
      <c r="E90" s="928"/>
      <c r="F90" s="928"/>
      <c r="G90" s="928"/>
      <c r="H90" s="928"/>
      <c r="I90" s="928"/>
      <c r="J90" s="928"/>
      <c r="K90" s="928"/>
      <c r="L90" s="928"/>
      <c r="M90" s="928"/>
      <c r="N90" s="928"/>
      <c r="O90" s="928"/>
      <c r="P90" s="928"/>
      <c r="Q90" s="928"/>
      <c r="R90" s="928"/>
      <c r="S90" s="928"/>
      <c r="T90" s="928"/>
      <c r="U90" s="928"/>
      <c r="V90" s="928"/>
      <c r="W90" s="929"/>
      <c r="X90" s="880"/>
    </row>
    <row r="91" spans="1:24" ht="12.95" customHeight="1" thickBot="1">
      <c r="A91" s="885"/>
      <c r="B91" s="869"/>
      <c r="C91" s="1259"/>
      <c r="D91" s="930" t="s">
        <v>272</v>
      </c>
      <c r="E91" s="931"/>
      <c r="F91" s="931"/>
      <c r="G91" s="931"/>
      <c r="H91" s="931"/>
      <c r="I91" s="931"/>
      <c r="J91" s="931"/>
      <c r="K91" s="931"/>
      <c r="L91" s="931"/>
      <c r="M91" s="931"/>
      <c r="N91" s="931"/>
      <c r="O91" s="931"/>
      <c r="P91" s="931"/>
      <c r="Q91" s="931"/>
      <c r="R91" s="931"/>
      <c r="S91" s="931"/>
      <c r="T91" s="931"/>
      <c r="U91" s="931"/>
      <c r="V91" s="931"/>
      <c r="W91" s="932"/>
      <c r="X91" s="880"/>
    </row>
    <row r="92" spans="1:24" ht="12.95" customHeight="1" thickBot="1">
      <c r="A92" s="885"/>
      <c r="B92" s="11" t="s">
        <v>20</v>
      </c>
      <c r="C92" s="12"/>
      <c r="D92" s="927" t="s">
        <v>78</v>
      </c>
      <c r="E92" s="928"/>
      <c r="F92" s="928"/>
      <c r="G92" s="929"/>
      <c r="H92" s="927" t="s">
        <v>77</v>
      </c>
      <c r="I92" s="928"/>
      <c r="J92" s="928"/>
      <c r="K92" s="929"/>
      <c r="L92" s="927" t="s">
        <v>81</v>
      </c>
      <c r="M92" s="928"/>
      <c r="N92" s="928"/>
      <c r="O92" s="929"/>
      <c r="P92" s="927" t="s">
        <v>254</v>
      </c>
      <c r="Q92" s="928"/>
      <c r="R92" s="928"/>
      <c r="S92" s="929"/>
      <c r="T92" s="927" t="s">
        <v>76</v>
      </c>
      <c r="U92" s="928"/>
      <c r="V92" s="928"/>
      <c r="W92" s="929"/>
      <c r="X92" s="880"/>
    </row>
    <row r="93" spans="1:24" ht="12.95" customHeight="1" thickBot="1">
      <c r="A93" s="885"/>
      <c r="B93" s="868" t="s">
        <v>59</v>
      </c>
      <c r="C93" s="23" t="s">
        <v>2</v>
      </c>
      <c r="D93" s="957"/>
      <c r="E93" s="958"/>
      <c r="F93" s="958"/>
      <c r="G93" s="959"/>
      <c r="H93" s="1316"/>
      <c r="I93" s="1317"/>
      <c r="J93" s="1317"/>
      <c r="K93" s="1318"/>
      <c r="L93" s="1337" t="s">
        <v>909</v>
      </c>
      <c r="M93" s="1317"/>
      <c r="N93" s="1317"/>
      <c r="O93" s="1319"/>
      <c r="P93" s="942">
        <v>1</v>
      </c>
      <c r="Q93" s="943"/>
      <c r="R93" s="943"/>
      <c r="S93" s="944"/>
      <c r="T93" s="942">
        <v>1.1000000000000001</v>
      </c>
      <c r="U93" s="943"/>
      <c r="V93" s="943"/>
      <c r="W93" s="944"/>
      <c r="X93" s="880"/>
    </row>
    <row r="94" spans="1:24" ht="13.5" thickBot="1">
      <c r="A94" s="885"/>
      <c r="B94" s="885"/>
      <c r="C94" s="9" t="s">
        <v>3</v>
      </c>
      <c r="D94" s="957"/>
      <c r="E94" s="958"/>
      <c r="F94" s="958"/>
      <c r="G94" s="959"/>
      <c r="H94" s="1328"/>
      <c r="I94" s="1329"/>
      <c r="J94" s="1329"/>
      <c r="K94" s="1330"/>
      <c r="L94" s="1331"/>
      <c r="M94" s="1329"/>
      <c r="N94" s="1329"/>
      <c r="O94" s="1332"/>
      <c r="P94" s="957"/>
      <c r="Q94" s="958"/>
      <c r="R94" s="958"/>
      <c r="S94" s="959"/>
      <c r="T94" s="963">
        <v>0</v>
      </c>
      <c r="U94" s="964"/>
      <c r="V94" s="964"/>
      <c r="W94" s="965"/>
      <c r="X94" s="880"/>
    </row>
    <row r="95" spans="1:24" ht="12.95" customHeight="1" thickBot="1">
      <c r="A95" s="885"/>
      <c r="B95" s="885"/>
      <c r="C95" s="1258" t="s">
        <v>170</v>
      </c>
      <c r="D95" s="927" t="s">
        <v>4</v>
      </c>
      <c r="E95" s="928"/>
      <c r="F95" s="928"/>
      <c r="G95" s="928"/>
      <c r="H95" s="928"/>
      <c r="I95" s="928"/>
      <c r="J95" s="928"/>
      <c r="K95" s="928"/>
      <c r="L95" s="928"/>
      <c r="M95" s="928"/>
      <c r="N95" s="928"/>
      <c r="O95" s="928"/>
      <c r="P95" s="928"/>
      <c r="Q95" s="928"/>
      <c r="R95" s="928"/>
      <c r="S95" s="928"/>
      <c r="T95" s="928"/>
      <c r="U95" s="928"/>
      <c r="V95" s="928"/>
      <c r="W95" s="929"/>
      <c r="X95" s="880"/>
    </row>
    <row r="96" spans="1:24" ht="12.95" customHeight="1" thickBot="1">
      <c r="A96" s="885"/>
      <c r="B96" s="869"/>
      <c r="C96" s="1259"/>
      <c r="D96" s="930" t="s">
        <v>118</v>
      </c>
      <c r="E96" s="931"/>
      <c r="F96" s="931"/>
      <c r="G96" s="931"/>
      <c r="H96" s="931"/>
      <c r="I96" s="931"/>
      <c r="J96" s="931"/>
      <c r="K96" s="931"/>
      <c r="L96" s="931"/>
      <c r="M96" s="931"/>
      <c r="N96" s="931"/>
      <c r="O96" s="931"/>
      <c r="P96" s="931"/>
      <c r="Q96" s="931"/>
      <c r="R96" s="931"/>
      <c r="S96" s="931"/>
      <c r="T96" s="931"/>
      <c r="U96" s="931"/>
      <c r="V96" s="931"/>
      <c r="W96" s="932"/>
      <c r="X96" s="880"/>
    </row>
    <row r="97" spans="1:24" ht="12.95" customHeight="1" thickBot="1">
      <c r="A97" s="885"/>
      <c r="B97" s="11" t="s">
        <v>21</v>
      </c>
      <c r="C97" s="12"/>
      <c r="D97" s="927" t="s">
        <v>78</v>
      </c>
      <c r="E97" s="928"/>
      <c r="F97" s="928"/>
      <c r="G97" s="929"/>
      <c r="H97" s="927" t="s">
        <v>77</v>
      </c>
      <c r="I97" s="928"/>
      <c r="J97" s="928"/>
      <c r="K97" s="929"/>
      <c r="L97" s="927" t="s">
        <v>81</v>
      </c>
      <c r="M97" s="928"/>
      <c r="N97" s="928"/>
      <c r="O97" s="929"/>
      <c r="P97" s="927" t="s">
        <v>254</v>
      </c>
      <c r="Q97" s="928"/>
      <c r="R97" s="928"/>
      <c r="S97" s="929"/>
      <c r="T97" s="927" t="s">
        <v>76</v>
      </c>
      <c r="U97" s="928"/>
      <c r="V97" s="928"/>
      <c r="W97" s="929"/>
      <c r="X97" s="880"/>
    </row>
    <row r="98" spans="1:24" ht="12.95" customHeight="1" thickBot="1">
      <c r="A98" s="885"/>
      <c r="B98" s="868" t="s">
        <v>63</v>
      </c>
      <c r="C98" s="26" t="s">
        <v>2</v>
      </c>
      <c r="D98" s="957"/>
      <c r="E98" s="958"/>
      <c r="F98" s="958"/>
      <c r="G98" s="959"/>
      <c r="H98" s="1316"/>
      <c r="I98" s="1317"/>
      <c r="J98" s="1317"/>
      <c r="K98" s="1318"/>
      <c r="L98" s="1337" t="s">
        <v>909</v>
      </c>
      <c r="M98" s="1317"/>
      <c r="N98" s="1317"/>
      <c r="O98" s="1319"/>
      <c r="P98" s="951">
        <v>0</v>
      </c>
      <c r="Q98" s="969"/>
      <c r="R98" s="969"/>
      <c r="S98" s="952"/>
      <c r="T98" s="951">
        <v>0</v>
      </c>
      <c r="U98" s="969"/>
      <c r="V98" s="969"/>
      <c r="W98" s="952"/>
      <c r="X98" s="880"/>
    </row>
    <row r="99" spans="1:24" ht="13.5" thickBot="1">
      <c r="A99" s="869"/>
      <c r="B99" s="885"/>
      <c r="C99" s="9" t="s">
        <v>3</v>
      </c>
      <c r="D99" s="957"/>
      <c r="E99" s="958"/>
      <c r="F99" s="958"/>
      <c r="G99" s="959"/>
      <c r="H99" s="1328"/>
      <c r="I99" s="1329"/>
      <c r="J99" s="1329"/>
      <c r="K99" s="1330"/>
      <c r="L99" s="1331"/>
      <c r="M99" s="1329"/>
      <c r="N99" s="1329"/>
      <c r="O99" s="1332"/>
      <c r="P99" s="957"/>
      <c r="Q99" s="958"/>
      <c r="R99" s="958"/>
      <c r="S99" s="959"/>
      <c r="T99" s="939">
        <v>0</v>
      </c>
      <c r="U99" s="970"/>
      <c r="V99" s="970"/>
      <c r="W99" s="953"/>
      <c r="X99" s="881"/>
    </row>
    <row r="100" spans="1:24" ht="12.95" customHeight="1" thickBot="1">
      <c r="A100" s="96" t="s">
        <v>13</v>
      </c>
      <c r="B100" s="885"/>
      <c r="C100" s="1258" t="s">
        <v>170</v>
      </c>
      <c r="D100" s="927" t="s">
        <v>4</v>
      </c>
      <c r="E100" s="928"/>
      <c r="F100" s="928"/>
      <c r="G100" s="928"/>
      <c r="H100" s="928"/>
      <c r="I100" s="928"/>
      <c r="J100" s="928"/>
      <c r="K100" s="928"/>
      <c r="L100" s="928"/>
      <c r="M100" s="928"/>
      <c r="N100" s="928"/>
      <c r="O100" s="928"/>
      <c r="P100" s="928"/>
      <c r="Q100" s="928"/>
      <c r="R100" s="928"/>
      <c r="S100" s="928"/>
      <c r="T100" s="928"/>
      <c r="U100" s="928"/>
      <c r="V100" s="928"/>
      <c r="W100" s="929"/>
      <c r="X100" s="24" t="s">
        <v>14</v>
      </c>
    </row>
    <row r="101" spans="1:24" ht="12.95" customHeight="1" thickBot="1">
      <c r="A101" s="25" t="s">
        <v>75</v>
      </c>
      <c r="B101" s="869"/>
      <c r="C101" s="1259"/>
      <c r="D101" s="930" t="s">
        <v>119</v>
      </c>
      <c r="E101" s="931"/>
      <c r="F101" s="931"/>
      <c r="G101" s="931"/>
      <c r="H101" s="931"/>
      <c r="I101" s="931"/>
      <c r="J101" s="931"/>
      <c r="K101" s="931"/>
      <c r="L101" s="931"/>
      <c r="M101" s="931"/>
      <c r="N101" s="931"/>
      <c r="O101" s="931"/>
      <c r="P101" s="931"/>
      <c r="Q101" s="931"/>
      <c r="R101" s="931"/>
      <c r="S101" s="931"/>
      <c r="T101" s="931"/>
      <c r="U101" s="931"/>
      <c r="V101" s="931"/>
      <c r="W101" s="932"/>
      <c r="X101" s="18" t="s">
        <v>93</v>
      </c>
    </row>
    <row r="102" spans="1:24" ht="12.95" customHeight="1" thickBot="1">
      <c r="A102" s="906" t="s">
        <v>7</v>
      </c>
      <c r="B102" s="908" t="s">
        <v>173</v>
      </c>
      <c r="C102" s="909"/>
      <c r="D102" s="908" t="s">
        <v>8</v>
      </c>
      <c r="E102" s="918"/>
      <c r="F102" s="918"/>
      <c r="G102" s="909"/>
      <c r="H102" s="908" t="s">
        <v>88</v>
      </c>
      <c r="I102" s="918"/>
      <c r="J102" s="918"/>
      <c r="K102" s="909"/>
      <c r="L102" s="908" t="s">
        <v>89</v>
      </c>
      <c r="M102" s="918"/>
      <c r="N102" s="918"/>
      <c r="O102" s="909"/>
      <c r="P102" s="908" t="s">
        <v>9</v>
      </c>
      <c r="Q102" s="918"/>
      <c r="R102" s="918"/>
      <c r="S102" s="909"/>
      <c r="T102" s="908" t="s">
        <v>174</v>
      </c>
      <c r="U102" s="918"/>
      <c r="V102" s="918"/>
      <c r="W102" s="918"/>
      <c r="X102" s="909"/>
    </row>
    <row r="103" spans="1:24" ht="13.5" thickBot="1">
      <c r="A103" s="907"/>
      <c r="B103" s="1256"/>
      <c r="C103" s="1257"/>
      <c r="D103" s="916"/>
      <c r="E103" s="994"/>
      <c r="F103" s="994"/>
      <c r="G103" s="917"/>
      <c r="H103" s="916"/>
      <c r="I103" s="994"/>
      <c r="J103" s="994"/>
      <c r="K103" s="917"/>
      <c r="L103" s="916"/>
      <c r="M103" s="994"/>
      <c r="N103" s="994"/>
      <c r="O103" s="917"/>
      <c r="P103" s="916">
        <f>SUM(B103:O103)</f>
        <v>0</v>
      </c>
      <c r="Q103" s="994"/>
      <c r="R103" s="994"/>
      <c r="S103" s="917"/>
      <c r="T103" s="916" t="e">
        <f>B103/P103%</f>
        <v>#DIV/0!</v>
      </c>
      <c r="U103" s="994"/>
      <c r="V103" s="994"/>
      <c r="W103" s="994"/>
      <c r="X103" s="917"/>
    </row>
    <row r="104" spans="1:24" ht="13.5" thickBot="1">
      <c r="A104" s="906" t="s">
        <v>10</v>
      </c>
      <c r="B104" s="908" t="s">
        <v>175</v>
      </c>
      <c r="C104" s="909"/>
      <c r="D104" s="910"/>
      <c r="E104" s="911"/>
      <c r="F104" s="911"/>
      <c r="G104" s="911"/>
      <c r="H104" s="911"/>
      <c r="I104" s="911"/>
      <c r="J104" s="911"/>
      <c r="K104" s="911"/>
      <c r="L104" s="911"/>
      <c r="M104" s="911"/>
      <c r="N104" s="911"/>
      <c r="O104" s="911"/>
      <c r="P104" s="911"/>
      <c r="Q104" s="911"/>
      <c r="R104" s="911"/>
      <c r="S104" s="911"/>
      <c r="T104" s="911"/>
      <c r="U104" s="911"/>
      <c r="V104" s="911"/>
      <c r="W104" s="911"/>
      <c r="X104" s="912"/>
    </row>
    <row r="105" spans="1:24" ht="13.5" thickBot="1">
      <c r="A105" s="907"/>
      <c r="B105" s="1256"/>
      <c r="C105" s="1257"/>
      <c r="D105" s="913"/>
      <c r="E105" s="914"/>
      <c r="F105" s="914"/>
      <c r="G105" s="914"/>
      <c r="H105" s="914"/>
      <c r="I105" s="914"/>
      <c r="J105" s="914"/>
      <c r="K105" s="914"/>
      <c r="L105" s="914"/>
      <c r="M105" s="914"/>
      <c r="N105" s="914"/>
      <c r="O105" s="914"/>
      <c r="P105" s="914"/>
      <c r="Q105" s="914"/>
      <c r="R105" s="914"/>
      <c r="S105" s="914"/>
      <c r="T105" s="914"/>
      <c r="U105" s="914"/>
      <c r="V105" s="914"/>
      <c r="W105" s="914"/>
      <c r="X105" s="915"/>
    </row>
    <row r="107" spans="1:24" ht="13.5" thickBot="1"/>
    <row r="108" spans="1:24" ht="12.95" customHeight="1" thickBot="1">
      <c r="A108" s="95" t="s">
        <v>26</v>
      </c>
      <c r="B108" s="97" t="s">
        <v>29</v>
      </c>
      <c r="C108" s="8"/>
      <c r="D108" s="927" t="s">
        <v>78</v>
      </c>
      <c r="E108" s="928"/>
      <c r="F108" s="928"/>
      <c r="G108" s="929"/>
      <c r="H108" s="927" t="s">
        <v>77</v>
      </c>
      <c r="I108" s="928"/>
      <c r="J108" s="928"/>
      <c r="K108" s="929"/>
      <c r="L108" s="927" t="s">
        <v>81</v>
      </c>
      <c r="M108" s="928"/>
      <c r="N108" s="928"/>
      <c r="O108" s="929"/>
      <c r="P108" s="927" t="s">
        <v>254</v>
      </c>
      <c r="Q108" s="928"/>
      <c r="R108" s="928"/>
      <c r="S108" s="929"/>
      <c r="T108" s="927" t="s">
        <v>76</v>
      </c>
      <c r="U108" s="928"/>
      <c r="V108" s="928"/>
      <c r="W108" s="929"/>
      <c r="X108" s="16" t="s">
        <v>12</v>
      </c>
    </row>
    <row r="109" spans="1:24" ht="56.1" customHeight="1" thickBot="1">
      <c r="A109" s="868" t="s">
        <v>64</v>
      </c>
      <c r="B109" s="868" t="s">
        <v>156</v>
      </c>
      <c r="C109" s="9"/>
      <c r="D109" s="17" t="s">
        <v>101</v>
      </c>
      <c r="E109" s="17" t="s">
        <v>104</v>
      </c>
      <c r="F109" s="17" t="s">
        <v>102</v>
      </c>
      <c r="G109" s="17" t="s">
        <v>103</v>
      </c>
      <c r="H109" s="17" t="s">
        <v>101</v>
      </c>
      <c r="I109" s="17" t="s">
        <v>104</v>
      </c>
      <c r="J109" s="17" t="s">
        <v>102</v>
      </c>
      <c r="K109" s="17" t="s">
        <v>103</v>
      </c>
      <c r="L109" s="17" t="s">
        <v>101</v>
      </c>
      <c r="M109" s="17" t="s">
        <v>104</v>
      </c>
      <c r="N109" s="17" t="s">
        <v>102</v>
      </c>
      <c r="O109" s="17" t="s">
        <v>103</v>
      </c>
      <c r="P109" s="17" t="s">
        <v>101</v>
      </c>
      <c r="Q109" s="17" t="s">
        <v>104</v>
      </c>
      <c r="R109" s="17" t="s">
        <v>102</v>
      </c>
      <c r="S109" s="17" t="s">
        <v>103</v>
      </c>
      <c r="T109" s="17" t="s">
        <v>101</v>
      </c>
      <c r="U109" s="17" t="s">
        <v>104</v>
      </c>
      <c r="V109" s="17" t="s">
        <v>102</v>
      </c>
      <c r="W109" s="17" t="s">
        <v>103</v>
      </c>
      <c r="X109" s="879" t="s">
        <v>98</v>
      </c>
    </row>
    <row r="110" spans="1:24" ht="12.95" customHeight="1" thickBot="1">
      <c r="A110" s="885"/>
      <c r="B110" s="885"/>
      <c r="C110" s="9" t="s">
        <v>2</v>
      </c>
      <c r="D110" s="957"/>
      <c r="E110" s="958"/>
      <c r="F110" s="958"/>
      <c r="G110" s="959"/>
      <c r="H110" s="1316"/>
      <c r="I110" s="1317"/>
      <c r="J110" s="1317"/>
      <c r="K110" s="1318"/>
      <c r="L110" s="1337" t="s">
        <v>909</v>
      </c>
      <c r="M110" s="1317"/>
      <c r="N110" s="1317"/>
      <c r="O110" s="1318"/>
      <c r="P110" s="18">
        <v>0</v>
      </c>
      <c r="Q110" s="18">
        <v>0</v>
      </c>
      <c r="R110" s="18">
        <v>0</v>
      </c>
      <c r="S110" s="18">
        <v>0</v>
      </c>
      <c r="T110" s="788">
        <v>5</v>
      </c>
      <c r="U110" s="788">
        <v>4</v>
      </c>
      <c r="V110" s="788">
        <v>2</v>
      </c>
      <c r="W110" s="783">
        <v>0</v>
      </c>
      <c r="X110" s="880"/>
    </row>
    <row r="111" spans="1:24" ht="13.5" thickBot="1">
      <c r="A111" s="885"/>
      <c r="B111" s="93" t="s">
        <v>151</v>
      </c>
      <c r="C111" s="10" t="s">
        <v>3</v>
      </c>
      <c r="D111" s="957"/>
      <c r="E111" s="958"/>
      <c r="F111" s="958"/>
      <c r="G111" s="959"/>
      <c r="H111" s="1328"/>
      <c r="I111" s="1329"/>
      <c r="J111" s="1329"/>
      <c r="K111" s="1330"/>
      <c r="L111" s="1331"/>
      <c r="M111" s="1329"/>
      <c r="N111" s="1329"/>
      <c r="O111" s="1332"/>
      <c r="P111" s="957"/>
      <c r="Q111" s="958">
        <v>0</v>
      </c>
      <c r="R111" s="958">
        <v>0</v>
      </c>
      <c r="S111" s="959">
        <v>0</v>
      </c>
      <c r="T111" s="68">
        <v>0</v>
      </c>
      <c r="U111" s="68">
        <v>0</v>
      </c>
      <c r="V111" s="68">
        <v>0</v>
      </c>
      <c r="W111" s="68">
        <v>0</v>
      </c>
      <c r="X111" s="880"/>
    </row>
    <row r="112" spans="1:24" ht="12.95" customHeight="1" thickBot="1">
      <c r="A112" s="885"/>
      <c r="B112" s="93" t="s">
        <v>150</v>
      </c>
      <c r="C112" s="1258" t="s">
        <v>170</v>
      </c>
      <c r="D112" s="927" t="s">
        <v>4</v>
      </c>
      <c r="E112" s="928"/>
      <c r="F112" s="928"/>
      <c r="G112" s="928"/>
      <c r="H112" s="928"/>
      <c r="I112" s="928"/>
      <c r="J112" s="928"/>
      <c r="K112" s="928"/>
      <c r="L112" s="928"/>
      <c r="M112" s="928"/>
      <c r="N112" s="928"/>
      <c r="O112" s="928"/>
      <c r="P112" s="928"/>
      <c r="Q112" s="928"/>
      <c r="R112" s="928"/>
      <c r="S112" s="928"/>
      <c r="T112" s="928"/>
      <c r="U112" s="928"/>
      <c r="V112" s="928"/>
      <c r="W112" s="929"/>
      <c r="X112" s="880"/>
    </row>
    <row r="113" spans="1:24" ht="12.95" customHeight="1" thickBot="1">
      <c r="A113" s="885"/>
      <c r="B113" s="94" t="s">
        <v>149</v>
      </c>
      <c r="C113" s="1259"/>
      <c r="D113" s="930" t="s">
        <v>420</v>
      </c>
      <c r="E113" s="931"/>
      <c r="F113" s="931"/>
      <c r="G113" s="931"/>
      <c r="H113" s="931"/>
      <c r="I113" s="931"/>
      <c r="J113" s="931"/>
      <c r="K113" s="931"/>
      <c r="L113" s="931"/>
      <c r="M113" s="931"/>
      <c r="N113" s="931"/>
      <c r="O113" s="931"/>
      <c r="P113" s="931"/>
      <c r="Q113" s="931"/>
      <c r="R113" s="931"/>
      <c r="S113" s="931"/>
      <c r="T113" s="931"/>
      <c r="U113" s="931"/>
      <c r="V113" s="931"/>
      <c r="W113" s="932"/>
      <c r="X113" s="880"/>
    </row>
    <row r="114" spans="1:24" ht="12.95" customHeight="1" thickBot="1">
      <c r="A114" s="885"/>
      <c r="B114" s="11" t="s">
        <v>30</v>
      </c>
      <c r="C114" s="12"/>
      <c r="D114" s="927" t="s">
        <v>78</v>
      </c>
      <c r="E114" s="928"/>
      <c r="F114" s="928"/>
      <c r="G114" s="929"/>
      <c r="H114" s="927" t="s">
        <v>77</v>
      </c>
      <c r="I114" s="928"/>
      <c r="J114" s="928"/>
      <c r="K114" s="929"/>
      <c r="L114" s="927" t="s">
        <v>81</v>
      </c>
      <c r="M114" s="928"/>
      <c r="N114" s="928"/>
      <c r="O114" s="929"/>
      <c r="P114" s="927" t="s">
        <v>254</v>
      </c>
      <c r="Q114" s="928"/>
      <c r="R114" s="928"/>
      <c r="S114" s="929"/>
      <c r="T114" s="927" t="s">
        <v>76</v>
      </c>
      <c r="U114" s="928"/>
      <c r="V114" s="928"/>
      <c r="W114" s="929"/>
      <c r="X114" s="880"/>
    </row>
    <row r="115" spans="1:24" ht="44.1" customHeight="1" thickBot="1">
      <c r="A115" s="885"/>
      <c r="B115" s="868" t="s">
        <v>157</v>
      </c>
      <c r="C115" s="23"/>
      <c r="D115" s="17" t="s">
        <v>101</v>
      </c>
      <c r="E115" s="17" t="s">
        <v>104</v>
      </c>
      <c r="F115" s="17" t="s">
        <v>102</v>
      </c>
      <c r="G115" s="17" t="s">
        <v>103</v>
      </c>
      <c r="H115" s="17" t="s">
        <v>101</v>
      </c>
      <c r="I115" s="17" t="s">
        <v>104</v>
      </c>
      <c r="J115" s="17" t="s">
        <v>102</v>
      </c>
      <c r="K115" s="17" t="s">
        <v>103</v>
      </c>
      <c r="L115" s="17" t="s">
        <v>101</v>
      </c>
      <c r="M115" s="17" t="s">
        <v>104</v>
      </c>
      <c r="N115" s="17" t="s">
        <v>102</v>
      </c>
      <c r="O115" s="17" t="s">
        <v>103</v>
      </c>
      <c r="P115" s="17" t="s">
        <v>101</v>
      </c>
      <c r="Q115" s="17" t="s">
        <v>104</v>
      </c>
      <c r="R115" s="17" t="s">
        <v>102</v>
      </c>
      <c r="S115" s="17" t="s">
        <v>103</v>
      </c>
      <c r="T115" s="17" t="s">
        <v>101</v>
      </c>
      <c r="U115" s="17" t="s">
        <v>104</v>
      </c>
      <c r="V115" s="17" t="s">
        <v>102</v>
      </c>
      <c r="W115" s="17" t="s">
        <v>103</v>
      </c>
      <c r="X115" s="880"/>
    </row>
    <row r="116" spans="1:24" ht="12.95" customHeight="1" thickBot="1">
      <c r="A116" s="885"/>
      <c r="B116" s="885"/>
      <c r="C116" s="9" t="s">
        <v>2</v>
      </c>
      <c r="D116" s="957"/>
      <c r="E116" s="958"/>
      <c r="F116" s="958"/>
      <c r="G116" s="959"/>
      <c r="H116" s="1316"/>
      <c r="I116" s="1317"/>
      <c r="J116" s="1317"/>
      <c r="K116" s="1318"/>
      <c r="L116" s="1337" t="s">
        <v>909</v>
      </c>
      <c r="M116" s="1317"/>
      <c r="N116" s="1317"/>
      <c r="O116" s="1318"/>
      <c r="P116" s="18">
        <v>4</v>
      </c>
      <c r="Q116" s="18">
        <v>3</v>
      </c>
      <c r="R116" s="18">
        <v>2</v>
      </c>
      <c r="S116" s="18">
        <v>0</v>
      </c>
      <c r="T116" s="783">
        <v>5</v>
      </c>
      <c r="U116" s="783">
        <v>4</v>
      </c>
      <c r="V116" s="18">
        <v>3</v>
      </c>
      <c r="W116" s="783">
        <v>0</v>
      </c>
      <c r="X116" s="880"/>
    </row>
    <row r="117" spans="1:24" ht="13.5" thickBot="1">
      <c r="A117" s="885"/>
      <c r="B117" s="93" t="s">
        <v>151</v>
      </c>
      <c r="C117" s="9" t="s">
        <v>3</v>
      </c>
      <c r="D117" s="957"/>
      <c r="E117" s="958"/>
      <c r="F117" s="958"/>
      <c r="G117" s="959"/>
      <c r="H117" s="1328"/>
      <c r="I117" s="1329"/>
      <c r="J117" s="1329"/>
      <c r="K117" s="1330"/>
      <c r="L117" s="1331"/>
      <c r="M117" s="1329"/>
      <c r="N117" s="1329"/>
      <c r="O117" s="1332"/>
      <c r="P117" s="957"/>
      <c r="Q117" s="958">
        <v>0</v>
      </c>
      <c r="R117" s="958">
        <v>0</v>
      </c>
      <c r="S117" s="959">
        <v>0</v>
      </c>
      <c r="T117" s="68">
        <v>0</v>
      </c>
      <c r="U117" s="68">
        <v>0</v>
      </c>
      <c r="V117" s="68">
        <v>0</v>
      </c>
      <c r="W117" s="68">
        <v>0</v>
      </c>
      <c r="X117" s="880"/>
    </row>
    <row r="118" spans="1:24" ht="12.95" customHeight="1" thickBot="1">
      <c r="A118" s="885"/>
      <c r="B118" s="93" t="s">
        <v>150</v>
      </c>
      <c r="C118" s="1258" t="s">
        <v>170</v>
      </c>
      <c r="D118" s="927" t="s">
        <v>4</v>
      </c>
      <c r="E118" s="928"/>
      <c r="F118" s="928"/>
      <c r="G118" s="928"/>
      <c r="H118" s="928"/>
      <c r="I118" s="928"/>
      <c r="J118" s="928"/>
      <c r="K118" s="928"/>
      <c r="L118" s="928"/>
      <c r="M118" s="928"/>
      <c r="N118" s="928"/>
      <c r="O118" s="928"/>
      <c r="P118" s="928"/>
      <c r="Q118" s="928"/>
      <c r="R118" s="928"/>
      <c r="S118" s="928"/>
      <c r="T118" s="928"/>
      <c r="U118" s="928"/>
      <c r="V118" s="928"/>
      <c r="W118" s="929"/>
      <c r="X118" s="880"/>
    </row>
    <row r="119" spans="1:24" ht="12.95" customHeight="1" thickBot="1">
      <c r="A119" s="885"/>
      <c r="B119" s="94" t="s">
        <v>152</v>
      </c>
      <c r="C119" s="1259"/>
      <c r="D119" s="930" t="s">
        <v>420</v>
      </c>
      <c r="E119" s="931"/>
      <c r="F119" s="931"/>
      <c r="G119" s="931"/>
      <c r="H119" s="931"/>
      <c r="I119" s="931"/>
      <c r="J119" s="931"/>
      <c r="K119" s="931"/>
      <c r="L119" s="931"/>
      <c r="M119" s="931"/>
      <c r="N119" s="931"/>
      <c r="O119" s="931"/>
      <c r="P119" s="931"/>
      <c r="Q119" s="931"/>
      <c r="R119" s="931"/>
      <c r="S119" s="931"/>
      <c r="T119" s="931"/>
      <c r="U119" s="931"/>
      <c r="V119" s="931"/>
      <c r="W119" s="932"/>
      <c r="X119" s="880"/>
    </row>
    <row r="120" spans="1:24" ht="12.95" customHeight="1" thickBot="1">
      <c r="A120" s="885"/>
      <c r="B120" s="11" t="s">
        <v>31</v>
      </c>
      <c r="C120" s="12"/>
      <c r="D120" s="927" t="s">
        <v>78</v>
      </c>
      <c r="E120" s="928"/>
      <c r="F120" s="928"/>
      <c r="G120" s="929"/>
      <c r="H120" s="927" t="s">
        <v>77</v>
      </c>
      <c r="I120" s="928"/>
      <c r="J120" s="928"/>
      <c r="K120" s="929"/>
      <c r="L120" s="927" t="s">
        <v>81</v>
      </c>
      <c r="M120" s="928"/>
      <c r="N120" s="928"/>
      <c r="O120" s="929"/>
      <c r="P120" s="927" t="s">
        <v>254</v>
      </c>
      <c r="Q120" s="928"/>
      <c r="R120" s="928"/>
      <c r="S120" s="929"/>
      <c r="T120" s="927" t="s">
        <v>76</v>
      </c>
      <c r="U120" s="928"/>
      <c r="V120" s="928"/>
      <c r="W120" s="929"/>
      <c r="X120" s="880"/>
    </row>
    <row r="121" spans="1:24" ht="12.95" customHeight="1" thickBot="1">
      <c r="A121" s="885"/>
      <c r="B121" s="868" t="s">
        <v>421</v>
      </c>
      <c r="C121" s="23"/>
      <c r="D121" s="1230" t="s">
        <v>418</v>
      </c>
      <c r="E121" s="1232"/>
      <c r="F121" s="1240" t="s">
        <v>419</v>
      </c>
      <c r="G121" s="1232"/>
      <c r="H121" s="1240" t="s">
        <v>418</v>
      </c>
      <c r="I121" s="1232"/>
      <c r="J121" s="1240" t="s">
        <v>419</v>
      </c>
      <c r="K121" s="1232"/>
      <c r="L121" s="1240" t="s">
        <v>418</v>
      </c>
      <c r="M121" s="1232"/>
      <c r="N121" s="1240" t="s">
        <v>419</v>
      </c>
      <c r="O121" s="1232"/>
      <c r="P121" s="1240" t="s">
        <v>418</v>
      </c>
      <c r="Q121" s="1232"/>
      <c r="R121" s="1240" t="s">
        <v>419</v>
      </c>
      <c r="S121" s="1232"/>
      <c r="T121" s="1240" t="s">
        <v>418</v>
      </c>
      <c r="U121" s="1232"/>
      <c r="V121" s="1240" t="s">
        <v>419</v>
      </c>
      <c r="W121" s="1246"/>
      <c r="X121" s="880"/>
    </row>
    <row r="122" spans="1:24" ht="12.95" customHeight="1" thickBot="1">
      <c r="A122" s="885"/>
      <c r="B122" s="885"/>
      <c r="C122" s="26" t="s">
        <v>2</v>
      </c>
      <c r="D122" s="957"/>
      <c r="E122" s="958"/>
      <c r="F122" s="958"/>
      <c r="G122" s="959"/>
      <c r="H122" s="1316"/>
      <c r="I122" s="1317"/>
      <c r="J122" s="1317"/>
      <c r="K122" s="1318"/>
      <c r="L122" s="966" t="s">
        <v>1506</v>
      </c>
      <c r="M122" s="967"/>
      <c r="N122" s="967"/>
      <c r="O122" s="968"/>
      <c r="P122" s="1300">
        <v>48</v>
      </c>
      <c r="Q122" s="1301"/>
      <c r="R122" s="1333">
        <v>70</v>
      </c>
      <c r="S122" s="1200"/>
      <c r="T122" s="1300">
        <v>58</v>
      </c>
      <c r="U122" s="1301"/>
      <c r="V122" s="1333">
        <v>75</v>
      </c>
      <c r="W122" s="1200"/>
      <c r="X122" s="880"/>
    </row>
    <row r="123" spans="1:24" ht="18" customHeight="1" thickBot="1">
      <c r="A123" s="885"/>
      <c r="B123" s="885"/>
      <c r="C123" s="9" t="s">
        <v>3</v>
      </c>
      <c r="D123" s="957"/>
      <c r="E123" s="958"/>
      <c r="F123" s="958"/>
      <c r="G123" s="959"/>
      <c r="H123" s="1328"/>
      <c r="I123" s="1329"/>
      <c r="J123" s="1329"/>
      <c r="K123" s="1330"/>
      <c r="L123" s="1334" t="s">
        <v>1507</v>
      </c>
      <c r="M123" s="1335"/>
      <c r="N123" s="1335"/>
      <c r="O123" s="1336"/>
      <c r="P123" s="957"/>
      <c r="Q123" s="958"/>
      <c r="R123" s="958">
        <v>0</v>
      </c>
      <c r="S123" s="959"/>
      <c r="T123" s="939">
        <v>0</v>
      </c>
      <c r="U123" s="953"/>
      <c r="V123" s="939">
        <v>0</v>
      </c>
      <c r="W123" s="953"/>
      <c r="X123" s="880"/>
    </row>
    <row r="124" spans="1:24" ht="12.95" customHeight="1" thickBot="1">
      <c r="A124" s="885"/>
      <c r="B124" s="885"/>
      <c r="C124" s="1258" t="s">
        <v>170</v>
      </c>
      <c r="D124" s="927" t="s">
        <v>4</v>
      </c>
      <c r="E124" s="928"/>
      <c r="F124" s="928"/>
      <c r="G124" s="928"/>
      <c r="H124" s="928"/>
      <c r="I124" s="928"/>
      <c r="J124" s="928"/>
      <c r="K124" s="928"/>
      <c r="L124" s="928"/>
      <c r="M124" s="928"/>
      <c r="N124" s="928"/>
      <c r="O124" s="928"/>
      <c r="P124" s="928"/>
      <c r="Q124" s="928"/>
      <c r="R124" s="928"/>
      <c r="S124" s="928"/>
      <c r="T124" s="928"/>
      <c r="U124" s="928"/>
      <c r="V124" s="928"/>
      <c r="W124" s="929"/>
      <c r="X124" s="880"/>
    </row>
    <row r="125" spans="1:24" ht="12.95" customHeight="1" thickBot="1">
      <c r="A125" s="885"/>
      <c r="B125" s="94" t="s">
        <v>179</v>
      </c>
      <c r="C125" s="1259"/>
      <c r="D125" s="930" t="s">
        <v>121</v>
      </c>
      <c r="E125" s="931"/>
      <c r="F125" s="931"/>
      <c r="G125" s="931"/>
      <c r="H125" s="931"/>
      <c r="I125" s="931"/>
      <c r="J125" s="931"/>
      <c r="K125" s="931"/>
      <c r="L125" s="931"/>
      <c r="M125" s="931"/>
      <c r="N125" s="931"/>
      <c r="O125" s="931"/>
      <c r="P125" s="931"/>
      <c r="Q125" s="931"/>
      <c r="R125" s="931"/>
      <c r="S125" s="931"/>
      <c r="T125" s="931"/>
      <c r="U125" s="931"/>
      <c r="V125" s="931"/>
      <c r="W125" s="932"/>
      <c r="X125" s="880"/>
    </row>
    <row r="126" spans="1:24" ht="12.95" customHeight="1" thickBot="1">
      <c r="A126" s="885"/>
      <c r="B126" s="11" t="s">
        <v>40</v>
      </c>
      <c r="C126" s="12"/>
      <c r="D126" s="927" t="s">
        <v>78</v>
      </c>
      <c r="E126" s="928"/>
      <c r="F126" s="928"/>
      <c r="G126" s="929"/>
      <c r="H126" s="927" t="s">
        <v>77</v>
      </c>
      <c r="I126" s="928"/>
      <c r="J126" s="928"/>
      <c r="K126" s="929"/>
      <c r="L126" s="927" t="s">
        <v>81</v>
      </c>
      <c r="M126" s="928"/>
      <c r="N126" s="928"/>
      <c r="O126" s="929"/>
      <c r="P126" s="927" t="s">
        <v>254</v>
      </c>
      <c r="Q126" s="928"/>
      <c r="R126" s="928"/>
      <c r="S126" s="929"/>
      <c r="T126" s="927" t="s">
        <v>76</v>
      </c>
      <c r="U126" s="928"/>
      <c r="V126" s="928"/>
      <c r="W126" s="929"/>
      <c r="X126" s="880"/>
    </row>
    <row r="127" spans="1:24" ht="12.95" customHeight="1" thickBot="1">
      <c r="A127" s="885"/>
      <c r="B127" s="873" t="s">
        <v>644</v>
      </c>
      <c r="C127" s="23" t="s">
        <v>2</v>
      </c>
      <c r="D127" s="957"/>
      <c r="E127" s="958"/>
      <c r="F127" s="958"/>
      <c r="G127" s="959"/>
      <c r="H127" s="1316"/>
      <c r="I127" s="1317"/>
      <c r="J127" s="1317"/>
      <c r="K127" s="1318"/>
      <c r="L127" s="1337" t="s">
        <v>909</v>
      </c>
      <c r="M127" s="1317"/>
      <c r="N127" s="1317"/>
      <c r="O127" s="1319"/>
      <c r="P127" s="942">
        <v>2.9</v>
      </c>
      <c r="Q127" s="943"/>
      <c r="R127" s="943"/>
      <c r="S127" s="944"/>
      <c r="T127" s="1325">
        <v>3.5</v>
      </c>
      <c r="U127" s="1326"/>
      <c r="V127" s="1326"/>
      <c r="W127" s="1327"/>
      <c r="X127" s="880"/>
    </row>
    <row r="128" spans="1:24" ht="13.5" thickBot="1">
      <c r="A128" s="869"/>
      <c r="B128" s="874"/>
      <c r="C128" s="9" t="s">
        <v>3</v>
      </c>
      <c r="D128" s="957"/>
      <c r="E128" s="958"/>
      <c r="F128" s="958"/>
      <c r="G128" s="959"/>
      <c r="H128" s="1328"/>
      <c r="I128" s="1329"/>
      <c r="J128" s="1329"/>
      <c r="K128" s="1330"/>
      <c r="L128" s="1331"/>
      <c r="M128" s="1329"/>
      <c r="N128" s="1329"/>
      <c r="O128" s="1332"/>
      <c r="P128" s="957"/>
      <c r="Q128" s="958"/>
      <c r="R128" s="958"/>
      <c r="S128" s="959"/>
      <c r="T128" s="963">
        <v>0</v>
      </c>
      <c r="U128" s="964"/>
      <c r="V128" s="964"/>
      <c r="W128" s="965"/>
      <c r="X128" s="881"/>
    </row>
    <row r="129" spans="1:24" ht="12.95" customHeight="1" thickBot="1">
      <c r="A129" s="96" t="s">
        <v>13</v>
      </c>
      <c r="B129" s="874"/>
      <c r="C129" s="1258" t="s">
        <v>170</v>
      </c>
      <c r="D129" s="927" t="s">
        <v>4</v>
      </c>
      <c r="E129" s="928"/>
      <c r="F129" s="928"/>
      <c r="G129" s="928"/>
      <c r="H129" s="928"/>
      <c r="I129" s="928"/>
      <c r="J129" s="928"/>
      <c r="K129" s="928"/>
      <c r="L129" s="928"/>
      <c r="M129" s="928"/>
      <c r="N129" s="928"/>
      <c r="O129" s="928"/>
      <c r="P129" s="928"/>
      <c r="Q129" s="928"/>
      <c r="R129" s="928"/>
      <c r="S129" s="928"/>
      <c r="T129" s="928"/>
      <c r="U129" s="928"/>
      <c r="V129" s="928"/>
      <c r="W129" s="929"/>
      <c r="X129" s="24" t="s">
        <v>14</v>
      </c>
    </row>
    <row r="130" spans="1:24" ht="12.95" customHeight="1" thickBot="1">
      <c r="A130" s="25" t="s">
        <v>75</v>
      </c>
      <c r="B130" s="875"/>
      <c r="C130" s="1259"/>
      <c r="D130" s="930" t="s">
        <v>122</v>
      </c>
      <c r="E130" s="931"/>
      <c r="F130" s="931"/>
      <c r="G130" s="931"/>
      <c r="H130" s="931"/>
      <c r="I130" s="931"/>
      <c r="J130" s="931"/>
      <c r="K130" s="931"/>
      <c r="L130" s="931"/>
      <c r="M130" s="931"/>
      <c r="N130" s="931"/>
      <c r="O130" s="931"/>
      <c r="P130" s="931"/>
      <c r="Q130" s="931"/>
      <c r="R130" s="931"/>
      <c r="S130" s="931"/>
      <c r="T130" s="931"/>
      <c r="U130" s="931"/>
      <c r="V130" s="931"/>
      <c r="W130" s="932"/>
      <c r="X130" s="18" t="s">
        <v>92</v>
      </c>
    </row>
    <row r="131" spans="1:24" ht="12.95" customHeight="1" thickBot="1">
      <c r="A131" s="906" t="s">
        <v>7</v>
      </c>
      <c r="B131" s="908" t="s">
        <v>173</v>
      </c>
      <c r="C131" s="909"/>
      <c r="D131" s="908" t="s">
        <v>8</v>
      </c>
      <c r="E131" s="918"/>
      <c r="F131" s="918"/>
      <c r="G131" s="909"/>
      <c r="H131" s="908" t="s">
        <v>88</v>
      </c>
      <c r="I131" s="918"/>
      <c r="J131" s="918"/>
      <c r="K131" s="909"/>
      <c r="L131" s="908" t="s">
        <v>89</v>
      </c>
      <c r="M131" s="918"/>
      <c r="N131" s="918"/>
      <c r="O131" s="909"/>
      <c r="P131" s="908" t="s">
        <v>9</v>
      </c>
      <c r="Q131" s="918"/>
      <c r="R131" s="918"/>
      <c r="S131" s="909"/>
      <c r="T131" s="908" t="s">
        <v>174</v>
      </c>
      <c r="U131" s="918"/>
      <c r="V131" s="918"/>
      <c r="W131" s="918"/>
      <c r="X131" s="909"/>
    </row>
    <row r="132" spans="1:24" ht="13.5" thickBot="1">
      <c r="A132" s="907"/>
      <c r="B132" s="1256"/>
      <c r="C132" s="1257"/>
      <c r="D132" s="916"/>
      <c r="E132" s="994"/>
      <c r="F132" s="994"/>
      <c r="G132" s="917"/>
      <c r="H132" s="916"/>
      <c r="I132" s="994"/>
      <c r="J132" s="994"/>
      <c r="K132" s="917"/>
      <c r="L132" s="916"/>
      <c r="M132" s="994"/>
      <c r="N132" s="994"/>
      <c r="O132" s="917"/>
      <c r="P132" s="916">
        <f>SUM(B132:O132)</f>
        <v>0</v>
      </c>
      <c r="Q132" s="994"/>
      <c r="R132" s="994"/>
      <c r="S132" s="917"/>
      <c r="T132" s="916" t="e">
        <f>B132/P132%</f>
        <v>#DIV/0!</v>
      </c>
      <c r="U132" s="994"/>
      <c r="V132" s="994"/>
      <c r="W132" s="994"/>
      <c r="X132" s="917"/>
    </row>
    <row r="133" spans="1:24" ht="13.5" thickBot="1">
      <c r="A133" s="906" t="s">
        <v>10</v>
      </c>
      <c r="B133" s="908" t="s">
        <v>175</v>
      </c>
      <c r="C133" s="909"/>
      <c r="D133" s="910"/>
      <c r="E133" s="911"/>
      <c r="F133" s="911"/>
      <c r="G133" s="911"/>
      <c r="H133" s="911"/>
      <c r="I133" s="911"/>
      <c r="J133" s="911"/>
      <c r="K133" s="911"/>
      <c r="L133" s="911"/>
      <c r="M133" s="911"/>
      <c r="N133" s="911"/>
      <c r="O133" s="911"/>
      <c r="P133" s="911"/>
      <c r="Q133" s="911"/>
      <c r="R133" s="911"/>
      <c r="S133" s="911"/>
      <c r="T133" s="911"/>
      <c r="U133" s="911"/>
      <c r="V133" s="911"/>
      <c r="W133" s="911"/>
      <c r="X133" s="912"/>
    </row>
    <row r="134" spans="1:24" ht="13.5" thickBot="1">
      <c r="A134" s="907"/>
      <c r="B134" s="1256"/>
      <c r="C134" s="1257"/>
      <c r="D134" s="913"/>
      <c r="E134" s="914"/>
      <c r="F134" s="914"/>
      <c r="G134" s="914"/>
      <c r="H134" s="914"/>
      <c r="I134" s="914"/>
      <c r="J134" s="914"/>
      <c r="K134" s="914"/>
      <c r="L134" s="914"/>
      <c r="M134" s="914"/>
      <c r="N134" s="914"/>
      <c r="O134" s="914"/>
      <c r="P134" s="914"/>
      <c r="Q134" s="914"/>
      <c r="R134" s="914"/>
      <c r="S134" s="914"/>
      <c r="T134" s="914"/>
      <c r="U134" s="914"/>
      <c r="V134" s="914"/>
      <c r="W134" s="914"/>
      <c r="X134" s="915"/>
    </row>
    <row r="135" spans="1:24">
      <c r="A135" s="5"/>
      <c r="B135" s="5"/>
      <c r="C135" s="6"/>
      <c r="D135" s="5"/>
      <c r="E135" s="5"/>
      <c r="F135" s="5"/>
      <c r="G135" s="5"/>
      <c r="H135" s="5"/>
      <c r="I135" s="5"/>
      <c r="J135" s="5"/>
      <c r="K135" s="5"/>
      <c r="L135" s="5"/>
      <c r="M135" s="5"/>
      <c r="N135" s="5"/>
      <c r="O135" s="5"/>
      <c r="P135" s="5"/>
      <c r="Q135" s="5"/>
      <c r="R135" s="5"/>
      <c r="S135" s="5"/>
      <c r="T135" s="5"/>
      <c r="U135" s="5"/>
      <c r="V135" s="5"/>
      <c r="W135" s="5"/>
      <c r="X135" s="5"/>
    </row>
    <row r="136" spans="1:24" ht="13.5" thickBot="1">
      <c r="A136" s="5"/>
      <c r="B136" s="5"/>
      <c r="C136" s="6"/>
      <c r="D136" s="5"/>
      <c r="E136" s="5"/>
      <c r="F136" s="5"/>
      <c r="G136" s="5"/>
      <c r="H136" s="5"/>
      <c r="I136" s="5"/>
      <c r="J136" s="5"/>
      <c r="K136" s="5"/>
      <c r="L136" s="5"/>
      <c r="M136" s="5"/>
      <c r="N136" s="5"/>
      <c r="O136" s="5"/>
      <c r="P136" s="5"/>
      <c r="Q136" s="5"/>
      <c r="R136" s="5"/>
      <c r="S136" s="5"/>
      <c r="T136" s="5"/>
      <c r="U136" s="5"/>
      <c r="V136" s="5"/>
      <c r="W136" s="5"/>
      <c r="X136" s="5"/>
    </row>
    <row r="137" spans="1:24" ht="12.95" customHeight="1" thickBot="1">
      <c r="A137" s="95" t="s">
        <v>28</v>
      </c>
      <c r="B137" s="97" t="s">
        <v>32</v>
      </c>
      <c r="C137" s="8"/>
      <c r="D137" s="927" t="s">
        <v>78</v>
      </c>
      <c r="E137" s="928"/>
      <c r="F137" s="928"/>
      <c r="G137" s="929"/>
      <c r="H137" s="927" t="s">
        <v>77</v>
      </c>
      <c r="I137" s="928"/>
      <c r="J137" s="928"/>
      <c r="K137" s="929"/>
      <c r="L137" s="927" t="s">
        <v>81</v>
      </c>
      <c r="M137" s="928"/>
      <c r="N137" s="928"/>
      <c r="O137" s="929"/>
      <c r="P137" s="927" t="s">
        <v>254</v>
      </c>
      <c r="Q137" s="928"/>
      <c r="R137" s="928"/>
      <c r="S137" s="929"/>
      <c r="T137" s="927" t="s">
        <v>76</v>
      </c>
      <c r="U137" s="928"/>
      <c r="V137" s="928"/>
      <c r="W137" s="929"/>
      <c r="X137" s="16" t="s">
        <v>6</v>
      </c>
    </row>
    <row r="138" spans="1:24" ht="12.95" customHeight="1" thickBot="1">
      <c r="A138" s="868" t="s">
        <v>65</v>
      </c>
      <c r="B138" s="868" t="s">
        <v>66</v>
      </c>
      <c r="C138" s="9" t="s">
        <v>2</v>
      </c>
      <c r="D138" s="957"/>
      <c r="E138" s="958"/>
      <c r="F138" s="958"/>
      <c r="G138" s="959"/>
      <c r="H138" s="966"/>
      <c r="I138" s="967"/>
      <c r="J138" s="967"/>
      <c r="K138" s="968"/>
      <c r="L138" s="966" t="s">
        <v>910</v>
      </c>
      <c r="M138" s="967"/>
      <c r="N138" s="967"/>
      <c r="O138" s="968"/>
      <c r="P138" s="942">
        <v>1</v>
      </c>
      <c r="Q138" s="943"/>
      <c r="R138" s="943"/>
      <c r="S138" s="944"/>
      <c r="T138" s="1325">
        <v>1.6</v>
      </c>
      <c r="U138" s="1326"/>
      <c r="V138" s="1326"/>
      <c r="W138" s="1327"/>
      <c r="X138" s="879" t="s">
        <v>91</v>
      </c>
    </row>
    <row r="139" spans="1:24" ht="13.5" thickBot="1">
      <c r="A139" s="885"/>
      <c r="B139" s="885"/>
      <c r="C139" s="99" t="s">
        <v>3</v>
      </c>
      <c r="D139" s="957"/>
      <c r="E139" s="958"/>
      <c r="F139" s="958"/>
      <c r="G139" s="959"/>
      <c r="H139" s="957"/>
      <c r="I139" s="958"/>
      <c r="J139" s="958"/>
      <c r="K139" s="959"/>
      <c r="L139" s="957"/>
      <c r="M139" s="958"/>
      <c r="N139" s="958"/>
      <c r="O139" s="959"/>
      <c r="P139" s="957"/>
      <c r="Q139" s="958"/>
      <c r="R139" s="958"/>
      <c r="S139" s="959"/>
      <c r="T139" s="963">
        <v>0</v>
      </c>
      <c r="U139" s="964"/>
      <c r="V139" s="964"/>
      <c r="W139" s="965"/>
      <c r="X139" s="880"/>
    </row>
    <row r="140" spans="1:24" ht="12.95" customHeight="1" thickBot="1">
      <c r="A140" s="885"/>
      <c r="B140" s="885"/>
      <c r="C140" s="1258" t="s">
        <v>170</v>
      </c>
      <c r="D140" s="927" t="s">
        <v>4</v>
      </c>
      <c r="E140" s="928"/>
      <c r="F140" s="928"/>
      <c r="G140" s="928"/>
      <c r="H140" s="928"/>
      <c r="I140" s="928"/>
      <c r="J140" s="928"/>
      <c r="K140" s="928"/>
      <c r="L140" s="928"/>
      <c r="M140" s="928"/>
      <c r="N140" s="928"/>
      <c r="O140" s="928"/>
      <c r="P140" s="928"/>
      <c r="Q140" s="928"/>
      <c r="R140" s="928"/>
      <c r="S140" s="928"/>
      <c r="T140" s="928"/>
      <c r="U140" s="928"/>
      <c r="V140" s="928"/>
      <c r="W140" s="929"/>
      <c r="X140" s="880"/>
    </row>
    <row r="141" spans="1:24" ht="12.95" customHeight="1" thickBot="1">
      <c r="A141" s="885"/>
      <c r="B141" s="869"/>
      <c r="C141" s="1259"/>
      <c r="D141" s="930" t="s">
        <v>123</v>
      </c>
      <c r="E141" s="931"/>
      <c r="F141" s="931"/>
      <c r="G141" s="931"/>
      <c r="H141" s="931"/>
      <c r="I141" s="931"/>
      <c r="J141" s="931"/>
      <c r="K141" s="931"/>
      <c r="L141" s="931"/>
      <c r="M141" s="931"/>
      <c r="N141" s="931"/>
      <c r="O141" s="931"/>
      <c r="P141" s="931"/>
      <c r="Q141" s="931"/>
      <c r="R141" s="931"/>
      <c r="S141" s="931"/>
      <c r="T141" s="931"/>
      <c r="U141" s="931"/>
      <c r="V141" s="931"/>
      <c r="W141" s="932"/>
      <c r="X141" s="880"/>
    </row>
    <row r="142" spans="1:24" ht="12.95" customHeight="1" thickBot="1">
      <c r="A142" s="885"/>
      <c r="B142" s="11" t="s">
        <v>33</v>
      </c>
      <c r="C142" s="12"/>
      <c r="D142" s="927" t="s">
        <v>78</v>
      </c>
      <c r="E142" s="928"/>
      <c r="F142" s="928"/>
      <c r="G142" s="929"/>
      <c r="H142" s="927" t="s">
        <v>77</v>
      </c>
      <c r="I142" s="928"/>
      <c r="J142" s="928"/>
      <c r="K142" s="929"/>
      <c r="L142" s="927" t="s">
        <v>81</v>
      </c>
      <c r="M142" s="928"/>
      <c r="N142" s="928"/>
      <c r="O142" s="929"/>
      <c r="P142" s="927" t="s">
        <v>254</v>
      </c>
      <c r="Q142" s="928"/>
      <c r="R142" s="928"/>
      <c r="S142" s="929"/>
      <c r="T142" s="927" t="s">
        <v>76</v>
      </c>
      <c r="U142" s="928"/>
      <c r="V142" s="928"/>
      <c r="W142" s="929"/>
      <c r="X142" s="880"/>
    </row>
    <row r="143" spans="1:24" ht="12.95" customHeight="1" thickBot="1">
      <c r="A143" s="885"/>
      <c r="B143" s="868" t="s">
        <v>67</v>
      </c>
      <c r="C143" s="23" t="s">
        <v>2</v>
      </c>
      <c r="D143" s="957"/>
      <c r="E143" s="958"/>
      <c r="F143" s="958"/>
      <c r="G143" s="959"/>
      <c r="H143" s="966"/>
      <c r="I143" s="967"/>
      <c r="J143" s="967"/>
      <c r="K143" s="968"/>
      <c r="L143" s="966" t="s">
        <v>910</v>
      </c>
      <c r="M143" s="967"/>
      <c r="N143" s="967"/>
      <c r="O143" s="968"/>
      <c r="P143" s="942">
        <v>1.8</v>
      </c>
      <c r="Q143" s="943"/>
      <c r="R143" s="943"/>
      <c r="S143" s="944"/>
      <c r="T143" s="1325">
        <v>2.4</v>
      </c>
      <c r="U143" s="1326"/>
      <c r="V143" s="1326"/>
      <c r="W143" s="1327"/>
      <c r="X143" s="880"/>
    </row>
    <row r="144" spans="1:24" ht="13.5" thickBot="1">
      <c r="A144" s="885"/>
      <c r="B144" s="885"/>
      <c r="C144" s="9" t="s">
        <v>3</v>
      </c>
      <c r="D144" s="957"/>
      <c r="E144" s="958"/>
      <c r="F144" s="958"/>
      <c r="G144" s="959"/>
      <c r="H144" s="957"/>
      <c r="I144" s="958"/>
      <c r="J144" s="958"/>
      <c r="K144" s="959"/>
      <c r="L144" s="957"/>
      <c r="M144" s="958"/>
      <c r="N144" s="958"/>
      <c r="O144" s="959"/>
      <c r="P144" s="957"/>
      <c r="Q144" s="958"/>
      <c r="R144" s="958"/>
      <c r="S144" s="959"/>
      <c r="T144" s="963">
        <v>0</v>
      </c>
      <c r="U144" s="964"/>
      <c r="V144" s="964"/>
      <c r="W144" s="965"/>
      <c r="X144" s="880"/>
    </row>
    <row r="145" spans="1:24" ht="12.95" customHeight="1" thickBot="1">
      <c r="A145" s="885"/>
      <c r="B145" s="885"/>
      <c r="C145" s="1258" t="s">
        <v>170</v>
      </c>
      <c r="D145" s="927" t="s">
        <v>4</v>
      </c>
      <c r="E145" s="928"/>
      <c r="F145" s="928"/>
      <c r="G145" s="928"/>
      <c r="H145" s="928"/>
      <c r="I145" s="928"/>
      <c r="J145" s="928"/>
      <c r="K145" s="928"/>
      <c r="L145" s="928"/>
      <c r="M145" s="928"/>
      <c r="N145" s="928"/>
      <c r="O145" s="928"/>
      <c r="P145" s="928"/>
      <c r="Q145" s="928"/>
      <c r="R145" s="928"/>
      <c r="S145" s="928"/>
      <c r="T145" s="928"/>
      <c r="U145" s="928"/>
      <c r="V145" s="928"/>
      <c r="W145" s="929"/>
      <c r="X145" s="880"/>
    </row>
    <row r="146" spans="1:24" ht="12.95" customHeight="1" thickBot="1">
      <c r="A146" s="885"/>
      <c r="B146" s="869"/>
      <c r="C146" s="1259"/>
      <c r="D146" s="930" t="s">
        <v>123</v>
      </c>
      <c r="E146" s="931"/>
      <c r="F146" s="931"/>
      <c r="G146" s="931"/>
      <c r="H146" s="931"/>
      <c r="I146" s="931"/>
      <c r="J146" s="931"/>
      <c r="K146" s="931"/>
      <c r="L146" s="931"/>
      <c r="M146" s="931"/>
      <c r="N146" s="931"/>
      <c r="O146" s="931"/>
      <c r="P146" s="931"/>
      <c r="Q146" s="931"/>
      <c r="R146" s="931"/>
      <c r="S146" s="931"/>
      <c r="T146" s="931"/>
      <c r="U146" s="931"/>
      <c r="V146" s="931"/>
      <c r="W146" s="932"/>
      <c r="X146" s="880"/>
    </row>
    <row r="147" spans="1:24" ht="12.95" customHeight="1" thickBot="1">
      <c r="A147" s="885"/>
      <c r="B147" s="11" t="s">
        <v>34</v>
      </c>
      <c r="C147" s="12"/>
      <c r="D147" s="927" t="s">
        <v>78</v>
      </c>
      <c r="E147" s="928"/>
      <c r="F147" s="928"/>
      <c r="G147" s="929"/>
      <c r="H147" s="927" t="s">
        <v>77</v>
      </c>
      <c r="I147" s="928"/>
      <c r="J147" s="928"/>
      <c r="K147" s="929"/>
      <c r="L147" s="927" t="s">
        <v>81</v>
      </c>
      <c r="M147" s="928"/>
      <c r="N147" s="928"/>
      <c r="O147" s="929"/>
      <c r="P147" s="927" t="s">
        <v>254</v>
      </c>
      <c r="Q147" s="928"/>
      <c r="R147" s="928"/>
      <c r="S147" s="929"/>
      <c r="T147" s="927" t="s">
        <v>76</v>
      </c>
      <c r="U147" s="928"/>
      <c r="V147" s="928"/>
      <c r="W147" s="929"/>
      <c r="X147" s="880"/>
    </row>
    <row r="148" spans="1:24" ht="12.95" customHeight="1" thickBot="1">
      <c r="A148" s="885"/>
      <c r="B148" s="868" t="s">
        <v>68</v>
      </c>
      <c r="C148" s="23" t="s">
        <v>2</v>
      </c>
      <c r="D148" s="957"/>
      <c r="E148" s="958"/>
      <c r="F148" s="958"/>
      <c r="G148" s="959"/>
      <c r="H148" s="966"/>
      <c r="I148" s="967"/>
      <c r="J148" s="967"/>
      <c r="K148" s="968"/>
      <c r="L148" s="966" t="s">
        <v>910</v>
      </c>
      <c r="M148" s="967"/>
      <c r="N148" s="967"/>
      <c r="O148" s="968"/>
      <c r="P148" s="942">
        <v>1.1000000000000001</v>
      </c>
      <c r="Q148" s="943"/>
      <c r="R148" s="943"/>
      <c r="S148" s="944"/>
      <c r="T148" s="1325">
        <v>1.7</v>
      </c>
      <c r="U148" s="1326"/>
      <c r="V148" s="1326"/>
      <c r="W148" s="1327"/>
      <c r="X148" s="880"/>
    </row>
    <row r="149" spans="1:24" ht="13.5" thickBot="1">
      <c r="A149" s="885"/>
      <c r="B149" s="885"/>
      <c r="C149" s="9" t="s">
        <v>3</v>
      </c>
      <c r="D149" s="957"/>
      <c r="E149" s="958"/>
      <c r="F149" s="958"/>
      <c r="G149" s="959"/>
      <c r="H149" s="957"/>
      <c r="I149" s="958"/>
      <c r="J149" s="958"/>
      <c r="K149" s="959"/>
      <c r="L149" s="957"/>
      <c r="M149" s="958"/>
      <c r="N149" s="958"/>
      <c r="O149" s="959"/>
      <c r="P149" s="957"/>
      <c r="Q149" s="958"/>
      <c r="R149" s="958"/>
      <c r="S149" s="959"/>
      <c r="T149" s="963">
        <v>0</v>
      </c>
      <c r="U149" s="964"/>
      <c r="V149" s="964"/>
      <c r="W149" s="965"/>
      <c r="X149" s="880"/>
    </row>
    <row r="150" spans="1:24" ht="12.95" customHeight="1" thickBot="1">
      <c r="A150" s="885"/>
      <c r="B150" s="885"/>
      <c r="C150" s="1258" t="s">
        <v>170</v>
      </c>
      <c r="D150" s="927" t="s">
        <v>4</v>
      </c>
      <c r="E150" s="928"/>
      <c r="F150" s="928"/>
      <c r="G150" s="928"/>
      <c r="H150" s="928"/>
      <c r="I150" s="928"/>
      <c r="J150" s="928"/>
      <c r="K150" s="928"/>
      <c r="L150" s="928"/>
      <c r="M150" s="928"/>
      <c r="N150" s="928"/>
      <c r="O150" s="928"/>
      <c r="P150" s="928"/>
      <c r="Q150" s="928"/>
      <c r="R150" s="928"/>
      <c r="S150" s="928"/>
      <c r="T150" s="928"/>
      <c r="U150" s="928"/>
      <c r="V150" s="928"/>
      <c r="W150" s="929"/>
      <c r="X150" s="880"/>
    </row>
    <row r="151" spans="1:24" ht="12.95" customHeight="1" thickBot="1">
      <c r="A151" s="885"/>
      <c r="B151" s="869"/>
      <c r="C151" s="1259"/>
      <c r="D151" s="930" t="s">
        <v>123</v>
      </c>
      <c r="E151" s="931"/>
      <c r="F151" s="931"/>
      <c r="G151" s="931"/>
      <c r="H151" s="931"/>
      <c r="I151" s="931"/>
      <c r="J151" s="931"/>
      <c r="K151" s="931"/>
      <c r="L151" s="931"/>
      <c r="M151" s="931"/>
      <c r="N151" s="931"/>
      <c r="O151" s="931"/>
      <c r="P151" s="931"/>
      <c r="Q151" s="931"/>
      <c r="R151" s="931"/>
      <c r="S151" s="931"/>
      <c r="T151" s="931"/>
      <c r="U151" s="931"/>
      <c r="V151" s="931"/>
      <c r="W151" s="932"/>
      <c r="X151" s="880"/>
    </row>
    <row r="152" spans="1:24" ht="12.95" customHeight="1" thickBot="1">
      <c r="A152" s="885"/>
      <c r="B152" s="11" t="s">
        <v>41</v>
      </c>
      <c r="C152" s="12"/>
      <c r="D152" s="927" t="s">
        <v>78</v>
      </c>
      <c r="E152" s="928"/>
      <c r="F152" s="928"/>
      <c r="G152" s="929"/>
      <c r="H152" s="927" t="s">
        <v>77</v>
      </c>
      <c r="I152" s="928"/>
      <c r="J152" s="928"/>
      <c r="K152" s="929"/>
      <c r="L152" s="927" t="s">
        <v>81</v>
      </c>
      <c r="M152" s="928"/>
      <c r="N152" s="928"/>
      <c r="O152" s="929"/>
      <c r="P152" s="927" t="s">
        <v>254</v>
      </c>
      <c r="Q152" s="928"/>
      <c r="R152" s="928"/>
      <c r="S152" s="929"/>
      <c r="T152" s="927" t="s">
        <v>76</v>
      </c>
      <c r="U152" s="928"/>
      <c r="V152" s="928"/>
      <c r="W152" s="929"/>
      <c r="X152" s="880"/>
    </row>
    <row r="153" spans="1:24" ht="12.95" customHeight="1" thickBot="1">
      <c r="A153" s="885"/>
      <c r="B153" s="868" t="s">
        <v>69</v>
      </c>
      <c r="C153" s="23" t="s">
        <v>2</v>
      </c>
      <c r="D153" s="957"/>
      <c r="E153" s="958"/>
      <c r="F153" s="958"/>
      <c r="G153" s="959"/>
      <c r="H153" s="966"/>
      <c r="I153" s="967"/>
      <c r="J153" s="967"/>
      <c r="K153" s="968"/>
      <c r="L153" s="966" t="s">
        <v>910</v>
      </c>
      <c r="M153" s="967"/>
      <c r="N153" s="967"/>
      <c r="O153" s="968"/>
      <c r="P153" s="942">
        <v>1.2</v>
      </c>
      <c r="Q153" s="943"/>
      <c r="R153" s="943"/>
      <c r="S153" s="944"/>
      <c r="T153" s="1325">
        <v>1.6</v>
      </c>
      <c r="U153" s="1326"/>
      <c r="V153" s="1326"/>
      <c r="W153" s="1327"/>
      <c r="X153" s="880"/>
    </row>
    <row r="154" spans="1:24" ht="13.5" thickBot="1">
      <c r="A154" s="885"/>
      <c r="B154" s="885"/>
      <c r="C154" s="9" t="s">
        <v>3</v>
      </c>
      <c r="D154" s="957"/>
      <c r="E154" s="958"/>
      <c r="F154" s="958"/>
      <c r="G154" s="959"/>
      <c r="H154" s="957"/>
      <c r="I154" s="958"/>
      <c r="J154" s="958"/>
      <c r="K154" s="959"/>
      <c r="L154" s="957"/>
      <c r="M154" s="958"/>
      <c r="N154" s="958"/>
      <c r="O154" s="959"/>
      <c r="P154" s="957"/>
      <c r="Q154" s="958"/>
      <c r="R154" s="958"/>
      <c r="S154" s="959"/>
      <c r="T154" s="963">
        <v>0</v>
      </c>
      <c r="U154" s="964"/>
      <c r="V154" s="964"/>
      <c r="W154" s="965"/>
      <c r="X154" s="880"/>
    </row>
    <row r="155" spans="1:24" ht="12.95" customHeight="1" thickBot="1">
      <c r="A155" s="885"/>
      <c r="B155" s="885"/>
      <c r="C155" s="1258" t="s">
        <v>170</v>
      </c>
      <c r="D155" s="927" t="s">
        <v>4</v>
      </c>
      <c r="E155" s="928"/>
      <c r="F155" s="928"/>
      <c r="G155" s="928"/>
      <c r="H155" s="928"/>
      <c r="I155" s="928"/>
      <c r="J155" s="928"/>
      <c r="K155" s="928"/>
      <c r="L155" s="928"/>
      <c r="M155" s="928"/>
      <c r="N155" s="928"/>
      <c r="O155" s="928"/>
      <c r="P155" s="928"/>
      <c r="Q155" s="928"/>
      <c r="R155" s="928"/>
      <c r="S155" s="928"/>
      <c r="T155" s="928"/>
      <c r="U155" s="928"/>
      <c r="V155" s="928"/>
      <c r="W155" s="929"/>
      <c r="X155" s="880"/>
    </row>
    <row r="156" spans="1:24" ht="12.95" customHeight="1" thickBot="1">
      <c r="A156" s="885"/>
      <c r="B156" s="869"/>
      <c r="C156" s="1259"/>
      <c r="D156" s="930" t="s">
        <v>123</v>
      </c>
      <c r="E156" s="931"/>
      <c r="F156" s="931"/>
      <c r="G156" s="931"/>
      <c r="H156" s="931"/>
      <c r="I156" s="931"/>
      <c r="J156" s="931"/>
      <c r="K156" s="931"/>
      <c r="L156" s="931"/>
      <c r="M156" s="931"/>
      <c r="N156" s="931"/>
      <c r="O156" s="931"/>
      <c r="P156" s="931"/>
      <c r="Q156" s="931"/>
      <c r="R156" s="931"/>
      <c r="S156" s="931"/>
      <c r="T156" s="931"/>
      <c r="U156" s="931"/>
      <c r="V156" s="931"/>
      <c r="W156" s="932"/>
      <c r="X156" s="880"/>
    </row>
    <row r="157" spans="1:24" ht="12.95" customHeight="1" thickBot="1">
      <c r="A157" s="885"/>
      <c r="B157" s="11" t="s">
        <v>42</v>
      </c>
      <c r="C157" s="28"/>
      <c r="D157" s="927" t="s">
        <v>78</v>
      </c>
      <c r="E157" s="928"/>
      <c r="F157" s="928"/>
      <c r="G157" s="929"/>
      <c r="H157" s="927" t="s">
        <v>77</v>
      </c>
      <c r="I157" s="928"/>
      <c r="J157" s="928"/>
      <c r="K157" s="929"/>
      <c r="L157" s="927" t="s">
        <v>81</v>
      </c>
      <c r="M157" s="928"/>
      <c r="N157" s="928"/>
      <c r="O157" s="929"/>
      <c r="P157" s="927" t="s">
        <v>254</v>
      </c>
      <c r="Q157" s="928"/>
      <c r="R157" s="928"/>
      <c r="S157" s="929"/>
      <c r="T157" s="927" t="s">
        <v>76</v>
      </c>
      <c r="U157" s="928"/>
      <c r="V157" s="928"/>
      <c r="W157" s="929"/>
      <c r="X157" s="880"/>
    </row>
    <row r="158" spans="1:24" ht="18.95" customHeight="1" thickBot="1">
      <c r="A158" s="885"/>
      <c r="B158" s="868" t="s">
        <v>180</v>
      </c>
      <c r="C158" s="26"/>
      <c r="D158" s="955" t="s">
        <v>99</v>
      </c>
      <c r="E158" s="956"/>
      <c r="F158" s="955" t="s">
        <v>100</v>
      </c>
      <c r="G158" s="956"/>
      <c r="H158" s="955" t="s">
        <v>99</v>
      </c>
      <c r="I158" s="956"/>
      <c r="J158" s="955" t="s">
        <v>100</v>
      </c>
      <c r="K158" s="956"/>
      <c r="L158" s="955" t="s">
        <v>99</v>
      </c>
      <c r="M158" s="956"/>
      <c r="N158" s="955" t="s">
        <v>100</v>
      </c>
      <c r="O158" s="956"/>
      <c r="P158" s="955" t="s">
        <v>99</v>
      </c>
      <c r="Q158" s="956"/>
      <c r="R158" s="955" t="s">
        <v>100</v>
      </c>
      <c r="S158" s="956"/>
      <c r="T158" s="955" t="s">
        <v>99</v>
      </c>
      <c r="U158" s="956"/>
      <c r="V158" s="955" t="s">
        <v>100</v>
      </c>
      <c r="W158" s="956"/>
      <c r="X158" s="880"/>
    </row>
    <row r="159" spans="1:24" ht="12.95" customHeight="1" thickBot="1">
      <c r="A159" s="885"/>
      <c r="B159" s="885"/>
      <c r="C159" s="26" t="s">
        <v>2</v>
      </c>
      <c r="D159" s="957"/>
      <c r="E159" s="958"/>
      <c r="F159" s="958"/>
      <c r="G159" s="959"/>
      <c r="H159" s="966"/>
      <c r="I159" s="967"/>
      <c r="J159" s="967"/>
      <c r="K159" s="968"/>
      <c r="L159" s="966" t="s">
        <v>910</v>
      </c>
      <c r="M159" s="967"/>
      <c r="N159" s="967"/>
      <c r="O159" s="968"/>
      <c r="P159" s="951">
        <v>0</v>
      </c>
      <c r="Q159" s="952"/>
      <c r="R159" s="951">
        <v>0</v>
      </c>
      <c r="S159" s="952"/>
      <c r="T159" s="951">
        <v>2</v>
      </c>
      <c r="U159" s="952"/>
      <c r="V159" s="1323">
        <v>1</v>
      </c>
      <c r="W159" s="1324"/>
      <c r="X159" s="880"/>
    </row>
    <row r="160" spans="1:24" ht="13.5" thickBot="1">
      <c r="A160" s="869"/>
      <c r="B160" s="885"/>
      <c r="C160" s="9" t="s">
        <v>3</v>
      </c>
      <c r="D160" s="957"/>
      <c r="E160" s="958"/>
      <c r="F160" s="958"/>
      <c r="G160" s="959"/>
      <c r="H160" s="957"/>
      <c r="I160" s="958"/>
      <c r="J160" s="958"/>
      <c r="K160" s="959"/>
      <c r="L160" s="957"/>
      <c r="M160" s="958"/>
      <c r="N160" s="958"/>
      <c r="O160" s="959"/>
      <c r="P160" s="957"/>
      <c r="Q160" s="958"/>
      <c r="R160" s="958">
        <v>0</v>
      </c>
      <c r="S160" s="959"/>
      <c r="T160" s="939">
        <v>0</v>
      </c>
      <c r="U160" s="953"/>
      <c r="V160" s="939">
        <v>0</v>
      </c>
      <c r="W160" s="953"/>
      <c r="X160" s="881"/>
    </row>
    <row r="161" spans="1:24" ht="12.95" customHeight="1" thickBot="1">
      <c r="A161" s="96" t="s">
        <v>13</v>
      </c>
      <c r="B161" s="885" t="s">
        <v>178</v>
      </c>
      <c r="C161" s="1258" t="s">
        <v>170</v>
      </c>
      <c r="D161" s="927" t="s">
        <v>4</v>
      </c>
      <c r="E161" s="928"/>
      <c r="F161" s="928"/>
      <c r="G161" s="928"/>
      <c r="H161" s="928"/>
      <c r="I161" s="928"/>
      <c r="J161" s="928"/>
      <c r="K161" s="928"/>
      <c r="L161" s="928"/>
      <c r="M161" s="928"/>
      <c r="N161" s="928"/>
      <c r="O161" s="928"/>
      <c r="P161" s="928"/>
      <c r="Q161" s="928"/>
      <c r="R161" s="928"/>
      <c r="S161" s="928"/>
      <c r="T161" s="928"/>
      <c r="U161" s="928"/>
      <c r="V161" s="928"/>
      <c r="W161" s="929"/>
      <c r="X161" s="24" t="s">
        <v>14</v>
      </c>
    </row>
    <row r="162" spans="1:24" ht="12.95" customHeight="1" thickBot="1">
      <c r="A162" s="25" t="s">
        <v>74</v>
      </c>
      <c r="B162" s="869"/>
      <c r="C162" s="1259"/>
      <c r="D162" s="930" t="s">
        <v>124</v>
      </c>
      <c r="E162" s="931"/>
      <c r="F162" s="931"/>
      <c r="G162" s="931"/>
      <c r="H162" s="931"/>
      <c r="I162" s="931"/>
      <c r="J162" s="931"/>
      <c r="K162" s="931"/>
      <c r="L162" s="931"/>
      <c r="M162" s="931"/>
      <c r="N162" s="931"/>
      <c r="O162" s="931"/>
      <c r="P162" s="931"/>
      <c r="Q162" s="931"/>
      <c r="R162" s="931"/>
      <c r="S162" s="931"/>
      <c r="T162" s="931"/>
      <c r="U162" s="931"/>
      <c r="V162" s="931"/>
      <c r="W162" s="932"/>
      <c r="X162" s="18" t="s">
        <v>93</v>
      </c>
    </row>
    <row r="163" spans="1:24" ht="12.95" customHeight="1" thickBot="1">
      <c r="A163" s="906" t="s">
        <v>7</v>
      </c>
      <c r="B163" s="908" t="s">
        <v>173</v>
      </c>
      <c r="C163" s="909"/>
      <c r="D163" s="908" t="s">
        <v>8</v>
      </c>
      <c r="E163" s="918"/>
      <c r="F163" s="918"/>
      <c r="G163" s="909"/>
      <c r="H163" s="908" t="s">
        <v>88</v>
      </c>
      <c r="I163" s="918"/>
      <c r="J163" s="918"/>
      <c r="K163" s="909"/>
      <c r="L163" s="908" t="s">
        <v>89</v>
      </c>
      <c r="M163" s="918"/>
      <c r="N163" s="918"/>
      <c r="O163" s="909"/>
      <c r="P163" s="908" t="s">
        <v>9</v>
      </c>
      <c r="Q163" s="918"/>
      <c r="R163" s="918"/>
      <c r="S163" s="909"/>
      <c r="T163" s="908" t="s">
        <v>174</v>
      </c>
      <c r="U163" s="918"/>
      <c r="V163" s="918"/>
      <c r="W163" s="918"/>
      <c r="X163" s="909"/>
    </row>
    <row r="164" spans="1:24" ht="13.5" thickBot="1">
      <c r="A164" s="907"/>
      <c r="B164" s="1256"/>
      <c r="C164" s="1257"/>
      <c r="D164" s="916"/>
      <c r="E164" s="994"/>
      <c r="F164" s="994"/>
      <c r="G164" s="917"/>
      <c r="H164" s="916"/>
      <c r="I164" s="994"/>
      <c r="J164" s="994"/>
      <c r="K164" s="917"/>
      <c r="L164" s="916"/>
      <c r="M164" s="994"/>
      <c r="N164" s="994"/>
      <c r="O164" s="917"/>
      <c r="P164" s="916">
        <f>SUM(B164:O164)</f>
        <v>0</v>
      </c>
      <c r="Q164" s="994"/>
      <c r="R164" s="994"/>
      <c r="S164" s="917"/>
      <c r="T164" s="916" t="e">
        <f>B164/P164%</f>
        <v>#DIV/0!</v>
      </c>
      <c r="U164" s="994"/>
      <c r="V164" s="994"/>
      <c r="W164" s="994"/>
      <c r="X164" s="917"/>
    </row>
    <row r="165" spans="1:24" ht="13.5" thickBot="1">
      <c r="A165" s="906" t="s">
        <v>10</v>
      </c>
      <c r="B165" s="908" t="s">
        <v>175</v>
      </c>
      <c r="C165" s="909"/>
      <c r="D165" s="910"/>
      <c r="E165" s="911"/>
      <c r="F165" s="911"/>
      <c r="G165" s="911"/>
      <c r="H165" s="911"/>
      <c r="I165" s="911"/>
      <c r="J165" s="911"/>
      <c r="K165" s="911"/>
      <c r="L165" s="911"/>
      <c r="M165" s="911"/>
      <c r="N165" s="911"/>
      <c r="O165" s="911"/>
      <c r="P165" s="911"/>
      <c r="Q165" s="911"/>
      <c r="R165" s="911"/>
      <c r="S165" s="911"/>
      <c r="T165" s="911"/>
      <c r="U165" s="911"/>
      <c r="V165" s="911"/>
      <c r="W165" s="911"/>
      <c r="X165" s="912"/>
    </row>
    <row r="166" spans="1:24" ht="13.5" thickBot="1">
      <c r="A166" s="907"/>
      <c r="B166" s="1256"/>
      <c r="C166" s="1257"/>
      <c r="D166" s="913"/>
      <c r="E166" s="914"/>
      <c r="F166" s="914"/>
      <c r="G166" s="914"/>
      <c r="H166" s="914"/>
      <c r="I166" s="914"/>
      <c r="J166" s="914"/>
      <c r="K166" s="914"/>
      <c r="L166" s="914"/>
      <c r="M166" s="914"/>
      <c r="N166" s="914"/>
      <c r="O166" s="914"/>
      <c r="P166" s="914"/>
      <c r="Q166" s="914"/>
      <c r="R166" s="914"/>
      <c r="S166" s="914"/>
      <c r="T166" s="914"/>
      <c r="U166" s="914"/>
      <c r="V166" s="914"/>
      <c r="W166" s="914"/>
      <c r="X166" s="915"/>
    </row>
    <row r="168" spans="1:24" ht="13.5" thickBot="1"/>
    <row r="169" spans="1:24" ht="12.95" customHeight="1" thickBot="1">
      <c r="A169" s="472" t="s">
        <v>27</v>
      </c>
      <c r="B169" s="473" t="s">
        <v>35</v>
      </c>
      <c r="C169" s="474"/>
      <c r="D169" s="1230" t="s">
        <v>78</v>
      </c>
      <c r="E169" s="1231"/>
      <c r="F169" s="1231"/>
      <c r="G169" s="1232"/>
      <c r="H169" s="1240" t="s">
        <v>77</v>
      </c>
      <c r="I169" s="1231"/>
      <c r="J169" s="1231"/>
      <c r="K169" s="1232"/>
      <c r="L169" s="1240" t="s">
        <v>81</v>
      </c>
      <c r="M169" s="1231"/>
      <c r="N169" s="1231"/>
      <c r="O169" s="1232"/>
      <c r="P169" s="1240" t="s">
        <v>254</v>
      </c>
      <c r="Q169" s="1231"/>
      <c r="R169" s="1231"/>
      <c r="S169" s="1232"/>
      <c r="T169" s="1240" t="s">
        <v>76</v>
      </c>
      <c r="U169" s="1231"/>
      <c r="V169" s="1231"/>
      <c r="W169" s="1232"/>
      <c r="X169" s="475" t="s">
        <v>12</v>
      </c>
    </row>
    <row r="170" spans="1:24" ht="12.95" customHeight="1" thickBot="1">
      <c r="A170" s="1253" t="s">
        <v>70</v>
      </c>
      <c r="B170" s="873" t="s">
        <v>609</v>
      </c>
      <c r="C170" s="90"/>
      <c r="D170" s="1215" t="s">
        <v>636</v>
      </c>
      <c r="E170" s="1216"/>
      <c r="F170" s="1216"/>
      <c r="G170" s="1217"/>
      <c r="H170" s="1215" t="s">
        <v>636</v>
      </c>
      <c r="I170" s="1216"/>
      <c r="J170" s="1216"/>
      <c r="K170" s="1217"/>
      <c r="L170" s="1215" t="s">
        <v>636</v>
      </c>
      <c r="M170" s="1216"/>
      <c r="N170" s="1216"/>
      <c r="O170" s="1217"/>
      <c r="P170" s="476" t="s">
        <v>602</v>
      </c>
      <c r="Q170" s="476" t="s">
        <v>603</v>
      </c>
      <c r="R170" s="476" t="s">
        <v>608</v>
      </c>
      <c r="S170" s="476" t="s">
        <v>604</v>
      </c>
      <c r="T170" s="476" t="s">
        <v>602</v>
      </c>
      <c r="U170" s="476" t="s">
        <v>603</v>
      </c>
      <c r="V170" s="476" t="s">
        <v>608</v>
      </c>
      <c r="W170" s="476" t="s">
        <v>604</v>
      </c>
      <c r="X170" s="879" t="s">
        <v>90</v>
      </c>
    </row>
    <row r="171" spans="1:24" ht="12.95" customHeight="1" thickBot="1">
      <c r="A171" s="1254"/>
      <c r="B171" s="874"/>
      <c r="C171" s="26" t="s">
        <v>2</v>
      </c>
      <c r="D171" s="957"/>
      <c r="E171" s="958"/>
      <c r="F171" s="958"/>
      <c r="G171" s="959"/>
      <c r="H171" s="966"/>
      <c r="I171" s="967"/>
      <c r="J171" s="967"/>
      <c r="K171" s="968"/>
      <c r="L171" s="966" t="s">
        <v>841</v>
      </c>
      <c r="M171" s="967"/>
      <c r="N171" s="967"/>
      <c r="O171" s="968"/>
      <c r="P171" s="150">
        <v>0</v>
      </c>
      <c r="Q171" s="150">
        <v>0</v>
      </c>
      <c r="R171" s="150">
        <v>0</v>
      </c>
      <c r="S171" s="150">
        <v>0</v>
      </c>
      <c r="T171" s="789">
        <v>6</v>
      </c>
      <c r="U171" s="789">
        <v>2</v>
      </c>
      <c r="V171" s="789">
        <v>1</v>
      </c>
      <c r="W171" s="150">
        <v>0</v>
      </c>
      <c r="X171" s="880"/>
    </row>
    <row r="172" spans="1:24" ht="12.95" customHeight="1" thickBot="1">
      <c r="A172" s="1254"/>
      <c r="B172" s="874"/>
      <c r="C172" s="9" t="s">
        <v>3</v>
      </c>
      <c r="D172" s="957"/>
      <c r="E172" s="958"/>
      <c r="F172" s="958"/>
      <c r="G172" s="959"/>
      <c r="H172" s="957"/>
      <c r="I172" s="958"/>
      <c r="J172" s="958"/>
      <c r="K172" s="959"/>
      <c r="L172" s="957"/>
      <c r="M172" s="958"/>
      <c r="N172" s="958"/>
      <c r="O172" s="959"/>
      <c r="P172" s="957"/>
      <c r="Q172" s="958"/>
      <c r="R172" s="958"/>
      <c r="S172" s="959"/>
      <c r="T172" s="150">
        <v>0</v>
      </c>
      <c r="U172" s="150">
        <v>0</v>
      </c>
      <c r="V172" s="150">
        <v>0</v>
      </c>
      <c r="W172" s="150">
        <v>0</v>
      </c>
      <c r="X172" s="880"/>
    </row>
    <row r="173" spans="1:24" ht="12.95" customHeight="1" thickBot="1">
      <c r="A173" s="1254"/>
      <c r="B173" s="874"/>
      <c r="C173" s="1244" t="s">
        <v>838</v>
      </c>
      <c r="D173" s="1230" t="s">
        <v>839</v>
      </c>
      <c r="E173" s="1231"/>
      <c r="F173" s="1231"/>
      <c r="G173" s="1231"/>
      <c r="H173" s="1231"/>
      <c r="I173" s="1231"/>
      <c r="J173" s="1231"/>
      <c r="K173" s="1231"/>
      <c r="L173" s="1231"/>
      <c r="M173" s="1231"/>
      <c r="N173" s="1231"/>
      <c r="O173" s="1231"/>
      <c r="P173" s="1231"/>
      <c r="Q173" s="1231"/>
      <c r="R173" s="1231"/>
      <c r="S173" s="1231"/>
      <c r="T173" s="1231"/>
      <c r="U173" s="1231"/>
      <c r="V173" s="1231"/>
      <c r="W173" s="1232"/>
      <c r="X173" s="880"/>
    </row>
    <row r="174" spans="1:24" ht="12.95" customHeight="1" thickBot="1">
      <c r="A174" s="1254"/>
      <c r="B174" s="1249"/>
      <c r="C174" s="1245"/>
      <c r="D174" s="930" t="s">
        <v>125</v>
      </c>
      <c r="E174" s="931"/>
      <c r="F174" s="931"/>
      <c r="G174" s="931"/>
      <c r="H174" s="931"/>
      <c r="I174" s="931"/>
      <c r="J174" s="931"/>
      <c r="K174" s="931"/>
      <c r="L174" s="931"/>
      <c r="M174" s="931"/>
      <c r="N174" s="931"/>
      <c r="O174" s="931"/>
      <c r="P174" s="931"/>
      <c r="Q174" s="931"/>
      <c r="R174" s="931"/>
      <c r="S174" s="931"/>
      <c r="T174" s="931"/>
      <c r="U174" s="931"/>
      <c r="V174" s="931"/>
      <c r="W174" s="932"/>
      <c r="X174" s="880"/>
    </row>
    <row r="175" spans="1:24" ht="12.95" customHeight="1" thickBot="1">
      <c r="A175" s="1254"/>
      <c r="B175" s="477" t="s">
        <v>36</v>
      </c>
      <c r="C175" s="478"/>
      <c r="D175" s="1230" t="s">
        <v>78</v>
      </c>
      <c r="E175" s="1231"/>
      <c r="F175" s="1231"/>
      <c r="G175" s="1232"/>
      <c r="H175" s="1240" t="s">
        <v>77</v>
      </c>
      <c r="I175" s="1231"/>
      <c r="J175" s="1231"/>
      <c r="K175" s="1232"/>
      <c r="L175" s="1240" t="s">
        <v>81</v>
      </c>
      <c r="M175" s="1231"/>
      <c r="N175" s="1231"/>
      <c r="O175" s="1232"/>
      <c r="P175" s="1240" t="s">
        <v>254</v>
      </c>
      <c r="Q175" s="1231"/>
      <c r="R175" s="1231"/>
      <c r="S175" s="1232"/>
      <c r="T175" s="1240" t="s">
        <v>76</v>
      </c>
      <c r="U175" s="1231"/>
      <c r="V175" s="1231"/>
      <c r="W175" s="1246"/>
      <c r="X175" s="880"/>
    </row>
    <row r="176" spans="1:24" ht="12.95" customHeight="1" thickBot="1">
      <c r="A176" s="1254"/>
      <c r="B176" s="873" t="s">
        <v>601</v>
      </c>
      <c r="C176" s="90"/>
      <c r="D176" s="1215" t="s">
        <v>636</v>
      </c>
      <c r="E176" s="1216"/>
      <c r="F176" s="1216"/>
      <c r="G176" s="1217"/>
      <c r="H176" s="1215" t="s">
        <v>636</v>
      </c>
      <c r="I176" s="1216"/>
      <c r="J176" s="1216"/>
      <c r="K176" s="1217"/>
      <c r="L176" s="1215" t="s">
        <v>636</v>
      </c>
      <c r="M176" s="1216"/>
      <c r="N176" s="1216"/>
      <c r="O176" s="1217"/>
      <c r="P176" s="479" t="s">
        <v>101</v>
      </c>
      <c r="Q176" s="479" t="s">
        <v>104</v>
      </c>
      <c r="R176" s="479" t="s">
        <v>102</v>
      </c>
      <c r="S176" s="479" t="s">
        <v>103</v>
      </c>
      <c r="T176" s="479" t="s">
        <v>101</v>
      </c>
      <c r="U176" s="479" t="s">
        <v>104</v>
      </c>
      <c r="V176" s="479" t="s">
        <v>102</v>
      </c>
      <c r="W176" s="479" t="s">
        <v>103</v>
      </c>
      <c r="X176" s="880"/>
    </row>
    <row r="177" spans="1:24" ht="12.95" customHeight="1" thickBot="1">
      <c r="A177" s="1254"/>
      <c r="B177" s="874"/>
      <c r="C177" s="26" t="s">
        <v>2</v>
      </c>
      <c r="D177" s="957"/>
      <c r="E177" s="958"/>
      <c r="F177" s="958"/>
      <c r="G177" s="959"/>
      <c r="H177" s="966"/>
      <c r="I177" s="967"/>
      <c r="J177" s="967"/>
      <c r="K177" s="968"/>
      <c r="L177" s="966" t="s">
        <v>841</v>
      </c>
      <c r="M177" s="967"/>
      <c r="N177" s="967"/>
      <c r="O177" s="968"/>
      <c r="P177" s="150">
        <v>0</v>
      </c>
      <c r="Q177" s="150">
        <v>0</v>
      </c>
      <c r="R177" s="150">
        <v>0</v>
      </c>
      <c r="S177" s="150">
        <v>0</v>
      </c>
      <c r="T177" s="789">
        <v>4</v>
      </c>
      <c r="U177" s="789">
        <v>1</v>
      </c>
      <c r="V177" s="150">
        <v>0</v>
      </c>
      <c r="W177" s="150">
        <v>0</v>
      </c>
      <c r="X177" s="880"/>
    </row>
    <row r="178" spans="1:24" ht="12.95" customHeight="1" thickBot="1">
      <c r="A178" s="1254"/>
      <c r="B178" s="874"/>
      <c r="C178" s="9" t="s">
        <v>3</v>
      </c>
      <c r="D178" s="957"/>
      <c r="E178" s="958"/>
      <c r="F178" s="958"/>
      <c r="G178" s="959"/>
      <c r="H178" s="957"/>
      <c r="I178" s="958"/>
      <c r="J178" s="958"/>
      <c r="K178" s="959"/>
      <c r="L178" s="957"/>
      <c r="M178" s="958"/>
      <c r="N178" s="958"/>
      <c r="O178" s="959"/>
      <c r="P178" s="957"/>
      <c r="Q178" s="958"/>
      <c r="R178" s="958"/>
      <c r="S178" s="959"/>
      <c r="T178" s="150">
        <v>0</v>
      </c>
      <c r="U178" s="150">
        <v>0</v>
      </c>
      <c r="V178" s="150">
        <v>0</v>
      </c>
      <c r="W178" s="150">
        <v>0</v>
      </c>
      <c r="X178" s="880"/>
    </row>
    <row r="179" spans="1:24" ht="12.95" customHeight="1" thickBot="1">
      <c r="A179" s="1254"/>
      <c r="B179" s="874"/>
      <c r="C179" s="1252" t="s">
        <v>838</v>
      </c>
      <c r="D179" s="1230" t="s">
        <v>839</v>
      </c>
      <c r="E179" s="1231"/>
      <c r="F179" s="1231"/>
      <c r="G179" s="1231"/>
      <c r="H179" s="1231"/>
      <c r="I179" s="1231"/>
      <c r="J179" s="1231"/>
      <c r="K179" s="1231"/>
      <c r="L179" s="1231"/>
      <c r="M179" s="1231"/>
      <c r="N179" s="1231"/>
      <c r="O179" s="1231"/>
      <c r="P179" s="1231"/>
      <c r="Q179" s="1231"/>
      <c r="R179" s="1231"/>
      <c r="S179" s="1231"/>
      <c r="T179" s="1231"/>
      <c r="U179" s="1231"/>
      <c r="V179" s="1231"/>
      <c r="W179" s="1232"/>
      <c r="X179" s="880"/>
    </row>
    <row r="180" spans="1:24" ht="12.95" customHeight="1" thickBot="1">
      <c r="A180" s="1254"/>
      <c r="B180" s="1249"/>
      <c r="C180" s="1229"/>
      <c r="D180" s="930" t="s">
        <v>125</v>
      </c>
      <c r="E180" s="931"/>
      <c r="F180" s="931"/>
      <c r="G180" s="931"/>
      <c r="H180" s="931"/>
      <c r="I180" s="931"/>
      <c r="J180" s="931"/>
      <c r="K180" s="931"/>
      <c r="L180" s="931"/>
      <c r="M180" s="931"/>
      <c r="N180" s="931"/>
      <c r="O180" s="931"/>
      <c r="P180" s="931"/>
      <c r="Q180" s="931"/>
      <c r="R180" s="931"/>
      <c r="S180" s="931"/>
      <c r="T180" s="931"/>
      <c r="U180" s="931"/>
      <c r="V180" s="931"/>
      <c r="W180" s="1233"/>
      <c r="X180" s="880"/>
    </row>
    <row r="181" spans="1:24" ht="12.95" customHeight="1" thickBot="1">
      <c r="A181" s="1254"/>
      <c r="B181" s="477" t="s">
        <v>600</v>
      </c>
      <c r="C181" s="478"/>
      <c r="D181" s="1230" t="s">
        <v>78</v>
      </c>
      <c r="E181" s="1231"/>
      <c r="F181" s="1231"/>
      <c r="G181" s="1232"/>
      <c r="H181" s="1240" t="s">
        <v>77</v>
      </c>
      <c r="I181" s="1231"/>
      <c r="J181" s="1231"/>
      <c r="K181" s="1232"/>
      <c r="L181" s="1240" t="s">
        <v>81</v>
      </c>
      <c r="M181" s="1231"/>
      <c r="N181" s="1231"/>
      <c r="O181" s="1232"/>
      <c r="P181" s="1240" t="s">
        <v>254</v>
      </c>
      <c r="Q181" s="1231"/>
      <c r="R181" s="1231"/>
      <c r="S181" s="1232"/>
      <c r="T181" s="1240" t="s">
        <v>76</v>
      </c>
      <c r="U181" s="1231"/>
      <c r="V181" s="1231"/>
      <c r="W181" s="1232"/>
      <c r="X181" s="880"/>
    </row>
    <row r="182" spans="1:24" ht="14.25" thickBot="1">
      <c r="A182" s="1254"/>
      <c r="B182" s="1132" t="s">
        <v>648</v>
      </c>
      <c r="C182" s="90"/>
      <c r="D182" s="1215"/>
      <c r="E182" s="1216"/>
      <c r="F182" s="1216"/>
      <c r="G182" s="1217"/>
      <c r="H182" s="1215"/>
      <c r="I182" s="1216"/>
      <c r="J182" s="1216"/>
      <c r="K182" s="1217"/>
      <c r="L182" s="1215"/>
      <c r="M182" s="1216"/>
      <c r="N182" s="1216"/>
      <c r="O182" s="1217"/>
      <c r="P182" s="479" t="s">
        <v>840</v>
      </c>
      <c r="Q182" s="476" t="s">
        <v>607</v>
      </c>
      <c r="R182" s="479" t="s">
        <v>606</v>
      </c>
      <c r="S182" s="479" t="s">
        <v>605</v>
      </c>
      <c r="T182" s="479" t="s">
        <v>840</v>
      </c>
      <c r="U182" s="476" t="s">
        <v>607</v>
      </c>
      <c r="V182" s="479" t="s">
        <v>606</v>
      </c>
      <c r="W182" s="479" t="s">
        <v>605</v>
      </c>
      <c r="X182" s="880"/>
    </row>
    <row r="183" spans="1:24" ht="12.95" customHeight="1" thickBot="1">
      <c r="A183" s="1254"/>
      <c r="B183" s="1133"/>
      <c r="C183" s="26" t="s">
        <v>2</v>
      </c>
      <c r="D183" s="957"/>
      <c r="E183" s="958"/>
      <c r="F183" s="958"/>
      <c r="G183" s="959"/>
      <c r="H183" s="966"/>
      <c r="I183" s="967"/>
      <c r="J183" s="967"/>
      <c r="K183" s="968"/>
      <c r="L183" s="966" t="s">
        <v>841</v>
      </c>
      <c r="M183" s="967"/>
      <c r="N183" s="967"/>
      <c r="O183" s="968"/>
      <c r="P183" s="150">
        <v>0</v>
      </c>
      <c r="Q183" s="150">
        <v>0</v>
      </c>
      <c r="R183" s="150">
        <v>0</v>
      </c>
      <c r="S183" s="150">
        <v>0</v>
      </c>
      <c r="T183" s="789">
        <v>4</v>
      </c>
      <c r="U183" s="789">
        <v>1</v>
      </c>
      <c r="V183" s="150">
        <v>0</v>
      </c>
      <c r="W183" s="150">
        <v>0</v>
      </c>
      <c r="X183" s="880"/>
    </row>
    <row r="184" spans="1:24" ht="12.95" customHeight="1" thickBot="1">
      <c r="A184" s="1255"/>
      <c r="B184" s="1133"/>
      <c r="C184" s="9" t="s">
        <v>3</v>
      </c>
      <c r="D184" s="957"/>
      <c r="E184" s="958"/>
      <c r="F184" s="958"/>
      <c r="G184" s="959"/>
      <c r="H184" s="957"/>
      <c r="I184" s="958"/>
      <c r="J184" s="958"/>
      <c r="K184" s="959"/>
      <c r="L184" s="957"/>
      <c r="M184" s="958"/>
      <c r="N184" s="958"/>
      <c r="O184" s="959"/>
      <c r="P184" s="957"/>
      <c r="Q184" s="958"/>
      <c r="R184" s="958"/>
      <c r="S184" s="959"/>
      <c r="T184" s="150">
        <v>0</v>
      </c>
      <c r="U184" s="104">
        <v>0</v>
      </c>
      <c r="V184" s="104">
        <v>0</v>
      </c>
      <c r="W184" s="104">
        <v>0</v>
      </c>
      <c r="X184" s="881"/>
    </row>
    <row r="185" spans="1:24" ht="12.95" customHeight="1" thickBot="1">
      <c r="A185" s="480" t="s">
        <v>13</v>
      </c>
      <c r="B185" s="1133"/>
      <c r="C185" s="1228" t="s">
        <v>838</v>
      </c>
      <c r="D185" s="1230" t="s">
        <v>4</v>
      </c>
      <c r="E185" s="1231"/>
      <c r="F185" s="1231"/>
      <c r="G185" s="1231"/>
      <c r="H185" s="1231"/>
      <c r="I185" s="1231"/>
      <c r="J185" s="1231"/>
      <c r="K185" s="1231"/>
      <c r="L185" s="1231"/>
      <c r="M185" s="1231"/>
      <c r="N185" s="1231"/>
      <c r="O185" s="1231"/>
      <c r="P185" s="1231"/>
      <c r="Q185" s="1231"/>
      <c r="R185" s="1231"/>
      <c r="S185" s="1231"/>
      <c r="T185" s="1231"/>
      <c r="U185" s="1231"/>
      <c r="V185" s="1231"/>
      <c r="W185" s="1232"/>
      <c r="X185" s="24" t="s">
        <v>14</v>
      </c>
    </row>
    <row r="186" spans="1:24" ht="12.95" customHeight="1" thickBot="1">
      <c r="A186" s="481" t="s">
        <v>73</v>
      </c>
      <c r="B186" s="1134"/>
      <c r="C186" s="1229"/>
      <c r="D186" s="930" t="s">
        <v>125</v>
      </c>
      <c r="E186" s="931"/>
      <c r="F186" s="931"/>
      <c r="G186" s="931"/>
      <c r="H186" s="931"/>
      <c r="I186" s="931"/>
      <c r="J186" s="931"/>
      <c r="K186" s="931"/>
      <c r="L186" s="931"/>
      <c r="M186" s="931"/>
      <c r="N186" s="931"/>
      <c r="O186" s="931"/>
      <c r="P186" s="931"/>
      <c r="Q186" s="931"/>
      <c r="R186" s="931"/>
      <c r="S186" s="931"/>
      <c r="T186" s="931"/>
      <c r="U186" s="931"/>
      <c r="V186" s="931"/>
      <c r="W186" s="1233"/>
      <c r="X186" s="18" t="s">
        <v>92</v>
      </c>
    </row>
    <row r="187" spans="1:24" ht="12.95" customHeight="1" thickBot="1">
      <c r="A187" s="1218" t="s">
        <v>7</v>
      </c>
      <c r="B187" s="1220" t="s">
        <v>173</v>
      </c>
      <c r="C187" s="1221"/>
      <c r="D187" s="1220" t="s">
        <v>8</v>
      </c>
      <c r="E187" s="1235"/>
      <c r="F187" s="1235"/>
      <c r="G187" s="1236"/>
      <c r="H187" s="1237" t="s">
        <v>88</v>
      </c>
      <c r="I187" s="1235"/>
      <c r="J187" s="1235"/>
      <c r="K187" s="1236"/>
      <c r="L187" s="1237" t="s">
        <v>89</v>
      </c>
      <c r="M187" s="1235"/>
      <c r="N187" s="1235"/>
      <c r="O187" s="1236"/>
      <c r="P187" s="1237" t="s">
        <v>9</v>
      </c>
      <c r="Q187" s="1235"/>
      <c r="R187" s="1235"/>
      <c r="S187" s="1236"/>
      <c r="T187" s="1237" t="s">
        <v>174</v>
      </c>
      <c r="U187" s="1235"/>
      <c r="V187" s="1235"/>
      <c r="W187" s="1235"/>
      <c r="X187" s="1236"/>
    </row>
    <row r="188" spans="1:24" ht="13.5" thickBot="1">
      <c r="A188" s="1234"/>
      <c r="B188" s="975"/>
      <c r="C188" s="976"/>
      <c r="D188" s="975"/>
      <c r="E188" s="977"/>
      <c r="F188" s="977"/>
      <c r="G188" s="1238"/>
      <c r="H188" s="1239"/>
      <c r="I188" s="977"/>
      <c r="J188" s="977"/>
      <c r="K188" s="1238"/>
      <c r="L188" s="1239"/>
      <c r="M188" s="977"/>
      <c r="N188" s="977"/>
      <c r="O188" s="1238"/>
      <c r="P188" s="916">
        <f>SUM(B188:O188)</f>
        <v>0</v>
      </c>
      <c r="Q188" s="994"/>
      <c r="R188" s="994"/>
      <c r="S188" s="917"/>
      <c r="T188" s="916" t="e">
        <f>B188/P188%</f>
        <v>#DIV/0!</v>
      </c>
      <c r="U188" s="994"/>
      <c r="V188" s="994"/>
      <c r="W188" s="994"/>
      <c r="X188" s="917"/>
    </row>
    <row r="189" spans="1:24" ht="13.5" thickBot="1">
      <c r="A189" s="1218" t="s">
        <v>10</v>
      </c>
      <c r="B189" s="1220" t="s">
        <v>175</v>
      </c>
      <c r="C189" s="1221"/>
      <c r="D189" s="1222"/>
      <c r="E189" s="1223"/>
      <c r="F189" s="1223"/>
      <c r="G189" s="1223"/>
      <c r="H189" s="1223"/>
      <c r="I189" s="1223"/>
      <c r="J189" s="1223"/>
      <c r="K189" s="1223"/>
      <c r="L189" s="1223"/>
      <c r="M189" s="1223"/>
      <c r="N189" s="1223"/>
      <c r="O189" s="1223"/>
      <c r="P189" s="1223"/>
      <c r="Q189" s="1223"/>
      <c r="R189" s="1223"/>
      <c r="S189" s="1223"/>
      <c r="T189" s="1223"/>
      <c r="U189" s="1223"/>
      <c r="V189" s="1223"/>
      <c r="W189" s="1223"/>
      <c r="X189" s="1224"/>
    </row>
    <row r="190" spans="1:24" ht="13.5" thickBot="1">
      <c r="A190" s="1219"/>
      <c r="B190" s="916"/>
      <c r="C190" s="917"/>
      <c r="D190" s="1225"/>
      <c r="E190" s="1226"/>
      <c r="F190" s="1226"/>
      <c r="G190" s="1226"/>
      <c r="H190" s="1226"/>
      <c r="I190" s="1226"/>
      <c r="J190" s="1226"/>
      <c r="K190" s="1226"/>
      <c r="L190" s="1226"/>
      <c r="M190" s="1226"/>
      <c r="N190" s="1226"/>
      <c r="O190" s="1226"/>
      <c r="P190" s="1226"/>
      <c r="Q190" s="1226"/>
      <c r="R190" s="1226"/>
      <c r="S190" s="1226"/>
      <c r="T190" s="1226"/>
      <c r="U190" s="1226"/>
      <c r="V190" s="1226"/>
      <c r="W190" s="1226"/>
      <c r="X190" s="1227"/>
    </row>
  </sheetData>
  <sheetProtection password="CF55" sheet="1" objects="1" scenarios="1" selectLockedCells="1" selectUnlockedCells="1"/>
  <mergeCells count="641">
    <mergeCell ref="N158:O158"/>
    <mergeCell ref="P158:Q158"/>
    <mergeCell ref="R158:S158"/>
    <mergeCell ref="P34:S34"/>
    <mergeCell ref="L56:O56"/>
    <mergeCell ref="P57:S57"/>
    <mergeCell ref="L110:O110"/>
    <mergeCell ref="P111:S111"/>
    <mergeCell ref="L116:O116"/>
    <mergeCell ref="P117:S117"/>
    <mergeCell ref="L122:O122"/>
    <mergeCell ref="P123:S123"/>
    <mergeCell ref="L61:O61"/>
    <mergeCell ref="P61:S61"/>
    <mergeCell ref="L66:O66"/>
    <mergeCell ref="P60:S60"/>
    <mergeCell ref="P54:S54"/>
    <mergeCell ref="D110:G110"/>
    <mergeCell ref="H110:K110"/>
    <mergeCell ref="D89:G89"/>
    <mergeCell ref="H89:K89"/>
    <mergeCell ref="L89:O89"/>
    <mergeCell ref="D91:W91"/>
    <mergeCell ref="H92:K92"/>
    <mergeCell ref="H111:K111"/>
    <mergeCell ref="L114:O114"/>
    <mergeCell ref="L111:O111"/>
    <mergeCell ref="L93:O93"/>
    <mergeCell ref="D101:W101"/>
    <mergeCell ref="D108:G108"/>
    <mergeCell ref="H108:K108"/>
    <mergeCell ref="L108:O108"/>
    <mergeCell ref="P108:S108"/>
    <mergeCell ref="T108:W108"/>
    <mergeCell ref="D103:G103"/>
    <mergeCell ref="T103:X103"/>
    <mergeCell ref="H103:K103"/>
    <mergeCell ref="L103:O103"/>
    <mergeCell ref="P114:S114"/>
    <mergeCell ref="T114:W114"/>
    <mergeCell ref="D114:G114"/>
    <mergeCell ref="P4:S4"/>
    <mergeCell ref="T4:W4"/>
    <mergeCell ref="D10:W10"/>
    <mergeCell ref="D11:W11"/>
    <mergeCell ref="T26:W26"/>
    <mergeCell ref="X4:X18"/>
    <mergeCell ref="P9:S9"/>
    <mergeCell ref="T9:W9"/>
    <mergeCell ref="D14:G14"/>
    <mergeCell ref="H14:K14"/>
    <mergeCell ref="D4:G4"/>
    <mergeCell ref="H4:K4"/>
    <mergeCell ref="L4:O4"/>
    <mergeCell ref="H26:K26"/>
    <mergeCell ref="L9:O9"/>
    <mergeCell ref="D16:W16"/>
    <mergeCell ref="X22:X36"/>
    <mergeCell ref="T28:W28"/>
    <mergeCell ref="D21:G21"/>
    <mergeCell ref="H21:K21"/>
    <mergeCell ref="L21:O21"/>
    <mergeCell ref="D33:G33"/>
    <mergeCell ref="H33:K33"/>
    <mergeCell ref="H34:K34"/>
    <mergeCell ref="C17:C18"/>
    <mergeCell ref="D17:W17"/>
    <mergeCell ref="P21:S21"/>
    <mergeCell ref="T21:W21"/>
    <mergeCell ref="D24:W24"/>
    <mergeCell ref="D25:W25"/>
    <mergeCell ref="D26:G26"/>
    <mergeCell ref="D18:W18"/>
    <mergeCell ref="P22:S22"/>
    <mergeCell ref="T22:W22"/>
    <mergeCell ref="D23:G23"/>
    <mergeCell ref="T23:W23"/>
    <mergeCell ref="D22:G22"/>
    <mergeCell ref="H22:K22"/>
    <mergeCell ref="L22:O22"/>
    <mergeCell ref="C24:C25"/>
    <mergeCell ref="D34:G34"/>
    <mergeCell ref="L14:O14"/>
    <mergeCell ref="P14:S14"/>
    <mergeCell ref="B15:B18"/>
    <mergeCell ref="D15:W15"/>
    <mergeCell ref="L26:O26"/>
    <mergeCell ref="D29:W29"/>
    <mergeCell ref="A5:A18"/>
    <mergeCell ref="B5:B8"/>
    <mergeCell ref="D5:W5"/>
    <mergeCell ref="D6:W6"/>
    <mergeCell ref="C7:C8"/>
    <mergeCell ref="D7:W7"/>
    <mergeCell ref="D8:W8"/>
    <mergeCell ref="B10:B13"/>
    <mergeCell ref="D9:G9"/>
    <mergeCell ref="H9:K9"/>
    <mergeCell ref="T14:W14"/>
    <mergeCell ref="C12:C13"/>
    <mergeCell ref="D12:W12"/>
    <mergeCell ref="D13:W13"/>
    <mergeCell ref="H23:K23"/>
    <mergeCell ref="L23:O23"/>
    <mergeCell ref="P23:S23"/>
    <mergeCell ref="C29:C30"/>
    <mergeCell ref="P26:S26"/>
    <mergeCell ref="T27:W27"/>
    <mergeCell ref="D28:G28"/>
    <mergeCell ref="H28:K28"/>
    <mergeCell ref="L28:O28"/>
    <mergeCell ref="P28:S28"/>
    <mergeCell ref="B32:B33"/>
    <mergeCell ref="B27:B30"/>
    <mergeCell ref="D27:G27"/>
    <mergeCell ref="H27:K27"/>
    <mergeCell ref="L27:O27"/>
    <mergeCell ref="D30:W30"/>
    <mergeCell ref="P27:S27"/>
    <mergeCell ref="H31:K31"/>
    <mergeCell ref="L31:O31"/>
    <mergeCell ref="P31:S31"/>
    <mergeCell ref="T31:W31"/>
    <mergeCell ref="D31:G31"/>
    <mergeCell ref="L33:O33"/>
    <mergeCell ref="C35:C36"/>
    <mergeCell ref="D35:W35"/>
    <mergeCell ref="D36:W36"/>
    <mergeCell ref="L34:O34"/>
    <mergeCell ref="A40:A59"/>
    <mergeCell ref="B40:B43"/>
    <mergeCell ref="D40:G40"/>
    <mergeCell ref="H40:K40"/>
    <mergeCell ref="L40:O40"/>
    <mergeCell ref="P40:S40"/>
    <mergeCell ref="A22:A36"/>
    <mergeCell ref="B22:B25"/>
    <mergeCell ref="H57:K57"/>
    <mergeCell ref="L57:O57"/>
    <mergeCell ref="C42:C43"/>
    <mergeCell ref="D42:W42"/>
    <mergeCell ref="D43:W43"/>
    <mergeCell ref="T41:W41"/>
    <mergeCell ref="T40:W40"/>
    <mergeCell ref="B45:B48"/>
    <mergeCell ref="C47:C48"/>
    <mergeCell ref="H45:K45"/>
    <mergeCell ref="L45:O45"/>
    <mergeCell ref="P45:S45"/>
    <mergeCell ref="T54:W54"/>
    <mergeCell ref="D47:W47"/>
    <mergeCell ref="D54:G54"/>
    <mergeCell ref="D51:G51"/>
    <mergeCell ref="T46:W46"/>
    <mergeCell ref="D50:G50"/>
    <mergeCell ref="H50:K50"/>
    <mergeCell ref="L50:O50"/>
    <mergeCell ref="P50:S50"/>
    <mergeCell ref="L46:O46"/>
    <mergeCell ref="D46:G46"/>
    <mergeCell ref="H46:K46"/>
    <mergeCell ref="D48:W48"/>
    <mergeCell ref="D39:G39"/>
    <mergeCell ref="H39:K39"/>
    <mergeCell ref="L39:O39"/>
    <mergeCell ref="P39:S39"/>
    <mergeCell ref="T39:W39"/>
    <mergeCell ref="D41:G41"/>
    <mergeCell ref="H41:K41"/>
    <mergeCell ref="L41:O41"/>
    <mergeCell ref="T45:W45"/>
    <mergeCell ref="P41:S41"/>
    <mergeCell ref="D45:G45"/>
    <mergeCell ref="A62:A63"/>
    <mergeCell ref="B62:C62"/>
    <mergeCell ref="D62:X63"/>
    <mergeCell ref="B63:C63"/>
    <mergeCell ref="D57:G57"/>
    <mergeCell ref="C58:C59"/>
    <mergeCell ref="B61:C61"/>
    <mergeCell ref="A60:A61"/>
    <mergeCell ref="B60:C60"/>
    <mergeCell ref="D60:G60"/>
    <mergeCell ref="X40:X59"/>
    <mergeCell ref="B50:B53"/>
    <mergeCell ref="T51:W51"/>
    <mergeCell ref="C52:C53"/>
    <mergeCell ref="T61:X61"/>
    <mergeCell ref="D49:G49"/>
    <mergeCell ref="H49:K49"/>
    <mergeCell ref="T49:W49"/>
    <mergeCell ref="D56:G56"/>
    <mergeCell ref="H56:K56"/>
    <mergeCell ref="H54:K54"/>
    <mergeCell ref="L54:O54"/>
    <mergeCell ref="L49:O49"/>
    <mergeCell ref="D53:W53"/>
    <mergeCell ref="T60:X60"/>
    <mergeCell ref="D44:G44"/>
    <mergeCell ref="T44:W44"/>
    <mergeCell ref="B55:B56"/>
    <mergeCell ref="D58:W58"/>
    <mergeCell ref="D59:W59"/>
    <mergeCell ref="P66:S66"/>
    <mergeCell ref="T66:W66"/>
    <mergeCell ref="H60:K60"/>
    <mergeCell ref="L60:O60"/>
    <mergeCell ref="L51:O51"/>
    <mergeCell ref="P51:S51"/>
    <mergeCell ref="D52:W52"/>
    <mergeCell ref="H51:K51"/>
    <mergeCell ref="T50:W50"/>
    <mergeCell ref="H44:K44"/>
    <mergeCell ref="L44:O44"/>
    <mergeCell ref="P44:S44"/>
    <mergeCell ref="P49:S49"/>
    <mergeCell ref="D61:G61"/>
    <mergeCell ref="H61:K61"/>
    <mergeCell ref="D66:G66"/>
    <mergeCell ref="H66:K66"/>
    <mergeCell ref="P46:S46"/>
    <mergeCell ref="T76:W76"/>
    <mergeCell ref="T68:W68"/>
    <mergeCell ref="D69:W69"/>
    <mergeCell ref="H76:K76"/>
    <mergeCell ref="L76:O76"/>
    <mergeCell ref="D73:G73"/>
    <mergeCell ref="D70:W70"/>
    <mergeCell ref="D71:G71"/>
    <mergeCell ref="T67:W67"/>
    <mergeCell ref="P67:S67"/>
    <mergeCell ref="D67:G67"/>
    <mergeCell ref="H67:K67"/>
    <mergeCell ref="L67:O67"/>
    <mergeCell ref="H72:K72"/>
    <mergeCell ref="L72:O72"/>
    <mergeCell ref="P72:S72"/>
    <mergeCell ref="H73:K73"/>
    <mergeCell ref="L73:O73"/>
    <mergeCell ref="P73:S73"/>
    <mergeCell ref="A81:A82"/>
    <mergeCell ref="B81:C81"/>
    <mergeCell ref="D81:G81"/>
    <mergeCell ref="D82:G82"/>
    <mergeCell ref="C79:C80"/>
    <mergeCell ref="B72:B75"/>
    <mergeCell ref="D72:G72"/>
    <mergeCell ref="T73:W73"/>
    <mergeCell ref="A67:A78"/>
    <mergeCell ref="B67:B70"/>
    <mergeCell ref="C69:C70"/>
    <mergeCell ref="C74:C75"/>
    <mergeCell ref="D74:W74"/>
    <mergeCell ref="T77:W77"/>
    <mergeCell ref="D76:G76"/>
    <mergeCell ref="D79:W79"/>
    <mergeCell ref="P78:S78"/>
    <mergeCell ref="D78:G78"/>
    <mergeCell ref="H71:K71"/>
    <mergeCell ref="L71:O71"/>
    <mergeCell ref="P71:S71"/>
    <mergeCell ref="T71:W71"/>
    <mergeCell ref="T72:W72"/>
    <mergeCell ref="H81:K81"/>
    <mergeCell ref="T81:X81"/>
    <mergeCell ref="B82:C82"/>
    <mergeCell ref="H82:K82"/>
    <mergeCell ref="L82:O82"/>
    <mergeCell ref="P82:S82"/>
    <mergeCell ref="T82:X82"/>
    <mergeCell ref="D80:W80"/>
    <mergeCell ref="B77:B80"/>
    <mergeCell ref="D77:G77"/>
    <mergeCell ref="H77:K77"/>
    <mergeCell ref="L77:O77"/>
    <mergeCell ref="P77:S77"/>
    <mergeCell ref="T78:W78"/>
    <mergeCell ref="H78:K78"/>
    <mergeCell ref="L78:O78"/>
    <mergeCell ref="L81:O81"/>
    <mergeCell ref="P81:S81"/>
    <mergeCell ref="X67:X78"/>
    <mergeCell ref="D68:G68"/>
    <mergeCell ref="H68:K68"/>
    <mergeCell ref="L68:O68"/>
    <mergeCell ref="P68:S68"/>
    <mergeCell ref="D75:W75"/>
    <mergeCell ref="P76:S76"/>
    <mergeCell ref="T87:W87"/>
    <mergeCell ref="T88:W88"/>
    <mergeCell ref="D88:G88"/>
    <mergeCell ref="H88:K88"/>
    <mergeCell ref="L88:O88"/>
    <mergeCell ref="P88:S88"/>
    <mergeCell ref="A83:A84"/>
    <mergeCell ref="B83:C83"/>
    <mergeCell ref="D83:X84"/>
    <mergeCell ref="B84:C84"/>
    <mergeCell ref="A102:A103"/>
    <mergeCell ref="B102:C102"/>
    <mergeCell ref="D102:G102"/>
    <mergeCell ref="H102:K102"/>
    <mergeCell ref="L102:O102"/>
    <mergeCell ref="P102:S102"/>
    <mergeCell ref="P103:S103"/>
    <mergeCell ref="H93:K93"/>
    <mergeCell ref="D87:G87"/>
    <mergeCell ref="H87:K87"/>
    <mergeCell ref="L87:O87"/>
    <mergeCell ref="P87:S87"/>
    <mergeCell ref="B98:B101"/>
    <mergeCell ref="D98:G98"/>
    <mergeCell ref="H98:K98"/>
    <mergeCell ref="L98:O98"/>
    <mergeCell ref="P98:S98"/>
    <mergeCell ref="A88:A99"/>
    <mergeCell ref="B88:B91"/>
    <mergeCell ref="C90:C91"/>
    <mergeCell ref="D99:G99"/>
    <mergeCell ref="H99:K99"/>
    <mergeCell ref="L92:O92"/>
    <mergeCell ref="H97:K97"/>
    <mergeCell ref="C95:C96"/>
    <mergeCell ref="D94:G94"/>
    <mergeCell ref="D96:W96"/>
    <mergeCell ref="D97:G97"/>
    <mergeCell ref="T93:W93"/>
    <mergeCell ref="H94:K94"/>
    <mergeCell ref="L94:O94"/>
    <mergeCell ref="P97:S97"/>
    <mergeCell ref="L99:O99"/>
    <mergeCell ref="P99:S99"/>
    <mergeCell ref="T97:W97"/>
    <mergeCell ref="A104:A105"/>
    <mergeCell ref="B104:C104"/>
    <mergeCell ref="D104:X105"/>
    <mergeCell ref="B105:C105"/>
    <mergeCell ref="T99:W99"/>
    <mergeCell ref="C100:C101"/>
    <mergeCell ref="D100:W100"/>
    <mergeCell ref="B103:C103"/>
    <mergeCell ref="X88:X99"/>
    <mergeCell ref="P92:S92"/>
    <mergeCell ref="T92:W92"/>
    <mergeCell ref="T98:W98"/>
    <mergeCell ref="T94:W94"/>
    <mergeCell ref="P94:S94"/>
    <mergeCell ref="P89:S89"/>
    <mergeCell ref="T89:W89"/>
    <mergeCell ref="D90:W90"/>
    <mergeCell ref="L97:O97"/>
    <mergeCell ref="D92:G92"/>
    <mergeCell ref="B93:B96"/>
    <mergeCell ref="D93:G93"/>
    <mergeCell ref="P93:S93"/>
    <mergeCell ref="D95:W95"/>
    <mergeCell ref="T102:X102"/>
    <mergeCell ref="B121:B124"/>
    <mergeCell ref="D121:E121"/>
    <mergeCell ref="F121:G121"/>
    <mergeCell ref="H121:I121"/>
    <mergeCell ref="J121:K121"/>
    <mergeCell ref="B115:B116"/>
    <mergeCell ref="D117:G117"/>
    <mergeCell ref="H117:K117"/>
    <mergeCell ref="C118:C119"/>
    <mergeCell ref="D118:W118"/>
    <mergeCell ref="D116:G116"/>
    <mergeCell ref="H116:K116"/>
    <mergeCell ref="L121:M121"/>
    <mergeCell ref="L117:O117"/>
    <mergeCell ref="T120:W120"/>
    <mergeCell ref="V122:W122"/>
    <mergeCell ref="D119:W119"/>
    <mergeCell ref="R121:S121"/>
    <mergeCell ref="T121:U121"/>
    <mergeCell ref="V121:W121"/>
    <mergeCell ref="D120:G120"/>
    <mergeCell ref="H120:K120"/>
    <mergeCell ref="D111:G111"/>
    <mergeCell ref="D127:G127"/>
    <mergeCell ref="H127:K127"/>
    <mergeCell ref="L127:O127"/>
    <mergeCell ref="P127:S127"/>
    <mergeCell ref="C112:C113"/>
    <mergeCell ref="D112:W112"/>
    <mergeCell ref="D113:W113"/>
    <mergeCell ref="T127:W127"/>
    <mergeCell ref="N121:O121"/>
    <mergeCell ref="P121:Q121"/>
    <mergeCell ref="H114:K114"/>
    <mergeCell ref="L120:O120"/>
    <mergeCell ref="P120:S120"/>
    <mergeCell ref="D128:G128"/>
    <mergeCell ref="H128:K128"/>
    <mergeCell ref="L128:O128"/>
    <mergeCell ref="D122:G122"/>
    <mergeCell ref="H122:K122"/>
    <mergeCell ref="P122:Q122"/>
    <mergeCell ref="R122:S122"/>
    <mergeCell ref="V123:W123"/>
    <mergeCell ref="P128:S128"/>
    <mergeCell ref="D123:G123"/>
    <mergeCell ref="H123:K123"/>
    <mergeCell ref="L123:O123"/>
    <mergeCell ref="T123:U123"/>
    <mergeCell ref="T128:W128"/>
    <mergeCell ref="T122:U122"/>
    <mergeCell ref="X109:X128"/>
    <mergeCell ref="A133:A134"/>
    <mergeCell ref="B133:C133"/>
    <mergeCell ref="D133:X134"/>
    <mergeCell ref="B134:C134"/>
    <mergeCell ref="P131:S131"/>
    <mergeCell ref="B127:B130"/>
    <mergeCell ref="C124:C125"/>
    <mergeCell ref="D124:W124"/>
    <mergeCell ref="D125:W125"/>
    <mergeCell ref="D126:G126"/>
    <mergeCell ref="H126:K126"/>
    <mergeCell ref="L126:O126"/>
    <mergeCell ref="P126:S126"/>
    <mergeCell ref="T126:W126"/>
    <mergeCell ref="T131:X131"/>
    <mergeCell ref="B132:C132"/>
    <mergeCell ref="D132:G132"/>
    <mergeCell ref="H132:K132"/>
    <mergeCell ref="L132:O132"/>
    <mergeCell ref="P132:S132"/>
    <mergeCell ref="T132:X132"/>
    <mergeCell ref="A109:A128"/>
    <mergeCell ref="B109:B110"/>
    <mergeCell ref="T137:W137"/>
    <mergeCell ref="A131:A132"/>
    <mergeCell ref="B131:C131"/>
    <mergeCell ref="D131:G131"/>
    <mergeCell ref="H131:K131"/>
    <mergeCell ref="L131:O131"/>
    <mergeCell ref="C129:C130"/>
    <mergeCell ref="D129:W129"/>
    <mergeCell ref="D130:W130"/>
    <mergeCell ref="A138:A160"/>
    <mergeCell ref="B138:B141"/>
    <mergeCell ref="D138:G138"/>
    <mergeCell ref="H138:K138"/>
    <mergeCell ref="L138:O138"/>
    <mergeCell ref="P138:S138"/>
    <mergeCell ref="D137:G137"/>
    <mergeCell ref="H137:K137"/>
    <mergeCell ref="L137:O137"/>
    <mergeCell ref="P137:S137"/>
    <mergeCell ref="L160:O160"/>
    <mergeCell ref="C140:C141"/>
    <mergeCell ref="H142:K142"/>
    <mergeCell ref="L142:O142"/>
    <mergeCell ref="P142:S142"/>
    <mergeCell ref="B143:B146"/>
    <mergeCell ref="C145:C146"/>
    <mergeCell ref="D145:W145"/>
    <mergeCell ref="D146:W146"/>
    <mergeCell ref="T143:W143"/>
    <mergeCell ref="D144:G144"/>
    <mergeCell ref="H144:K144"/>
    <mergeCell ref="L144:O144"/>
    <mergeCell ref="P144:S144"/>
    <mergeCell ref="X138:X160"/>
    <mergeCell ref="D139:G139"/>
    <mergeCell ref="H139:K139"/>
    <mergeCell ref="L139:O139"/>
    <mergeCell ref="P139:S139"/>
    <mergeCell ref="T139:W139"/>
    <mergeCell ref="D140:W140"/>
    <mergeCell ref="D141:W141"/>
    <mergeCell ref="D142:G142"/>
    <mergeCell ref="T142:W142"/>
    <mergeCell ref="L157:O157"/>
    <mergeCell ref="P157:S157"/>
    <mergeCell ref="T138:W138"/>
    <mergeCell ref="D143:G143"/>
    <mergeCell ref="H143:K143"/>
    <mergeCell ref="L143:O143"/>
    <mergeCell ref="P143:S143"/>
    <mergeCell ref="H147:K147"/>
    <mergeCell ref="L147:O147"/>
    <mergeCell ref="P147:S147"/>
    <mergeCell ref="D152:G152"/>
    <mergeCell ref="H152:K152"/>
    <mergeCell ref="L152:O152"/>
    <mergeCell ref="T144:W144"/>
    <mergeCell ref="T147:W147"/>
    <mergeCell ref="B148:B151"/>
    <mergeCell ref="D148:G148"/>
    <mergeCell ref="H148:K148"/>
    <mergeCell ref="L148:O148"/>
    <mergeCell ref="P148:S148"/>
    <mergeCell ref="D147:G147"/>
    <mergeCell ref="P149:S149"/>
    <mergeCell ref="B153:B156"/>
    <mergeCell ref="D153:G153"/>
    <mergeCell ref="H153:K153"/>
    <mergeCell ref="L153:O153"/>
    <mergeCell ref="P153:S153"/>
    <mergeCell ref="T148:W148"/>
    <mergeCell ref="D149:G149"/>
    <mergeCell ref="H149:K149"/>
    <mergeCell ref="L149:O149"/>
    <mergeCell ref="T149:W149"/>
    <mergeCell ref="C150:C151"/>
    <mergeCell ref="D150:W150"/>
    <mergeCell ref="D151:W151"/>
    <mergeCell ref="P152:S152"/>
    <mergeCell ref="T153:W153"/>
    <mergeCell ref="D154:G154"/>
    <mergeCell ref="H154:K154"/>
    <mergeCell ref="L154:O154"/>
    <mergeCell ref="P154:S154"/>
    <mergeCell ref="T154:W154"/>
    <mergeCell ref="D157:G157"/>
    <mergeCell ref="H157:K157"/>
    <mergeCell ref="T152:W152"/>
    <mergeCell ref="C155:C156"/>
    <mergeCell ref="D155:W155"/>
    <mergeCell ref="D156:W156"/>
    <mergeCell ref="T157:W157"/>
    <mergeCell ref="T158:U158"/>
    <mergeCell ref="V158:W158"/>
    <mergeCell ref="B161:B162"/>
    <mergeCell ref="C161:C162"/>
    <mergeCell ref="D161:W161"/>
    <mergeCell ref="D162:W162"/>
    <mergeCell ref="B158:B160"/>
    <mergeCell ref="D158:E158"/>
    <mergeCell ref="F158:G158"/>
    <mergeCell ref="H158:I158"/>
    <mergeCell ref="J158:K158"/>
    <mergeCell ref="L158:M158"/>
    <mergeCell ref="D159:G159"/>
    <mergeCell ref="H159:K159"/>
    <mergeCell ref="P159:Q159"/>
    <mergeCell ref="R159:S159"/>
    <mergeCell ref="T159:U159"/>
    <mergeCell ref="V159:W159"/>
    <mergeCell ref="D160:G160"/>
    <mergeCell ref="H160:K160"/>
    <mergeCell ref="T160:U160"/>
    <mergeCell ref="V160:W160"/>
    <mergeCell ref="L159:O159"/>
    <mergeCell ref="P160:S160"/>
    <mergeCell ref="A163:A164"/>
    <mergeCell ref="B163:C163"/>
    <mergeCell ref="D163:G163"/>
    <mergeCell ref="H163:K163"/>
    <mergeCell ref="L163:O163"/>
    <mergeCell ref="P163:S163"/>
    <mergeCell ref="T163:X163"/>
    <mergeCell ref="B164:C164"/>
    <mergeCell ref="D164:G164"/>
    <mergeCell ref="H164:K164"/>
    <mergeCell ref="L164:O164"/>
    <mergeCell ref="P164:S164"/>
    <mergeCell ref="T164:X164"/>
    <mergeCell ref="A165:A166"/>
    <mergeCell ref="B165:C165"/>
    <mergeCell ref="D165:X166"/>
    <mergeCell ref="B166:C166"/>
    <mergeCell ref="D169:G169"/>
    <mergeCell ref="H169:K169"/>
    <mergeCell ref="L169:O169"/>
    <mergeCell ref="P169:S169"/>
    <mergeCell ref="T169:W169"/>
    <mergeCell ref="H170:K170"/>
    <mergeCell ref="P175:S175"/>
    <mergeCell ref="T175:W175"/>
    <mergeCell ref="D176:G176"/>
    <mergeCell ref="H176:K176"/>
    <mergeCell ref="L176:O176"/>
    <mergeCell ref="L175:O175"/>
    <mergeCell ref="L170:O170"/>
    <mergeCell ref="D173:W173"/>
    <mergeCell ref="D170:G170"/>
    <mergeCell ref="D171:G171"/>
    <mergeCell ref="H171:K171"/>
    <mergeCell ref="L171:O171"/>
    <mergeCell ref="A170:A184"/>
    <mergeCell ref="B170:B174"/>
    <mergeCell ref="X170:X184"/>
    <mergeCell ref="D172:G172"/>
    <mergeCell ref="H172:K172"/>
    <mergeCell ref="L172:O172"/>
    <mergeCell ref="C173:C174"/>
    <mergeCell ref="D174:W174"/>
    <mergeCell ref="B176:B180"/>
    <mergeCell ref="D177:G177"/>
    <mergeCell ref="H177:K177"/>
    <mergeCell ref="L178:O178"/>
    <mergeCell ref="D178:G178"/>
    <mergeCell ref="H178:K178"/>
    <mergeCell ref="C179:C180"/>
    <mergeCell ref="D179:W179"/>
    <mergeCell ref="D180:W180"/>
    <mergeCell ref="D181:G181"/>
    <mergeCell ref="H181:K181"/>
    <mergeCell ref="L181:O181"/>
    <mergeCell ref="P181:S181"/>
    <mergeCell ref="T181:W181"/>
    <mergeCell ref="D175:G175"/>
    <mergeCell ref="H175:K175"/>
    <mergeCell ref="B182:B186"/>
    <mergeCell ref="D182:G182"/>
    <mergeCell ref="H182:K182"/>
    <mergeCell ref="L182:O182"/>
    <mergeCell ref="D183:G183"/>
    <mergeCell ref="H183:K183"/>
    <mergeCell ref="L183:O183"/>
    <mergeCell ref="D184:G184"/>
    <mergeCell ref="H184:K184"/>
    <mergeCell ref="L184:O184"/>
    <mergeCell ref="A189:A190"/>
    <mergeCell ref="B189:C189"/>
    <mergeCell ref="D189:X190"/>
    <mergeCell ref="B190:C190"/>
    <mergeCell ref="L177:O177"/>
    <mergeCell ref="P178:S178"/>
    <mergeCell ref="P172:S172"/>
    <mergeCell ref="P184:S184"/>
    <mergeCell ref="C185:C186"/>
    <mergeCell ref="D185:W185"/>
    <mergeCell ref="D186:W186"/>
    <mergeCell ref="A187:A188"/>
    <mergeCell ref="B187:C187"/>
    <mergeCell ref="D187:G187"/>
    <mergeCell ref="H187:K187"/>
    <mergeCell ref="L187:O187"/>
    <mergeCell ref="P187:S187"/>
    <mergeCell ref="T187:X187"/>
    <mergeCell ref="B188:C188"/>
    <mergeCell ref="D188:G188"/>
    <mergeCell ref="H188:K188"/>
    <mergeCell ref="L188:O188"/>
    <mergeCell ref="P188:S188"/>
    <mergeCell ref="T188:X188"/>
  </mergeCells>
  <hyperlinks>
    <hyperlink ref="C24" location="Reference!C12" display="press for guidance"/>
    <hyperlink ref="C25" location="Reference!C12" display="Reference!C12"/>
    <hyperlink ref="C17" location="Reference!C10" display="press for guidance"/>
    <hyperlink ref="C18" location="Reference!C10" display="Reference!C10"/>
    <hyperlink ref="C12" location="Reference!C8" display="press for guidance"/>
    <hyperlink ref="C13" location="Reference!C8" display="Reference!C8"/>
    <hyperlink ref="C7" location="Reference!C6" display="press for guidance"/>
    <hyperlink ref="C8" location="Reference!C6" display="Reference!C6"/>
    <hyperlink ref="C29" location="Reference!C14" display="press for guidance"/>
    <hyperlink ref="C30" location="Reference!C14" display="Reference!C14"/>
    <hyperlink ref="C35" location="Reference!C16" display="press for guidance"/>
    <hyperlink ref="C36" location="Reference!C16" display="Reference!C16"/>
    <hyperlink ref="C42" location="Reference!C18" display="press for guidance"/>
    <hyperlink ref="C43" location="Reference!C18" display="Reference!C18"/>
    <hyperlink ref="C47" location="Reference!C20" display="press for guidance"/>
    <hyperlink ref="C48" location="Reference!C20" display="Reference!C20"/>
    <hyperlink ref="C52" location="Reference!C22" display="press for guidance"/>
    <hyperlink ref="C53" location="Reference!C22" display="Reference!C22"/>
    <hyperlink ref="C58" location="Reference!C24" display="press for guidance"/>
    <hyperlink ref="C59" location="Reference!C24" display="Reference!C24"/>
    <hyperlink ref="C69" location="Reference!C26" display="press for guidance"/>
    <hyperlink ref="C70" location="Reference!C26" display="Reference!C26"/>
    <hyperlink ref="C74" location="Reference!C28" display="press for guidance"/>
    <hyperlink ref="C75" location="Reference!C28" display="Reference!C28"/>
    <hyperlink ref="C79" location="Reference!C30" display="press for guidance"/>
    <hyperlink ref="C80" location="Reference!C30" display="Reference!C30"/>
    <hyperlink ref="C90" location="Reference!C32" display="press for guidance"/>
    <hyperlink ref="C91" location="Reference!C32" display="Reference!C32"/>
    <hyperlink ref="C95" location="Reference'C34" display="press for guidance"/>
    <hyperlink ref="C96" location="Reference'C34" display="Reference'C34"/>
    <hyperlink ref="C100" location="Reference!C36" display="press for guidance"/>
    <hyperlink ref="C101" location="Reference!C36" display="Reference!C36"/>
    <hyperlink ref="C112" location="Reference!C38" display="press for guidance"/>
    <hyperlink ref="C113" location="Reference!C38" display="Reference!C38"/>
    <hyperlink ref="C118" location="Reference!C40" display="press for guidance"/>
    <hyperlink ref="C119" location="Reference!C40" display="Reference!C40"/>
    <hyperlink ref="C124" location="Reference!C42" display="press for guidance"/>
    <hyperlink ref="C125" location="Reference!C42" display="Reference!C42"/>
    <hyperlink ref="C129" location="Reference!C44" display="press for guidance"/>
    <hyperlink ref="C130" location="Reference!C44" display="Reference!C44"/>
    <hyperlink ref="C140" location="Reference!C46" display="press for guidance"/>
    <hyperlink ref="C141" location="Reference!C46" display="Reference!C46"/>
    <hyperlink ref="C145" location="Reference!C48" display="press for guidance"/>
    <hyperlink ref="C146" location="Reference!C48" display="Reference!C48"/>
    <hyperlink ref="C150" location="Reference!C50" display="press for guidance"/>
    <hyperlink ref="C151" location="Reference!C50" display="Reference!C50"/>
    <hyperlink ref="C155" location="Reference!C52" display="press for guidance"/>
    <hyperlink ref="C156" location="Reference!C52" display="Reference!C52"/>
    <hyperlink ref="C161" location="Reference!C54" display="press for guidance"/>
    <hyperlink ref="C162" location="Reference!C54" display="Reference!C54"/>
    <hyperlink ref="C173" location="Reference!C71" display="★ click here for guidance"/>
    <hyperlink ref="C174" location="Reference!C71" display="Reference!C71"/>
    <hyperlink ref="C179" location="Reference!C73" display="★ click here for guidance"/>
    <hyperlink ref="C180" location="Reference!C73" display="Reference!C73"/>
    <hyperlink ref="C185" location="Reference!C75" display="★ click here for guidance"/>
    <hyperlink ref="C186" location="Reference!C75" display="Reference!C75"/>
  </hyperlinks>
  <pageMargins left="0.79000000000000015" right="0.79000000000000015" top="0.79000000000000015" bottom="0.79000000000000015" header="0.39000000000000007" footer="0.39000000000000007"/>
  <pageSetup paperSize="9" scale="55" fitToHeight="3" orientation="landscape"/>
  <headerFooter>
    <oddFooter>&amp;L&amp;K000000&amp;F&amp;C&amp;K000000&amp;D&amp;R&amp;K000000Page &amp;P</oddFooter>
  </headerFooter>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CCFFCC"/>
    <pageSetUpPr fitToPage="1"/>
  </sheetPr>
  <dimension ref="A1:X190"/>
  <sheetViews>
    <sheetView workbookViewId="0">
      <pane xSplit="3" ySplit="1" topLeftCell="D65" activePane="bottomRight" state="frozen"/>
      <selection activeCell="R122" sqref="R122:S122"/>
      <selection pane="topRight" activeCell="R122" sqref="R122:S122"/>
      <selection pane="bottomLeft" activeCell="R122" sqref="R122:S122"/>
      <selection pane="bottomRight" activeCell="R122" sqref="R122:S122"/>
    </sheetView>
  </sheetViews>
  <sheetFormatPr defaultColWidth="8.85546875" defaultRowHeight="12.75"/>
  <cols>
    <col min="1" max="1" width="20.85546875" style="4" customWidth="1"/>
    <col min="2" max="2" width="40.85546875" style="4" customWidth="1"/>
    <col min="3" max="3" width="10.85546875" style="27" customWidth="1"/>
    <col min="4" max="23" width="5.85546875" style="4" customWidth="1"/>
    <col min="24" max="24" width="30.85546875" style="4" customWidth="1"/>
    <col min="25" max="16384" width="8.85546875" style="4"/>
  </cols>
  <sheetData>
    <row r="1" spans="1:24" s="67" customFormat="1" ht="32.25" thickBot="1">
      <c r="A1" s="3" t="s">
        <v>0</v>
      </c>
      <c r="B1" s="64" t="s">
        <v>231</v>
      </c>
      <c r="C1" s="65" t="s">
        <v>282</v>
      </c>
      <c r="D1" s="65"/>
      <c r="E1" s="65"/>
      <c r="F1" s="65"/>
      <c r="G1" s="65"/>
      <c r="H1" s="65"/>
      <c r="I1" s="65"/>
      <c r="J1" s="65"/>
      <c r="K1" s="65"/>
      <c r="L1" s="65"/>
      <c r="M1" s="65"/>
      <c r="N1" s="65"/>
      <c r="O1" s="65"/>
      <c r="P1" s="65"/>
      <c r="Q1" s="65"/>
      <c r="R1" s="65"/>
      <c r="S1" s="65"/>
      <c r="T1" s="65"/>
      <c r="U1" s="65"/>
      <c r="V1" s="65"/>
      <c r="W1" s="65"/>
      <c r="X1" s="66"/>
    </row>
    <row r="2" spans="1:24">
      <c r="A2" s="5"/>
      <c r="B2" s="5"/>
      <c r="C2" s="6"/>
      <c r="D2" s="5"/>
      <c r="E2" s="5"/>
      <c r="F2" s="5"/>
      <c r="G2" s="5"/>
      <c r="H2" s="5"/>
      <c r="I2" s="5"/>
      <c r="J2" s="5"/>
      <c r="K2" s="5"/>
      <c r="L2" s="5"/>
      <c r="M2" s="5"/>
      <c r="N2" s="5"/>
      <c r="O2" s="5"/>
      <c r="P2" s="5"/>
      <c r="Q2" s="5"/>
      <c r="R2" s="5"/>
      <c r="S2" s="5"/>
      <c r="T2" s="5"/>
      <c r="U2" s="5"/>
      <c r="V2" s="5"/>
      <c r="W2" s="5"/>
      <c r="X2" s="5"/>
    </row>
    <row r="3" spans="1:24" ht="13.5" thickBot="1">
      <c r="A3" s="5"/>
      <c r="B3" s="5"/>
      <c r="C3" s="6"/>
      <c r="D3" s="5"/>
      <c r="E3" s="5"/>
      <c r="F3" s="5"/>
      <c r="G3" s="5"/>
      <c r="H3" s="5"/>
      <c r="I3" s="5"/>
      <c r="J3" s="5"/>
      <c r="K3" s="5"/>
      <c r="L3" s="5"/>
      <c r="M3" s="5"/>
      <c r="N3" s="5"/>
      <c r="O3" s="5"/>
      <c r="P3" s="5"/>
      <c r="Q3" s="5"/>
      <c r="R3" s="5"/>
      <c r="S3" s="5"/>
      <c r="T3" s="5"/>
      <c r="U3" s="5"/>
      <c r="V3" s="5"/>
      <c r="W3" s="5"/>
      <c r="X3" s="5"/>
    </row>
    <row r="4" spans="1:24" ht="12.95" customHeight="1" thickBot="1">
      <c r="A4" s="7" t="s">
        <v>50</v>
      </c>
      <c r="B4" s="97" t="s">
        <v>51</v>
      </c>
      <c r="C4" s="8"/>
      <c r="D4" s="927" t="s">
        <v>79</v>
      </c>
      <c r="E4" s="928"/>
      <c r="F4" s="928"/>
      <c r="G4" s="929"/>
      <c r="H4" s="927" t="s">
        <v>80</v>
      </c>
      <c r="I4" s="928"/>
      <c r="J4" s="928"/>
      <c r="K4" s="929"/>
      <c r="L4" s="927" t="s">
        <v>81</v>
      </c>
      <c r="M4" s="928"/>
      <c r="N4" s="928"/>
      <c r="O4" s="929"/>
      <c r="P4" s="927" t="s">
        <v>254</v>
      </c>
      <c r="Q4" s="928"/>
      <c r="R4" s="928"/>
      <c r="S4" s="929"/>
      <c r="T4" s="927" t="s">
        <v>76</v>
      </c>
      <c r="U4" s="928"/>
      <c r="V4" s="928"/>
      <c r="W4" s="929"/>
      <c r="X4" s="991"/>
    </row>
    <row r="5" spans="1:24" ht="13.5" thickBot="1">
      <c r="A5" s="868" t="s">
        <v>43</v>
      </c>
      <c r="B5" s="868" t="s">
        <v>46</v>
      </c>
      <c r="C5" s="9" t="s">
        <v>2</v>
      </c>
      <c r="D5" s="983" t="s">
        <v>82</v>
      </c>
      <c r="E5" s="984"/>
      <c r="F5" s="984"/>
      <c r="G5" s="984"/>
      <c r="H5" s="984"/>
      <c r="I5" s="984"/>
      <c r="J5" s="984"/>
      <c r="K5" s="984"/>
      <c r="L5" s="984"/>
      <c r="M5" s="984"/>
      <c r="N5" s="984"/>
      <c r="O5" s="984"/>
      <c r="P5" s="984"/>
      <c r="Q5" s="984"/>
      <c r="R5" s="984"/>
      <c r="S5" s="984"/>
      <c r="T5" s="984"/>
      <c r="U5" s="984"/>
      <c r="V5" s="984"/>
      <c r="W5" s="985"/>
      <c r="X5" s="992"/>
    </row>
    <row r="6" spans="1:24" ht="13.5" thickBot="1">
      <c r="A6" s="885"/>
      <c r="B6" s="885"/>
      <c r="C6" s="10" t="s">
        <v>3</v>
      </c>
      <c r="D6" s="986"/>
      <c r="E6" s="987"/>
      <c r="F6" s="987"/>
      <c r="G6" s="987"/>
      <c r="H6" s="987"/>
      <c r="I6" s="987"/>
      <c r="J6" s="987"/>
      <c r="K6" s="987"/>
      <c r="L6" s="987"/>
      <c r="M6" s="987"/>
      <c r="N6" s="987"/>
      <c r="O6" s="987"/>
      <c r="P6" s="987"/>
      <c r="Q6" s="987"/>
      <c r="R6" s="987"/>
      <c r="S6" s="987"/>
      <c r="T6" s="987"/>
      <c r="U6" s="987"/>
      <c r="V6" s="987"/>
      <c r="W6" s="988"/>
      <c r="X6" s="992"/>
    </row>
    <row r="7" spans="1:24" ht="12.95" customHeight="1" thickBot="1">
      <c r="A7" s="885"/>
      <c r="B7" s="885"/>
      <c r="C7" s="1278" t="s">
        <v>170</v>
      </c>
      <c r="D7" s="989" t="s">
        <v>4</v>
      </c>
      <c r="E7" s="990"/>
      <c r="F7" s="990"/>
      <c r="G7" s="990"/>
      <c r="H7" s="990"/>
      <c r="I7" s="990"/>
      <c r="J7" s="990"/>
      <c r="K7" s="990"/>
      <c r="L7" s="990"/>
      <c r="M7" s="990"/>
      <c r="N7" s="990"/>
      <c r="O7" s="990"/>
      <c r="P7" s="990"/>
      <c r="Q7" s="990"/>
      <c r="R7" s="990"/>
      <c r="S7" s="990"/>
      <c r="T7" s="990"/>
      <c r="U7" s="990"/>
      <c r="V7" s="990"/>
      <c r="W7" s="990"/>
      <c r="X7" s="992"/>
    </row>
    <row r="8" spans="1:24" ht="12.95" customHeight="1" thickBot="1">
      <c r="A8" s="885"/>
      <c r="B8" s="869"/>
      <c r="C8" s="1279"/>
      <c r="D8" s="930" t="s">
        <v>85</v>
      </c>
      <c r="E8" s="931"/>
      <c r="F8" s="931"/>
      <c r="G8" s="931"/>
      <c r="H8" s="931"/>
      <c r="I8" s="931"/>
      <c r="J8" s="931"/>
      <c r="K8" s="931"/>
      <c r="L8" s="931"/>
      <c r="M8" s="931"/>
      <c r="N8" s="931"/>
      <c r="O8" s="931"/>
      <c r="P8" s="931"/>
      <c r="Q8" s="931"/>
      <c r="R8" s="931"/>
      <c r="S8" s="931"/>
      <c r="T8" s="931"/>
      <c r="U8" s="931"/>
      <c r="V8" s="931"/>
      <c r="W8" s="932"/>
      <c r="X8" s="992"/>
    </row>
    <row r="9" spans="1:24" ht="12.95" customHeight="1" thickBot="1">
      <c r="A9" s="885"/>
      <c r="B9" s="11" t="s">
        <v>52</v>
      </c>
      <c r="C9" s="12"/>
      <c r="D9" s="927" t="s">
        <v>79</v>
      </c>
      <c r="E9" s="928"/>
      <c r="F9" s="928"/>
      <c r="G9" s="929"/>
      <c r="H9" s="927" t="s">
        <v>80</v>
      </c>
      <c r="I9" s="928"/>
      <c r="J9" s="928"/>
      <c r="K9" s="929"/>
      <c r="L9" s="927" t="s">
        <v>81</v>
      </c>
      <c r="M9" s="928"/>
      <c r="N9" s="928"/>
      <c r="O9" s="929"/>
      <c r="P9" s="927" t="s">
        <v>254</v>
      </c>
      <c r="Q9" s="928"/>
      <c r="R9" s="928"/>
      <c r="S9" s="929"/>
      <c r="T9" s="927" t="s">
        <v>76</v>
      </c>
      <c r="U9" s="928"/>
      <c r="V9" s="928"/>
      <c r="W9" s="929"/>
      <c r="X9" s="992"/>
    </row>
    <row r="10" spans="1:24" ht="36" customHeight="1" thickBot="1">
      <c r="A10" s="885"/>
      <c r="B10" s="868" t="s">
        <v>45</v>
      </c>
      <c r="C10" s="13" t="s">
        <v>2</v>
      </c>
      <c r="D10" s="930" t="s">
        <v>86</v>
      </c>
      <c r="E10" s="931"/>
      <c r="F10" s="931"/>
      <c r="G10" s="931"/>
      <c r="H10" s="931"/>
      <c r="I10" s="931"/>
      <c r="J10" s="931"/>
      <c r="K10" s="931"/>
      <c r="L10" s="931"/>
      <c r="M10" s="931"/>
      <c r="N10" s="931"/>
      <c r="O10" s="931"/>
      <c r="P10" s="931"/>
      <c r="Q10" s="931"/>
      <c r="R10" s="931"/>
      <c r="S10" s="931"/>
      <c r="T10" s="931"/>
      <c r="U10" s="931"/>
      <c r="V10" s="931"/>
      <c r="W10" s="932"/>
      <c r="X10" s="992"/>
    </row>
    <row r="11" spans="1:24" ht="13.5" thickBot="1">
      <c r="A11" s="885"/>
      <c r="B11" s="885"/>
      <c r="C11" s="10" t="s">
        <v>3</v>
      </c>
      <c r="D11" s="986"/>
      <c r="E11" s="987"/>
      <c r="F11" s="987"/>
      <c r="G11" s="987"/>
      <c r="H11" s="987"/>
      <c r="I11" s="987"/>
      <c r="J11" s="987"/>
      <c r="K11" s="987"/>
      <c r="L11" s="987"/>
      <c r="M11" s="987"/>
      <c r="N11" s="987"/>
      <c r="O11" s="987"/>
      <c r="P11" s="987"/>
      <c r="Q11" s="987"/>
      <c r="R11" s="987"/>
      <c r="S11" s="987"/>
      <c r="T11" s="987"/>
      <c r="U11" s="987"/>
      <c r="V11" s="987"/>
      <c r="W11" s="988"/>
      <c r="X11" s="992"/>
    </row>
    <row r="12" spans="1:24" ht="12.95" customHeight="1" thickBot="1">
      <c r="A12" s="885"/>
      <c r="B12" s="885"/>
      <c r="C12" s="1258" t="s">
        <v>170</v>
      </c>
      <c r="D12" s="927" t="s">
        <v>4</v>
      </c>
      <c r="E12" s="928"/>
      <c r="F12" s="928"/>
      <c r="G12" s="928"/>
      <c r="H12" s="928"/>
      <c r="I12" s="928"/>
      <c r="J12" s="928"/>
      <c r="K12" s="928"/>
      <c r="L12" s="928"/>
      <c r="M12" s="928"/>
      <c r="N12" s="928"/>
      <c r="O12" s="928"/>
      <c r="P12" s="928"/>
      <c r="Q12" s="928"/>
      <c r="R12" s="928"/>
      <c r="S12" s="928"/>
      <c r="T12" s="928"/>
      <c r="U12" s="928"/>
      <c r="V12" s="928"/>
      <c r="W12" s="928"/>
      <c r="X12" s="992"/>
    </row>
    <row r="13" spans="1:24" ht="24" customHeight="1" thickBot="1">
      <c r="A13" s="885"/>
      <c r="B13" s="869"/>
      <c r="C13" s="1259"/>
      <c r="D13" s="930" t="s">
        <v>87</v>
      </c>
      <c r="E13" s="931"/>
      <c r="F13" s="931"/>
      <c r="G13" s="931"/>
      <c r="H13" s="931"/>
      <c r="I13" s="931"/>
      <c r="J13" s="931"/>
      <c r="K13" s="931"/>
      <c r="L13" s="931"/>
      <c r="M13" s="931"/>
      <c r="N13" s="931"/>
      <c r="O13" s="931"/>
      <c r="P13" s="931"/>
      <c r="Q13" s="931"/>
      <c r="R13" s="931"/>
      <c r="S13" s="931"/>
      <c r="T13" s="931"/>
      <c r="U13" s="931"/>
      <c r="V13" s="931"/>
      <c r="W13" s="932"/>
      <c r="X13" s="992"/>
    </row>
    <row r="14" spans="1:24" ht="12.95" customHeight="1" thickBot="1">
      <c r="A14" s="885"/>
      <c r="B14" s="11" t="s">
        <v>53</v>
      </c>
      <c r="C14" s="12"/>
      <c r="D14" s="927" t="s">
        <v>79</v>
      </c>
      <c r="E14" s="928"/>
      <c r="F14" s="928"/>
      <c r="G14" s="929"/>
      <c r="H14" s="927" t="s">
        <v>80</v>
      </c>
      <c r="I14" s="928"/>
      <c r="J14" s="928"/>
      <c r="K14" s="929"/>
      <c r="L14" s="927" t="s">
        <v>81</v>
      </c>
      <c r="M14" s="928"/>
      <c r="N14" s="928"/>
      <c r="O14" s="929"/>
      <c r="P14" s="927" t="s">
        <v>254</v>
      </c>
      <c r="Q14" s="928"/>
      <c r="R14" s="928"/>
      <c r="S14" s="929"/>
      <c r="T14" s="927" t="s">
        <v>76</v>
      </c>
      <c r="U14" s="928"/>
      <c r="V14" s="928"/>
      <c r="W14" s="929"/>
      <c r="X14" s="992"/>
    </row>
    <row r="15" spans="1:24" ht="12.95" customHeight="1" thickBot="1">
      <c r="A15" s="885"/>
      <c r="B15" s="868" t="s">
        <v>44</v>
      </c>
      <c r="C15" s="9" t="s">
        <v>2</v>
      </c>
      <c r="D15" s="930" t="s">
        <v>83</v>
      </c>
      <c r="E15" s="931"/>
      <c r="F15" s="931"/>
      <c r="G15" s="931"/>
      <c r="H15" s="931"/>
      <c r="I15" s="931"/>
      <c r="J15" s="931"/>
      <c r="K15" s="931"/>
      <c r="L15" s="931"/>
      <c r="M15" s="931"/>
      <c r="N15" s="931"/>
      <c r="O15" s="931"/>
      <c r="P15" s="931"/>
      <c r="Q15" s="931"/>
      <c r="R15" s="931"/>
      <c r="S15" s="931"/>
      <c r="T15" s="931"/>
      <c r="U15" s="931"/>
      <c r="V15" s="931"/>
      <c r="W15" s="932"/>
      <c r="X15" s="992"/>
    </row>
    <row r="16" spans="1:24" ht="13.5" thickBot="1">
      <c r="A16" s="885"/>
      <c r="B16" s="885"/>
      <c r="C16" s="10" t="s">
        <v>3</v>
      </c>
      <c r="D16" s="986"/>
      <c r="E16" s="987"/>
      <c r="F16" s="987"/>
      <c r="G16" s="987"/>
      <c r="H16" s="987"/>
      <c r="I16" s="987"/>
      <c r="J16" s="987"/>
      <c r="K16" s="987"/>
      <c r="L16" s="987"/>
      <c r="M16" s="987"/>
      <c r="N16" s="987"/>
      <c r="O16" s="987"/>
      <c r="P16" s="987"/>
      <c r="Q16" s="987"/>
      <c r="R16" s="987"/>
      <c r="S16" s="987"/>
      <c r="T16" s="987"/>
      <c r="U16" s="987"/>
      <c r="V16" s="987"/>
      <c r="W16" s="988"/>
      <c r="X16" s="992"/>
    </row>
    <row r="17" spans="1:24" ht="12.95" customHeight="1" thickBot="1">
      <c r="A17" s="885"/>
      <c r="B17" s="885"/>
      <c r="C17" s="1258" t="s">
        <v>170</v>
      </c>
      <c r="D17" s="989" t="s">
        <v>4</v>
      </c>
      <c r="E17" s="990"/>
      <c r="F17" s="990"/>
      <c r="G17" s="990"/>
      <c r="H17" s="990"/>
      <c r="I17" s="990"/>
      <c r="J17" s="990"/>
      <c r="K17" s="990"/>
      <c r="L17" s="990"/>
      <c r="M17" s="990"/>
      <c r="N17" s="990"/>
      <c r="O17" s="990"/>
      <c r="P17" s="990"/>
      <c r="Q17" s="990"/>
      <c r="R17" s="990"/>
      <c r="S17" s="990"/>
      <c r="T17" s="990"/>
      <c r="U17" s="990"/>
      <c r="V17" s="990"/>
      <c r="W17" s="990"/>
      <c r="X17" s="992"/>
    </row>
    <row r="18" spans="1:24" ht="12.95" customHeight="1" thickBot="1">
      <c r="A18" s="869"/>
      <c r="B18" s="869"/>
      <c r="C18" s="1259"/>
      <c r="D18" s="930" t="s">
        <v>84</v>
      </c>
      <c r="E18" s="931"/>
      <c r="F18" s="931"/>
      <c r="G18" s="931"/>
      <c r="H18" s="931"/>
      <c r="I18" s="931"/>
      <c r="J18" s="931"/>
      <c r="K18" s="931"/>
      <c r="L18" s="931"/>
      <c r="M18" s="931"/>
      <c r="N18" s="931"/>
      <c r="O18" s="931"/>
      <c r="P18" s="931"/>
      <c r="Q18" s="931"/>
      <c r="R18" s="931"/>
      <c r="S18" s="931"/>
      <c r="T18" s="931"/>
      <c r="U18" s="931"/>
      <c r="V18" s="931"/>
      <c r="W18" s="932"/>
      <c r="X18" s="993"/>
    </row>
    <row r="19" spans="1:24">
      <c r="A19" s="5"/>
      <c r="B19" s="5"/>
      <c r="C19" s="14"/>
      <c r="D19" s="5"/>
      <c r="E19" s="5"/>
      <c r="F19" s="5"/>
      <c r="G19" s="5"/>
      <c r="H19" s="5"/>
      <c r="I19" s="5"/>
      <c r="J19" s="5"/>
      <c r="K19" s="5"/>
      <c r="L19" s="5"/>
      <c r="M19" s="5"/>
      <c r="N19" s="5"/>
      <c r="O19" s="5"/>
      <c r="P19" s="5"/>
      <c r="Q19" s="5"/>
      <c r="R19" s="5"/>
      <c r="S19" s="5"/>
      <c r="T19" s="5"/>
      <c r="U19" s="5"/>
      <c r="V19" s="5"/>
      <c r="W19" s="5"/>
      <c r="X19" s="5"/>
    </row>
    <row r="20" spans="1:24" ht="13.5" thickBot="1">
      <c r="A20" s="5"/>
      <c r="B20" s="5"/>
      <c r="C20" s="6"/>
      <c r="D20" s="5"/>
      <c r="E20" s="5"/>
      <c r="F20" s="5"/>
      <c r="G20" s="5"/>
      <c r="H20" s="5"/>
      <c r="I20" s="5"/>
      <c r="J20" s="5"/>
      <c r="K20" s="5"/>
      <c r="L20" s="5"/>
      <c r="M20" s="5"/>
      <c r="N20" s="5"/>
      <c r="O20" s="5"/>
      <c r="P20" s="5"/>
      <c r="Q20" s="5"/>
      <c r="R20" s="5"/>
      <c r="S20" s="5"/>
      <c r="T20" s="5"/>
      <c r="U20" s="5"/>
      <c r="V20" s="5"/>
      <c r="W20" s="5"/>
      <c r="X20" s="5"/>
    </row>
    <row r="21" spans="1:24" ht="12.95" customHeight="1" thickBot="1">
      <c r="A21" s="15" t="s">
        <v>1</v>
      </c>
      <c r="B21" s="97" t="s">
        <v>24</v>
      </c>
      <c r="C21" s="8"/>
      <c r="D21" s="927" t="s">
        <v>78</v>
      </c>
      <c r="E21" s="928"/>
      <c r="F21" s="928"/>
      <c r="G21" s="929"/>
      <c r="H21" s="927" t="s">
        <v>77</v>
      </c>
      <c r="I21" s="928"/>
      <c r="J21" s="928"/>
      <c r="K21" s="929"/>
      <c r="L21" s="927" t="s">
        <v>81</v>
      </c>
      <c r="M21" s="928"/>
      <c r="N21" s="928"/>
      <c r="O21" s="929"/>
      <c r="P21" s="927" t="s">
        <v>254</v>
      </c>
      <c r="Q21" s="928"/>
      <c r="R21" s="928"/>
      <c r="S21" s="929"/>
      <c r="T21" s="927" t="s">
        <v>76</v>
      </c>
      <c r="U21" s="928"/>
      <c r="V21" s="928"/>
      <c r="W21" s="929"/>
      <c r="X21" s="16" t="s">
        <v>6</v>
      </c>
    </row>
    <row r="22" spans="1:24" ht="12.95" customHeight="1" thickBot="1">
      <c r="A22" s="868" t="s">
        <v>47</v>
      </c>
      <c r="B22" s="868" t="s">
        <v>48</v>
      </c>
      <c r="C22" s="9" t="s">
        <v>2</v>
      </c>
      <c r="D22" s="957"/>
      <c r="E22" s="958"/>
      <c r="F22" s="958"/>
      <c r="G22" s="959"/>
      <c r="H22" s="957"/>
      <c r="I22" s="958"/>
      <c r="J22" s="958"/>
      <c r="K22" s="959"/>
      <c r="L22" s="966" t="s">
        <v>909</v>
      </c>
      <c r="M22" s="967"/>
      <c r="N22" s="967"/>
      <c r="O22" s="968"/>
      <c r="P22" s="942">
        <v>2.6</v>
      </c>
      <c r="Q22" s="943"/>
      <c r="R22" s="943"/>
      <c r="S22" s="944"/>
      <c r="T22" s="942">
        <v>3</v>
      </c>
      <c r="U22" s="943"/>
      <c r="V22" s="943"/>
      <c r="W22" s="944"/>
      <c r="X22" s="873" t="s">
        <v>96</v>
      </c>
    </row>
    <row r="23" spans="1:24" ht="13.5" thickBot="1">
      <c r="A23" s="885"/>
      <c r="B23" s="885"/>
      <c r="C23" s="10" t="s">
        <v>3</v>
      </c>
      <c r="D23" s="957"/>
      <c r="E23" s="958"/>
      <c r="F23" s="958"/>
      <c r="G23" s="959"/>
      <c r="H23" s="957"/>
      <c r="I23" s="958"/>
      <c r="J23" s="958"/>
      <c r="K23" s="959"/>
      <c r="L23" s="957"/>
      <c r="M23" s="958"/>
      <c r="N23" s="958"/>
      <c r="O23" s="959"/>
      <c r="P23" s="1341"/>
      <c r="Q23" s="1339"/>
      <c r="R23" s="1339"/>
      <c r="S23" s="1342"/>
      <c r="T23" s="963">
        <v>0</v>
      </c>
      <c r="U23" s="964"/>
      <c r="V23" s="964"/>
      <c r="W23" s="965"/>
      <c r="X23" s="874"/>
    </row>
    <row r="24" spans="1:24" ht="12.95" customHeight="1" thickBot="1">
      <c r="A24" s="885"/>
      <c r="B24" s="885"/>
      <c r="C24" s="1258" t="s">
        <v>170</v>
      </c>
      <c r="D24" s="927" t="s">
        <v>4</v>
      </c>
      <c r="E24" s="928"/>
      <c r="F24" s="928"/>
      <c r="G24" s="928"/>
      <c r="H24" s="928"/>
      <c r="I24" s="928"/>
      <c r="J24" s="928"/>
      <c r="K24" s="928"/>
      <c r="L24" s="928"/>
      <c r="M24" s="928"/>
      <c r="N24" s="928"/>
      <c r="O24" s="928"/>
      <c r="P24" s="928"/>
      <c r="Q24" s="928"/>
      <c r="R24" s="928"/>
      <c r="S24" s="928"/>
      <c r="T24" s="928"/>
      <c r="U24" s="928"/>
      <c r="V24" s="928"/>
      <c r="W24" s="928"/>
      <c r="X24" s="874"/>
    </row>
    <row r="25" spans="1:24" ht="12.95" customHeight="1" thickBot="1">
      <c r="A25" s="885"/>
      <c r="B25" s="869"/>
      <c r="C25" s="1259"/>
      <c r="D25" s="930" t="s">
        <v>115</v>
      </c>
      <c r="E25" s="931"/>
      <c r="F25" s="931"/>
      <c r="G25" s="931"/>
      <c r="H25" s="931"/>
      <c r="I25" s="931"/>
      <c r="J25" s="931"/>
      <c r="K25" s="931"/>
      <c r="L25" s="931"/>
      <c r="M25" s="931"/>
      <c r="N25" s="931"/>
      <c r="O25" s="931"/>
      <c r="P25" s="931"/>
      <c r="Q25" s="931"/>
      <c r="R25" s="931"/>
      <c r="S25" s="931"/>
      <c r="T25" s="931"/>
      <c r="U25" s="931"/>
      <c r="V25" s="931"/>
      <c r="W25" s="932"/>
      <c r="X25" s="874"/>
    </row>
    <row r="26" spans="1:24" ht="12.95" customHeight="1" thickBot="1">
      <c r="A26" s="885"/>
      <c r="B26" s="11" t="s">
        <v>25</v>
      </c>
      <c r="C26" s="12"/>
      <c r="D26" s="927" t="s">
        <v>78</v>
      </c>
      <c r="E26" s="928"/>
      <c r="F26" s="928"/>
      <c r="G26" s="929"/>
      <c r="H26" s="927" t="s">
        <v>77</v>
      </c>
      <c r="I26" s="928"/>
      <c r="J26" s="928"/>
      <c r="K26" s="929"/>
      <c r="L26" s="927" t="s">
        <v>81</v>
      </c>
      <c r="M26" s="928"/>
      <c r="N26" s="928"/>
      <c r="O26" s="929"/>
      <c r="P26" s="927" t="s">
        <v>254</v>
      </c>
      <c r="Q26" s="928"/>
      <c r="R26" s="928"/>
      <c r="S26" s="929"/>
      <c r="T26" s="927" t="s">
        <v>76</v>
      </c>
      <c r="U26" s="928"/>
      <c r="V26" s="928"/>
      <c r="W26" s="929"/>
      <c r="X26" s="874"/>
    </row>
    <row r="27" spans="1:24" ht="12.95" customHeight="1" thickBot="1">
      <c r="A27" s="885"/>
      <c r="B27" s="868" t="s">
        <v>49</v>
      </c>
      <c r="C27" s="9" t="s">
        <v>2</v>
      </c>
      <c r="D27" s="957"/>
      <c r="E27" s="958"/>
      <c r="F27" s="958"/>
      <c r="G27" s="959"/>
      <c r="H27" s="957"/>
      <c r="I27" s="958"/>
      <c r="J27" s="958"/>
      <c r="K27" s="959"/>
      <c r="L27" s="966" t="s">
        <v>909</v>
      </c>
      <c r="M27" s="967"/>
      <c r="N27" s="967"/>
      <c r="O27" s="968"/>
      <c r="P27" s="942">
        <v>1.2</v>
      </c>
      <c r="Q27" s="943"/>
      <c r="R27" s="943"/>
      <c r="S27" s="944"/>
      <c r="T27" s="942">
        <v>1.7</v>
      </c>
      <c r="U27" s="943"/>
      <c r="V27" s="943"/>
      <c r="W27" s="944"/>
      <c r="X27" s="874"/>
    </row>
    <row r="28" spans="1:24" ht="13.5" thickBot="1">
      <c r="A28" s="885"/>
      <c r="B28" s="885"/>
      <c r="C28" s="10" t="s">
        <v>3</v>
      </c>
      <c r="D28" s="957"/>
      <c r="E28" s="958"/>
      <c r="F28" s="958"/>
      <c r="G28" s="959"/>
      <c r="H28" s="957"/>
      <c r="I28" s="958"/>
      <c r="J28" s="958"/>
      <c r="K28" s="959"/>
      <c r="L28" s="957"/>
      <c r="M28" s="958"/>
      <c r="N28" s="958"/>
      <c r="O28" s="959"/>
      <c r="P28" s="1341"/>
      <c r="Q28" s="1339"/>
      <c r="R28" s="1339"/>
      <c r="S28" s="1342"/>
      <c r="T28" s="963">
        <v>0</v>
      </c>
      <c r="U28" s="964"/>
      <c r="V28" s="964"/>
      <c r="W28" s="965"/>
      <c r="X28" s="874"/>
    </row>
    <row r="29" spans="1:24" ht="12.95" customHeight="1" thickBot="1">
      <c r="A29" s="885"/>
      <c r="B29" s="885"/>
      <c r="C29" s="1258" t="s">
        <v>170</v>
      </c>
      <c r="D29" s="927" t="s">
        <v>4</v>
      </c>
      <c r="E29" s="928"/>
      <c r="F29" s="928"/>
      <c r="G29" s="928"/>
      <c r="H29" s="928"/>
      <c r="I29" s="928"/>
      <c r="J29" s="928"/>
      <c r="K29" s="928"/>
      <c r="L29" s="928"/>
      <c r="M29" s="928"/>
      <c r="N29" s="928"/>
      <c r="O29" s="928"/>
      <c r="P29" s="928"/>
      <c r="Q29" s="928"/>
      <c r="R29" s="928"/>
      <c r="S29" s="928"/>
      <c r="T29" s="928"/>
      <c r="U29" s="928"/>
      <c r="V29" s="928"/>
      <c r="W29" s="928"/>
      <c r="X29" s="874"/>
    </row>
    <row r="30" spans="1:24" ht="12.95" customHeight="1" thickBot="1">
      <c r="A30" s="885"/>
      <c r="B30" s="869"/>
      <c r="C30" s="1259"/>
      <c r="D30" s="930" t="s">
        <v>116</v>
      </c>
      <c r="E30" s="931"/>
      <c r="F30" s="931"/>
      <c r="G30" s="931"/>
      <c r="H30" s="931"/>
      <c r="I30" s="931"/>
      <c r="J30" s="931"/>
      <c r="K30" s="931"/>
      <c r="L30" s="931"/>
      <c r="M30" s="931"/>
      <c r="N30" s="931"/>
      <c r="O30" s="931"/>
      <c r="P30" s="931"/>
      <c r="Q30" s="931"/>
      <c r="R30" s="931"/>
      <c r="S30" s="931"/>
      <c r="T30" s="931"/>
      <c r="U30" s="931"/>
      <c r="V30" s="931"/>
      <c r="W30" s="932"/>
      <c r="X30" s="874"/>
    </row>
    <row r="31" spans="1:24" ht="12.95" customHeight="1" thickBot="1">
      <c r="A31" s="885"/>
      <c r="B31" s="11" t="s">
        <v>37</v>
      </c>
      <c r="C31" s="12"/>
      <c r="D31" s="927" t="s">
        <v>78</v>
      </c>
      <c r="E31" s="928"/>
      <c r="F31" s="928"/>
      <c r="G31" s="929"/>
      <c r="H31" s="927" t="s">
        <v>77</v>
      </c>
      <c r="I31" s="928"/>
      <c r="J31" s="928"/>
      <c r="K31" s="929"/>
      <c r="L31" s="927" t="s">
        <v>81</v>
      </c>
      <c r="M31" s="928"/>
      <c r="N31" s="928"/>
      <c r="O31" s="929"/>
      <c r="P31" s="927" t="s">
        <v>254</v>
      </c>
      <c r="Q31" s="928"/>
      <c r="R31" s="928"/>
      <c r="S31" s="929"/>
      <c r="T31" s="927" t="s">
        <v>76</v>
      </c>
      <c r="U31" s="928"/>
      <c r="V31" s="928"/>
      <c r="W31" s="929"/>
      <c r="X31" s="874"/>
    </row>
    <row r="32" spans="1:24" ht="33" customHeight="1" thickBot="1">
      <c r="A32" s="885"/>
      <c r="B32" s="868" t="s">
        <v>148</v>
      </c>
      <c r="C32" s="9"/>
      <c r="D32" s="17" t="s">
        <v>106</v>
      </c>
      <c r="E32" s="17" t="s">
        <v>107</v>
      </c>
      <c r="F32" s="17" t="s">
        <v>108</v>
      </c>
      <c r="G32" s="17" t="s">
        <v>109</v>
      </c>
      <c r="H32" s="17" t="s">
        <v>106</v>
      </c>
      <c r="I32" s="17" t="s">
        <v>107</v>
      </c>
      <c r="J32" s="17" t="s">
        <v>108</v>
      </c>
      <c r="K32" s="17" t="s">
        <v>109</v>
      </c>
      <c r="L32" s="17" t="s">
        <v>106</v>
      </c>
      <c r="M32" s="17" t="s">
        <v>107</v>
      </c>
      <c r="N32" s="17" t="s">
        <v>108</v>
      </c>
      <c r="O32" s="17" t="s">
        <v>109</v>
      </c>
      <c r="P32" s="17" t="s">
        <v>106</v>
      </c>
      <c r="Q32" s="17" t="s">
        <v>107</v>
      </c>
      <c r="R32" s="17" t="s">
        <v>108</v>
      </c>
      <c r="S32" s="17" t="s">
        <v>109</v>
      </c>
      <c r="T32" s="17" t="s">
        <v>106</v>
      </c>
      <c r="U32" s="17" t="s">
        <v>107</v>
      </c>
      <c r="V32" s="17" t="s">
        <v>108</v>
      </c>
      <c r="W32" s="17" t="s">
        <v>109</v>
      </c>
      <c r="X32" s="874"/>
    </row>
    <row r="33" spans="1:24" ht="12.95" customHeight="1" thickBot="1">
      <c r="A33" s="885"/>
      <c r="B33" s="885"/>
      <c r="C33" s="9" t="s">
        <v>2</v>
      </c>
      <c r="D33" s="957"/>
      <c r="E33" s="958"/>
      <c r="F33" s="958"/>
      <c r="G33" s="959"/>
      <c r="H33" s="957"/>
      <c r="I33" s="958"/>
      <c r="J33" s="958"/>
      <c r="K33" s="959"/>
      <c r="L33" s="966" t="s">
        <v>909</v>
      </c>
      <c r="M33" s="967"/>
      <c r="N33" s="967"/>
      <c r="O33" s="968"/>
      <c r="P33" s="18">
        <v>15</v>
      </c>
      <c r="Q33" s="18">
        <v>15</v>
      </c>
      <c r="R33" s="18">
        <v>12</v>
      </c>
      <c r="S33" s="18">
        <v>15</v>
      </c>
      <c r="T33" s="18">
        <v>15</v>
      </c>
      <c r="U33" s="18">
        <v>15</v>
      </c>
      <c r="V33" s="18">
        <v>13</v>
      </c>
      <c r="W33" s="18">
        <v>15</v>
      </c>
      <c r="X33" s="874"/>
    </row>
    <row r="34" spans="1:24" ht="13.5" thickBot="1">
      <c r="A34" s="885"/>
      <c r="B34" s="93" t="s">
        <v>145</v>
      </c>
      <c r="C34" s="10" t="s">
        <v>3</v>
      </c>
      <c r="D34" s="957"/>
      <c r="E34" s="958"/>
      <c r="F34" s="958"/>
      <c r="G34" s="959"/>
      <c r="H34" s="957"/>
      <c r="I34" s="958"/>
      <c r="J34" s="958"/>
      <c r="K34" s="959"/>
      <c r="L34" s="957"/>
      <c r="M34" s="958"/>
      <c r="N34" s="958"/>
      <c r="O34" s="959"/>
      <c r="P34" s="1341"/>
      <c r="Q34" s="1339"/>
      <c r="R34" s="1339"/>
      <c r="S34" s="1342"/>
      <c r="T34" s="68">
        <v>0</v>
      </c>
      <c r="U34" s="68">
        <v>0</v>
      </c>
      <c r="V34" s="68">
        <v>0</v>
      </c>
      <c r="W34" s="68">
        <v>0</v>
      </c>
      <c r="X34" s="874"/>
    </row>
    <row r="35" spans="1:24" ht="12.95" customHeight="1" thickBot="1">
      <c r="A35" s="885"/>
      <c r="B35" s="93" t="s">
        <v>147</v>
      </c>
      <c r="C35" s="1258" t="s">
        <v>170</v>
      </c>
      <c r="D35" s="927" t="s">
        <v>4</v>
      </c>
      <c r="E35" s="928"/>
      <c r="F35" s="928"/>
      <c r="G35" s="928"/>
      <c r="H35" s="928"/>
      <c r="I35" s="928"/>
      <c r="J35" s="928"/>
      <c r="K35" s="928"/>
      <c r="L35" s="928"/>
      <c r="M35" s="928"/>
      <c r="N35" s="928"/>
      <c r="O35" s="928"/>
      <c r="P35" s="928"/>
      <c r="Q35" s="928"/>
      <c r="R35" s="928"/>
      <c r="S35" s="928"/>
      <c r="T35" s="928"/>
      <c r="U35" s="928"/>
      <c r="V35" s="928"/>
      <c r="W35" s="928"/>
      <c r="X35" s="874"/>
    </row>
    <row r="36" spans="1:24" ht="12.95" customHeight="1" thickBot="1">
      <c r="A36" s="869"/>
      <c r="B36" s="94" t="s">
        <v>146</v>
      </c>
      <c r="C36" s="1259"/>
      <c r="D36" s="930" t="s">
        <v>117</v>
      </c>
      <c r="E36" s="931"/>
      <c r="F36" s="931"/>
      <c r="G36" s="931"/>
      <c r="H36" s="931"/>
      <c r="I36" s="931"/>
      <c r="J36" s="931"/>
      <c r="K36" s="931"/>
      <c r="L36" s="931"/>
      <c r="M36" s="931"/>
      <c r="N36" s="931"/>
      <c r="O36" s="931"/>
      <c r="P36" s="931"/>
      <c r="Q36" s="931"/>
      <c r="R36" s="931"/>
      <c r="S36" s="931"/>
      <c r="T36" s="931"/>
      <c r="U36" s="931"/>
      <c r="V36" s="931"/>
      <c r="W36" s="932"/>
      <c r="X36" s="875"/>
    </row>
    <row r="37" spans="1:24">
      <c r="A37" s="5"/>
      <c r="B37" s="5"/>
      <c r="C37" s="14"/>
      <c r="D37" s="5"/>
      <c r="E37" s="5"/>
      <c r="F37" s="5"/>
      <c r="G37" s="5"/>
      <c r="H37" s="5"/>
      <c r="I37" s="5"/>
      <c r="J37" s="5"/>
      <c r="K37" s="5"/>
      <c r="L37" s="5"/>
      <c r="M37" s="5"/>
      <c r="N37" s="5"/>
      <c r="O37" s="5"/>
      <c r="P37" s="5"/>
      <c r="Q37" s="5"/>
      <c r="R37" s="5"/>
      <c r="S37" s="5"/>
      <c r="T37" s="5"/>
      <c r="U37" s="5"/>
      <c r="V37" s="5"/>
      <c r="W37" s="5"/>
      <c r="X37" s="5"/>
    </row>
    <row r="38" spans="1:24" ht="13.5" thickBot="1">
      <c r="A38" s="5"/>
      <c r="B38" s="5"/>
      <c r="C38" s="6"/>
      <c r="D38" s="5"/>
      <c r="E38" s="5"/>
      <c r="F38" s="5"/>
      <c r="G38" s="5"/>
      <c r="H38" s="5"/>
      <c r="I38" s="5"/>
      <c r="J38" s="5"/>
      <c r="K38" s="5"/>
      <c r="L38" s="5"/>
      <c r="M38" s="5"/>
      <c r="N38" s="5"/>
      <c r="O38" s="5"/>
      <c r="P38" s="5"/>
      <c r="Q38" s="5"/>
      <c r="R38" s="5"/>
      <c r="S38" s="5"/>
      <c r="T38" s="5"/>
      <c r="U38" s="5"/>
      <c r="V38" s="5"/>
      <c r="W38" s="5"/>
      <c r="X38" s="5"/>
    </row>
    <row r="39" spans="1:24" ht="12.95" customHeight="1" thickBot="1">
      <c r="A39" s="7" t="s">
        <v>5</v>
      </c>
      <c r="B39" s="97" t="s">
        <v>22</v>
      </c>
      <c r="C39" s="8"/>
      <c r="D39" s="927" t="s">
        <v>78</v>
      </c>
      <c r="E39" s="928"/>
      <c r="F39" s="928"/>
      <c r="G39" s="929"/>
      <c r="H39" s="927" t="s">
        <v>77</v>
      </c>
      <c r="I39" s="928"/>
      <c r="J39" s="928"/>
      <c r="K39" s="929"/>
      <c r="L39" s="927" t="s">
        <v>81</v>
      </c>
      <c r="M39" s="928"/>
      <c r="N39" s="928"/>
      <c r="O39" s="929"/>
      <c r="P39" s="927" t="s">
        <v>254</v>
      </c>
      <c r="Q39" s="928"/>
      <c r="R39" s="928"/>
      <c r="S39" s="929"/>
      <c r="T39" s="927" t="s">
        <v>76</v>
      </c>
      <c r="U39" s="928"/>
      <c r="V39" s="928"/>
      <c r="W39" s="929"/>
      <c r="X39" s="19" t="s">
        <v>6</v>
      </c>
    </row>
    <row r="40" spans="1:24" ht="12.95" customHeight="1" thickBot="1">
      <c r="A40" s="868" t="s">
        <v>54</v>
      </c>
      <c r="B40" s="868" t="s">
        <v>55</v>
      </c>
      <c r="C40" s="9" t="s">
        <v>2</v>
      </c>
      <c r="D40" s="957"/>
      <c r="E40" s="958"/>
      <c r="F40" s="958"/>
      <c r="G40" s="959"/>
      <c r="H40" s="957"/>
      <c r="I40" s="958"/>
      <c r="J40" s="958"/>
      <c r="K40" s="959"/>
      <c r="L40" s="966" t="s">
        <v>909</v>
      </c>
      <c r="M40" s="967"/>
      <c r="N40" s="967"/>
      <c r="O40" s="968"/>
      <c r="P40" s="942">
        <v>2.5</v>
      </c>
      <c r="Q40" s="943"/>
      <c r="R40" s="943"/>
      <c r="S40" s="944"/>
      <c r="T40" s="942">
        <v>3</v>
      </c>
      <c r="U40" s="943"/>
      <c r="V40" s="943"/>
      <c r="W40" s="944"/>
      <c r="X40" s="879" t="s">
        <v>95</v>
      </c>
    </row>
    <row r="41" spans="1:24" ht="13.5" thickBot="1">
      <c r="A41" s="885"/>
      <c r="B41" s="885"/>
      <c r="C41" s="10" t="s">
        <v>3</v>
      </c>
      <c r="D41" s="957"/>
      <c r="E41" s="958"/>
      <c r="F41" s="958"/>
      <c r="G41" s="959"/>
      <c r="H41" s="957"/>
      <c r="I41" s="958"/>
      <c r="J41" s="958"/>
      <c r="K41" s="959"/>
      <c r="L41" s="957"/>
      <c r="M41" s="958"/>
      <c r="N41" s="958"/>
      <c r="O41" s="959"/>
      <c r="P41" s="1341"/>
      <c r="Q41" s="1339"/>
      <c r="R41" s="1339"/>
      <c r="S41" s="1342"/>
      <c r="T41" s="963">
        <v>0</v>
      </c>
      <c r="U41" s="964"/>
      <c r="V41" s="964"/>
      <c r="W41" s="965"/>
      <c r="X41" s="880"/>
    </row>
    <row r="42" spans="1:24" ht="12.95" customHeight="1" thickBot="1">
      <c r="A42" s="885"/>
      <c r="B42" s="885"/>
      <c r="C42" s="1258" t="s">
        <v>170</v>
      </c>
      <c r="D42" s="927" t="s">
        <v>4</v>
      </c>
      <c r="E42" s="928"/>
      <c r="F42" s="928"/>
      <c r="G42" s="928"/>
      <c r="H42" s="928"/>
      <c r="I42" s="928"/>
      <c r="J42" s="928"/>
      <c r="K42" s="928"/>
      <c r="L42" s="928"/>
      <c r="M42" s="928"/>
      <c r="N42" s="928"/>
      <c r="O42" s="928"/>
      <c r="P42" s="928"/>
      <c r="Q42" s="928"/>
      <c r="R42" s="928"/>
      <c r="S42" s="928"/>
      <c r="T42" s="928"/>
      <c r="U42" s="928"/>
      <c r="V42" s="928"/>
      <c r="W42" s="928"/>
      <c r="X42" s="880"/>
    </row>
    <row r="43" spans="1:24" ht="12.95" customHeight="1" thickBot="1">
      <c r="A43" s="885"/>
      <c r="B43" s="869"/>
      <c r="C43" s="1259"/>
      <c r="D43" s="930" t="s">
        <v>115</v>
      </c>
      <c r="E43" s="931"/>
      <c r="F43" s="931"/>
      <c r="G43" s="931"/>
      <c r="H43" s="931"/>
      <c r="I43" s="931"/>
      <c r="J43" s="931"/>
      <c r="K43" s="931"/>
      <c r="L43" s="931"/>
      <c r="M43" s="931"/>
      <c r="N43" s="931"/>
      <c r="O43" s="931"/>
      <c r="P43" s="931"/>
      <c r="Q43" s="931"/>
      <c r="R43" s="931"/>
      <c r="S43" s="931"/>
      <c r="T43" s="931"/>
      <c r="U43" s="931"/>
      <c r="V43" s="931"/>
      <c r="W43" s="932"/>
      <c r="X43" s="880"/>
    </row>
    <row r="44" spans="1:24" ht="12.95" customHeight="1" thickBot="1">
      <c r="A44" s="885"/>
      <c r="B44" s="11" t="s">
        <v>23</v>
      </c>
      <c r="C44" s="12"/>
      <c r="D44" s="927" t="s">
        <v>78</v>
      </c>
      <c r="E44" s="928"/>
      <c r="F44" s="928"/>
      <c r="G44" s="929"/>
      <c r="H44" s="927" t="s">
        <v>77</v>
      </c>
      <c r="I44" s="928"/>
      <c r="J44" s="928"/>
      <c r="K44" s="929"/>
      <c r="L44" s="927" t="s">
        <v>81</v>
      </c>
      <c r="M44" s="928"/>
      <c r="N44" s="928"/>
      <c r="O44" s="929"/>
      <c r="P44" s="927" t="s">
        <v>254</v>
      </c>
      <c r="Q44" s="928"/>
      <c r="R44" s="928"/>
      <c r="S44" s="929"/>
      <c r="T44" s="927" t="s">
        <v>76</v>
      </c>
      <c r="U44" s="928"/>
      <c r="V44" s="928"/>
      <c r="W44" s="929"/>
      <c r="X44" s="880"/>
    </row>
    <row r="45" spans="1:24" ht="12.95" customHeight="1" thickBot="1">
      <c r="A45" s="885"/>
      <c r="B45" s="868" t="s">
        <v>56</v>
      </c>
      <c r="C45" s="9" t="s">
        <v>2</v>
      </c>
      <c r="D45" s="957"/>
      <c r="E45" s="958"/>
      <c r="F45" s="958"/>
      <c r="G45" s="959"/>
      <c r="H45" s="957"/>
      <c r="I45" s="958"/>
      <c r="J45" s="958"/>
      <c r="K45" s="959"/>
      <c r="L45" s="966" t="s">
        <v>909</v>
      </c>
      <c r="M45" s="967"/>
      <c r="N45" s="967"/>
      <c r="O45" s="968"/>
      <c r="P45" s="942">
        <v>2.2999999999999998</v>
      </c>
      <c r="Q45" s="943"/>
      <c r="R45" s="943"/>
      <c r="S45" s="944"/>
      <c r="T45" s="942">
        <v>2.8</v>
      </c>
      <c r="U45" s="943"/>
      <c r="V45" s="943"/>
      <c r="W45" s="944"/>
      <c r="X45" s="880"/>
    </row>
    <row r="46" spans="1:24" ht="13.5" thickBot="1">
      <c r="A46" s="885"/>
      <c r="B46" s="885"/>
      <c r="C46" s="10" t="s">
        <v>3</v>
      </c>
      <c r="D46" s="957"/>
      <c r="E46" s="958"/>
      <c r="F46" s="958"/>
      <c r="G46" s="959"/>
      <c r="H46" s="957"/>
      <c r="I46" s="958"/>
      <c r="J46" s="958"/>
      <c r="K46" s="959"/>
      <c r="L46" s="957"/>
      <c r="M46" s="958"/>
      <c r="N46" s="958"/>
      <c r="O46" s="959"/>
      <c r="P46" s="1341"/>
      <c r="Q46" s="1339"/>
      <c r="R46" s="1339"/>
      <c r="S46" s="1342"/>
      <c r="T46" s="963">
        <v>0</v>
      </c>
      <c r="U46" s="964"/>
      <c r="V46" s="964"/>
      <c r="W46" s="965"/>
      <c r="X46" s="880"/>
    </row>
    <row r="47" spans="1:24" ht="12.95" customHeight="1" thickBot="1">
      <c r="A47" s="885"/>
      <c r="B47" s="885"/>
      <c r="C47" s="1258" t="s">
        <v>170</v>
      </c>
      <c r="D47" s="927" t="s">
        <v>4</v>
      </c>
      <c r="E47" s="928"/>
      <c r="F47" s="928"/>
      <c r="G47" s="928"/>
      <c r="H47" s="928"/>
      <c r="I47" s="928"/>
      <c r="J47" s="928"/>
      <c r="K47" s="928"/>
      <c r="L47" s="928"/>
      <c r="M47" s="928"/>
      <c r="N47" s="928"/>
      <c r="O47" s="928"/>
      <c r="P47" s="928"/>
      <c r="Q47" s="928"/>
      <c r="R47" s="928"/>
      <c r="S47" s="928"/>
      <c r="T47" s="928"/>
      <c r="U47" s="928"/>
      <c r="V47" s="928"/>
      <c r="W47" s="928"/>
      <c r="X47" s="880"/>
    </row>
    <row r="48" spans="1:24" ht="12.95" customHeight="1" thickBot="1">
      <c r="A48" s="885"/>
      <c r="B48" s="869"/>
      <c r="C48" s="1259"/>
      <c r="D48" s="930" t="s">
        <v>115</v>
      </c>
      <c r="E48" s="931"/>
      <c r="F48" s="931"/>
      <c r="G48" s="931"/>
      <c r="H48" s="931"/>
      <c r="I48" s="931"/>
      <c r="J48" s="931"/>
      <c r="K48" s="931"/>
      <c r="L48" s="931"/>
      <c r="M48" s="931"/>
      <c r="N48" s="931"/>
      <c r="O48" s="931"/>
      <c r="P48" s="931"/>
      <c r="Q48" s="931"/>
      <c r="R48" s="931"/>
      <c r="S48" s="931"/>
      <c r="T48" s="931"/>
      <c r="U48" s="931"/>
      <c r="V48" s="931"/>
      <c r="W48" s="932"/>
      <c r="X48" s="880"/>
    </row>
    <row r="49" spans="1:24" ht="12.95" customHeight="1" thickBot="1">
      <c r="A49" s="885"/>
      <c r="B49" s="11" t="s">
        <v>38</v>
      </c>
      <c r="C49" s="12"/>
      <c r="D49" s="927" t="s">
        <v>78</v>
      </c>
      <c r="E49" s="928"/>
      <c r="F49" s="928"/>
      <c r="G49" s="929"/>
      <c r="H49" s="927" t="s">
        <v>77</v>
      </c>
      <c r="I49" s="928"/>
      <c r="J49" s="928"/>
      <c r="K49" s="929"/>
      <c r="L49" s="927" t="s">
        <v>81</v>
      </c>
      <c r="M49" s="928"/>
      <c r="N49" s="928"/>
      <c r="O49" s="929"/>
      <c r="P49" s="927" t="s">
        <v>254</v>
      </c>
      <c r="Q49" s="928"/>
      <c r="R49" s="928"/>
      <c r="S49" s="929"/>
      <c r="T49" s="927" t="s">
        <v>76</v>
      </c>
      <c r="U49" s="928"/>
      <c r="V49" s="928"/>
      <c r="W49" s="929"/>
      <c r="X49" s="880"/>
    </row>
    <row r="50" spans="1:24" ht="12.95" customHeight="1" thickBot="1">
      <c r="A50" s="885"/>
      <c r="B50" s="868" t="s">
        <v>155</v>
      </c>
      <c r="C50" s="9" t="s">
        <v>2</v>
      </c>
      <c r="D50" s="957"/>
      <c r="E50" s="958"/>
      <c r="F50" s="958"/>
      <c r="G50" s="959"/>
      <c r="H50" s="957"/>
      <c r="I50" s="958"/>
      <c r="J50" s="958"/>
      <c r="K50" s="959"/>
      <c r="L50" s="966" t="s">
        <v>909</v>
      </c>
      <c r="M50" s="967"/>
      <c r="N50" s="967"/>
      <c r="O50" s="968"/>
      <c r="P50" s="942">
        <v>2.9</v>
      </c>
      <c r="Q50" s="943"/>
      <c r="R50" s="943"/>
      <c r="S50" s="944"/>
      <c r="T50" s="942">
        <v>3.2</v>
      </c>
      <c r="U50" s="943"/>
      <c r="V50" s="943"/>
      <c r="W50" s="944"/>
      <c r="X50" s="880"/>
    </row>
    <row r="51" spans="1:24" ht="13.5" thickBot="1">
      <c r="A51" s="885"/>
      <c r="B51" s="885"/>
      <c r="C51" s="98" t="s">
        <v>3</v>
      </c>
      <c r="D51" s="957"/>
      <c r="E51" s="958"/>
      <c r="F51" s="958"/>
      <c r="G51" s="959"/>
      <c r="H51" s="957"/>
      <c r="I51" s="958"/>
      <c r="J51" s="958"/>
      <c r="K51" s="959"/>
      <c r="L51" s="957"/>
      <c r="M51" s="958"/>
      <c r="N51" s="958"/>
      <c r="O51" s="959"/>
      <c r="P51" s="1341"/>
      <c r="Q51" s="1339"/>
      <c r="R51" s="1339"/>
      <c r="S51" s="1342"/>
      <c r="T51" s="963">
        <v>0</v>
      </c>
      <c r="U51" s="964"/>
      <c r="V51" s="964"/>
      <c r="W51" s="965"/>
      <c r="X51" s="880"/>
    </row>
    <row r="52" spans="1:24" ht="12.95" customHeight="1" thickBot="1">
      <c r="A52" s="885"/>
      <c r="B52" s="885"/>
      <c r="C52" s="922" t="s">
        <v>170</v>
      </c>
      <c r="D52" s="927" t="s">
        <v>4</v>
      </c>
      <c r="E52" s="928"/>
      <c r="F52" s="928"/>
      <c r="G52" s="928"/>
      <c r="H52" s="928"/>
      <c r="I52" s="928"/>
      <c r="J52" s="928"/>
      <c r="K52" s="928"/>
      <c r="L52" s="928"/>
      <c r="M52" s="928"/>
      <c r="N52" s="928"/>
      <c r="O52" s="928"/>
      <c r="P52" s="928"/>
      <c r="Q52" s="928"/>
      <c r="R52" s="928"/>
      <c r="S52" s="928"/>
      <c r="T52" s="928"/>
      <c r="U52" s="928"/>
      <c r="V52" s="928"/>
      <c r="W52" s="928"/>
      <c r="X52" s="880"/>
    </row>
    <row r="53" spans="1:24" ht="12.95" customHeight="1" thickBot="1">
      <c r="A53" s="885"/>
      <c r="B53" s="869"/>
      <c r="C53" s="923"/>
      <c r="D53" s="930" t="s">
        <v>115</v>
      </c>
      <c r="E53" s="931"/>
      <c r="F53" s="931"/>
      <c r="G53" s="931"/>
      <c r="H53" s="931"/>
      <c r="I53" s="931"/>
      <c r="J53" s="931"/>
      <c r="K53" s="931"/>
      <c r="L53" s="931"/>
      <c r="M53" s="931"/>
      <c r="N53" s="931"/>
      <c r="O53" s="931"/>
      <c r="P53" s="931"/>
      <c r="Q53" s="931"/>
      <c r="R53" s="931"/>
      <c r="S53" s="931"/>
      <c r="T53" s="931"/>
      <c r="U53" s="931"/>
      <c r="V53" s="931"/>
      <c r="W53" s="932"/>
      <c r="X53" s="880"/>
    </row>
    <row r="54" spans="1:24" ht="12.95" customHeight="1" thickBot="1">
      <c r="A54" s="885"/>
      <c r="B54" s="11" t="s">
        <v>39</v>
      </c>
      <c r="C54" s="12"/>
      <c r="D54" s="927" t="s">
        <v>78</v>
      </c>
      <c r="E54" s="928"/>
      <c r="F54" s="928"/>
      <c r="G54" s="929"/>
      <c r="H54" s="927" t="s">
        <v>77</v>
      </c>
      <c r="I54" s="928"/>
      <c r="J54" s="928"/>
      <c r="K54" s="929"/>
      <c r="L54" s="927" t="s">
        <v>81</v>
      </c>
      <c r="M54" s="928"/>
      <c r="N54" s="928"/>
      <c r="O54" s="929"/>
      <c r="P54" s="927" t="s">
        <v>254</v>
      </c>
      <c r="Q54" s="928"/>
      <c r="R54" s="928"/>
      <c r="S54" s="929"/>
      <c r="T54" s="927" t="s">
        <v>76</v>
      </c>
      <c r="U54" s="928"/>
      <c r="V54" s="928"/>
      <c r="W54" s="929"/>
      <c r="X54" s="880"/>
    </row>
    <row r="55" spans="1:24" ht="44.1" customHeight="1" thickBot="1">
      <c r="A55" s="885"/>
      <c r="B55" s="978" t="s">
        <v>575</v>
      </c>
      <c r="C55" s="9"/>
      <c r="D55" s="20" t="s">
        <v>105</v>
      </c>
      <c r="E55" s="20" t="s">
        <v>579</v>
      </c>
      <c r="F55" s="20" t="s">
        <v>580</v>
      </c>
      <c r="G55" s="20" t="s">
        <v>581</v>
      </c>
      <c r="H55" s="20" t="s">
        <v>105</v>
      </c>
      <c r="I55" s="20" t="s">
        <v>579</v>
      </c>
      <c r="J55" s="20" t="s">
        <v>580</v>
      </c>
      <c r="K55" s="20" t="s">
        <v>581</v>
      </c>
      <c r="L55" s="20" t="s">
        <v>105</v>
      </c>
      <c r="M55" s="20" t="s">
        <v>579</v>
      </c>
      <c r="N55" s="20" t="s">
        <v>580</v>
      </c>
      <c r="O55" s="20" t="s">
        <v>581</v>
      </c>
      <c r="P55" s="20" t="s">
        <v>105</v>
      </c>
      <c r="Q55" s="20" t="s">
        <v>579</v>
      </c>
      <c r="R55" s="20" t="s">
        <v>580</v>
      </c>
      <c r="S55" s="20" t="s">
        <v>581</v>
      </c>
      <c r="T55" s="20" t="s">
        <v>105</v>
      </c>
      <c r="U55" s="20" t="s">
        <v>579</v>
      </c>
      <c r="V55" s="20" t="s">
        <v>580</v>
      </c>
      <c r="W55" s="20" t="s">
        <v>581</v>
      </c>
      <c r="X55" s="880"/>
    </row>
    <row r="56" spans="1:24" ht="12.95" customHeight="1" thickBot="1">
      <c r="A56" s="885"/>
      <c r="B56" s="979"/>
      <c r="C56" s="9" t="s">
        <v>2</v>
      </c>
      <c r="D56" s="957"/>
      <c r="E56" s="958"/>
      <c r="F56" s="958"/>
      <c r="G56" s="959"/>
      <c r="H56" s="957"/>
      <c r="I56" s="958"/>
      <c r="J56" s="958"/>
      <c r="K56" s="959"/>
      <c r="L56" s="966" t="s">
        <v>909</v>
      </c>
      <c r="M56" s="967"/>
      <c r="N56" s="967"/>
      <c r="O56" s="968"/>
      <c r="P56" s="18">
        <v>0</v>
      </c>
      <c r="Q56" s="18">
        <v>0</v>
      </c>
      <c r="R56" s="18">
        <v>0</v>
      </c>
      <c r="S56" s="18">
        <v>0</v>
      </c>
      <c r="T56" s="18">
        <v>1</v>
      </c>
      <c r="U56" s="18">
        <v>1</v>
      </c>
      <c r="V56" s="18">
        <v>0</v>
      </c>
      <c r="W56" s="18">
        <v>0</v>
      </c>
      <c r="X56" s="880"/>
    </row>
    <row r="57" spans="1:24" ht="24" customHeight="1" thickBot="1">
      <c r="A57" s="885"/>
      <c r="B57" s="169" t="s">
        <v>159</v>
      </c>
      <c r="C57" s="10" t="s">
        <v>3</v>
      </c>
      <c r="D57" s="957"/>
      <c r="E57" s="958"/>
      <c r="F57" s="958"/>
      <c r="G57" s="959"/>
      <c r="H57" s="957"/>
      <c r="I57" s="958"/>
      <c r="J57" s="958"/>
      <c r="K57" s="959"/>
      <c r="L57" s="957"/>
      <c r="M57" s="958"/>
      <c r="N57" s="958"/>
      <c r="O57" s="959"/>
      <c r="P57" s="1341"/>
      <c r="Q57" s="1339"/>
      <c r="R57" s="1339"/>
      <c r="S57" s="1342"/>
      <c r="T57" s="68">
        <v>0</v>
      </c>
      <c r="U57" s="68">
        <v>0</v>
      </c>
      <c r="V57" s="68">
        <v>0</v>
      </c>
      <c r="W57" s="68">
        <v>0</v>
      </c>
      <c r="X57" s="880"/>
    </row>
    <row r="58" spans="1:24" ht="36.75" thickBot="1">
      <c r="A58" s="885"/>
      <c r="B58" s="169" t="s">
        <v>576</v>
      </c>
      <c r="C58" s="1258" t="s">
        <v>170</v>
      </c>
      <c r="D58" s="927" t="s">
        <v>4</v>
      </c>
      <c r="E58" s="928"/>
      <c r="F58" s="928"/>
      <c r="G58" s="928"/>
      <c r="H58" s="928"/>
      <c r="I58" s="928"/>
      <c r="J58" s="928"/>
      <c r="K58" s="928"/>
      <c r="L58" s="928"/>
      <c r="M58" s="928"/>
      <c r="N58" s="928"/>
      <c r="O58" s="928"/>
      <c r="P58" s="928"/>
      <c r="Q58" s="928"/>
      <c r="R58" s="928"/>
      <c r="S58" s="928"/>
      <c r="T58" s="928"/>
      <c r="U58" s="928"/>
      <c r="V58" s="928"/>
      <c r="W58" s="928"/>
      <c r="X58" s="880"/>
    </row>
    <row r="59" spans="1:24" ht="12.95" customHeight="1" thickBot="1">
      <c r="A59" s="869"/>
      <c r="B59" s="176" t="s">
        <v>577</v>
      </c>
      <c r="C59" s="1259"/>
      <c r="D59" s="930" t="s">
        <v>126</v>
      </c>
      <c r="E59" s="931"/>
      <c r="F59" s="931"/>
      <c r="G59" s="931"/>
      <c r="H59" s="931"/>
      <c r="I59" s="931"/>
      <c r="J59" s="931"/>
      <c r="K59" s="931"/>
      <c r="L59" s="931"/>
      <c r="M59" s="931"/>
      <c r="N59" s="931"/>
      <c r="O59" s="931"/>
      <c r="P59" s="931"/>
      <c r="Q59" s="931"/>
      <c r="R59" s="931"/>
      <c r="S59" s="931"/>
      <c r="T59" s="931"/>
      <c r="U59" s="931"/>
      <c r="V59" s="931"/>
      <c r="W59" s="932"/>
      <c r="X59" s="881"/>
    </row>
    <row r="60" spans="1:24" ht="12.95" customHeight="1" thickBot="1">
      <c r="A60" s="906" t="s">
        <v>7</v>
      </c>
      <c r="B60" s="908" t="s">
        <v>173</v>
      </c>
      <c r="C60" s="909"/>
      <c r="D60" s="908" t="s">
        <v>8</v>
      </c>
      <c r="E60" s="918"/>
      <c r="F60" s="918"/>
      <c r="G60" s="909"/>
      <c r="H60" s="908" t="s">
        <v>88</v>
      </c>
      <c r="I60" s="918"/>
      <c r="J60" s="918"/>
      <c r="K60" s="909"/>
      <c r="L60" s="908" t="s">
        <v>89</v>
      </c>
      <c r="M60" s="918"/>
      <c r="N60" s="918"/>
      <c r="O60" s="909"/>
      <c r="P60" s="908" t="s">
        <v>9</v>
      </c>
      <c r="Q60" s="918"/>
      <c r="R60" s="918"/>
      <c r="S60" s="909"/>
      <c r="T60" s="908" t="s">
        <v>174</v>
      </c>
      <c r="U60" s="918"/>
      <c r="V60" s="918"/>
      <c r="W60" s="918"/>
      <c r="X60" s="909"/>
    </row>
    <row r="61" spans="1:24" ht="13.5" thickBot="1">
      <c r="A61" s="907"/>
      <c r="B61" s="916">
        <f>SUM(B82+B103+B132+B164+B180)</f>
        <v>0</v>
      </c>
      <c r="C61" s="917"/>
      <c r="D61" s="1274" t="e">
        <f>SUM(D82+D103+D132+D164+D180)</f>
        <v>#VALUE!</v>
      </c>
      <c r="E61" s="994"/>
      <c r="F61" s="994">
        <f>SUM(F82+F103+F132+F164+F180)</f>
        <v>0</v>
      </c>
      <c r="G61" s="917"/>
      <c r="H61" s="1274">
        <f>SUM(H82+H103+H132+H164+H180)</f>
        <v>0</v>
      </c>
      <c r="I61" s="994"/>
      <c r="J61" s="994">
        <f>SUM(J82+J103+J132+J164+J180)</f>
        <v>0</v>
      </c>
      <c r="K61" s="917"/>
      <c r="L61" s="1274">
        <f>SUM(L82+L103+L132+L164+L180)</f>
        <v>0</v>
      </c>
      <c r="M61" s="994"/>
      <c r="N61" s="994">
        <f>SUM(N82+N103+N132+N164+N180)</f>
        <v>0</v>
      </c>
      <c r="O61" s="917"/>
      <c r="P61" s="916" t="e">
        <f>SUM(B61:O61)</f>
        <v>#VALUE!</v>
      </c>
      <c r="Q61" s="994"/>
      <c r="R61" s="994"/>
      <c r="S61" s="917"/>
      <c r="T61" s="916" t="e">
        <f>B61/P61%</f>
        <v>#VALUE!</v>
      </c>
      <c r="U61" s="994"/>
      <c r="V61" s="994"/>
      <c r="W61" s="994"/>
      <c r="X61" s="917"/>
    </row>
    <row r="62" spans="1:24" ht="13.5" thickBot="1">
      <c r="A62" s="906" t="s">
        <v>10</v>
      </c>
      <c r="B62" s="908" t="s">
        <v>175</v>
      </c>
      <c r="C62" s="909"/>
      <c r="D62" s="910"/>
      <c r="E62" s="911"/>
      <c r="F62" s="911"/>
      <c r="G62" s="911"/>
      <c r="H62" s="911"/>
      <c r="I62" s="911"/>
      <c r="J62" s="911"/>
      <c r="K62" s="911"/>
      <c r="L62" s="911"/>
      <c r="M62" s="911"/>
      <c r="N62" s="911"/>
      <c r="O62" s="911"/>
      <c r="P62" s="911"/>
      <c r="Q62" s="911"/>
      <c r="R62" s="911"/>
      <c r="S62" s="911"/>
      <c r="T62" s="911"/>
      <c r="U62" s="911"/>
      <c r="V62" s="911"/>
      <c r="W62" s="911"/>
      <c r="X62" s="912"/>
    </row>
    <row r="63" spans="1:24" ht="13.5" thickBot="1">
      <c r="A63" s="907"/>
      <c r="B63" s="916" t="e">
        <f>SUM(B84+B105+B134+B166+B182)</f>
        <v>#VALUE!</v>
      </c>
      <c r="C63" s="917"/>
      <c r="D63" s="913"/>
      <c r="E63" s="914"/>
      <c r="F63" s="914"/>
      <c r="G63" s="914"/>
      <c r="H63" s="914"/>
      <c r="I63" s="914"/>
      <c r="J63" s="914"/>
      <c r="K63" s="914"/>
      <c r="L63" s="914"/>
      <c r="M63" s="914"/>
      <c r="N63" s="914"/>
      <c r="O63" s="914"/>
      <c r="P63" s="914"/>
      <c r="Q63" s="914"/>
      <c r="R63" s="914"/>
      <c r="S63" s="914"/>
      <c r="T63" s="914"/>
      <c r="U63" s="914"/>
      <c r="V63" s="914"/>
      <c r="W63" s="914"/>
      <c r="X63" s="915"/>
    </row>
    <row r="64" spans="1:24">
      <c r="A64" s="5"/>
      <c r="B64" s="5"/>
      <c r="C64" s="6"/>
      <c r="D64" s="5"/>
      <c r="E64" s="5"/>
      <c r="F64" s="5"/>
      <c r="G64" s="5"/>
      <c r="H64" s="5"/>
      <c r="I64" s="5"/>
      <c r="J64" s="5"/>
      <c r="K64" s="5"/>
      <c r="L64" s="5"/>
      <c r="M64" s="5"/>
      <c r="N64" s="5"/>
      <c r="O64" s="5"/>
      <c r="P64" s="5"/>
      <c r="Q64" s="5"/>
      <c r="R64" s="5"/>
      <c r="S64" s="5"/>
      <c r="T64" s="5"/>
      <c r="U64" s="5"/>
      <c r="V64" s="5"/>
      <c r="W64" s="5"/>
      <c r="X64" s="5"/>
    </row>
    <row r="65" spans="1:24" ht="13.5" thickBot="1">
      <c r="A65" s="21"/>
      <c r="B65" s="21"/>
      <c r="C65" s="22"/>
      <c r="D65" s="21"/>
      <c r="E65" s="21"/>
      <c r="F65" s="21"/>
      <c r="G65" s="21"/>
      <c r="H65" s="21"/>
      <c r="I65" s="21"/>
      <c r="J65" s="21"/>
      <c r="K65" s="21"/>
      <c r="L65" s="21"/>
      <c r="M65" s="21"/>
      <c r="N65" s="21"/>
      <c r="O65" s="21"/>
      <c r="P65" s="21"/>
      <c r="Q65" s="21"/>
      <c r="R65" s="21"/>
      <c r="S65" s="21"/>
      <c r="T65" s="21"/>
      <c r="U65" s="21"/>
      <c r="V65" s="21"/>
      <c r="W65" s="21"/>
      <c r="X65" s="21"/>
    </row>
    <row r="66" spans="1:24" ht="12.95" customHeight="1" thickBot="1">
      <c r="A66" s="95" t="s">
        <v>11</v>
      </c>
      <c r="B66" s="97" t="s">
        <v>16</v>
      </c>
      <c r="C66" s="8"/>
      <c r="D66" s="927" t="s">
        <v>78</v>
      </c>
      <c r="E66" s="928"/>
      <c r="F66" s="928"/>
      <c r="G66" s="929"/>
      <c r="H66" s="927" t="s">
        <v>77</v>
      </c>
      <c r="I66" s="928"/>
      <c r="J66" s="928"/>
      <c r="K66" s="929"/>
      <c r="L66" s="927" t="s">
        <v>81</v>
      </c>
      <c r="M66" s="928"/>
      <c r="N66" s="928"/>
      <c r="O66" s="929"/>
      <c r="P66" s="927" t="s">
        <v>254</v>
      </c>
      <c r="Q66" s="928"/>
      <c r="R66" s="928"/>
      <c r="S66" s="929"/>
      <c r="T66" s="927" t="s">
        <v>76</v>
      </c>
      <c r="U66" s="928"/>
      <c r="V66" s="928"/>
      <c r="W66" s="929"/>
      <c r="X66" s="16" t="s">
        <v>12</v>
      </c>
    </row>
    <row r="67" spans="1:24" ht="12.95" customHeight="1" thickBot="1">
      <c r="A67" s="868" t="s">
        <v>57</v>
      </c>
      <c r="B67" s="868" t="s">
        <v>58</v>
      </c>
      <c r="C67" s="9" t="s">
        <v>2</v>
      </c>
      <c r="D67" s="1338"/>
      <c r="E67" s="1339"/>
      <c r="F67" s="1339"/>
      <c r="G67" s="1340"/>
      <c r="H67" s="1341"/>
      <c r="I67" s="1339"/>
      <c r="J67" s="1339"/>
      <c r="K67" s="1340"/>
      <c r="L67" s="1345" t="s">
        <v>909</v>
      </c>
      <c r="M67" s="967"/>
      <c r="N67" s="967"/>
      <c r="O67" s="968"/>
      <c r="P67" s="942">
        <v>1.1000000000000001</v>
      </c>
      <c r="Q67" s="943"/>
      <c r="R67" s="943"/>
      <c r="S67" s="944"/>
      <c r="T67" s="942">
        <v>1.8</v>
      </c>
      <c r="U67" s="943"/>
      <c r="V67" s="943"/>
      <c r="W67" s="944"/>
      <c r="X67" s="879" t="s">
        <v>97</v>
      </c>
    </row>
    <row r="68" spans="1:24" ht="13.5" thickBot="1">
      <c r="A68" s="885"/>
      <c r="B68" s="885"/>
      <c r="C68" s="10" t="s">
        <v>3</v>
      </c>
      <c r="D68" s="1338"/>
      <c r="E68" s="1339"/>
      <c r="F68" s="1339"/>
      <c r="G68" s="1340"/>
      <c r="H68" s="1341"/>
      <c r="I68" s="1339"/>
      <c r="J68" s="1339"/>
      <c r="K68" s="1340"/>
      <c r="L68" s="1341"/>
      <c r="M68" s="1339"/>
      <c r="N68" s="1339"/>
      <c r="O68" s="1342"/>
      <c r="P68" s="1341"/>
      <c r="Q68" s="1339"/>
      <c r="R68" s="1339"/>
      <c r="S68" s="1342"/>
      <c r="T68" s="963">
        <v>0</v>
      </c>
      <c r="U68" s="964"/>
      <c r="V68" s="964"/>
      <c r="W68" s="965"/>
      <c r="X68" s="880"/>
    </row>
    <row r="69" spans="1:24" ht="12.95" customHeight="1" thickBot="1">
      <c r="A69" s="885"/>
      <c r="B69" s="885"/>
      <c r="C69" s="1258" t="s">
        <v>170</v>
      </c>
      <c r="D69" s="927" t="s">
        <v>4</v>
      </c>
      <c r="E69" s="928"/>
      <c r="F69" s="928"/>
      <c r="G69" s="928"/>
      <c r="H69" s="928"/>
      <c r="I69" s="928"/>
      <c r="J69" s="928"/>
      <c r="K69" s="928"/>
      <c r="L69" s="928"/>
      <c r="M69" s="928"/>
      <c r="N69" s="928"/>
      <c r="O69" s="928"/>
      <c r="P69" s="928"/>
      <c r="Q69" s="928"/>
      <c r="R69" s="928"/>
      <c r="S69" s="928"/>
      <c r="T69" s="928"/>
      <c r="U69" s="928"/>
      <c r="V69" s="928"/>
      <c r="W69" s="929"/>
      <c r="X69" s="880"/>
    </row>
    <row r="70" spans="1:24" ht="12.95" customHeight="1" thickBot="1">
      <c r="A70" s="885"/>
      <c r="B70" s="869"/>
      <c r="C70" s="1259"/>
      <c r="D70" s="930" t="s">
        <v>272</v>
      </c>
      <c r="E70" s="931"/>
      <c r="F70" s="931"/>
      <c r="G70" s="931"/>
      <c r="H70" s="931"/>
      <c r="I70" s="931"/>
      <c r="J70" s="931"/>
      <c r="K70" s="931"/>
      <c r="L70" s="931"/>
      <c r="M70" s="931"/>
      <c r="N70" s="931"/>
      <c r="O70" s="931"/>
      <c r="P70" s="931"/>
      <c r="Q70" s="931"/>
      <c r="R70" s="931"/>
      <c r="S70" s="931"/>
      <c r="T70" s="931"/>
      <c r="U70" s="931"/>
      <c r="V70" s="931"/>
      <c r="W70" s="932"/>
      <c r="X70" s="880"/>
    </row>
    <row r="71" spans="1:24" ht="12.95" customHeight="1" thickBot="1">
      <c r="A71" s="885"/>
      <c r="B71" s="11" t="s">
        <v>17</v>
      </c>
      <c r="C71" s="12"/>
      <c r="D71" s="927" t="s">
        <v>78</v>
      </c>
      <c r="E71" s="928"/>
      <c r="F71" s="928"/>
      <c r="G71" s="929"/>
      <c r="H71" s="927" t="s">
        <v>77</v>
      </c>
      <c r="I71" s="928"/>
      <c r="J71" s="928"/>
      <c r="K71" s="929"/>
      <c r="L71" s="927" t="s">
        <v>81</v>
      </c>
      <c r="M71" s="928"/>
      <c r="N71" s="928"/>
      <c r="O71" s="929"/>
      <c r="P71" s="927" t="s">
        <v>254</v>
      </c>
      <c r="Q71" s="928"/>
      <c r="R71" s="928"/>
      <c r="S71" s="929"/>
      <c r="T71" s="927" t="s">
        <v>76</v>
      </c>
      <c r="U71" s="928"/>
      <c r="V71" s="928"/>
      <c r="W71" s="929"/>
      <c r="X71" s="880"/>
    </row>
    <row r="72" spans="1:24" ht="12.95" customHeight="1" thickBot="1">
      <c r="A72" s="885"/>
      <c r="B72" s="868" t="s">
        <v>59</v>
      </c>
      <c r="C72" s="23" t="s">
        <v>2</v>
      </c>
      <c r="D72" s="1338"/>
      <c r="E72" s="1339"/>
      <c r="F72" s="1339"/>
      <c r="G72" s="1340"/>
      <c r="H72" s="1341"/>
      <c r="I72" s="1339"/>
      <c r="J72" s="1339"/>
      <c r="K72" s="1340"/>
      <c r="L72" s="1345" t="s">
        <v>909</v>
      </c>
      <c r="M72" s="967"/>
      <c r="N72" s="967"/>
      <c r="O72" s="968"/>
      <c r="P72" s="942">
        <v>1</v>
      </c>
      <c r="Q72" s="943"/>
      <c r="R72" s="943"/>
      <c r="S72" s="944"/>
      <c r="T72" s="942">
        <v>1.7</v>
      </c>
      <c r="U72" s="943"/>
      <c r="V72" s="943"/>
      <c r="W72" s="944"/>
      <c r="X72" s="880"/>
    </row>
    <row r="73" spans="1:24" ht="13.5" thickBot="1">
      <c r="A73" s="885"/>
      <c r="B73" s="885"/>
      <c r="C73" s="9" t="s">
        <v>3</v>
      </c>
      <c r="D73" s="1338"/>
      <c r="E73" s="1339"/>
      <c r="F73" s="1339"/>
      <c r="G73" s="1340"/>
      <c r="H73" s="1341"/>
      <c r="I73" s="1339"/>
      <c r="J73" s="1339"/>
      <c r="K73" s="1340"/>
      <c r="L73" s="1341"/>
      <c r="M73" s="1339"/>
      <c r="N73" s="1339"/>
      <c r="O73" s="1342"/>
      <c r="P73" s="1341"/>
      <c r="Q73" s="1339"/>
      <c r="R73" s="1339"/>
      <c r="S73" s="1342"/>
      <c r="T73" s="963">
        <v>0</v>
      </c>
      <c r="U73" s="964"/>
      <c r="V73" s="964"/>
      <c r="W73" s="965"/>
      <c r="X73" s="880"/>
    </row>
    <row r="74" spans="1:24" ht="12.95" customHeight="1" thickBot="1">
      <c r="A74" s="885"/>
      <c r="B74" s="885"/>
      <c r="C74" s="1258" t="s">
        <v>170</v>
      </c>
      <c r="D74" s="927" t="s">
        <v>4</v>
      </c>
      <c r="E74" s="928"/>
      <c r="F74" s="928"/>
      <c r="G74" s="928"/>
      <c r="H74" s="928"/>
      <c r="I74" s="928"/>
      <c r="J74" s="928"/>
      <c r="K74" s="928"/>
      <c r="L74" s="928"/>
      <c r="M74" s="928"/>
      <c r="N74" s="928"/>
      <c r="O74" s="928"/>
      <c r="P74" s="928"/>
      <c r="Q74" s="928"/>
      <c r="R74" s="928"/>
      <c r="S74" s="928"/>
      <c r="T74" s="928"/>
      <c r="U74" s="928"/>
      <c r="V74" s="928"/>
      <c r="W74" s="929"/>
      <c r="X74" s="880"/>
    </row>
    <row r="75" spans="1:24" ht="12.95" customHeight="1" thickBot="1">
      <c r="A75" s="885"/>
      <c r="B75" s="869"/>
      <c r="C75" s="1259"/>
      <c r="D75" s="930" t="s">
        <v>118</v>
      </c>
      <c r="E75" s="931"/>
      <c r="F75" s="931"/>
      <c r="G75" s="931"/>
      <c r="H75" s="931"/>
      <c r="I75" s="931"/>
      <c r="J75" s="931"/>
      <c r="K75" s="931"/>
      <c r="L75" s="931"/>
      <c r="M75" s="931"/>
      <c r="N75" s="931"/>
      <c r="O75" s="931"/>
      <c r="P75" s="931"/>
      <c r="Q75" s="931"/>
      <c r="R75" s="931"/>
      <c r="S75" s="931"/>
      <c r="T75" s="931"/>
      <c r="U75" s="931"/>
      <c r="V75" s="931"/>
      <c r="W75" s="932"/>
      <c r="X75" s="880"/>
    </row>
    <row r="76" spans="1:24" ht="12.95" customHeight="1" thickBot="1">
      <c r="A76" s="885"/>
      <c r="B76" s="11" t="s">
        <v>18</v>
      </c>
      <c r="C76" s="12"/>
      <c r="D76" s="927" t="s">
        <v>78</v>
      </c>
      <c r="E76" s="928"/>
      <c r="F76" s="928"/>
      <c r="G76" s="929"/>
      <c r="H76" s="927" t="s">
        <v>77</v>
      </c>
      <c r="I76" s="928"/>
      <c r="J76" s="928"/>
      <c r="K76" s="929"/>
      <c r="L76" s="927" t="s">
        <v>81</v>
      </c>
      <c r="M76" s="928"/>
      <c r="N76" s="928"/>
      <c r="O76" s="929"/>
      <c r="P76" s="927" t="s">
        <v>254</v>
      </c>
      <c r="Q76" s="928"/>
      <c r="R76" s="928"/>
      <c r="S76" s="929"/>
      <c r="T76" s="927" t="s">
        <v>76</v>
      </c>
      <c r="U76" s="928"/>
      <c r="V76" s="928"/>
      <c r="W76" s="929"/>
      <c r="X76" s="880"/>
    </row>
    <row r="77" spans="1:24" ht="12.95" customHeight="1" thickBot="1">
      <c r="A77" s="885"/>
      <c r="B77" s="868" t="s">
        <v>60</v>
      </c>
      <c r="C77" s="23" t="s">
        <v>2</v>
      </c>
      <c r="D77" s="1338"/>
      <c r="E77" s="1339"/>
      <c r="F77" s="1339"/>
      <c r="G77" s="1340"/>
      <c r="H77" s="1341"/>
      <c r="I77" s="1339"/>
      <c r="J77" s="1339"/>
      <c r="K77" s="1340"/>
      <c r="L77" s="1345" t="s">
        <v>909</v>
      </c>
      <c r="M77" s="967"/>
      <c r="N77" s="967"/>
      <c r="O77" s="968"/>
      <c r="P77" s="951">
        <v>0</v>
      </c>
      <c r="Q77" s="969"/>
      <c r="R77" s="969"/>
      <c r="S77" s="952"/>
      <c r="T77" s="1343">
        <v>0</v>
      </c>
      <c r="U77" s="1349"/>
      <c r="V77" s="1349"/>
      <c r="W77" s="1344"/>
      <c r="X77" s="880"/>
    </row>
    <row r="78" spans="1:24" ht="13.5" thickBot="1">
      <c r="A78" s="869"/>
      <c r="B78" s="885"/>
      <c r="C78" s="9" t="s">
        <v>3</v>
      </c>
      <c r="D78" s="1338"/>
      <c r="E78" s="1339"/>
      <c r="F78" s="1339"/>
      <c r="G78" s="1340"/>
      <c r="H78" s="1341"/>
      <c r="I78" s="1339"/>
      <c r="J78" s="1339"/>
      <c r="K78" s="1340"/>
      <c r="L78" s="1341"/>
      <c r="M78" s="1339"/>
      <c r="N78" s="1339"/>
      <c r="O78" s="1342"/>
      <c r="P78" s="1341"/>
      <c r="Q78" s="1339"/>
      <c r="R78" s="1339"/>
      <c r="S78" s="1342"/>
      <c r="T78" s="939">
        <v>0</v>
      </c>
      <c r="U78" s="970"/>
      <c r="V78" s="970"/>
      <c r="W78" s="953"/>
      <c r="X78" s="881"/>
    </row>
    <row r="79" spans="1:24" ht="12.95" customHeight="1" thickBot="1">
      <c r="A79" s="96" t="s">
        <v>13</v>
      </c>
      <c r="B79" s="885"/>
      <c r="C79" s="1258" t="s">
        <v>170</v>
      </c>
      <c r="D79" s="927" t="s">
        <v>4</v>
      </c>
      <c r="E79" s="928"/>
      <c r="F79" s="928"/>
      <c r="G79" s="928"/>
      <c r="H79" s="928"/>
      <c r="I79" s="928"/>
      <c r="J79" s="928"/>
      <c r="K79" s="928"/>
      <c r="L79" s="928"/>
      <c r="M79" s="928"/>
      <c r="N79" s="928"/>
      <c r="O79" s="928"/>
      <c r="P79" s="928"/>
      <c r="Q79" s="928"/>
      <c r="R79" s="928"/>
      <c r="S79" s="928"/>
      <c r="T79" s="928"/>
      <c r="U79" s="928"/>
      <c r="V79" s="928"/>
      <c r="W79" s="929"/>
      <c r="X79" s="24" t="s">
        <v>14</v>
      </c>
    </row>
    <row r="80" spans="1:24" ht="12.95" customHeight="1" thickBot="1">
      <c r="A80" s="25" t="s">
        <v>75</v>
      </c>
      <c r="B80" s="869"/>
      <c r="C80" s="1259"/>
      <c r="D80" s="930" t="s">
        <v>119</v>
      </c>
      <c r="E80" s="931"/>
      <c r="F80" s="931"/>
      <c r="G80" s="931"/>
      <c r="H80" s="931"/>
      <c r="I80" s="931"/>
      <c r="J80" s="931"/>
      <c r="K80" s="931"/>
      <c r="L80" s="931"/>
      <c r="M80" s="931"/>
      <c r="N80" s="931"/>
      <c r="O80" s="931"/>
      <c r="P80" s="931"/>
      <c r="Q80" s="931"/>
      <c r="R80" s="931"/>
      <c r="S80" s="931"/>
      <c r="T80" s="931"/>
      <c r="U80" s="931"/>
      <c r="V80" s="931"/>
      <c r="W80" s="932"/>
      <c r="X80" s="18" t="s">
        <v>92</v>
      </c>
    </row>
    <row r="81" spans="1:24" ht="12.95" customHeight="1" thickBot="1">
      <c r="A81" s="906" t="s">
        <v>7</v>
      </c>
      <c r="B81" s="908" t="s">
        <v>173</v>
      </c>
      <c r="C81" s="909"/>
      <c r="D81" s="908" t="s">
        <v>8</v>
      </c>
      <c r="E81" s="918"/>
      <c r="F81" s="918"/>
      <c r="G81" s="909"/>
      <c r="H81" s="908" t="s">
        <v>88</v>
      </c>
      <c r="I81" s="918"/>
      <c r="J81" s="918"/>
      <c r="K81" s="909"/>
      <c r="L81" s="908" t="s">
        <v>89</v>
      </c>
      <c r="M81" s="918"/>
      <c r="N81" s="918"/>
      <c r="O81" s="909"/>
      <c r="P81" s="908" t="s">
        <v>9</v>
      </c>
      <c r="Q81" s="918"/>
      <c r="R81" s="918"/>
      <c r="S81" s="909"/>
      <c r="T81" s="908" t="s">
        <v>174</v>
      </c>
      <c r="U81" s="918"/>
      <c r="V81" s="918"/>
      <c r="W81" s="918"/>
      <c r="X81" s="909"/>
    </row>
    <row r="82" spans="1:24" ht="13.5" thickBot="1">
      <c r="A82" s="907"/>
      <c r="B82" s="1256"/>
      <c r="C82" s="1257"/>
      <c r="D82" s="916"/>
      <c r="E82" s="994"/>
      <c r="F82" s="994"/>
      <c r="G82" s="917"/>
      <c r="H82" s="916"/>
      <c r="I82" s="994"/>
      <c r="J82" s="994"/>
      <c r="K82" s="917"/>
      <c r="L82" s="916"/>
      <c r="M82" s="994"/>
      <c r="N82" s="994"/>
      <c r="O82" s="917"/>
      <c r="P82" s="916">
        <f>SUM(B82:O82)</f>
        <v>0</v>
      </c>
      <c r="Q82" s="994"/>
      <c r="R82" s="994"/>
      <c r="S82" s="917"/>
      <c r="T82" s="916" t="e">
        <f>B82/P82%</f>
        <v>#DIV/0!</v>
      </c>
      <c r="U82" s="994"/>
      <c r="V82" s="994"/>
      <c r="W82" s="994"/>
      <c r="X82" s="917"/>
    </row>
    <row r="83" spans="1:24" ht="13.5" thickBot="1">
      <c r="A83" s="906" t="s">
        <v>10</v>
      </c>
      <c r="B83" s="908" t="s">
        <v>175</v>
      </c>
      <c r="C83" s="909"/>
      <c r="D83" s="910"/>
      <c r="E83" s="911"/>
      <c r="F83" s="911"/>
      <c r="G83" s="911"/>
      <c r="H83" s="911"/>
      <c r="I83" s="911"/>
      <c r="J83" s="911"/>
      <c r="K83" s="911"/>
      <c r="L83" s="911"/>
      <c r="M83" s="911"/>
      <c r="N83" s="911"/>
      <c r="O83" s="911"/>
      <c r="P83" s="911"/>
      <c r="Q83" s="911"/>
      <c r="R83" s="911"/>
      <c r="S83" s="911"/>
      <c r="T83" s="911"/>
      <c r="U83" s="911"/>
      <c r="V83" s="911"/>
      <c r="W83" s="911"/>
      <c r="X83" s="912"/>
    </row>
    <row r="84" spans="1:24" ht="13.5" thickBot="1">
      <c r="A84" s="907"/>
      <c r="B84" s="1256"/>
      <c r="C84" s="1257"/>
      <c r="D84" s="913"/>
      <c r="E84" s="914"/>
      <c r="F84" s="914"/>
      <c r="G84" s="914"/>
      <c r="H84" s="914"/>
      <c r="I84" s="914"/>
      <c r="J84" s="914"/>
      <c r="K84" s="914"/>
      <c r="L84" s="914"/>
      <c r="M84" s="914"/>
      <c r="N84" s="914"/>
      <c r="O84" s="914"/>
      <c r="P84" s="914"/>
      <c r="Q84" s="914"/>
      <c r="R84" s="914"/>
      <c r="S84" s="914"/>
      <c r="T84" s="914"/>
      <c r="U84" s="914"/>
      <c r="V84" s="914"/>
      <c r="W84" s="914"/>
      <c r="X84" s="915"/>
    </row>
    <row r="85" spans="1:24">
      <c r="A85" s="5"/>
      <c r="B85" s="5"/>
      <c r="C85" s="6"/>
      <c r="D85" s="5"/>
      <c r="E85" s="5"/>
      <c r="F85" s="5"/>
      <c r="G85" s="5"/>
      <c r="H85" s="5"/>
      <c r="I85" s="5"/>
      <c r="J85" s="5"/>
      <c r="K85" s="5"/>
      <c r="L85" s="5"/>
      <c r="M85" s="5"/>
      <c r="N85" s="5"/>
      <c r="O85" s="5"/>
      <c r="P85" s="5"/>
      <c r="Q85" s="5"/>
      <c r="R85" s="5"/>
      <c r="S85" s="5"/>
      <c r="T85" s="5"/>
      <c r="U85" s="5"/>
      <c r="V85" s="5"/>
      <c r="W85" s="5"/>
      <c r="X85" s="5"/>
    </row>
    <row r="86" spans="1:24" ht="13.5" thickBot="1">
      <c r="A86" s="5"/>
      <c r="B86" s="5"/>
      <c r="C86" s="6"/>
      <c r="D86" s="5"/>
      <c r="E86" s="5"/>
      <c r="F86" s="5"/>
      <c r="G86" s="5"/>
      <c r="H86" s="5"/>
      <c r="I86" s="5"/>
      <c r="J86" s="5"/>
      <c r="K86" s="5"/>
      <c r="L86" s="5"/>
      <c r="M86" s="5"/>
      <c r="N86" s="5"/>
      <c r="O86" s="5"/>
      <c r="P86" s="5"/>
      <c r="Q86" s="5"/>
      <c r="R86" s="5"/>
      <c r="S86" s="5"/>
      <c r="T86" s="5"/>
      <c r="U86" s="5"/>
      <c r="V86" s="5"/>
      <c r="W86" s="5"/>
      <c r="X86" s="5"/>
    </row>
    <row r="87" spans="1:24" ht="12.95" customHeight="1" thickBot="1">
      <c r="A87" s="95" t="s">
        <v>15</v>
      </c>
      <c r="B87" s="97" t="s">
        <v>19</v>
      </c>
      <c r="C87" s="8"/>
      <c r="D87" s="927" t="s">
        <v>78</v>
      </c>
      <c r="E87" s="928"/>
      <c r="F87" s="928"/>
      <c r="G87" s="929"/>
      <c r="H87" s="927" t="s">
        <v>77</v>
      </c>
      <c r="I87" s="928"/>
      <c r="J87" s="928"/>
      <c r="K87" s="929"/>
      <c r="L87" s="927" t="s">
        <v>81</v>
      </c>
      <c r="M87" s="928"/>
      <c r="N87" s="928"/>
      <c r="O87" s="929"/>
      <c r="P87" s="927" t="s">
        <v>254</v>
      </c>
      <c r="Q87" s="928"/>
      <c r="R87" s="928"/>
      <c r="S87" s="929"/>
      <c r="T87" s="927" t="s">
        <v>76</v>
      </c>
      <c r="U87" s="928"/>
      <c r="V87" s="928"/>
      <c r="W87" s="929"/>
      <c r="X87" s="16" t="s">
        <v>6</v>
      </c>
    </row>
    <row r="88" spans="1:24" ht="12.95" customHeight="1" thickBot="1">
      <c r="A88" s="868" t="s">
        <v>61</v>
      </c>
      <c r="B88" s="868" t="s">
        <v>62</v>
      </c>
      <c r="C88" s="9" t="s">
        <v>2</v>
      </c>
      <c r="D88" s="1338"/>
      <c r="E88" s="1339"/>
      <c r="F88" s="1339"/>
      <c r="G88" s="1340"/>
      <c r="H88" s="1341"/>
      <c r="I88" s="1339"/>
      <c r="J88" s="1339"/>
      <c r="K88" s="1340"/>
      <c r="L88" s="1345" t="s">
        <v>909</v>
      </c>
      <c r="M88" s="967"/>
      <c r="N88" s="967"/>
      <c r="O88" s="968"/>
      <c r="P88" s="942">
        <v>1.1000000000000001</v>
      </c>
      <c r="Q88" s="943"/>
      <c r="R88" s="943"/>
      <c r="S88" s="944"/>
      <c r="T88" s="942">
        <v>1.8</v>
      </c>
      <c r="U88" s="943"/>
      <c r="V88" s="943"/>
      <c r="W88" s="944"/>
      <c r="X88" s="879" t="s">
        <v>94</v>
      </c>
    </row>
    <row r="89" spans="1:24" ht="13.5" thickBot="1">
      <c r="A89" s="885"/>
      <c r="B89" s="885"/>
      <c r="C89" s="99" t="s">
        <v>3</v>
      </c>
      <c r="D89" s="1338"/>
      <c r="E89" s="1339"/>
      <c r="F89" s="1339"/>
      <c r="G89" s="1340"/>
      <c r="H89" s="1341"/>
      <c r="I89" s="1339"/>
      <c r="J89" s="1339"/>
      <c r="K89" s="1340"/>
      <c r="L89" s="1341"/>
      <c r="M89" s="1339"/>
      <c r="N89" s="1339"/>
      <c r="O89" s="1342"/>
      <c r="P89" s="1341"/>
      <c r="Q89" s="1339"/>
      <c r="R89" s="1339"/>
      <c r="S89" s="1342"/>
      <c r="T89" s="963">
        <v>0</v>
      </c>
      <c r="U89" s="964"/>
      <c r="V89" s="964"/>
      <c r="W89" s="965"/>
      <c r="X89" s="880"/>
    </row>
    <row r="90" spans="1:24" ht="12.95" customHeight="1" thickBot="1">
      <c r="A90" s="885"/>
      <c r="B90" s="885"/>
      <c r="C90" s="1258" t="s">
        <v>170</v>
      </c>
      <c r="D90" s="927" t="s">
        <v>4</v>
      </c>
      <c r="E90" s="928"/>
      <c r="F90" s="928"/>
      <c r="G90" s="928"/>
      <c r="H90" s="928"/>
      <c r="I90" s="928"/>
      <c r="J90" s="928"/>
      <c r="K90" s="928"/>
      <c r="L90" s="928"/>
      <c r="M90" s="928"/>
      <c r="N90" s="928"/>
      <c r="O90" s="928"/>
      <c r="P90" s="928"/>
      <c r="Q90" s="928"/>
      <c r="R90" s="928"/>
      <c r="S90" s="928"/>
      <c r="T90" s="928"/>
      <c r="U90" s="928"/>
      <c r="V90" s="928"/>
      <c r="W90" s="929"/>
      <c r="X90" s="880"/>
    </row>
    <row r="91" spans="1:24" ht="12.95" customHeight="1" thickBot="1">
      <c r="A91" s="885"/>
      <c r="B91" s="869"/>
      <c r="C91" s="1259"/>
      <c r="D91" s="930" t="s">
        <v>272</v>
      </c>
      <c r="E91" s="931"/>
      <c r="F91" s="931"/>
      <c r="G91" s="931"/>
      <c r="H91" s="931"/>
      <c r="I91" s="931"/>
      <c r="J91" s="931"/>
      <c r="K91" s="931"/>
      <c r="L91" s="931"/>
      <c r="M91" s="931"/>
      <c r="N91" s="931"/>
      <c r="O91" s="931"/>
      <c r="P91" s="931"/>
      <c r="Q91" s="931"/>
      <c r="R91" s="931"/>
      <c r="S91" s="931"/>
      <c r="T91" s="931"/>
      <c r="U91" s="931"/>
      <c r="V91" s="931"/>
      <c r="W91" s="932"/>
      <c r="X91" s="880"/>
    </row>
    <row r="92" spans="1:24" ht="12.95" customHeight="1" thickBot="1">
      <c r="A92" s="885"/>
      <c r="B92" s="11" t="s">
        <v>20</v>
      </c>
      <c r="C92" s="12"/>
      <c r="D92" s="927" t="s">
        <v>78</v>
      </c>
      <c r="E92" s="928"/>
      <c r="F92" s="928"/>
      <c r="G92" s="929"/>
      <c r="H92" s="927" t="s">
        <v>77</v>
      </c>
      <c r="I92" s="928"/>
      <c r="J92" s="928"/>
      <c r="K92" s="929"/>
      <c r="L92" s="927" t="s">
        <v>81</v>
      </c>
      <c r="M92" s="928"/>
      <c r="N92" s="928"/>
      <c r="O92" s="929"/>
      <c r="P92" s="927" t="s">
        <v>254</v>
      </c>
      <c r="Q92" s="928"/>
      <c r="R92" s="928"/>
      <c r="S92" s="929"/>
      <c r="T92" s="927" t="s">
        <v>76</v>
      </c>
      <c r="U92" s="928"/>
      <c r="V92" s="928"/>
      <c r="W92" s="929"/>
      <c r="X92" s="880"/>
    </row>
    <row r="93" spans="1:24" ht="12.95" customHeight="1" thickBot="1">
      <c r="A93" s="885"/>
      <c r="B93" s="868" t="s">
        <v>59</v>
      </c>
      <c r="C93" s="23" t="s">
        <v>2</v>
      </c>
      <c r="D93" s="1338"/>
      <c r="E93" s="1339"/>
      <c r="F93" s="1339"/>
      <c r="G93" s="1340"/>
      <c r="H93" s="1341"/>
      <c r="I93" s="1339"/>
      <c r="J93" s="1339"/>
      <c r="K93" s="1340"/>
      <c r="L93" s="1345" t="s">
        <v>909</v>
      </c>
      <c r="M93" s="967"/>
      <c r="N93" s="967"/>
      <c r="O93" s="968"/>
      <c r="P93" s="942">
        <v>1</v>
      </c>
      <c r="Q93" s="943"/>
      <c r="R93" s="943"/>
      <c r="S93" s="944"/>
      <c r="T93" s="942">
        <v>1.7</v>
      </c>
      <c r="U93" s="943"/>
      <c r="V93" s="943"/>
      <c r="W93" s="944"/>
      <c r="X93" s="880"/>
    </row>
    <row r="94" spans="1:24" ht="13.5" thickBot="1">
      <c r="A94" s="885"/>
      <c r="B94" s="885"/>
      <c r="C94" s="9" t="s">
        <v>3</v>
      </c>
      <c r="D94" s="1338"/>
      <c r="E94" s="1339"/>
      <c r="F94" s="1339"/>
      <c r="G94" s="1340"/>
      <c r="H94" s="1341"/>
      <c r="I94" s="1339"/>
      <c r="J94" s="1339"/>
      <c r="K94" s="1340"/>
      <c r="L94" s="1341"/>
      <c r="M94" s="1339"/>
      <c r="N94" s="1339"/>
      <c r="O94" s="1342"/>
      <c r="P94" s="1341"/>
      <c r="Q94" s="1339"/>
      <c r="R94" s="1339"/>
      <c r="S94" s="1342"/>
      <c r="T94" s="963">
        <v>0</v>
      </c>
      <c r="U94" s="964"/>
      <c r="V94" s="964"/>
      <c r="W94" s="965"/>
      <c r="X94" s="880"/>
    </row>
    <row r="95" spans="1:24" ht="12.95" customHeight="1" thickBot="1">
      <c r="A95" s="885"/>
      <c r="B95" s="885"/>
      <c r="C95" s="1258" t="s">
        <v>170</v>
      </c>
      <c r="D95" s="927" t="s">
        <v>4</v>
      </c>
      <c r="E95" s="928"/>
      <c r="F95" s="928"/>
      <c r="G95" s="928"/>
      <c r="H95" s="928"/>
      <c r="I95" s="928"/>
      <c r="J95" s="928"/>
      <c r="K95" s="928"/>
      <c r="L95" s="928"/>
      <c r="M95" s="928"/>
      <c r="N95" s="928"/>
      <c r="O95" s="928"/>
      <c r="P95" s="928"/>
      <c r="Q95" s="928"/>
      <c r="R95" s="928"/>
      <c r="S95" s="928"/>
      <c r="T95" s="928"/>
      <c r="U95" s="928"/>
      <c r="V95" s="928"/>
      <c r="W95" s="929"/>
      <c r="X95" s="880"/>
    </row>
    <row r="96" spans="1:24" ht="12.95" customHeight="1" thickBot="1">
      <c r="A96" s="885"/>
      <c r="B96" s="869"/>
      <c r="C96" s="1259"/>
      <c r="D96" s="930" t="s">
        <v>118</v>
      </c>
      <c r="E96" s="931"/>
      <c r="F96" s="931"/>
      <c r="G96" s="931"/>
      <c r="H96" s="931"/>
      <c r="I96" s="931"/>
      <c r="J96" s="931"/>
      <c r="K96" s="931"/>
      <c r="L96" s="931"/>
      <c r="M96" s="931"/>
      <c r="N96" s="931"/>
      <c r="O96" s="931"/>
      <c r="P96" s="931"/>
      <c r="Q96" s="931"/>
      <c r="R96" s="931"/>
      <c r="S96" s="931"/>
      <c r="T96" s="931"/>
      <c r="U96" s="931"/>
      <c r="V96" s="931"/>
      <c r="W96" s="932"/>
      <c r="X96" s="880"/>
    </row>
    <row r="97" spans="1:24" ht="12.95" customHeight="1" thickBot="1">
      <c r="A97" s="885"/>
      <c r="B97" s="11" t="s">
        <v>21</v>
      </c>
      <c r="C97" s="12"/>
      <c r="D97" s="927" t="s">
        <v>78</v>
      </c>
      <c r="E97" s="928"/>
      <c r="F97" s="928"/>
      <c r="G97" s="929"/>
      <c r="H97" s="927" t="s">
        <v>77</v>
      </c>
      <c r="I97" s="928"/>
      <c r="J97" s="928"/>
      <c r="K97" s="929"/>
      <c r="L97" s="927" t="s">
        <v>81</v>
      </c>
      <c r="M97" s="928"/>
      <c r="N97" s="928"/>
      <c r="O97" s="929"/>
      <c r="P97" s="927" t="s">
        <v>254</v>
      </c>
      <c r="Q97" s="928"/>
      <c r="R97" s="928"/>
      <c r="S97" s="929"/>
      <c r="T97" s="927" t="s">
        <v>76</v>
      </c>
      <c r="U97" s="928"/>
      <c r="V97" s="928"/>
      <c r="W97" s="929"/>
      <c r="X97" s="880"/>
    </row>
    <row r="98" spans="1:24" ht="12.95" customHeight="1" thickBot="1">
      <c r="A98" s="885"/>
      <c r="B98" s="868" t="s">
        <v>63</v>
      </c>
      <c r="C98" s="26" t="s">
        <v>2</v>
      </c>
      <c r="D98" s="1338"/>
      <c r="E98" s="1339"/>
      <c r="F98" s="1339"/>
      <c r="G98" s="1340"/>
      <c r="H98" s="1341"/>
      <c r="I98" s="1339"/>
      <c r="J98" s="1339"/>
      <c r="K98" s="1340"/>
      <c r="L98" s="1345" t="s">
        <v>909</v>
      </c>
      <c r="M98" s="967"/>
      <c r="N98" s="967"/>
      <c r="O98" s="968"/>
      <c r="P98" s="951">
        <v>0</v>
      </c>
      <c r="Q98" s="969"/>
      <c r="R98" s="969"/>
      <c r="S98" s="952"/>
      <c r="T98" s="1343">
        <v>0</v>
      </c>
      <c r="U98" s="1349"/>
      <c r="V98" s="1349"/>
      <c r="W98" s="1344"/>
      <c r="X98" s="880"/>
    </row>
    <row r="99" spans="1:24" ht="13.5" thickBot="1">
      <c r="A99" s="869"/>
      <c r="B99" s="885"/>
      <c r="C99" s="9" t="s">
        <v>3</v>
      </c>
      <c r="D99" s="1338"/>
      <c r="E99" s="1339"/>
      <c r="F99" s="1339"/>
      <c r="G99" s="1340"/>
      <c r="H99" s="1341"/>
      <c r="I99" s="1339"/>
      <c r="J99" s="1339"/>
      <c r="K99" s="1340"/>
      <c r="L99" s="1341"/>
      <c r="M99" s="1339"/>
      <c r="N99" s="1339"/>
      <c r="O99" s="1342"/>
      <c r="P99" s="1341"/>
      <c r="Q99" s="1339"/>
      <c r="R99" s="1339"/>
      <c r="S99" s="1342"/>
      <c r="T99" s="939">
        <v>0</v>
      </c>
      <c r="U99" s="970"/>
      <c r="V99" s="970"/>
      <c r="W99" s="953"/>
      <c r="X99" s="881"/>
    </row>
    <row r="100" spans="1:24" ht="12.95" customHeight="1" thickBot="1">
      <c r="A100" s="96" t="s">
        <v>13</v>
      </c>
      <c r="B100" s="885"/>
      <c r="C100" s="1258" t="s">
        <v>170</v>
      </c>
      <c r="D100" s="927" t="s">
        <v>4</v>
      </c>
      <c r="E100" s="928"/>
      <c r="F100" s="928"/>
      <c r="G100" s="928"/>
      <c r="H100" s="928"/>
      <c r="I100" s="928"/>
      <c r="J100" s="928"/>
      <c r="K100" s="928"/>
      <c r="L100" s="928"/>
      <c r="M100" s="928"/>
      <c r="N100" s="928"/>
      <c r="O100" s="928"/>
      <c r="P100" s="928"/>
      <c r="Q100" s="928"/>
      <c r="R100" s="928"/>
      <c r="S100" s="928"/>
      <c r="T100" s="928"/>
      <c r="U100" s="928"/>
      <c r="V100" s="928"/>
      <c r="W100" s="929"/>
      <c r="X100" s="24" t="s">
        <v>14</v>
      </c>
    </row>
    <row r="101" spans="1:24" ht="12.95" customHeight="1" thickBot="1">
      <c r="A101" s="25" t="s">
        <v>75</v>
      </c>
      <c r="B101" s="869"/>
      <c r="C101" s="1259"/>
      <c r="D101" s="930" t="s">
        <v>119</v>
      </c>
      <c r="E101" s="931"/>
      <c r="F101" s="931"/>
      <c r="G101" s="931"/>
      <c r="H101" s="931"/>
      <c r="I101" s="931"/>
      <c r="J101" s="931"/>
      <c r="K101" s="931"/>
      <c r="L101" s="931"/>
      <c r="M101" s="931"/>
      <c r="N101" s="931"/>
      <c r="O101" s="931"/>
      <c r="P101" s="931"/>
      <c r="Q101" s="931"/>
      <c r="R101" s="931"/>
      <c r="S101" s="931"/>
      <c r="T101" s="931"/>
      <c r="U101" s="931"/>
      <c r="V101" s="931"/>
      <c r="W101" s="932"/>
      <c r="X101" s="18" t="s">
        <v>93</v>
      </c>
    </row>
    <row r="102" spans="1:24" ht="12.95" customHeight="1" thickBot="1">
      <c r="A102" s="906" t="s">
        <v>7</v>
      </c>
      <c r="B102" s="908" t="s">
        <v>173</v>
      </c>
      <c r="C102" s="909"/>
      <c r="D102" s="908" t="s">
        <v>8</v>
      </c>
      <c r="E102" s="918"/>
      <c r="F102" s="918"/>
      <c r="G102" s="909"/>
      <c r="H102" s="908" t="s">
        <v>88</v>
      </c>
      <c r="I102" s="918"/>
      <c r="J102" s="918"/>
      <c r="K102" s="909"/>
      <c r="L102" s="908" t="s">
        <v>89</v>
      </c>
      <c r="M102" s="918"/>
      <c r="N102" s="918"/>
      <c r="O102" s="909"/>
      <c r="P102" s="908" t="s">
        <v>9</v>
      </c>
      <c r="Q102" s="918"/>
      <c r="R102" s="918"/>
      <c r="S102" s="909"/>
      <c r="T102" s="908" t="s">
        <v>174</v>
      </c>
      <c r="U102" s="918"/>
      <c r="V102" s="918"/>
      <c r="W102" s="918"/>
      <c r="X102" s="909"/>
    </row>
    <row r="103" spans="1:24" ht="13.5" thickBot="1">
      <c r="A103" s="907"/>
      <c r="B103" s="1256"/>
      <c r="C103" s="1257"/>
      <c r="D103" s="916"/>
      <c r="E103" s="994"/>
      <c r="F103" s="994"/>
      <c r="G103" s="917"/>
      <c r="H103" s="916"/>
      <c r="I103" s="994"/>
      <c r="J103" s="994"/>
      <c r="K103" s="917"/>
      <c r="L103" s="916"/>
      <c r="M103" s="994"/>
      <c r="N103" s="994"/>
      <c r="O103" s="917"/>
      <c r="P103" s="916">
        <f>SUM(B103:O103)</f>
        <v>0</v>
      </c>
      <c r="Q103" s="994"/>
      <c r="R103" s="994"/>
      <c r="S103" s="917"/>
      <c r="T103" s="916" t="e">
        <f>B103/P103%</f>
        <v>#DIV/0!</v>
      </c>
      <c r="U103" s="994"/>
      <c r="V103" s="994"/>
      <c r="W103" s="994"/>
      <c r="X103" s="917"/>
    </row>
    <row r="104" spans="1:24" ht="13.5" thickBot="1">
      <c r="A104" s="906" t="s">
        <v>10</v>
      </c>
      <c r="B104" s="908" t="s">
        <v>175</v>
      </c>
      <c r="C104" s="909"/>
      <c r="D104" s="910"/>
      <c r="E104" s="911"/>
      <c r="F104" s="911"/>
      <c r="G104" s="911"/>
      <c r="H104" s="911"/>
      <c r="I104" s="911"/>
      <c r="J104" s="911"/>
      <c r="K104" s="911"/>
      <c r="L104" s="911"/>
      <c r="M104" s="911"/>
      <c r="N104" s="911"/>
      <c r="O104" s="911"/>
      <c r="P104" s="911"/>
      <c r="Q104" s="911"/>
      <c r="R104" s="911"/>
      <c r="S104" s="911"/>
      <c r="T104" s="911"/>
      <c r="U104" s="911"/>
      <c r="V104" s="911"/>
      <c r="W104" s="911"/>
      <c r="X104" s="912"/>
    </row>
    <row r="105" spans="1:24" ht="13.5" thickBot="1">
      <c r="A105" s="907"/>
      <c r="B105" s="1256"/>
      <c r="C105" s="1257"/>
      <c r="D105" s="913"/>
      <c r="E105" s="914"/>
      <c r="F105" s="914"/>
      <c r="G105" s="914"/>
      <c r="H105" s="914"/>
      <c r="I105" s="914"/>
      <c r="J105" s="914"/>
      <c r="K105" s="914"/>
      <c r="L105" s="914"/>
      <c r="M105" s="914"/>
      <c r="N105" s="914"/>
      <c r="O105" s="914"/>
      <c r="P105" s="914"/>
      <c r="Q105" s="914"/>
      <c r="R105" s="914"/>
      <c r="S105" s="914"/>
      <c r="T105" s="914"/>
      <c r="U105" s="914"/>
      <c r="V105" s="914"/>
      <c r="W105" s="914"/>
      <c r="X105" s="915"/>
    </row>
    <row r="107" spans="1:24" ht="13.5" thickBot="1"/>
    <row r="108" spans="1:24" ht="12.95" customHeight="1" thickBot="1">
      <c r="A108" s="95" t="s">
        <v>26</v>
      </c>
      <c r="B108" s="97" t="s">
        <v>29</v>
      </c>
      <c r="C108" s="8"/>
      <c r="D108" s="927" t="s">
        <v>78</v>
      </c>
      <c r="E108" s="928"/>
      <c r="F108" s="928"/>
      <c r="G108" s="929"/>
      <c r="H108" s="927" t="s">
        <v>77</v>
      </c>
      <c r="I108" s="928"/>
      <c r="J108" s="928"/>
      <c r="K108" s="929"/>
      <c r="L108" s="927" t="s">
        <v>81</v>
      </c>
      <c r="M108" s="928"/>
      <c r="N108" s="928"/>
      <c r="O108" s="929"/>
      <c r="P108" s="927" t="s">
        <v>254</v>
      </c>
      <c r="Q108" s="928"/>
      <c r="R108" s="928"/>
      <c r="S108" s="929"/>
      <c r="T108" s="927" t="s">
        <v>76</v>
      </c>
      <c r="U108" s="928"/>
      <c r="V108" s="928"/>
      <c r="W108" s="929"/>
      <c r="X108" s="16" t="s">
        <v>12</v>
      </c>
    </row>
    <row r="109" spans="1:24" ht="56.1" customHeight="1" thickBot="1">
      <c r="A109" s="868" t="s">
        <v>64</v>
      </c>
      <c r="B109" s="868" t="s">
        <v>156</v>
      </c>
      <c r="C109" s="9"/>
      <c r="D109" s="17" t="s">
        <v>101</v>
      </c>
      <c r="E109" s="17" t="s">
        <v>104</v>
      </c>
      <c r="F109" s="17" t="s">
        <v>102</v>
      </c>
      <c r="G109" s="17" t="s">
        <v>103</v>
      </c>
      <c r="H109" s="17" t="s">
        <v>101</v>
      </c>
      <c r="I109" s="17" t="s">
        <v>104</v>
      </c>
      <c r="J109" s="17" t="s">
        <v>102</v>
      </c>
      <c r="K109" s="17" t="s">
        <v>103</v>
      </c>
      <c r="L109" s="17" t="s">
        <v>101</v>
      </c>
      <c r="M109" s="17" t="s">
        <v>104</v>
      </c>
      <c r="N109" s="17" t="s">
        <v>102</v>
      </c>
      <c r="O109" s="17" t="s">
        <v>103</v>
      </c>
      <c r="P109" s="17" t="s">
        <v>101</v>
      </c>
      <c r="Q109" s="17" t="s">
        <v>104</v>
      </c>
      <c r="R109" s="17" t="s">
        <v>102</v>
      </c>
      <c r="S109" s="17" t="s">
        <v>103</v>
      </c>
      <c r="T109" s="17" t="s">
        <v>101</v>
      </c>
      <c r="U109" s="17" t="s">
        <v>104</v>
      </c>
      <c r="V109" s="17" t="s">
        <v>102</v>
      </c>
      <c r="W109" s="17" t="s">
        <v>103</v>
      </c>
      <c r="X109" s="879" t="s">
        <v>98</v>
      </c>
    </row>
    <row r="110" spans="1:24" ht="12.95" customHeight="1" thickBot="1">
      <c r="A110" s="885"/>
      <c r="B110" s="885"/>
      <c r="C110" s="9" t="s">
        <v>2</v>
      </c>
      <c r="D110" s="1338"/>
      <c r="E110" s="1339"/>
      <c r="F110" s="1339"/>
      <c r="G110" s="1340"/>
      <c r="H110" s="1341"/>
      <c r="I110" s="1339"/>
      <c r="J110" s="1339"/>
      <c r="K110" s="1340"/>
      <c r="L110" s="1345" t="s">
        <v>909</v>
      </c>
      <c r="M110" s="967"/>
      <c r="N110" s="967"/>
      <c r="O110" s="1350"/>
      <c r="P110" s="18">
        <v>4</v>
      </c>
      <c r="Q110" s="18">
        <v>0</v>
      </c>
      <c r="R110" s="18">
        <v>0</v>
      </c>
      <c r="S110" s="18">
        <v>0</v>
      </c>
      <c r="T110" s="790">
        <v>4</v>
      </c>
      <c r="U110" s="790">
        <v>1</v>
      </c>
      <c r="V110" s="790">
        <v>1</v>
      </c>
      <c r="W110" s="790">
        <v>0</v>
      </c>
      <c r="X110" s="880"/>
    </row>
    <row r="111" spans="1:24" ht="13.5" thickBot="1">
      <c r="A111" s="885"/>
      <c r="B111" s="93" t="s">
        <v>151</v>
      </c>
      <c r="C111" s="10" t="s">
        <v>3</v>
      </c>
      <c r="D111" s="1338"/>
      <c r="E111" s="1339"/>
      <c r="F111" s="1339"/>
      <c r="G111" s="1340"/>
      <c r="H111" s="1341"/>
      <c r="I111" s="1339"/>
      <c r="J111" s="1339"/>
      <c r="K111" s="1340"/>
      <c r="L111" s="1341"/>
      <c r="M111" s="1339"/>
      <c r="N111" s="1339"/>
      <c r="O111" s="1342"/>
      <c r="P111" s="1341"/>
      <c r="Q111" s="1339"/>
      <c r="R111" s="1339"/>
      <c r="S111" s="1342"/>
      <c r="T111" s="68">
        <v>0</v>
      </c>
      <c r="U111" s="68">
        <v>0</v>
      </c>
      <c r="V111" s="68">
        <v>0</v>
      </c>
      <c r="W111" s="68">
        <v>0</v>
      </c>
      <c r="X111" s="880"/>
    </row>
    <row r="112" spans="1:24" ht="12.95" customHeight="1" thickBot="1">
      <c r="A112" s="885"/>
      <c r="B112" s="93" t="s">
        <v>150</v>
      </c>
      <c r="C112" s="1258" t="s">
        <v>170</v>
      </c>
      <c r="D112" s="927" t="s">
        <v>4</v>
      </c>
      <c r="E112" s="928"/>
      <c r="F112" s="928"/>
      <c r="G112" s="928"/>
      <c r="H112" s="928"/>
      <c r="I112" s="928"/>
      <c r="J112" s="928"/>
      <c r="K112" s="928"/>
      <c r="L112" s="928"/>
      <c r="M112" s="928"/>
      <c r="N112" s="928"/>
      <c r="O112" s="928"/>
      <c r="P112" s="928"/>
      <c r="Q112" s="928"/>
      <c r="R112" s="928"/>
      <c r="S112" s="928"/>
      <c r="T112" s="928"/>
      <c r="U112" s="928"/>
      <c r="V112" s="928"/>
      <c r="W112" s="929"/>
      <c r="X112" s="880"/>
    </row>
    <row r="113" spans="1:24" ht="12.95" customHeight="1" thickBot="1">
      <c r="A113" s="885"/>
      <c r="B113" s="94" t="s">
        <v>149</v>
      </c>
      <c r="C113" s="1259"/>
      <c r="D113" s="930" t="s">
        <v>420</v>
      </c>
      <c r="E113" s="931"/>
      <c r="F113" s="931"/>
      <c r="G113" s="931"/>
      <c r="H113" s="931"/>
      <c r="I113" s="931"/>
      <c r="J113" s="931"/>
      <c r="K113" s="931"/>
      <c r="L113" s="931"/>
      <c r="M113" s="931"/>
      <c r="N113" s="931"/>
      <c r="O113" s="931"/>
      <c r="P113" s="931"/>
      <c r="Q113" s="931"/>
      <c r="R113" s="931"/>
      <c r="S113" s="931"/>
      <c r="T113" s="931"/>
      <c r="U113" s="931"/>
      <c r="V113" s="931"/>
      <c r="W113" s="932"/>
      <c r="X113" s="880"/>
    </row>
    <row r="114" spans="1:24" ht="12.95" customHeight="1" thickBot="1">
      <c r="A114" s="885"/>
      <c r="B114" s="11" t="s">
        <v>30</v>
      </c>
      <c r="C114" s="12"/>
      <c r="D114" s="927" t="s">
        <v>78</v>
      </c>
      <c r="E114" s="928"/>
      <c r="F114" s="928"/>
      <c r="G114" s="929"/>
      <c r="H114" s="927" t="s">
        <v>77</v>
      </c>
      <c r="I114" s="928"/>
      <c r="J114" s="928"/>
      <c r="K114" s="929"/>
      <c r="L114" s="927" t="s">
        <v>81</v>
      </c>
      <c r="M114" s="928"/>
      <c r="N114" s="928"/>
      <c r="O114" s="929"/>
      <c r="P114" s="927" t="s">
        <v>254</v>
      </c>
      <c r="Q114" s="928"/>
      <c r="R114" s="928"/>
      <c r="S114" s="929"/>
      <c r="T114" s="927" t="s">
        <v>76</v>
      </c>
      <c r="U114" s="928"/>
      <c r="V114" s="928"/>
      <c r="W114" s="929"/>
      <c r="X114" s="880"/>
    </row>
    <row r="115" spans="1:24" ht="44.1" customHeight="1" thickBot="1">
      <c r="A115" s="885"/>
      <c r="B115" s="868" t="s">
        <v>157</v>
      </c>
      <c r="C115" s="23"/>
      <c r="D115" s="17" t="s">
        <v>101</v>
      </c>
      <c r="E115" s="17" t="s">
        <v>104</v>
      </c>
      <c r="F115" s="17" t="s">
        <v>102</v>
      </c>
      <c r="G115" s="17" t="s">
        <v>103</v>
      </c>
      <c r="H115" s="17" t="s">
        <v>101</v>
      </c>
      <c r="I115" s="17" t="s">
        <v>104</v>
      </c>
      <c r="J115" s="17" t="s">
        <v>102</v>
      </c>
      <c r="K115" s="17" t="s">
        <v>103</v>
      </c>
      <c r="L115" s="17" t="s">
        <v>101</v>
      </c>
      <c r="M115" s="17" t="s">
        <v>104</v>
      </c>
      <c r="N115" s="17" t="s">
        <v>102</v>
      </c>
      <c r="O115" s="17" t="s">
        <v>103</v>
      </c>
      <c r="P115" s="17" t="s">
        <v>101</v>
      </c>
      <c r="Q115" s="17" t="s">
        <v>104</v>
      </c>
      <c r="R115" s="17" t="s">
        <v>102</v>
      </c>
      <c r="S115" s="17" t="s">
        <v>103</v>
      </c>
      <c r="T115" s="17" t="s">
        <v>101</v>
      </c>
      <c r="U115" s="17" t="s">
        <v>104</v>
      </c>
      <c r="V115" s="17" t="s">
        <v>102</v>
      </c>
      <c r="W115" s="17" t="s">
        <v>103</v>
      </c>
      <c r="X115" s="880"/>
    </row>
    <row r="116" spans="1:24" ht="12.95" customHeight="1" thickBot="1">
      <c r="A116" s="885"/>
      <c r="B116" s="885"/>
      <c r="C116" s="9" t="s">
        <v>2</v>
      </c>
      <c r="D116" s="1338"/>
      <c r="E116" s="1339"/>
      <c r="F116" s="1339"/>
      <c r="G116" s="1340"/>
      <c r="H116" s="1341"/>
      <c r="I116" s="1339"/>
      <c r="J116" s="1339"/>
      <c r="K116" s="1340"/>
      <c r="L116" s="1345" t="s">
        <v>909</v>
      </c>
      <c r="M116" s="967"/>
      <c r="N116" s="967"/>
      <c r="O116" s="1350"/>
      <c r="P116" s="18">
        <v>2</v>
      </c>
      <c r="Q116" s="18">
        <v>1</v>
      </c>
      <c r="R116" s="18">
        <v>0</v>
      </c>
      <c r="S116" s="18">
        <v>0</v>
      </c>
      <c r="T116" s="790">
        <v>4</v>
      </c>
      <c r="U116" s="821">
        <v>3</v>
      </c>
      <c r="V116" s="790">
        <v>1</v>
      </c>
      <c r="W116" s="790">
        <v>0</v>
      </c>
      <c r="X116" s="880"/>
    </row>
    <row r="117" spans="1:24" ht="13.5" thickBot="1">
      <c r="A117" s="885"/>
      <c r="B117" s="93" t="s">
        <v>151</v>
      </c>
      <c r="C117" s="9" t="s">
        <v>3</v>
      </c>
      <c r="D117" s="1338"/>
      <c r="E117" s="1339"/>
      <c r="F117" s="1339"/>
      <c r="G117" s="1340"/>
      <c r="H117" s="1341"/>
      <c r="I117" s="1339"/>
      <c r="J117" s="1339"/>
      <c r="K117" s="1340"/>
      <c r="L117" s="1341"/>
      <c r="M117" s="1339"/>
      <c r="N117" s="1339"/>
      <c r="O117" s="1342"/>
      <c r="P117" s="1341"/>
      <c r="Q117" s="1339"/>
      <c r="R117" s="1339"/>
      <c r="S117" s="1342"/>
      <c r="T117" s="68">
        <v>0</v>
      </c>
      <c r="U117" s="68">
        <v>0</v>
      </c>
      <c r="V117" s="68">
        <v>0</v>
      </c>
      <c r="W117" s="68">
        <v>0</v>
      </c>
      <c r="X117" s="880"/>
    </row>
    <row r="118" spans="1:24" ht="12.95" customHeight="1" thickBot="1">
      <c r="A118" s="885"/>
      <c r="B118" s="93" t="s">
        <v>150</v>
      </c>
      <c r="C118" s="1258" t="s">
        <v>170</v>
      </c>
      <c r="D118" s="927" t="s">
        <v>4</v>
      </c>
      <c r="E118" s="928"/>
      <c r="F118" s="928"/>
      <c r="G118" s="928"/>
      <c r="H118" s="928"/>
      <c r="I118" s="928"/>
      <c r="J118" s="928"/>
      <c r="K118" s="928"/>
      <c r="L118" s="928"/>
      <c r="M118" s="928"/>
      <c r="N118" s="928"/>
      <c r="O118" s="928"/>
      <c r="P118" s="928"/>
      <c r="Q118" s="928"/>
      <c r="R118" s="928"/>
      <c r="S118" s="928"/>
      <c r="T118" s="928"/>
      <c r="U118" s="928"/>
      <c r="V118" s="928"/>
      <c r="W118" s="929"/>
      <c r="X118" s="880"/>
    </row>
    <row r="119" spans="1:24" ht="12.95" customHeight="1" thickBot="1">
      <c r="A119" s="885"/>
      <c r="B119" s="94" t="s">
        <v>152</v>
      </c>
      <c r="C119" s="1259"/>
      <c r="D119" s="930" t="s">
        <v>420</v>
      </c>
      <c r="E119" s="931"/>
      <c r="F119" s="931"/>
      <c r="G119" s="931"/>
      <c r="H119" s="931"/>
      <c r="I119" s="931"/>
      <c r="J119" s="931"/>
      <c r="K119" s="931"/>
      <c r="L119" s="931"/>
      <c r="M119" s="931"/>
      <c r="N119" s="931"/>
      <c r="O119" s="931"/>
      <c r="P119" s="931"/>
      <c r="Q119" s="931"/>
      <c r="R119" s="931"/>
      <c r="S119" s="931"/>
      <c r="T119" s="931"/>
      <c r="U119" s="931"/>
      <c r="V119" s="931"/>
      <c r="W119" s="932"/>
      <c r="X119" s="880"/>
    </row>
    <row r="120" spans="1:24" ht="12.95" customHeight="1" thickBot="1">
      <c r="A120" s="885"/>
      <c r="B120" s="11" t="s">
        <v>31</v>
      </c>
      <c r="C120" s="12"/>
      <c r="D120" s="927" t="s">
        <v>78</v>
      </c>
      <c r="E120" s="928"/>
      <c r="F120" s="928"/>
      <c r="G120" s="929"/>
      <c r="H120" s="927" t="s">
        <v>77</v>
      </c>
      <c r="I120" s="928"/>
      <c r="J120" s="928"/>
      <c r="K120" s="929"/>
      <c r="L120" s="927" t="s">
        <v>81</v>
      </c>
      <c r="M120" s="928"/>
      <c r="N120" s="928"/>
      <c r="O120" s="929"/>
      <c r="P120" s="927" t="s">
        <v>254</v>
      </c>
      <c r="Q120" s="928"/>
      <c r="R120" s="928"/>
      <c r="S120" s="929"/>
      <c r="T120" s="927" t="s">
        <v>76</v>
      </c>
      <c r="U120" s="928"/>
      <c r="V120" s="928"/>
      <c r="W120" s="929"/>
      <c r="X120" s="880"/>
    </row>
    <row r="121" spans="1:24" ht="12.95" customHeight="1" thickBot="1">
      <c r="A121" s="885"/>
      <c r="B121" s="868" t="s">
        <v>421</v>
      </c>
      <c r="C121" s="23"/>
      <c r="D121" s="1230" t="s">
        <v>418</v>
      </c>
      <c r="E121" s="1232"/>
      <c r="F121" s="1240" t="s">
        <v>419</v>
      </c>
      <c r="G121" s="1232"/>
      <c r="H121" s="1240" t="s">
        <v>418</v>
      </c>
      <c r="I121" s="1232"/>
      <c r="J121" s="1240" t="s">
        <v>419</v>
      </c>
      <c r="K121" s="1232"/>
      <c r="L121" s="1240" t="s">
        <v>418</v>
      </c>
      <c r="M121" s="1232"/>
      <c r="N121" s="1240" t="s">
        <v>419</v>
      </c>
      <c r="O121" s="1232"/>
      <c r="P121" s="1240" t="s">
        <v>418</v>
      </c>
      <c r="Q121" s="1232"/>
      <c r="R121" s="1240" t="s">
        <v>419</v>
      </c>
      <c r="S121" s="1232"/>
      <c r="T121" s="1240" t="s">
        <v>418</v>
      </c>
      <c r="U121" s="1232"/>
      <c r="V121" s="1240" t="s">
        <v>419</v>
      </c>
      <c r="W121" s="1246"/>
      <c r="X121" s="880"/>
    </row>
    <row r="122" spans="1:24" ht="12.95" customHeight="1" thickBot="1">
      <c r="A122" s="885"/>
      <c r="B122" s="885"/>
      <c r="C122" s="26" t="s">
        <v>2</v>
      </c>
      <c r="D122" s="1338"/>
      <c r="E122" s="1339"/>
      <c r="F122" s="1339"/>
      <c r="G122" s="1340"/>
      <c r="H122" s="1341"/>
      <c r="I122" s="1339"/>
      <c r="J122" s="1339"/>
      <c r="K122" s="1340"/>
      <c r="L122" s="1345" t="s">
        <v>909</v>
      </c>
      <c r="M122" s="967"/>
      <c r="N122" s="967"/>
      <c r="O122" s="968"/>
      <c r="P122" s="951">
        <v>40</v>
      </c>
      <c r="Q122" s="952"/>
      <c r="R122" s="951">
        <v>73</v>
      </c>
      <c r="S122" s="952"/>
      <c r="T122" s="951">
        <v>60</v>
      </c>
      <c r="U122" s="952"/>
      <c r="V122" s="951">
        <v>82</v>
      </c>
      <c r="W122" s="952"/>
      <c r="X122" s="880"/>
    </row>
    <row r="123" spans="1:24" ht="18" customHeight="1" thickBot="1">
      <c r="A123" s="885"/>
      <c r="B123" s="885"/>
      <c r="C123" s="9" t="s">
        <v>3</v>
      </c>
      <c r="D123" s="1338"/>
      <c r="E123" s="1339"/>
      <c r="F123" s="1339"/>
      <c r="G123" s="1340"/>
      <c r="H123" s="1341"/>
      <c r="I123" s="1339"/>
      <c r="J123" s="1339"/>
      <c r="K123" s="1340"/>
      <c r="L123" s="1341"/>
      <c r="M123" s="1339"/>
      <c r="N123" s="1339"/>
      <c r="O123" s="1342"/>
      <c r="P123" s="1341"/>
      <c r="Q123" s="1339"/>
      <c r="R123" s="1339"/>
      <c r="S123" s="1342"/>
      <c r="T123" s="939">
        <v>0</v>
      </c>
      <c r="U123" s="953"/>
      <c r="V123" s="939">
        <v>0</v>
      </c>
      <c r="W123" s="953"/>
      <c r="X123" s="880"/>
    </row>
    <row r="124" spans="1:24" ht="12.95" customHeight="1" thickBot="1">
      <c r="A124" s="885"/>
      <c r="B124" s="885"/>
      <c r="C124" s="1258" t="s">
        <v>170</v>
      </c>
      <c r="D124" s="927" t="s">
        <v>4</v>
      </c>
      <c r="E124" s="928"/>
      <c r="F124" s="928"/>
      <c r="G124" s="928"/>
      <c r="H124" s="928"/>
      <c r="I124" s="928"/>
      <c r="J124" s="928"/>
      <c r="K124" s="928"/>
      <c r="L124" s="928"/>
      <c r="M124" s="928"/>
      <c r="N124" s="928"/>
      <c r="O124" s="928"/>
      <c r="P124" s="928"/>
      <c r="Q124" s="928"/>
      <c r="R124" s="928"/>
      <c r="S124" s="928"/>
      <c r="T124" s="928"/>
      <c r="U124" s="928"/>
      <c r="V124" s="928"/>
      <c r="W124" s="929"/>
      <c r="X124" s="880"/>
    </row>
    <row r="125" spans="1:24" ht="12.95" customHeight="1" thickBot="1">
      <c r="A125" s="885"/>
      <c r="B125" s="94" t="s">
        <v>179</v>
      </c>
      <c r="C125" s="1259"/>
      <c r="D125" s="930" t="s">
        <v>121</v>
      </c>
      <c r="E125" s="931"/>
      <c r="F125" s="931"/>
      <c r="G125" s="931"/>
      <c r="H125" s="931"/>
      <c r="I125" s="931"/>
      <c r="J125" s="931"/>
      <c r="K125" s="931"/>
      <c r="L125" s="931"/>
      <c r="M125" s="931"/>
      <c r="N125" s="931"/>
      <c r="O125" s="931"/>
      <c r="P125" s="931"/>
      <c r="Q125" s="931"/>
      <c r="R125" s="931"/>
      <c r="S125" s="931"/>
      <c r="T125" s="931"/>
      <c r="U125" s="931"/>
      <c r="V125" s="931"/>
      <c r="W125" s="932"/>
      <c r="X125" s="880"/>
    </row>
    <row r="126" spans="1:24" ht="12.95" customHeight="1" thickBot="1">
      <c r="A126" s="885"/>
      <c r="B126" s="11" t="s">
        <v>40</v>
      </c>
      <c r="C126" s="12"/>
      <c r="D126" s="927" t="s">
        <v>78</v>
      </c>
      <c r="E126" s="928"/>
      <c r="F126" s="928"/>
      <c r="G126" s="929"/>
      <c r="H126" s="927" t="s">
        <v>77</v>
      </c>
      <c r="I126" s="928"/>
      <c r="J126" s="928"/>
      <c r="K126" s="929"/>
      <c r="L126" s="927" t="s">
        <v>81</v>
      </c>
      <c r="M126" s="928"/>
      <c r="N126" s="928"/>
      <c r="O126" s="929"/>
      <c r="P126" s="927" t="s">
        <v>254</v>
      </c>
      <c r="Q126" s="928"/>
      <c r="R126" s="928"/>
      <c r="S126" s="929"/>
      <c r="T126" s="927" t="s">
        <v>76</v>
      </c>
      <c r="U126" s="928"/>
      <c r="V126" s="928"/>
      <c r="W126" s="929"/>
      <c r="X126" s="880"/>
    </row>
    <row r="127" spans="1:24" ht="12.95" customHeight="1" thickBot="1">
      <c r="A127" s="885"/>
      <c r="B127" s="873" t="s">
        <v>644</v>
      </c>
      <c r="C127" s="23" t="s">
        <v>2</v>
      </c>
      <c r="D127" s="1338"/>
      <c r="E127" s="1339"/>
      <c r="F127" s="1339"/>
      <c r="G127" s="1340"/>
      <c r="H127" s="1341"/>
      <c r="I127" s="1339"/>
      <c r="J127" s="1339"/>
      <c r="K127" s="1340"/>
      <c r="L127" s="1345" t="s">
        <v>909</v>
      </c>
      <c r="M127" s="967"/>
      <c r="N127" s="967"/>
      <c r="O127" s="968"/>
      <c r="P127" s="942">
        <v>2.7</v>
      </c>
      <c r="Q127" s="943"/>
      <c r="R127" s="943"/>
      <c r="S127" s="944"/>
      <c r="T127" s="942">
        <v>2.9</v>
      </c>
      <c r="U127" s="943"/>
      <c r="V127" s="943"/>
      <c r="W127" s="944"/>
      <c r="X127" s="880"/>
    </row>
    <row r="128" spans="1:24" ht="13.5" thickBot="1">
      <c r="A128" s="869"/>
      <c r="B128" s="874"/>
      <c r="C128" s="9" t="s">
        <v>3</v>
      </c>
      <c r="D128" s="1338"/>
      <c r="E128" s="1339"/>
      <c r="F128" s="1339"/>
      <c r="G128" s="1340"/>
      <c r="H128" s="1341"/>
      <c r="I128" s="1339"/>
      <c r="J128" s="1339"/>
      <c r="K128" s="1340"/>
      <c r="L128" s="1341"/>
      <c r="M128" s="1339"/>
      <c r="N128" s="1339"/>
      <c r="O128" s="1342"/>
      <c r="P128" s="1341"/>
      <c r="Q128" s="1339"/>
      <c r="R128" s="1339"/>
      <c r="S128" s="1342"/>
      <c r="T128" s="963">
        <v>0</v>
      </c>
      <c r="U128" s="964"/>
      <c r="V128" s="964"/>
      <c r="W128" s="965"/>
      <c r="X128" s="881"/>
    </row>
    <row r="129" spans="1:24" ht="12.95" customHeight="1" thickBot="1">
      <c r="A129" s="96" t="s">
        <v>13</v>
      </c>
      <c r="B129" s="874"/>
      <c r="C129" s="1258" t="s">
        <v>170</v>
      </c>
      <c r="D129" s="927" t="s">
        <v>4</v>
      </c>
      <c r="E129" s="928"/>
      <c r="F129" s="928"/>
      <c r="G129" s="928"/>
      <c r="H129" s="928"/>
      <c r="I129" s="928"/>
      <c r="J129" s="928"/>
      <c r="K129" s="928"/>
      <c r="L129" s="928"/>
      <c r="M129" s="928"/>
      <c r="N129" s="928"/>
      <c r="O129" s="928"/>
      <c r="P129" s="928"/>
      <c r="Q129" s="928"/>
      <c r="R129" s="928"/>
      <c r="S129" s="928"/>
      <c r="T129" s="928"/>
      <c r="U129" s="928"/>
      <c r="V129" s="928"/>
      <c r="W129" s="929"/>
      <c r="X129" s="24" t="s">
        <v>14</v>
      </c>
    </row>
    <row r="130" spans="1:24" ht="12.95" customHeight="1" thickBot="1">
      <c r="A130" s="25" t="s">
        <v>75</v>
      </c>
      <c r="B130" s="875"/>
      <c r="C130" s="1259"/>
      <c r="D130" s="930" t="s">
        <v>122</v>
      </c>
      <c r="E130" s="931"/>
      <c r="F130" s="931"/>
      <c r="G130" s="931"/>
      <c r="H130" s="931"/>
      <c r="I130" s="931"/>
      <c r="J130" s="931"/>
      <c r="K130" s="931"/>
      <c r="L130" s="931"/>
      <c r="M130" s="931"/>
      <c r="N130" s="931"/>
      <c r="O130" s="931"/>
      <c r="P130" s="931"/>
      <c r="Q130" s="931"/>
      <c r="R130" s="931"/>
      <c r="S130" s="931"/>
      <c r="T130" s="931"/>
      <c r="U130" s="931"/>
      <c r="V130" s="931"/>
      <c r="W130" s="932"/>
      <c r="X130" s="18" t="s">
        <v>92</v>
      </c>
    </row>
    <row r="131" spans="1:24" ht="12.95" customHeight="1" thickBot="1">
      <c r="A131" s="906" t="s">
        <v>7</v>
      </c>
      <c r="B131" s="908" t="s">
        <v>173</v>
      </c>
      <c r="C131" s="909"/>
      <c r="D131" s="908" t="s">
        <v>8</v>
      </c>
      <c r="E131" s="918"/>
      <c r="F131" s="918"/>
      <c r="G131" s="909"/>
      <c r="H131" s="908" t="s">
        <v>88</v>
      </c>
      <c r="I131" s="918"/>
      <c r="J131" s="918"/>
      <c r="K131" s="909"/>
      <c r="L131" s="908" t="s">
        <v>89</v>
      </c>
      <c r="M131" s="918"/>
      <c r="N131" s="918"/>
      <c r="O131" s="909"/>
      <c r="P131" s="908" t="s">
        <v>9</v>
      </c>
      <c r="Q131" s="918"/>
      <c r="R131" s="918"/>
      <c r="S131" s="909"/>
      <c r="T131" s="908" t="s">
        <v>174</v>
      </c>
      <c r="U131" s="918"/>
      <c r="V131" s="918"/>
      <c r="W131" s="918"/>
      <c r="X131" s="909"/>
    </row>
    <row r="132" spans="1:24" ht="13.5" thickBot="1">
      <c r="A132" s="907"/>
      <c r="B132" s="1256"/>
      <c r="C132" s="1257"/>
      <c r="D132" s="916"/>
      <c r="E132" s="994"/>
      <c r="F132" s="994"/>
      <c r="G132" s="917"/>
      <c r="H132" s="916"/>
      <c r="I132" s="994"/>
      <c r="J132" s="994"/>
      <c r="K132" s="917"/>
      <c r="L132" s="916"/>
      <c r="M132" s="994"/>
      <c r="N132" s="994"/>
      <c r="O132" s="917"/>
      <c r="P132" s="916">
        <f>SUM(B132:O132)</f>
        <v>0</v>
      </c>
      <c r="Q132" s="994"/>
      <c r="R132" s="994"/>
      <c r="S132" s="917"/>
      <c r="T132" s="916" t="e">
        <f>B132/P132%</f>
        <v>#DIV/0!</v>
      </c>
      <c r="U132" s="994"/>
      <c r="V132" s="994"/>
      <c r="W132" s="994"/>
      <c r="X132" s="917"/>
    </row>
    <row r="133" spans="1:24" ht="13.5" thickBot="1">
      <c r="A133" s="906" t="s">
        <v>10</v>
      </c>
      <c r="B133" s="908" t="s">
        <v>175</v>
      </c>
      <c r="C133" s="909"/>
      <c r="D133" s="910"/>
      <c r="E133" s="911"/>
      <c r="F133" s="911"/>
      <c r="G133" s="911"/>
      <c r="H133" s="911"/>
      <c r="I133" s="911"/>
      <c r="J133" s="911"/>
      <c r="K133" s="911"/>
      <c r="L133" s="911"/>
      <c r="M133" s="911"/>
      <c r="N133" s="911"/>
      <c r="O133" s="911"/>
      <c r="P133" s="911"/>
      <c r="Q133" s="911"/>
      <c r="R133" s="911"/>
      <c r="S133" s="911"/>
      <c r="T133" s="911"/>
      <c r="U133" s="911"/>
      <c r="V133" s="911"/>
      <c r="W133" s="911"/>
      <c r="X133" s="912"/>
    </row>
    <row r="134" spans="1:24" ht="13.5" thickBot="1">
      <c r="A134" s="907"/>
      <c r="B134" s="1256"/>
      <c r="C134" s="1257"/>
      <c r="D134" s="913"/>
      <c r="E134" s="914"/>
      <c r="F134" s="914"/>
      <c r="G134" s="914"/>
      <c r="H134" s="914"/>
      <c r="I134" s="914"/>
      <c r="J134" s="914"/>
      <c r="K134" s="914"/>
      <c r="L134" s="914"/>
      <c r="M134" s="914"/>
      <c r="N134" s="914"/>
      <c r="O134" s="914"/>
      <c r="P134" s="914"/>
      <c r="Q134" s="914"/>
      <c r="R134" s="914"/>
      <c r="S134" s="914"/>
      <c r="T134" s="914"/>
      <c r="U134" s="914"/>
      <c r="V134" s="914"/>
      <c r="W134" s="914"/>
      <c r="X134" s="915"/>
    </row>
    <row r="135" spans="1:24">
      <c r="A135" s="5"/>
      <c r="B135" s="5"/>
      <c r="C135" s="6"/>
      <c r="D135" s="5"/>
      <c r="E135" s="5"/>
      <c r="F135" s="5"/>
      <c r="G135" s="5"/>
      <c r="H135" s="5"/>
      <c r="I135" s="5"/>
      <c r="J135" s="5"/>
      <c r="K135" s="5"/>
      <c r="L135" s="5"/>
      <c r="M135" s="5"/>
      <c r="N135" s="5"/>
      <c r="O135" s="5"/>
      <c r="P135" s="5"/>
      <c r="Q135" s="5"/>
      <c r="R135" s="5"/>
      <c r="S135" s="5"/>
      <c r="T135" s="5"/>
      <c r="U135" s="5"/>
      <c r="V135" s="5"/>
      <c r="W135" s="5"/>
      <c r="X135" s="5"/>
    </row>
    <row r="136" spans="1:24" ht="13.5" thickBot="1">
      <c r="A136" s="5"/>
      <c r="B136" s="5"/>
      <c r="C136" s="6"/>
      <c r="D136" s="5"/>
      <c r="E136" s="5"/>
      <c r="F136" s="5"/>
      <c r="G136" s="5"/>
      <c r="H136" s="5"/>
      <c r="I136" s="5"/>
      <c r="J136" s="5"/>
      <c r="K136" s="5"/>
      <c r="L136" s="5"/>
      <c r="M136" s="5"/>
      <c r="N136" s="5"/>
      <c r="O136" s="5"/>
      <c r="P136" s="5"/>
      <c r="Q136" s="5"/>
      <c r="R136" s="5"/>
      <c r="S136" s="5"/>
      <c r="T136" s="5"/>
      <c r="U136" s="5"/>
      <c r="V136" s="5"/>
      <c r="W136" s="5"/>
      <c r="X136" s="5"/>
    </row>
    <row r="137" spans="1:24" ht="12.95" customHeight="1" thickBot="1">
      <c r="A137" s="95" t="s">
        <v>28</v>
      </c>
      <c r="B137" s="97" t="s">
        <v>32</v>
      </c>
      <c r="C137" s="8"/>
      <c r="D137" s="927" t="s">
        <v>78</v>
      </c>
      <c r="E137" s="928"/>
      <c r="F137" s="928"/>
      <c r="G137" s="929"/>
      <c r="H137" s="927" t="s">
        <v>77</v>
      </c>
      <c r="I137" s="928"/>
      <c r="J137" s="928"/>
      <c r="K137" s="929"/>
      <c r="L137" s="927" t="s">
        <v>81</v>
      </c>
      <c r="M137" s="928"/>
      <c r="N137" s="928"/>
      <c r="O137" s="929"/>
      <c r="P137" s="927" t="s">
        <v>254</v>
      </c>
      <c r="Q137" s="928"/>
      <c r="R137" s="928"/>
      <c r="S137" s="929"/>
      <c r="T137" s="927" t="s">
        <v>76</v>
      </c>
      <c r="U137" s="928"/>
      <c r="V137" s="928"/>
      <c r="W137" s="929"/>
      <c r="X137" s="16" t="s">
        <v>6</v>
      </c>
    </row>
    <row r="138" spans="1:24" ht="12.95" customHeight="1" thickBot="1">
      <c r="A138" s="868" t="s">
        <v>65</v>
      </c>
      <c r="B138" s="868" t="s">
        <v>66</v>
      </c>
      <c r="C138" s="9" t="s">
        <v>2</v>
      </c>
      <c r="D138" s="1338"/>
      <c r="E138" s="1339"/>
      <c r="F138" s="1339"/>
      <c r="G138" s="1340"/>
      <c r="H138" s="1341"/>
      <c r="I138" s="1339"/>
      <c r="J138" s="1339"/>
      <c r="K138" s="1340"/>
      <c r="L138" s="1345" t="s">
        <v>910</v>
      </c>
      <c r="M138" s="967"/>
      <c r="N138" s="967"/>
      <c r="O138" s="968"/>
      <c r="P138" s="942">
        <v>1.5</v>
      </c>
      <c r="Q138" s="943"/>
      <c r="R138" s="943"/>
      <c r="S138" s="944"/>
      <c r="T138" s="1346">
        <v>2.5</v>
      </c>
      <c r="U138" s="1347"/>
      <c r="V138" s="1347"/>
      <c r="W138" s="1348"/>
      <c r="X138" s="879" t="s">
        <v>91</v>
      </c>
    </row>
    <row r="139" spans="1:24" ht="13.5" thickBot="1">
      <c r="A139" s="885"/>
      <c r="B139" s="885"/>
      <c r="C139" s="99" t="s">
        <v>3</v>
      </c>
      <c r="D139" s="1338"/>
      <c r="E139" s="1339"/>
      <c r="F139" s="1339"/>
      <c r="G139" s="1340"/>
      <c r="H139" s="1341"/>
      <c r="I139" s="1339"/>
      <c r="J139" s="1339"/>
      <c r="K139" s="1340"/>
      <c r="L139" s="1341"/>
      <c r="M139" s="1339"/>
      <c r="N139" s="1339"/>
      <c r="O139" s="1342"/>
      <c r="P139" s="1341"/>
      <c r="Q139" s="1339"/>
      <c r="R139" s="1339"/>
      <c r="S139" s="1342"/>
      <c r="T139" s="963">
        <v>0</v>
      </c>
      <c r="U139" s="964"/>
      <c r="V139" s="964"/>
      <c r="W139" s="965"/>
      <c r="X139" s="880"/>
    </row>
    <row r="140" spans="1:24" ht="12.95" customHeight="1" thickBot="1">
      <c r="A140" s="885"/>
      <c r="B140" s="885"/>
      <c r="C140" s="1258" t="s">
        <v>170</v>
      </c>
      <c r="D140" s="927" t="s">
        <v>4</v>
      </c>
      <c r="E140" s="928"/>
      <c r="F140" s="928"/>
      <c r="G140" s="928"/>
      <c r="H140" s="928"/>
      <c r="I140" s="928"/>
      <c r="J140" s="928"/>
      <c r="K140" s="928"/>
      <c r="L140" s="928"/>
      <c r="M140" s="928"/>
      <c r="N140" s="928"/>
      <c r="O140" s="928"/>
      <c r="P140" s="928"/>
      <c r="Q140" s="928"/>
      <c r="R140" s="928"/>
      <c r="S140" s="928"/>
      <c r="T140" s="928"/>
      <c r="U140" s="928"/>
      <c r="V140" s="928"/>
      <c r="W140" s="929"/>
      <c r="X140" s="880"/>
    </row>
    <row r="141" spans="1:24" ht="12.95" customHeight="1" thickBot="1">
      <c r="A141" s="885"/>
      <c r="B141" s="869"/>
      <c r="C141" s="1259"/>
      <c r="D141" s="930" t="s">
        <v>123</v>
      </c>
      <c r="E141" s="931"/>
      <c r="F141" s="931"/>
      <c r="G141" s="931"/>
      <c r="H141" s="931"/>
      <c r="I141" s="931"/>
      <c r="J141" s="931"/>
      <c r="K141" s="931"/>
      <c r="L141" s="931"/>
      <c r="M141" s="931"/>
      <c r="N141" s="931"/>
      <c r="O141" s="931"/>
      <c r="P141" s="931"/>
      <c r="Q141" s="931"/>
      <c r="R141" s="931"/>
      <c r="S141" s="931"/>
      <c r="T141" s="931"/>
      <c r="U141" s="931"/>
      <c r="V141" s="931"/>
      <c r="W141" s="932"/>
      <c r="X141" s="880"/>
    </row>
    <row r="142" spans="1:24" ht="12.95" customHeight="1" thickBot="1">
      <c r="A142" s="885"/>
      <c r="B142" s="11" t="s">
        <v>33</v>
      </c>
      <c r="C142" s="12"/>
      <c r="D142" s="927" t="s">
        <v>78</v>
      </c>
      <c r="E142" s="928"/>
      <c r="F142" s="928"/>
      <c r="G142" s="929"/>
      <c r="H142" s="927" t="s">
        <v>77</v>
      </c>
      <c r="I142" s="928"/>
      <c r="J142" s="928"/>
      <c r="K142" s="929"/>
      <c r="L142" s="927" t="s">
        <v>81</v>
      </c>
      <c r="M142" s="928"/>
      <c r="N142" s="928"/>
      <c r="O142" s="929"/>
      <c r="P142" s="927" t="s">
        <v>254</v>
      </c>
      <c r="Q142" s="928"/>
      <c r="R142" s="928"/>
      <c r="S142" s="929"/>
      <c r="T142" s="927" t="s">
        <v>76</v>
      </c>
      <c r="U142" s="928"/>
      <c r="V142" s="928"/>
      <c r="W142" s="929"/>
      <c r="X142" s="880"/>
    </row>
    <row r="143" spans="1:24" ht="12.95" customHeight="1" thickBot="1">
      <c r="A143" s="885"/>
      <c r="B143" s="868" t="s">
        <v>67</v>
      </c>
      <c r="C143" s="23" t="s">
        <v>2</v>
      </c>
      <c r="D143" s="1338"/>
      <c r="E143" s="1339"/>
      <c r="F143" s="1339"/>
      <c r="G143" s="1340"/>
      <c r="H143" s="1341"/>
      <c r="I143" s="1339"/>
      <c r="J143" s="1339"/>
      <c r="K143" s="1340"/>
      <c r="L143" s="1345" t="s">
        <v>910</v>
      </c>
      <c r="M143" s="967"/>
      <c r="N143" s="967"/>
      <c r="O143" s="968"/>
      <c r="P143" s="942">
        <v>1.8</v>
      </c>
      <c r="Q143" s="943"/>
      <c r="R143" s="943"/>
      <c r="S143" s="944"/>
      <c r="T143" s="1346">
        <v>3.5</v>
      </c>
      <c r="U143" s="1347"/>
      <c r="V143" s="1347"/>
      <c r="W143" s="1348"/>
      <c r="X143" s="880"/>
    </row>
    <row r="144" spans="1:24" ht="13.5" thickBot="1">
      <c r="A144" s="885"/>
      <c r="B144" s="885"/>
      <c r="C144" s="9" t="s">
        <v>3</v>
      </c>
      <c r="D144" s="1338"/>
      <c r="E144" s="1339"/>
      <c r="F144" s="1339"/>
      <c r="G144" s="1340"/>
      <c r="H144" s="1341"/>
      <c r="I144" s="1339"/>
      <c r="J144" s="1339"/>
      <c r="K144" s="1340"/>
      <c r="L144" s="1341"/>
      <c r="M144" s="1339"/>
      <c r="N144" s="1339"/>
      <c r="O144" s="1342"/>
      <c r="P144" s="1341"/>
      <c r="Q144" s="1339"/>
      <c r="R144" s="1339"/>
      <c r="S144" s="1342"/>
      <c r="T144" s="963">
        <v>0</v>
      </c>
      <c r="U144" s="964"/>
      <c r="V144" s="964"/>
      <c r="W144" s="965"/>
      <c r="X144" s="880"/>
    </row>
    <row r="145" spans="1:24" ht="12.95" customHeight="1" thickBot="1">
      <c r="A145" s="885"/>
      <c r="B145" s="885"/>
      <c r="C145" s="1258" t="s">
        <v>170</v>
      </c>
      <c r="D145" s="927" t="s">
        <v>4</v>
      </c>
      <c r="E145" s="928"/>
      <c r="F145" s="928"/>
      <c r="G145" s="928"/>
      <c r="H145" s="928"/>
      <c r="I145" s="928"/>
      <c r="J145" s="928"/>
      <c r="K145" s="928"/>
      <c r="L145" s="928"/>
      <c r="M145" s="928"/>
      <c r="N145" s="928"/>
      <c r="O145" s="928"/>
      <c r="P145" s="928"/>
      <c r="Q145" s="928"/>
      <c r="R145" s="928"/>
      <c r="S145" s="928"/>
      <c r="T145" s="928"/>
      <c r="U145" s="928"/>
      <c r="V145" s="928"/>
      <c r="W145" s="929"/>
      <c r="X145" s="880"/>
    </row>
    <row r="146" spans="1:24" ht="12.95" customHeight="1" thickBot="1">
      <c r="A146" s="885"/>
      <c r="B146" s="869"/>
      <c r="C146" s="1259"/>
      <c r="D146" s="930" t="s">
        <v>123</v>
      </c>
      <c r="E146" s="931"/>
      <c r="F146" s="931"/>
      <c r="G146" s="931"/>
      <c r="H146" s="931"/>
      <c r="I146" s="931"/>
      <c r="J146" s="931"/>
      <c r="K146" s="931"/>
      <c r="L146" s="931"/>
      <c r="M146" s="931"/>
      <c r="N146" s="931"/>
      <c r="O146" s="931"/>
      <c r="P146" s="931"/>
      <c r="Q146" s="931"/>
      <c r="R146" s="931"/>
      <c r="S146" s="931"/>
      <c r="T146" s="931"/>
      <c r="U146" s="931"/>
      <c r="V146" s="931"/>
      <c r="W146" s="932"/>
      <c r="X146" s="880"/>
    </row>
    <row r="147" spans="1:24" ht="12.95" customHeight="1" thickBot="1">
      <c r="A147" s="885"/>
      <c r="B147" s="11" t="s">
        <v>34</v>
      </c>
      <c r="C147" s="12"/>
      <c r="D147" s="927" t="s">
        <v>78</v>
      </c>
      <c r="E147" s="928"/>
      <c r="F147" s="928"/>
      <c r="G147" s="929"/>
      <c r="H147" s="927" t="s">
        <v>77</v>
      </c>
      <c r="I147" s="928"/>
      <c r="J147" s="928"/>
      <c r="K147" s="929"/>
      <c r="L147" s="927" t="s">
        <v>81</v>
      </c>
      <c r="M147" s="928"/>
      <c r="N147" s="928"/>
      <c r="O147" s="929"/>
      <c r="P147" s="927" t="s">
        <v>254</v>
      </c>
      <c r="Q147" s="928"/>
      <c r="R147" s="928"/>
      <c r="S147" s="929"/>
      <c r="T147" s="927" t="s">
        <v>76</v>
      </c>
      <c r="U147" s="928"/>
      <c r="V147" s="928"/>
      <c r="W147" s="929"/>
      <c r="X147" s="880"/>
    </row>
    <row r="148" spans="1:24" ht="12.95" customHeight="1" thickBot="1">
      <c r="A148" s="885"/>
      <c r="B148" s="868" t="s">
        <v>68</v>
      </c>
      <c r="C148" s="23" t="s">
        <v>2</v>
      </c>
      <c r="D148" s="1338"/>
      <c r="E148" s="1339"/>
      <c r="F148" s="1339"/>
      <c r="G148" s="1340"/>
      <c r="H148" s="1341"/>
      <c r="I148" s="1339"/>
      <c r="J148" s="1339"/>
      <c r="K148" s="1340"/>
      <c r="L148" s="1345" t="s">
        <v>910</v>
      </c>
      <c r="M148" s="967"/>
      <c r="N148" s="967"/>
      <c r="O148" s="968"/>
      <c r="P148" s="942">
        <v>1.1000000000000001</v>
      </c>
      <c r="Q148" s="943"/>
      <c r="R148" s="943"/>
      <c r="S148" s="944"/>
      <c r="T148" s="942">
        <v>2</v>
      </c>
      <c r="U148" s="943"/>
      <c r="V148" s="943"/>
      <c r="W148" s="944"/>
      <c r="X148" s="880"/>
    </row>
    <row r="149" spans="1:24" ht="13.5" thickBot="1">
      <c r="A149" s="885"/>
      <c r="B149" s="885"/>
      <c r="C149" s="9" t="s">
        <v>3</v>
      </c>
      <c r="D149" s="1338"/>
      <c r="E149" s="1339"/>
      <c r="F149" s="1339"/>
      <c r="G149" s="1340"/>
      <c r="H149" s="1341"/>
      <c r="I149" s="1339"/>
      <c r="J149" s="1339"/>
      <c r="K149" s="1340"/>
      <c r="L149" s="1341"/>
      <c r="M149" s="1339"/>
      <c r="N149" s="1339"/>
      <c r="O149" s="1342"/>
      <c r="P149" s="1341"/>
      <c r="Q149" s="1339"/>
      <c r="R149" s="1339"/>
      <c r="S149" s="1342"/>
      <c r="T149" s="963">
        <v>0</v>
      </c>
      <c r="U149" s="964"/>
      <c r="V149" s="964"/>
      <c r="W149" s="965"/>
      <c r="X149" s="880"/>
    </row>
    <row r="150" spans="1:24" ht="12.95" customHeight="1" thickBot="1">
      <c r="A150" s="885"/>
      <c r="B150" s="885"/>
      <c r="C150" s="1258" t="s">
        <v>170</v>
      </c>
      <c r="D150" s="927" t="s">
        <v>4</v>
      </c>
      <c r="E150" s="928"/>
      <c r="F150" s="928"/>
      <c r="G150" s="928"/>
      <c r="H150" s="928"/>
      <c r="I150" s="928"/>
      <c r="J150" s="928"/>
      <c r="K150" s="928"/>
      <c r="L150" s="928"/>
      <c r="M150" s="928"/>
      <c r="N150" s="928"/>
      <c r="O150" s="928"/>
      <c r="P150" s="928"/>
      <c r="Q150" s="928"/>
      <c r="R150" s="928"/>
      <c r="S150" s="928"/>
      <c r="T150" s="928"/>
      <c r="U150" s="928"/>
      <c r="V150" s="928"/>
      <c r="W150" s="929"/>
      <c r="X150" s="880"/>
    </row>
    <row r="151" spans="1:24" ht="12.95" customHeight="1" thickBot="1">
      <c r="A151" s="885"/>
      <c r="B151" s="869"/>
      <c r="C151" s="1259"/>
      <c r="D151" s="930" t="s">
        <v>123</v>
      </c>
      <c r="E151" s="931"/>
      <c r="F151" s="931"/>
      <c r="G151" s="931"/>
      <c r="H151" s="931"/>
      <c r="I151" s="931"/>
      <c r="J151" s="931"/>
      <c r="K151" s="931"/>
      <c r="L151" s="931"/>
      <c r="M151" s="931"/>
      <c r="N151" s="931"/>
      <c r="O151" s="931"/>
      <c r="P151" s="931"/>
      <c r="Q151" s="931"/>
      <c r="R151" s="931"/>
      <c r="S151" s="931"/>
      <c r="T151" s="931"/>
      <c r="U151" s="931"/>
      <c r="V151" s="931"/>
      <c r="W151" s="932"/>
      <c r="X151" s="880"/>
    </row>
    <row r="152" spans="1:24" ht="12.95" customHeight="1" thickBot="1">
      <c r="A152" s="885"/>
      <c r="B152" s="11" t="s">
        <v>41</v>
      </c>
      <c r="C152" s="12"/>
      <c r="D152" s="927" t="s">
        <v>78</v>
      </c>
      <c r="E152" s="928"/>
      <c r="F152" s="928"/>
      <c r="G152" s="929"/>
      <c r="H152" s="927" t="s">
        <v>77</v>
      </c>
      <c r="I152" s="928"/>
      <c r="J152" s="928"/>
      <c r="K152" s="929"/>
      <c r="L152" s="927" t="s">
        <v>81</v>
      </c>
      <c r="M152" s="928"/>
      <c r="N152" s="928"/>
      <c r="O152" s="929"/>
      <c r="P152" s="927" t="s">
        <v>254</v>
      </c>
      <c r="Q152" s="928"/>
      <c r="R152" s="928"/>
      <c r="S152" s="929"/>
      <c r="T152" s="927" t="s">
        <v>76</v>
      </c>
      <c r="U152" s="928"/>
      <c r="V152" s="928"/>
      <c r="W152" s="929"/>
      <c r="X152" s="880"/>
    </row>
    <row r="153" spans="1:24" ht="12.95" customHeight="1" thickBot="1">
      <c r="A153" s="885"/>
      <c r="B153" s="868" t="s">
        <v>69</v>
      </c>
      <c r="C153" s="23" t="s">
        <v>2</v>
      </c>
      <c r="D153" s="1338"/>
      <c r="E153" s="1339"/>
      <c r="F153" s="1339"/>
      <c r="G153" s="1340"/>
      <c r="H153" s="1341"/>
      <c r="I153" s="1339"/>
      <c r="J153" s="1339"/>
      <c r="K153" s="1340"/>
      <c r="L153" s="1345" t="s">
        <v>910</v>
      </c>
      <c r="M153" s="967"/>
      <c r="N153" s="967"/>
      <c r="O153" s="968"/>
      <c r="P153" s="942">
        <v>1.3</v>
      </c>
      <c r="Q153" s="943"/>
      <c r="R153" s="943"/>
      <c r="S153" s="944"/>
      <c r="T153" s="942">
        <v>2</v>
      </c>
      <c r="U153" s="943"/>
      <c r="V153" s="943"/>
      <c r="W153" s="944"/>
      <c r="X153" s="880"/>
    </row>
    <row r="154" spans="1:24" ht="13.5" thickBot="1">
      <c r="A154" s="885"/>
      <c r="B154" s="885"/>
      <c r="C154" s="9" t="s">
        <v>3</v>
      </c>
      <c r="D154" s="1338"/>
      <c r="E154" s="1339"/>
      <c r="F154" s="1339"/>
      <c r="G154" s="1340"/>
      <c r="H154" s="1341"/>
      <c r="I154" s="1339"/>
      <c r="J154" s="1339"/>
      <c r="K154" s="1340"/>
      <c r="L154" s="1341"/>
      <c r="M154" s="1339"/>
      <c r="N154" s="1339"/>
      <c r="O154" s="1342"/>
      <c r="P154" s="1341"/>
      <c r="Q154" s="1339"/>
      <c r="R154" s="1339"/>
      <c r="S154" s="1342"/>
      <c r="T154" s="963">
        <v>0</v>
      </c>
      <c r="U154" s="964"/>
      <c r="V154" s="964"/>
      <c r="W154" s="965"/>
      <c r="X154" s="880"/>
    </row>
    <row r="155" spans="1:24" ht="12.95" customHeight="1" thickBot="1">
      <c r="A155" s="885"/>
      <c r="B155" s="885"/>
      <c r="C155" s="1258" t="s">
        <v>170</v>
      </c>
      <c r="D155" s="927" t="s">
        <v>4</v>
      </c>
      <c r="E155" s="928"/>
      <c r="F155" s="928"/>
      <c r="G155" s="928"/>
      <c r="H155" s="928"/>
      <c r="I155" s="928"/>
      <c r="J155" s="928"/>
      <c r="K155" s="928"/>
      <c r="L155" s="928"/>
      <c r="M155" s="928"/>
      <c r="N155" s="928"/>
      <c r="O155" s="928"/>
      <c r="P155" s="928"/>
      <c r="Q155" s="928"/>
      <c r="R155" s="928"/>
      <c r="S155" s="928"/>
      <c r="T155" s="928"/>
      <c r="U155" s="928"/>
      <c r="V155" s="928"/>
      <c r="W155" s="929"/>
      <c r="X155" s="880"/>
    </row>
    <row r="156" spans="1:24" ht="12.95" customHeight="1" thickBot="1">
      <c r="A156" s="885"/>
      <c r="B156" s="869"/>
      <c r="C156" s="1259"/>
      <c r="D156" s="930" t="s">
        <v>123</v>
      </c>
      <c r="E156" s="931"/>
      <c r="F156" s="931"/>
      <c r="G156" s="931"/>
      <c r="H156" s="931"/>
      <c r="I156" s="931"/>
      <c r="J156" s="931"/>
      <c r="K156" s="931"/>
      <c r="L156" s="931"/>
      <c r="M156" s="931"/>
      <c r="N156" s="931"/>
      <c r="O156" s="931"/>
      <c r="P156" s="931"/>
      <c r="Q156" s="931"/>
      <c r="R156" s="931"/>
      <c r="S156" s="931"/>
      <c r="T156" s="931"/>
      <c r="U156" s="931"/>
      <c r="V156" s="931"/>
      <c r="W156" s="932"/>
      <c r="X156" s="880"/>
    </row>
    <row r="157" spans="1:24" ht="12.95" customHeight="1" thickBot="1">
      <c r="A157" s="885"/>
      <c r="B157" s="11" t="s">
        <v>42</v>
      </c>
      <c r="C157" s="28"/>
      <c r="D157" s="927" t="s">
        <v>78</v>
      </c>
      <c r="E157" s="928"/>
      <c r="F157" s="928"/>
      <c r="G157" s="929"/>
      <c r="H157" s="927" t="s">
        <v>77</v>
      </c>
      <c r="I157" s="928"/>
      <c r="J157" s="928"/>
      <c r="K157" s="929"/>
      <c r="L157" s="927" t="s">
        <v>81</v>
      </c>
      <c r="M157" s="928"/>
      <c r="N157" s="928"/>
      <c r="O157" s="929"/>
      <c r="P157" s="927" t="s">
        <v>254</v>
      </c>
      <c r="Q157" s="928"/>
      <c r="R157" s="928"/>
      <c r="S157" s="929"/>
      <c r="T157" s="927" t="s">
        <v>76</v>
      </c>
      <c r="U157" s="928"/>
      <c r="V157" s="928"/>
      <c r="W157" s="929"/>
      <c r="X157" s="880"/>
    </row>
    <row r="158" spans="1:24" ht="18.95" customHeight="1" thickBot="1">
      <c r="A158" s="885"/>
      <c r="B158" s="868" t="s">
        <v>180</v>
      </c>
      <c r="C158" s="26"/>
      <c r="D158" s="955" t="s">
        <v>99</v>
      </c>
      <c r="E158" s="956"/>
      <c r="F158" s="955" t="s">
        <v>100</v>
      </c>
      <c r="G158" s="956"/>
      <c r="H158" s="955" t="s">
        <v>99</v>
      </c>
      <c r="I158" s="956"/>
      <c r="J158" s="955" t="s">
        <v>100</v>
      </c>
      <c r="K158" s="956"/>
      <c r="L158" s="955" t="s">
        <v>99</v>
      </c>
      <c r="M158" s="956"/>
      <c r="N158" s="955" t="s">
        <v>100</v>
      </c>
      <c r="O158" s="956"/>
      <c r="P158" s="955" t="s">
        <v>99</v>
      </c>
      <c r="Q158" s="956"/>
      <c r="R158" s="955" t="s">
        <v>100</v>
      </c>
      <c r="S158" s="956"/>
      <c r="T158" s="955" t="s">
        <v>99</v>
      </c>
      <c r="U158" s="956"/>
      <c r="V158" s="955" t="s">
        <v>100</v>
      </c>
      <c r="W158" s="956"/>
      <c r="X158" s="880"/>
    </row>
    <row r="159" spans="1:24" ht="12.95" customHeight="1" thickBot="1">
      <c r="A159" s="885"/>
      <c r="B159" s="885"/>
      <c r="C159" s="26" t="s">
        <v>2</v>
      </c>
      <c r="D159" s="1338"/>
      <c r="E159" s="1339"/>
      <c r="F159" s="1339"/>
      <c r="G159" s="1340"/>
      <c r="H159" s="1341"/>
      <c r="I159" s="1339"/>
      <c r="J159" s="1339"/>
      <c r="K159" s="1340"/>
      <c r="L159" s="1345" t="s">
        <v>910</v>
      </c>
      <c r="M159" s="967"/>
      <c r="N159" s="967"/>
      <c r="O159" s="968"/>
      <c r="P159" s="951">
        <v>2</v>
      </c>
      <c r="Q159" s="952"/>
      <c r="R159" s="951">
        <v>0</v>
      </c>
      <c r="S159" s="952"/>
      <c r="T159" s="951">
        <v>5</v>
      </c>
      <c r="U159" s="952"/>
      <c r="V159" s="1343">
        <v>0</v>
      </c>
      <c r="W159" s="1344"/>
      <c r="X159" s="880"/>
    </row>
    <row r="160" spans="1:24" ht="13.5" thickBot="1">
      <c r="A160" s="869"/>
      <c r="B160" s="885"/>
      <c r="C160" s="9" t="s">
        <v>3</v>
      </c>
      <c r="D160" s="1338"/>
      <c r="E160" s="1339"/>
      <c r="F160" s="1339"/>
      <c r="G160" s="1340"/>
      <c r="H160" s="1341"/>
      <c r="I160" s="1339"/>
      <c r="J160" s="1339"/>
      <c r="K160" s="1340"/>
      <c r="L160" s="1341"/>
      <c r="M160" s="1339"/>
      <c r="N160" s="1339"/>
      <c r="O160" s="1342"/>
      <c r="P160" s="1341"/>
      <c r="Q160" s="1339"/>
      <c r="R160" s="1339"/>
      <c r="S160" s="1342"/>
      <c r="T160" s="939">
        <v>0</v>
      </c>
      <c r="U160" s="953"/>
      <c r="V160" s="939">
        <v>0</v>
      </c>
      <c r="W160" s="953"/>
      <c r="X160" s="881"/>
    </row>
    <row r="161" spans="1:24" ht="12.95" customHeight="1" thickBot="1">
      <c r="A161" s="96" t="s">
        <v>13</v>
      </c>
      <c r="B161" s="885" t="s">
        <v>178</v>
      </c>
      <c r="C161" s="1258" t="s">
        <v>170</v>
      </c>
      <c r="D161" s="927" t="s">
        <v>4</v>
      </c>
      <c r="E161" s="928"/>
      <c r="F161" s="928"/>
      <c r="G161" s="928"/>
      <c r="H161" s="928"/>
      <c r="I161" s="928"/>
      <c r="J161" s="928"/>
      <c r="K161" s="928"/>
      <c r="L161" s="928"/>
      <c r="M161" s="928"/>
      <c r="N161" s="928"/>
      <c r="O161" s="928"/>
      <c r="P161" s="928"/>
      <c r="Q161" s="928"/>
      <c r="R161" s="928"/>
      <c r="S161" s="928"/>
      <c r="T161" s="928"/>
      <c r="U161" s="928"/>
      <c r="V161" s="928"/>
      <c r="W161" s="929"/>
      <c r="X161" s="24" t="s">
        <v>14</v>
      </c>
    </row>
    <row r="162" spans="1:24" ht="12.95" customHeight="1" thickBot="1">
      <c r="A162" s="25" t="s">
        <v>74</v>
      </c>
      <c r="B162" s="869"/>
      <c r="C162" s="1259"/>
      <c r="D162" s="930" t="s">
        <v>124</v>
      </c>
      <c r="E162" s="931"/>
      <c r="F162" s="931"/>
      <c r="G162" s="931"/>
      <c r="H162" s="931"/>
      <c r="I162" s="931"/>
      <c r="J162" s="931"/>
      <c r="K162" s="931"/>
      <c r="L162" s="931"/>
      <c r="M162" s="931"/>
      <c r="N162" s="931"/>
      <c r="O162" s="931"/>
      <c r="P162" s="931"/>
      <c r="Q162" s="931"/>
      <c r="R162" s="931"/>
      <c r="S162" s="931"/>
      <c r="T162" s="931"/>
      <c r="U162" s="931"/>
      <c r="V162" s="931"/>
      <c r="W162" s="932"/>
      <c r="X162" s="18" t="s">
        <v>93</v>
      </c>
    </row>
    <row r="163" spans="1:24" ht="12.95" customHeight="1" thickBot="1">
      <c r="A163" s="906" t="s">
        <v>7</v>
      </c>
      <c r="B163" s="908" t="s">
        <v>173</v>
      </c>
      <c r="C163" s="909"/>
      <c r="D163" s="908" t="s">
        <v>8</v>
      </c>
      <c r="E163" s="918"/>
      <c r="F163" s="918"/>
      <c r="G163" s="909"/>
      <c r="H163" s="908" t="s">
        <v>88</v>
      </c>
      <c r="I163" s="918"/>
      <c r="J163" s="918"/>
      <c r="K163" s="909"/>
      <c r="L163" s="908" t="s">
        <v>89</v>
      </c>
      <c r="M163" s="918"/>
      <c r="N163" s="918"/>
      <c r="O163" s="909"/>
      <c r="P163" s="908" t="s">
        <v>9</v>
      </c>
      <c r="Q163" s="918"/>
      <c r="R163" s="918"/>
      <c r="S163" s="909"/>
      <c r="T163" s="908" t="s">
        <v>174</v>
      </c>
      <c r="U163" s="918"/>
      <c r="V163" s="918"/>
      <c r="W163" s="918"/>
      <c r="X163" s="909"/>
    </row>
    <row r="164" spans="1:24" ht="13.5" thickBot="1">
      <c r="A164" s="907"/>
      <c r="B164" s="1256"/>
      <c r="C164" s="1257"/>
      <c r="D164" s="916"/>
      <c r="E164" s="994"/>
      <c r="F164" s="994"/>
      <c r="G164" s="917"/>
      <c r="H164" s="916"/>
      <c r="I164" s="994"/>
      <c r="J164" s="994"/>
      <c r="K164" s="917"/>
      <c r="L164" s="916"/>
      <c r="M164" s="994"/>
      <c r="N164" s="994"/>
      <c r="O164" s="917"/>
      <c r="P164" s="916">
        <f>SUM(B164:O164)</f>
        <v>0</v>
      </c>
      <c r="Q164" s="994"/>
      <c r="R164" s="994"/>
      <c r="S164" s="917"/>
      <c r="T164" s="916" t="e">
        <f>B164/P164%</f>
        <v>#DIV/0!</v>
      </c>
      <c r="U164" s="994"/>
      <c r="V164" s="994"/>
      <c r="W164" s="994"/>
      <c r="X164" s="917"/>
    </row>
    <row r="165" spans="1:24" ht="13.5" thickBot="1">
      <c r="A165" s="906" t="s">
        <v>10</v>
      </c>
      <c r="B165" s="908" t="s">
        <v>175</v>
      </c>
      <c r="C165" s="909"/>
      <c r="D165" s="910"/>
      <c r="E165" s="911"/>
      <c r="F165" s="911"/>
      <c r="G165" s="911"/>
      <c r="H165" s="911"/>
      <c r="I165" s="911"/>
      <c r="J165" s="911"/>
      <c r="K165" s="911"/>
      <c r="L165" s="911"/>
      <c r="M165" s="911"/>
      <c r="N165" s="911"/>
      <c r="O165" s="911"/>
      <c r="P165" s="911"/>
      <c r="Q165" s="911"/>
      <c r="R165" s="911"/>
      <c r="S165" s="911"/>
      <c r="T165" s="911"/>
      <c r="U165" s="911"/>
      <c r="V165" s="911"/>
      <c r="W165" s="911"/>
      <c r="X165" s="912"/>
    </row>
    <row r="166" spans="1:24" ht="13.5" thickBot="1">
      <c r="A166" s="907"/>
      <c r="B166" s="1256"/>
      <c r="C166" s="1257"/>
      <c r="D166" s="913"/>
      <c r="E166" s="914"/>
      <c r="F166" s="914"/>
      <c r="G166" s="914"/>
      <c r="H166" s="914"/>
      <c r="I166" s="914"/>
      <c r="J166" s="914"/>
      <c r="K166" s="914"/>
      <c r="L166" s="914"/>
      <c r="M166" s="914"/>
      <c r="N166" s="914"/>
      <c r="O166" s="914"/>
      <c r="P166" s="914"/>
      <c r="Q166" s="914"/>
      <c r="R166" s="914"/>
      <c r="S166" s="914"/>
      <c r="T166" s="914"/>
      <c r="U166" s="914"/>
      <c r="V166" s="914"/>
      <c r="W166" s="914"/>
      <c r="X166" s="915"/>
    </row>
    <row r="168" spans="1:24" ht="13.5" thickBot="1"/>
    <row r="169" spans="1:24" ht="12.95" customHeight="1" thickBot="1">
      <c r="A169" s="472" t="s">
        <v>27</v>
      </c>
      <c r="B169" s="473" t="s">
        <v>35</v>
      </c>
      <c r="C169" s="474"/>
      <c r="D169" s="1230" t="s">
        <v>78</v>
      </c>
      <c r="E169" s="1231"/>
      <c r="F169" s="1231"/>
      <c r="G169" s="1232"/>
      <c r="H169" s="1240" t="s">
        <v>77</v>
      </c>
      <c r="I169" s="1231"/>
      <c r="J169" s="1231"/>
      <c r="K169" s="1232"/>
      <c r="L169" s="1240" t="s">
        <v>81</v>
      </c>
      <c r="M169" s="1231"/>
      <c r="N169" s="1231"/>
      <c r="O169" s="1232"/>
      <c r="P169" s="1240" t="s">
        <v>254</v>
      </c>
      <c r="Q169" s="1231"/>
      <c r="R169" s="1231"/>
      <c r="S169" s="1232"/>
      <c r="T169" s="1240" t="s">
        <v>76</v>
      </c>
      <c r="U169" s="1231"/>
      <c r="V169" s="1231"/>
      <c r="W169" s="1232"/>
      <c r="X169" s="475" t="s">
        <v>12</v>
      </c>
    </row>
    <row r="170" spans="1:24" ht="12.95" customHeight="1" thickBot="1">
      <c r="A170" s="1253" t="s">
        <v>70</v>
      </c>
      <c r="B170" s="873" t="s">
        <v>609</v>
      </c>
      <c r="C170" s="90"/>
      <c r="D170" s="1215" t="s">
        <v>636</v>
      </c>
      <c r="E170" s="1216"/>
      <c r="F170" s="1216"/>
      <c r="G170" s="1217"/>
      <c r="H170" s="1215" t="s">
        <v>636</v>
      </c>
      <c r="I170" s="1216"/>
      <c r="J170" s="1216"/>
      <c r="K170" s="1217"/>
      <c r="L170" s="1215" t="s">
        <v>636</v>
      </c>
      <c r="M170" s="1216"/>
      <c r="N170" s="1216"/>
      <c r="O170" s="1217"/>
      <c r="P170" s="476" t="s">
        <v>602</v>
      </c>
      <c r="Q170" s="476" t="s">
        <v>603</v>
      </c>
      <c r="R170" s="476" t="s">
        <v>608</v>
      </c>
      <c r="S170" s="476" t="s">
        <v>604</v>
      </c>
      <c r="T170" s="476" t="s">
        <v>602</v>
      </c>
      <c r="U170" s="476" t="s">
        <v>603</v>
      </c>
      <c r="V170" s="476" t="s">
        <v>608</v>
      </c>
      <c r="W170" s="476" t="s">
        <v>604</v>
      </c>
      <c r="X170" s="879" t="s">
        <v>90</v>
      </c>
    </row>
    <row r="171" spans="1:24" ht="12.95" customHeight="1" thickBot="1">
      <c r="A171" s="1254"/>
      <c r="B171" s="874"/>
      <c r="C171" s="26" t="s">
        <v>2</v>
      </c>
      <c r="D171" s="1338"/>
      <c r="E171" s="1339"/>
      <c r="F171" s="1339"/>
      <c r="G171" s="1340"/>
      <c r="H171" s="1341"/>
      <c r="I171" s="1339"/>
      <c r="J171" s="1339"/>
      <c r="K171" s="1340"/>
      <c r="L171" s="966" t="s">
        <v>841</v>
      </c>
      <c r="M171" s="967"/>
      <c r="N171" s="967"/>
      <c r="O171" s="968"/>
      <c r="P171" s="150">
        <v>0</v>
      </c>
      <c r="Q171" s="150">
        <v>0</v>
      </c>
      <c r="R171" s="150">
        <v>0</v>
      </c>
      <c r="S171" s="150">
        <v>0</v>
      </c>
      <c r="T171" s="150">
        <v>7</v>
      </c>
      <c r="U171" s="150">
        <v>7</v>
      </c>
      <c r="V171" s="150">
        <v>7</v>
      </c>
      <c r="W171" s="791">
        <v>4</v>
      </c>
      <c r="X171" s="880"/>
    </row>
    <row r="172" spans="1:24" ht="12.95" customHeight="1" thickBot="1">
      <c r="A172" s="1254"/>
      <c r="B172" s="874"/>
      <c r="C172" s="9" t="s">
        <v>3</v>
      </c>
      <c r="D172" s="1338"/>
      <c r="E172" s="1339"/>
      <c r="F172" s="1339"/>
      <c r="G172" s="1340"/>
      <c r="H172" s="1341"/>
      <c r="I172" s="1339"/>
      <c r="J172" s="1339"/>
      <c r="K172" s="1340"/>
      <c r="L172" s="957"/>
      <c r="M172" s="958"/>
      <c r="N172" s="958"/>
      <c r="O172" s="959"/>
      <c r="P172" s="957"/>
      <c r="Q172" s="958"/>
      <c r="R172" s="958"/>
      <c r="S172" s="959"/>
      <c r="T172" s="150">
        <v>0</v>
      </c>
      <c r="U172" s="150">
        <v>0</v>
      </c>
      <c r="V172" s="150">
        <v>0</v>
      </c>
      <c r="W172" s="150">
        <v>0</v>
      </c>
      <c r="X172" s="880"/>
    </row>
    <row r="173" spans="1:24" ht="12.95" customHeight="1" thickBot="1">
      <c r="A173" s="1254"/>
      <c r="B173" s="874"/>
      <c r="C173" s="1244" t="s">
        <v>838</v>
      </c>
      <c r="D173" s="1230" t="s">
        <v>839</v>
      </c>
      <c r="E173" s="1231"/>
      <c r="F173" s="1231"/>
      <c r="G173" s="1231"/>
      <c r="H173" s="1231"/>
      <c r="I173" s="1231"/>
      <c r="J173" s="1231"/>
      <c r="K173" s="1231"/>
      <c r="L173" s="1231"/>
      <c r="M173" s="1231"/>
      <c r="N173" s="1231"/>
      <c r="O173" s="1231"/>
      <c r="P173" s="1231"/>
      <c r="Q173" s="1231"/>
      <c r="R173" s="1231"/>
      <c r="S173" s="1231"/>
      <c r="T173" s="1231"/>
      <c r="U173" s="1231"/>
      <c r="V173" s="1231"/>
      <c r="W173" s="1232"/>
      <c r="X173" s="880"/>
    </row>
    <row r="174" spans="1:24" ht="12.95" customHeight="1" thickBot="1">
      <c r="A174" s="1254"/>
      <c r="B174" s="1249"/>
      <c r="C174" s="1245"/>
      <c r="D174" s="930" t="s">
        <v>125</v>
      </c>
      <c r="E174" s="931"/>
      <c r="F174" s="931"/>
      <c r="G174" s="931"/>
      <c r="H174" s="931"/>
      <c r="I174" s="931"/>
      <c r="J174" s="931"/>
      <c r="K174" s="931"/>
      <c r="L174" s="931"/>
      <c r="M174" s="931"/>
      <c r="N174" s="931"/>
      <c r="O174" s="931"/>
      <c r="P174" s="931"/>
      <c r="Q174" s="931"/>
      <c r="R174" s="931"/>
      <c r="S174" s="931"/>
      <c r="T174" s="931"/>
      <c r="U174" s="931"/>
      <c r="V174" s="931"/>
      <c r="W174" s="932"/>
      <c r="X174" s="880"/>
    </row>
    <row r="175" spans="1:24" ht="12.95" customHeight="1" thickBot="1">
      <c r="A175" s="1254"/>
      <c r="B175" s="477" t="s">
        <v>36</v>
      </c>
      <c r="C175" s="478"/>
      <c r="D175" s="1230" t="s">
        <v>78</v>
      </c>
      <c r="E175" s="1231"/>
      <c r="F175" s="1231"/>
      <c r="G175" s="1232"/>
      <c r="H175" s="1240" t="s">
        <v>77</v>
      </c>
      <c r="I175" s="1231"/>
      <c r="J175" s="1231"/>
      <c r="K175" s="1232"/>
      <c r="L175" s="1240" t="s">
        <v>81</v>
      </c>
      <c r="M175" s="1231"/>
      <c r="N175" s="1231"/>
      <c r="O175" s="1232"/>
      <c r="P175" s="1240" t="s">
        <v>254</v>
      </c>
      <c r="Q175" s="1231"/>
      <c r="R175" s="1231"/>
      <c r="S175" s="1232"/>
      <c r="T175" s="1240" t="s">
        <v>76</v>
      </c>
      <c r="U175" s="1231"/>
      <c r="V175" s="1231"/>
      <c r="W175" s="1246"/>
      <c r="X175" s="880"/>
    </row>
    <row r="176" spans="1:24" ht="12.95" customHeight="1" thickBot="1">
      <c r="A176" s="1254"/>
      <c r="B176" s="873" t="s">
        <v>601</v>
      </c>
      <c r="C176" s="90"/>
      <c r="D176" s="1215" t="s">
        <v>636</v>
      </c>
      <c r="E176" s="1216"/>
      <c r="F176" s="1216"/>
      <c r="G176" s="1217"/>
      <c r="H176" s="1215" t="s">
        <v>636</v>
      </c>
      <c r="I176" s="1216"/>
      <c r="J176" s="1216"/>
      <c r="K176" s="1217"/>
      <c r="L176" s="1215" t="s">
        <v>636</v>
      </c>
      <c r="M176" s="1216"/>
      <c r="N176" s="1216"/>
      <c r="O176" s="1217"/>
      <c r="P176" s="479" t="s">
        <v>101</v>
      </c>
      <c r="Q176" s="479" t="s">
        <v>104</v>
      </c>
      <c r="R176" s="479" t="s">
        <v>102</v>
      </c>
      <c r="S176" s="479" t="s">
        <v>103</v>
      </c>
      <c r="T176" s="479" t="s">
        <v>101</v>
      </c>
      <c r="U176" s="479" t="s">
        <v>104</v>
      </c>
      <c r="V176" s="479" t="s">
        <v>102</v>
      </c>
      <c r="W176" s="479" t="s">
        <v>103</v>
      </c>
      <c r="X176" s="880"/>
    </row>
    <row r="177" spans="1:24" ht="12.95" customHeight="1" thickBot="1">
      <c r="A177" s="1254"/>
      <c r="B177" s="874"/>
      <c r="C177" s="26" t="s">
        <v>2</v>
      </c>
      <c r="D177" s="1338"/>
      <c r="E177" s="1339"/>
      <c r="F177" s="1339"/>
      <c r="G177" s="1340"/>
      <c r="H177" s="1341"/>
      <c r="I177" s="1339"/>
      <c r="J177" s="1339"/>
      <c r="K177" s="1340"/>
      <c r="L177" s="966" t="s">
        <v>841</v>
      </c>
      <c r="M177" s="967"/>
      <c r="N177" s="967"/>
      <c r="O177" s="968"/>
      <c r="P177" s="150">
        <v>0</v>
      </c>
      <c r="Q177" s="150">
        <v>0</v>
      </c>
      <c r="R177" s="150">
        <v>0</v>
      </c>
      <c r="S177" s="150">
        <v>0</v>
      </c>
      <c r="T177" s="150">
        <v>2</v>
      </c>
      <c r="U177" s="150">
        <v>2</v>
      </c>
      <c r="V177" s="150">
        <v>2</v>
      </c>
      <c r="W177" s="791">
        <v>1</v>
      </c>
      <c r="X177" s="880"/>
    </row>
    <row r="178" spans="1:24" ht="12.95" customHeight="1" thickBot="1">
      <c r="A178" s="1254"/>
      <c r="B178" s="874"/>
      <c r="C178" s="9" t="s">
        <v>3</v>
      </c>
      <c r="D178" s="1338"/>
      <c r="E178" s="1339"/>
      <c r="F178" s="1339"/>
      <c r="G178" s="1340"/>
      <c r="H178" s="1341"/>
      <c r="I178" s="1339"/>
      <c r="J178" s="1339"/>
      <c r="K178" s="1340"/>
      <c r="L178" s="957"/>
      <c r="M178" s="958"/>
      <c r="N178" s="958"/>
      <c r="O178" s="959"/>
      <c r="P178" s="957"/>
      <c r="Q178" s="958"/>
      <c r="R178" s="958"/>
      <c r="S178" s="959"/>
      <c r="T178" s="150">
        <v>0</v>
      </c>
      <c r="U178" s="150">
        <v>0</v>
      </c>
      <c r="V178" s="150">
        <v>0</v>
      </c>
      <c r="W178" s="150">
        <v>0</v>
      </c>
      <c r="X178" s="880"/>
    </row>
    <row r="179" spans="1:24" ht="12.95" customHeight="1" thickBot="1">
      <c r="A179" s="1254"/>
      <c r="B179" s="874"/>
      <c r="C179" s="1252" t="s">
        <v>838</v>
      </c>
      <c r="D179" s="1230" t="s">
        <v>839</v>
      </c>
      <c r="E179" s="1231"/>
      <c r="F179" s="1231"/>
      <c r="G179" s="1231"/>
      <c r="H179" s="1231"/>
      <c r="I179" s="1231"/>
      <c r="J179" s="1231"/>
      <c r="K179" s="1231"/>
      <c r="L179" s="1231"/>
      <c r="M179" s="1231"/>
      <c r="N179" s="1231"/>
      <c r="O179" s="1231"/>
      <c r="P179" s="1231"/>
      <c r="Q179" s="1231"/>
      <c r="R179" s="1231"/>
      <c r="S179" s="1231"/>
      <c r="T179" s="1231"/>
      <c r="U179" s="1231"/>
      <c r="V179" s="1231"/>
      <c r="W179" s="1232"/>
      <c r="X179" s="880"/>
    </row>
    <row r="180" spans="1:24" ht="12.95" customHeight="1" thickBot="1">
      <c r="A180" s="1254"/>
      <c r="B180" s="1249"/>
      <c r="C180" s="1229"/>
      <c r="D180" s="930" t="s">
        <v>125</v>
      </c>
      <c r="E180" s="931"/>
      <c r="F180" s="931"/>
      <c r="G180" s="931"/>
      <c r="H180" s="931"/>
      <c r="I180" s="931"/>
      <c r="J180" s="931"/>
      <c r="K180" s="931"/>
      <c r="L180" s="931"/>
      <c r="M180" s="931"/>
      <c r="N180" s="931"/>
      <c r="O180" s="931"/>
      <c r="P180" s="931"/>
      <c r="Q180" s="931"/>
      <c r="R180" s="931"/>
      <c r="S180" s="931"/>
      <c r="T180" s="931"/>
      <c r="U180" s="931"/>
      <c r="V180" s="931"/>
      <c r="W180" s="1233"/>
      <c r="X180" s="880"/>
    </row>
    <row r="181" spans="1:24" ht="12.95" customHeight="1" thickBot="1">
      <c r="A181" s="1254"/>
      <c r="B181" s="477" t="s">
        <v>600</v>
      </c>
      <c r="C181" s="478"/>
      <c r="D181" s="1230" t="s">
        <v>78</v>
      </c>
      <c r="E181" s="1231"/>
      <c r="F181" s="1231"/>
      <c r="G181" s="1232"/>
      <c r="H181" s="1240" t="s">
        <v>77</v>
      </c>
      <c r="I181" s="1231"/>
      <c r="J181" s="1231"/>
      <c r="K181" s="1232"/>
      <c r="L181" s="1240" t="s">
        <v>81</v>
      </c>
      <c r="M181" s="1231"/>
      <c r="N181" s="1231"/>
      <c r="O181" s="1232"/>
      <c r="P181" s="1240" t="s">
        <v>254</v>
      </c>
      <c r="Q181" s="1231"/>
      <c r="R181" s="1231"/>
      <c r="S181" s="1232"/>
      <c r="T181" s="1240" t="s">
        <v>76</v>
      </c>
      <c r="U181" s="1231"/>
      <c r="V181" s="1231"/>
      <c r="W181" s="1232"/>
      <c r="X181" s="880"/>
    </row>
    <row r="182" spans="1:24" ht="14.25" thickBot="1">
      <c r="A182" s="1254"/>
      <c r="B182" s="1132" t="s">
        <v>648</v>
      </c>
      <c r="C182" s="90"/>
      <c r="D182" s="1215"/>
      <c r="E182" s="1216"/>
      <c r="F182" s="1216"/>
      <c r="G182" s="1217"/>
      <c r="H182" s="1215"/>
      <c r="I182" s="1216"/>
      <c r="J182" s="1216"/>
      <c r="K182" s="1217"/>
      <c r="L182" s="1215"/>
      <c r="M182" s="1216"/>
      <c r="N182" s="1216"/>
      <c r="O182" s="1217"/>
      <c r="P182" s="479" t="s">
        <v>840</v>
      </c>
      <c r="Q182" s="476" t="s">
        <v>607</v>
      </c>
      <c r="R182" s="479" t="s">
        <v>606</v>
      </c>
      <c r="S182" s="479" t="s">
        <v>605</v>
      </c>
      <c r="T182" s="479" t="s">
        <v>840</v>
      </c>
      <c r="U182" s="476" t="s">
        <v>607</v>
      </c>
      <c r="V182" s="479" t="s">
        <v>606</v>
      </c>
      <c r="W182" s="479" t="s">
        <v>605</v>
      </c>
      <c r="X182" s="880"/>
    </row>
    <row r="183" spans="1:24" ht="12.95" customHeight="1" thickBot="1">
      <c r="A183" s="1254"/>
      <c r="B183" s="1133"/>
      <c r="C183" s="26" t="s">
        <v>2</v>
      </c>
      <c r="D183" s="1338"/>
      <c r="E183" s="1339"/>
      <c r="F183" s="1339"/>
      <c r="G183" s="1340"/>
      <c r="H183" s="1341"/>
      <c r="I183" s="1339"/>
      <c r="J183" s="1339"/>
      <c r="K183" s="1340"/>
      <c r="L183" s="966" t="s">
        <v>841</v>
      </c>
      <c r="M183" s="967"/>
      <c r="N183" s="967"/>
      <c r="O183" s="968"/>
      <c r="P183" s="150">
        <v>0</v>
      </c>
      <c r="Q183" s="150">
        <v>0</v>
      </c>
      <c r="R183" s="150">
        <v>0</v>
      </c>
      <c r="S183" s="150">
        <v>0</v>
      </c>
      <c r="T183" s="791">
        <v>1</v>
      </c>
      <c r="U183" s="791">
        <v>1</v>
      </c>
      <c r="V183" s="791">
        <v>1</v>
      </c>
      <c r="W183" s="791">
        <v>1</v>
      </c>
      <c r="X183" s="880"/>
    </row>
    <row r="184" spans="1:24" ht="12.95" customHeight="1" thickBot="1">
      <c r="A184" s="1255"/>
      <c r="B184" s="1133"/>
      <c r="C184" s="9" t="s">
        <v>3</v>
      </c>
      <c r="D184" s="1338"/>
      <c r="E184" s="1339"/>
      <c r="F184" s="1339"/>
      <c r="G184" s="1340"/>
      <c r="H184" s="1341"/>
      <c r="I184" s="1339"/>
      <c r="J184" s="1339"/>
      <c r="K184" s="1340"/>
      <c r="L184" s="957"/>
      <c r="M184" s="958"/>
      <c r="N184" s="958"/>
      <c r="O184" s="959"/>
      <c r="P184" s="957"/>
      <c r="Q184" s="958"/>
      <c r="R184" s="958"/>
      <c r="S184" s="959"/>
      <c r="T184" s="150">
        <v>0</v>
      </c>
      <c r="U184" s="104">
        <v>0</v>
      </c>
      <c r="V184" s="104">
        <v>0</v>
      </c>
      <c r="W184" s="104">
        <v>0</v>
      </c>
      <c r="X184" s="881"/>
    </row>
    <row r="185" spans="1:24" ht="12.95" customHeight="1" thickBot="1">
      <c r="A185" s="480" t="s">
        <v>13</v>
      </c>
      <c r="B185" s="1133"/>
      <c r="C185" s="1228" t="s">
        <v>838</v>
      </c>
      <c r="D185" s="1230" t="s">
        <v>4</v>
      </c>
      <c r="E185" s="1231"/>
      <c r="F185" s="1231"/>
      <c r="G185" s="1231"/>
      <c r="H185" s="1231"/>
      <c r="I185" s="1231"/>
      <c r="J185" s="1231"/>
      <c r="K185" s="1231"/>
      <c r="L185" s="1231"/>
      <c r="M185" s="1231"/>
      <c r="N185" s="1231"/>
      <c r="O185" s="1231"/>
      <c r="P185" s="1231"/>
      <c r="Q185" s="1231"/>
      <c r="R185" s="1231"/>
      <c r="S185" s="1231"/>
      <c r="T185" s="1231"/>
      <c r="U185" s="1231"/>
      <c r="V185" s="1231"/>
      <c r="W185" s="1232"/>
      <c r="X185" s="24" t="s">
        <v>14</v>
      </c>
    </row>
    <row r="186" spans="1:24" ht="12.95" customHeight="1" thickBot="1">
      <c r="A186" s="481" t="s">
        <v>73</v>
      </c>
      <c r="B186" s="1134"/>
      <c r="C186" s="1229"/>
      <c r="D186" s="930" t="s">
        <v>125</v>
      </c>
      <c r="E186" s="931"/>
      <c r="F186" s="931"/>
      <c r="G186" s="931"/>
      <c r="H186" s="931"/>
      <c r="I186" s="931"/>
      <c r="J186" s="931"/>
      <c r="K186" s="931"/>
      <c r="L186" s="931"/>
      <c r="M186" s="931"/>
      <c r="N186" s="931"/>
      <c r="O186" s="931"/>
      <c r="P186" s="931"/>
      <c r="Q186" s="931"/>
      <c r="R186" s="931"/>
      <c r="S186" s="931"/>
      <c r="T186" s="931"/>
      <c r="U186" s="931"/>
      <c r="V186" s="931"/>
      <c r="W186" s="1233"/>
      <c r="X186" s="18" t="s">
        <v>92</v>
      </c>
    </row>
    <row r="187" spans="1:24" ht="12.95" customHeight="1" thickBot="1">
      <c r="A187" s="1218" t="s">
        <v>7</v>
      </c>
      <c r="B187" s="1220" t="s">
        <v>173</v>
      </c>
      <c r="C187" s="1221"/>
      <c r="D187" s="1220" t="s">
        <v>8</v>
      </c>
      <c r="E187" s="1235"/>
      <c r="F187" s="1235"/>
      <c r="G187" s="1236"/>
      <c r="H187" s="1237" t="s">
        <v>88</v>
      </c>
      <c r="I187" s="1235"/>
      <c r="J187" s="1235"/>
      <c r="K187" s="1236"/>
      <c r="L187" s="1237" t="s">
        <v>89</v>
      </c>
      <c r="M187" s="1235"/>
      <c r="N187" s="1235"/>
      <c r="O187" s="1236"/>
      <c r="P187" s="1237" t="s">
        <v>9</v>
      </c>
      <c r="Q187" s="1235"/>
      <c r="R187" s="1235"/>
      <c r="S187" s="1236"/>
      <c r="T187" s="1237" t="s">
        <v>174</v>
      </c>
      <c r="U187" s="1235"/>
      <c r="V187" s="1235"/>
      <c r="W187" s="1235"/>
      <c r="X187" s="1236"/>
    </row>
    <row r="188" spans="1:24" ht="13.5" thickBot="1">
      <c r="A188" s="1234"/>
      <c r="B188" s="975"/>
      <c r="C188" s="976"/>
      <c r="D188" s="975"/>
      <c r="E188" s="977"/>
      <c r="F188" s="977"/>
      <c r="G188" s="1238"/>
      <c r="H188" s="1239"/>
      <c r="I188" s="977"/>
      <c r="J188" s="977"/>
      <c r="K188" s="1238"/>
      <c r="L188" s="1239"/>
      <c r="M188" s="977"/>
      <c r="N188" s="977"/>
      <c r="O188" s="1238"/>
      <c r="P188" s="916">
        <f>SUM(B188:O188)</f>
        <v>0</v>
      </c>
      <c r="Q188" s="994"/>
      <c r="R188" s="994"/>
      <c r="S188" s="917"/>
      <c r="T188" s="916" t="e">
        <f>B188/P188%</f>
        <v>#DIV/0!</v>
      </c>
      <c r="U188" s="994"/>
      <c r="V188" s="994"/>
      <c r="W188" s="994"/>
      <c r="X188" s="917"/>
    </row>
    <row r="189" spans="1:24" ht="13.5" thickBot="1">
      <c r="A189" s="1218" t="s">
        <v>10</v>
      </c>
      <c r="B189" s="1220" t="s">
        <v>175</v>
      </c>
      <c r="C189" s="1221"/>
      <c r="D189" s="1222"/>
      <c r="E189" s="1223"/>
      <c r="F189" s="1223"/>
      <c r="G189" s="1223"/>
      <c r="H189" s="1223"/>
      <c r="I189" s="1223"/>
      <c r="J189" s="1223"/>
      <c r="K189" s="1223"/>
      <c r="L189" s="1223"/>
      <c r="M189" s="1223"/>
      <c r="N189" s="1223"/>
      <c r="O189" s="1223"/>
      <c r="P189" s="1223"/>
      <c r="Q189" s="1223"/>
      <c r="R189" s="1223"/>
      <c r="S189" s="1223"/>
      <c r="T189" s="1223"/>
      <c r="U189" s="1223"/>
      <c r="V189" s="1223"/>
      <c r="W189" s="1223"/>
      <c r="X189" s="1224"/>
    </row>
    <row r="190" spans="1:24" ht="13.5" thickBot="1">
      <c r="A190" s="1219"/>
      <c r="B190" s="916"/>
      <c r="C190" s="917"/>
      <c r="D190" s="1225"/>
      <c r="E190" s="1226"/>
      <c r="F190" s="1226"/>
      <c r="G190" s="1226"/>
      <c r="H190" s="1226"/>
      <c r="I190" s="1226"/>
      <c r="J190" s="1226"/>
      <c r="K190" s="1226"/>
      <c r="L190" s="1226"/>
      <c r="M190" s="1226"/>
      <c r="N190" s="1226"/>
      <c r="O190" s="1226"/>
      <c r="P190" s="1226"/>
      <c r="Q190" s="1226"/>
      <c r="R190" s="1226"/>
      <c r="S190" s="1226"/>
      <c r="T190" s="1226"/>
      <c r="U190" s="1226"/>
      <c r="V190" s="1226"/>
      <c r="W190" s="1226"/>
      <c r="X190" s="1227"/>
    </row>
  </sheetData>
  <sheetProtection password="CF55" sheet="1" objects="1" scenarios="1" selectLockedCells="1" selectUnlockedCells="1"/>
  <mergeCells count="641">
    <mergeCell ref="P111:S111"/>
    <mergeCell ref="P117:S117"/>
    <mergeCell ref="P123:S123"/>
    <mergeCell ref="L111:O111"/>
    <mergeCell ref="L117:O117"/>
    <mergeCell ref="T60:X60"/>
    <mergeCell ref="T54:W54"/>
    <mergeCell ref="T71:W71"/>
    <mergeCell ref="T77:W77"/>
    <mergeCell ref="T72:W72"/>
    <mergeCell ref="T67:W67"/>
    <mergeCell ref="L68:O68"/>
    <mergeCell ref="P68:S68"/>
    <mergeCell ref="T68:W68"/>
    <mergeCell ref="D69:W69"/>
    <mergeCell ref="D70:W70"/>
    <mergeCell ref="D71:G71"/>
    <mergeCell ref="H76:K76"/>
    <mergeCell ref="P60:S60"/>
    <mergeCell ref="H54:K54"/>
    <mergeCell ref="L54:O54"/>
    <mergeCell ref="P54:S54"/>
    <mergeCell ref="P71:S71"/>
    <mergeCell ref="H73:K73"/>
    <mergeCell ref="D111:G111"/>
    <mergeCell ref="H154:K154"/>
    <mergeCell ref="L154:O154"/>
    <mergeCell ref="D142:G142"/>
    <mergeCell ref="L110:O110"/>
    <mergeCell ref="L116:O116"/>
    <mergeCell ref="L122:O122"/>
    <mergeCell ref="D127:G127"/>
    <mergeCell ref="D137:G137"/>
    <mergeCell ref="H137:K137"/>
    <mergeCell ref="L137:O137"/>
    <mergeCell ref="D148:G148"/>
    <mergeCell ref="H148:K148"/>
    <mergeCell ref="L148:O148"/>
    <mergeCell ref="D110:G110"/>
    <mergeCell ref="H110:K110"/>
    <mergeCell ref="H111:K111"/>
    <mergeCell ref="D153:G153"/>
    <mergeCell ref="H153:K153"/>
    <mergeCell ref="L153:O153"/>
    <mergeCell ref="D154:G154"/>
    <mergeCell ref="D149:G149"/>
    <mergeCell ref="H149:K149"/>
    <mergeCell ref="L149:O149"/>
    <mergeCell ref="P4:S4"/>
    <mergeCell ref="T4:W4"/>
    <mergeCell ref="X4:X18"/>
    <mergeCell ref="P9:S9"/>
    <mergeCell ref="T9:W9"/>
    <mergeCell ref="D14:G14"/>
    <mergeCell ref="H14:K14"/>
    <mergeCell ref="D18:W18"/>
    <mergeCell ref="D4:G4"/>
    <mergeCell ref="H4:K4"/>
    <mergeCell ref="L4:O4"/>
    <mergeCell ref="C12:C13"/>
    <mergeCell ref="D12:W12"/>
    <mergeCell ref="D13:W13"/>
    <mergeCell ref="P14:S14"/>
    <mergeCell ref="T14:W14"/>
    <mergeCell ref="D17:W17"/>
    <mergeCell ref="X22:X36"/>
    <mergeCell ref="D23:G23"/>
    <mergeCell ref="H23:K23"/>
    <mergeCell ref="L23:O23"/>
    <mergeCell ref="P23:S23"/>
    <mergeCell ref="T23:W23"/>
    <mergeCell ref="T28:W28"/>
    <mergeCell ref="P22:S22"/>
    <mergeCell ref="T22:W22"/>
    <mergeCell ref="D31:G31"/>
    <mergeCell ref="D21:G21"/>
    <mergeCell ref="H21:K21"/>
    <mergeCell ref="L21:O21"/>
    <mergeCell ref="T21:W21"/>
    <mergeCell ref="D24:W24"/>
    <mergeCell ref="D25:W25"/>
    <mergeCell ref="D26:G26"/>
    <mergeCell ref="H26:K26"/>
    <mergeCell ref="A22:A36"/>
    <mergeCell ref="B22:B25"/>
    <mergeCell ref="D22:G22"/>
    <mergeCell ref="H22:K22"/>
    <mergeCell ref="L22:O22"/>
    <mergeCell ref="L14:O14"/>
    <mergeCell ref="B15:B18"/>
    <mergeCell ref="D15:W15"/>
    <mergeCell ref="D16:W16"/>
    <mergeCell ref="C17:C18"/>
    <mergeCell ref="A5:A18"/>
    <mergeCell ref="B5:B8"/>
    <mergeCell ref="D5:W5"/>
    <mergeCell ref="D6:W6"/>
    <mergeCell ref="C7:C8"/>
    <mergeCell ref="D7:W7"/>
    <mergeCell ref="D8:W8"/>
    <mergeCell ref="D9:G9"/>
    <mergeCell ref="H9:K9"/>
    <mergeCell ref="L9:O9"/>
    <mergeCell ref="P21:S21"/>
    <mergeCell ref="B10:B13"/>
    <mergeCell ref="D10:W10"/>
    <mergeCell ref="D11:W11"/>
    <mergeCell ref="L26:O26"/>
    <mergeCell ref="C24:C25"/>
    <mergeCell ref="C29:C30"/>
    <mergeCell ref="H31:K31"/>
    <mergeCell ref="L31:O31"/>
    <mergeCell ref="P31:S31"/>
    <mergeCell ref="T31:W31"/>
    <mergeCell ref="P26:S26"/>
    <mergeCell ref="T26:W26"/>
    <mergeCell ref="D29:W29"/>
    <mergeCell ref="D30:W30"/>
    <mergeCell ref="P27:S27"/>
    <mergeCell ref="T27:W27"/>
    <mergeCell ref="D28:G28"/>
    <mergeCell ref="H28:K28"/>
    <mergeCell ref="L28:O28"/>
    <mergeCell ref="P28:S28"/>
    <mergeCell ref="B27:B30"/>
    <mergeCell ref="D27:G27"/>
    <mergeCell ref="H27:K27"/>
    <mergeCell ref="L27:O27"/>
    <mergeCell ref="B32:B33"/>
    <mergeCell ref="D34:G34"/>
    <mergeCell ref="C35:C36"/>
    <mergeCell ref="D35:W35"/>
    <mergeCell ref="D36:W36"/>
    <mergeCell ref="L34:O34"/>
    <mergeCell ref="D33:G33"/>
    <mergeCell ref="H33:K33"/>
    <mergeCell ref="H34:K34"/>
    <mergeCell ref="L33:O33"/>
    <mergeCell ref="P34:S34"/>
    <mergeCell ref="C42:C43"/>
    <mergeCell ref="H44:K44"/>
    <mergeCell ref="L44:O44"/>
    <mergeCell ref="P44:S44"/>
    <mergeCell ref="D56:G56"/>
    <mergeCell ref="H56:K56"/>
    <mergeCell ref="H57:K57"/>
    <mergeCell ref="L57:O57"/>
    <mergeCell ref="L51:O51"/>
    <mergeCell ref="P51:S51"/>
    <mergeCell ref="D46:G46"/>
    <mergeCell ref="H46:K46"/>
    <mergeCell ref="L46:O46"/>
    <mergeCell ref="P46:S46"/>
    <mergeCell ref="L56:O56"/>
    <mergeCell ref="P57:S57"/>
    <mergeCell ref="D47:W47"/>
    <mergeCell ref="D48:W48"/>
    <mergeCell ref="D49:G49"/>
    <mergeCell ref="H49:K49"/>
    <mergeCell ref="D50:G50"/>
    <mergeCell ref="H50:K50"/>
    <mergeCell ref="L50:O50"/>
    <mergeCell ref="P50:S50"/>
    <mergeCell ref="B45:B48"/>
    <mergeCell ref="C47:C48"/>
    <mergeCell ref="A60:A61"/>
    <mergeCell ref="B60:C60"/>
    <mergeCell ref="D60:G60"/>
    <mergeCell ref="H60:K60"/>
    <mergeCell ref="L60:O60"/>
    <mergeCell ref="T51:W51"/>
    <mergeCell ref="C52:C53"/>
    <mergeCell ref="D52:W52"/>
    <mergeCell ref="D53:W53"/>
    <mergeCell ref="D54:G54"/>
    <mergeCell ref="B61:C61"/>
    <mergeCell ref="D61:G61"/>
    <mergeCell ref="H61:K61"/>
    <mergeCell ref="L61:O61"/>
    <mergeCell ref="P61:S61"/>
    <mergeCell ref="T61:X61"/>
    <mergeCell ref="A40:A59"/>
    <mergeCell ref="B40:B43"/>
    <mergeCell ref="D40:G40"/>
    <mergeCell ref="H40:K40"/>
    <mergeCell ref="L40:O40"/>
    <mergeCell ref="P40:S40"/>
    <mergeCell ref="P45:S45"/>
    <mergeCell ref="T45:W45"/>
    <mergeCell ref="H45:K45"/>
    <mergeCell ref="D39:G39"/>
    <mergeCell ref="H39:K39"/>
    <mergeCell ref="L39:O39"/>
    <mergeCell ref="P39:S39"/>
    <mergeCell ref="T39:W39"/>
    <mergeCell ref="T40:W40"/>
    <mergeCell ref="X40:X59"/>
    <mergeCell ref="D41:G41"/>
    <mergeCell ref="H41:K41"/>
    <mergeCell ref="L41:O41"/>
    <mergeCell ref="P41:S41"/>
    <mergeCell ref="B50:B53"/>
    <mergeCell ref="A62:A63"/>
    <mergeCell ref="B62:C62"/>
    <mergeCell ref="D62:X63"/>
    <mergeCell ref="B63:C63"/>
    <mergeCell ref="T50:W50"/>
    <mergeCell ref="D51:G51"/>
    <mergeCell ref="H51:K51"/>
    <mergeCell ref="T41:W41"/>
    <mergeCell ref="D42:W42"/>
    <mergeCell ref="D43:W43"/>
    <mergeCell ref="D44:G44"/>
    <mergeCell ref="T44:W44"/>
    <mergeCell ref="D45:G45"/>
    <mergeCell ref="L49:O49"/>
    <mergeCell ref="P49:S49"/>
    <mergeCell ref="T49:W49"/>
    <mergeCell ref="T46:W46"/>
    <mergeCell ref="L45:O45"/>
    <mergeCell ref="H68:K68"/>
    <mergeCell ref="L82:O82"/>
    <mergeCell ref="P82:S82"/>
    <mergeCell ref="D73:G73"/>
    <mergeCell ref="P67:S67"/>
    <mergeCell ref="L76:O76"/>
    <mergeCell ref="D67:G67"/>
    <mergeCell ref="D78:G78"/>
    <mergeCell ref="H71:K71"/>
    <mergeCell ref="L71:O71"/>
    <mergeCell ref="B55:B56"/>
    <mergeCell ref="D57:G57"/>
    <mergeCell ref="C58:C59"/>
    <mergeCell ref="D58:W58"/>
    <mergeCell ref="D59:W59"/>
    <mergeCell ref="D66:G66"/>
    <mergeCell ref="H66:K66"/>
    <mergeCell ref="L66:O66"/>
    <mergeCell ref="P66:S66"/>
    <mergeCell ref="T66:W66"/>
    <mergeCell ref="B77:B80"/>
    <mergeCell ref="D77:G77"/>
    <mergeCell ref="H77:K77"/>
    <mergeCell ref="L77:O77"/>
    <mergeCell ref="B72:B75"/>
    <mergeCell ref="D72:G72"/>
    <mergeCell ref="B82:C82"/>
    <mergeCell ref="H82:K82"/>
    <mergeCell ref="L73:O73"/>
    <mergeCell ref="T93:W93"/>
    <mergeCell ref="L93:O93"/>
    <mergeCell ref="D92:G92"/>
    <mergeCell ref="D94:G94"/>
    <mergeCell ref="H94:K94"/>
    <mergeCell ref="L94:O94"/>
    <mergeCell ref="A67:A78"/>
    <mergeCell ref="B67:B70"/>
    <mergeCell ref="C69:C70"/>
    <mergeCell ref="A81:A82"/>
    <mergeCell ref="B81:C81"/>
    <mergeCell ref="D81:G81"/>
    <mergeCell ref="D82:G82"/>
    <mergeCell ref="C79:C80"/>
    <mergeCell ref="D79:W79"/>
    <mergeCell ref="D80:W80"/>
    <mergeCell ref="H81:K81"/>
    <mergeCell ref="L81:O81"/>
    <mergeCell ref="P81:S81"/>
    <mergeCell ref="T73:W73"/>
    <mergeCell ref="C74:C75"/>
    <mergeCell ref="D74:W74"/>
    <mergeCell ref="D75:W75"/>
    <mergeCell ref="P76:S76"/>
    <mergeCell ref="D87:G87"/>
    <mergeCell ref="H87:K87"/>
    <mergeCell ref="L87:O87"/>
    <mergeCell ref="P87:S87"/>
    <mergeCell ref="T87:W87"/>
    <mergeCell ref="T88:W88"/>
    <mergeCell ref="L89:O89"/>
    <mergeCell ref="H72:K72"/>
    <mergeCell ref="L72:O72"/>
    <mergeCell ref="T81:X81"/>
    <mergeCell ref="T82:X82"/>
    <mergeCell ref="X67:X78"/>
    <mergeCell ref="H67:K67"/>
    <mergeCell ref="L67:O67"/>
    <mergeCell ref="D76:G76"/>
    <mergeCell ref="P72:S72"/>
    <mergeCell ref="P77:S77"/>
    <mergeCell ref="T78:W78"/>
    <mergeCell ref="H78:K78"/>
    <mergeCell ref="L78:O78"/>
    <mergeCell ref="P78:S78"/>
    <mergeCell ref="T76:W76"/>
    <mergeCell ref="P73:S73"/>
    <mergeCell ref="D68:G68"/>
    <mergeCell ref="A83:A84"/>
    <mergeCell ref="B83:C83"/>
    <mergeCell ref="D83:X84"/>
    <mergeCell ref="B84:C84"/>
    <mergeCell ref="D88:G88"/>
    <mergeCell ref="H88:K88"/>
    <mergeCell ref="L88:O88"/>
    <mergeCell ref="D89:G89"/>
    <mergeCell ref="H89:K89"/>
    <mergeCell ref="A88:A99"/>
    <mergeCell ref="B88:B91"/>
    <mergeCell ref="C90:C91"/>
    <mergeCell ref="D99:G99"/>
    <mergeCell ref="H99:K99"/>
    <mergeCell ref="D91:W91"/>
    <mergeCell ref="P88:S88"/>
    <mergeCell ref="H92:K92"/>
    <mergeCell ref="L92:O92"/>
    <mergeCell ref="D96:W96"/>
    <mergeCell ref="D97:G97"/>
    <mergeCell ref="C95:C96"/>
    <mergeCell ref="D95:W95"/>
    <mergeCell ref="B98:B101"/>
    <mergeCell ref="H93:K93"/>
    <mergeCell ref="A104:A105"/>
    <mergeCell ref="B104:C104"/>
    <mergeCell ref="D104:X105"/>
    <mergeCell ref="B105:C105"/>
    <mergeCell ref="T99:W99"/>
    <mergeCell ref="C100:C101"/>
    <mergeCell ref="D100:W100"/>
    <mergeCell ref="B103:C103"/>
    <mergeCell ref="X88:X99"/>
    <mergeCell ref="P92:S92"/>
    <mergeCell ref="T92:W92"/>
    <mergeCell ref="T98:W98"/>
    <mergeCell ref="T94:W94"/>
    <mergeCell ref="P94:S94"/>
    <mergeCell ref="P89:S89"/>
    <mergeCell ref="T89:W89"/>
    <mergeCell ref="D90:W90"/>
    <mergeCell ref="L97:O97"/>
    <mergeCell ref="A102:A103"/>
    <mergeCell ref="B102:C102"/>
    <mergeCell ref="D102:G102"/>
    <mergeCell ref="B93:B96"/>
    <mergeCell ref="D93:G93"/>
    <mergeCell ref="P93:S93"/>
    <mergeCell ref="P108:S108"/>
    <mergeCell ref="T108:W108"/>
    <mergeCell ref="T102:X102"/>
    <mergeCell ref="D103:G103"/>
    <mergeCell ref="T103:X103"/>
    <mergeCell ref="P97:S97"/>
    <mergeCell ref="T97:W97"/>
    <mergeCell ref="H97:K97"/>
    <mergeCell ref="D98:G98"/>
    <mergeCell ref="H98:K98"/>
    <mergeCell ref="L98:O98"/>
    <mergeCell ref="P98:S98"/>
    <mergeCell ref="D101:W101"/>
    <mergeCell ref="L99:O99"/>
    <mergeCell ref="P99:S99"/>
    <mergeCell ref="H102:K102"/>
    <mergeCell ref="L102:O102"/>
    <mergeCell ref="P102:S102"/>
    <mergeCell ref="H103:K103"/>
    <mergeCell ref="L103:O103"/>
    <mergeCell ref="P103:S103"/>
    <mergeCell ref="D108:G108"/>
    <mergeCell ref="H108:K108"/>
    <mergeCell ref="L108:O108"/>
    <mergeCell ref="B121:B124"/>
    <mergeCell ref="D121:E121"/>
    <mergeCell ref="F121:G121"/>
    <mergeCell ref="H121:I121"/>
    <mergeCell ref="J121:K121"/>
    <mergeCell ref="B115:B116"/>
    <mergeCell ref="D117:G117"/>
    <mergeCell ref="H117:K117"/>
    <mergeCell ref="C118:C119"/>
    <mergeCell ref="D118:W118"/>
    <mergeCell ref="D116:G116"/>
    <mergeCell ref="H116:K116"/>
    <mergeCell ref="H123:K123"/>
    <mergeCell ref="L123:O123"/>
    <mergeCell ref="T123:U123"/>
    <mergeCell ref="L121:M121"/>
    <mergeCell ref="P114:S114"/>
    <mergeCell ref="T114:W114"/>
    <mergeCell ref="D114:G114"/>
    <mergeCell ref="H114:K114"/>
    <mergeCell ref="T128:W128"/>
    <mergeCell ref="L120:O120"/>
    <mergeCell ref="P120:S120"/>
    <mergeCell ref="T120:W120"/>
    <mergeCell ref="T122:U122"/>
    <mergeCell ref="V122:W122"/>
    <mergeCell ref="D119:W119"/>
    <mergeCell ref="R121:S121"/>
    <mergeCell ref="T121:U121"/>
    <mergeCell ref="V121:W121"/>
    <mergeCell ref="D120:G120"/>
    <mergeCell ref="H120:K120"/>
    <mergeCell ref="H127:K127"/>
    <mergeCell ref="L127:O127"/>
    <mergeCell ref="P127:S127"/>
    <mergeCell ref="L114:O114"/>
    <mergeCell ref="A133:A134"/>
    <mergeCell ref="B133:C133"/>
    <mergeCell ref="D133:X134"/>
    <mergeCell ref="B134:C134"/>
    <mergeCell ref="P131:S131"/>
    <mergeCell ref="B127:B130"/>
    <mergeCell ref="C124:C125"/>
    <mergeCell ref="D124:W124"/>
    <mergeCell ref="D125:W125"/>
    <mergeCell ref="D126:G126"/>
    <mergeCell ref="H126:K126"/>
    <mergeCell ref="L126:O126"/>
    <mergeCell ref="P126:S126"/>
    <mergeCell ref="T126:W126"/>
    <mergeCell ref="T131:X131"/>
    <mergeCell ref="B132:C132"/>
    <mergeCell ref="D132:G132"/>
    <mergeCell ref="H132:K132"/>
    <mergeCell ref="L132:O132"/>
    <mergeCell ref="P132:S132"/>
    <mergeCell ref="T132:X132"/>
    <mergeCell ref="A109:A128"/>
    <mergeCell ref="B109:B110"/>
    <mergeCell ref="C112:C113"/>
    <mergeCell ref="A131:A132"/>
    <mergeCell ref="B131:C131"/>
    <mergeCell ref="D131:G131"/>
    <mergeCell ref="H131:K131"/>
    <mergeCell ref="L131:O131"/>
    <mergeCell ref="C129:C130"/>
    <mergeCell ref="D129:W129"/>
    <mergeCell ref="D130:W130"/>
    <mergeCell ref="X109:X128"/>
    <mergeCell ref="D112:W112"/>
    <mergeCell ref="D113:W113"/>
    <mergeCell ref="T127:W127"/>
    <mergeCell ref="D128:G128"/>
    <mergeCell ref="H128:K128"/>
    <mergeCell ref="L128:O128"/>
    <mergeCell ref="D122:G122"/>
    <mergeCell ref="H122:K122"/>
    <mergeCell ref="P122:Q122"/>
    <mergeCell ref="R122:S122"/>
    <mergeCell ref="V123:W123"/>
    <mergeCell ref="P128:S128"/>
    <mergeCell ref="N121:O121"/>
    <mergeCell ref="P121:Q121"/>
    <mergeCell ref="D123:G123"/>
    <mergeCell ref="P137:S137"/>
    <mergeCell ref="C140:C141"/>
    <mergeCell ref="H142:K142"/>
    <mergeCell ref="L142:O142"/>
    <mergeCell ref="P142:S142"/>
    <mergeCell ref="B143:B146"/>
    <mergeCell ref="C145:C146"/>
    <mergeCell ref="D145:W145"/>
    <mergeCell ref="D146:W146"/>
    <mergeCell ref="T143:W143"/>
    <mergeCell ref="D144:G144"/>
    <mergeCell ref="H144:K144"/>
    <mergeCell ref="L144:O144"/>
    <mergeCell ref="P144:S144"/>
    <mergeCell ref="T144:W144"/>
    <mergeCell ref="T137:W137"/>
    <mergeCell ref="A138:A160"/>
    <mergeCell ref="B138:B141"/>
    <mergeCell ref="D138:G138"/>
    <mergeCell ref="H138:K138"/>
    <mergeCell ref="L138:O138"/>
    <mergeCell ref="P138:S138"/>
    <mergeCell ref="L160:O160"/>
    <mergeCell ref="N158:O158"/>
    <mergeCell ref="H147:K147"/>
    <mergeCell ref="L147:O147"/>
    <mergeCell ref="P147:S147"/>
    <mergeCell ref="D152:G152"/>
    <mergeCell ref="H152:K152"/>
    <mergeCell ref="L152:O152"/>
    <mergeCell ref="B148:B151"/>
    <mergeCell ref="B153:B156"/>
    <mergeCell ref="C150:C151"/>
    <mergeCell ref="D150:W150"/>
    <mergeCell ref="D151:W151"/>
    <mergeCell ref="P152:S152"/>
    <mergeCell ref="T153:W153"/>
    <mergeCell ref="H157:K157"/>
    <mergeCell ref="D147:G147"/>
    <mergeCell ref="P154:S154"/>
    <mergeCell ref="T154:W154"/>
    <mergeCell ref="T152:W152"/>
    <mergeCell ref="T147:W147"/>
    <mergeCell ref="T148:W148"/>
    <mergeCell ref="T149:W149"/>
    <mergeCell ref="C155:C156"/>
    <mergeCell ref="D155:W155"/>
    <mergeCell ref="D156:W156"/>
    <mergeCell ref="B161:B162"/>
    <mergeCell ref="C161:C162"/>
    <mergeCell ref="D161:W161"/>
    <mergeCell ref="D162:W162"/>
    <mergeCell ref="B158:B160"/>
    <mergeCell ref="D158:E158"/>
    <mergeCell ref="F158:G158"/>
    <mergeCell ref="H158:I158"/>
    <mergeCell ref="J158:K158"/>
    <mergeCell ref="L158:M158"/>
    <mergeCell ref="D159:G159"/>
    <mergeCell ref="H159:K159"/>
    <mergeCell ref="P159:Q159"/>
    <mergeCell ref="R159:S159"/>
    <mergeCell ref="T160:U160"/>
    <mergeCell ref="V160:W160"/>
    <mergeCell ref="T159:U159"/>
    <mergeCell ref="V159:W159"/>
    <mergeCell ref="D160:G160"/>
    <mergeCell ref="H160:K160"/>
    <mergeCell ref="L159:O159"/>
    <mergeCell ref="X138:X160"/>
    <mergeCell ref="D139:G139"/>
    <mergeCell ref="H139:K139"/>
    <mergeCell ref="L139:O139"/>
    <mergeCell ref="P139:S139"/>
    <mergeCell ref="T139:W139"/>
    <mergeCell ref="D140:W140"/>
    <mergeCell ref="D141:W141"/>
    <mergeCell ref="T142:W142"/>
    <mergeCell ref="L157:O157"/>
    <mergeCell ref="P157:S157"/>
    <mergeCell ref="T138:W138"/>
    <mergeCell ref="D143:G143"/>
    <mergeCell ref="H143:K143"/>
    <mergeCell ref="L143:O143"/>
    <mergeCell ref="P143:S143"/>
    <mergeCell ref="P148:S148"/>
    <mergeCell ref="P149:S149"/>
    <mergeCell ref="P153:S153"/>
    <mergeCell ref="D157:G157"/>
    <mergeCell ref="A165:A166"/>
    <mergeCell ref="B165:C165"/>
    <mergeCell ref="D165:X166"/>
    <mergeCell ref="B166:C166"/>
    <mergeCell ref="A163:A164"/>
    <mergeCell ref="B163:C163"/>
    <mergeCell ref="D163:G163"/>
    <mergeCell ref="H163:K163"/>
    <mergeCell ref="L163:O163"/>
    <mergeCell ref="P163:S163"/>
    <mergeCell ref="T163:X163"/>
    <mergeCell ref="B164:C164"/>
    <mergeCell ref="D164:G164"/>
    <mergeCell ref="H164:K164"/>
    <mergeCell ref="L164:O164"/>
    <mergeCell ref="P164:S164"/>
    <mergeCell ref="T164:X164"/>
    <mergeCell ref="P160:S160"/>
    <mergeCell ref="T157:W157"/>
    <mergeCell ref="P158:Q158"/>
    <mergeCell ref="R158:S158"/>
    <mergeCell ref="T158:U158"/>
    <mergeCell ref="V158:W158"/>
    <mergeCell ref="D169:G169"/>
    <mergeCell ref="H169:K169"/>
    <mergeCell ref="L169:O169"/>
    <mergeCell ref="P169:S169"/>
    <mergeCell ref="T169:W169"/>
    <mergeCell ref="D175:G175"/>
    <mergeCell ref="H175:K175"/>
    <mergeCell ref="H170:K170"/>
    <mergeCell ref="P175:S175"/>
    <mergeCell ref="T175:W175"/>
    <mergeCell ref="D176:G176"/>
    <mergeCell ref="H176:K176"/>
    <mergeCell ref="L176:O176"/>
    <mergeCell ref="L175:O175"/>
    <mergeCell ref="L170:O170"/>
    <mergeCell ref="D173:W173"/>
    <mergeCell ref="D170:G170"/>
    <mergeCell ref="D171:G171"/>
    <mergeCell ref="H171:K171"/>
    <mergeCell ref="L171:O171"/>
    <mergeCell ref="A170:A184"/>
    <mergeCell ref="B170:B174"/>
    <mergeCell ref="X170:X184"/>
    <mergeCell ref="D172:G172"/>
    <mergeCell ref="H172:K172"/>
    <mergeCell ref="L172:O172"/>
    <mergeCell ref="P172:S172"/>
    <mergeCell ref="C173:C174"/>
    <mergeCell ref="D174:W174"/>
    <mergeCell ref="B176:B180"/>
    <mergeCell ref="D177:G177"/>
    <mergeCell ref="H177:K177"/>
    <mergeCell ref="L177:O177"/>
    <mergeCell ref="D178:G178"/>
    <mergeCell ref="H178:K178"/>
    <mergeCell ref="L178:O178"/>
    <mergeCell ref="P178:S178"/>
    <mergeCell ref="C179:C180"/>
    <mergeCell ref="D179:W179"/>
    <mergeCell ref="D180:W180"/>
    <mergeCell ref="D181:G181"/>
    <mergeCell ref="H181:K181"/>
    <mergeCell ref="L181:O181"/>
    <mergeCell ref="P181:S181"/>
    <mergeCell ref="T181:W181"/>
    <mergeCell ref="B182:B186"/>
    <mergeCell ref="D182:G182"/>
    <mergeCell ref="H182:K182"/>
    <mergeCell ref="L182:O182"/>
    <mergeCell ref="D183:G183"/>
    <mergeCell ref="H183:K183"/>
    <mergeCell ref="L183:O183"/>
    <mergeCell ref="D184:G184"/>
    <mergeCell ref="H184:K184"/>
    <mergeCell ref="L184:O184"/>
    <mergeCell ref="P184:S184"/>
    <mergeCell ref="C185:C186"/>
    <mergeCell ref="D185:W185"/>
    <mergeCell ref="D186:W186"/>
    <mergeCell ref="A189:A190"/>
    <mergeCell ref="B189:C189"/>
    <mergeCell ref="D189:X190"/>
    <mergeCell ref="B190:C190"/>
    <mergeCell ref="A187:A188"/>
    <mergeCell ref="B187:C187"/>
    <mergeCell ref="D187:G187"/>
    <mergeCell ref="H187:K187"/>
    <mergeCell ref="L187:O187"/>
    <mergeCell ref="P187:S187"/>
    <mergeCell ref="T187:X187"/>
    <mergeCell ref="B188:C188"/>
    <mergeCell ref="D188:G188"/>
    <mergeCell ref="H188:K188"/>
    <mergeCell ref="L188:O188"/>
    <mergeCell ref="P188:S188"/>
    <mergeCell ref="T188:X188"/>
  </mergeCells>
  <hyperlinks>
    <hyperlink ref="C24" location="Reference!C12" display="press for guidance"/>
    <hyperlink ref="C25" location="Reference!C12" display="Reference!C12"/>
    <hyperlink ref="C17" location="Reference!C10" display="press for guidance"/>
    <hyperlink ref="C18" location="Reference!C10" display="Reference!C10"/>
    <hyperlink ref="C12" location="Reference!C8" display="press for guidance"/>
    <hyperlink ref="C13" location="Reference!C8" display="Reference!C8"/>
    <hyperlink ref="C7" location="Reference!C6" display="press for guidance"/>
    <hyperlink ref="C8" location="Reference!C6" display="Reference!C6"/>
    <hyperlink ref="C29" location="Reference!C14" display="press for guidance"/>
    <hyperlink ref="C30" location="Reference!C14" display="Reference!C14"/>
    <hyperlink ref="C35" location="Reference!C16" display="press for guidance"/>
    <hyperlink ref="C36" location="Reference!C16" display="Reference!C16"/>
    <hyperlink ref="C42" location="Reference!C18" display="press for guidance"/>
    <hyperlink ref="C43" location="Reference!C18" display="Reference!C18"/>
    <hyperlink ref="C47" location="Reference!C20" display="press for guidance"/>
    <hyperlink ref="C48" location="Reference!C20" display="Reference!C20"/>
    <hyperlink ref="C52" location="Reference!C22" display="press for guidance"/>
    <hyperlink ref="C53" location="Reference!C22" display="Reference!C22"/>
    <hyperlink ref="C58" location="Reference!C24" display="press for guidance"/>
    <hyperlink ref="C59" location="Reference!C24" display="Reference!C24"/>
    <hyperlink ref="C69" location="Reference!C26" display="press for guidance"/>
    <hyperlink ref="C70" location="Reference!C26" display="Reference!C26"/>
    <hyperlink ref="C74" location="Reference!C28" display="press for guidance"/>
    <hyperlink ref="C75" location="Reference!C28" display="Reference!C28"/>
    <hyperlink ref="C79" location="Reference!C30" display="press for guidance"/>
    <hyperlink ref="C80" location="Reference!C30" display="Reference!C30"/>
    <hyperlink ref="C90" location="Reference!C32" display="press for guidance"/>
    <hyperlink ref="C91" location="Reference!C32" display="Reference!C32"/>
    <hyperlink ref="C95" location="Reference'C34" display="press for guidance"/>
    <hyperlink ref="C96" location="Reference'C34" display="Reference'C34"/>
    <hyperlink ref="C100" location="Reference!C36" display="press for guidance"/>
    <hyperlink ref="C101" location="Reference!C36" display="Reference!C36"/>
    <hyperlink ref="C112" location="Reference!C38" display="press for guidance"/>
    <hyperlink ref="C113" location="Reference!C38" display="Reference!C38"/>
    <hyperlink ref="C118" location="Reference!C40" display="press for guidance"/>
    <hyperlink ref="C119" location="Reference!C40" display="Reference!C40"/>
    <hyperlink ref="C124" location="Reference!C42" display="press for guidance"/>
    <hyperlink ref="C125" location="Reference!C42" display="Reference!C42"/>
    <hyperlink ref="C129" location="Reference!C44" display="press for guidance"/>
    <hyperlink ref="C130" location="Reference!C44" display="Reference!C44"/>
    <hyperlink ref="C140" location="Reference!C46" display="press for guidance"/>
    <hyperlink ref="C141" location="Reference!C46" display="Reference!C46"/>
    <hyperlink ref="C145" location="Reference!C48" display="press for guidance"/>
    <hyperlink ref="C146" location="Reference!C48" display="Reference!C48"/>
    <hyperlink ref="C150" location="Reference!C50" display="press for guidance"/>
    <hyperlink ref="C151" location="Reference!C50" display="Reference!C50"/>
    <hyperlink ref="C155" location="Reference!C52" display="press for guidance"/>
    <hyperlink ref="C156" location="Reference!C52" display="Reference!C52"/>
    <hyperlink ref="C161" location="Reference!C54" display="press for guidance"/>
    <hyperlink ref="C162" location="Reference!C54" display="Reference!C54"/>
    <hyperlink ref="C173" location="Reference!C71" display="★ click here for guidance"/>
    <hyperlink ref="C174" location="Reference!C71" display="Reference!C71"/>
    <hyperlink ref="C179" location="Reference!C73" display="★ click here for guidance"/>
    <hyperlink ref="C180" location="Reference!C73" display="Reference!C73"/>
    <hyperlink ref="C185" location="Reference!C75" display="★ click here for guidance"/>
    <hyperlink ref="C186" location="Reference!C75" display="Reference!C75"/>
  </hyperlinks>
  <pageMargins left="0.79000000000000015" right="0.79000000000000015" top="0.79000000000000015" bottom="0.79000000000000015" header="0.39000000000000007" footer="0.39000000000000007"/>
  <pageSetup paperSize="9" scale="55" fitToHeight="3" orientation="landscape"/>
  <headerFooter>
    <oddFooter>&amp;L&amp;K000000&amp;F&amp;C&amp;K000000&amp;D&amp;R&amp;K000000Page &amp;P</oddFooter>
  </headerFooter>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tint="0.39997558519241921"/>
  </sheetPr>
  <dimension ref="A1:AB157"/>
  <sheetViews>
    <sheetView workbookViewId="0">
      <pane xSplit="2" ySplit="2" topLeftCell="F57" activePane="bottomRight" state="frozen"/>
      <selection activeCell="L92" sqref="L92:O92"/>
      <selection pane="topRight" activeCell="L92" sqref="L92:O92"/>
      <selection pane="bottomLeft" activeCell="L92" sqref="L92:O92"/>
      <selection pane="bottomRight" activeCell="L92" sqref="L92:O92"/>
    </sheetView>
  </sheetViews>
  <sheetFormatPr defaultColWidth="11.42578125" defaultRowHeight="15"/>
  <cols>
    <col min="1" max="1" width="22.42578125" style="39" customWidth="1"/>
    <col min="2" max="2" width="20.85546875" style="38" customWidth="1"/>
    <col min="3" max="3" width="10.85546875" style="54" customWidth="1"/>
    <col min="4" max="8" width="5.85546875" style="54" customWidth="1"/>
    <col min="9" max="9" width="10.85546875" style="54" customWidth="1"/>
    <col min="10" max="13" width="5.85546875" style="54" customWidth="1"/>
    <col min="14" max="14" width="10.85546875" style="54" customWidth="1"/>
    <col min="15" max="17" width="5.85546875" style="54" customWidth="1"/>
    <col min="18" max="18" width="10.85546875" style="54" customWidth="1"/>
    <col min="19" max="24" width="5.85546875" style="54" customWidth="1"/>
    <col min="25" max="25" width="10.85546875" style="54" customWidth="1"/>
    <col min="26" max="26" width="5.85546875" style="54" customWidth="1"/>
    <col min="27" max="28" width="10.85546875" style="38" customWidth="1"/>
    <col min="29" max="16384" width="11.42578125" style="38"/>
  </cols>
  <sheetData>
    <row r="1" spans="1:28">
      <c r="A1" s="57" t="s">
        <v>228</v>
      </c>
      <c r="B1" s="59" t="s">
        <v>192</v>
      </c>
      <c r="C1" s="459" t="s">
        <v>190</v>
      </c>
      <c r="D1" s="1357">
        <v>2010</v>
      </c>
      <c r="E1" s="1357"/>
      <c r="F1" s="1357"/>
      <c r="G1" s="1357"/>
      <c r="H1" s="1358">
        <v>2011</v>
      </c>
      <c r="I1" s="1358"/>
      <c r="J1" s="1358"/>
      <c r="K1" s="1358"/>
      <c r="L1" s="1353">
        <v>2012</v>
      </c>
      <c r="M1" s="1354"/>
      <c r="N1" s="1355"/>
      <c r="O1" s="1359">
        <v>2013</v>
      </c>
      <c r="P1" s="1360"/>
      <c r="Q1" s="1360"/>
      <c r="R1" s="1361"/>
      <c r="S1" s="1353">
        <v>2014</v>
      </c>
      <c r="T1" s="1354"/>
      <c r="U1" s="1354"/>
      <c r="V1" s="1355"/>
      <c r="W1" s="1351">
        <v>2015</v>
      </c>
      <c r="X1" s="1352"/>
      <c r="Y1" s="1352"/>
      <c r="Z1" s="1352"/>
    </row>
    <row r="2" spans="1:28" s="39" customFormat="1" ht="42.75">
      <c r="A2" s="58" t="s">
        <v>193</v>
      </c>
      <c r="B2" s="59" t="s">
        <v>191</v>
      </c>
      <c r="C2" s="418" t="s">
        <v>722</v>
      </c>
      <c r="D2" s="56" t="s">
        <v>141</v>
      </c>
      <c r="E2" s="56" t="s">
        <v>142</v>
      </c>
      <c r="F2" s="56" t="s">
        <v>143</v>
      </c>
      <c r="G2" s="56" t="s">
        <v>144</v>
      </c>
      <c r="H2" s="56" t="s">
        <v>141</v>
      </c>
      <c r="I2" s="418" t="s">
        <v>723</v>
      </c>
      <c r="J2" s="56" t="s">
        <v>143</v>
      </c>
      <c r="K2" s="56" t="s">
        <v>144</v>
      </c>
      <c r="L2" s="56" t="s">
        <v>141</v>
      </c>
      <c r="M2" s="56" t="s">
        <v>142</v>
      </c>
      <c r="N2" s="418" t="s">
        <v>724</v>
      </c>
      <c r="O2" s="56" t="s">
        <v>141</v>
      </c>
      <c r="P2" s="56" t="s">
        <v>142</v>
      </c>
      <c r="Q2" s="56" t="s">
        <v>143</v>
      </c>
      <c r="R2" s="418" t="s">
        <v>725</v>
      </c>
      <c r="S2" s="56" t="s">
        <v>141</v>
      </c>
      <c r="T2" s="56" t="s">
        <v>142</v>
      </c>
      <c r="U2" s="56" t="s">
        <v>143</v>
      </c>
      <c r="V2" s="56" t="s">
        <v>144</v>
      </c>
      <c r="W2" s="56" t="s">
        <v>141</v>
      </c>
      <c r="X2" s="56" t="s">
        <v>142</v>
      </c>
      <c r="Y2" s="418" t="s">
        <v>726</v>
      </c>
      <c r="Z2" s="56" t="s">
        <v>144</v>
      </c>
      <c r="AA2" s="419" t="s">
        <v>814</v>
      </c>
      <c r="AB2" s="419" t="s">
        <v>815</v>
      </c>
    </row>
    <row r="3" spans="1:28" s="39" customFormat="1">
      <c r="B3" s="38"/>
      <c r="C3" s="40"/>
      <c r="D3" s="40"/>
      <c r="E3" s="40"/>
      <c r="F3" s="40"/>
      <c r="G3" s="40"/>
      <c r="H3" s="40"/>
      <c r="I3" s="40"/>
      <c r="J3" s="40"/>
      <c r="K3" s="40"/>
      <c r="L3" s="40"/>
      <c r="M3" s="40"/>
      <c r="N3" s="40"/>
      <c r="O3" s="40"/>
      <c r="P3" s="40"/>
      <c r="Q3" s="40"/>
      <c r="R3" s="40"/>
      <c r="S3" s="40"/>
      <c r="T3" s="40"/>
      <c r="U3" s="40"/>
      <c r="V3" s="40"/>
      <c r="W3" s="40"/>
      <c r="X3" s="40"/>
      <c r="Y3" s="40"/>
      <c r="Z3" s="40"/>
    </row>
    <row r="4" spans="1:28" ht="15.75" thickBot="1">
      <c r="A4" s="41" t="s">
        <v>24</v>
      </c>
      <c r="B4" s="42" t="s">
        <v>139</v>
      </c>
      <c r="C4" s="43">
        <v>2.2000000000000002</v>
      </c>
      <c r="D4" s="81">
        <v>2.2000000000000002</v>
      </c>
      <c r="E4" s="81">
        <v>2.2000000000000002</v>
      </c>
      <c r="F4" s="81">
        <v>2.2000000000000002</v>
      </c>
      <c r="G4" s="81">
        <v>2.2000000000000002</v>
      </c>
      <c r="H4" s="81">
        <v>2.2000000000000002</v>
      </c>
      <c r="I4" s="82">
        <v>2.2000000000000002</v>
      </c>
      <c r="J4" s="81">
        <v>2.3333333333333335</v>
      </c>
      <c r="K4" s="81">
        <v>2.4666666666666668</v>
      </c>
      <c r="L4" s="44">
        <v>2.6</v>
      </c>
      <c r="M4" s="44">
        <v>2.7333333333333334</v>
      </c>
      <c r="N4" s="43">
        <v>3</v>
      </c>
      <c r="O4" s="44">
        <v>3.0249999999999999</v>
      </c>
      <c r="P4" s="44">
        <v>3.05</v>
      </c>
      <c r="Q4" s="44">
        <v>3.0749999999999997</v>
      </c>
      <c r="R4" s="43">
        <v>3.1</v>
      </c>
      <c r="S4" s="44">
        <v>3.1166666666666667</v>
      </c>
      <c r="T4" s="44">
        <v>3.1333333333333333</v>
      </c>
      <c r="U4" s="44">
        <v>3.15</v>
      </c>
      <c r="V4" s="44">
        <v>3.1666666666666665</v>
      </c>
      <c r="W4" s="44">
        <v>3.6000000000000005</v>
      </c>
      <c r="X4" s="44">
        <v>3.7000000000000006</v>
      </c>
      <c r="Y4" s="43">
        <v>3.7</v>
      </c>
      <c r="Z4" s="44">
        <v>3.7</v>
      </c>
      <c r="AA4" s="38">
        <v>5</v>
      </c>
      <c r="AB4" s="420">
        <v>0.16</v>
      </c>
    </row>
    <row r="5" spans="1:28" s="49" customFormat="1" ht="15.75" thickBot="1">
      <c r="A5" s="45"/>
      <c r="B5" s="46" t="s">
        <v>140</v>
      </c>
      <c r="C5" s="79">
        <v>2.2000000000000002</v>
      </c>
      <c r="D5" s="84">
        <v>2.2000000000000002</v>
      </c>
      <c r="E5" s="85">
        <v>2.2000000000000002</v>
      </c>
      <c r="F5" s="85">
        <v>2.2000000000000002</v>
      </c>
      <c r="G5" s="85">
        <v>2.2000000000000002</v>
      </c>
      <c r="H5" s="85">
        <v>2.2000000000000002</v>
      </c>
      <c r="I5" s="85">
        <v>3.5</v>
      </c>
      <c r="J5" s="85">
        <v>3</v>
      </c>
      <c r="K5" s="85">
        <v>3</v>
      </c>
      <c r="L5" s="85">
        <v>2.6</v>
      </c>
      <c r="M5" s="85">
        <v>2.6</v>
      </c>
      <c r="N5" s="85">
        <v>2.9</v>
      </c>
      <c r="O5" s="85">
        <v>3</v>
      </c>
      <c r="P5" s="85">
        <v>3.3</v>
      </c>
      <c r="Q5" s="85">
        <v>3</v>
      </c>
      <c r="R5" s="85">
        <v>3.5</v>
      </c>
      <c r="S5" s="85">
        <v>3.5</v>
      </c>
      <c r="T5" s="85">
        <v>3.5</v>
      </c>
      <c r="U5" s="85">
        <v>3.5</v>
      </c>
      <c r="V5" s="86">
        <v>4.0999999999999996</v>
      </c>
      <c r="W5" s="80">
        <v>4.0999999999999996</v>
      </c>
      <c r="X5" s="69">
        <v>4.5</v>
      </c>
      <c r="Y5" s="69">
        <v>0</v>
      </c>
      <c r="Z5" s="69">
        <v>0</v>
      </c>
      <c r="AB5" s="421"/>
    </row>
    <row r="6" spans="1:28" s="49" customFormat="1">
      <c r="A6" s="45"/>
      <c r="B6" s="46"/>
      <c r="C6" s="48"/>
      <c r="D6" s="422"/>
      <c r="E6" s="422"/>
      <c r="F6" s="422"/>
      <c r="G6" s="83"/>
      <c r="H6" s="83"/>
      <c r="I6" s="83"/>
      <c r="J6" s="83"/>
      <c r="K6" s="83"/>
      <c r="L6" s="48"/>
      <c r="M6" s="48"/>
      <c r="N6" s="48"/>
      <c r="O6" s="48"/>
      <c r="P6" s="48"/>
      <c r="Q6" s="48"/>
      <c r="R6" s="48"/>
      <c r="S6" s="48"/>
      <c r="T6" s="48"/>
      <c r="U6" s="48"/>
      <c r="V6" s="48"/>
      <c r="W6" s="48"/>
      <c r="X6" s="48"/>
      <c r="Y6" s="48"/>
      <c r="Z6" s="48"/>
      <c r="AB6" s="421"/>
    </row>
    <row r="7" spans="1:28" ht="15.75" thickBot="1">
      <c r="A7" s="41" t="s">
        <v>25</v>
      </c>
      <c r="B7" s="42" t="s">
        <v>139</v>
      </c>
      <c r="C7" s="43">
        <v>1</v>
      </c>
      <c r="D7" s="81">
        <v>1</v>
      </c>
      <c r="E7" s="81">
        <v>1</v>
      </c>
      <c r="F7" s="81">
        <v>1</v>
      </c>
      <c r="G7" s="81">
        <v>1</v>
      </c>
      <c r="H7" s="81">
        <v>1</v>
      </c>
      <c r="I7" s="82">
        <v>1</v>
      </c>
      <c r="J7" s="81">
        <v>1.0416666666666667</v>
      </c>
      <c r="K7" s="81">
        <v>1.0833333333333335</v>
      </c>
      <c r="L7" s="44">
        <v>1.1250000000000002</v>
      </c>
      <c r="M7" s="44">
        <v>1.166666666666667</v>
      </c>
      <c r="N7" s="43">
        <v>1.25</v>
      </c>
      <c r="O7" s="44">
        <v>1.3875</v>
      </c>
      <c r="P7" s="44">
        <v>1.5249999999999999</v>
      </c>
      <c r="Q7" s="44">
        <v>1.6624999999999999</v>
      </c>
      <c r="R7" s="43">
        <v>1.8</v>
      </c>
      <c r="S7" s="44">
        <v>1.8333333333333335</v>
      </c>
      <c r="T7" s="44">
        <v>1.8666666666666667</v>
      </c>
      <c r="U7" s="44">
        <v>1.9</v>
      </c>
      <c r="V7" s="44">
        <v>1.9333333333333331</v>
      </c>
      <c r="W7" s="44">
        <v>2.3833333333333333</v>
      </c>
      <c r="X7" s="44">
        <v>2.5</v>
      </c>
      <c r="Y7" s="43">
        <v>2.5</v>
      </c>
      <c r="Z7" s="44">
        <v>2.5</v>
      </c>
      <c r="AA7" s="38">
        <v>5</v>
      </c>
      <c r="AB7" s="420">
        <v>0.16</v>
      </c>
    </row>
    <row r="8" spans="1:28" s="49" customFormat="1" ht="15.75" thickBot="1">
      <c r="A8" s="45"/>
      <c r="B8" s="46" t="s">
        <v>140</v>
      </c>
      <c r="C8" s="79">
        <v>1</v>
      </c>
      <c r="D8" s="84">
        <v>1</v>
      </c>
      <c r="E8" s="85">
        <v>1</v>
      </c>
      <c r="F8" s="85">
        <v>1</v>
      </c>
      <c r="G8" s="85">
        <v>1</v>
      </c>
      <c r="H8" s="85">
        <v>1</v>
      </c>
      <c r="I8" s="85">
        <v>2</v>
      </c>
      <c r="J8" s="85">
        <v>2</v>
      </c>
      <c r="K8" s="85">
        <v>2</v>
      </c>
      <c r="L8" s="85">
        <v>2</v>
      </c>
      <c r="M8" s="85">
        <v>2</v>
      </c>
      <c r="N8" s="423">
        <v>2.6</v>
      </c>
      <c r="O8" s="424">
        <v>2.6</v>
      </c>
      <c r="P8" s="424">
        <v>2.6</v>
      </c>
      <c r="Q8" s="424">
        <v>2.1</v>
      </c>
      <c r="R8" s="85">
        <v>2.2999999999999998</v>
      </c>
      <c r="S8" s="85">
        <v>2.2999999999999998</v>
      </c>
      <c r="T8" s="85">
        <v>2.65</v>
      </c>
      <c r="U8" s="85">
        <v>2.65</v>
      </c>
      <c r="V8" s="86">
        <v>2.66</v>
      </c>
      <c r="W8" s="80">
        <v>2.66</v>
      </c>
      <c r="X8" s="69">
        <v>2.7</v>
      </c>
      <c r="Y8" s="69">
        <v>0</v>
      </c>
      <c r="Z8" s="69">
        <v>0</v>
      </c>
      <c r="AB8" s="421"/>
    </row>
    <row r="9" spans="1:28" s="49" customFormat="1">
      <c r="A9" s="45"/>
      <c r="B9" s="46"/>
      <c r="C9" s="48"/>
      <c r="D9" s="83"/>
      <c r="E9" s="83"/>
      <c r="F9" s="83"/>
      <c r="G9" s="83"/>
      <c r="H9" s="83"/>
      <c r="I9" s="83"/>
      <c r="J9" s="83"/>
      <c r="K9" s="83"/>
      <c r="L9" s="48"/>
      <c r="M9" s="48"/>
      <c r="N9" s="48"/>
      <c r="O9" s="48"/>
      <c r="P9" s="48"/>
      <c r="Q9" s="48"/>
      <c r="R9" s="48"/>
      <c r="S9" s="48"/>
      <c r="T9" s="48"/>
      <c r="U9" s="48"/>
      <c r="V9" s="48"/>
      <c r="W9" s="48"/>
      <c r="X9" s="48"/>
      <c r="Y9" s="48"/>
      <c r="Z9" s="48"/>
      <c r="AB9" s="421"/>
    </row>
    <row r="10" spans="1:28" ht="15.75" thickBot="1">
      <c r="A10" s="41" t="s">
        <v>186</v>
      </c>
      <c r="B10" s="42" t="s">
        <v>214</v>
      </c>
      <c r="C10" s="50">
        <v>0</v>
      </c>
      <c r="D10" s="73">
        <v>0.16666666666666666</v>
      </c>
      <c r="E10" s="73">
        <v>0.33333333333333331</v>
      </c>
      <c r="F10" s="73">
        <v>0.5</v>
      </c>
      <c r="G10" s="73">
        <v>0.66666666666666663</v>
      </c>
      <c r="H10" s="73">
        <v>0.83333333333333326</v>
      </c>
      <c r="I10" s="74">
        <v>1</v>
      </c>
      <c r="J10" s="73">
        <v>1</v>
      </c>
      <c r="K10" s="73">
        <v>1</v>
      </c>
      <c r="L10" s="51">
        <v>1</v>
      </c>
      <c r="M10" s="51">
        <v>1</v>
      </c>
      <c r="N10" s="50">
        <v>1</v>
      </c>
      <c r="O10" s="51">
        <v>1.25</v>
      </c>
      <c r="P10" s="51">
        <v>1.5</v>
      </c>
      <c r="Q10" s="51">
        <v>1.75</v>
      </c>
      <c r="R10" s="50">
        <v>2</v>
      </c>
      <c r="S10" s="51">
        <v>2.3333333333333335</v>
      </c>
      <c r="T10" s="51">
        <v>2.666666666666667</v>
      </c>
      <c r="U10" s="51">
        <v>3.0000000000000004</v>
      </c>
      <c r="V10" s="51">
        <v>3.3333333333333339</v>
      </c>
      <c r="W10" s="51">
        <v>3.6666666666666674</v>
      </c>
      <c r="X10" s="51">
        <v>4.0000000000000009</v>
      </c>
      <c r="Y10" s="50">
        <v>4</v>
      </c>
      <c r="Z10" s="51">
        <v>4</v>
      </c>
      <c r="AA10" s="38">
        <v>15</v>
      </c>
      <c r="AB10" s="420">
        <v>0.6</v>
      </c>
    </row>
    <row r="11" spans="1:28" s="49" customFormat="1" ht="15.75" thickBot="1">
      <c r="A11" s="45"/>
      <c r="B11" s="46" t="s">
        <v>215</v>
      </c>
      <c r="C11" s="71">
        <v>0</v>
      </c>
      <c r="D11" s="76">
        <v>0</v>
      </c>
      <c r="E11" s="77">
        <v>0</v>
      </c>
      <c r="F11" s="77">
        <v>0</v>
      </c>
      <c r="G11" s="77">
        <v>0</v>
      </c>
      <c r="H11" s="77">
        <v>0</v>
      </c>
      <c r="I11" s="77">
        <v>2</v>
      </c>
      <c r="J11" s="77">
        <v>2</v>
      </c>
      <c r="K11" s="77">
        <v>2</v>
      </c>
      <c r="L11" s="77">
        <v>1</v>
      </c>
      <c r="M11" s="77">
        <v>0</v>
      </c>
      <c r="N11" s="425">
        <v>1</v>
      </c>
      <c r="O11" s="426">
        <v>1</v>
      </c>
      <c r="P11" s="426">
        <v>1</v>
      </c>
      <c r="Q11" s="426">
        <v>1</v>
      </c>
      <c r="R11" s="77">
        <v>1.5</v>
      </c>
      <c r="S11" s="77">
        <v>2</v>
      </c>
      <c r="T11" s="77">
        <v>2</v>
      </c>
      <c r="U11" s="77">
        <v>2</v>
      </c>
      <c r="V11" s="78">
        <v>2</v>
      </c>
      <c r="W11" s="72">
        <v>2</v>
      </c>
      <c r="X11" s="70">
        <v>2</v>
      </c>
      <c r="Y11" s="70">
        <v>0</v>
      </c>
      <c r="Z11" s="70">
        <v>0</v>
      </c>
      <c r="AA11" s="38"/>
      <c r="AB11" s="420"/>
    </row>
    <row r="12" spans="1:28" s="49" customFormat="1">
      <c r="A12" s="45"/>
      <c r="B12" s="46"/>
      <c r="C12" s="53"/>
      <c r="D12" s="75"/>
      <c r="E12" s="75"/>
      <c r="F12" s="75"/>
      <c r="G12" s="75"/>
      <c r="H12" s="75"/>
      <c r="I12" s="75"/>
      <c r="J12" s="75"/>
      <c r="K12" s="75"/>
      <c r="L12" s="53"/>
      <c r="M12" s="53"/>
      <c r="N12" s="53"/>
      <c r="O12" s="53"/>
      <c r="P12" s="53"/>
      <c r="Q12" s="53"/>
      <c r="R12" s="53"/>
      <c r="S12" s="53"/>
      <c r="T12" s="53"/>
      <c r="U12" s="53"/>
      <c r="V12" s="53"/>
      <c r="W12" s="53"/>
      <c r="X12" s="53"/>
      <c r="Y12" s="53"/>
      <c r="Z12" s="53"/>
      <c r="AB12" s="421"/>
    </row>
    <row r="13" spans="1:28" ht="15.75" thickBot="1">
      <c r="A13" s="41" t="s">
        <v>187</v>
      </c>
      <c r="B13" s="42" t="s">
        <v>216</v>
      </c>
      <c r="C13" s="50">
        <v>2</v>
      </c>
      <c r="D13" s="73">
        <v>3.166666666666667</v>
      </c>
      <c r="E13" s="73">
        <v>4.3333333333333339</v>
      </c>
      <c r="F13" s="73">
        <v>5.5000000000000009</v>
      </c>
      <c r="G13" s="73">
        <v>6.6666666666666679</v>
      </c>
      <c r="H13" s="73">
        <v>7.8333333333333348</v>
      </c>
      <c r="I13" s="74">
        <v>9</v>
      </c>
      <c r="J13" s="73">
        <v>9.6666666666666661</v>
      </c>
      <c r="K13" s="73">
        <v>10.333333333333332</v>
      </c>
      <c r="L13" s="51">
        <v>10.999999999999998</v>
      </c>
      <c r="M13" s="51">
        <v>11.666666666666664</v>
      </c>
      <c r="N13" s="50">
        <v>13</v>
      </c>
      <c r="O13" s="51">
        <v>13.25</v>
      </c>
      <c r="P13" s="51">
        <v>13.5</v>
      </c>
      <c r="Q13" s="51">
        <v>13.75</v>
      </c>
      <c r="R13" s="50">
        <v>14</v>
      </c>
      <c r="S13" s="51">
        <v>14.166666666666666</v>
      </c>
      <c r="T13" s="51">
        <v>14.333333333333332</v>
      </c>
      <c r="U13" s="51">
        <v>14.499999999999998</v>
      </c>
      <c r="V13" s="51">
        <v>14.666666666666664</v>
      </c>
      <c r="W13" s="51">
        <v>14.83333333333333</v>
      </c>
      <c r="X13" s="51">
        <v>14.999999999999996</v>
      </c>
      <c r="Y13" s="50">
        <v>15</v>
      </c>
      <c r="Z13" s="51">
        <v>15</v>
      </c>
      <c r="AA13" s="38">
        <v>15</v>
      </c>
      <c r="AB13" s="420">
        <v>0.6</v>
      </c>
    </row>
    <row r="14" spans="1:28" s="49" customFormat="1" ht="15.75" thickBot="1">
      <c r="A14" s="45"/>
      <c r="B14" s="46" t="s">
        <v>217</v>
      </c>
      <c r="C14" s="71">
        <v>2</v>
      </c>
      <c r="D14" s="76">
        <v>2</v>
      </c>
      <c r="E14" s="77">
        <v>2</v>
      </c>
      <c r="F14" s="77">
        <v>2</v>
      </c>
      <c r="G14" s="77">
        <v>2</v>
      </c>
      <c r="H14" s="77">
        <v>2</v>
      </c>
      <c r="I14" s="77">
        <v>8</v>
      </c>
      <c r="J14" s="77">
        <v>8</v>
      </c>
      <c r="K14" s="77">
        <v>8</v>
      </c>
      <c r="L14" s="77">
        <v>12</v>
      </c>
      <c r="M14" s="77">
        <v>12</v>
      </c>
      <c r="N14" s="425">
        <v>12</v>
      </c>
      <c r="O14" s="426">
        <v>12</v>
      </c>
      <c r="P14" s="426">
        <v>13</v>
      </c>
      <c r="Q14" s="426">
        <v>13</v>
      </c>
      <c r="R14" s="77">
        <v>14</v>
      </c>
      <c r="S14" s="77">
        <v>14</v>
      </c>
      <c r="T14" s="77">
        <v>15</v>
      </c>
      <c r="U14" s="77">
        <v>15</v>
      </c>
      <c r="V14" s="78">
        <v>15</v>
      </c>
      <c r="W14" s="72">
        <v>15</v>
      </c>
      <c r="X14" s="70">
        <v>15</v>
      </c>
      <c r="Y14" s="70">
        <v>0</v>
      </c>
      <c r="Z14" s="70">
        <v>0</v>
      </c>
      <c r="AB14" s="421"/>
    </row>
    <row r="15" spans="1:28" s="49" customFormat="1">
      <c r="A15" s="45"/>
      <c r="B15" s="46"/>
      <c r="C15" s="53"/>
      <c r="D15" s="427"/>
      <c r="E15" s="427"/>
      <c r="F15" s="427"/>
      <c r="G15" s="75"/>
      <c r="H15" s="75"/>
      <c r="I15" s="75"/>
      <c r="J15" s="75"/>
      <c r="K15" s="75"/>
      <c r="L15" s="53"/>
      <c r="M15" s="53"/>
      <c r="N15" s="53"/>
      <c r="O15" s="53"/>
      <c r="P15" s="53"/>
      <c r="Q15" s="53"/>
      <c r="R15" s="53"/>
      <c r="S15" s="53"/>
      <c r="T15" s="53"/>
      <c r="U15" s="53"/>
      <c r="V15" s="53"/>
      <c r="W15" s="53"/>
      <c r="X15" s="53"/>
      <c r="Y15" s="53"/>
      <c r="Z15" s="53"/>
      <c r="AB15" s="421"/>
    </row>
    <row r="16" spans="1:28" ht="15.75" thickBot="1">
      <c r="A16" s="41" t="s">
        <v>188</v>
      </c>
      <c r="B16" s="42" t="s">
        <v>218</v>
      </c>
      <c r="C16" s="50">
        <v>0</v>
      </c>
      <c r="D16" s="73">
        <v>0</v>
      </c>
      <c r="E16" s="73">
        <v>0</v>
      </c>
      <c r="F16" s="73">
        <v>0</v>
      </c>
      <c r="G16" s="73">
        <v>0</v>
      </c>
      <c r="H16" s="73">
        <v>0</v>
      </c>
      <c r="I16" s="74">
        <v>0</v>
      </c>
      <c r="J16" s="73">
        <v>0.16666666666666666</v>
      </c>
      <c r="K16" s="73">
        <v>0.33333333333333331</v>
      </c>
      <c r="L16" s="51">
        <v>0.5</v>
      </c>
      <c r="M16" s="51">
        <v>0.66666666666666663</v>
      </c>
      <c r="N16" s="50">
        <v>1</v>
      </c>
      <c r="O16" s="51">
        <v>1.25</v>
      </c>
      <c r="P16" s="51">
        <v>1.5</v>
      </c>
      <c r="Q16" s="51">
        <v>1.75</v>
      </c>
      <c r="R16" s="50">
        <v>2</v>
      </c>
      <c r="S16" s="51">
        <v>2.3333333333333335</v>
      </c>
      <c r="T16" s="51">
        <v>2.666666666666667</v>
      </c>
      <c r="U16" s="51">
        <v>3.0000000000000004</v>
      </c>
      <c r="V16" s="51">
        <v>3.3333333333333339</v>
      </c>
      <c r="W16" s="51">
        <v>3.6666666666666674</v>
      </c>
      <c r="X16" s="51">
        <v>4.0000000000000009</v>
      </c>
      <c r="Y16" s="50">
        <v>4</v>
      </c>
      <c r="Z16" s="51">
        <v>4</v>
      </c>
      <c r="AA16" s="38">
        <v>15</v>
      </c>
      <c r="AB16" s="420">
        <v>0.6</v>
      </c>
    </row>
    <row r="17" spans="1:28" s="49" customFormat="1" ht="15.75" thickBot="1">
      <c r="A17" s="45"/>
      <c r="B17" s="46" t="s">
        <v>219</v>
      </c>
      <c r="C17" s="71">
        <v>0</v>
      </c>
      <c r="D17" s="76">
        <v>0</v>
      </c>
      <c r="E17" s="77">
        <v>0</v>
      </c>
      <c r="F17" s="77">
        <v>0</v>
      </c>
      <c r="G17" s="77">
        <v>0</v>
      </c>
      <c r="H17" s="77">
        <v>0</v>
      </c>
      <c r="I17" s="77">
        <v>8</v>
      </c>
      <c r="J17" s="77">
        <v>8</v>
      </c>
      <c r="K17" s="77">
        <v>8</v>
      </c>
      <c r="L17" s="77">
        <v>1</v>
      </c>
      <c r="M17" s="77">
        <v>1</v>
      </c>
      <c r="N17" s="425">
        <v>1</v>
      </c>
      <c r="O17" s="426">
        <v>1</v>
      </c>
      <c r="P17" s="426">
        <v>1</v>
      </c>
      <c r="Q17" s="426">
        <v>1</v>
      </c>
      <c r="R17" s="77">
        <v>1</v>
      </c>
      <c r="S17" s="77">
        <v>1</v>
      </c>
      <c r="T17" s="77">
        <v>15</v>
      </c>
      <c r="U17" s="77">
        <v>15</v>
      </c>
      <c r="V17" s="78">
        <v>15</v>
      </c>
      <c r="W17" s="72">
        <v>15</v>
      </c>
      <c r="X17" s="70">
        <v>15</v>
      </c>
      <c r="Y17" s="70">
        <v>0</v>
      </c>
      <c r="Z17" s="70">
        <v>0</v>
      </c>
      <c r="AB17" s="421"/>
    </row>
    <row r="18" spans="1:28" s="49" customFormat="1">
      <c r="A18" s="45"/>
      <c r="B18" s="46"/>
      <c r="C18" s="53"/>
      <c r="D18" s="427"/>
      <c r="E18" s="427"/>
      <c r="F18" s="427"/>
      <c r="G18" s="75"/>
      <c r="H18" s="75"/>
      <c r="I18" s="75"/>
      <c r="J18" s="75"/>
      <c r="K18" s="75"/>
      <c r="L18" s="53"/>
      <c r="M18" s="53"/>
      <c r="N18" s="53"/>
      <c r="O18" s="53"/>
      <c r="P18" s="53"/>
      <c r="Q18" s="53"/>
      <c r="R18" s="53"/>
      <c r="S18" s="53"/>
      <c r="T18" s="53"/>
      <c r="U18" s="53"/>
      <c r="V18" s="53"/>
      <c r="W18" s="53"/>
      <c r="X18" s="53"/>
      <c r="Y18" s="53"/>
      <c r="Z18" s="53"/>
      <c r="AB18" s="421"/>
    </row>
    <row r="19" spans="1:28" ht="15.75" thickBot="1">
      <c r="A19" s="41" t="s">
        <v>189</v>
      </c>
      <c r="B19" s="42" t="s">
        <v>221</v>
      </c>
      <c r="C19" s="50">
        <v>0</v>
      </c>
      <c r="D19" s="73">
        <v>0.33333333333333331</v>
      </c>
      <c r="E19" s="73">
        <v>0.66666666666666663</v>
      </c>
      <c r="F19" s="73">
        <v>1</v>
      </c>
      <c r="G19" s="73">
        <v>1.3333333333333333</v>
      </c>
      <c r="H19" s="73">
        <v>1.6666666666666665</v>
      </c>
      <c r="I19" s="74">
        <v>2</v>
      </c>
      <c r="J19" s="73">
        <v>3.833333333333333</v>
      </c>
      <c r="K19" s="73">
        <v>5.6666666666666661</v>
      </c>
      <c r="L19" s="51">
        <v>7.4999999999999991</v>
      </c>
      <c r="M19" s="51">
        <v>9.3333333333333321</v>
      </c>
      <c r="N19" s="50">
        <v>13</v>
      </c>
      <c r="O19" s="51">
        <v>13.5</v>
      </c>
      <c r="P19" s="51">
        <v>14</v>
      </c>
      <c r="Q19" s="51">
        <v>14.5</v>
      </c>
      <c r="R19" s="50">
        <v>15</v>
      </c>
      <c r="S19" s="51">
        <v>15</v>
      </c>
      <c r="T19" s="51">
        <v>15</v>
      </c>
      <c r="U19" s="51">
        <v>15</v>
      </c>
      <c r="V19" s="51">
        <v>15</v>
      </c>
      <c r="W19" s="51">
        <v>15</v>
      </c>
      <c r="X19" s="51">
        <v>15</v>
      </c>
      <c r="Y19" s="50">
        <v>15</v>
      </c>
      <c r="Z19" s="51">
        <v>15</v>
      </c>
      <c r="AA19" s="38">
        <v>15</v>
      </c>
      <c r="AB19" s="420">
        <v>0.6</v>
      </c>
    </row>
    <row r="20" spans="1:28" s="49" customFormat="1" ht="15.75" thickBot="1">
      <c r="A20" s="45"/>
      <c r="B20" s="46" t="s">
        <v>220</v>
      </c>
      <c r="C20" s="71">
        <v>0</v>
      </c>
      <c r="D20" s="76">
        <v>0</v>
      </c>
      <c r="E20" s="77">
        <v>0</v>
      </c>
      <c r="F20" s="77">
        <v>0</v>
      </c>
      <c r="G20" s="77">
        <v>0</v>
      </c>
      <c r="H20" s="77">
        <v>0</v>
      </c>
      <c r="I20" s="77">
        <v>10</v>
      </c>
      <c r="J20" s="77">
        <v>10</v>
      </c>
      <c r="K20" s="77">
        <v>10</v>
      </c>
      <c r="L20" s="77">
        <v>12</v>
      </c>
      <c r="M20" s="77">
        <v>12</v>
      </c>
      <c r="N20" s="425">
        <v>15</v>
      </c>
      <c r="O20" s="426">
        <v>15</v>
      </c>
      <c r="P20" s="426">
        <v>15</v>
      </c>
      <c r="Q20" s="426">
        <v>15</v>
      </c>
      <c r="R20" s="77">
        <v>15.1</v>
      </c>
      <c r="S20" s="77">
        <v>15.1</v>
      </c>
      <c r="T20" s="77">
        <v>15.1</v>
      </c>
      <c r="U20" s="77">
        <v>15.1</v>
      </c>
      <c r="V20" s="78">
        <v>15.1</v>
      </c>
      <c r="W20" s="72">
        <v>15.1</v>
      </c>
      <c r="X20" s="70">
        <v>15.1</v>
      </c>
      <c r="Y20" s="70">
        <v>0</v>
      </c>
      <c r="Z20" s="70">
        <v>0</v>
      </c>
      <c r="AB20" s="421"/>
    </row>
    <row r="21" spans="1:28" s="49" customFormat="1">
      <c r="A21" s="45"/>
      <c r="B21" s="46"/>
      <c r="C21" s="48"/>
      <c r="D21" s="422"/>
      <c r="E21" s="422"/>
      <c r="F21" s="422"/>
      <c r="G21" s="83"/>
      <c r="H21" s="83"/>
      <c r="I21" s="83"/>
      <c r="J21" s="83"/>
      <c r="K21" s="83"/>
      <c r="L21" s="48"/>
      <c r="M21" s="48"/>
      <c r="N21" s="48"/>
      <c r="O21" s="48"/>
      <c r="P21" s="48"/>
      <c r="Q21" s="48"/>
      <c r="R21" s="48"/>
      <c r="S21" s="48"/>
      <c r="T21" s="48"/>
      <c r="U21" s="48"/>
      <c r="V21" s="48"/>
      <c r="W21" s="48"/>
      <c r="X21" s="48"/>
      <c r="Y21" s="48"/>
      <c r="Z21" s="48"/>
      <c r="AB21" s="421"/>
    </row>
    <row r="22" spans="1:28" ht="15.75" thickBot="1">
      <c r="A22" s="41" t="s">
        <v>22</v>
      </c>
      <c r="B22" s="42" t="s">
        <v>139</v>
      </c>
      <c r="C22" s="43">
        <v>2</v>
      </c>
      <c r="D22" s="81">
        <v>2</v>
      </c>
      <c r="E22" s="81">
        <v>2</v>
      </c>
      <c r="F22" s="81">
        <v>2</v>
      </c>
      <c r="G22" s="81">
        <v>2</v>
      </c>
      <c r="H22" s="81">
        <v>2</v>
      </c>
      <c r="I22" s="82">
        <v>2</v>
      </c>
      <c r="J22" s="81">
        <v>2.1333333333333333</v>
      </c>
      <c r="K22" s="81">
        <v>2.2666666666666666</v>
      </c>
      <c r="L22" s="44">
        <v>2.4</v>
      </c>
      <c r="M22" s="44">
        <v>2.5333333333333332</v>
      </c>
      <c r="N22" s="43">
        <v>2.8</v>
      </c>
      <c r="O22" s="44">
        <v>2.9</v>
      </c>
      <c r="P22" s="44">
        <v>3</v>
      </c>
      <c r="Q22" s="44">
        <v>3.1</v>
      </c>
      <c r="R22" s="43">
        <v>3.2</v>
      </c>
      <c r="S22" s="44">
        <v>3.25</v>
      </c>
      <c r="T22" s="44">
        <v>3.3</v>
      </c>
      <c r="U22" s="44">
        <v>3.3499999999999996</v>
      </c>
      <c r="V22" s="44">
        <v>3.3999999999999995</v>
      </c>
      <c r="W22" s="44">
        <v>3.7833333333333337</v>
      </c>
      <c r="X22" s="44">
        <v>3.9000000000000004</v>
      </c>
      <c r="Y22" s="43">
        <v>3.9</v>
      </c>
      <c r="Z22" s="44">
        <v>3.9</v>
      </c>
      <c r="AA22" s="38">
        <v>5</v>
      </c>
      <c r="AB22" s="420">
        <v>0.16</v>
      </c>
    </row>
    <row r="23" spans="1:28" s="49" customFormat="1" ht="15.75" thickBot="1">
      <c r="A23" s="45"/>
      <c r="B23" s="46" t="s">
        <v>140</v>
      </c>
      <c r="C23" s="79">
        <v>2</v>
      </c>
      <c r="D23" s="84">
        <v>2</v>
      </c>
      <c r="E23" s="85">
        <v>2</v>
      </c>
      <c r="F23" s="85">
        <v>2</v>
      </c>
      <c r="G23" s="85">
        <v>2</v>
      </c>
      <c r="H23" s="85">
        <v>2</v>
      </c>
      <c r="I23" s="85">
        <v>2</v>
      </c>
      <c r="J23" s="85">
        <v>2</v>
      </c>
      <c r="K23" s="85">
        <v>2</v>
      </c>
      <c r="L23" s="85">
        <v>3</v>
      </c>
      <c r="M23" s="85">
        <v>3</v>
      </c>
      <c r="N23" s="423">
        <v>2.9</v>
      </c>
      <c r="O23" s="424">
        <v>3</v>
      </c>
      <c r="P23" s="424">
        <v>3.1</v>
      </c>
      <c r="Q23" s="424">
        <v>3</v>
      </c>
      <c r="R23" s="85">
        <v>4</v>
      </c>
      <c r="S23" s="85">
        <v>4</v>
      </c>
      <c r="T23" s="85">
        <v>3.9</v>
      </c>
      <c r="U23" s="85">
        <v>3.9</v>
      </c>
      <c r="V23" s="86">
        <v>4.0999999999999996</v>
      </c>
      <c r="W23" s="80">
        <v>4.0999999999999996</v>
      </c>
      <c r="X23" s="69">
        <v>4.2</v>
      </c>
      <c r="Y23" s="69">
        <v>0</v>
      </c>
      <c r="Z23" s="69">
        <v>0</v>
      </c>
      <c r="AB23" s="421"/>
    </row>
    <row r="24" spans="1:28" s="49" customFormat="1">
      <c r="A24" s="45"/>
      <c r="B24" s="46"/>
      <c r="C24" s="48"/>
      <c r="D24" s="422"/>
      <c r="E24" s="422"/>
      <c r="F24" s="422"/>
      <c r="G24" s="83"/>
      <c r="H24" s="83"/>
      <c r="I24" s="83"/>
      <c r="J24" s="83"/>
      <c r="K24" s="83"/>
      <c r="L24" s="48"/>
      <c r="M24" s="48"/>
      <c r="N24" s="48"/>
      <c r="O24" s="48"/>
      <c r="P24" s="48"/>
      <c r="Q24" s="48"/>
      <c r="R24" s="48"/>
      <c r="S24" s="48"/>
      <c r="T24" s="48"/>
      <c r="U24" s="48"/>
      <c r="V24" s="48"/>
      <c r="W24" s="48"/>
      <c r="X24" s="48"/>
      <c r="Y24" s="48"/>
      <c r="Z24" s="48"/>
      <c r="AB24" s="421"/>
    </row>
    <row r="25" spans="1:28" ht="15.75" thickBot="1">
      <c r="A25" s="41" t="s">
        <v>23</v>
      </c>
      <c r="B25" s="42" t="s">
        <v>139</v>
      </c>
      <c r="C25" s="43">
        <v>1</v>
      </c>
      <c r="D25" s="81">
        <v>1</v>
      </c>
      <c r="E25" s="81">
        <v>1</v>
      </c>
      <c r="F25" s="81">
        <v>1</v>
      </c>
      <c r="G25" s="81">
        <v>1</v>
      </c>
      <c r="H25" s="81">
        <v>1</v>
      </c>
      <c r="I25" s="82">
        <v>1</v>
      </c>
      <c r="J25" s="81">
        <v>1.0416666666666667</v>
      </c>
      <c r="K25" s="81">
        <v>1.0833333333333335</v>
      </c>
      <c r="L25" s="44">
        <v>1.1250000000000002</v>
      </c>
      <c r="M25" s="44">
        <v>1.166666666666667</v>
      </c>
      <c r="N25" s="43">
        <v>1.25</v>
      </c>
      <c r="O25" s="44">
        <v>1.6875</v>
      </c>
      <c r="P25" s="44">
        <v>2.125</v>
      </c>
      <c r="Q25" s="44">
        <v>2.5625</v>
      </c>
      <c r="R25" s="43">
        <v>3</v>
      </c>
      <c r="S25" s="44">
        <v>3.0833333333333335</v>
      </c>
      <c r="T25" s="44">
        <v>3.166666666666667</v>
      </c>
      <c r="U25" s="44">
        <v>3.2500000000000004</v>
      </c>
      <c r="V25" s="44">
        <v>3.3333333333333339</v>
      </c>
      <c r="W25" s="44">
        <v>3.8333333333333326</v>
      </c>
      <c r="X25" s="44">
        <v>3.9999999999999991</v>
      </c>
      <c r="Y25" s="43">
        <v>4</v>
      </c>
      <c r="Z25" s="44">
        <v>4</v>
      </c>
      <c r="AA25" s="38">
        <v>5</v>
      </c>
      <c r="AB25" s="420">
        <v>0.16</v>
      </c>
    </row>
    <row r="26" spans="1:28" s="49" customFormat="1" ht="15.75" thickBot="1">
      <c r="A26" s="45"/>
      <c r="B26" s="46" t="s">
        <v>140</v>
      </c>
      <c r="C26" s="79">
        <v>1</v>
      </c>
      <c r="D26" s="84">
        <v>1</v>
      </c>
      <c r="E26" s="85">
        <v>1</v>
      </c>
      <c r="F26" s="85">
        <v>1</v>
      </c>
      <c r="G26" s="85">
        <v>1</v>
      </c>
      <c r="H26" s="85">
        <v>1</v>
      </c>
      <c r="I26" s="85">
        <v>3</v>
      </c>
      <c r="J26" s="85">
        <v>3</v>
      </c>
      <c r="K26" s="85">
        <v>3</v>
      </c>
      <c r="L26" s="85">
        <v>2</v>
      </c>
      <c r="M26" s="85">
        <v>2.9</v>
      </c>
      <c r="N26" s="423">
        <v>2.5</v>
      </c>
      <c r="O26" s="424">
        <v>2.6</v>
      </c>
      <c r="P26" s="424">
        <v>2.8</v>
      </c>
      <c r="Q26" s="424">
        <v>2.8</v>
      </c>
      <c r="R26" s="85">
        <v>3.3</v>
      </c>
      <c r="S26" s="85">
        <v>3.5</v>
      </c>
      <c r="T26" s="85">
        <v>4.2</v>
      </c>
      <c r="U26" s="85">
        <v>4.2</v>
      </c>
      <c r="V26" s="86">
        <v>4</v>
      </c>
      <c r="W26" s="80">
        <v>4</v>
      </c>
      <c r="X26" s="69">
        <v>4.5999999999999996</v>
      </c>
      <c r="Y26" s="69">
        <v>0</v>
      </c>
      <c r="Z26" s="69">
        <v>0</v>
      </c>
      <c r="AB26" s="421"/>
    </row>
    <row r="27" spans="1:28" s="49" customFormat="1">
      <c r="A27" s="45"/>
      <c r="B27" s="46"/>
      <c r="C27" s="48"/>
      <c r="D27" s="422"/>
      <c r="E27" s="422"/>
      <c r="F27" s="422"/>
      <c r="G27" s="83"/>
      <c r="H27" s="83"/>
      <c r="I27" s="83"/>
      <c r="J27" s="83"/>
      <c r="K27" s="83"/>
      <c r="L27" s="48"/>
      <c r="M27" s="48"/>
      <c r="N27" s="48"/>
      <c r="O27" s="48"/>
      <c r="P27" s="48"/>
      <c r="Q27" s="48"/>
      <c r="R27" s="48"/>
      <c r="S27" s="48"/>
      <c r="T27" s="48"/>
      <c r="U27" s="48"/>
      <c r="V27" s="48"/>
      <c r="W27" s="48"/>
      <c r="X27" s="48"/>
      <c r="Y27" s="48"/>
      <c r="Z27" s="48"/>
      <c r="AB27" s="421"/>
    </row>
    <row r="28" spans="1:28" ht="15.75" thickBot="1">
      <c r="A28" s="41" t="s">
        <v>38</v>
      </c>
      <c r="B28" s="42" t="s">
        <v>139</v>
      </c>
      <c r="C28" s="47"/>
      <c r="D28" s="47"/>
      <c r="E28" s="47"/>
      <c r="F28" s="47"/>
      <c r="G28" s="47"/>
      <c r="H28" s="47"/>
      <c r="I28" s="47"/>
      <c r="J28" s="47"/>
      <c r="K28" s="47"/>
      <c r="L28" s="47"/>
      <c r="M28" s="47"/>
      <c r="N28" s="43">
        <v>2.9</v>
      </c>
      <c r="O28" s="44">
        <v>2.9249999999999998</v>
      </c>
      <c r="P28" s="44">
        <v>2.9499999999999997</v>
      </c>
      <c r="Q28" s="44">
        <v>2.9749999999999996</v>
      </c>
      <c r="R28" s="43">
        <v>3</v>
      </c>
      <c r="S28" s="44">
        <v>3.0833333333333335</v>
      </c>
      <c r="T28" s="44">
        <v>3.166666666666667</v>
      </c>
      <c r="U28" s="44">
        <v>3.2500000000000004</v>
      </c>
      <c r="V28" s="44">
        <v>3.3333333333333339</v>
      </c>
      <c r="W28" s="44">
        <v>3.8333333333333326</v>
      </c>
      <c r="X28" s="44">
        <v>3.9999999999999991</v>
      </c>
      <c r="Y28" s="43">
        <v>4</v>
      </c>
      <c r="Z28" s="44">
        <v>4</v>
      </c>
      <c r="AA28" s="38">
        <v>5</v>
      </c>
      <c r="AB28" s="420">
        <v>0.16</v>
      </c>
    </row>
    <row r="29" spans="1:28" s="49" customFormat="1" ht="15.75" thickBot="1">
      <c r="A29" s="45"/>
      <c r="B29" s="46" t="s">
        <v>140</v>
      </c>
      <c r="C29" s="47"/>
      <c r="D29" s="47"/>
      <c r="E29" s="47"/>
      <c r="F29" s="47"/>
      <c r="G29" s="47"/>
      <c r="H29" s="47"/>
      <c r="I29" s="47"/>
      <c r="J29" s="47"/>
      <c r="K29" s="47"/>
      <c r="L29" s="47"/>
      <c r="M29" s="47"/>
      <c r="N29" s="47">
        <v>2.9</v>
      </c>
      <c r="O29" s="84">
        <v>1.5</v>
      </c>
      <c r="P29" s="424">
        <v>2.7</v>
      </c>
      <c r="Q29" s="424">
        <v>3.2</v>
      </c>
      <c r="R29" s="85">
        <v>3.5</v>
      </c>
      <c r="S29" s="85">
        <v>3.5</v>
      </c>
      <c r="T29" s="85">
        <v>4.2</v>
      </c>
      <c r="U29" s="85">
        <v>4.2</v>
      </c>
      <c r="V29" s="86">
        <v>4.2</v>
      </c>
      <c r="W29" s="80">
        <v>4.2</v>
      </c>
      <c r="X29" s="69">
        <v>4.2</v>
      </c>
      <c r="Y29" s="69">
        <v>0</v>
      </c>
      <c r="Z29" s="69">
        <v>0</v>
      </c>
      <c r="AB29" s="421"/>
    </row>
    <row r="30" spans="1:28" s="49" customFormat="1">
      <c r="A30" s="45"/>
      <c r="B30" s="46"/>
      <c r="C30" s="48"/>
      <c r="D30" s="48"/>
      <c r="E30" s="48"/>
      <c r="F30" s="48"/>
      <c r="G30" s="48"/>
      <c r="H30" s="48"/>
      <c r="I30" s="48"/>
      <c r="J30" s="48"/>
      <c r="K30" s="48"/>
      <c r="L30" s="48"/>
      <c r="M30" s="48"/>
      <c r="N30" s="48"/>
      <c r="O30" s="48"/>
      <c r="P30" s="48"/>
      <c r="Q30" s="48"/>
      <c r="R30" s="48"/>
      <c r="S30" s="48"/>
      <c r="T30" s="48"/>
      <c r="U30" s="48"/>
      <c r="V30" s="48"/>
      <c r="W30" s="48"/>
      <c r="X30" s="48"/>
      <c r="Y30" s="48"/>
      <c r="Z30" s="48"/>
      <c r="AB30" s="421"/>
    </row>
    <row r="31" spans="1:28" ht="15.75" thickBot="1">
      <c r="A31" s="41" t="s">
        <v>39</v>
      </c>
      <c r="B31" s="42" t="s">
        <v>139</v>
      </c>
      <c r="C31" s="50">
        <v>0</v>
      </c>
      <c r="D31" s="73">
        <v>0.33333333333333331</v>
      </c>
      <c r="E31" s="73">
        <v>0.66666666666666663</v>
      </c>
      <c r="F31" s="73">
        <v>1</v>
      </c>
      <c r="G31" s="73">
        <v>1.3333333333333333</v>
      </c>
      <c r="H31" s="73">
        <v>1.6666666666666665</v>
      </c>
      <c r="I31" s="74">
        <v>2</v>
      </c>
      <c r="J31" s="73">
        <v>2.3333333333333335</v>
      </c>
      <c r="K31" s="73">
        <v>2.666666666666667</v>
      </c>
      <c r="L31" s="51">
        <v>3.0000000000000004</v>
      </c>
      <c r="M31" s="51">
        <v>3.3333333333333339</v>
      </c>
      <c r="N31" s="50">
        <v>4</v>
      </c>
      <c r="O31" s="51">
        <v>4.5</v>
      </c>
      <c r="P31" s="51">
        <v>5</v>
      </c>
      <c r="Q31" s="51">
        <v>5.5</v>
      </c>
      <c r="R31" s="50">
        <v>6</v>
      </c>
      <c r="S31" s="51">
        <v>6.166666666666667</v>
      </c>
      <c r="T31" s="51">
        <v>6.3333333333333339</v>
      </c>
      <c r="U31" s="51">
        <v>6.5000000000000009</v>
      </c>
      <c r="V31" s="51">
        <v>6.6666666666666679</v>
      </c>
      <c r="W31" s="51">
        <v>6.8333333333333348</v>
      </c>
      <c r="X31" s="51">
        <v>7.0000000000000018</v>
      </c>
      <c r="Y31" s="50">
        <v>7</v>
      </c>
      <c r="Z31" s="51">
        <v>7</v>
      </c>
      <c r="AA31" s="38">
        <v>20</v>
      </c>
      <c r="AB31" s="420">
        <v>0.8</v>
      </c>
    </row>
    <row r="32" spans="1:28" s="49" customFormat="1" ht="15.75" thickBot="1">
      <c r="A32" s="45"/>
      <c r="B32" s="46" t="s">
        <v>140</v>
      </c>
      <c r="C32" s="71">
        <v>0</v>
      </c>
      <c r="D32" s="76">
        <v>0</v>
      </c>
      <c r="E32" s="77">
        <v>0</v>
      </c>
      <c r="F32" s="77">
        <v>0</v>
      </c>
      <c r="G32" s="77">
        <v>0</v>
      </c>
      <c r="H32" s="77">
        <v>0</v>
      </c>
      <c r="I32" s="77">
        <v>0</v>
      </c>
      <c r="J32" s="77">
        <v>1</v>
      </c>
      <c r="K32" s="77">
        <v>1</v>
      </c>
      <c r="L32" s="77">
        <v>3</v>
      </c>
      <c r="M32" s="77">
        <v>5</v>
      </c>
      <c r="N32" s="425">
        <v>5</v>
      </c>
      <c r="O32" s="426">
        <v>6</v>
      </c>
      <c r="P32" s="426">
        <v>6</v>
      </c>
      <c r="Q32" s="426">
        <v>7</v>
      </c>
      <c r="R32" s="77">
        <v>8</v>
      </c>
      <c r="S32" s="77">
        <v>9</v>
      </c>
      <c r="T32" s="77">
        <v>9</v>
      </c>
      <c r="U32" s="77">
        <v>9</v>
      </c>
      <c r="V32" s="78">
        <v>7</v>
      </c>
      <c r="W32" s="72">
        <v>7</v>
      </c>
      <c r="X32" s="70">
        <v>7</v>
      </c>
      <c r="Y32" s="70">
        <v>0</v>
      </c>
      <c r="Z32" s="70">
        <v>0</v>
      </c>
      <c r="AB32" s="421"/>
    </row>
    <row r="33" spans="1:28" s="49" customFormat="1">
      <c r="A33" s="45"/>
      <c r="B33" s="46"/>
      <c r="C33" s="53"/>
      <c r="D33" s="75"/>
      <c r="E33" s="75"/>
      <c r="F33" s="75"/>
      <c r="G33" s="75"/>
      <c r="H33" s="75"/>
      <c r="I33" s="75"/>
      <c r="J33" s="75"/>
      <c r="K33" s="75"/>
      <c r="L33" s="53"/>
      <c r="M33" s="53"/>
      <c r="N33" s="53"/>
      <c r="O33" s="53"/>
      <c r="P33" s="53"/>
      <c r="Q33" s="53"/>
      <c r="R33" s="53"/>
      <c r="S33" s="53"/>
      <c r="T33" s="53"/>
      <c r="U33" s="53"/>
      <c r="V33" s="53"/>
      <c r="W33" s="53"/>
      <c r="X33" s="53"/>
      <c r="Y33" s="53"/>
      <c r="Z33" s="53"/>
      <c r="AB33" s="421"/>
    </row>
    <row r="34" spans="1:28" ht="15.75" thickBot="1">
      <c r="A34" s="41" t="s">
        <v>185</v>
      </c>
      <c r="B34" s="42" t="s">
        <v>222</v>
      </c>
      <c r="C34" s="50">
        <v>0</v>
      </c>
      <c r="D34" s="73">
        <v>0</v>
      </c>
      <c r="E34" s="73">
        <v>0</v>
      </c>
      <c r="F34" s="73">
        <v>0</v>
      </c>
      <c r="G34" s="73">
        <v>0</v>
      </c>
      <c r="H34" s="73">
        <v>0</v>
      </c>
      <c r="I34" s="74">
        <v>0</v>
      </c>
      <c r="J34" s="73">
        <v>0.33333333333333331</v>
      </c>
      <c r="K34" s="73">
        <v>0.66666666666666663</v>
      </c>
      <c r="L34" s="51">
        <v>1</v>
      </c>
      <c r="M34" s="51">
        <v>1.3333333333333333</v>
      </c>
      <c r="N34" s="50">
        <v>2</v>
      </c>
      <c r="O34" s="51">
        <v>2.25</v>
      </c>
      <c r="P34" s="51">
        <v>2.5</v>
      </c>
      <c r="Q34" s="51">
        <v>2.75</v>
      </c>
      <c r="R34" s="50">
        <v>3</v>
      </c>
      <c r="S34" s="51">
        <v>3.1666666666666665</v>
      </c>
      <c r="T34" s="51">
        <v>3.333333333333333</v>
      </c>
      <c r="U34" s="51">
        <v>3.4999999999999996</v>
      </c>
      <c r="V34" s="51">
        <v>3.6666666666666661</v>
      </c>
      <c r="W34" s="51">
        <v>3.8333333333333326</v>
      </c>
      <c r="X34" s="51">
        <v>3.9999999999999991</v>
      </c>
      <c r="Y34" s="50">
        <v>4</v>
      </c>
      <c r="Z34" s="51">
        <v>4</v>
      </c>
      <c r="AA34" s="38">
        <v>15</v>
      </c>
      <c r="AB34" s="420">
        <v>0.6</v>
      </c>
    </row>
    <row r="35" spans="1:28" s="49" customFormat="1" ht="15.75" thickBot="1">
      <c r="A35" s="45"/>
      <c r="B35" s="46" t="s">
        <v>223</v>
      </c>
      <c r="C35" s="71">
        <v>0</v>
      </c>
      <c r="D35" s="76">
        <v>0</v>
      </c>
      <c r="E35" s="77">
        <v>0</v>
      </c>
      <c r="F35" s="77">
        <v>0</v>
      </c>
      <c r="G35" s="77">
        <v>0</v>
      </c>
      <c r="H35" s="77">
        <v>0</v>
      </c>
      <c r="I35" s="77">
        <v>0</v>
      </c>
      <c r="J35" s="77">
        <v>0</v>
      </c>
      <c r="K35" s="77">
        <v>0</v>
      </c>
      <c r="L35" s="77">
        <v>1</v>
      </c>
      <c r="M35" s="77">
        <v>2</v>
      </c>
      <c r="N35" s="425">
        <v>3</v>
      </c>
      <c r="O35" s="426">
        <v>3</v>
      </c>
      <c r="P35" s="426">
        <v>3</v>
      </c>
      <c r="Q35" s="426">
        <v>3</v>
      </c>
      <c r="R35" s="77">
        <v>4</v>
      </c>
      <c r="S35" s="77">
        <v>4</v>
      </c>
      <c r="T35" s="77">
        <v>4</v>
      </c>
      <c r="U35" s="77">
        <v>4</v>
      </c>
      <c r="V35" s="78">
        <v>4</v>
      </c>
      <c r="W35" s="72">
        <v>6</v>
      </c>
      <c r="X35" s="70">
        <v>4</v>
      </c>
      <c r="Y35" s="70">
        <v>0</v>
      </c>
      <c r="Z35" s="70">
        <v>0</v>
      </c>
      <c r="AB35" s="421"/>
    </row>
    <row r="36" spans="1:28" s="49" customFormat="1">
      <c r="A36" s="45"/>
      <c r="B36" s="46"/>
      <c r="C36" s="53"/>
      <c r="D36" s="75"/>
      <c r="E36" s="75"/>
      <c r="F36" s="75"/>
      <c r="G36" s="75"/>
      <c r="H36" s="75"/>
      <c r="I36" s="75"/>
      <c r="J36" s="75"/>
      <c r="K36" s="75"/>
      <c r="L36" s="53"/>
      <c r="M36" s="53"/>
      <c r="N36" s="53"/>
      <c r="O36" s="53"/>
      <c r="P36" s="53"/>
      <c r="Q36" s="53"/>
      <c r="R36" s="53"/>
      <c r="S36" s="53"/>
      <c r="T36" s="53"/>
      <c r="U36" s="53"/>
      <c r="V36" s="53"/>
      <c r="W36" s="53"/>
      <c r="X36" s="53"/>
      <c r="Y36" s="53"/>
      <c r="Z36" s="53"/>
      <c r="AB36" s="421"/>
    </row>
    <row r="37" spans="1:28" ht="15.75" thickBot="1">
      <c r="A37" s="41" t="s">
        <v>184</v>
      </c>
      <c r="B37" s="42" t="s">
        <v>226</v>
      </c>
      <c r="C37" s="50">
        <v>0</v>
      </c>
      <c r="D37" s="73">
        <v>0</v>
      </c>
      <c r="E37" s="73">
        <v>0</v>
      </c>
      <c r="F37" s="73">
        <v>0</v>
      </c>
      <c r="G37" s="73">
        <v>0</v>
      </c>
      <c r="H37" s="73">
        <v>0</v>
      </c>
      <c r="I37" s="74">
        <v>0</v>
      </c>
      <c r="J37" s="73">
        <v>0.16666666666666666</v>
      </c>
      <c r="K37" s="73">
        <v>0.33333333333333331</v>
      </c>
      <c r="L37" s="51">
        <v>0.5</v>
      </c>
      <c r="M37" s="51">
        <v>0.66666666666666663</v>
      </c>
      <c r="N37" s="50">
        <v>1</v>
      </c>
      <c r="O37" s="51">
        <v>1.25</v>
      </c>
      <c r="P37" s="51">
        <v>1.5</v>
      </c>
      <c r="Q37" s="51">
        <v>1.75</v>
      </c>
      <c r="R37" s="50">
        <v>2</v>
      </c>
      <c r="S37" s="51">
        <v>2.1666666666666665</v>
      </c>
      <c r="T37" s="51">
        <v>2.333333333333333</v>
      </c>
      <c r="U37" s="51">
        <v>2.4999999999999996</v>
      </c>
      <c r="V37" s="51">
        <v>2.6666666666666661</v>
      </c>
      <c r="W37" s="51">
        <v>2</v>
      </c>
      <c r="X37" s="51">
        <v>2</v>
      </c>
      <c r="Y37" s="50">
        <v>2</v>
      </c>
      <c r="Z37" s="51">
        <v>2</v>
      </c>
      <c r="AA37" s="38">
        <v>10</v>
      </c>
      <c r="AB37" s="420">
        <v>0.4</v>
      </c>
    </row>
    <row r="38" spans="1:28" s="49" customFormat="1" ht="15.75" thickBot="1">
      <c r="A38" s="45"/>
      <c r="B38" s="46" t="s">
        <v>227</v>
      </c>
      <c r="C38" s="71">
        <v>0</v>
      </c>
      <c r="D38" s="76">
        <v>0</v>
      </c>
      <c r="E38" s="77">
        <v>0</v>
      </c>
      <c r="F38" s="77">
        <v>0</v>
      </c>
      <c r="G38" s="77">
        <v>0</v>
      </c>
      <c r="H38" s="77">
        <v>0</v>
      </c>
      <c r="I38" s="77">
        <v>0</v>
      </c>
      <c r="J38" s="77">
        <v>0</v>
      </c>
      <c r="K38" s="77">
        <v>0</v>
      </c>
      <c r="L38" s="77">
        <v>0</v>
      </c>
      <c r="M38" s="77">
        <v>1</v>
      </c>
      <c r="N38" s="425">
        <v>1</v>
      </c>
      <c r="O38" s="426">
        <v>1</v>
      </c>
      <c r="P38" s="426">
        <v>1</v>
      </c>
      <c r="Q38" s="426">
        <v>1</v>
      </c>
      <c r="R38" s="77">
        <v>2</v>
      </c>
      <c r="S38" s="77">
        <v>2</v>
      </c>
      <c r="T38" s="77">
        <v>2</v>
      </c>
      <c r="U38" s="77">
        <v>2</v>
      </c>
      <c r="V38" s="78">
        <v>1</v>
      </c>
      <c r="W38" s="72">
        <v>1</v>
      </c>
      <c r="X38" s="70">
        <v>1</v>
      </c>
      <c r="Y38" s="70">
        <v>0</v>
      </c>
      <c r="Z38" s="70">
        <v>0</v>
      </c>
      <c r="AB38" s="421"/>
    </row>
    <row r="39" spans="1:28" s="49" customFormat="1">
      <c r="A39" s="45"/>
      <c r="B39" s="46"/>
      <c r="C39" s="53"/>
      <c r="D39" s="75"/>
      <c r="E39" s="75"/>
      <c r="F39" s="75"/>
      <c r="G39" s="75"/>
      <c r="H39" s="75"/>
      <c r="I39" s="75"/>
      <c r="J39" s="75"/>
      <c r="K39" s="75"/>
      <c r="L39" s="53"/>
      <c r="M39" s="53"/>
      <c r="N39" s="53"/>
      <c r="O39" s="53"/>
      <c r="P39" s="53"/>
      <c r="Q39" s="53"/>
      <c r="R39" s="53"/>
      <c r="S39" s="53"/>
      <c r="T39" s="53"/>
      <c r="U39" s="53"/>
      <c r="V39" s="53"/>
      <c r="W39" s="53"/>
      <c r="X39" s="53"/>
      <c r="Y39" s="53"/>
      <c r="Z39" s="53"/>
      <c r="AB39" s="421"/>
    </row>
    <row r="40" spans="1:28" ht="15.75" thickBot="1">
      <c r="A40" s="41" t="s">
        <v>183</v>
      </c>
      <c r="B40" s="42" t="s">
        <v>224</v>
      </c>
      <c r="C40" s="50">
        <v>0</v>
      </c>
      <c r="D40" s="73">
        <v>0</v>
      </c>
      <c r="E40" s="73">
        <v>0</v>
      </c>
      <c r="F40" s="73">
        <v>0</v>
      </c>
      <c r="G40" s="73">
        <v>0</v>
      </c>
      <c r="H40" s="73">
        <v>0</v>
      </c>
      <c r="I40" s="74">
        <v>0</v>
      </c>
      <c r="J40" s="73">
        <v>0</v>
      </c>
      <c r="K40" s="73">
        <v>0</v>
      </c>
      <c r="L40" s="51">
        <v>0</v>
      </c>
      <c r="M40" s="51">
        <v>0</v>
      </c>
      <c r="N40" s="50">
        <v>0</v>
      </c>
      <c r="O40" s="51">
        <v>0</v>
      </c>
      <c r="P40" s="51">
        <v>0</v>
      </c>
      <c r="Q40" s="51">
        <v>0</v>
      </c>
      <c r="R40" s="50">
        <v>0</v>
      </c>
      <c r="S40" s="51">
        <v>0.16666666666666666</v>
      </c>
      <c r="T40" s="51">
        <v>0.33333333333333331</v>
      </c>
      <c r="U40" s="51">
        <v>0.5</v>
      </c>
      <c r="V40" s="51">
        <v>0.66666666666666663</v>
      </c>
      <c r="W40" s="51">
        <v>0.83333333333333326</v>
      </c>
      <c r="X40" s="51">
        <v>0.99999999999999989</v>
      </c>
      <c r="Y40" s="50">
        <v>1</v>
      </c>
      <c r="Z40" s="51">
        <v>1</v>
      </c>
      <c r="AA40" s="38">
        <v>5</v>
      </c>
      <c r="AB40" s="420">
        <v>0.2</v>
      </c>
    </row>
    <row r="41" spans="1:28" s="49" customFormat="1" ht="15.75" thickBot="1">
      <c r="A41" s="45"/>
      <c r="B41" s="46" t="s">
        <v>225</v>
      </c>
      <c r="C41" s="71">
        <v>0</v>
      </c>
      <c r="D41" s="76">
        <v>0</v>
      </c>
      <c r="E41" s="77">
        <v>0</v>
      </c>
      <c r="F41" s="77">
        <v>0</v>
      </c>
      <c r="G41" s="77">
        <v>0</v>
      </c>
      <c r="H41" s="77">
        <v>0</v>
      </c>
      <c r="I41" s="77">
        <v>0</v>
      </c>
      <c r="J41" s="77">
        <v>0</v>
      </c>
      <c r="K41" s="77">
        <v>0</v>
      </c>
      <c r="L41" s="77">
        <v>0</v>
      </c>
      <c r="M41" s="77">
        <v>0</v>
      </c>
      <c r="N41" s="425">
        <v>0</v>
      </c>
      <c r="O41" s="426">
        <v>0</v>
      </c>
      <c r="P41" s="426">
        <v>0</v>
      </c>
      <c r="Q41" s="426">
        <v>0</v>
      </c>
      <c r="R41" s="77">
        <v>0</v>
      </c>
      <c r="S41" s="77">
        <v>0</v>
      </c>
      <c r="T41" s="77">
        <v>0</v>
      </c>
      <c r="U41" s="77">
        <v>0</v>
      </c>
      <c r="V41" s="78">
        <v>0</v>
      </c>
      <c r="W41" s="72">
        <v>0</v>
      </c>
      <c r="X41" s="70">
        <v>0</v>
      </c>
      <c r="Y41" s="70">
        <v>0</v>
      </c>
      <c r="Z41" s="70">
        <v>0</v>
      </c>
      <c r="AB41" s="421"/>
    </row>
    <row r="42" spans="1:28" s="49" customFormat="1">
      <c r="A42" s="45"/>
      <c r="B42" s="46"/>
      <c r="C42" s="48"/>
      <c r="D42" s="83"/>
      <c r="E42" s="83"/>
      <c r="F42" s="83"/>
      <c r="G42" s="83"/>
      <c r="H42" s="83"/>
      <c r="I42" s="83"/>
      <c r="J42" s="83"/>
      <c r="K42" s="83"/>
      <c r="L42" s="48"/>
      <c r="M42" s="48"/>
      <c r="N42" s="48"/>
      <c r="O42" s="48"/>
      <c r="P42" s="48"/>
      <c r="Q42" s="48"/>
      <c r="R42" s="48"/>
      <c r="S42" s="48"/>
      <c r="T42" s="48"/>
      <c r="U42" s="48"/>
      <c r="V42" s="48"/>
      <c r="W42" s="48"/>
      <c r="X42" s="48"/>
      <c r="Y42" s="48"/>
      <c r="Z42" s="48"/>
      <c r="AB42" s="421"/>
    </row>
    <row r="43" spans="1:28" ht="15.75" thickBot="1">
      <c r="A43" s="41" t="s">
        <v>16</v>
      </c>
      <c r="B43" s="42" t="s">
        <v>139</v>
      </c>
      <c r="C43" s="43">
        <v>1</v>
      </c>
      <c r="D43" s="81">
        <v>1.0833333333333333</v>
      </c>
      <c r="E43" s="81">
        <v>1.1666666666666665</v>
      </c>
      <c r="F43" s="81">
        <v>1.2499999999999998</v>
      </c>
      <c r="G43" s="81">
        <v>1.333333333333333</v>
      </c>
      <c r="H43" s="81">
        <v>1.4166666666666663</v>
      </c>
      <c r="I43" s="82">
        <v>1.5</v>
      </c>
      <c r="J43" s="81">
        <v>1.6666666666666667</v>
      </c>
      <c r="K43" s="81">
        <v>1.8333333333333335</v>
      </c>
      <c r="L43" s="44">
        <v>2</v>
      </c>
      <c r="M43" s="44">
        <v>2.1666666666666665</v>
      </c>
      <c r="N43" s="43">
        <v>2.5</v>
      </c>
      <c r="O43" s="44">
        <v>2.5499999999999998</v>
      </c>
      <c r="P43" s="44">
        <v>2.5999999999999996</v>
      </c>
      <c r="Q43" s="44">
        <v>2.6499999999999995</v>
      </c>
      <c r="R43" s="43">
        <v>2.7</v>
      </c>
      <c r="S43" s="44">
        <v>2.7833333333333337</v>
      </c>
      <c r="T43" s="44">
        <v>2.8666666666666671</v>
      </c>
      <c r="U43" s="44">
        <v>2.9500000000000006</v>
      </c>
      <c r="V43" s="44">
        <v>3.0333333333333341</v>
      </c>
      <c r="W43" s="44">
        <v>3.3666666666666667</v>
      </c>
      <c r="X43" s="44">
        <v>3.5</v>
      </c>
      <c r="Y43" s="43">
        <v>3.5</v>
      </c>
      <c r="Z43" s="44">
        <v>3.5</v>
      </c>
      <c r="AA43" s="38">
        <v>5</v>
      </c>
      <c r="AB43" s="420">
        <v>0.16</v>
      </c>
    </row>
    <row r="44" spans="1:28" s="49" customFormat="1" ht="15.75" thickBot="1">
      <c r="A44" s="45"/>
      <c r="B44" s="46" t="s">
        <v>140</v>
      </c>
      <c r="C44" s="79">
        <v>1</v>
      </c>
      <c r="D44" s="84">
        <v>1</v>
      </c>
      <c r="E44" s="85">
        <v>1</v>
      </c>
      <c r="F44" s="85">
        <v>1</v>
      </c>
      <c r="G44" s="85">
        <v>1</v>
      </c>
      <c r="H44" s="85">
        <v>1</v>
      </c>
      <c r="I44" s="85">
        <v>2</v>
      </c>
      <c r="J44" s="85">
        <v>2</v>
      </c>
      <c r="K44" s="85">
        <v>2</v>
      </c>
      <c r="L44" s="85">
        <v>2.5</v>
      </c>
      <c r="M44" s="85">
        <v>2.5</v>
      </c>
      <c r="N44" s="423">
        <v>2</v>
      </c>
      <c r="O44" s="424">
        <v>2.2999999999999998</v>
      </c>
      <c r="P44" s="424">
        <v>2.9</v>
      </c>
      <c r="Q44" s="424">
        <v>3</v>
      </c>
      <c r="R44" s="85">
        <v>2.5</v>
      </c>
      <c r="S44" s="85">
        <v>3.2</v>
      </c>
      <c r="T44" s="85">
        <v>3.4</v>
      </c>
      <c r="U44" s="85">
        <v>3.63</v>
      </c>
      <c r="V44" s="86">
        <v>3.9</v>
      </c>
      <c r="W44" s="80">
        <v>4.0999999999999996</v>
      </c>
      <c r="X44" s="69">
        <v>4.0999999999999996</v>
      </c>
      <c r="Y44" s="69">
        <v>0</v>
      </c>
      <c r="Z44" s="69">
        <v>0</v>
      </c>
      <c r="AB44" s="421"/>
    </row>
    <row r="45" spans="1:28" s="49" customFormat="1">
      <c r="A45" s="45"/>
      <c r="B45" s="46"/>
      <c r="C45" s="48"/>
      <c r="D45" s="83"/>
      <c r="E45" s="83"/>
      <c r="F45" s="83"/>
      <c r="G45" s="83"/>
      <c r="H45" s="83"/>
      <c r="I45" s="83"/>
      <c r="J45" s="83"/>
      <c r="K45" s="83"/>
      <c r="L45" s="48"/>
      <c r="M45" s="48"/>
      <c r="N45" s="48"/>
      <c r="O45" s="48"/>
      <c r="P45" s="48"/>
      <c r="Q45" s="48"/>
      <c r="R45" s="48"/>
      <c r="S45" s="48"/>
      <c r="T45" s="48"/>
      <c r="U45" s="48"/>
      <c r="V45" s="48"/>
      <c r="W45" s="48"/>
      <c r="X45" s="48"/>
      <c r="Y45" s="48"/>
      <c r="Z45" s="48"/>
      <c r="AB45" s="421"/>
    </row>
    <row r="46" spans="1:28" ht="15.75" thickBot="1">
      <c r="A46" s="41" t="s">
        <v>17</v>
      </c>
      <c r="B46" s="42" t="s">
        <v>139</v>
      </c>
      <c r="C46" s="43">
        <v>1.5</v>
      </c>
      <c r="D46" s="81">
        <v>1.4166666666666667</v>
      </c>
      <c r="E46" s="81">
        <v>1.3333333333333335</v>
      </c>
      <c r="F46" s="81">
        <v>1.2500000000000002</v>
      </c>
      <c r="G46" s="81">
        <v>1.166666666666667</v>
      </c>
      <c r="H46" s="81">
        <v>1.0833333333333337</v>
      </c>
      <c r="I46" s="82">
        <v>1</v>
      </c>
      <c r="J46" s="81">
        <v>1.1666666666666667</v>
      </c>
      <c r="K46" s="81">
        <v>1.3333333333333335</v>
      </c>
      <c r="L46" s="44">
        <v>1.5000000000000002</v>
      </c>
      <c r="M46" s="44">
        <v>1.666666666666667</v>
      </c>
      <c r="N46" s="43">
        <v>2</v>
      </c>
      <c r="O46" s="44">
        <v>2.125</v>
      </c>
      <c r="P46" s="44">
        <v>2.25</v>
      </c>
      <c r="Q46" s="44">
        <v>2.375</v>
      </c>
      <c r="R46" s="43">
        <v>2.5</v>
      </c>
      <c r="S46" s="44">
        <v>2.5833333333333335</v>
      </c>
      <c r="T46" s="44">
        <v>2.666666666666667</v>
      </c>
      <c r="U46" s="44">
        <v>2.7500000000000004</v>
      </c>
      <c r="V46" s="44">
        <v>2.8333333333333339</v>
      </c>
      <c r="W46" s="44">
        <v>3.3333333333333326</v>
      </c>
      <c r="X46" s="44">
        <v>3.4999999999999991</v>
      </c>
      <c r="Y46" s="43">
        <v>3.5</v>
      </c>
      <c r="Z46" s="44">
        <v>3.5</v>
      </c>
      <c r="AA46" s="38">
        <v>5</v>
      </c>
      <c r="AB46" s="420">
        <v>0.16</v>
      </c>
    </row>
    <row r="47" spans="1:28" s="49" customFormat="1" ht="15.75" thickBot="1">
      <c r="A47" s="45"/>
      <c r="B47" s="46" t="s">
        <v>140</v>
      </c>
      <c r="C47" s="79">
        <v>1.5</v>
      </c>
      <c r="D47" s="84">
        <v>0</v>
      </c>
      <c r="E47" s="85">
        <v>0</v>
      </c>
      <c r="F47" s="85">
        <v>0</v>
      </c>
      <c r="G47" s="85">
        <v>0</v>
      </c>
      <c r="H47" s="85">
        <v>0</v>
      </c>
      <c r="I47" s="85">
        <v>0</v>
      </c>
      <c r="J47" s="85">
        <v>1</v>
      </c>
      <c r="K47" s="85">
        <v>1</v>
      </c>
      <c r="L47" s="85">
        <v>2</v>
      </c>
      <c r="M47" s="85">
        <v>2</v>
      </c>
      <c r="N47" s="423">
        <v>2.2999999999999998</v>
      </c>
      <c r="O47" s="424">
        <v>2.2999999999999998</v>
      </c>
      <c r="P47" s="424">
        <v>2.5</v>
      </c>
      <c r="Q47" s="424">
        <v>3</v>
      </c>
      <c r="R47" s="85">
        <v>3.1</v>
      </c>
      <c r="S47" s="85">
        <v>3.5</v>
      </c>
      <c r="T47" s="85">
        <v>3.6</v>
      </c>
      <c r="U47" s="85">
        <v>3.87</v>
      </c>
      <c r="V47" s="86">
        <v>3.93</v>
      </c>
      <c r="W47" s="80">
        <v>4</v>
      </c>
      <c r="X47" s="69">
        <v>3.9</v>
      </c>
      <c r="Y47" s="69">
        <v>0</v>
      </c>
      <c r="Z47" s="69">
        <v>0</v>
      </c>
      <c r="AB47" s="421"/>
    </row>
    <row r="48" spans="1:28" s="49" customFormat="1">
      <c r="A48" s="45"/>
      <c r="B48" s="46"/>
      <c r="C48" s="48"/>
      <c r="D48" s="83"/>
      <c r="E48" s="83"/>
      <c r="F48" s="83"/>
      <c r="G48" s="83"/>
      <c r="H48" s="83"/>
      <c r="I48" s="83"/>
      <c r="J48" s="83"/>
      <c r="K48" s="83"/>
      <c r="L48" s="48"/>
      <c r="M48" s="48"/>
      <c r="N48" s="48"/>
      <c r="O48" s="48"/>
      <c r="P48" s="48"/>
      <c r="Q48" s="48"/>
      <c r="R48" s="48"/>
      <c r="S48" s="48"/>
      <c r="T48" s="48"/>
      <c r="U48" s="48"/>
      <c r="V48" s="48"/>
      <c r="W48" s="48"/>
      <c r="X48" s="48"/>
      <c r="Y48" s="48"/>
      <c r="Z48" s="48"/>
      <c r="AB48" s="421"/>
    </row>
    <row r="49" spans="1:28" ht="15.75" thickBot="1">
      <c r="A49" s="41" t="s">
        <v>18</v>
      </c>
      <c r="B49" s="42" t="s">
        <v>139</v>
      </c>
      <c r="C49" s="50">
        <v>0</v>
      </c>
      <c r="D49" s="73">
        <v>0</v>
      </c>
      <c r="E49" s="73">
        <v>0</v>
      </c>
      <c r="F49" s="73">
        <v>0</v>
      </c>
      <c r="G49" s="73">
        <v>0</v>
      </c>
      <c r="H49" s="73">
        <v>0</v>
      </c>
      <c r="I49" s="74">
        <v>0</v>
      </c>
      <c r="J49" s="73">
        <v>0.16666666666666666</v>
      </c>
      <c r="K49" s="73">
        <v>0.33333333333333331</v>
      </c>
      <c r="L49" s="51">
        <v>0.5</v>
      </c>
      <c r="M49" s="51">
        <v>0.66666666666666663</v>
      </c>
      <c r="N49" s="50">
        <v>1</v>
      </c>
      <c r="O49" s="51">
        <v>1.25</v>
      </c>
      <c r="P49" s="51">
        <v>1.5</v>
      </c>
      <c r="Q49" s="51">
        <v>1.75</v>
      </c>
      <c r="R49" s="50">
        <v>2</v>
      </c>
      <c r="S49" s="51">
        <v>2.1666666666666665</v>
      </c>
      <c r="T49" s="51">
        <v>2.333333333333333</v>
      </c>
      <c r="U49" s="51">
        <v>2.4999999999999996</v>
      </c>
      <c r="V49" s="51">
        <v>2.6666666666666661</v>
      </c>
      <c r="W49" s="51">
        <v>8.6666666666666661</v>
      </c>
      <c r="X49" s="51">
        <v>10</v>
      </c>
      <c r="Y49" s="50">
        <v>10</v>
      </c>
      <c r="Z49" s="51">
        <v>10</v>
      </c>
      <c r="AA49" s="38">
        <v>10</v>
      </c>
      <c r="AB49" s="420">
        <v>0.4</v>
      </c>
    </row>
    <row r="50" spans="1:28" s="49" customFormat="1" ht="15.75" thickBot="1">
      <c r="A50" s="45"/>
      <c r="B50" s="46" t="s">
        <v>140</v>
      </c>
      <c r="C50" s="71">
        <v>0</v>
      </c>
      <c r="D50" s="76">
        <v>0</v>
      </c>
      <c r="E50" s="77">
        <v>0</v>
      </c>
      <c r="F50" s="77">
        <v>0</v>
      </c>
      <c r="G50" s="77">
        <v>0</v>
      </c>
      <c r="H50" s="77">
        <v>0</v>
      </c>
      <c r="I50" s="77">
        <v>0</v>
      </c>
      <c r="J50" s="77">
        <v>0</v>
      </c>
      <c r="K50" s="77">
        <v>0</v>
      </c>
      <c r="L50" s="77">
        <v>1</v>
      </c>
      <c r="M50" s="77">
        <v>2</v>
      </c>
      <c r="N50" s="425">
        <v>1</v>
      </c>
      <c r="O50" s="426">
        <v>0</v>
      </c>
      <c r="P50" s="426">
        <v>3</v>
      </c>
      <c r="Q50" s="426">
        <v>3</v>
      </c>
      <c r="R50" s="85">
        <v>6</v>
      </c>
      <c r="S50" s="85">
        <v>7</v>
      </c>
      <c r="T50" s="85">
        <v>11</v>
      </c>
      <c r="U50" s="85">
        <v>12</v>
      </c>
      <c r="V50" s="86">
        <v>15</v>
      </c>
      <c r="W50" s="80">
        <v>15</v>
      </c>
      <c r="X50" s="69">
        <v>17</v>
      </c>
      <c r="Y50" s="69">
        <v>0</v>
      </c>
      <c r="Z50" s="69">
        <v>0</v>
      </c>
      <c r="AB50" s="421"/>
    </row>
    <row r="51" spans="1:28" s="49" customFormat="1">
      <c r="A51" s="45"/>
      <c r="B51" s="46"/>
      <c r="C51" s="48"/>
      <c r="D51" s="83"/>
      <c r="E51" s="83"/>
      <c r="F51" s="83"/>
      <c r="G51" s="83"/>
      <c r="H51" s="83"/>
      <c r="I51" s="83"/>
      <c r="J51" s="83"/>
      <c r="K51" s="83"/>
      <c r="L51" s="48"/>
      <c r="M51" s="48"/>
      <c r="N51" s="48"/>
      <c r="O51" s="48"/>
      <c r="P51" s="48"/>
      <c r="Q51" s="48"/>
      <c r="R51" s="48"/>
      <c r="S51" s="48"/>
      <c r="T51" s="48"/>
      <c r="U51" s="48"/>
      <c r="V51" s="48"/>
      <c r="W51" s="48"/>
      <c r="X51" s="48"/>
      <c r="Y51" s="48"/>
      <c r="Z51" s="48"/>
      <c r="AB51" s="421"/>
    </row>
    <row r="52" spans="1:28" ht="15.75" thickBot="1">
      <c r="A52" s="41" t="s">
        <v>19</v>
      </c>
      <c r="B52" s="42" t="s">
        <v>139</v>
      </c>
      <c r="C52" s="43">
        <v>1</v>
      </c>
      <c r="D52" s="81">
        <v>1.0833333333333333</v>
      </c>
      <c r="E52" s="81">
        <v>1.1666666666666665</v>
      </c>
      <c r="F52" s="81">
        <v>1.2499999999999998</v>
      </c>
      <c r="G52" s="81">
        <v>1.333333333333333</v>
      </c>
      <c r="H52" s="81">
        <v>1.4166666666666663</v>
      </c>
      <c r="I52" s="82">
        <v>1.5</v>
      </c>
      <c r="J52" s="81">
        <v>1.5833333333333333</v>
      </c>
      <c r="K52" s="81">
        <v>1.6666666666666665</v>
      </c>
      <c r="L52" s="44">
        <v>1.7499999999999998</v>
      </c>
      <c r="M52" s="44">
        <v>1.833333333333333</v>
      </c>
      <c r="N52" s="43">
        <v>2</v>
      </c>
      <c r="O52" s="44">
        <v>2.1749999999999998</v>
      </c>
      <c r="P52" s="44">
        <v>2.3499999999999996</v>
      </c>
      <c r="Q52" s="44">
        <v>2.5249999999999995</v>
      </c>
      <c r="R52" s="43">
        <v>2.7</v>
      </c>
      <c r="S52" s="44">
        <v>2.75</v>
      </c>
      <c r="T52" s="44">
        <v>2.8</v>
      </c>
      <c r="U52" s="44">
        <v>2.8499999999999996</v>
      </c>
      <c r="V52" s="44">
        <v>2.8999999999999995</v>
      </c>
      <c r="W52" s="44">
        <v>2.9499999999999993</v>
      </c>
      <c r="X52" s="44">
        <v>2.9999999999999991</v>
      </c>
      <c r="Y52" s="43">
        <v>3</v>
      </c>
      <c r="Z52" s="44">
        <v>3</v>
      </c>
      <c r="AA52" s="38">
        <v>5</v>
      </c>
      <c r="AB52" s="420">
        <v>0.16</v>
      </c>
    </row>
    <row r="53" spans="1:28" s="49" customFormat="1" ht="15.75" thickBot="1">
      <c r="A53" s="45"/>
      <c r="B53" s="46" t="s">
        <v>140</v>
      </c>
      <c r="C53" s="79">
        <v>1</v>
      </c>
      <c r="D53" s="84">
        <v>1</v>
      </c>
      <c r="E53" s="85">
        <v>1</v>
      </c>
      <c r="F53" s="85">
        <v>1</v>
      </c>
      <c r="G53" s="85">
        <v>1</v>
      </c>
      <c r="H53" s="85">
        <v>1</v>
      </c>
      <c r="I53" s="85">
        <v>0</v>
      </c>
      <c r="J53" s="85">
        <v>0</v>
      </c>
      <c r="K53" s="85">
        <v>0</v>
      </c>
      <c r="L53" s="85">
        <v>2</v>
      </c>
      <c r="M53" s="85">
        <v>2</v>
      </c>
      <c r="N53" s="423">
        <v>1.3</v>
      </c>
      <c r="O53" s="424">
        <v>1.7</v>
      </c>
      <c r="P53" s="424">
        <v>2.5</v>
      </c>
      <c r="Q53" s="424">
        <v>2.8</v>
      </c>
      <c r="R53" s="85">
        <v>3.2</v>
      </c>
      <c r="S53" s="85">
        <v>3.3</v>
      </c>
      <c r="T53" s="85">
        <v>3.4</v>
      </c>
      <c r="U53" s="85">
        <v>3.92</v>
      </c>
      <c r="V53" s="86">
        <v>3.95</v>
      </c>
      <c r="W53" s="80">
        <v>3.95</v>
      </c>
      <c r="X53" s="69">
        <v>4.0999999999999996</v>
      </c>
      <c r="Y53" s="69">
        <v>0</v>
      </c>
      <c r="Z53" s="69">
        <v>0</v>
      </c>
      <c r="AB53" s="421"/>
    </row>
    <row r="54" spans="1:28" s="49" customFormat="1">
      <c r="A54" s="45"/>
      <c r="B54" s="46"/>
      <c r="C54" s="48"/>
      <c r="D54" s="83"/>
      <c r="E54" s="83"/>
      <c r="F54" s="83"/>
      <c r="G54" s="83"/>
      <c r="H54" s="83"/>
      <c r="I54" s="83"/>
      <c r="J54" s="83"/>
      <c r="K54" s="83"/>
      <c r="L54" s="48"/>
      <c r="M54" s="48"/>
      <c r="N54" s="48"/>
      <c r="O54" s="48"/>
      <c r="P54" s="48"/>
      <c r="Q54" s="48"/>
      <c r="R54" s="48"/>
      <c r="S54" s="48"/>
      <c r="T54" s="48"/>
      <c r="U54" s="48"/>
      <c r="V54" s="48"/>
      <c r="W54" s="48"/>
      <c r="X54" s="48"/>
      <c r="Y54" s="48"/>
      <c r="Z54" s="48"/>
      <c r="AB54" s="421"/>
    </row>
    <row r="55" spans="1:28" ht="15.75" thickBot="1">
      <c r="A55" s="41" t="s">
        <v>20</v>
      </c>
      <c r="B55" s="42" t="s">
        <v>139</v>
      </c>
      <c r="C55" s="43">
        <v>1</v>
      </c>
      <c r="D55" s="81">
        <v>1.0333333333333332</v>
      </c>
      <c r="E55" s="81">
        <v>1.0666666666666664</v>
      </c>
      <c r="F55" s="81">
        <v>1.0999999999999996</v>
      </c>
      <c r="G55" s="81">
        <v>1.1333333333333329</v>
      </c>
      <c r="H55" s="81">
        <v>1.1666666666666661</v>
      </c>
      <c r="I55" s="82">
        <v>1.2</v>
      </c>
      <c r="J55" s="81">
        <v>1.3333333333333333</v>
      </c>
      <c r="K55" s="81">
        <v>1.4666666666666666</v>
      </c>
      <c r="L55" s="44">
        <v>1.5999999999999999</v>
      </c>
      <c r="M55" s="44">
        <v>1.7333333333333332</v>
      </c>
      <c r="N55" s="43">
        <v>2</v>
      </c>
      <c r="O55" s="44">
        <v>2.25</v>
      </c>
      <c r="P55" s="44">
        <v>2.5</v>
      </c>
      <c r="Q55" s="44">
        <v>2.75</v>
      </c>
      <c r="R55" s="43">
        <v>3</v>
      </c>
      <c r="S55" s="44">
        <v>3.1666666666666665</v>
      </c>
      <c r="T55" s="44">
        <v>3.333333333333333</v>
      </c>
      <c r="U55" s="44">
        <v>3.4999999999999996</v>
      </c>
      <c r="V55" s="44">
        <v>3.6666666666666661</v>
      </c>
      <c r="W55" s="44">
        <v>3.5000000000000004</v>
      </c>
      <c r="X55" s="44">
        <v>3.6000000000000005</v>
      </c>
      <c r="Y55" s="43">
        <v>3.6</v>
      </c>
      <c r="Z55" s="44">
        <v>3.6</v>
      </c>
      <c r="AA55" s="38">
        <v>5</v>
      </c>
      <c r="AB55" s="420">
        <v>0.16</v>
      </c>
    </row>
    <row r="56" spans="1:28" s="49" customFormat="1" ht="15.75" thickBot="1">
      <c r="A56" s="45"/>
      <c r="B56" s="46" t="s">
        <v>140</v>
      </c>
      <c r="C56" s="79">
        <v>1</v>
      </c>
      <c r="D56" s="84">
        <v>1</v>
      </c>
      <c r="E56" s="85">
        <v>1</v>
      </c>
      <c r="F56" s="85">
        <v>1</v>
      </c>
      <c r="G56" s="85">
        <v>1</v>
      </c>
      <c r="H56" s="85">
        <v>1</v>
      </c>
      <c r="I56" s="85">
        <v>0</v>
      </c>
      <c r="J56" s="85">
        <v>0</v>
      </c>
      <c r="K56" s="85">
        <v>0</v>
      </c>
      <c r="L56" s="85">
        <v>2</v>
      </c>
      <c r="M56" s="85">
        <v>2</v>
      </c>
      <c r="N56" s="423">
        <v>2.8</v>
      </c>
      <c r="O56" s="424">
        <v>2.8</v>
      </c>
      <c r="P56" s="424">
        <v>1.9</v>
      </c>
      <c r="Q56" s="424">
        <v>2.2999999999999998</v>
      </c>
      <c r="R56" s="85">
        <v>2.9</v>
      </c>
      <c r="S56" s="85">
        <v>3.3</v>
      </c>
      <c r="T56" s="85">
        <v>3.45</v>
      </c>
      <c r="U56" s="85">
        <v>2.8</v>
      </c>
      <c r="V56" s="86">
        <v>3.8</v>
      </c>
      <c r="W56" s="80">
        <v>3.8</v>
      </c>
      <c r="X56" s="69">
        <v>3.7</v>
      </c>
      <c r="Y56" s="69">
        <v>0</v>
      </c>
      <c r="Z56" s="69">
        <v>0</v>
      </c>
      <c r="AB56" s="421"/>
    </row>
    <row r="57" spans="1:28" s="49" customFormat="1">
      <c r="A57" s="45"/>
      <c r="B57" s="46"/>
      <c r="C57" s="48"/>
      <c r="D57" s="83"/>
      <c r="E57" s="83"/>
      <c r="F57" s="83"/>
      <c r="G57" s="83"/>
      <c r="H57" s="83"/>
      <c r="I57" s="83"/>
      <c r="J57" s="83"/>
      <c r="K57" s="83"/>
      <c r="L57" s="48"/>
      <c r="M57" s="48"/>
      <c r="N57" s="48"/>
      <c r="O57" s="48"/>
      <c r="P57" s="48"/>
      <c r="Q57" s="48"/>
      <c r="R57" s="48"/>
      <c r="S57" s="48"/>
      <c r="T57" s="48"/>
      <c r="U57" s="48"/>
      <c r="V57" s="48"/>
      <c r="W57" s="48"/>
      <c r="X57" s="48"/>
      <c r="Y57" s="48"/>
      <c r="Z57" s="48"/>
      <c r="AB57" s="421"/>
    </row>
    <row r="58" spans="1:28" ht="15.75" thickBot="1">
      <c r="A58" s="41" t="s">
        <v>21</v>
      </c>
      <c r="B58" s="42" t="s">
        <v>139</v>
      </c>
      <c r="C58" s="50">
        <v>0</v>
      </c>
      <c r="D58" s="73">
        <v>0</v>
      </c>
      <c r="E58" s="73">
        <v>0</v>
      </c>
      <c r="F58" s="73">
        <v>0</v>
      </c>
      <c r="G58" s="73">
        <v>0</v>
      </c>
      <c r="H58" s="73">
        <v>0</v>
      </c>
      <c r="I58" s="74">
        <v>0</v>
      </c>
      <c r="J58" s="73">
        <v>0.33333333333333331</v>
      </c>
      <c r="K58" s="73">
        <v>0.66666666666666663</v>
      </c>
      <c r="L58" s="51">
        <v>1</v>
      </c>
      <c r="M58" s="51">
        <v>1.3333333333333333</v>
      </c>
      <c r="N58" s="50">
        <v>2</v>
      </c>
      <c r="O58" s="51">
        <v>2.5</v>
      </c>
      <c r="P58" s="51">
        <v>3</v>
      </c>
      <c r="Q58" s="51">
        <v>3.5</v>
      </c>
      <c r="R58" s="50">
        <v>4</v>
      </c>
      <c r="S58" s="51">
        <v>4.5</v>
      </c>
      <c r="T58" s="51">
        <v>5</v>
      </c>
      <c r="U58" s="51">
        <v>5.5</v>
      </c>
      <c r="V58" s="51">
        <v>6</v>
      </c>
      <c r="W58" s="51">
        <v>9</v>
      </c>
      <c r="X58" s="51">
        <v>10</v>
      </c>
      <c r="Y58" s="50">
        <v>10</v>
      </c>
      <c r="Z58" s="51">
        <v>10</v>
      </c>
      <c r="AA58" s="38">
        <v>10</v>
      </c>
      <c r="AB58" s="420">
        <v>0.4</v>
      </c>
    </row>
    <row r="59" spans="1:28" s="49" customFormat="1" ht="15.75" thickBot="1">
      <c r="A59" s="45"/>
      <c r="B59" s="46" t="s">
        <v>140</v>
      </c>
      <c r="C59" s="71">
        <v>0</v>
      </c>
      <c r="D59" s="76">
        <v>0</v>
      </c>
      <c r="E59" s="77">
        <v>0</v>
      </c>
      <c r="F59" s="77">
        <v>0</v>
      </c>
      <c r="G59" s="77">
        <v>0</v>
      </c>
      <c r="H59" s="77">
        <v>0</v>
      </c>
      <c r="I59" s="77">
        <v>0</v>
      </c>
      <c r="J59" s="77">
        <v>0</v>
      </c>
      <c r="K59" s="77">
        <v>0</v>
      </c>
      <c r="L59" s="77">
        <v>1</v>
      </c>
      <c r="M59" s="77">
        <v>1</v>
      </c>
      <c r="N59" s="425">
        <v>3</v>
      </c>
      <c r="O59" s="426">
        <v>3</v>
      </c>
      <c r="P59" s="426">
        <v>4</v>
      </c>
      <c r="Q59" s="426">
        <v>4</v>
      </c>
      <c r="R59" s="77">
        <v>6</v>
      </c>
      <c r="S59" s="77">
        <v>7</v>
      </c>
      <c r="T59" s="77">
        <v>8</v>
      </c>
      <c r="U59" s="77">
        <v>9</v>
      </c>
      <c r="V59" s="78">
        <v>10</v>
      </c>
      <c r="W59" s="72">
        <v>10</v>
      </c>
      <c r="X59" s="70">
        <v>10</v>
      </c>
      <c r="Y59" s="70">
        <v>0</v>
      </c>
      <c r="Z59" s="70">
        <v>0</v>
      </c>
      <c r="AB59" s="421"/>
    </row>
    <row r="60" spans="1:28" s="49" customFormat="1">
      <c r="A60" s="45"/>
      <c r="B60" s="46"/>
      <c r="C60" s="53"/>
      <c r="D60" s="83"/>
      <c r="E60" s="83"/>
      <c r="F60" s="83"/>
      <c r="G60" s="83"/>
      <c r="H60" s="83"/>
      <c r="I60" s="83"/>
      <c r="J60" s="83"/>
      <c r="K60" s="83"/>
      <c r="L60" s="53"/>
      <c r="M60" s="53"/>
      <c r="N60" s="53"/>
      <c r="O60" s="53"/>
      <c r="P60" s="53"/>
      <c r="Q60" s="53"/>
      <c r="R60" s="53"/>
      <c r="S60" s="53"/>
      <c r="T60" s="53"/>
      <c r="U60" s="53"/>
      <c r="V60" s="53"/>
      <c r="W60" s="53"/>
      <c r="X60" s="53"/>
      <c r="Y60" s="53"/>
      <c r="Z60" s="53"/>
      <c r="AB60" s="421"/>
    </row>
    <row r="61" spans="1:28" ht="15.75" thickBot="1">
      <c r="A61" s="41" t="s">
        <v>166</v>
      </c>
      <c r="B61" s="42" t="s">
        <v>202</v>
      </c>
      <c r="C61" s="50">
        <v>0</v>
      </c>
      <c r="D61" s="73">
        <v>0.5</v>
      </c>
      <c r="E61" s="73">
        <v>1</v>
      </c>
      <c r="F61" s="73">
        <v>1.5</v>
      </c>
      <c r="G61" s="73">
        <v>2</v>
      </c>
      <c r="H61" s="73">
        <v>2.5</v>
      </c>
      <c r="I61" s="74">
        <v>3</v>
      </c>
      <c r="J61" s="73">
        <v>3.3333333333333335</v>
      </c>
      <c r="K61" s="73">
        <v>3.666666666666667</v>
      </c>
      <c r="L61" s="51">
        <v>4</v>
      </c>
      <c r="M61" s="51">
        <v>4.333333333333333</v>
      </c>
      <c r="N61" s="50">
        <v>5</v>
      </c>
      <c r="O61" s="51">
        <v>5.75</v>
      </c>
      <c r="P61" s="51">
        <v>6.5</v>
      </c>
      <c r="Q61" s="51">
        <v>7.25</v>
      </c>
      <c r="R61" s="50">
        <v>8</v>
      </c>
      <c r="S61" s="51">
        <v>8.3333333333333339</v>
      </c>
      <c r="T61" s="51">
        <v>8.6666666666666679</v>
      </c>
      <c r="U61" s="51">
        <v>9.0000000000000018</v>
      </c>
      <c r="V61" s="51">
        <v>9.3333333333333357</v>
      </c>
      <c r="W61" s="51">
        <v>9.6666666666666696</v>
      </c>
      <c r="X61" s="51">
        <v>10.000000000000004</v>
      </c>
      <c r="Y61" s="50">
        <v>10</v>
      </c>
      <c r="Z61" s="51">
        <v>10</v>
      </c>
      <c r="AA61" s="38">
        <v>20</v>
      </c>
      <c r="AB61" s="420">
        <v>0.8</v>
      </c>
    </row>
    <row r="62" spans="1:28" s="49" customFormat="1" ht="15.75" thickBot="1">
      <c r="A62" s="45"/>
      <c r="B62" s="46" t="s">
        <v>203</v>
      </c>
      <c r="C62" s="71">
        <v>0</v>
      </c>
      <c r="D62" s="76">
        <v>0</v>
      </c>
      <c r="E62" s="77">
        <v>0</v>
      </c>
      <c r="F62" s="77">
        <v>0</v>
      </c>
      <c r="G62" s="77">
        <v>0</v>
      </c>
      <c r="H62" s="77">
        <v>0</v>
      </c>
      <c r="I62" s="77">
        <v>0</v>
      </c>
      <c r="J62" s="77">
        <v>0</v>
      </c>
      <c r="K62" s="77">
        <v>0</v>
      </c>
      <c r="L62" s="77">
        <v>4</v>
      </c>
      <c r="M62" s="77">
        <v>4</v>
      </c>
      <c r="N62" s="425">
        <v>5</v>
      </c>
      <c r="O62" s="426">
        <v>6</v>
      </c>
      <c r="P62" s="426">
        <v>7</v>
      </c>
      <c r="Q62" s="426">
        <v>8</v>
      </c>
      <c r="R62" s="77">
        <v>11</v>
      </c>
      <c r="S62" s="77">
        <v>15</v>
      </c>
      <c r="T62" s="77">
        <v>18</v>
      </c>
      <c r="U62" s="77">
        <v>19</v>
      </c>
      <c r="V62" s="78">
        <v>7</v>
      </c>
      <c r="W62" s="72">
        <v>7</v>
      </c>
      <c r="X62" s="70">
        <v>12</v>
      </c>
      <c r="Y62" s="70">
        <v>0</v>
      </c>
      <c r="Z62" s="70">
        <v>0</v>
      </c>
      <c r="AB62" s="421"/>
    </row>
    <row r="63" spans="1:28" s="49" customFormat="1">
      <c r="A63" s="45"/>
      <c r="B63" s="46"/>
      <c r="C63" s="53"/>
      <c r="D63" s="427"/>
      <c r="E63" s="427"/>
      <c r="F63" s="427"/>
      <c r="G63" s="75"/>
      <c r="H63" s="75"/>
      <c r="I63" s="75"/>
      <c r="J63" s="75"/>
      <c r="K63" s="75"/>
      <c r="L63" s="53"/>
      <c r="M63" s="53"/>
      <c r="N63" s="53"/>
      <c r="O63" s="53"/>
      <c r="P63" s="53"/>
      <c r="Q63" s="53"/>
      <c r="R63" s="53"/>
      <c r="S63" s="53"/>
      <c r="T63" s="53"/>
      <c r="U63" s="53"/>
      <c r="V63" s="53"/>
      <c r="W63" s="53"/>
      <c r="X63" s="53"/>
      <c r="Y63" s="53"/>
      <c r="Z63" s="53"/>
      <c r="AB63" s="421"/>
    </row>
    <row r="64" spans="1:28" ht="15.75" thickBot="1">
      <c r="A64" s="41" t="s">
        <v>167</v>
      </c>
      <c r="B64" s="42" t="s">
        <v>213</v>
      </c>
      <c r="C64" s="50">
        <v>0</v>
      </c>
      <c r="D64" s="73">
        <v>0.33333333333333331</v>
      </c>
      <c r="E64" s="73">
        <v>0.66666666666666663</v>
      </c>
      <c r="F64" s="73">
        <v>1</v>
      </c>
      <c r="G64" s="73">
        <v>1.3333333333333333</v>
      </c>
      <c r="H64" s="73">
        <v>1.6666666666666665</v>
      </c>
      <c r="I64" s="74">
        <v>2</v>
      </c>
      <c r="J64" s="73">
        <v>2.3333333333333335</v>
      </c>
      <c r="K64" s="73">
        <v>2.666666666666667</v>
      </c>
      <c r="L64" s="51">
        <v>3.0000000000000004</v>
      </c>
      <c r="M64" s="51">
        <v>3.3333333333333339</v>
      </c>
      <c r="N64" s="50">
        <v>4</v>
      </c>
      <c r="O64" s="51">
        <v>4.5</v>
      </c>
      <c r="P64" s="51">
        <v>5</v>
      </c>
      <c r="Q64" s="51">
        <v>5.5</v>
      </c>
      <c r="R64" s="50">
        <v>6</v>
      </c>
      <c r="S64" s="51">
        <v>6.333333333333333</v>
      </c>
      <c r="T64" s="51">
        <v>6.6666666666666661</v>
      </c>
      <c r="U64" s="51">
        <v>6.9999999999999991</v>
      </c>
      <c r="V64" s="51">
        <v>7.3333333333333321</v>
      </c>
      <c r="W64" s="51">
        <v>7.6666666666666652</v>
      </c>
      <c r="X64" s="51">
        <v>7.9999999999999982</v>
      </c>
      <c r="Y64" s="50">
        <v>8</v>
      </c>
      <c r="Z64" s="51">
        <v>8</v>
      </c>
      <c r="AA64" s="38">
        <v>20</v>
      </c>
      <c r="AB64" s="420">
        <v>0.8</v>
      </c>
    </row>
    <row r="65" spans="1:28" s="49" customFormat="1" ht="15.75" thickBot="1">
      <c r="A65" s="45"/>
      <c r="B65" s="46" t="s">
        <v>212</v>
      </c>
      <c r="C65" s="71">
        <v>0</v>
      </c>
      <c r="D65" s="76">
        <v>0</v>
      </c>
      <c r="E65" s="77">
        <v>0</v>
      </c>
      <c r="F65" s="77">
        <v>0</v>
      </c>
      <c r="G65" s="77">
        <v>0</v>
      </c>
      <c r="H65" s="77">
        <v>0</v>
      </c>
      <c r="I65" s="77">
        <v>0</v>
      </c>
      <c r="J65" s="77">
        <v>0</v>
      </c>
      <c r="K65" s="77">
        <v>0</v>
      </c>
      <c r="L65" s="77">
        <v>3</v>
      </c>
      <c r="M65" s="77">
        <v>3</v>
      </c>
      <c r="N65" s="425">
        <v>4</v>
      </c>
      <c r="O65" s="426">
        <v>4</v>
      </c>
      <c r="P65" s="426">
        <v>8</v>
      </c>
      <c r="Q65" s="426">
        <v>8</v>
      </c>
      <c r="R65" s="77">
        <v>11</v>
      </c>
      <c r="S65" s="77">
        <v>13</v>
      </c>
      <c r="T65" s="77">
        <v>15</v>
      </c>
      <c r="U65" s="77">
        <v>19</v>
      </c>
      <c r="V65" s="78">
        <v>7</v>
      </c>
      <c r="W65" s="72">
        <v>7</v>
      </c>
      <c r="X65" s="70">
        <v>10</v>
      </c>
      <c r="Y65" s="70">
        <v>0</v>
      </c>
      <c r="Z65" s="70">
        <v>0</v>
      </c>
      <c r="AB65" s="421"/>
    </row>
    <row r="66" spans="1:28" s="49" customFormat="1">
      <c r="A66" s="45"/>
      <c r="B66" s="46"/>
      <c r="C66" s="53"/>
      <c r="D66" s="427"/>
      <c r="E66" s="427"/>
      <c r="F66" s="427"/>
      <c r="G66" s="75"/>
      <c r="H66" s="75"/>
      <c r="I66" s="75"/>
      <c r="J66" s="75"/>
      <c r="K66" s="75"/>
      <c r="L66" s="53"/>
      <c r="M66" s="53"/>
      <c r="N66" s="53"/>
      <c r="O66" s="53"/>
      <c r="P66" s="53"/>
      <c r="Q66" s="53"/>
      <c r="R66" s="53"/>
      <c r="S66" s="53"/>
      <c r="T66" s="53"/>
      <c r="U66" s="53"/>
      <c r="V66" s="53"/>
      <c r="W66" s="53"/>
      <c r="X66" s="53"/>
      <c r="Y66" s="53"/>
      <c r="Z66" s="53"/>
      <c r="AB66" s="421"/>
    </row>
    <row r="67" spans="1:28" ht="15.75" thickBot="1">
      <c r="A67" s="41" t="s">
        <v>168</v>
      </c>
      <c r="B67" s="42" t="s">
        <v>211</v>
      </c>
      <c r="C67" s="50">
        <v>0</v>
      </c>
      <c r="D67" s="73">
        <v>0.16666666666666666</v>
      </c>
      <c r="E67" s="73">
        <v>0.33333333333333331</v>
      </c>
      <c r="F67" s="73">
        <v>0.5</v>
      </c>
      <c r="G67" s="73">
        <v>0.66666666666666663</v>
      </c>
      <c r="H67" s="73">
        <v>0.83333333333333326</v>
      </c>
      <c r="I67" s="74">
        <v>1</v>
      </c>
      <c r="J67" s="73">
        <v>1.3333333333333333</v>
      </c>
      <c r="K67" s="73">
        <v>1.6666666666666665</v>
      </c>
      <c r="L67" s="51">
        <v>1.9999999999999998</v>
      </c>
      <c r="M67" s="51">
        <v>2.333333333333333</v>
      </c>
      <c r="N67" s="50">
        <v>3</v>
      </c>
      <c r="O67" s="51">
        <v>3.5</v>
      </c>
      <c r="P67" s="51">
        <v>4</v>
      </c>
      <c r="Q67" s="51">
        <v>4.5</v>
      </c>
      <c r="R67" s="50">
        <v>5</v>
      </c>
      <c r="S67" s="51">
        <v>5.333333333333333</v>
      </c>
      <c r="T67" s="51">
        <v>5.6666666666666661</v>
      </c>
      <c r="U67" s="51">
        <v>5.9999999999999991</v>
      </c>
      <c r="V67" s="51">
        <v>6.3333333333333321</v>
      </c>
      <c r="W67" s="51">
        <v>5</v>
      </c>
      <c r="X67" s="51">
        <v>5</v>
      </c>
      <c r="Y67" s="50">
        <v>5</v>
      </c>
      <c r="Z67" s="51">
        <v>5</v>
      </c>
      <c r="AA67" s="38">
        <v>20</v>
      </c>
      <c r="AB67" s="420">
        <v>0.8</v>
      </c>
    </row>
    <row r="68" spans="1:28" s="49" customFormat="1" ht="15.75" thickBot="1">
      <c r="A68" s="45"/>
      <c r="B68" s="46" t="s">
        <v>210</v>
      </c>
      <c r="C68" s="71">
        <v>0</v>
      </c>
      <c r="D68" s="76">
        <v>0</v>
      </c>
      <c r="E68" s="77">
        <v>0</v>
      </c>
      <c r="F68" s="77">
        <v>0</v>
      </c>
      <c r="G68" s="77">
        <v>0</v>
      </c>
      <c r="H68" s="77">
        <v>0</v>
      </c>
      <c r="I68" s="77">
        <v>0</v>
      </c>
      <c r="J68" s="77">
        <v>0</v>
      </c>
      <c r="K68" s="77">
        <v>0</v>
      </c>
      <c r="L68" s="77">
        <v>2</v>
      </c>
      <c r="M68" s="77">
        <v>2</v>
      </c>
      <c r="N68" s="425">
        <v>2</v>
      </c>
      <c r="O68" s="426">
        <v>3</v>
      </c>
      <c r="P68" s="426">
        <v>7</v>
      </c>
      <c r="Q68" s="426">
        <v>11</v>
      </c>
      <c r="R68" s="77">
        <v>10</v>
      </c>
      <c r="S68" s="77">
        <v>10</v>
      </c>
      <c r="T68" s="77">
        <v>12</v>
      </c>
      <c r="U68" s="77">
        <v>17</v>
      </c>
      <c r="V68" s="78">
        <v>5</v>
      </c>
      <c r="W68" s="72">
        <v>5</v>
      </c>
      <c r="X68" s="70">
        <v>5</v>
      </c>
      <c r="Y68" s="70">
        <v>0</v>
      </c>
      <c r="Z68" s="70">
        <v>0</v>
      </c>
      <c r="AB68" s="421"/>
    </row>
    <row r="69" spans="1:28" s="49" customFormat="1">
      <c r="A69" s="45"/>
      <c r="B69" s="46"/>
      <c r="C69" s="53"/>
      <c r="D69" s="427"/>
      <c r="E69" s="427"/>
      <c r="F69" s="427"/>
      <c r="G69" s="75"/>
      <c r="H69" s="75"/>
      <c r="I69" s="75"/>
      <c r="J69" s="75"/>
      <c r="K69" s="75"/>
      <c r="L69" s="53"/>
      <c r="M69" s="53"/>
      <c r="N69" s="53"/>
      <c r="O69" s="53"/>
      <c r="P69" s="53"/>
      <c r="Q69" s="53"/>
      <c r="R69" s="53"/>
      <c r="S69" s="53"/>
      <c r="T69" s="53"/>
      <c r="U69" s="53"/>
      <c r="V69" s="53"/>
      <c r="W69" s="53"/>
      <c r="X69" s="53"/>
      <c r="Y69" s="53"/>
      <c r="Z69" s="53"/>
      <c r="AB69" s="421"/>
    </row>
    <row r="70" spans="1:28" ht="15.75" thickBot="1">
      <c r="A70" s="41" t="s">
        <v>169</v>
      </c>
      <c r="B70" s="42" t="s">
        <v>209</v>
      </c>
      <c r="C70" s="50">
        <v>0</v>
      </c>
      <c r="D70" s="73">
        <v>0</v>
      </c>
      <c r="E70" s="73">
        <v>0</v>
      </c>
      <c r="F70" s="73">
        <v>0</v>
      </c>
      <c r="G70" s="73">
        <v>0</v>
      </c>
      <c r="H70" s="73">
        <v>0</v>
      </c>
      <c r="I70" s="74">
        <v>0</v>
      </c>
      <c r="J70" s="73">
        <v>0.16666666666666666</v>
      </c>
      <c r="K70" s="73">
        <v>0.33333333333333331</v>
      </c>
      <c r="L70" s="51">
        <v>0.5</v>
      </c>
      <c r="M70" s="51">
        <v>0.66666666666666663</v>
      </c>
      <c r="N70" s="50">
        <v>1</v>
      </c>
      <c r="O70" s="51">
        <v>1.5</v>
      </c>
      <c r="P70" s="51">
        <v>2</v>
      </c>
      <c r="Q70" s="51">
        <v>2.5</v>
      </c>
      <c r="R70" s="50">
        <v>3</v>
      </c>
      <c r="S70" s="51">
        <v>3.3333333333333335</v>
      </c>
      <c r="T70" s="51">
        <v>3.666666666666667</v>
      </c>
      <c r="U70" s="51">
        <v>4</v>
      </c>
      <c r="V70" s="51">
        <v>4.333333333333333</v>
      </c>
      <c r="W70" s="51">
        <v>3</v>
      </c>
      <c r="X70" s="51">
        <v>3</v>
      </c>
      <c r="Y70" s="50">
        <v>3</v>
      </c>
      <c r="Z70" s="51">
        <v>3</v>
      </c>
      <c r="AA70" s="38">
        <v>20</v>
      </c>
      <c r="AB70" s="420">
        <v>0.8</v>
      </c>
    </row>
    <row r="71" spans="1:28" s="49" customFormat="1" ht="15.75" thickBot="1">
      <c r="A71" s="45"/>
      <c r="B71" s="46" t="s">
        <v>208</v>
      </c>
      <c r="C71" s="71">
        <v>0</v>
      </c>
      <c r="D71" s="76">
        <v>0</v>
      </c>
      <c r="E71" s="77">
        <v>0</v>
      </c>
      <c r="F71" s="77">
        <v>0</v>
      </c>
      <c r="G71" s="77">
        <v>0</v>
      </c>
      <c r="H71" s="77">
        <v>0</v>
      </c>
      <c r="I71" s="77">
        <v>0</v>
      </c>
      <c r="J71" s="77">
        <v>0</v>
      </c>
      <c r="K71" s="77">
        <v>0</v>
      </c>
      <c r="L71" s="77">
        <v>1</v>
      </c>
      <c r="M71" s="77">
        <v>1</v>
      </c>
      <c r="N71" s="425">
        <v>2</v>
      </c>
      <c r="O71" s="426">
        <v>1</v>
      </c>
      <c r="P71" s="426">
        <v>6</v>
      </c>
      <c r="Q71" s="426">
        <v>6</v>
      </c>
      <c r="R71" s="77">
        <v>6</v>
      </c>
      <c r="S71" s="77">
        <v>6</v>
      </c>
      <c r="T71" s="77">
        <v>8</v>
      </c>
      <c r="U71" s="77">
        <v>8</v>
      </c>
      <c r="V71" s="78">
        <v>1</v>
      </c>
      <c r="W71" s="72">
        <v>1</v>
      </c>
      <c r="X71" s="70">
        <v>1</v>
      </c>
      <c r="Y71" s="70">
        <v>0</v>
      </c>
      <c r="Z71" s="70">
        <v>0</v>
      </c>
      <c r="AB71" s="421"/>
    </row>
    <row r="72" spans="1:28" s="49" customFormat="1">
      <c r="A72" s="45"/>
      <c r="B72" s="46"/>
      <c r="C72" s="53"/>
      <c r="D72" s="427"/>
      <c r="E72" s="427"/>
      <c r="F72" s="427"/>
      <c r="G72" s="75"/>
      <c r="H72" s="75"/>
      <c r="I72" s="75"/>
      <c r="J72" s="75"/>
      <c r="K72" s="75"/>
      <c r="L72" s="53"/>
      <c r="M72" s="53"/>
      <c r="N72" s="53"/>
      <c r="O72" s="53"/>
      <c r="P72" s="53"/>
      <c r="Q72" s="53"/>
      <c r="R72" s="53"/>
      <c r="S72" s="53"/>
      <c r="T72" s="53"/>
      <c r="U72" s="53"/>
      <c r="V72" s="53"/>
      <c r="W72" s="53"/>
      <c r="X72" s="53"/>
      <c r="Y72" s="53"/>
      <c r="Z72" s="53"/>
      <c r="AB72" s="421"/>
    </row>
    <row r="73" spans="1:28" ht="15.75" thickBot="1">
      <c r="A73" s="41" t="s">
        <v>162</v>
      </c>
      <c r="B73" s="42" t="s">
        <v>202</v>
      </c>
      <c r="C73" s="50">
        <v>0</v>
      </c>
      <c r="D73" s="73">
        <v>0.5</v>
      </c>
      <c r="E73" s="73">
        <v>1</v>
      </c>
      <c r="F73" s="73">
        <v>1.5</v>
      </c>
      <c r="G73" s="73">
        <v>2</v>
      </c>
      <c r="H73" s="73">
        <v>2.5</v>
      </c>
      <c r="I73" s="74">
        <v>3</v>
      </c>
      <c r="J73" s="73">
        <v>3.3333333333333335</v>
      </c>
      <c r="K73" s="73">
        <v>3.666666666666667</v>
      </c>
      <c r="L73" s="51">
        <v>4</v>
      </c>
      <c r="M73" s="51">
        <v>4.333333333333333</v>
      </c>
      <c r="N73" s="50">
        <v>5</v>
      </c>
      <c r="O73" s="51">
        <v>5.75</v>
      </c>
      <c r="P73" s="51">
        <v>6.5</v>
      </c>
      <c r="Q73" s="51">
        <v>7.25</v>
      </c>
      <c r="R73" s="50">
        <v>8</v>
      </c>
      <c r="S73" s="51">
        <v>8.3333333333333339</v>
      </c>
      <c r="T73" s="51">
        <v>8.6666666666666679</v>
      </c>
      <c r="U73" s="51">
        <v>9.0000000000000018</v>
      </c>
      <c r="V73" s="51">
        <v>9.3333333333333357</v>
      </c>
      <c r="W73" s="51">
        <v>9.6666666666666696</v>
      </c>
      <c r="X73" s="51">
        <v>10.000000000000004</v>
      </c>
      <c r="Y73" s="50">
        <v>10</v>
      </c>
      <c r="Z73" s="51">
        <v>10</v>
      </c>
      <c r="AA73" s="38">
        <v>20</v>
      </c>
      <c r="AB73" s="420">
        <v>0.8</v>
      </c>
    </row>
    <row r="74" spans="1:28" s="49" customFormat="1" ht="15.75" thickBot="1">
      <c r="A74" s="45"/>
      <c r="B74" s="46" t="s">
        <v>203</v>
      </c>
      <c r="C74" s="71">
        <v>0</v>
      </c>
      <c r="D74" s="76">
        <v>0</v>
      </c>
      <c r="E74" s="77">
        <v>0</v>
      </c>
      <c r="F74" s="77">
        <v>0</v>
      </c>
      <c r="G74" s="77">
        <v>0</v>
      </c>
      <c r="H74" s="77">
        <v>0</v>
      </c>
      <c r="I74" s="77">
        <v>0</v>
      </c>
      <c r="J74" s="77">
        <v>0</v>
      </c>
      <c r="K74" s="77">
        <v>0</v>
      </c>
      <c r="L74" s="77">
        <v>2</v>
      </c>
      <c r="M74" s="77">
        <v>2</v>
      </c>
      <c r="N74" s="425">
        <v>5</v>
      </c>
      <c r="O74" s="426">
        <v>5</v>
      </c>
      <c r="P74" s="426">
        <v>7</v>
      </c>
      <c r="Q74" s="426">
        <v>11</v>
      </c>
      <c r="R74" s="77">
        <v>7</v>
      </c>
      <c r="S74" s="77">
        <v>7</v>
      </c>
      <c r="T74" s="77">
        <v>8</v>
      </c>
      <c r="U74" s="77">
        <v>9</v>
      </c>
      <c r="V74" s="78">
        <v>6</v>
      </c>
      <c r="W74" s="72">
        <v>7</v>
      </c>
      <c r="X74" s="70">
        <v>12</v>
      </c>
      <c r="Y74" s="70">
        <v>0</v>
      </c>
      <c r="Z74" s="70">
        <v>0</v>
      </c>
      <c r="AB74" s="421"/>
    </row>
    <row r="75" spans="1:28" s="49" customFormat="1">
      <c r="A75" s="45"/>
      <c r="B75" s="46"/>
      <c r="C75" s="53"/>
      <c r="D75" s="428"/>
      <c r="E75" s="428"/>
      <c r="F75" s="428"/>
      <c r="G75" s="53"/>
      <c r="H75" s="53"/>
      <c r="I75" s="53"/>
      <c r="J75" s="53"/>
      <c r="K75" s="53"/>
      <c r="L75" s="53"/>
      <c r="M75" s="53"/>
      <c r="N75" s="53"/>
      <c r="O75" s="53"/>
      <c r="P75" s="53"/>
      <c r="Q75" s="53"/>
      <c r="R75" s="53"/>
      <c r="S75" s="53"/>
      <c r="T75" s="53"/>
      <c r="U75" s="53"/>
      <c r="V75" s="53"/>
      <c r="W75" s="53"/>
      <c r="X75" s="53"/>
      <c r="Y75" s="53"/>
      <c r="Z75" s="53"/>
      <c r="AB75" s="421"/>
    </row>
    <row r="76" spans="1:28" ht="15.75" thickBot="1">
      <c r="A76" s="41" t="s">
        <v>163</v>
      </c>
      <c r="B76" s="42" t="s">
        <v>213</v>
      </c>
      <c r="C76" s="50">
        <v>0</v>
      </c>
      <c r="D76" s="73">
        <v>0.33333333333333331</v>
      </c>
      <c r="E76" s="73">
        <v>0.66666666666666663</v>
      </c>
      <c r="F76" s="73">
        <v>1</v>
      </c>
      <c r="G76" s="73">
        <v>1.3333333333333333</v>
      </c>
      <c r="H76" s="73">
        <v>1.6666666666666665</v>
      </c>
      <c r="I76" s="74">
        <v>2</v>
      </c>
      <c r="J76" s="73">
        <v>2.3333333333333335</v>
      </c>
      <c r="K76" s="73">
        <v>2.666666666666667</v>
      </c>
      <c r="L76" s="51">
        <v>3.0000000000000004</v>
      </c>
      <c r="M76" s="51">
        <v>3.3333333333333339</v>
      </c>
      <c r="N76" s="50">
        <v>4</v>
      </c>
      <c r="O76" s="51">
        <v>4.5</v>
      </c>
      <c r="P76" s="51">
        <v>5</v>
      </c>
      <c r="Q76" s="51">
        <v>5.5</v>
      </c>
      <c r="R76" s="50">
        <v>6</v>
      </c>
      <c r="S76" s="51">
        <v>6.333333333333333</v>
      </c>
      <c r="T76" s="51">
        <v>6.6666666666666661</v>
      </c>
      <c r="U76" s="51">
        <v>6.9999999999999991</v>
      </c>
      <c r="V76" s="51">
        <v>7.3333333333333321</v>
      </c>
      <c r="W76" s="51">
        <v>7.6666666666666652</v>
      </c>
      <c r="X76" s="51">
        <v>7.9999999999999982</v>
      </c>
      <c r="Y76" s="50">
        <v>8</v>
      </c>
      <c r="Z76" s="51">
        <v>8</v>
      </c>
      <c r="AA76" s="38">
        <v>20</v>
      </c>
      <c r="AB76" s="420">
        <v>0.8</v>
      </c>
    </row>
    <row r="77" spans="1:28" s="49" customFormat="1" ht="15.75" thickBot="1">
      <c r="A77" s="45"/>
      <c r="B77" s="46" t="s">
        <v>212</v>
      </c>
      <c r="C77" s="71">
        <v>0</v>
      </c>
      <c r="D77" s="76">
        <v>0</v>
      </c>
      <c r="E77" s="77">
        <v>0</v>
      </c>
      <c r="F77" s="77">
        <v>0</v>
      </c>
      <c r="G77" s="77">
        <v>0</v>
      </c>
      <c r="H77" s="77">
        <v>0</v>
      </c>
      <c r="I77" s="77">
        <v>0</v>
      </c>
      <c r="J77" s="77">
        <v>0</v>
      </c>
      <c r="K77" s="77">
        <v>0</v>
      </c>
      <c r="L77" s="77">
        <v>2</v>
      </c>
      <c r="M77" s="77">
        <v>2</v>
      </c>
      <c r="N77" s="425">
        <v>4</v>
      </c>
      <c r="O77" s="426">
        <v>4</v>
      </c>
      <c r="P77" s="426">
        <v>5</v>
      </c>
      <c r="Q77" s="426">
        <v>5</v>
      </c>
      <c r="R77" s="77">
        <v>1</v>
      </c>
      <c r="S77" s="77">
        <v>4</v>
      </c>
      <c r="T77" s="77">
        <v>6</v>
      </c>
      <c r="U77" s="77">
        <v>10</v>
      </c>
      <c r="V77" s="78">
        <v>5</v>
      </c>
      <c r="W77" s="72">
        <v>5</v>
      </c>
      <c r="X77" s="70">
        <v>10</v>
      </c>
      <c r="Y77" s="70">
        <v>0</v>
      </c>
      <c r="Z77" s="70">
        <v>0</v>
      </c>
      <c r="AB77" s="421"/>
    </row>
    <row r="78" spans="1:28" s="49" customFormat="1">
      <c r="A78" s="45"/>
      <c r="B78" s="46"/>
      <c r="C78" s="53"/>
      <c r="D78" s="428"/>
      <c r="E78" s="428"/>
      <c r="F78" s="428"/>
      <c r="G78" s="53"/>
      <c r="H78" s="53"/>
      <c r="I78" s="53"/>
      <c r="J78" s="53"/>
      <c r="K78" s="53"/>
      <c r="L78" s="53"/>
      <c r="M78" s="53"/>
      <c r="N78" s="53"/>
      <c r="O78" s="53"/>
      <c r="P78" s="53"/>
      <c r="Q78" s="53"/>
      <c r="R78" s="53"/>
      <c r="S78" s="53"/>
      <c r="T78" s="53"/>
      <c r="U78" s="53"/>
      <c r="V78" s="53"/>
      <c r="W78" s="53"/>
      <c r="X78" s="53"/>
      <c r="Y78" s="53"/>
      <c r="Z78" s="53"/>
      <c r="AB78" s="421"/>
    </row>
    <row r="79" spans="1:28" ht="15.75" thickBot="1">
      <c r="A79" s="41" t="s">
        <v>164</v>
      </c>
      <c r="B79" s="42" t="s">
        <v>211</v>
      </c>
      <c r="C79" s="50">
        <v>0</v>
      </c>
      <c r="D79" s="73">
        <v>0.16666666666666666</v>
      </c>
      <c r="E79" s="73">
        <v>0.33333333333333331</v>
      </c>
      <c r="F79" s="73">
        <v>0.5</v>
      </c>
      <c r="G79" s="73">
        <v>0.66666666666666663</v>
      </c>
      <c r="H79" s="73">
        <v>0.83333333333333326</v>
      </c>
      <c r="I79" s="74">
        <v>1</v>
      </c>
      <c r="J79" s="73">
        <v>1.3333333333333333</v>
      </c>
      <c r="K79" s="73">
        <v>1.6666666666666665</v>
      </c>
      <c r="L79" s="51">
        <v>1.9999999999999998</v>
      </c>
      <c r="M79" s="51">
        <v>2.333333333333333</v>
      </c>
      <c r="N79" s="50">
        <v>3</v>
      </c>
      <c r="O79" s="51">
        <v>3.5</v>
      </c>
      <c r="P79" s="51">
        <v>4</v>
      </c>
      <c r="Q79" s="51">
        <v>4.5</v>
      </c>
      <c r="R79" s="50">
        <v>5</v>
      </c>
      <c r="S79" s="51">
        <v>5.333333333333333</v>
      </c>
      <c r="T79" s="51">
        <v>5.6666666666666661</v>
      </c>
      <c r="U79" s="51">
        <v>5.9999999999999991</v>
      </c>
      <c r="V79" s="51">
        <v>6.3333333333333321</v>
      </c>
      <c r="W79" s="51">
        <v>5</v>
      </c>
      <c r="X79" s="51">
        <v>5</v>
      </c>
      <c r="Y79" s="50">
        <v>5</v>
      </c>
      <c r="Z79" s="51">
        <v>5</v>
      </c>
      <c r="AA79" s="38">
        <v>20</v>
      </c>
      <c r="AB79" s="420">
        <v>0.8</v>
      </c>
    </row>
    <row r="80" spans="1:28" s="49" customFormat="1" ht="15.75" thickBot="1">
      <c r="A80" s="45"/>
      <c r="B80" s="46" t="s">
        <v>210</v>
      </c>
      <c r="C80" s="71">
        <v>0</v>
      </c>
      <c r="D80" s="76">
        <v>0</v>
      </c>
      <c r="E80" s="77">
        <v>0</v>
      </c>
      <c r="F80" s="77">
        <v>0</v>
      </c>
      <c r="G80" s="77">
        <v>0</v>
      </c>
      <c r="H80" s="77">
        <v>0</v>
      </c>
      <c r="I80" s="77">
        <v>0</v>
      </c>
      <c r="J80" s="77">
        <v>0</v>
      </c>
      <c r="K80" s="77">
        <v>0</v>
      </c>
      <c r="L80" s="77">
        <v>2</v>
      </c>
      <c r="M80" s="77">
        <v>2</v>
      </c>
      <c r="N80" s="425">
        <v>3</v>
      </c>
      <c r="O80" s="426">
        <v>3</v>
      </c>
      <c r="P80" s="426">
        <v>4</v>
      </c>
      <c r="Q80" s="426">
        <v>4</v>
      </c>
      <c r="R80" s="77">
        <v>1</v>
      </c>
      <c r="S80" s="77">
        <v>2</v>
      </c>
      <c r="T80" s="77">
        <v>2</v>
      </c>
      <c r="U80" s="77">
        <v>4</v>
      </c>
      <c r="V80" s="78">
        <v>4</v>
      </c>
      <c r="W80" s="72">
        <v>4</v>
      </c>
      <c r="X80" s="70">
        <v>6</v>
      </c>
      <c r="Y80" s="70">
        <v>0</v>
      </c>
      <c r="Z80" s="70">
        <v>0</v>
      </c>
      <c r="AB80" s="421"/>
    </row>
    <row r="81" spans="1:28" s="49" customFormat="1">
      <c r="A81" s="45"/>
      <c r="B81" s="46"/>
      <c r="C81" s="53"/>
      <c r="D81" s="428"/>
      <c r="E81" s="428"/>
      <c r="F81" s="428"/>
      <c r="G81" s="53"/>
      <c r="H81" s="53"/>
      <c r="I81" s="53"/>
      <c r="J81" s="53"/>
      <c r="K81" s="53"/>
      <c r="L81" s="53"/>
      <c r="M81" s="53"/>
      <c r="N81" s="53"/>
      <c r="O81" s="53"/>
      <c r="P81" s="53"/>
      <c r="Q81" s="53"/>
      <c r="R81" s="53"/>
      <c r="S81" s="53"/>
      <c r="T81" s="53"/>
      <c r="U81" s="53"/>
      <c r="V81" s="53"/>
      <c r="W81" s="53"/>
      <c r="X81" s="53"/>
      <c r="Y81" s="53"/>
      <c r="Z81" s="53"/>
      <c r="AB81" s="421"/>
    </row>
    <row r="82" spans="1:28" ht="15.75" thickBot="1">
      <c r="A82" s="41" t="s">
        <v>165</v>
      </c>
      <c r="B82" s="42" t="s">
        <v>209</v>
      </c>
      <c r="C82" s="50">
        <v>0</v>
      </c>
      <c r="D82" s="73">
        <v>0</v>
      </c>
      <c r="E82" s="73">
        <v>0</v>
      </c>
      <c r="F82" s="73">
        <v>0</v>
      </c>
      <c r="G82" s="73">
        <v>0</v>
      </c>
      <c r="H82" s="73">
        <v>0</v>
      </c>
      <c r="I82" s="74">
        <v>0</v>
      </c>
      <c r="J82" s="73">
        <v>0.16666666666666666</v>
      </c>
      <c r="K82" s="73">
        <v>0.33333333333333331</v>
      </c>
      <c r="L82" s="51">
        <v>0.5</v>
      </c>
      <c r="M82" s="51">
        <v>0.66666666666666663</v>
      </c>
      <c r="N82" s="50">
        <v>1</v>
      </c>
      <c r="O82" s="51">
        <v>1.5</v>
      </c>
      <c r="P82" s="51">
        <v>2</v>
      </c>
      <c r="Q82" s="51">
        <v>2.5</v>
      </c>
      <c r="R82" s="50">
        <v>3</v>
      </c>
      <c r="S82" s="51">
        <v>3.3333333333333335</v>
      </c>
      <c r="T82" s="51">
        <v>3.666666666666667</v>
      </c>
      <c r="U82" s="51">
        <v>4</v>
      </c>
      <c r="V82" s="51">
        <v>4.333333333333333</v>
      </c>
      <c r="W82" s="51">
        <v>4.6666666666666661</v>
      </c>
      <c r="X82" s="51">
        <v>4.9999999999999991</v>
      </c>
      <c r="Y82" s="50">
        <v>5</v>
      </c>
      <c r="Z82" s="51">
        <v>5</v>
      </c>
      <c r="AA82" s="38">
        <v>20</v>
      </c>
      <c r="AB82" s="420">
        <v>0.8</v>
      </c>
    </row>
    <row r="83" spans="1:28" s="49" customFormat="1" ht="15.75" thickBot="1">
      <c r="A83" s="45"/>
      <c r="B83" s="46" t="s">
        <v>208</v>
      </c>
      <c r="C83" s="71">
        <v>0</v>
      </c>
      <c r="D83" s="76">
        <v>0</v>
      </c>
      <c r="E83" s="77">
        <v>0</v>
      </c>
      <c r="F83" s="77">
        <v>0</v>
      </c>
      <c r="G83" s="77">
        <v>0</v>
      </c>
      <c r="H83" s="77">
        <v>0</v>
      </c>
      <c r="I83" s="77">
        <v>0</v>
      </c>
      <c r="J83" s="77">
        <v>0</v>
      </c>
      <c r="K83" s="77">
        <v>0</v>
      </c>
      <c r="L83" s="77">
        <v>2</v>
      </c>
      <c r="M83" s="77">
        <v>2</v>
      </c>
      <c r="N83" s="425">
        <v>0</v>
      </c>
      <c r="O83" s="426">
        <v>1</v>
      </c>
      <c r="P83" s="426">
        <v>2</v>
      </c>
      <c r="Q83" s="426">
        <v>2</v>
      </c>
      <c r="R83" s="77">
        <v>0</v>
      </c>
      <c r="S83" s="77">
        <v>1</v>
      </c>
      <c r="T83" s="77">
        <v>1</v>
      </c>
      <c r="U83" s="77">
        <v>2</v>
      </c>
      <c r="V83" s="78">
        <v>0</v>
      </c>
      <c r="W83" s="72">
        <v>0</v>
      </c>
      <c r="X83" s="70">
        <v>0</v>
      </c>
      <c r="Y83" s="70">
        <v>0</v>
      </c>
      <c r="Z83" s="70">
        <v>0</v>
      </c>
      <c r="AB83" s="421"/>
    </row>
    <row r="84" spans="1:28" s="49" customFormat="1">
      <c r="A84" s="45"/>
      <c r="B84" s="46"/>
      <c r="C84" s="53"/>
      <c r="D84" s="428"/>
      <c r="E84" s="428"/>
      <c r="F84" s="428"/>
      <c r="G84" s="53"/>
      <c r="H84" s="53"/>
      <c r="I84" s="53"/>
      <c r="J84" s="53"/>
      <c r="K84" s="53"/>
      <c r="L84" s="53"/>
      <c r="M84" s="53"/>
      <c r="N84" s="53"/>
      <c r="O84" s="53"/>
      <c r="P84" s="53"/>
      <c r="Q84" s="53"/>
      <c r="R84" s="53"/>
      <c r="S84" s="53"/>
      <c r="T84" s="53"/>
      <c r="U84" s="53"/>
      <c r="V84" s="53"/>
      <c r="W84" s="53"/>
      <c r="X84" s="53"/>
      <c r="Y84" s="53"/>
      <c r="Z84" s="53"/>
      <c r="AB84" s="421"/>
    </row>
    <row r="85" spans="1:28" ht="15.75" thickBot="1">
      <c r="A85" s="41" t="s">
        <v>160</v>
      </c>
      <c r="B85" s="42" t="s">
        <v>201</v>
      </c>
      <c r="C85" s="52"/>
      <c r="D85" s="52"/>
      <c r="E85" s="52"/>
      <c r="F85" s="52"/>
      <c r="G85" s="52"/>
      <c r="H85" s="52"/>
      <c r="I85" s="52"/>
      <c r="J85" s="52"/>
      <c r="K85" s="52"/>
      <c r="L85" s="52"/>
      <c r="M85" s="52"/>
      <c r="N85" s="50">
        <v>60</v>
      </c>
      <c r="O85" s="51">
        <v>62.5</v>
      </c>
      <c r="P85" s="51">
        <v>65</v>
      </c>
      <c r="Q85" s="51">
        <v>67.5</v>
      </c>
      <c r="R85" s="50">
        <v>70</v>
      </c>
      <c r="S85" s="51">
        <v>72.5</v>
      </c>
      <c r="T85" s="51">
        <v>75</v>
      </c>
      <c r="U85" s="51">
        <v>77.5</v>
      </c>
      <c r="V85" s="51">
        <v>80</v>
      </c>
      <c r="W85" s="51">
        <v>70</v>
      </c>
      <c r="X85" s="51">
        <v>70</v>
      </c>
      <c r="Y85" s="50">
        <v>70</v>
      </c>
      <c r="Z85" s="51">
        <v>70</v>
      </c>
      <c r="AA85" s="38">
        <v>100</v>
      </c>
      <c r="AB85" s="420">
        <v>4</v>
      </c>
    </row>
    <row r="86" spans="1:28" s="49" customFormat="1" ht="15.75" thickBot="1">
      <c r="A86" s="45"/>
      <c r="B86" s="46" t="s">
        <v>200</v>
      </c>
      <c r="C86" s="52"/>
      <c r="D86" s="52"/>
      <c r="E86" s="52"/>
      <c r="F86" s="52"/>
      <c r="G86" s="52"/>
      <c r="H86" s="52"/>
      <c r="I86" s="52"/>
      <c r="J86" s="52"/>
      <c r="K86" s="52"/>
      <c r="L86" s="52"/>
      <c r="M86" s="52"/>
      <c r="N86" s="52">
        <v>60</v>
      </c>
      <c r="O86" s="76">
        <v>60</v>
      </c>
      <c r="P86" s="426">
        <v>76</v>
      </c>
      <c r="Q86" s="426">
        <v>76</v>
      </c>
      <c r="R86" s="77">
        <v>76</v>
      </c>
      <c r="S86" s="77">
        <v>87</v>
      </c>
      <c r="T86" s="77">
        <v>87</v>
      </c>
      <c r="U86" s="77">
        <v>87</v>
      </c>
      <c r="V86" s="78">
        <v>70</v>
      </c>
      <c r="W86" s="72">
        <v>70</v>
      </c>
      <c r="X86" s="70">
        <v>75.000000000000014</v>
      </c>
      <c r="Y86" s="70">
        <v>0</v>
      </c>
      <c r="Z86" s="70">
        <v>0</v>
      </c>
      <c r="AB86" s="421"/>
    </row>
    <row r="87" spans="1:28" s="49" customFormat="1">
      <c r="A87" s="45"/>
      <c r="B87" s="46"/>
      <c r="C87" s="53"/>
      <c r="D87" s="428"/>
      <c r="E87" s="428"/>
      <c r="F87" s="428"/>
      <c r="G87" s="53"/>
      <c r="H87" s="53"/>
      <c r="I87" s="53"/>
      <c r="J87" s="53"/>
      <c r="K87" s="53"/>
      <c r="L87" s="53"/>
      <c r="M87" s="53"/>
      <c r="N87" s="53"/>
      <c r="O87" s="53"/>
      <c r="P87" s="53"/>
      <c r="Q87" s="53"/>
      <c r="R87" s="53"/>
      <c r="S87" s="53"/>
      <c r="T87" s="53"/>
      <c r="U87" s="53"/>
      <c r="V87" s="53"/>
      <c r="W87" s="53"/>
      <c r="X87" s="53"/>
      <c r="Y87" s="53"/>
      <c r="Z87" s="53"/>
      <c r="AB87" s="421"/>
    </row>
    <row r="88" spans="1:28" ht="15.75" thickBot="1">
      <c r="A88" s="41" t="s">
        <v>161</v>
      </c>
      <c r="B88" s="42" t="s">
        <v>198</v>
      </c>
      <c r="C88" s="52"/>
      <c r="D88" s="52"/>
      <c r="E88" s="52"/>
      <c r="F88" s="52"/>
      <c r="G88" s="52"/>
      <c r="H88" s="52"/>
      <c r="I88" s="52"/>
      <c r="J88" s="52"/>
      <c r="K88" s="52"/>
      <c r="L88" s="52"/>
      <c r="M88" s="52"/>
      <c r="N88" s="50">
        <v>50</v>
      </c>
      <c r="O88" s="51">
        <v>51.25</v>
      </c>
      <c r="P88" s="51">
        <v>52.5</v>
      </c>
      <c r="Q88" s="51">
        <v>53.75</v>
      </c>
      <c r="R88" s="50">
        <v>55</v>
      </c>
      <c r="S88" s="51">
        <v>56.666666666666664</v>
      </c>
      <c r="T88" s="51">
        <v>58.333333333333329</v>
      </c>
      <c r="U88" s="51">
        <v>59.999999999999993</v>
      </c>
      <c r="V88" s="51">
        <v>61.666666666666657</v>
      </c>
      <c r="W88" s="51">
        <v>75.833333333333343</v>
      </c>
      <c r="X88" s="51">
        <v>80.000000000000014</v>
      </c>
      <c r="Y88" s="50">
        <v>80</v>
      </c>
      <c r="Z88" s="51">
        <v>80</v>
      </c>
      <c r="AA88" s="38">
        <v>100</v>
      </c>
      <c r="AB88" s="420">
        <v>4</v>
      </c>
    </row>
    <row r="89" spans="1:28" s="49" customFormat="1" ht="15.75" thickBot="1">
      <c r="A89" s="45"/>
      <c r="B89" s="46" t="s">
        <v>199</v>
      </c>
      <c r="C89" s="52"/>
      <c r="D89" s="52"/>
      <c r="E89" s="52"/>
      <c r="F89" s="52"/>
      <c r="G89" s="52"/>
      <c r="H89" s="52"/>
      <c r="I89" s="52"/>
      <c r="J89" s="52"/>
      <c r="K89" s="52"/>
      <c r="L89" s="52"/>
      <c r="M89" s="52"/>
      <c r="N89" s="52">
        <v>50</v>
      </c>
      <c r="O89" s="76">
        <v>50</v>
      </c>
      <c r="P89" s="426">
        <v>54</v>
      </c>
      <c r="Q89" s="426">
        <v>57</v>
      </c>
      <c r="R89" s="77">
        <v>60</v>
      </c>
      <c r="S89" s="77">
        <v>58</v>
      </c>
      <c r="T89" s="77">
        <v>58</v>
      </c>
      <c r="U89" s="77">
        <v>58</v>
      </c>
      <c r="V89" s="78">
        <v>93</v>
      </c>
      <c r="W89" s="72">
        <v>93</v>
      </c>
      <c r="X89" s="70">
        <v>93</v>
      </c>
      <c r="Y89" s="70">
        <v>0</v>
      </c>
      <c r="Z89" s="70">
        <v>0</v>
      </c>
      <c r="AB89" s="421"/>
    </row>
    <row r="90" spans="1:28" s="49" customFormat="1">
      <c r="A90" s="45"/>
      <c r="B90" s="46"/>
      <c r="C90" s="53"/>
      <c r="D90" s="428"/>
      <c r="E90" s="428"/>
      <c r="F90" s="428"/>
      <c r="G90" s="53"/>
      <c r="H90" s="53"/>
      <c r="I90" s="53"/>
      <c r="J90" s="53"/>
      <c r="K90" s="53"/>
      <c r="L90" s="53"/>
      <c r="M90" s="53"/>
      <c r="N90" s="53"/>
      <c r="O90" s="53"/>
      <c r="P90" s="53"/>
      <c r="Q90" s="53"/>
      <c r="R90" s="53"/>
      <c r="S90" s="53"/>
      <c r="T90" s="53"/>
      <c r="U90" s="53"/>
      <c r="V90" s="53"/>
      <c r="W90" s="53"/>
      <c r="X90" s="53"/>
      <c r="Y90" s="53"/>
      <c r="Z90" s="53"/>
      <c r="AB90" s="421"/>
    </row>
    <row r="91" spans="1:28" ht="15.75" thickBot="1">
      <c r="A91" s="41" t="s">
        <v>40</v>
      </c>
      <c r="B91" s="42" t="s">
        <v>139</v>
      </c>
      <c r="C91" s="52"/>
      <c r="D91" s="52"/>
      <c r="E91" s="52"/>
      <c r="F91" s="52"/>
      <c r="G91" s="52"/>
      <c r="H91" s="52"/>
      <c r="I91" s="52"/>
      <c r="J91" s="52"/>
      <c r="K91" s="52"/>
      <c r="L91" s="52"/>
      <c r="M91" s="52"/>
      <c r="N91" s="43">
        <v>3.9</v>
      </c>
      <c r="O91" s="44">
        <v>3.9750000000000001</v>
      </c>
      <c r="P91" s="44">
        <v>4.05</v>
      </c>
      <c r="Q91" s="44">
        <v>4.125</v>
      </c>
      <c r="R91" s="43">
        <v>4.2</v>
      </c>
      <c r="S91" s="44">
        <v>4.25</v>
      </c>
      <c r="T91" s="44">
        <v>4.3</v>
      </c>
      <c r="U91" s="44">
        <v>4.3499999999999996</v>
      </c>
      <c r="V91" s="44">
        <v>4.3999999999999995</v>
      </c>
      <c r="W91" s="44">
        <v>3.9500000000000011</v>
      </c>
      <c r="X91" s="44">
        <v>3.9000000000000012</v>
      </c>
      <c r="Y91" s="43">
        <v>3.9</v>
      </c>
      <c r="Z91" s="44">
        <v>3.9</v>
      </c>
      <c r="AA91" s="38">
        <v>5</v>
      </c>
      <c r="AB91" s="420">
        <v>0.16</v>
      </c>
    </row>
    <row r="92" spans="1:28" s="49" customFormat="1" ht="15.75" thickBot="1">
      <c r="A92" s="45"/>
      <c r="B92" s="46" t="s">
        <v>140</v>
      </c>
      <c r="C92" s="52"/>
      <c r="D92" s="52"/>
      <c r="E92" s="52"/>
      <c r="F92" s="52"/>
      <c r="G92" s="52"/>
      <c r="H92" s="52"/>
      <c r="I92" s="52"/>
      <c r="J92" s="52"/>
      <c r="K92" s="52"/>
      <c r="L92" s="52"/>
      <c r="M92" s="52"/>
      <c r="N92" s="47">
        <v>3.9</v>
      </c>
      <c r="O92" s="84">
        <v>1</v>
      </c>
      <c r="P92" s="424">
        <v>3.9</v>
      </c>
      <c r="Q92" s="424">
        <v>3.9</v>
      </c>
      <c r="R92" s="85">
        <v>4.0999999999999996</v>
      </c>
      <c r="S92" s="85">
        <v>3.2</v>
      </c>
      <c r="T92" s="85">
        <v>3.95</v>
      </c>
      <c r="U92" s="85">
        <v>2.98</v>
      </c>
      <c r="V92" s="86">
        <v>4.2</v>
      </c>
      <c r="W92" s="80">
        <v>4.2</v>
      </c>
      <c r="X92" s="69">
        <v>4.25</v>
      </c>
      <c r="Y92" s="69">
        <v>0</v>
      </c>
      <c r="Z92" s="69">
        <v>0</v>
      </c>
      <c r="AB92" s="421"/>
    </row>
    <row r="93" spans="1:28" s="49" customFormat="1">
      <c r="A93" s="45"/>
      <c r="B93" s="46"/>
      <c r="C93" s="48"/>
      <c r="D93" s="48"/>
      <c r="E93" s="48"/>
      <c r="F93" s="48"/>
      <c r="G93" s="48"/>
      <c r="H93" s="48"/>
      <c r="I93" s="48"/>
      <c r="J93" s="48"/>
      <c r="K93" s="48"/>
      <c r="L93" s="48"/>
      <c r="M93" s="48"/>
      <c r="N93" s="48"/>
      <c r="O93" s="48"/>
      <c r="P93" s="48"/>
      <c r="Q93" s="48"/>
      <c r="R93" s="48"/>
      <c r="S93" s="48"/>
      <c r="T93" s="48"/>
      <c r="U93" s="48"/>
      <c r="V93" s="48"/>
      <c r="W93" s="48"/>
      <c r="X93" s="48"/>
      <c r="Y93" s="48"/>
      <c r="Z93" s="48"/>
      <c r="AB93" s="421"/>
    </row>
    <row r="94" spans="1:28" ht="15.75" thickBot="1">
      <c r="A94" s="41" t="s">
        <v>32</v>
      </c>
      <c r="B94" s="42" t="s">
        <v>139</v>
      </c>
      <c r="C94" s="43">
        <v>1</v>
      </c>
      <c r="D94" s="81">
        <v>1.1666666666666667</v>
      </c>
      <c r="E94" s="81">
        <v>1.3333333333333335</v>
      </c>
      <c r="F94" s="81">
        <v>1.5000000000000002</v>
      </c>
      <c r="G94" s="81">
        <v>1.666666666666667</v>
      </c>
      <c r="H94" s="81">
        <v>1.8333333333333337</v>
      </c>
      <c r="I94" s="82">
        <v>2</v>
      </c>
      <c r="J94" s="81">
        <v>2</v>
      </c>
      <c r="K94" s="81">
        <v>2</v>
      </c>
      <c r="L94" s="44">
        <v>2</v>
      </c>
      <c r="M94" s="44">
        <v>2</v>
      </c>
      <c r="N94" s="43">
        <v>2</v>
      </c>
      <c r="O94" s="44">
        <v>2.25</v>
      </c>
      <c r="P94" s="44">
        <v>2.5</v>
      </c>
      <c r="Q94" s="44">
        <v>2.75</v>
      </c>
      <c r="R94" s="43">
        <v>3</v>
      </c>
      <c r="S94" s="44">
        <v>3.0833333333333335</v>
      </c>
      <c r="T94" s="44">
        <v>3.166666666666667</v>
      </c>
      <c r="U94" s="44">
        <v>3.2500000000000004</v>
      </c>
      <c r="V94" s="44">
        <v>3.3333333333333339</v>
      </c>
      <c r="W94" s="44">
        <v>3.4166666666666674</v>
      </c>
      <c r="X94" s="44">
        <v>3.5000000000000009</v>
      </c>
      <c r="Y94" s="43">
        <v>3.5</v>
      </c>
      <c r="Z94" s="44">
        <v>3.5</v>
      </c>
      <c r="AA94" s="38">
        <v>5</v>
      </c>
      <c r="AB94" s="420">
        <v>0.16</v>
      </c>
    </row>
    <row r="95" spans="1:28" s="49" customFormat="1" ht="15.75" thickBot="1">
      <c r="A95" s="45"/>
      <c r="B95" s="46" t="s">
        <v>140</v>
      </c>
      <c r="C95" s="79">
        <v>1</v>
      </c>
      <c r="D95" s="84">
        <v>1</v>
      </c>
      <c r="E95" s="85">
        <v>1</v>
      </c>
      <c r="F95" s="85">
        <v>1</v>
      </c>
      <c r="G95" s="85">
        <v>1</v>
      </c>
      <c r="H95" s="85">
        <v>1</v>
      </c>
      <c r="I95" s="85">
        <v>1.5</v>
      </c>
      <c r="J95" s="85">
        <v>0</v>
      </c>
      <c r="K95" s="85">
        <v>0</v>
      </c>
      <c r="L95" s="85">
        <v>2</v>
      </c>
      <c r="M95" s="85">
        <v>2</v>
      </c>
      <c r="N95" s="423">
        <v>2.7</v>
      </c>
      <c r="O95" s="424">
        <v>2.7</v>
      </c>
      <c r="P95" s="424">
        <v>2.8</v>
      </c>
      <c r="Q95" s="424">
        <v>2.8</v>
      </c>
      <c r="R95" s="85">
        <v>2.8</v>
      </c>
      <c r="S95" s="85">
        <v>3.3</v>
      </c>
      <c r="T95" s="85">
        <v>3.5</v>
      </c>
      <c r="U95" s="85">
        <v>3.5</v>
      </c>
      <c r="V95" s="86">
        <v>2.2999999999999998</v>
      </c>
      <c r="W95" s="80">
        <v>2.2999999999999998</v>
      </c>
      <c r="X95" s="69">
        <v>2.8</v>
      </c>
      <c r="Y95" s="69">
        <v>0</v>
      </c>
      <c r="Z95" s="69">
        <v>0</v>
      </c>
      <c r="AB95" s="421"/>
    </row>
    <row r="96" spans="1:28" s="49" customFormat="1">
      <c r="A96" s="45"/>
      <c r="B96" s="46"/>
      <c r="C96" s="48"/>
      <c r="D96" s="83"/>
      <c r="E96" s="83"/>
      <c r="F96" s="83"/>
      <c r="G96" s="83"/>
      <c r="H96" s="83"/>
      <c r="I96" s="83"/>
      <c r="J96" s="83"/>
      <c r="K96" s="83"/>
      <c r="L96" s="48"/>
      <c r="M96" s="48"/>
      <c r="N96" s="48"/>
      <c r="O96" s="48"/>
      <c r="P96" s="48"/>
      <c r="Q96" s="48"/>
      <c r="R96" s="48"/>
      <c r="S96" s="48"/>
      <c r="T96" s="48"/>
      <c r="U96" s="48"/>
      <c r="V96" s="48"/>
      <c r="W96" s="48"/>
      <c r="X96" s="48"/>
      <c r="Y96" s="48"/>
      <c r="Z96" s="48"/>
      <c r="AB96" s="421"/>
    </row>
    <row r="97" spans="1:28" ht="15.75" thickBot="1">
      <c r="A97" s="41" t="s">
        <v>33</v>
      </c>
      <c r="B97" s="42" t="s">
        <v>139</v>
      </c>
      <c r="C97" s="43">
        <v>1</v>
      </c>
      <c r="D97" s="81">
        <v>1.1666666666666667</v>
      </c>
      <c r="E97" s="81">
        <v>1.3333333333333335</v>
      </c>
      <c r="F97" s="81">
        <v>1.5000000000000002</v>
      </c>
      <c r="G97" s="81">
        <v>1.666666666666667</v>
      </c>
      <c r="H97" s="81">
        <v>1.8333333333333337</v>
      </c>
      <c r="I97" s="82">
        <v>2</v>
      </c>
      <c r="J97" s="81">
        <v>2.0833333333333335</v>
      </c>
      <c r="K97" s="81">
        <v>2.166666666666667</v>
      </c>
      <c r="L97" s="44">
        <v>2.2500000000000004</v>
      </c>
      <c r="M97" s="44">
        <v>2.3333333333333339</v>
      </c>
      <c r="N97" s="43">
        <v>2.5</v>
      </c>
      <c r="O97" s="44">
        <v>2.75</v>
      </c>
      <c r="P97" s="44">
        <v>3</v>
      </c>
      <c r="Q97" s="44">
        <v>3.25</v>
      </c>
      <c r="R97" s="43">
        <v>3.5</v>
      </c>
      <c r="S97" s="44">
        <v>3.5833333333333335</v>
      </c>
      <c r="T97" s="44">
        <v>3.666666666666667</v>
      </c>
      <c r="U97" s="44">
        <v>3.7500000000000004</v>
      </c>
      <c r="V97" s="44">
        <v>3.8333333333333339</v>
      </c>
      <c r="W97" s="44">
        <v>3.9166666666666674</v>
      </c>
      <c r="X97" s="44">
        <v>4.0000000000000009</v>
      </c>
      <c r="Y97" s="43">
        <v>4</v>
      </c>
      <c r="Z97" s="44">
        <v>4</v>
      </c>
      <c r="AA97" s="38">
        <v>5</v>
      </c>
      <c r="AB97" s="420">
        <v>0.16</v>
      </c>
    </row>
    <row r="98" spans="1:28" s="49" customFormat="1" ht="15.75" thickBot="1">
      <c r="A98" s="45"/>
      <c r="B98" s="46" t="s">
        <v>140</v>
      </c>
      <c r="C98" s="79">
        <v>1</v>
      </c>
      <c r="D98" s="84">
        <v>1</v>
      </c>
      <c r="E98" s="85">
        <v>1</v>
      </c>
      <c r="F98" s="85">
        <v>1</v>
      </c>
      <c r="G98" s="85">
        <v>1</v>
      </c>
      <c r="H98" s="85">
        <v>1</v>
      </c>
      <c r="I98" s="85">
        <v>1.5</v>
      </c>
      <c r="J98" s="85">
        <v>0</v>
      </c>
      <c r="K98" s="85">
        <v>0</v>
      </c>
      <c r="L98" s="85">
        <v>2</v>
      </c>
      <c r="M98" s="85">
        <v>2</v>
      </c>
      <c r="N98" s="423">
        <v>3.3</v>
      </c>
      <c r="O98" s="424">
        <v>3.3</v>
      </c>
      <c r="P98" s="424">
        <v>3.4</v>
      </c>
      <c r="Q98" s="424">
        <v>4</v>
      </c>
      <c r="R98" s="85">
        <v>4.3</v>
      </c>
      <c r="S98" s="85">
        <v>4.3</v>
      </c>
      <c r="T98" s="85">
        <v>4.3</v>
      </c>
      <c r="U98" s="85">
        <v>4.3</v>
      </c>
      <c r="V98" s="86">
        <v>4.3</v>
      </c>
      <c r="W98" s="80">
        <v>4.3</v>
      </c>
      <c r="X98" s="69">
        <v>4.3</v>
      </c>
      <c r="Y98" s="69">
        <v>0</v>
      </c>
      <c r="Z98" s="69">
        <v>0</v>
      </c>
      <c r="AB98" s="421"/>
    </row>
    <row r="99" spans="1:28" s="49" customFormat="1">
      <c r="A99" s="45"/>
      <c r="B99" s="46"/>
      <c r="C99" s="48"/>
      <c r="D99" s="83"/>
      <c r="E99" s="83"/>
      <c r="F99" s="83"/>
      <c r="G99" s="83"/>
      <c r="H99" s="83"/>
      <c r="I99" s="83"/>
      <c r="J99" s="83"/>
      <c r="K99" s="83"/>
      <c r="L99" s="48"/>
      <c r="M99" s="48"/>
      <c r="N99" s="48"/>
      <c r="O99" s="48"/>
      <c r="P99" s="48"/>
      <c r="Q99" s="48"/>
      <c r="R99" s="48"/>
      <c r="S99" s="48"/>
      <c r="T99" s="48"/>
      <c r="U99" s="48"/>
      <c r="V99" s="48"/>
      <c r="W99" s="48"/>
      <c r="X99" s="48"/>
      <c r="Y99" s="48"/>
      <c r="Z99" s="48"/>
      <c r="AB99" s="421"/>
    </row>
    <row r="100" spans="1:28" ht="15.75" thickBot="1">
      <c r="A100" s="41" t="s">
        <v>34</v>
      </c>
      <c r="B100" s="42" t="s">
        <v>139</v>
      </c>
      <c r="C100" s="43">
        <v>1</v>
      </c>
      <c r="D100" s="81">
        <v>1</v>
      </c>
      <c r="E100" s="81">
        <v>1</v>
      </c>
      <c r="F100" s="81">
        <v>1</v>
      </c>
      <c r="G100" s="81">
        <v>1</v>
      </c>
      <c r="H100" s="81">
        <v>1</v>
      </c>
      <c r="I100" s="82">
        <v>1</v>
      </c>
      <c r="J100" s="81">
        <v>1.1666666666666667</v>
      </c>
      <c r="K100" s="81">
        <v>1.3333333333333335</v>
      </c>
      <c r="L100" s="44">
        <v>1.5000000000000002</v>
      </c>
      <c r="M100" s="44">
        <v>1.666666666666667</v>
      </c>
      <c r="N100" s="43">
        <v>2</v>
      </c>
      <c r="O100" s="44">
        <v>2.125</v>
      </c>
      <c r="P100" s="44">
        <v>2.25</v>
      </c>
      <c r="Q100" s="44">
        <v>2.375</v>
      </c>
      <c r="R100" s="43">
        <v>2.5</v>
      </c>
      <c r="S100" s="44">
        <v>2.5833333333333335</v>
      </c>
      <c r="T100" s="44">
        <v>2.666666666666667</v>
      </c>
      <c r="U100" s="44">
        <v>2.7500000000000004</v>
      </c>
      <c r="V100" s="44">
        <v>2.8333333333333339</v>
      </c>
      <c r="W100" s="44">
        <v>2.9166666666666674</v>
      </c>
      <c r="X100" s="44">
        <v>3.0000000000000009</v>
      </c>
      <c r="Y100" s="43">
        <v>3</v>
      </c>
      <c r="Z100" s="44">
        <v>3</v>
      </c>
      <c r="AA100" s="38">
        <v>5</v>
      </c>
      <c r="AB100" s="420">
        <v>0.16</v>
      </c>
    </row>
    <row r="101" spans="1:28" s="49" customFormat="1" ht="15.75" thickBot="1">
      <c r="A101" s="45"/>
      <c r="B101" s="46" t="s">
        <v>140</v>
      </c>
      <c r="C101" s="79">
        <v>1</v>
      </c>
      <c r="D101" s="84">
        <v>1</v>
      </c>
      <c r="E101" s="85">
        <v>1</v>
      </c>
      <c r="F101" s="85">
        <v>1</v>
      </c>
      <c r="G101" s="85">
        <v>1</v>
      </c>
      <c r="H101" s="85">
        <v>1</v>
      </c>
      <c r="I101" s="85">
        <v>2.5</v>
      </c>
      <c r="J101" s="85">
        <v>0</v>
      </c>
      <c r="K101" s="85">
        <v>0</v>
      </c>
      <c r="L101" s="85">
        <v>2</v>
      </c>
      <c r="M101" s="85">
        <v>2</v>
      </c>
      <c r="N101" s="423">
        <v>2.2999999999999998</v>
      </c>
      <c r="O101" s="424">
        <v>2.2999999999999998</v>
      </c>
      <c r="P101" s="424">
        <v>2.4</v>
      </c>
      <c r="Q101" s="424">
        <v>3</v>
      </c>
      <c r="R101" s="85">
        <v>3</v>
      </c>
      <c r="S101" s="85">
        <v>3.7</v>
      </c>
      <c r="T101" s="85">
        <v>3.7</v>
      </c>
      <c r="U101" s="85">
        <v>3.9</v>
      </c>
      <c r="V101" s="86">
        <v>3.6</v>
      </c>
      <c r="W101" s="80">
        <v>3.6</v>
      </c>
      <c r="X101" s="69">
        <v>3.6</v>
      </c>
      <c r="Y101" s="69">
        <v>0</v>
      </c>
      <c r="Z101" s="69">
        <v>0</v>
      </c>
      <c r="AB101" s="421"/>
    </row>
    <row r="102" spans="1:28" s="49" customFormat="1">
      <c r="A102" s="45"/>
      <c r="B102" s="46"/>
      <c r="C102" s="48"/>
      <c r="D102" s="83"/>
      <c r="E102" s="83"/>
      <c r="F102" s="83"/>
      <c r="G102" s="83"/>
      <c r="H102" s="83"/>
      <c r="I102" s="83"/>
      <c r="J102" s="83"/>
      <c r="K102" s="83"/>
      <c r="L102" s="48"/>
      <c r="M102" s="48"/>
      <c r="N102" s="48"/>
      <c r="O102" s="48"/>
      <c r="P102" s="48"/>
      <c r="Q102" s="48"/>
      <c r="R102" s="48"/>
      <c r="S102" s="48"/>
      <c r="T102" s="48"/>
      <c r="U102" s="48"/>
      <c r="V102" s="48"/>
      <c r="W102" s="48"/>
      <c r="X102" s="48"/>
      <c r="Y102" s="48"/>
      <c r="Z102" s="48"/>
      <c r="AB102" s="421"/>
    </row>
    <row r="103" spans="1:28" ht="15.75" thickBot="1">
      <c r="A103" s="41" t="s">
        <v>41</v>
      </c>
      <c r="B103" s="42" t="s">
        <v>139</v>
      </c>
      <c r="C103" s="43">
        <v>1</v>
      </c>
      <c r="D103" s="81">
        <v>1</v>
      </c>
      <c r="E103" s="81">
        <v>1</v>
      </c>
      <c r="F103" s="81">
        <v>1</v>
      </c>
      <c r="G103" s="81">
        <v>1</v>
      </c>
      <c r="H103" s="81">
        <v>1</v>
      </c>
      <c r="I103" s="82">
        <v>1</v>
      </c>
      <c r="J103" s="81">
        <v>1.1666666666666667</v>
      </c>
      <c r="K103" s="81">
        <v>1.3333333333333335</v>
      </c>
      <c r="L103" s="44">
        <v>1.5000000000000002</v>
      </c>
      <c r="M103" s="44">
        <v>1.666666666666667</v>
      </c>
      <c r="N103" s="43">
        <v>2</v>
      </c>
      <c r="O103" s="44">
        <v>2.0499999999999998</v>
      </c>
      <c r="P103" s="44">
        <v>2.0999999999999996</v>
      </c>
      <c r="Q103" s="44">
        <v>2.1499999999999995</v>
      </c>
      <c r="R103" s="43">
        <v>2.2000000000000002</v>
      </c>
      <c r="S103" s="44">
        <v>2.25</v>
      </c>
      <c r="T103" s="44">
        <v>2.2999999999999998</v>
      </c>
      <c r="U103" s="44">
        <v>2.3499999999999996</v>
      </c>
      <c r="V103" s="44">
        <v>2.3999999999999995</v>
      </c>
      <c r="W103" s="44">
        <v>2.7833333333333337</v>
      </c>
      <c r="X103" s="44">
        <v>2.9000000000000004</v>
      </c>
      <c r="Y103" s="43">
        <v>2.9</v>
      </c>
      <c r="Z103" s="44">
        <v>2.9</v>
      </c>
      <c r="AA103" s="38">
        <v>5</v>
      </c>
      <c r="AB103" s="420">
        <v>0.16</v>
      </c>
    </row>
    <row r="104" spans="1:28" s="49" customFormat="1" ht="15.75" thickBot="1">
      <c r="A104" s="45"/>
      <c r="B104" s="46" t="s">
        <v>140</v>
      </c>
      <c r="C104" s="79">
        <v>1</v>
      </c>
      <c r="D104" s="84">
        <v>1</v>
      </c>
      <c r="E104" s="85">
        <v>1</v>
      </c>
      <c r="F104" s="85">
        <v>1</v>
      </c>
      <c r="G104" s="85">
        <v>1</v>
      </c>
      <c r="H104" s="85">
        <v>1</v>
      </c>
      <c r="I104" s="85">
        <v>2</v>
      </c>
      <c r="J104" s="85">
        <v>0</v>
      </c>
      <c r="K104" s="85">
        <v>0</v>
      </c>
      <c r="L104" s="85">
        <v>2</v>
      </c>
      <c r="M104" s="85">
        <v>2</v>
      </c>
      <c r="N104" s="423">
        <v>1.6</v>
      </c>
      <c r="O104" s="424">
        <v>1.8</v>
      </c>
      <c r="P104" s="424">
        <v>2.1</v>
      </c>
      <c r="Q104" s="424">
        <v>2.9</v>
      </c>
      <c r="R104" s="85">
        <v>2.9</v>
      </c>
      <c r="S104" s="85">
        <v>3.4</v>
      </c>
      <c r="T104" s="85">
        <v>3.8</v>
      </c>
      <c r="U104" s="85">
        <v>3.8</v>
      </c>
      <c r="V104" s="86">
        <v>3.1</v>
      </c>
      <c r="W104" s="80">
        <v>3.1</v>
      </c>
      <c r="X104" s="69">
        <v>3.1</v>
      </c>
      <c r="Y104" s="69">
        <v>0</v>
      </c>
      <c r="Z104" s="69">
        <v>0</v>
      </c>
      <c r="AB104" s="421"/>
    </row>
    <row r="105" spans="1:28" s="49" customFormat="1">
      <c r="A105" s="45"/>
      <c r="B105" s="46"/>
      <c r="C105" s="48"/>
      <c r="D105" s="83"/>
      <c r="E105" s="83"/>
      <c r="F105" s="83"/>
      <c r="G105" s="83"/>
      <c r="H105" s="83"/>
      <c r="I105" s="83"/>
      <c r="J105" s="83"/>
      <c r="K105" s="83"/>
      <c r="L105" s="48"/>
      <c r="M105" s="48"/>
      <c r="N105" s="48"/>
      <c r="O105" s="48"/>
      <c r="P105" s="48"/>
      <c r="Q105" s="48"/>
      <c r="R105" s="48"/>
      <c r="S105" s="48"/>
      <c r="T105" s="48"/>
      <c r="U105" s="48"/>
      <c r="V105" s="48"/>
      <c r="W105" s="48"/>
      <c r="X105" s="48"/>
      <c r="Y105" s="48"/>
      <c r="Z105" s="48"/>
      <c r="AB105" s="421"/>
    </row>
    <row r="106" spans="1:28" ht="15.75" thickBot="1">
      <c r="A106" s="41" t="s">
        <v>181</v>
      </c>
      <c r="B106" s="42" t="s">
        <v>204</v>
      </c>
      <c r="C106" s="50">
        <v>0</v>
      </c>
      <c r="D106" s="73">
        <v>0</v>
      </c>
      <c r="E106" s="73">
        <v>0</v>
      </c>
      <c r="F106" s="73">
        <v>0</v>
      </c>
      <c r="G106" s="73">
        <v>0</v>
      </c>
      <c r="H106" s="73">
        <v>0</v>
      </c>
      <c r="I106" s="74">
        <v>0</v>
      </c>
      <c r="J106" s="73">
        <v>0.33333333333333331</v>
      </c>
      <c r="K106" s="73">
        <v>0.66666666666666663</v>
      </c>
      <c r="L106" s="51">
        <v>1</v>
      </c>
      <c r="M106" s="51">
        <v>1.3333333333333333</v>
      </c>
      <c r="N106" s="50">
        <v>2</v>
      </c>
      <c r="O106" s="51">
        <v>2.75</v>
      </c>
      <c r="P106" s="51">
        <v>3.5</v>
      </c>
      <c r="Q106" s="51">
        <v>4.25</v>
      </c>
      <c r="R106" s="50">
        <v>5</v>
      </c>
      <c r="S106" s="51">
        <v>5.333333333333333</v>
      </c>
      <c r="T106" s="51">
        <v>5.6666666666666661</v>
      </c>
      <c r="U106" s="51">
        <v>5.9999999999999991</v>
      </c>
      <c r="V106" s="51">
        <v>6.3333333333333321</v>
      </c>
      <c r="W106" s="51">
        <v>9.1666666666666661</v>
      </c>
      <c r="X106" s="51">
        <v>10</v>
      </c>
      <c r="Y106" s="50">
        <v>10</v>
      </c>
      <c r="Z106" s="51">
        <v>10</v>
      </c>
      <c r="AA106" s="38">
        <v>20</v>
      </c>
      <c r="AB106" s="420">
        <v>0.8</v>
      </c>
    </row>
    <row r="107" spans="1:28" s="49" customFormat="1" ht="15.75" thickBot="1">
      <c r="A107" s="45"/>
      <c r="B107" s="46" t="s">
        <v>205</v>
      </c>
      <c r="C107" s="71">
        <v>0</v>
      </c>
      <c r="D107" s="76">
        <v>0</v>
      </c>
      <c r="E107" s="77">
        <v>0</v>
      </c>
      <c r="F107" s="77">
        <v>0</v>
      </c>
      <c r="G107" s="77">
        <v>0</v>
      </c>
      <c r="H107" s="77">
        <v>0</v>
      </c>
      <c r="I107" s="77">
        <v>0</v>
      </c>
      <c r="J107" s="77">
        <v>0</v>
      </c>
      <c r="K107" s="77">
        <v>0</v>
      </c>
      <c r="L107" s="77">
        <v>1</v>
      </c>
      <c r="M107" s="77">
        <v>1</v>
      </c>
      <c r="N107" s="425">
        <v>4</v>
      </c>
      <c r="O107" s="426">
        <v>4</v>
      </c>
      <c r="P107" s="426">
        <v>7</v>
      </c>
      <c r="Q107" s="426">
        <v>7</v>
      </c>
      <c r="R107" s="77">
        <v>8</v>
      </c>
      <c r="S107" s="77">
        <v>8</v>
      </c>
      <c r="T107" s="77">
        <v>10</v>
      </c>
      <c r="U107" s="77">
        <v>10</v>
      </c>
      <c r="V107" s="78">
        <v>10</v>
      </c>
      <c r="W107" s="72">
        <v>10</v>
      </c>
      <c r="X107" s="70">
        <v>11</v>
      </c>
      <c r="Y107" s="70">
        <v>0</v>
      </c>
      <c r="Z107" s="70">
        <v>0</v>
      </c>
      <c r="AB107" s="421"/>
    </row>
    <row r="108" spans="1:28" s="49" customFormat="1">
      <c r="A108" s="45"/>
      <c r="B108" s="46"/>
      <c r="C108" s="53"/>
      <c r="D108" s="75"/>
      <c r="E108" s="75"/>
      <c r="F108" s="75"/>
      <c r="G108" s="75"/>
      <c r="H108" s="75"/>
      <c r="I108" s="75"/>
      <c r="J108" s="75"/>
      <c r="K108" s="75"/>
      <c r="L108" s="53"/>
      <c r="M108" s="53"/>
      <c r="N108" s="53"/>
      <c r="O108" s="53"/>
      <c r="P108" s="53"/>
      <c r="Q108" s="53"/>
      <c r="R108" s="53"/>
      <c r="S108" s="53"/>
      <c r="T108" s="53"/>
      <c r="U108" s="53"/>
      <c r="V108" s="53"/>
      <c r="W108" s="53"/>
      <c r="X108" s="53"/>
      <c r="Y108" s="53"/>
      <c r="Z108" s="53"/>
      <c r="AB108" s="421"/>
    </row>
    <row r="109" spans="1:28" ht="15.75" thickBot="1">
      <c r="A109" s="41" t="s">
        <v>182</v>
      </c>
      <c r="B109" s="42" t="s">
        <v>206</v>
      </c>
      <c r="C109" s="50">
        <v>0</v>
      </c>
      <c r="D109" s="73">
        <v>0.16666666666666666</v>
      </c>
      <c r="E109" s="73">
        <v>0.33333333333333331</v>
      </c>
      <c r="F109" s="73">
        <v>0.5</v>
      </c>
      <c r="G109" s="73">
        <v>0.66666666666666663</v>
      </c>
      <c r="H109" s="73">
        <v>0.83333333333333326</v>
      </c>
      <c r="I109" s="74">
        <v>1</v>
      </c>
      <c r="J109" s="73">
        <v>1</v>
      </c>
      <c r="K109" s="73">
        <v>1</v>
      </c>
      <c r="L109" s="51">
        <v>1</v>
      </c>
      <c r="M109" s="51">
        <v>1</v>
      </c>
      <c r="N109" s="50">
        <v>1</v>
      </c>
      <c r="O109" s="51">
        <v>1.25</v>
      </c>
      <c r="P109" s="51">
        <v>1.5</v>
      </c>
      <c r="Q109" s="51">
        <v>1.75</v>
      </c>
      <c r="R109" s="50">
        <v>2</v>
      </c>
      <c r="S109" s="51">
        <v>2.1666666666666665</v>
      </c>
      <c r="T109" s="51">
        <v>2.333333333333333</v>
      </c>
      <c r="U109" s="51">
        <v>2.4999999999999996</v>
      </c>
      <c r="V109" s="51">
        <v>2.6666666666666661</v>
      </c>
      <c r="W109" s="51">
        <v>4.5</v>
      </c>
      <c r="X109" s="51">
        <v>5</v>
      </c>
      <c r="Y109" s="50">
        <v>5</v>
      </c>
      <c r="Z109" s="51">
        <v>5</v>
      </c>
      <c r="AA109" s="38">
        <v>10</v>
      </c>
      <c r="AB109" s="420">
        <v>0.4</v>
      </c>
    </row>
    <row r="110" spans="1:28" s="49" customFormat="1" ht="15.75" thickBot="1">
      <c r="A110" s="45"/>
      <c r="B110" s="46" t="s">
        <v>207</v>
      </c>
      <c r="C110" s="71">
        <v>0</v>
      </c>
      <c r="D110" s="76">
        <v>0</v>
      </c>
      <c r="E110" s="77">
        <v>0</v>
      </c>
      <c r="F110" s="77">
        <v>0</v>
      </c>
      <c r="G110" s="77">
        <v>0</v>
      </c>
      <c r="H110" s="77">
        <v>0</v>
      </c>
      <c r="I110" s="77">
        <v>0</v>
      </c>
      <c r="J110" s="77">
        <v>0</v>
      </c>
      <c r="K110" s="77">
        <v>0</v>
      </c>
      <c r="L110" s="77">
        <v>1</v>
      </c>
      <c r="M110" s="77">
        <v>1</v>
      </c>
      <c r="N110" s="425">
        <v>2</v>
      </c>
      <c r="O110" s="426">
        <v>2</v>
      </c>
      <c r="P110" s="426">
        <v>2</v>
      </c>
      <c r="Q110" s="426">
        <v>2</v>
      </c>
      <c r="R110" s="77">
        <v>5</v>
      </c>
      <c r="S110" s="77">
        <v>5</v>
      </c>
      <c r="T110" s="77">
        <v>5</v>
      </c>
      <c r="U110" s="77">
        <v>5</v>
      </c>
      <c r="V110" s="78">
        <v>5</v>
      </c>
      <c r="W110" s="72">
        <v>6</v>
      </c>
      <c r="X110" s="70">
        <v>6</v>
      </c>
      <c r="Y110" s="70">
        <v>0</v>
      </c>
      <c r="Z110" s="70">
        <v>0</v>
      </c>
      <c r="AB110" s="421"/>
    </row>
    <row r="111" spans="1:28" s="49" customFormat="1">
      <c r="A111" s="45"/>
      <c r="B111" s="46"/>
      <c r="C111" s="53"/>
      <c r="D111" s="75"/>
      <c r="E111" s="75"/>
      <c r="F111" s="75"/>
      <c r="G111" s="75"/>
      <c r="H111" s="75"/>
      <c r="I111" s="75"/>
      <c r="J111" s="75"/>
      <c r="K111" s="75"/>
      <c r="L111" s="53"/>
      <c r="M111" s="53"/>
      <c r="N111" s="53"/>
      <c r="O111" s="53"/>
      <c r="P111" s="53"/>
      <c r="Q111" s="53"/>
      <c r="R111" s="53"/>
      <c r="S111" s="53"/>
      <c r="T111" s="53"/>
      <c r="U111" s="53"/>
      <c r="V111" s="53"/>
      <c r="W111" s="53"/>
      <c r="X111" s="53"/>
      <c r="Y111" s="53"/>
      <c r="Z111" s="53"/>
      <c r="AB111" s="421"/>
    </row>
    <row r="112" spans="1:28" ht="15.75" thickBot="1">
      <c r="A112" s="41" t="s">
        <v>695</v>
      </c>
      <c r="B112" s="42" t="s">
        <v>816</v>
      </c>
      <c r="C112" s="50">
        <v>0</v>
      </c>
      <c r="D112" s="73">
        <v>0</v>
      </c>
      <c r="E112" s="73">
        <v>0</v>
      </c>
      <c r="F112" s="73">
        <v>0</v>
      </c>
      <c r="G112" s="73">
        <v>0</v>
      </c>
      <c r="H112" s="73">
        <v>0</v>
      </c>
      <c r="I112" s="74">
        <v>0</v>
      </c>
      <c r="J112" s="73">
        <v>0</v>
      </c>
      <c r="K112" s="73">
        <v>0</v>
      </c>
      <c r="L112" s="51">
        <v>0</v>
      </c>
      <c r="M112" s="51">
        <v>0</v>
      </c>
      <c r="N112" s="50">
        <v>0</v>
      </c>
      <c r="O112" s="51">
        <v>1</v>
      </c>
      <c r="P112" s="51">
        <v>2</v>
      </c>
      <c r="Q112" s="51">
        <v>3</v>
      </c>
      <c r="R112" s="50">
        <v>4</v>
      </c>
      <c r="S112" s="51">
        <v>5.166666666666667</v>
      </c>
      <c r="T112" s="51">
        <v>6.3333333333333339</v>
      </c>
      <c r="U112" s="51">
        <v>7.5000000000000009</v>
      </c>
      <c r="V112" s="51">
        <v>8.6666666666666679</v>
      </c>
      <c r="W112" s="51">
        <v>9</v>
      </c>
      <c r="X112" s="51">
        <v>10</v>
      </c>
      <c r="Y112" s="50">
        <v>10</v>
      </c>
      <c r="Z112" s="51">
        <v>10</v>
      </c>
      <c r="AA112" s="38">
        <v>20</v>
      </c>
      <c r="AB112" s="420">
        <v>0.8</v>
      </c>
    </row>
    <row r="113" spans="1:28" s="49" customFormat="1" ht="15.75" thickBot="1">
      <c r="A113" s="45"/>
      <c r="B113" s="46" t="s">
        <v>817</v>
      </c>
      <c r="C113" s="71">
        <v>0</v>
      </c>
      <c r="D113" s="76">
        <v>0</v>
      </c>
      <c r="E113" s="77">
        <v>0</v>
      </c>
      <c r="F113" s="77">
        <v>0</v>
      </c>
      <c r="G113" s="77">
        <v>0</v>
      </c>
      <c r="H113" s="77">
        <v>0</v>
      </c>
      <c r="I113" s="77">
        <v>0</v>
      </c>
      <c r="J113" s="77">
        <v>0</v>
      </c>
      <c r="K113" s="77">
        <v>0</v>
      </c>
      <c r="L113" s="77">
        <v>2</v>
      </c>
      <c r="M113" s="77">
        <v>2</v>
      </c>
      <c r="N113" s="425">
        <v>3</v>
      </c>
      <c r="O113" s="426">
        <v>3</v>
      </c>
      <c r="P113" s="426">
        <v>9</v>
      </c>
      <c r="Q113" s="426">
        <v>9</v>
      </c>
      <c r="R113" s="77">
        <v>10</v>
      </c>
      <c r="S113" s="77">
        <v>10</v>
      </c>
      <c r="T113" s="77">
        <v>10</v>
      </c>
      <c r="U113" s="77">
        <v>10</v>
      </c>
      <c r="V113" s="78">
        <v>10</v>
      </c>
      <c r="W113" s="72">
        <v>10</v>
      </c>
      <c r="X113" s="70">
        <v>13</v>
      </c>
      <c r="Y113" s="70">
        <v>0</v>
      </c>
      <c r="Z113" s="70">
        <v>0</v>
      </c>
      <c r="AA113" s="429"/>
      <c r="AB113" s="430"/>
    </row>
    <row r="114" spans="1:28" s="49" customFormat="1">
      <c r="A114" s="45"/>
      <c r="B114" s="46"/>
      <c r="C114" s="53"/>
      <c r="D114" s="75"/>
      <c r="E114" s="75"/>
      <c r="F114" s="75"/>
      <c r="G114" s="75"/>
      <c r="H114" s="75"/>
      <c r="I114" s="75"/>
      <c r="J114" s="75"/>
      <c r="K114" s="75"/>
      <c r="L114" s="53"/>
      <c r="M114" s="53"/>
      <c r="N114" s="53"/>
      <c r="O114" s="53"/>
      <c r="P114" s="53"/>
      <c r="Q114" s="53"/>
      <c r="R114" s="53"/>
      <c r="S114" s="53"/>
      <c r="T114" s="53"/>
      <c r="U114" s="53"/>
      <c r="V114" s="53"/>
      <c r="W114" s="53"/>
      <c r="X114" s="53"/>
      <c r="Y114" s="53"/>
      <c r="Z114" s="53"/>
      <c r="AA114" s="429"/>
      <c r="AB114" s="430"/>
    </row>
    <row r="115" spans="1:28" ht="15.75" thickBot="1">
      <c r="A115" s="41" t="s">
        <v>696</v>
      </c>
      <c r="B115" s="42" t="s">
        <v>818</v>
      </c>
      <c r="C115" s="52"/>
      <c r="D115" s="52"/>
      <c r="E115" s="52"/>
      <c r="F115" s="52"/>
      <c r="G115" s="52"/>
      <c r="H115" s="52"/>
      <c r="I115" s="52"/>
      <c r="J115" s="52"/>
      <c r="K115" s="52"/>
      <c r="L115" s="52"/>
      <c r="M115" s="52"/>
      <c r="N115" s="52"/>
      <c r="O115" s="52"/>
      <c r="P115" s="52"/>
      <c r="Q115" s="52"/>
      <c r="R115" s="50">
        <v>0</v>
      </c>
      <c r="S115" s="51">
        <v>1.8333333333333333</v>
      </c>
      <c r="T115" s="51">
        <v>3.6666666666666665</v>
      </c>
      <c r="U115" s="51">
        <v>5.5</v>
      </c>
      <c r="V115" s="51">
        <v>7.333333333333333</v>
      </c>
      <c r="W115" s="51">
        <v>5</v>
      </c>
      <c r="X115" s="51">
        <v>6</v>
      </c>
      <c r="Y115" s="50">
        <v>6</v>
      </c>
      <c r="Z115" s="51">
        <v>6</v>
      </c>
      <c r="AA115" s="38">
        <v>20</v>
      </c>
      <c r="AB115" s="420">
        <v>0.8</v>
      </c>
    </row>
    <row r="116" spans="1:28" s="49" customFormat="1" ht="15.75" thickBot="1">
      <c r="A116" s="45"/>
      <c r="B116" s="46" t="s">
        <v>819</v>
      </c>
      <c r="C116" s="52"/>
      <c r="D116" s="52"/>
      <c r="E116" s="52"/>
      <c r="F116" s="52"/>
      <c r="G116" s="52"/>
      <c r="H116" s="52"/>
      <c r="I116" s="52"/>
      <c r="J116" s="52"/>
      <c r="K116" s="52"/>
      <c r="L116" s="52"/>
      <c r="M116" s="52"/>
      <c r="N116" s="52"/>
      <c r="O116" s="52"/>
      <c r="P116" s="52"/>
      <c r="Q116" s="52"/>
      <c r="R116" s="52">
        <v>0</v>
      </c>
      <c r="S116" s="77">
        <v>10</v>
      </c>
      <c r="T116" s="77">
        <v>10</v>
      </c>
      <c r="U116" s="77">
        <v>10</v>
      </c>
      <c r="V116" s="78">
        <v>6</v>
      </c>
      <c r="W116" s="72">
        <v>6</v>
      </c>
      <c r="X116" s="70">
        <v>10</v>
      </c>
      <c r="Y116" s="70">
        <v>0</v>
      </c>
      <c r="Z116" s="70">
        <v>0</v>
      </c>
      <c r="AB116" s="421"/>
    </row>
    <row r="117" spans="1:28" s="49" customFormat="1">
      <c r="A117" s="45"/>
      <c r="B117" s="46"/>
      <c r="C117" s="53"/>
      <c r="D117" s="75"/>
      <c r="E117" s="75"/>
      <c r="F117" s="75"/>
      <c r="G117" s="75"/>
      <c r="H117" s="75"/>
      <c r="I117" s="75"/>
      <c r="J117" s="75"/>
      <c r="K117" s="75"/>
      <c r="L117" s="53"/>
      <c r="M117" s="53"/>
      <c r="N117" s="53"/>
      <c r="O117" s="53"/>
      <c r="P117" s="53"/>
      <c r="Q117" s="53"/>
      <c r="R117" s="53"/>
      <c r="S117" s="53"/>
      <c r="T117" s="53"/>
      <c r="U117" s="53"/>
      <c r="V117" s="53"/>
      <c r="W117" s="53"/>
      <c r="X117" s="53"/>
      <c r="Y117" s="53"/>
      <c r="Z117" s="53"/>
      <c r="AB117" s="421"/>
    </row>
    <row r="118" spans="1:28" ht="15.75" thickBot="1">
      <c r="A118" s="41" t="s">
        <v>697</v>
      </c>
      <c r="B118" s="42" t="s">
        <v>820</v>
      </c>
      <c r="C118" s="52"/>
      <c r="D118" s="52"/>
      <c r="E118" s="52"/>
      <c r="F118" s="52"/>
      <c r="G118" s="52"/>
      <c r="H118" s="52"/>
      <c r="I118" s="52"/>
      <c r="J118" s="52"/>
      <c r="K118" s="52"/>
      <c r="L118" s="52"/>
      <c r="M118" s="52"/>
      <c r="N118" s="52"/>
      <c r="O118" s="52"/>
      <c r="P118" s="52"/>
      <c r="Q118" s="52"/>
      <c r="R118" s="50">
        <v>0</v>
      </c>
      <c r="S118" s="51">
        <v>1.5</v>
      </c>
      <c r="T118" s="51">
        <v>3</v>
      </c>
      <c r="U118" s="51">
        <v>4.5</v>
      </c>
      <c r="V118" s="51">
        <v>6</v>
      </c>
      <c r="W118" s="51">
        <v>2.5</v>
      </c>
      <c r="X118" s="51">
        <v>3</v>
      </c>
      <c r="Y118" s="50">
        <v>3</v>
      </c>
      <c r="Z118" s="51">
        <v>3</v>
      </c>
      <c r="AA118" s="38">
        <v>10</v>
      </c>
      <c r="AB118" s="420">
        <v>0.4</v>
      </c>
    </row>
    <row r="119" spans="1:28" s="49" customFormat="1" ht="15.75" thickBot="1">
      <c r="A119" s="45"/>
      <c r="B119" s="46" t="s">
        <v>821</v>
      </c>
      <c r="C119" s="52"/>
      <c r="D119" s="52"/>
      <c r="E119" s="52"/>
      <c r="F119" s="52"/>
      <c r="G119" s="52"/>
      <c r="H119" s="52"/>
      <c r="I119" s="52"/>
      <c r="J119" s="52"/>
      <c r="K119" s="52"/>
      <c r="L119" s="52"/>
      <c r="M119" s="52"/>
      <c r="N119" s="52"/>
      <c r="O119" s="52"/>
      <c r="P119" s="52"/>
      <c r="Q119" s="52"/>
      <c r="R119" s="52">
        <v>0</v>
      </c>
      <c r="S119" s="77">
        <v>8</v>
      </c>
      <c r="T119" s="77">
        <v>9</v>
      </c>
      <c r="U119" s="77">
        <v>9</v>
      </c>
      <c r="V119" s="78">
        <v>3</v>
      </c>
      <c r="W119" s="72">
        <v>3</v>
      </c>
      <c r="X119" s="70">
        <v>5</v>
      </c>
      <c r="Y119" s="70">
        <v>0</v>
      </c>
      <c r="Z119" s="70">
        <v>0</v>
      </c>
      <c r="AB119" s="421"/>
    </row>
    <row r="120" spans="1:28" s="49" customFormat="1">
      <c r="A120" s="45"/>
      <c r="B120" s="46"/>
      <c r="C120" s="53"/>
      <c r="D120" s="75"/>
      <c r="E120" s="75"/>
      <c r="F120" s="75"/>
      <c r="G120" s="75"/>
      <c r="H120" s="75"/>
      <c r="I120" s="75"/>
      <c r="J120" s="75"/>
      <c r="K120" s="75"/>
      <c r="L120" s="53"/>
      <c r="M120" s="53"/>
      <c r="N120" s="53"/>
      <c r="O120" s="53"/>
      <c r="P120" s="53"/>
      <c r="Q120" s="53"/>
      <c r="R120" s="53"/>
      <c r="S120" s="53"/>
      <c r="T120" s="53"/>
      <c r="U120" s="53"/>
      <c r="V120" s="53"/>
      <c r="W120" s="53"/>
      <c r="X120" s="53"/>
      <c r="Y120" s="53"/>
      <c r="Z120" s="53"/>
      <c r="AB120" s="421"/>
    </row>
    <row r="121" spans="1:28" ht="15.75" thickBot="1">
      <c r="A121" s="41" t="s">
        <v>698</v>
      </c>
      <c r="B121" s="42" t="s">
        <v>822</v>
      </c>
      <c r="C121" s="52"/>
      <c r="D121" s="52"/>
      <c r="E121" s="52"/>
      <c r="F121" s="52"/>
      <c r="G121" s="52"/>
      <c r="H121" s="52"/>
      <c r="I121" s="52"/>
      <c r="J121" s="52"/>
      <c r="K121" s="52"/>
      <c r="L121" s="52"/>
      <c r="M121" s="52"/>
      <c r="N121" s="52"/>
      <c r="O121" s="52"/>
      <c r="P121" s="52"/>
      <c r="Q121" s="52"/>
      <c r="R121" s="50">
        <v>0</v>
      </c>
      <c r="S121" s="51">
        <v>1</v>
      </c>
      <c r="T121" s="51">
        <v>2</v>
      </c>
      <c r="U121" s="51">
        <v>3</v>
      </c>
      <c r="V121" s="51">
        <v>4</v>
      </c>
      <c r="W121" s="51">
        <v>0.83333333333333326</v>
      </c>
      <c r="X121" s="51">
        <v>0.99999999999999989</v>
      </c>
      <c r="Y121" s="50">
        <v>1</v>
      </c>
      <c r="Z121" s="51">
        <v>1</v>
      </c>
      <c r="AA121" s="38">
        <v>10</v>
      </c>
      <c r="AB121" s="420">
        <v>0.4</v>
      </c>
    </row>
    <row r="122" spans="1:28" s="49" customFormat="1" ht="15.75" thickBot="1">
      <c r="A122" s="45"/>
      <c r="B122" s="46" t="s">
        <v>823</v>
      </c>
      <c r="C122" s="52"/>
      <c r="D122" s="52"/>
      <c r="E122" s="52"/>
      <c r="F122" s="52"/>
      <c r="G122" s="52"/>
      <c r="H122" s="52"/>
      <c r="I122" s="52"/>
      <c r="J122" s="52"/>
      <c r="K122" s="52"/>
      <c r="L122" s="52"/>
      <c r="M122" s="52"/>
      <c r="N122" s="52"/>
      <c r="O122" s="52"/>
      <c r="P122" s="52"/>
      <c r="Q122" s="52"/>
      <c r="R122" s="52">
        <v>0</v>
      </c>
      <c r="S122" s="77">
        <v>5</v>
      </c>
      <c r="T122" s="77">
        <v>6</v>
      </c>
      <c r="U122" s="77">
        <v>6</v>
      </c>
      <c r="V122" s="78">
        <v>1</v>
      </c>
      <c r="W122" s="72">
        <v>1</v>
      </c>
      <c r="X122" s="70">
        <v>1</v>
      </c>
      <c r="Y122" s="70">
        <v>0</v>
      </c>
      <c r="Z122" s="70">
        <v>0</v>
      </c>
      <c r="AB122" s="421"/>
    </row>
    <row r="123" spans="1:28" s="49" customFormat="1">
      <c r="A123" s="45"/>
      <c r="B123" s="46"/>
      <c r="C123" s="53"/>
      <c r="D123" s="75"/>
      <c r="E123" s="75"/>
      <c r="F123" s="75"/>
      <c r="G123" s="75"/>
      <c r="H123" s="75"/>
      <c r="I123" s="75"/>
      <c r="J123" s="75"/>
      <c r="K123" s="75"/>
      <c r="L123" s="53"/>
      <c r="M123" s="53"/>
      <c r="N123" s="53"/>
      <c r="O123" s="53"/>
      <c r="P123" s="53"/>
      <c r="Q123" s="53"/>
      <c r="R123" s="53"/>
      <c r="S123" s="53"/>
      <c r="T123" s="53"/>
      <c r="U123" s="53"/>
      <c r="V123" s="53"/>
      <c r="W123" s="53"/>
      <c r="X123" s="53"/>
      <c r="Y123" s="53"/>
      <c r="Z123" s="53"/>
      <c r="AB123" s="421"/>
    </row>
    <row r="124" spans="1:28" ht="15.75" thickBot="1">
      <c r="A124" s="41" t="s">
        <v>699</v>
      </c>
      <c r="B124" s="42" t="s">
        <v>202</v>
      </c>
      <c r="C124" s="50">
        <v>0</v>
      </c>
      <c r="D124" s="73">
        <v>0.16666666666666666</v>
      </c>
      <c r="E124" s="73">
        <v>0.33333333333333331</v>
      </c>
      <c r="F124" s="73">
        <v>0.5</v>
      </c>
      <c r="G124" s="73">
        <v>0.66666666666666663</v>
      </c>
      <c r="H124" s="73">
        <v>0.83333333333333326</v>
      </c>
      <c r="I124" s="74">
        <v>1</v>
      </c>
      <c r="J124" s="73">
        <v>1</v>
      </c>
      <c r="K124" s="73">
        <v>1</v>
      </c>
      <c r="L124" s="51">
        <v>1</v>
      </c>
      <c r="M124" s="51">
        <v>1</v>
      </c>
      <c r="N124" s="50">
        <v>1</v>
      </c>
      <c r="O124" s="51">
        <v>1.25</v>
      </c>
      <c r="P124" s="51">
        <v>1.5</v>
      </c>
      <c r="Q124" s="51">
        <v>1.75</v>
      </c>
      <c r="R124" s="50">
        <v>2</v>
      </c>
      <c r="S124" s="51">
        <v>2.6666666666666665</v>
      </c>
      <c r="T124" s="51">
        <v>3.333333333333333</v>
      </c>
      <c r="U124" s="51">
        <v>3.9999999999999996</v>
      </c>
      <c r="V124" s="51">
        <v>4.6666666666666661</v>
      </c>
      <c r="W124" s="51">
        <v>5.333333333333333</v>
      </c>
      <c r="X124" s="51">
        <v>6</v>
      </c>
      <c r="Y124" s="50">
        <v>6</v>
      </c>
      <c r="Z124" s="51">
        <v>6</v>
      </c>
      <c r="AA124" s="38">
        <v>10</v>
      </c>
      <c r="AB124" s="420">
        <v>0.4</v>
      </c>
    </row>
    <row r="125" spans="1:28" s="49" customFormat="1" ht="15.75" thickBot="1">
      <c r="A125" s="45"/>
      <c r="B125" s="46" t="s">
        <v>203</v>
      </c>
      <c r="C125" s="71">
        <v>0</v>
      </c>
      <c r="D125" s="76">
        <v>0</v>
      </c>
      <c r="E125" s="77">
        <v>0</v>
      </c>
      <c r="F125" s="77">
        <v>0</v>
      </c>
      <c r="G125" s="77">
        <v>0</v>
      </c>
      <c r="H125" s="77">
        <v>0</v>
      </c>
      <c r="I125" s="77">
        <v>0</v>
      </c>
      <c r="J125" s="77">
        <v>0</v>
      </c>
      <c r="K125" s="77">
        <v>0</v>
      </c>
      <c r="L125" s="77">
        <v>1</v>
      </c>
      <c r="M125" s="77">
        <v>1</v>
      </c>
      <c r="N125" s="77">
        <v>1</v>
      </c>
      <c r="O125" s="77">
        <v>1</v>
      </c>
      <c r="P125" s="77">
        <v>3</v>
      </c>
      <c r="Q125" s="77">
        <v>3</v>
      </c>
      <c r="R125" s="77">
        <v>6</v>
      </c>
      <c r="S125" s="77">
        <v>6</v>
      </c>
      <c r="T125" s="77">
        <v>6</v>
      </c>
      <c r="U125" s="77">
        <v>6</v>
      </c>
      <c r="V125" s="78">
        <v>7</v>
      </c>
      <c r="W125" s="72">
        <v>7</v>
      </c>
      <c r="X125" s="70">
        <v>11</v>
      </c>
      <c r="Y125" s="70">
        <v>0</v>
      </c>
      <c r="Z125" s="70">
        <v>0</v>
      </c>
      <c r="AB125" s="421"/>
    </row>
    <row r="126" spans="1:28">
      <c r="B126" s="46"/>
      <c r="AB126" s="420"/>
    </row>
    <row r="127" spans="1:28" ht="15.75" thickBot="1">
      <c r="A127" s="41" t="s">
        <v>700</v>
      </c>
      <c r="B127" s="42" t="s">
        <v>213</v>
      </c>
      <c r="C127" s="52"/>
      <c r="D127" s="52"/>
      <c r="E127" s="52"/>
      <c r="F127" s="52"/>
      <c r="G127" s="52"/>
      <c r="H127" s="52"/>
      <c r="I127" s="52"/>
      <c r="J127" s="52"/>
      <c r="K127" s="52"/>
      <c r="L127" s="52"/>
      <c r="M127" s="52"/>
      <c r="N127" s="52"/>
      <c r="O127" s="52"/>
      <c r="P127" s="52"/>
      <c r="Q127" s="52"/>
      <c r="R127" s="50">
        <v>0</v>
      </c>
      <c r="S127" s="51">
        <v>0.66666666666666663</v>
      </c>
      <c r="T127" s="51">
        <v>1.3333333333333333</v>
      </c>
      <c r="U127" s="51">
        <v>2</v>
      </c>
      <c r="V127" s="51">
        <v>2.6666666666666665</v>
      </c>
      <c r="W127" s="51">
        <v>3.333333333333333</v>
      </c>
      <c r="X127" s="51">
        <v>3.9999999999999996</v>
      </c>
      <c r="Y127" s="50">
        <v>4</v>
      </c>
      <c r="Z127" s="51">
        <v>4</v>
      </c>
      <c r="AA127" s="38">
        <v>10</v>
      </c>
      <c r="AB127" s="420">
        <v>0.4</v>
      </c>
    </row>
    <row r="128" spans="1:28" s="49" customFormat="1" ht="15.75" thickBot="1">
      <c r="A128" s="45"/>
      <c r="B128" s="46" t="s">
        <v>212</v>
      </c>
      <c r="C128" s="52"/>
      <c r="D128" s="52"/>
      <c r="E128" s="52"/>
      <c r="F128" s="52"/>
      <c r="G128" s="52"/>
      <c r="H128" s="52"/>
      <c r="I128" s="52"/>
      <c r="J128" s="52"/>
      <c r="K128" s="52"/>
      <c r="L128" s="52"/>
      <c r="M128" s="52"/>
      <c r="N128" s="52"/>
      <c r="O128" s="52"/>
      <c r="P128" s="52"/>
      <c r="Q128" s="52"/>
      <c r="R128" s="52">
        <v>0</v>
      </c>
      <c r="S128" s="77">
        <v>2</v>
      </c>
      <c r="T128" s="77">
        <v>3</v>
      </c>
      <c r="U128" s="77">
        <v>3</v>
      </c>
      <c r="V128" s="78">
        <v>5</v>
      </c>
      <c r="W128" s="72">
        <v>5</v>
      </c>
      <c r="X128" s="70">
        <v>8</v>
      </c>
      <c r="Y128" s="70">
        <v>0</v>
      </c>
      <c r="Z128" s="70">
        <v>0</v>
      </c>
      <c r="AB128" s="421"/>
    </row>
    <row r="129" spans="1:28" s="49" customFormat="1">
      <c r="A129" s="45"/>
      <c r="B129" s="46"/>
      <c r="C129" s="53"/>
      <c r="D129" s="75"/>
      <c r="E129" s="75"/>
      <c r="F129" s="75"/>
      <c r="G129" s="75"/>
      <c r="H129" s="75"/>
      <c r="I129" s="75"/>
      <c r="J129" s="75"/>
      <c r="K129" s="75"/>
      <c r="L129" s="53"/>
      <c r="M129" s="53"/>
      <c r="N129" s="53"/>
      <c r="O129" s="53"/>
      <c r="P129" s="53"/>
      <c r="Q129" s="53"/>
      <c r="R129" s="53"/>
      <c r="S129" s="53"/>
      <c r="T129" s="53"/>
      <c r="U129" s="53"/>
      <c r="V129" s="53"/>
      <c r="W129" s="53"/>
      <c r="X129" s="53"/>
      <c r="Y129" s="53"/>
      <c r="Z129" s="53"/>
      <c r="AB129" s="421"/>
    </row>
    <row r="130" spans="1:28" ht="15.75" thickBot="1">
      <c r="A130" s="41" t="s">
        <v>701</v>
      </c>
      <c r="B130" s="42" t="s">
        <v>211</v>
      </c>
      <c r="C130" s="52"/>
      <c r="D130" s="52"/>
      <c r="E130" s="52"/>
      <c r="F130" s="52"/>
      <c r="G130" s="52"/>
      <c r="H130" s="52"/>
      <c r="I130" s="52"/>
      <c r="J130" s="52"/>
      <c r="K130" s="52"/>
      <c r="L130" s="52"/>
      <c r="M130" s="52"/>
      <c r="N130" s="52"/>
      <c r="O130" s="52"/>
      <c r="P130" s="52"/>
      <c r="Q130" s="52"/>
      <c r="R130" s="50">
        <v>0</v>
      </c>
      <c r="S130" s="51">
        <v>0.5</v>
      </c>
      <c r="T130" s="51">
        <v>1</v>
      </c>
      <c r="U130" s="51">
        <v>1.5</v>
      </c>
      <c r="V130" s="51">
        <v>2</v>
      </c>
      <c r="W130" s="51">
        <v>2.5</v>
      </c>
      <c r="X130" s="51">
        <v>3</v>
      </c>
      <c r="Y130" s="50">
        <v>3</v>
      </c>
      <c r="Z130" s="51">
        <v>3</v>
      </c>
      <c r="AA130" s="38">
        <v>5</v>
      </c>
      <c r="AB130" s="420">
        <v>0.2</v>
      </c>
    </row>
    <row r="131" spans="1:28" s="49" customFormat="1" ht="15.75" thickBot="1">
      <c r="A131" s="45"/>
      <c r="B131" s="46" t="s">
        <v>210</v>
      </c>
      <c r="C131" s="52"/>
      <c r="D131" s="52"/>
      <c r="E131" s="52"/>
      <c r="F131" s="52"/>
      <c r="G131" s="52"/>
      <c r="H131" s="52"/>
      <c r="I131" s="52"/>
      <c r="J131" s="52"/>
      <c r="K131" s="52"/>
      <c r="L131" s="52"/>
      <c r="M131" s="52"/>
      <c r="N131" s="52"/>
      <c r="O131" s="52"/>
      <c r="P131" s="52"/>
      <c r="Q131" s="52"/>
      <c r="R131" s="52">
        <v>0</v>
      </c>
      <c r="S131" s="77">
        <v>1</v>
      </c>
      <c r="T131" s="77">
        <v>1</v>
      </c>
      <c r="U131" s="77">
        <v>1</v>
      </c>
      <c r="V131" s="78">
        <v>0</v>
      </c>
      <c r="W131" s="72">
        <v>2</v>
      </c>
      <c r="X131" s="70">
        <v>4</v>
      </c>
      <c r="Y131" s="70">
        <v>0</v>
      </c>
      <c r="Z131" s="70">
        <v>0</v>
      </c>
      <c r="AB131" s="421"/>
    </row>
    <row r="132" spans="1:28" s="49" customFormat="1">
      <c r="A132" s="45"/>
      <c r="B132" s="46"/>
      <c r="C132" s="53"/>
      <c r="D132" s="75"/>
      <c r="E132" s="75"/>
      <c r="F132" s="75"/>
      <c r="G132" s="75"/>
      <c r="H132" s="75"/>
      <c r="I132" s="75"/>
      <c r="J132" s="75"/>
      <c r="K132" s="75"/>
      <c r="L132" s="53"/>
      <c r="M132" s="53"/>
      <c r="N132" s="53"/>
      <c r="O132" s="53"/>
      <c r="P132" s="53"/>
      <c r="Q132" s="53"/>
      <c r="R132" s="53"/>
      <c r="S132" s="53"/>
      <c r="T132" s="53"/>
      <c r="U132" s="53"/>
      <c r="V132" s="53"/>
      <c r="W132" s="53"/>
      <c r="X132" s="53"/>
      <c r="Y132" s="53"/>
      <c r="Z132" s="53"/>
      <c r="AB132" s="421"/>
    </row>
    <row r="133" spans="1:28" ht="15.75" thickBot="1">
      <c r="A133" s="41" t="s">
        <v>702</v>
      </c>
      <c r="B133" s="42" t="s">
        <v>209</v>
      </c>
      <c r="C133" s="52"/>
      <c r="D133" s="52"/>
      <c r="E133" s="52"/>
      <c r="F133" s="52"/>
      <c r="G133" s="52"/>
      <c r="H133" s="52"/>
      <c r="I133" s="52"/>
      <c r="J133" s="52"/>
      <c r="K133" s="52"/>
      <c r="L133" s="52"/>
      <c r="M133" s="52"/>
      <c r="N133" s="52"/>
      <c r="O133" s="52"/>
      <c r="P133" s="52"/>
      <c r="Q133" s="52"/>
      <c r="R133" s="50">
        <v>0</v>
      </c>
      <c r="S133" s="51">
        <v>0.16666666666666666</v>
      </c>
      <c r="T133" s="51">
        <v>0.33333333333333331</v>
      </c>
      <c r="U133" s="51">
        <v>0.5</v>
      </c>
      <c r="V133" s="51">
        <v>0.66666666666666663</v>
      </c>
      <c r="W133" s="51">
        <v>0.83333333333333326</v>
      </c>
      <c r="X133" s="51">
        <v>0.99999999999999989</v>
      </c>
      <c r="Y133" s="50">
        <v>1</v>
      </c>
      <c r="Z133" s="51">
        <v>1</v>
      </c>
      <c r="AA133" s="38">
        <v>5</v>
      </c>
      <c r="AB133" s="420">
        <v>0.2</v>
      </c>
    </row>
    <row r="134" spans="1:28" s="49" customFormat="1" ht="15.75" thickBot="1">
      <c r="A134" s="45"/>
      <c r="B134" s="46" t="s">
        <v>208</v>
      </c>
      <c r="C134" s="52"/>
      <c r="D134" s="52"/>
      <c r="E134" s="52"/>
      <c r="F134" s="52"/>
      <c r="G134" s="52"/>
      <c r="H134" s="52"/>
      <c r="I134" s="52"/>
      <c r="J134" s="52"/>
      <c r="K134" s="52"/>
      <c r="L134" s="52"/>
      <c r="M134" s="52"/>
      <c r="N134" s="52"/>
      <c r="O134" s="52"/>
      <c r="P134" s="52"/>
      <c r="Q134" s="52"/>
      <c r="R134" s="52">
        <v>0</v>
      </c>
      <c r="S134" s="77">
        <v>1</v>
      </c>
      <c r="T134" s="77">
        <v>1</v>
      </c>
      <c r="U134" s="77">
        <v>1</v>
      </c>
      <c r="V134" s="78">
        <v>0</v>
      </c>
      <c r="W134" s="72">
        <v>0</v>
      </c>
      <c r="X134" s="70">
        <v>1</v>
      </c>
      <c r="Y134" s="70">
        <v>0</v>
      </c>
      <c r="Z134" s="70">
        <v>0</v>
      </c>
      <c r="AB134" s="421"/>
    </row>
    <row r="135" spans="1:28" s="49" customFormat="1">
      <c r="A135" s="45"/>
      <c r="B135" s="46"/>
      <c r="C135" s="53"/>
      <c r="D135" s="75"/>
      <c r="E135" s="75"/>
      <c r="F135" s="75"/>
      <c r="G135" s="75"/>
      <c r="H135" s="75"/>
      <c r="I135" s="75"/>
      <c r="J135" s="75"/>
      <c r="K135" s="75"/>
      <c r="L135" s="53"/>
      <c r="M135" s="53"/>
      <c r="N135" s="53"/>
      <c r="O135" s="53"/>
      <c r="P135" s="53"/>
      <c r="Q135" s="53"/>
      <c r="R135" s="53"/>
      <c r="S135" s="53"/>
      <c r="T135" s="53"/>
      <c r="U135" s="53"/>
      <c r="V135" s="53"/>
      <c r="W135" s="53"/>
      <c r="X135" s="53"/>
      <c r="Y135" s="53"/>
      <c r="Z135" s="53"/>
      <c r="AB135" s="421"/>
    </row>
    <row r="136" spans="1:28" ht="15.75" thickBot="1">
      <c r="A136" s="41" t="s">
        <v>703</v>
      </c>
      <c r="B136" s="42" t="s">
        <v>824</v>
      </c>
      <c r="C136" s="52"/>
      <c r="D136" s="52"/>
      <c r="E136" s="52"/>
      <c r="F136" s="52"/>
      <c r="G136" s="52"/>
      <c r="H136" s="52"/>
      <c r="I136" s="52"/>
      <c r="J136" s="52"/>
      <c r="K136" s="52"/>
      <c r="L136" s="52"/>
      <c r="M136" s="52"/>
      <c r="N136" s="52"/>
      <c r="O136" s="52"/>
      <c r="P136" s="52"/>
      <c r="Q136" s="52"/>
      <c r="R136" s="50">
        <v>4</v>
      </c>
      <c r="S136" s="51">
        <v>4.333333333333333</v>
      </c>
      <c r="T136" s="51">
        <v>4.6666666666666661</v>
      </c>
      <c r="U136" s="51">
        <v>4.9999999999999991</v>
      </c>
      <c r="V136" s="51">
        <v>5.3333333333333321</v>
      </c>
      <c r="W136" s="51">
        <v>5.6666666666666652</v>
      </c>
      <c r="X136" s="51">
        <v>5.9999999999999982</v>
      </c>
      <c r="Y136" s="50">
        <v>6</v>
      </c>
      <c r="Z136" s="51">
        <v>6</v>
      </c>
      <c r="AA136" s="38">
        <v>10</v>
      </c>
      <c r="AB136" s="420">
        <v>0.4</v>
      </c>
    </row>
    <row r="137" spans="1:28" s="49" customFormat="1" ht="15.75" thickBot="1">
      <c r="A137" s="45"/>
      <c r="B137" s="46" t="s">
        <v>825</v>
      </c>
      <c r="C137" s="52"/>
      <c r="D137" s="52"/>
      <c r="E137" s="52"/>
      <c r="F137" s="52"/>
      <c r="G137" s="52"/>
      <c r="H137" s="52"/>
      <c r="I137" s="52"/>
      <c r="J137" s="52"/>
      <c r="K137" s="52"/>
      <c r="L137" s="52"/>
      <c r="M137" s="52"/>
      <c r="N137" s="52"/>
      <c r="O137" s="52"/>
      <c r="P137" s="52"/>
      <c r="Q137" s="52"/>
      <c r="R137" s="52">
        <v>4</v>
      </c>
      <c r="S137" s="77">
        <v>4</v>
      </c>
      <c r="T137" s="77">
        <v>5</v>
      </c>
      <c r="U137" s="77">
        <v>5</v>
      </c>
      <c r="V137" s="78">
        <v>5</v>
      </c>
      <c r="W137" s="72">
        <v>5</v>
      </c>
      <c r="X137" s="70">
        <v>8</v>
      </c>
      <c r="Y137" s="70">
        <v>0</v>
      </c>
      <c r="Z137" s="70">
        <v>0</v>
      </c>
      <c r="AB137" s="421"/>
    </row>
    <row r="138" spans="1:28">
      <c r="AB138" s="420"/>
    </row>
    <row r="139" spans="1:28" ht="15.75" thickBot="1">
      <c r="A139" s="41" t="s">
        <v>704</v>
      </c>
      <c r="B139" s="42" t="s">
        <v>826</v>
      </c>
      <c r="C139" s="52"/>
      <c r="D139" s="52"/>
      <c r="E139" s="52"/>
      <c r="F139" s="52"/>
      <c r="G139" s="52"/>
      <c r="H139" s="52"/>
      <c r="I139" s="52"/>
      <c r="J139" s="52"/>
      <c r="K139" s="52"/>
      <c r="L139" s="52"/>
      <c r="M139" s="52"/>
      <c r="N139" s="52"/>
      <c r="O139" s="52"/>
      <c r="P139" s="52"/>
      <c r="Q139" s="52"/>
      <c r="R139" s="50">
        <v>4</v>
      </c>
      <c r="S139" s="51">
        <v>4.166666666666667</v>
      </c>
      <c r="T139" s="51">
        <v>4.3333333333333339</v>
      </c>
      <c r="U139" s="51">
        <v>4.5000000000000009</v>
      </c>
      <c r="V139" s="51">
        <v>4.6666666666666679</v>
      </c>
      <c r="W139" s="51">
        <v>4.8333333333333348</v>
      </c>
      <c r="X139" s="51">
        <v>5.0000000000000018</v>
      </c>
      <c r="Y139" s="50">
        <v>5</v>
      </c>
      <c r="Z139" s="51">
        <v>5</v>
      </c>
      <c r="AA139" s="38">
        <v>10</v>
      </c>
      <c r="AB139" s="420">
        <v>0.4</v>
      </c>
    </row>
    <row r="140" spans="1:28" s="49" customFormat="1" ht="15.75" thickBot="1">
      <c r="A140" s="45"/>
      <c r="B140" s="46" t="s">
        <v>827</v>
      </c>
      <c r="C140" s="52"/>
      <c r="D140" s="52"/>
      <c r="E140" s="52"/>
      <c r="F140" s="52"/>
      <c r="G140" s="52"/>
      <c r="H140" s="52"/>
      <c r="I140" s="52"/>
      <c r="J140" s="52"/>
      <c r="K140" s="52"/>
      <c r="L140" s="52"/>
      <c r="M140" s="52"/>
      <c r="N140" s="52"/>
      <c r="O140" s="52"/>
      <c r="P140" s="52"/>
      <c r="Q140" s="52"/>
      <c r="R140" s="52">
        <v>4</v>
      </c>
      <c r="S140" s="77">
        <v>4</v>
      </c>
      <c r="T140" s="77">
        <v>5</v>
      </c>
      <c r="U140" s="77">
        <v>5</v>
      </c>
      <c r="V140" s="78">
        <v>4</v>
      </c>
      <c r="W140" s="72">
        <v>4</v>
      </c>
      <c r="X140" s="70">
        <v>5</v>
      </c>
      <c r="Y140" s="70">
        <v>0</v>
      </c>
      <c r="Z140" s="70">
        <v>0</v>
      </c>
      <c r="AB140" s="421"/>
    </row>
    <row r="141" spans="1:28" s="49" customFormat="1">
      <c r="A141" s="45"/>
      <c r="B141" s="46"/>
      <c r="C141" s="53"/>
      <c r="D141" s="75"/>
      <c r="E141" s="75"/>
      <c r="F141" s="75"/>
      <c r="G141" s="75"/>
      <c r="H141" s="75"/>
      <c r="I141" s="75"/>
      <c r="J141" s="75"/>
      <c r="K141" s="75"/>
      <c r="L141" s="53"/>
      <c r="M141" s="53"/>
      <c r="N141" s="53"/>
      <c r="O141" s="53"/>
      <c r="P141" s="53"/>
      <c r="Q141" s="53"/>
      <c r="R141" s="53"/>
      <c r="S141" s="53"/>
      <c r="T141" s="53"/>
      <c r="U141" s="53"/>
      <c r="V141" s="53"/>
      <c r="W141" s="53"/>
      <c r="X141" s="53"/>
      <c r="Y141" s="53"/>
      <c r="Z141" s="53"/>
      <c r="AB141" s="421"/>
    </row>
    <row r="142" spans="1:28" ht="15.75" thickBot="1">
      <c r="A142" s="41" t="s">
        <v>705</v>
      </c>
      <c r="B142" s="42" t="s">
        <v>828</v>
      </c>
      <c r="C142" s="52"/>
      <c r="D142" s="52"/>
      <c r="E142" s="52"/>
      <c r="F142" s="52"/>
      <c r="G142" s="52"/>
      <c r="H142" s="52"/>
      <c r="I142" s="52"/>
      <c r="J142" s="52"/>
      <c r="K142" s="52"/>
      <c r="L142" s="52"/>
      <c r="M142" s="52"/>
      <c r="N142" s="52"/>
      <c r="O142" s="52"/>
      <c r="P142" s="52"/>
      <c r="Q142" s="52"/>
      <c r="R142" s="50">
        <v>1</v>
      </c>
      <c r="S142" s="51">
        <v>1.3333333333333333</v>
      </c>
      <c r="T142" s="51">
        <v>1.6666666666666665</v>
      </c>
      <c r="U142" s="51">
        <v>1.9999999999999998</v>
      </c>
      <c r="V142" s="51">
        <v>2.333333333333333</v>
      </c>
      <c r="W142" s="51">
        <v>2.6666666666666665</v>
      </c>
      <c r="X142" s="51">
        <v>3</v>
      </c>
      <c r="Y142" s="50">
        <v>3</v>
      </c>
      <c r="Z142" s="51">
        <v>3</v>
      </c>
      <c r="AA142" s="38">
        <v>5</v>
      </c>
      <c r="AB142" s="420">
        <v>0.2</v>
      </c>
    </row>
    <row r="143" spans="1:28" s="49" customFormat="1" ht="15.75" thickBot="1">
      <c r="A143" s="45"/>
      <c r="B143" s="46" t="s">
        <v>829</v>
      </c>
      <c r="C143" s="52"/>
      <c r="D143" s="52"/>
      <c r="E143" s="52"/>
      <c r="F143" s="52"/>
      <c r="G143" s="52"/>
      <c r="H143" s="52"/>
      <c r="I143" s="52"/>
      <c r="J143" s="52"/>
      <c r="K143" s="52"/>
      <c r="L143" s="52"/>
      <c r="M143" s="52"/>
      <c r="N143" s="52"/>
      <c r="O143" s="52"/>
      <c r="P143" s="52"/>
      <c r="Q143" s="52"/>
      <c r="R143" s="52">
        <v>1</v>
      </c>
      <c r="S143" s="77">
        <v>1</v>
      </c>
      <c r="T143" s="77">
        <v>1</v>
      </c>
      <c r="U143" s="77">
        <v>1</v>
      </c>
      <c r="V143" s="78">
        <v>3</v>
      </c>
      <c r="W143" s="72">
        <v>3</v>
      </c>
      <c r="X143" s="70">
        <v>3</v>
      </c>
      <c r="Y143" s="70">
        <v>0</v>
      </c>
      <c r="Z143" s="70">
        <v>0</v>
      </c>
      <c r="AB143" s="421"/>
    </row>
    <row r="144" spans="1:28" s="49" customFormat="1">
      <c r="A144" s="45"/>
      <c r="B144" s="46"/>
      <c r="C144" s="53"/>
      <c r="D144" s="75"/>
      <c r="E144" s="75"/>
      <c r="F144" s="75"/>
      <c r="G144" s="75"/>
      <c r="H144" s="75"/>
      <c r="I144" s="75"/>
      <c r="J144" s="75"/>
      <c r="K144" s="75"/>
      <c r="L144" s="53"/>
      <c r="M144" s="53"/>
      <c r="N144" s="53"/>
      <c r="O144" s="53"/>
      <c r="P144" s="53"/>
      <c r="Q144" s="53"/>
      <c r="R144" s="53"/>
      <c r="S144" s="53"/>
      <c r="T144" s="53"/>
      <c r="U144" s="53"/>
      <c r="V144" s="53"/>
      <c r="W144" s="53"/>
      <c r="X144" s="53"/>
      <c r="Y144" s="53"/>
      <c r="Z144" s="53"/>
      <c r="AB144" s="421"/>
    </row>
    <row r="145" spans="1:28" ht="15.75" thickBot="1">
      <c r="A145" s="41" t="s">
        <v>706</v>
      </c>
      <c r="B145" s="42" t="s">
        <v>830</v>
      </c>
      <c r="C145" s="52"/>
      <c r="D145" s="52"/>
      <c r="E145" s="52"/>
      <c r="F145" s="52"/>
      <c r="G145" s="52"/>
      <c r="H145" s="52"/>
      <c r="I145" s="52"/>
      <c r="J145" s="52"/>
      <c r="K145" s="52"/>
      <c r="L145" s="52"/>
      <c r="M145" s="52"/>
      <c r="N145" s="52"/>
      <c r="O145" s="52"/>
      <c r="P145" s="52"/>
      <c r="Q145" s="52"/>
      <c r="R145" s="50">
        <v>0</v>
      </c>
      <c r="S145" s="51">
        <v>0.16666666666666666</v>
      </c>
      <c r="T145" s="51">
        <v>0.33333333333333331</v>
      </c>
      <c r="U145" s="51">
        <v>0.5</v>
      </c>
      <c r="V145" s="51">
        <v>0.66666666666666663</v>
      </c>
      <c r="W145" s="51">
        <v>0.83333333333333326</v>
      </c>
      <c r="X145" s="51">
        <v>0.99999999999999989</v>
      </c>
      <c r="Y145" s="50">
        <v>1</v>
      </c>
      <c r="Z145" s="51">
        <v>1</v>
      </c>
      <c r="AA145" s="38">
        <v>5</v>
      </c>
      <c r="AB145" s="420">
        <v>0.2</v>
      </c>
    </row>
    <row r="146" spans="1:28" s="49" customFormat="1" ht="15.75" thickBot="1">
      <c r="A146" s="45"/>
      <c r="B146" s="46" t="s">
        <v>831</v>
      </c>
      <c r="C146" s="52"/>
      <c r="D146" s="52"/>
      <c r="E146" s="52"/>
      <c r="F146" s="52"/>
      <c r="G146" s="52"/>
      <c r="H146" s="52"/>
      <c r="I146" s="52"/>
      <c r="J146" s="52"/>
      <c r="K146" s="52"/>
      <c r="L146" s="52"/>
      <c r="M146" s="52"/>
      <c r="N146" s="52"/>
      <c r="O146" s="52"/>
      <c r="P146" s="52"/>
      <c r="Q146" s="52"/>
      <c r="R146" s="52">
        <v>0</v>
      </c>
      <c r="S146" s="77">
        <v>0</v>
      </c>
      <c r="T146" s="77">
        <v>0</v>
      </c>
      <c r="U146" s="77">
        <v>0</v>
      </c>
      <c r="V146" s="78">
        <v>0</v>
      </c>
      <c r="W146" s="72">
        <v>0</v>
      </c>
      <c r="X146" s="70">
        <v>1</v>
      </c>
      <c r="Y146" s="70">
        <v>0</v>
      </c>
      <c r="Z146" s="70">
        <v>0</v>
      </c>
      <c r="AB146" s="421"/>
    </row>
    <row r="147" spans="1:28" s="49" customFormat="1">
      <c r="A147" s="45"/>
      <c r="B147" s="46"/>
      <c r="C147" s="53"/>
      <c r="D147" s="75"/>
      <c r="E147" s="75"/>
      <c r="F147" s="75"/>
      <c r="G147" s="75"/>
      <c r="H147" s="75"/>
      <c r="I147" s="75"/>
      <c r="J147" s="75"/>
      <c r="K147" s="75"/>
      <c r="L147" s="53"/>
      <c r="M147" s="53"/>
      <c r="N147" s="53"/>
      <c r="O147" s="53"/>
      <c r="P147" s="53"/>
      <c r="Q147" s="53"/>
      <c r="R147" s="53"/>
      <c r="S147" s="53"/>
      <c r="T147" s="53"/>
      <c r="U147" s="53"/>
      <c r="V147" s="53"/>
      <c r="W147" s="53"/>
      <c r="X147" s="53"/>
      <c r="Y147" s="53"/>
      <c r="Z147" s="53"/>
      <c r="AB147" s="421"/>
    </row>
    <row r="148" spans="1:28" ht="14.25">
      <c r="A148" s="38"/>
    </row>
    <row r="149" spans="1:28">
      <c r="C149" s="55" t="s">
        <v>194</v>
      </c>
      <c r="D149" s="431"/>
      <c r="E149" s="432"/>
      <c r="F149" s="433"/>
    </row>
    <row r="150" spans="1:28">
      <c r="C150" s="55" t="s">
        <v>195</v>
      </c>
      <c r="D150" s="434" t="s">
        <v>196</v>
      </c>
      <c r="E150" s="435" t="s">
        <v>153</v>
      </c>
      <c r="F150" s="435" t="s">
        <v>154</v>
      </c>
      <c r="G150" s="435" t="s">
        <v>158</v>
      </c>
      <c r="H150" s="434" t="s">
        <v>197</v>
      </c>
    </row>
    <row r="151" spans="1:28">
      <c r="C151" s="55"/>
      <c r="D151" s="434"/>
      <c r="E151" s="435"/>
      <c r="F151" s="435"/>
      <c r="G151" s="435"/>
      <c r="H151" s="434"/>
    </row>
    <row r="153" spans="1:28" ht="14.25">
      <c r="A153" s="1356" t="s">
        <v>727</v>
      </c>
      <c r="B153" s="1356"/>
    </row>
    <row r="154" spans="1:28" ht="14.25">
      <c r="A154" s="1356"/>
      <c r="B154" s="1356"/>
    </row>
    <row r="155" spans="1:28" ht="14.25">
      <c r="A155" s="1356"/>
      <c r="B155" s="1356"/>
    </row>
    <row r="156" spans="1:28" ht="14.25">
      <c r="A156" s="1356"/>
      <c r="B156" s="1356"/>
    </row>
    <row r="157" spans="1:28" ht="14.25">
      <c r="A157" s="1356"/>
      <c r="B157" s="1356"/>
    </row>
  </sheetData>
  <sheetProtection password="CF55" sheet="1" objects="1" scenarios="1" selectLockedCells="1" selectUnlockedCells="1"/>
  <mergeCells count="7">
    <mergeCell ref="W1:Z1"/>
    <mergeCell ref="S1:V1"/>
    <mergeCell ref="A153:B157"/>
    <mergeCell ref="D1:G1"/>
    <mergeCell ref="H1:K1"/>
    <mergeCell ref="L1:N1"/>
    <mergeCell ref="O1:R1"/>
  </mergeCell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tint="0.39997558519241921"/>
  </sheetPr>
  <dimension ref="A1:AB157"/>
  <sheetViews>
    <sheetView workbookViewId="0">
      <pane xSplit="2" ySplit="2" topLeftCell="D62" activePane="bottomRight" state="frozen"/>
      <selection activeCell="L92" sqref="L92:O92"/>
      <selection pane="topRight" activeCell="L92" sqref="L92:O92"/>
      <selection pane="bottomLeft" activeCell="L92" sqref="L92:O92"/>
      <selection pane="bottomRight" activeCell="L92" sqref="L92:O92"/>
    </sheetView>
  </sheetViews>
  <sheetFormatPr defaultColWidth="11.42578125" defaultRowHeight="15"/>
  <cols>
    <col min="1" max="1" width="22" style="39" customWidth="1"/>
    <col min="2" max="2" width="20.85546875" style="38" customWidth="1"/>
    <col min="3" max="3" width="10.85546875" style="54" customWidth="1"/>
    <col min="4" max="8" width="5.85546875" style="54" customWidth="1"/>
    <col min="9" max="9" width="10.85546875" style="54" customWidth="1"/>
    <col min="10" max="13" width="5.85546875" style="54" customWidth="1"/>
    <col min="14" max="14" width="10.85546875" style="54" customWidth="1"/>
    <col min="15" max="17" width="5.85546875" style="54" customWidth="1"/>
    <col min="18" max="18" width="10.85546875" style="54" customWidth="1"/>
    <col min="19" max="24" width="5.85546875" style="54" customWidth="1"/>
    <col min="25" max="25" width="10.85546875" style="54" customWidth="1"/>
    <col min="26" max="26" width="5.85546875" style="54" customWidth="1"/>
    <col min="27" max="28" width="10.85546875" style="38" customWidth="1"/>
    <col min="29" max="16384" width="11.42578125" style="38"/>
  </cols>
  <sheetData>
    <row r="1" spans="1:28">
      <c r="A1" s="57" t="s">
        <v>228</v>
      </c>
      <c r="B1" s="59" t="s">
        <v>192</v>
      </c>
      <c r="C1" s="459" t="s">
        <v>190</v>
      </c>
      <c r="D1" s="1357">
        <v>2010</v>
      </c>
      <c r="E1" s="1357"/>
      <c r="F1" s="1357"/>
      <c r="G1" s="1357"/>
      <c r="H1" s="1358">
        <v>2011</v>
      </c>
      <c r="I1" s="1358"/>
      <c r="J1" s="1358"/>
      <c r="K1" s="1358"/>
      <c r="L1" s="1353">
        <v>2012</v>
      </c>
      <c r="M1" s="1354"/>
      <c r="N1" s="1355"/>
      <c r="O1" s="1359">
        <v>2013</v>
      </c>
      <c r="P1" s="1360"/>
      <c r="Q1" s="1360"/>
      <c r="R1" s="1361"/>
      <c r="S1" s="1353">
        <v>2014</v>
      </c>
      <c r="T1" s="1354"/>
      <c r="U1" s="1354"/>
      <c r="V1" s="1355"/>
      <c r="W1" s="1351">
        <v>2015</v>
      </c>
      <c r="X1" s="1352"/>
      <c r="Y1" s="1352"/>
      <c r="Z1" s="1352"/>
    </row>
    <row r="2" spans="1:28" s="39" customFormat="1" ht="42.75">
      <c r="A2" s="58" t="s">
        <v>193</v>
      </c>
      <c r="B2" s="59" t="s">
        <v>191</v>
      </c>
      <c r="C2" s="418" t="s">
        <v>722</v>
      </c>
      <c r="D2" s="56" t="s">
        <v>141</v>
      </c>
      <c r="E2" s="56" t="s">
        <v>142</v>
      </c>
      <c r="F2" s="56" t="s">
        <v>143</v>
      </c>
      <c r="G2" s="56" t="s">
        <v>144</v>
      </c>
      <c r="H2" s="56" t="s">
        <v>141</v>
      </c>
      <c r="I2" s="418" t="s">
        <v>723</v>
      </c>
      <c r="J2" s="56" t="s">
        <v>143</v>
      </c>
      <c r="K2" s="56" t="s">
        <v>144</v>
      </c>
      <c r="L2" s="56" t="s">
        <v>141</v>
      </c>
      <c r="M2" s="56" t="s">
        <v>142</v>
      </c>
      <c r="N2" s="418" t="s">
        <v>724</v>
      </c>
      <c r="O2" s="56" t="s">
        <v>141</v>
      </c>
      <c r="P2" s="56" t="s">
        <v>142</v>
      </c>
      <c r="Q2" s="56" t="s">
        <v>143</v>
      </c>
      <c r="R2" s="418" t="s">
        <v>725</v>
      </c>
      <c r="S2" s="56" t="s">
        <v>141</v>
      </c>
      <c r="T2" s="56" t="s">
        <v>142</v>
      </c>
      <c r="U2" s="56" t="s">
        <v>143</v>
      </c>
      <c r="V2" s="56" t="s">
        <v>144</v>
      </c>
      <c r="W2" s="56" t="s">
        <v>141</v>
      </c>
      <c r="X2" s="56" t="s">
        <v>142</v>
      </c>
      <c r="Y2" s="418" t="s">
        <v>726</v>
      </c>
      <c r="Z2" s="56" t="s">
        <v>144</v>
      </c>
      <c r="AA2" s="419" t="s">
        <v>814</v>
      </c>
      <c r="AB2" s="419" t="s">
        <v>815</v>
      </c>
    </row>
    <row r="3" spans="1:28" s="39" customFormat="1">
      <c r="B3" s="38"/>
      <c r="C3" s="40"/>
      <c r="D3" s="40"/>
      <c r="E3" s="40"/>
      <c r="F3" s="40"/>
      <c r="G3" s="40"/>
      <c r="H3" s="40"/>
      <c r="I3" s="40"/>
      <c r="J3" s="40"/>
      <c r="K3" s="40"/>
      <c r="L3" s="40"/>
      <c r="M3" s="40"/>
      <c r="N3" s="40"/>
      <c r="O3" s="40"/>
      <c r="P3" s="40"/>
      <c r="Q3" s="40"/>
      <c r="R3" s="40"/>
      <c r="S3" s="40"/>
      <c r="T3" s="40"/>
      <c r="U3" s="40"/>
      <c r="V3" s="40"/>
      <c r="W3" s="40"/>
      <c r="X3" s="40"/>
      <c r="Y3" s="40"/>
      <c r="Z3" s="40"/>
    </row>
    <row r="4" spans="1:28" ht="15.75" thickBot="1">
      <c r="A4" s="41" t="s">
        <v>24</v>
      </c>
      <c r="B4" s="42" t="s">
        <v>139</v>
      </c>
      <c r="C4" s="43">
        <v>2.5</v>
      </c>
      <c r="D4" s="81">
        <v>2.5</v>
      </c>
      <c r="E4" s="81">
        <v>2.5</v>
      </c>
      <c r="F4" s="81">
        <v>2.5</v>
      </c>
      <c r="G4" s="81">
        <v>2.5</v>
      </c>
      <c r="H4" s="81">
        <v>2.5</v>
      </c>
      <c r="I4" s="82">
        <v>2.5</v>
      </c>
      <c r="J4" s="81">
        <v>2.5833333333333335</v>
      </c>
      <c r="K4" s="81">
        <v>2.666666666666667</v>
      </c>
      <c r="L4" s="44">
        <v>2.7500000000000004</v>
      </c>
      <c r="M4" s="44">
        <v>2.8333333333333339</v>
      </c>
      <c r="N4" s="43">
        <v>3</v>
      </c>
      <c r="O4" s="44">
        <v>3.05</v>
      </c>
      <c r="P4" s="44">
        <v>3.0999999999999996</v>
      </c>
      <c r="Q4" s="44">
        <v>3.1499999999999995</v>
      </c>
      <c r="R4" s="43">
        <v>3.2</v>
      </c>
      <c r="S4" s="44">
        <v>3.2166666666666668</v>
      </c>
      <c r="T4" s="44">
        <v>3.2333333333333334</v>
      </c>
      <c r="U4" s="44">
        <v>3.25</v>
      </c>
      <c r="V4" s="44">
        <v>3.2666666666666666</v>
      </c>
      <c r="W4" s="44">
        <v>3.2833333333333332</v>
      </c>
      <c r="X4" s="44">
        <v>3.3</v>
      </c>
      <c r="Y4" s="43">
        <v>3.3</v>
      </c>
      <c r="Z4" s="44">
        <v>3.3</v>
      </c>
      <c r="AA4" s="38">
        <v>5</v>
      </c>
      <c r="AB4" s="420">
        <v>0.16</v>
      </c>
    </row>
    <row r="5" spans="1:28" s="49" customFormat="1" ht="15.75" thickBot="1">
      <c r="A5" s="45"/>
      <c r="B5" s="46" t="s">
        <v>140</v>
      </c>
      <c r="C5" s="79">
        <v>2.5</v>
      </c>
      <c r="D5" s="84">
        <v>2.5</v>
      </c>
      <c r="E5" s="85">
        <v>2.5</v>
      </c>
      <c r="F5" s="85">
        <v>2.5</v>
      </c>
      <c r="G5" s="85">
        <v>2.5</v>
      </c>
      <c r="H5" s="85">
        <v>0</v>
      </c>
      <c r="I5" s="85">
        <v>2.5</v>
      </c>
      <c r="J5" s="85">
        <v>3.3</v>
      </c>
      <c r="K5" s="85">
        <v>2.5</v>
      </c>
      <c r="L5" s="85">
        <v>3.4</v>
      </c>
      <c r="M5" s="85">
        <v>2</v>
      </c>
      <c r="N5" s="85">
        <v>2.8</v>
      </c>
      <c r="O5" s="85">
        <v>3.6</v>
      </c>
      <c r="P5" s="85">
        <v>3.5</v>
      </c>
      <c r="Q5" s="85">
        <v>3.8</v>
      </c>
      <c r="R5" s="85">
        <v>3.6</v>
      </c>
      <c r="S5" s="85">
        <v>3.6</v>
      </c>
      <c r="T5" s="85">
        <v>3.6</v>
      </c>
      <c r="U5" s="85">
        <v>3.6</v>
      </c>
      <c r="V5" s="86">
        <v>3.6</v>
      </c>
      <c r="W5" s="80">
        <v>3.8</v>
      </c>
      <c r="X5" s="69">
        <v>3.8</v>
      </c>
      <c r="Y5" s="69">
        <v>0</v>
      </c>
      <c r="Z5" s="69">
        <v>0</v>
      </c>
      <c r="AB5" s="421"/>
    </row>
    <row r="6" spans="1:28" s="49" customFormat="1">
      <c r="A6" s="45"/>
      <c r="B6" s="46"/>
      <c r="C6" s="48"/>
      <c r="D6" s="422"/>
      <c r="E6" s="422"/>
      <c r="F6" s="422"/>
      <c r="G6" s="83"/>
      <c r="H6" s="83"/>
      <c r="I6" s="83"/>
      <c r="J6" s="83"/>
      <c r="K6" s="83"/>
      <c r="L6" s="48"/>
      <c r="M6" s="48"/>
      <c r="N6" s="48"/>
      <c r="O6" s="48"/>
      <c r="P6" s="48"/>
      <c r="Q6" s="48"/>
      <c r="R6" s="48"/>
      <c r="S6" s="48"/>
      <c r="T6" s="48"/>
      <c r="U6" s="48"/>
      <c r="V6" s="48"/>
      <c r="W6" s="48"/>
      <c r="X6" s="48"/>
      <c r="Y6" s="48"/>
      <c r="Z6" s="48"/>
      <c r="AB6" s="421"/>
    </row>
    <row r="7" spans="1:28" ht="15.75" thickBot="1">
      <c r="A7" s="41" t="s">
        <v>25</v>
      </c>
      <c r="B7" s="42" t="s">
        <v>139</v>
      </c>
      <c r="C7" s="43">
        <v>1</v>
      </c>
      <c r="D7" s="81">
        <v>1</v>
      </c>
      <c r="E7" s="81">
        <v>1</v>
      </c>
      <c r="F7" s="81">
        <v>1</v>
      </c>
      <c r="G7" s="81">
        <v>1</v>
      </c>
      <c r="H7" s="81">
        <v>1</v>
      </c>
      <c r="I7" s="82">
        <v>1</v>
      </c>
      <c r="J7" s="81">
        <v>1.1666666666666667</v>
      </c>
      <c r="K7" s="81">
        <v>1.3333333333333335</v>
      </c>
      <c r="L7" s="44">
        <v>1.5000000000000002</v>
      </c>
      <c r="M7" s="44">
        <v>1.666666666666667</v>
      </c>
      <c r="N7" s="43">
        <v>2</v>
      </c>
      <c r="O7" s="44">
        <v>2.0499999999999998</v>
      </c>
      <c r="P7" s="44">
        <v>2.0999999999999996</v>
      </c>
      <c r="Q7" s="44">
        <v>2.1499999999999995</v>
      </c>
      <c r="R7" s="43">
        <v>2.2000000000000002</v>
      </c>
      <c r="S7" s="44">
        <v>2.25</v>
      </c>
      <c r="T7" s="44">
        <v>2.2999999999999998</v>
      </c>
      <c r="U7" s="44">
        <v>2.3499999999999996</v>
      </c>
      <c r="V7" s="44">
        <v>2.3999999999999995</v>
      </c>
      <c r="W7" s="44">
        <v>3.6999999999999993</v>
      </c>
      <c r="X7" s="44">
        <v>3.9999999999999991</v>
      </c>
      <c r="Y7" s="43">
        <v>4</v>
      </c>
      <c r="Z7" s="44">
        <v>4</v>
      </c>
      <c r="AA7" s="38">
        <v>5</v>
      </c>
      <c r="AB7" s="420">
        <v>0.16</v>
      </c>
    </row>
    <row r="8" spans="1:28" s="49" customFormat="1" ht="15.75" thickBot="1">
      <c r="A8" s="45"/>
      <c r="B8" s="46" t="s">
        <v>140</v>
      </c>
      <c r="C8" s="79">
        <v>1</v>
      </c>
      <c r="D8" s="84">
        <v>1</v>
      </c>
      <c r="E8" s="85">
        <v>1</v>
      </c>
      <c r="F8" s="85">
        <v>1</v>
      </c>
      <c r="G8" s="85">
        <v>0</v>
      </c>
      <c r="H8" s="85">
        <v>0</v>
      </c>
      <c r="I8" s="85">
        <v>1.5</v>
      </c>
      <c r="J8" s="85">
        <v>1.5</v>
      </c>
      <c r="K8" s="85">
        <v>1.5</v>
      </c>
      <c r="L8" s="85">
        <v>0</v>
      </c>
      <c r="M8" s="85">
        <v>2</v>
      </c>
      <c r="N8" s="423">
        <v>2</v>
      </c>
      <c r="O8" s="424">
        <v>2</v>
      </c>
      <c r="P8" s="424">
        <v>4.0999999999999996</v>
      </c>
      <c r="Q8" s="424">
        <v>3.5</v>
      </c>
      <c r="R8" s="85">
        <v>3.5</v>
      </c>
      <c r="S8" s="85">
        <v>3.5</v>
      </c>
      <c r="T8" s="85">
        <v>3.5</v>
      </c>
      <c r="U8" s="85">
        <v>4.5999999999999996</v>
      </c>
      <c r="V8" s="86">
        <v>4.5999999999999996</v>
      </c>
      <c r="W8" s="80">
        <v>4.3</v>
      </c>
      <c r="X8" s="69">
        <v>4.3</v>
      </c>
      <c r="Y8" s="69">
        <v>0</v>
      </c>
      <c r="Z8" s="69">
        <v>0</v>
      </c>
      <c r="AB8" s="421"/>
    </row>
    <row r="9" spans="1:28" s="49" customFormat="1">
      <c r="A9" s="45"/>
      <c r="B9" s="46"/>
      <c r="C9" s="48"/>
      <c r="D9" s="83"/>
      <c r="E9" s="83"/>
      <c r="F9" s="83"/>
      <c r="G9" s="83"/>
      <c r="H9" s="83"/>
      <c r="I9" s="83"/>
      <c r="J9" s="83"/>
      <c r="K9" s="83"/>
      <c r="L9" s="48"/>
      <c r="M9" s="48"/>
      <c r="N9" s="48"/>
      <c r="O9" s="48"/>
      <c r="P9" s="48"/>
      <c r="Q9" s="48"/>
      <c r="R9" s="48"/>
      <c r="S9" s="48"/>
      <c r="T9" s="48"/>
      <c r="U9" s="48"/>
      <c r="V9" s="48"/>
      <c r="W9" s="48"/>
      <c r="X9" s="48"/>
      <c r="Y9" s="48"/>
      <c r="Z9" s="48"/>
      <c r="AB9" s="421"/>
    </row>
    <row r="10" spans="1:28" ht="15.75" thickBot="1">
      <c r="A10" s="41" t="s">
        <v>186</v>
      </c>
      <c r="B10" s="42" t="s">
        <v>214</v>
      </c>
      <c r="C10" s="50">
        <v>12</v>
      </c>
      <c r="D10" s="73">
        <v>12</v>
      </c>
      <c r="E10" s="73">
        <v>12</v>
      </c>
      <c r="F10" s="73">
        <v>12</v>
      </c>
      <c r="G10" s="73">
        <v>12</v>
      </c>
      <c r="H10" s="73">
        <v>12</v>
      </c>
      <c r="I10" s="74">
        <v>12</v>
      </c>
      <c r="J10" s="73">
        <v>12.166666666666666</v>
      </c>
      <c r="K10" s="73">
        <v>12.333333333333332</v>
      </c>
      <c r="L10" s="51">
        <v>12.499999999999998</v>
      </c>
      <c r="M10" s="51">
        <v>12.666666666666664</v>
      </c>
      <c r="N10" s="50">
        <v>13</v>
      </c>
      <c r="O10" s="51">
        <v>13.25</v>
      </c>
      <c r="P10" s="51">
        <v>13.5</v>
      </c>
      <c r="Q10" s="51">
        <v>13.75</v>
      </c>
      <c r="R10" s="50">
        <v>14</v>
      </c>
      <c r="S10" s="51">
        <v>14.166666666666666</v>
      </c>
      <c r="T10" s="51">
        <v>14.333333333333332</v>
      </c>
      <c r="U10" s="51">
        <v>14.499999999999998</v>
      </c>
      <c r="V10" s="51">
        <v>14.666666666666664</v>
      </c>
      <c r="W10" s="51">
        <v>12.33333333333333</v>
      </c>
      <c r="X10" s="51">
        <v>11.999999999999996</v>
      </c>
      <c r="Y10" s="50">
        <v>12</v>
      </c>
      <c r="Z10" s="51">
        <v>12</v>
      </c>
      <c r="AA10" s="38">
        <v>15</v>
      </c>
      <c r="AB10" s="420">
        <v>0.6</v>
      </c>
    </row>
    <row r="11" spans="1:28" s="49" customFormat="1" ht="15.75" thickBot="1">
      <c r="A11" s="45"/>
      <c r="B11" s="46" t="s">
        <v>215</v>
      </c>
      <c r="C11" s="71">
        <v>12</v>
      </c>
      <c r="D11" s="76">
        <v>12</v>
      </c>
      <c r="E11" s="77">
        <v>12</v>
      </c>
      <c r="F11" s="77">
        <v>12</v>
      </c>
      <c r="G11" s="77">
        <v>12</v>
      </c>
      <c r="H11" s="77">
        <v>9</v>
      </c>
      <c r="I11" s="77">
        <v>8.5</v>
      </c>
      <c r="J11" s="77">
        <v>9</v>
      </c>
      <c r="K11" s="77">
        <v>9</v>
      </c>
      <c r="L11" s="77">
        <v>8.5</v>
      </c>
      <c r="M11" s="77">
        <v>8.5</v>
      </c>
      <c r="N11" s="425">
        <v>12</v>
      </c>
      <c r="O11" s="426">
        <v>12</v>
      </c>
      <c r="P11" s="426">
        <v>12</v>
      </c>
      <c r="Q11" s="426">
        <v>12</v>
      </c>
      <c r="R11" s="77">
        <v>12</v>
      </c>
      <c r="S11" s="77">
        <v>12</v>
      </c>
      <c r="T11" s="77">
        <v>12</v>
      </c>
      <c r="U11" s="77">
        <v>12</v>
      </c>
      <c r="V11" s="78">
        <v>12</v>
      </c>
      <c r="W11" s="72">
        <v>12</v>
      </c>
      <c r="X11" s="70">
        <v>12</v>
      </c>
      <c r="Y11" s="70">
        <v>0</v>
      </c>
      <c r="Z11" s="70">
        <v>0</v>
      </c>
      <c r="AA11" s="38"/>
      <c r="AB11" s="420"/>
    </row>
    <row r="12" spans="1:28" s="49" customFormat="1">
      <c r="A12" s="45"/>
      <c r="B12" s="46"/>
      <c r="C12" s="53"/>
      <c r="D12" s="75"/>
      <c r="E12" s="75"/>
      <c r="F12" s="75"/>
      <c r="G12" s="75"/>
      <c r="H12" s="75"/>
      <c r="I12" s="75"/>
      <c r="J12" s="75"/>
      <c r="K12" s="75"/>
      <c r="L12" s="53"/>
      <c r="M12" s="53"/>
      <c r="N12" s="53"/>
      <c r="O12" s="53"/>
      <c r="P12" s="53"/>
      <c r="Q12" s="53"/>
      <c r="R12" s="53"/>
      <c r="S12" s="53"/>
      <c r="T12" s="53"/>
      <c r="U12" s="53"/>
      <c r="V12" s="53"/>
      <c r="W12" s="53"/>
      <c r="X12" s="53"/>
      <c r="Y12" s="53"/>
      <c r="Z12" s="53"/>
      <c r="AB12" s="421"/>
    </row>
    <row r="13" spans="1:28" ht="15.75" thickBot="1">
      <c r="A13" s="41" t="s">
        <v>187</v>
      </c>
      <c r="B13" s="42" t="s">
        <v>216</v>
      </c>
      <c r="C13" s="50">
        <v>15</v>
      </c>
      <c r="D13" s="73">
        <v>15</v>
      </c>
      <c r="E13" s="73">
        <v>15</v>
      </c>
      <c r="F13" s="73">
        <v>15</v>
      </c>
      <c r="G13" s="73">
        <v>15</v>
      </c>
      <c r="H13" s="73">
        <v>15</v>
      </c>
      <c r="I13" s="74">
        <v>15</v>
      </c>
      <c r="J13" s="73">
        <v>15</v>
      </c>
      <c r="K13" s="73">
        <v>15</v>
      </c>
      <c r="L13" s="51">
        <v>15</v>
      </c>
      <c r="M13" s="51">
        <v>15</v>
      </c>
      <c r="N13" s="50">
        <v>15</v>
      </c>
      <c r="O13" s="51">
        <v>15</v>
      </c>
      <c r="P13" s="51">
        <v>15</v>
      </c>
      <c r="Q13" s="51">
        <v>15</v>
      </c>
      <c r="R13" s="50">
        <v>15</v>
      </c>
      <c r="S13" s="51">
        <v>15</v>
      </c>
      <c r="T13" s="51">
        <v>15</v>
      </c>
      <c r="U13" s="51">
        <v>15</v>
      </c>
      <c r="V13" s="51">
        <v>15</v>
      </c>
      <c r="W13" s="51">
        <v>15</v>
      </c>
      <c r="X13" s="51">
        <v>15</v>
      </c>
      <c r="Y13" s="50">
        <v>15</v>
      </c>
      <c r="Z13" s="51">
        <v>15</v>
      </c>
      <c r="AA13" s="38">
        <v>15</v>
      </c>
      <c r="AB13" s="420">
        <v>0.6</v>
      </c>
    </row>
    <row r="14" spans="1:28" s="49" customFormat="1" ht="15.75" thickBot="1">
      <c r="A14" s="45"/>
      <c r="B14" s="46" t="s">
        <v>217</v>
      </c>
      <c r="C14" s="71">
        <v>15</v>
      </c>
      <c r="D14" s="76">
        <v>15</v>
      </c>
      <c r="E14" s="77">
        <v>15</v>
      </c>
      <c r="F14" s="77">
        <v>15</v>
      </c>
      <c r="G14" s="77">
        <v>8</v>
      </c>
      <c r="H14" s="77">
        <v>8</v>
      </c>
      <c r="I14" s="77">
        <v>8</v>
      </c>
      <c r="J14" s="77">
        <v>8</v>
      </c>
      <c r="K14" s="77">
        <v>8</v>
      </c>
      <c r="L14" s="77">
        <v>8</v>
      </c>
      <c r="M14" s="77">
        <v>8</v>
      </c>
      <c r="N14" s="425">
        <v>15</v>
      </c>
      <c r="O14" s="426">
        <v>15</v>
      </c>
      <c r="P14" s="426">
        <v>15</v>
      </c>
      <c r="Q14" s="426">
        <v>15</v>
      </c>
      <c r="R14" s="77">
        <v>15</v>
      </c>
      <c r="S14" s="77">
        <v>15</v>
      </c>
      <c r="T14" s="77">
        <v>15</v>
      </c>
      <c r="U14" s="77">
        <v>15</v>
      </c>
      <c r="V14" s="78">
        <v>15</v>
      </c>
      <c r="W14" s="72">
        <v>15</v>
      </c>
      <c r="X14" s="70">
        <v>15</v>
      </c>
      <c r="Y14" s="70">
        <v>0</v>
      </c>
      <c r="Z14" s="70">
        <v>0</v>
      </c>
      <c r="AB14" s="421"/>
    </row>
    <row r="15" spans="1:28" s="49" customFormat="1">
      <c r="A15" s="45"/>
      <c r="B15" s="46"/>
      <c r="C15" s="53"/>
      <c r="D15" s="427"/>
      <c r="E15" s="427"/>
      <c r="F15" s="427"/>
      <c r="G15" s="75"/>
      <c r="H15" s="75"/>
      <c r="I15" s="75"/>
      <c r="J15" s="75"/>
      <c r="K15" s="75"/>
      <c r="L15" s="53"/>
      <c r="M15" s="53"/>
      <c r="N15" s="53"/>
      <c r="O15" s="53"/>
      <c r="P15" s="53"/>
      <c r="Q15" s="53"/>
      <c r="R15" s="53"/>
      <c r="S15" s="53"/>
      <c r="T15" s="53"/>
      <c r="U15" s="53"/>
      <c r="V15" s="53"/>
      <c r="W15" s="53"/>
      <c r="X15" s="53"/>
      <c r="Y15" s="53"/>
      <c r="Z15" s="53"/>
      <c r="AB15" s="421"/>
    </row>
    <row r="16" spans="1:28" ht="15.75" thickBot="1">
      <c r="A16" s="41" t="s">
        <v>188</v>
      </c>
      <c r="B16" s="42" t="s">
        <v>218</v>
      </c>
      <c r="C16" s="50">
        <v>0</v>
      </c>
      <c r="D16" s="73">
        <v>0</v>
      </c>
      <c r="E16" s="73">
        <v>0</v>
      </c>
      <c r="F16" s="73">
        <v>0</v>
      </c>
      <c r="G16" s="73">
        <v>0</v>
      </c>
      <c r="H16" s="73">
        <v>0</v>
      </c>
      <c r="I16" s="74">
        <v>0</v>
      </c>
      <c r="J16" s="73">
        <v>0.16666666666666666</v>
      </c>
      <c r="K16" s="73">
        <v>0.33333333333333331</v>
      </c>
      <c r="L16" s="51">
        <v>0.5</v>
      </c>
      <c r="M16" s="51">
        <v>0.66666666666666663</v>
      </c>
      <c r="N16" s="50">
        <v>1</v>
      </c>
      <c r="O16" s="51">
        <v>1.25</v>
      </c>
      <c r="P16" s="51">
        <v>1.5</v>
      </c>
      <c r="Q16" s="51">
        <v>1.75</v>
      </c>
      <c r="R16" s="50">
        <v>2</v>
      </c>
      <c r="S16" s="51">
        <v>2.1666666666666665</v>
      </c>
      <c r="T16" s="51">
        <v>2.333333333333333</v>
      </c>
      <c r="U16" s="51">
        <v>2.4999999999999996</v>
      </c>
      <c r="V16" s="51">
        <v>2.6666666666666661</v>
      </c>
      <c r="W16" s="51">
        <v>2.8333333333333326</v>
      </c>
      <c r="X16" s="51">
        <v>2.9999999999999991</v>
      </c>
      <c r="Y16" s="50">
        <v>3</v>
      </c>
      <c r="Z16" s="51">
        <v>3</v>
      </c>
      <c r="AA16" s="38">
        <v>15</v>
      </c>
      <c r="AB16" s="420">
        <v>0.6</v>
      </c>
    </row>
    <row r="17" spans="1:28" s="49" customFormat="1" ht="15.75" thickBot="1">
      <c r="A17" s="45"/>
      <c r="B17" s="46" t="s">
        <v>219</v>
      </c>
      <c r="C17" s="71">
        <v>0</v>
      </c>
      <c r="D17" s="76">
        <v>0</v>
      </c>
      <c r="E17" s="77">
        <v>0</v>
      </c>
      <c r="F17" s="77">
        <v>0</v>
      </c>
      <c r="G17" s="77">
        <v>0</v>
      </c>
      <c r="H17" s="77">
        <v>0</v>
      </c>
      <c r="I17" s="77">
        <v>0</v>
      </c>
      <c r="J17" s="77">
        <v>0</v>
      </c>
      <c r="K17" s="77">
        <v>0</v>
      </c>
      <c r="L17" s="77">
        <v>0</v>
      </c>
      <c r="M17" s="77">
        <v>0</v>
      </c>
      <c r="N17" s="425">
        <v>1</v>
      </c>
      <c r="O17" s="426">
        <v>1</v>
      </c>
      <c r="P17" s="426">
        <v>1</v>
      </c>
      <c r="Q17" s="426">
        <v>1</v>
      </c>
      <c r="R17" s="77">
        <v>1</v>
      </c>
      <c r="S17" s="77">
        <v>1</v>
      </c>
      <c r="T17" s="77">
        <v>3</v>
      </c>
      <c r="U17" s="77">
        <v>3</v>
      </c>
      <c r="V17" s="78">
        <v>12</v>
      </c>
      <c r="W17" s="72">
        <v>12</v>
      </c>
      <c r="X17" s="70">
        <v>12</v>
      </c>
      <c r="Y17" s="70">
        <v>0</v>
      </c>
      <c r="Z17" s="70">
        <v>0</v>
      </c>
      <c r="AB17" s="421"/>
    </row>
    <row r="18" spans="1:28" s="49" customFormat="1">
      <c r="A18" s="45"/>
      <c r="B18" s="46"/>
      <c r="C18" s="53"/>
      <c r="D18" s="427"/>
      <c r="E18" s="427"/>
      <c r="F18" s="427"/>
      <c r="G18" s="75"/>
      <c r="H18" s="75"/>
      <c r="I18" s="75"/>
      <c r="J18" s="75"/>
      <c r="K18" s="75"/>
      <c r="L18" s="53"/>
      <c r="M18" s="53"/>
      <c r="N18" s="53"/>
      <c r="O18" s="53"/>
      <c r="P18" s="53"/>
      <c r="Q18" s="53"/>
      <c r="R18" s="53"/>
      <c r="S18" s="53"/>
      <c r="T18" s="53"/>
      <c r="U18" s="53"/>
      <c r="V18" s="53"/>
      <c r="W18" s="53"/>
      <c r="X18" s="53"/>
      <c r="Y18" s="53"/>
      <c r="Z18" s="53"/>
      <c r="AB18" s="421"/>
    </row>
    <row r="19" spans="1:28" ht="15.75" thickBot="1">
      <c r="A19" s="41" t="s">
        <v>189</v>
      </c>
      <c r="B19" s="42" t="s">
        <v>221</v>
      </c>
      <c r="C19" s="50">
        <v>12</v>
      </c>
      <c r="D19" s="73">
        <v>12</v>
      </c>
      <c r="E19" s="73">
        <v>12</v>
      </c>
      <c r="F19" s="73">
        <v>12</v>
      </c>
      <c r="G19" s="73">
        <v>12</v>
      </c>
      <c r="H19" s="73">
        <v>12</v>
      </c>
      <c r="I19" s="74">
        <v>12</v>
      </c>
      <c r="J19" s="73">
        <v>12.166666666666666</v>
      </c>
      <c r="K19" s="73">
        <v>12.333333333333332</v>
      </c>
      <c r="L19" s="51">
        <v>12.499999999999998</v>
      </c>
      <c r="M19" s="51">
        <v>12.666666666666664</v>
      </c>
      <c r="N19" s="50">
        <v>13</v>
      </c>
      <c r="O19" s="51">
        <v>13</v>
      </c>
      <c r="P19" s="51">
        <v>13</v>
      </c>
      <c r="Q19" s="51">
        <v>13</v>
      </c>
      <c r="R19" s="50">
        <v>13</v>
      </c>
      <c r="S19" s="51">
        <v>13.166666666666666</v>
      </c>
      <c r="T19" s="51">
        <v>13.333333333333332</v>
      </c>
      <c r="U19" s="51">
        <v>13.499999999999998</v>
      </c>
      <c r="V19" s="51">
        <v>13.666666666666664</v>
      </c>
      <c r="W19" s="51">
        <v>13.83333333333333</v>
      </c>
      <c r="X19" s="51">
        <v>13.999999999999996</v>
      </c>
      <c r="Y19" s="50">
        <v>14</v>
      </c>
      <c r="Z19" s="51">
        <v>14</v>
      </c>
      <c r="AA19" s="38">
        <v>15</v>
      </c>
      <c r="AB19" s="420">
        <v>0.6</v>
      </c>
    </row>
    <row r="20" spans="1:28" s="49" customFormat="1" ht="15.75" thickBot="1">
      <c r="A20" s="45"/>
      <c r="B20" s="46" t="s">
        <v>220</v>
      </c>
      <c r="C20" s="71">
        <v>12</v>
      </c>
      <c r="D20" s="76">
        <v>12</v>
      </c>
      <c r="E20" s="77">
        <v>12</v>
      </c>
      <c r="F20" s="77">
        <v>12</v>
      </c>
      <c r="G20" s="77">
        <v>12</v>
      </c>
      <c r="H20" s="77">
        <v>9</v>
      </c>
      <c r="I20" s="77">
        <v>8.5</v>
      </c>
      <c r="J20" s="77">
        <v>9</v>
      </c>
      <c r="K20" s="77">
        <v>9</v>
      </c>
      <c r="L20" s="77">
        <v>8.5</v>
      </c>
      <c r="M20" s="77">
        <v>8.5</v>
      </c>
      <c r="N20" s="425">
        <v>12</v>
      </c>
      <c r="O20" s="426">
        <v>12</v>
      </c>
      <c r="P20" s="426">
        <v>12</v>
      </c>
      <c r="Q20" s="426">
        <v>12</v>
      </c>
      <c r="R20" s="77">
        <v>12</v>
      </c>
      <c r="S20" s="77">
        <v>12</v>
      </c>
      <c r="T20" s="77">
        <v>12</v>
      </c>
      <c r="U20" s="77">
        <v>12</v>
      </c>
      <c r="V20" s="78">
        <v>12</v>
      </c>
      <c r="W20" s="72">
        <v>14</v>
      </c>
      <c r="X20" s="70">
        <v>14</v>
      </c>
      <c r="Y20" s="70">
        <v>0</v>
      </c>
      <c r="Z20" s="70">
        <v>0</v>
      </c>
      <c r="AB20" s="421"/>
    </row>
    <row r="21" spans="1:28" s="49" customFormat="1">
      <c r="A21" s="45"/>
      <c r="B21" s="46"/>
      <c r="C21" s="48"/>
      <c r="D21" s="422"/>
      <c r="E21" s="422"/>
      <c r="F21" s="422"/>
      <c r="G21" s="83"/>
      <c r="H21" s="83"/>
      <c r="I21" s="83"/>
      <c r="J21" s="83"/>
      <c r="K21" s="83"/>
      <c r="L21" s="48"/>
      <c r="M21" s="48"/>
      <c r="N21" s="48"/>
      <c r="O21" s="48"/>
      <c r="P21" s="48"/>
      <c r="Q21" s="48"/>
      <c r="R21" s="48"/>
      <c r="S21" s="48"/>
      <c r="T21" s="48"/>
      <c r="U21" s="48"/>
      <c r="V21" s="48"/>
      <c r="W21" s="48"/>
      <c r="X21" s="48"/>
      <c r="Y21" s="48"/>
      <c r="Z21" s="48"/>
      <c r="AB21" s="421"/>
    </row>
    <row r="22" spans="1:28" ht="15.75" thickBot="1">
      <c r="A22" s="41" t="s">
        <v>22</v>
      </c>
      <c r="B22" s="42" t="s">
        <v>139</v>
      </c>
      <c r="C22" s="43">
        <v>2.2000000000000002</v>
      </c>
      <c r="D22" s="81">
        <v>2.2000000000000002</v>
      </c>
      <c r="E22" s="81">
        <v>2.2000000000000002</v>
      </c>
      <c r="F22" s="81">
        <v>2.2000000000000002</v>
      </c>
      <c r="G22" s="81">
        <v>2.2000000000000002</v>
      </c>
      <c r="H22" s="81">
        <v>2.2000000000000002</v>
      </c>
      <c r="I22" s="82">
        <v>2.2000000000000002</v>
      </c>
      <c r="J22" s="81">
        <v>2.25</v>
      </c>
      <c r="K22" s="81">
        <v>2.2999999999999998</v>
      </c>
      <c r="L22" s="44">
        <v>2.3499999999999996</v>
      </c>
      <c r="M22" s="44">
        <v>2.3999999999999995</v>
      </c>
      <c r="N22" s="43">
        <v>2.5</v>
      </c>
      <c r="O22" s="44">
        <v>2.6749999999999998</v>
      </c>
      <c r="P22" s="44">
        <v>2.8499999999999996</v>
      </c>
      <c r="Q22" s="44">
        <v>3.0249999999999995</v>
      </c>
      <c r="R22" s="43">
        <v>3.2</v>
      </c>
      <c r="S22" s="44">
        <v>3.25</v>
      </c>
      <c r="T22" s="44">
        <v>3.3</v>
      </c>
      <c r="U22" s="44">
        <v>3.3499999999999996</v>
      </c>
      <c r="V22" s="44">
        <v>3.3999999999999995</v>
      </c>
      <c r="W22" s="44">
        <v>3.4499999999999993</v>
      </c>
      <c r="X22" s="44">
        <v>3.4999999999999991</v>
      </c>
      <c r="Y22" s="43">
        <v>3.5</v>
      </c>
      <c r="Z22" s="44">
        <v>3.5</v>
      </c>
      <c r="AA22" s="38">
        <v>5</v>
      </c>
      <c r="AB22" s="420">
        <v>0.16</v>
      </c>
    </row>
    <row r="23" spans="1:28" s="49" customFormat="1" ht="15.75" thickBot="1">
      <c r="A23" s="45"/>
      <c r="B23" s="46" t="s">
        <v>140</v>
      </c>
      <c r="C23" s="79">
        <v>2.2000000000000002</v>
      </c>
      <c r="D23" s="84">
        <v>2.2000000000000002</v>
      </c>
      <c r="E23" s="85">
        <v>2.2000000000000002</v>
      </c>
      <c r="F23" s="85">
        <v>2.1</v>
      </c>
      <c r="G23" s="85">
        <v>2.1</v>
      </c>
      <c r="H23" s="85">
        <v>2.2000000000000002</v>
      </c>
      <c r="I23" s="85">
        <v>2.1</v>
      </c>
      <c r="J23" s="85">
        <v>2.2999999999999998</v>
      </c>
      <c r="K23" s="85">
        <v>2.2999999999999998</v>
      </c>
      <c r="L23" s="85">
        <v>2.6</v>
      </c>
      <c r="M23" s="85">
        <v>2.6</v>
      </c>
      <c r="N23" s="423">
        <v>2.6</v>
      </c>
      <c r="O23" s="424">
        <v>3.6</v>
      </c>
      <c r="P23" s="424">
        <v>2.7</v>
      </c>
      <c r="Q23" s="424">
        <v>3.1</v>
      </c>
      <c r="R23" s="85">
        <v>3.2</v>
      </c>
      <c r="S23" s="85">
        <v>3.2</v>
      </c>
      <c r="T23" s="85">
        <v>3.2</v>
      </c>
      <c r="U23" s="85">
        <v>3.4</v>
      </c>
      <c r="V23" s="86">
        <v>3.4</v>
      </c>
      <c r="W23" s="80">
        <v>3.9</v>
      </c>
      <c r="X23" s="69">
        <v>3.9</v>
      </c>
      <c r="Y23" s="69">
        <v>0</v>
      </c>
      <c r="Z23" s="69">
        <v>0</v>
      </c>
      <c r="AB23" s="421"/>
    </row>
    <row r="24" spans="1:28" s="49" customFormat="1">
      <c r="A24" s="45"/>
      <c r="B24" s="46"/>
      <c r="C24" s="48"/>
      <c r="D24" s="422"/>
      <c r="E24" s="422"/>
      <c r="F24" s="422"/>
      <c r="G24" s="83"/>
      <c r="H24" s="83"/>
      <c r="I24" s="83"/>
      <c r="J24" s="83"/>
      <c r="K24" s="83"/>
      <c r="L24" s="48"/>
      <c r="M24" s="48"/>
      <c r="N24" s="48"/>
      <c r="O24" s="48"/>
      <c r="P24" s="48"/>
      <c r="Q24" s="48"/>
      <c r="R24" s="48"/>
      <c r="S24" s="48"/>
      <c r="T24" s="48"/>
      <c r="U24" s="48"/>
      <c r="V24" s="48"/>
      <c r="W24" s="48"/>
      <c r="X24" s="48"/>
      <c r="Y24" s="48"/>
      <c r="Z24" s="48"/>
      <c r="AB24" s="421"/>
    </row>
    <row r="25" spans="1:28" ht="15.75" thickBot="1">
      <c r="A25" s="41" t="s">
        <v>23</v>
      </c>
      <c r="B25" s="42" t="s">
        <v>139</v>
      </c>
      <c r="C25" s="43">
        <v>2.4</v>
      </c>
      <c r="D25" s="81">
        <v>2.4500000000000002</v>
      </c>
      <c r="E25" s="81">
        <v>2.5</v>
      </c>
      <c r="F25" s="81">
        <v>2.5499999999999998</v>
      </c>
      <c r="G25" s="81">
        <v>2.5999999999999996</v>
      </c>
      <c r="H25" s="81">
        <v>2.6499999999999995</v>
      </c>
      <c r="I25" s="82">
        <v>2.7</v>
      </c>
      <c r="J25" s="81">
        <v>2.75</v>
      </c>
      <c r="K25" s="81">
        <v>2.8</v>
      </c>
      <c r="L25" s="44">
        <v>2.8499999999999996</v>
      </c>
      <c r="M25" s="44">
        <v>2.8999999999999995</v>
      </c>
      <c r="N25" s="43">
        <v>3</v>
      </c>
      <c r="O25" s="44">
        <v>3.0625</v>
      </c>
      <c r="P25" s="44">
        <v>3.125</v>
      </c>
      <c r="Q25" s="44">
        <v>3.1875</v>
      </c>
      <c r="R25" s="43">
        <v>3.25</v>
      </c>
      <c r="S25" s="44">
        <v>3.2916666666666665</v>
      </c>
      <c r="T25" s="44">
        <v>3.333333333333333</v>
      </c>
      <c r="U25" s="44">
        <v>3.3749999999999996</v>
      </c>
      <c r="V25" s="44">
        <v>3.4166666666666661</v>
      </c>
      <c r="W25" s="44">
        <v>4.1249999999999991</v>
      </c>
      <c r="X25" s="44">
        <v>4.2999999999999989</v>
      </c>
      <c r="Y25" s="43">
        <v>4.3</v>
      </c>
      <c r="Z25" s="44">
        <v>4.3</v>
      </c>
      <c r="AA25" s="38">
        <v>5</v>
      </c>
      <c r="AB25" s="420">
        <v>0.16</v>
      </c>
    </row>
    <row r="26" spans="1:28" s="49" customFormat="1" ht="15.75" thickBot="1">
      <c r="A26" s="45"/>
      <c r="B26" s="46" t="s">
        <v>140</v>
      </c>
      <c r="C26" s="79">
        <v>2.4</v>
      </c>
      <c r="D26" s="84">
        <v>2.4</v>
      </c>
      <c r="E26" s="85">
        <v>2.5</v>
      </c>
      <c r="F26" s="85">
        <v>2.6</v>
      </c>
      <c r="G26" s="85">
        <v>2.6</v>
      </c>
      <c r="H26" s="85">
        <v>2.8</v>
      </c>
      <c r="I26" s="85">
        <v>2.8</v>
      </c>
      <c r="J26" s="85">
        <v>3.6</v>
      </c>
      <c r="K26" s="85">
        <v>3.6</v>
      </c>
      <c r="L26" s="85">
        <v>4</v>
      </c>
      <c r="M26" s="85">
        <v>4</v>
      </c>
      <c r="N26" s="423">
        <v>2.8</v>
      </c>
      <c r="O26" s="424">
        <v>3.6</v>
      </c>
      <c r="P26" s="424">
        <v>3.7</v>
      </c>
      <c r="Q26" s="424">
        <v>4</v>
      </c>
      <c r="R26" s="85">
        <v>4.0999999999999996</v>
      </c>
      <c r="S26" s="85">
        <v>4.0999999999999996</v>
      </c>
      <c r="T26" s="85">
        <v>4.0999999999999996</v>
      </c>
      <c r="U26" s="85">
        <v>4.2</v>
      </c>
      <c r="V26" s="86">
        <v>4.2</v>
      </c>
      <c r="W26" s="80">
        <v>4.5</v>
      </c>
      <c r="X26" s="69">
        <v>4.5</v>
      </c>
      <c r="Y26" s="69">
        <v>0</v>
      </c>
      <c r="Z26" s="69">
        <v>0</v>
      </c>
      <c r="AB26" s="421"/>
    </row>
    <row r="27" spans="1:28" s="49" customFormat="1">
      <c r="A27" s="45"/>
      <c r="B27" s="46"/>
      <c r="C27" s="48"/>
      <c r="D27" s="422"/>
      <c r="E27" s="422"/>
      <c r="F27" s="422"/>
      <c r="G27" s="83"/>
      <c r="H27" s="83"/>
      <c r="I27" s="83"/>
      <c r="J27" s="83"/>
      <c r="K27" s="83"/>
      <c r="L27" s="48"/>
      <c r="M27" s="48"/>
      <c r="N27" s="48"/>
      <c r="O27" s="48"/>
      <c r="P27" s="48"/>
      <c r="Q27" s="48"/>
      <c r="R27" s="48"/>
      <c r="S27" s="48"/>
      <c r="T27" s="48"/>
      <c r="U27" s="48"/>
      <c r="V27" s="48"/>
      <c r="W27" s="48"/>
      <c r="X27" s="48"/>
      <c r="Y27" s="48"/>
      <c r="Z27" s="48"/>
      <c r="AB27" s="421"/>
    </row>
    <row r="28" spans="1:28" ht="15.75" thickBot="1">
      <c r="A28" s="41" t="s">
        <v>38</v>
      </c>
      <c r="B28" s="42" t="s">
        <v>139</v>
      </c>
      <c r="C28" s="47"/>
      <c r="D28" s="47"/>
      <c r="E28" s="47"/>
      <c r="F28" s="47"/>
      <c r="G28" s="47"/>
      <c r="H28" s="47"/>
      <c r="I28" s="47"/>
      <c r="J28" s="47"/>
      <c r="K28" s="47"/>
      <c r="L28" s="47"/>
      <c r="M28" s="47"/>
      <c r="N28" s="43">
        <v>3.4</v>
      </c>
      <c r="O28" s="44">
        <v>3.45</v>
      </c>
      <c r="P28" s="44">
        <v>3.5</v>
      </c>
      <c r="Q28" s="44">
        <v>3.55</v>
      </c>
      <c r="R28" s="43">
        <v>3.6</v>
      </c>
      <c r="S28" s="44">
        <v>3.6166666666666667</v>
      </c>
      <c r="T28" s="44">
        <v>3.6333333333333333</v>
      </c>
      <c r="U28" s="44">
        <v>3.65</v>
      </c>
      <c r="V28" s="44">
        <v>3.6666666666666665</v>
      </c>
      <c r="W28" s="44">
        <v>3.6833333333333331</v>
      </c>
      <c r="X28" s="44">
        <v>3.6999999999999997</v>
      </c>
      <c r="Y28" s="43">
        <v>3.7</v>
      </c>
      <c r="Z28" s="44">
        <v>3.7</v>
      </c>
      <c r="AA28" s="38">
        <v>5</v>
      </c>
      <c r="AB28" s="420">
        <v>0.16</v>
      </c>
    </row>
    <row r="29" spans="1:28" s="49" customFormat="1" ht="15.75" thickBot="1">
      <c r="A29" s="45"/>
      <c r="B29" s="46" t="s">
        <v>140</v>
      </c>
      <c r="C29" s="47"/>
      <c r="D29" s="47"/>
      <c r="E29" s="47"/>
      <c r="F29" s="47"/>
      <c r="G29" s="47"/>
      <c r="H29" s="47"/>
      <c r="I29" s="47"/>
      <c r="J29" s="47"/>
      <c r="K29" s="47"/>
      <c r="L29" s="47"/>
      <c r="M29" s="47"/>
      <c r="N29" s="47">
        <v>3.4</v>
      </c>
      <c r="O29" s="84">
        <v>3</v>
      </c>
      <c r="P29" s="424">
        <v>3.4</v>
      </c>
      <c r="Q29" s="424">
        <v>3.4</v>
      </c>
      <c r="R29" s="85">
        <v>3.4</v>
      </c>
      <c r="S29" s="85">
        <v>3.4</v>
      </c>
      <c r="T29" s="85">
        <v>3.4</v>
      </c>
      <c r="U29" s="85">
        <v>3.5</v>
      </c>
      <c r="V29" s="86">
        <v>3.5</v>
      </c>
      <c r="W29" s="80">
        <v>3.9</v>
      </c>
      <c r="X29" s="69">
        <v>3.9</v>
      </c>
      <c r="Y29" s="69">
        <v>0</v>
      </c>
      <c r="Z29" s="69">
        <v>0</v>
      </c>
      <c r="AB29" s="421"/>
    </row>
    <row r="30" spans="1:28" s="49" customFormat="1">
      <c r="A30" s="45"/>
      <c r="B30" s="46"/>
      <c r="C30" s="48"/>
      <c r="D30" s="48"/>
      <c r="E30" s="48"/>
      <c r="F30" s="48"/>
      <c r="G30" s="48"/>
      <c r="H30" s="48"/>
      <c r="I30" s="48"/>
      <c r="J30" s="48"/>
      <c r="K30" s="48"/>
      <c r="L30" s="48"/>
      <c r="M30" s="48"/>
      <c r="N30" s="48"/>
      <c r="O30" s="48"/>
      <c r="P30" s="48"/>
      <c r="Q30" s="48"/>
      <c r="R30" s="48"/>
      <c r="S30" s="48"/>
      <c r="T30" s="48"/>
      <c r="U30" s="48"/>
      <c r="V30" s="48"/>
      <c r="W30" s="48"/>
      <c r="X30" s="48"/>
      <c r="Y30" s="48"/>
      <c r="Z30" s="48"/>
      <c r="AB30" s="421"/>
    </row>
    <row r="31" spans="1:28" ht="15.75" thickBot="1">
      <c r="A31" s="41" t="s">
        <v>39</v>
      </c>
      <c r="B31" s="42" t="s">
        <v>139</v>
      </c>
      <c r="C31" s="50">
        <v>0</v>
      </c>
      <c r="D31" s="73">
        <v>0.5</v>
      </c>
      <c r="E31" s="73">
        <v>1</v>
      </c>
      <c r="F31" s="73">
        <v>1.5</v>
      </c>
      <c r="G31" s="73">
        <v>2</v>
      </c>
      <c r="H31" s="73">
        <v>2.5</v>
      </c>
      <c r="I31" s="74">
        <v>3</v>
      </c>
      <c r="J31" s="73">
        <v>3.5</v>
      </c>
      <c r="K31" s="73">
        <v>4</v>
      </c>
      <c r="L31" s="51">
        <v>4.5</v>
      </c>
      <c r="M31" s="51">
        <v>5</v>
      </c>
      <c r="N31" s="50">
        <v>6</v>
      </c>
      <c r="O31" s="51">
        <v>6.25</v>
      </c>
      <c r="P31" s="51">
        <v>6.5</v>
      </c>
      <c r="Q31" s="51">
        <v>6.75</v>
      </c>
      <c r="R31" s="50">
        <v>7</v>
      </c>
      <c r="S31" s="51">
        <v>7.166666666666667</v>
      </c>
      <c r="T31" s="51">
        <v>7.3333333333333339</v>
      </c>
      <c r="U31" s="51">
        <v>7.5000000000000009</v>
      </c>
      <c r="V31" s="51">
        <v>7.6666666666666679</v>
      </c>
      <c r="W31" s="51">
        <v>26.166666666666664</v>
      </c>
      <c r="X31" s="51">
        <v>29.999999999999996</v>
      </c>
      <c r="Y31" s="50">
        <v>30</v>
      </c>
      <c r="Z31" s="51">
        <v>30</v>
      </c>
      <c r="AA31" s="38">
        <v>20</v>
      </c>
      <c r="AB31" s="420">
        <v>0.8</v>
      </c>
    </row>
    <row r="32" spans="1:28" s="49" customFormat="1" ht="15.75" thickBot="1">
      <c r="A32" s="45"/>
      <c r="B32" s="46" t="s">
        <v>140</v>
      </c>
      <c r="C32" s="71">
        <v>0</v>
      </c>
      <c r="D32" s="76">
        <v>1</v>
      </c>
      <c r="E32" s="77">
        <v>1</v>
      </c>
      <c r="F32" s="77">
        <v>1</v>
      </c>
      <c r="G32" s="77">
        <v>1</v>
      </c>
      <c r="H32" s="77">
        <v>1</v>
      </c>
      <c r="I32" s="77">
        <v>1</v>
      </c>
      <c r="J32" s="77">
        <v>1</v>
      </c>
      <c r="K32" s="77">
        <v>1</v>
      </c>
      <c r="L32" s="77">
        <v>5</v>
      </c>
      <c r="M32" s="77">
        <v>6</v>
      </c>
      <c r="N32" s="425">
        <v>6</v>
      </c>
      <c r="O32" s="426">
        <v>8</v>
      </c>
      <c r="P32" s="426">
        <v>10</v>
      </c>
      <c r="Q32" s="426">
        <v>13</v>
      </c>
      <c r="R32" s="77">
        <v>18</v>
      </c>
      <c r="S32" s="77">
        <v>22</v>
      </c>
      <c r="T32" s="77">
        <v>25</v>
      </c>
      <c r="U32" s="77">
        <v>28</v>
      </c>
      <c r="V32" s="78">
        <v>28</v>
      </c>
      <c r="W32" s="72">
        <v>28</v>
      </c>
      <c r="X32" s="822">
        <v>28</v>
      </c>
      <c r="Y32" s="70">
        <v>0</v>
      </c>
      <c r="Z32" s="70">
        <v>0</v>
      </c>
      <c r="AB32" s="421"/>
    </row>
    <row r="33" spans="1:28" s="49" customFormat="1">
      <c r="A33" s="45"/>
      <c r="B33" s="46"/>
      <c r="C33" s="53"/>
      <c r="D33" s="75"/>
      <c r="E33" s="75"/>
      <c r="F33" s="75"/>
      <c r="G33" s="75"/>
      <c r="H33" s="75"/>
      <c r="I33" s="75"/>
      <c r="J33" s="75"/>
      <c r="K33" s="75"/>
      <c r="L33" s="53"/>
      <c r="M33" s="53"/>
      <c r="N33" s="53"/>
      <c r="O33" s="53"/>
      <c r="P33" s="53"/>
      <c r="Q33" s="53"/>
      <c r="R33" s="53"/>
      <c r="S33" s="53"/>
      <c r="T33" s="53"/>
      <c r="U33" s="53"/>
      <c r="V33" s="53"/>
      <c r="W33" s="53"/>
      <c r="X33" s="53"/>
      <c r="Y33" s="53"/>
      <c r="Z33" s="53"/>
      <c r="AB33" s="421"/>
    </row>
    <row r="34" spans="1:28" ht="15.75" thickBot="1">
      <c r="A34" s="41" t="s">
        <v>185</v>
      </c>
      <c r="B34" s="42" t="s">
        <v>222</v>
      </c>
      <c r="C34" s="50">
        <v>0</v>
      </c>
      <c r="D34" s="73">
        <v>0.16666666666666666</v>
      </c>
      <c r="E34" s="73">
        <v>0.33333333333333331</v>
      </c>
      <c r="F34" s="73">
        <v>0.5</v>
      </c>
      <c r="G34" s="73">
        <v>0.66666666666666663</v>
      </c>
      <c r="H34" s="73">
        <v>0.83333333333333326</v>
      </c>
      <c r="I34" s="74">
        <v>1</v>
      </c>
      <c r="J34" s="73">
        <v>1.3333333333333333</v>
      </c>
      <c r="K34" s="73">
        <v>1.6666666666666665</v>
      </c>
      <c r="L34" s="51">
        <v>1.9999999999999998</v>
      </c>
      <c r="M34" s="51">
        <v>2.333333333333333</v>
      </c>
      <c r="N34" s="50">
        <v>3</v>
      </c>
      <c r="O34" s="51">
        <v>3.25</v>
      </c>
      <c r="P34" s="51">
        <v>3.5</v>
      </c>
      <c r="Q34" s="51">
        <v>3.75</v>
      </c>
      <c r="R34" s="50">
        <v>4</v>
      </c>
      <c r="S34" s="51">
        <v>4</v>
      </c>
      <c r="T34" s="51">
        <v>4</v>
      </c>
      <c r="U34" s="51">
        <v>4</v>
      </c>
      <c r="V34" s="51">
        <v>4</v>
      </c>
      <c r="W34" s="51">
        <v>8.1666666666666661</v>
      </c>
      <c r="X34" s="51">
        <v>9</v>
      </c>
      <c r="Y34" s="50">
        <v>9</v>
      </c>
      <c r="Z34" s="51">
        <v>9</v>
      </c>
      <c r="AA34" s="38">
        <v>15</v>
      </c>
      <c r="AB34" s="420">
        <v>0.6</v>
      </c>
    </row>
    <row r="35" spans="1:28" s="49" customFormat="1" ht="15.75" thickBot="1">
      <c r="A35" s="45"/>
      <c r="B35" s="46" t="s">
        <v>223</v>
      </c>
      <c r="C35" s="71">
        <v>0</v>
      </c>
      <c r="D35" s="76">
        <v>0</v>
      </c>
      <c r="E35" s="77">
        <v>0</v>
      </c>
      <c r="F35" s="77">
        <v>0</v>
      </c>
      <c r="G35" s="77">
        <v>0</v>
      </c>
      <c r="H35" s="77">
        <v>0</v>
      </c>
      <c r="I35" s="77">
        <v>0</v>
      </c>
      <c r="J35" s="77">
        <v>0</v>
      </c>
      <c r="K35" s="77">
        <v>0</v>
      </c>
      <c r="L35" s="77">
        <v>2</v>
      </c>
      <c r="M35" s="77">
        <v>3</v>
      </c>
      <c r="N35" s="425">
        <v>3</v>
      </c>
      <c r="O35" s="426">
        <v>4</v>
      </c>
      <c r="P35" s="426">
        <v>8</v>
      </c>
      <c r="Q35" s="426">
        <v>9</v>
      </c>
      <c r="R35" s="77">
        <v>12</v>
      </c>
      <c r="S35" s="77">
        <v>3</v>
      </c>
      <c r="T35" s="77">
        <v>5</v>
      </c>
      <c r="U35" s="77">
        <v>8</v>
      </c>
      <c r="V35" s="78">
        <v>8</v>
      </c>
      <c r="W35" s="72">
        <v>13</v>
      </c>
      <c r="X35" s="70">
        <v>18</v>
      </c>
      <c r="Y35" s="70">
        <v>0</v>
      </c>
      <c r="Z35" s="70">
        <v>0</v>
      </c>
      <c r="AB35" s="421"/>
    </row>
    <row r="36" spans="1:28" s="49" customFormat="1">
      <c r="A36" s="45"/>
      <c r="B36" s="46"/>
      <c r="C36" s="53"/>
      <c r="D36" s="75"/>
      <c r="E36" s="75"/>
      <c r="F36" s="75"/>
      <c r="G36" s="75"/>
      <c r="H36" s="75"/>
      <c r="I36" s="75"/>
      <c r="J36" s="75"/>
      <c r="K36" s="75"/>
      <c r="L36" s="53"/>
      <c r="M36" s="53"/>
      <c r="N36" s="53"/>
      <c r="O36" s="53"/>
      <c r="P36" s="53"/>
      <c r="Q36" s="53"/>
      <c r="R36" s="53"/>
      <c r="S36" s="53"/>
      <c r="T36" s="53"/>
      <c r="U36" s="53"/>
      <c r="V36" s="53"/>
      <c r="W36" s="53"/>
      <c r="X36" s="53"/>
      <c r="Y36" s="53"/>
      <c r="Z36" s="53"/>
      <c r="AB36" s="421"/>
    </row>
    <row r="37" spans="1:28" ht="15.75" thickBot="1">
      <c r="A37" s="41" t="s">
        <v>184</v>
      </c>
      <c r="B37" s="42" t="s">
        <v>226</v>
      </c>
      <c r="C37" s="50">
        <v>0</v>
      </c>
      <c r="D37" s="73">
        <v>0</v>
      </c>
      <c r="E37" s="73">
        <v>0</v>
      </c>
      <c r="F37" s="73">
        <v>0</v>
      </c>
      <c r="G37" s="73">
        <v>0</v>
      </c>
      <c r="H37" s="73">
        <v>0</v>
      </c>
      <c r="I37" s="74">
        <v>0</v>
      </c>
      <c r="J37" s="73">
        <v>0.16666666666666666</v>
      </c>
      <c r="K37" s="73">
        <v>0.33333333333333331</v>
      </c>
      <c r="L37" s="51">
        <v>0.5</v>
      </c>
      <c r="M37" s="51">
        <v>0.66666666666666663</v>
      </c>
      <c r="N37" s="50">
        <v>1</v>
      </c>
      <c r="O37" s="51">
        <v>1.25</v>
      </c>
      <c r="P37" s="51">
        <v>1.5</v>
      </c>
      <c r="Q37" s="51">
        <v>1.75</v>
      </c>
      <c r="R37" s="50">
        <v>2</v>
      </c>
      <c r="S37" s="51">
        <v>2.1666666666666665</v>
      </c>
      <c r="T37" s="51">
        <v>2.333333333333333</v>
      </c>
      <c r="U37" s="51">
        <v>2.4999999999999996</v>
      </c>
      <c r="V37" s="51">
        <v>2.6666666666666661</v>
      </c>
      <c r="W37" s="51">
        <v>7.8333333333333348</v>
      </c>
      <c r="X37" s="51">
        <v>9.0000000000000018</v>
      </c>
      <c r="Y37" s="50">
        <v>9</v>
      </c>
      <c r="Z37" s="51">
        <v>9</v>
      </c>
      <c r="AA37" s="38">
        <v>10</v>
      </c>
      <c r="AB37" s="420">
        <v>0.4</v>
      </c>
    </row>
    <row r="38" spans="1:28" s="49" customFormat="1" ht="15.75" thickBot="1">
      <c r="A38" s="45"/>
      <c r="B38" s="46" t="s">
        <v>227</v>
      </c>
      <c r="C38" s="71">
        <v>0</v>
      </c>
      <c r="D38" s="76">
        <v>0</v>
      </c>
      <c r="E38" s="77">
        <v>0</v>
      </c>
      <c r="F38" s="77">
        <v>0</v>
      </c>
      <c r="G38" s="77">
        <v>0</v>
      </c>
      <c r="H38" s="77">
        <v>0</v>
      </c>
      <c r="I38" s="77">
        <v>0</v>
      </c>
      <c r="J38" s="77">
        <v>0</v>
      </c>
      <c r="K38" s="77">
        <v>0</v>
      </c>
      <c r="L38" s="77">
        <v>0</v>
      </c>
      <c r="M38" s="77">
        <v>1</v>
      </c>
      <c r="N38" s="425">
        <v>1</v>
      </c>
      <c r="O38" s="426">
        <v>1</v>
      </c>
      <c r="P38" s="426">
        <v>3</v>
      </c>
      <c r="Q38" s="426">
        <v>6</v>
      </c>
      <c r="R38" s="77">
        <v>10</v>
      </c>
      <c r="S38" s="77">
        <v>3</v>
      </c>
      <c r="T38" s="77">
        <v>6</v>
      </c>
      <c r="U38" s="77">
        <v>7</v>
      </c>
      <c r="V38" s="78">
        <v>7</v>
      </c>
      <c r="W38" s="72">
        <v>22</v>
      </c>
      <c r="X38" s="70">
        <v>25</v>
      </c>
      <c r="Y38" s="70">
        <v>0</v>
      </c>
      <c r="Z38" s="70">
        <v>0</v>
      </c>
      <c r="AB38" s="421"/>
    </row>
    <row r="39" spans="1:28" s="49" customFormat="1">
      <c r="A39" s="45"/>
      <c r="B39" s="46"/>
      <c r="C39" s="53"/>
      <c r="D39" s="75"/>
      <c r="E39" s="75"/>
      <c r="F39" s="75"/>
      <c r="G39" s="75"/>
      <c r="H39" s="75"/>
      <c r="I39" s="75"/>
      <c r="J39" s="75"/>
      <c r="K39" s="75"/>
      <c r="L39" s="53"/>
      <c r="M39" s="53"/>
      <c r="N39" s="53"/>
      <c r="O39" s="53"/>
      <c r="P39" s="53"/>
      <c r="Q39" s="53"/>
      <c r="R39" s="53"/>
      <c r="S39" s="53"/>
      <c r="T39" s="53"/>
      <c r="U39" s="53"/>
      <c r="V39" s="53"/>
      <c r="W39" s="53"/>
      <c r="X39" s="53"/>
      <c r="Y39" s="53"/>
      <c r="Z39" s="53"/>
      <c r="AB39" s="421"/>
    </row>
    <row r="40" spans="1:28" ht="15.75" thickBot="1">
      <c r="A40" s="41" t="s">
        <v>183</v>
      </c>
      <c r="B40" s="42" t="s">
        <v>224</v>
      </c>
      <c r="C40" s="50">
        <v>0</v>
      </c>
      <c r="D40" s="73">
        <v>0</v>
      </c>
      <c r="E40" s="73">
        <v>0</v>
      </c>
      <c r="F40" s="73">
        <v>0</v>
      </c>
      <c r="G40" s="73">
        <v>0</v>
      </c>
      <c r="H40" s="73">
        <v>0</v>
      </c>
      <c r="I40" s="74">
        <v>0</v>
      </c>
      <c r="J40" s="73">
        <v>0</v>
      </c>
      <c r="K40" s="73">
        <v>0</v>
      </c>
      <c r="L40" s="51">
        <v>0</v>
      </c>
      <c r="M40" s="51">
        <v>0</v>
      </c>
      <c r="N40" s="50">
        <v>0</v>
      </c>
      <c r="O40" s="51">
        <v>0.25</v>
      </c>
      <c r="P40" s="51">
        <v>0.5</v>
      </c>
      <c r="Q40" s="51">
        <v>0.75</v>
      </c>
      <c r="R40" s="50">
        <v>1</v>
      </c>
      <c r="S40" s="51">
        <v>1.1666666666666667</v>
      </c>
      <c r="T40" s="51">
        <v>1.3333333333333335</v>
      </c>
      <c r="U40" s="51">
        <v>1.5000000000000002</v>
      </c>
      <c r="V40" s="51">
        <v>1.666666666666667</v>
      </c>
      <c r="W40" s="51">
        <v>1.8333333333333337</v>
      </c>
      <c r="X40" s="51">
        <v>2.0000000000000004</v>
      </c>
      <c r="Y40" s="50">
        <v>2</v>
      </c>
      <c r="Z40" s="51">
        <v>2</v>
      </c>
      <c r="AA40" s="38">
        <v>5</v>
      </c>
      <c r="AB40" s="420">
        <v>0.2</v>
      </c>
    </row>
    <row r="41" spans="1:28" s="49" customFormat="1" ht="15.75" thickBot="1">
      <c r="A41" s="45"/>
      <c r="B41" s="46" t="s">
        <v>225</v>
      </c>
      <c r="C41" s="71">
        <v>0</v>
      </c>
      <c r="D41" s="76">
        <v>0</v>
      </c>
      <c r="E41" s="77">
        <v>0</v>
      </c>
      <c r="F41" s="77">
        <v>0</v>
      </c>
      <c r="G41" s="77">
        <v>0</v>
      </c>
      <c r="H41" s="77">
        <v>0</v>
      </c>
      <c r="I41" s="77">
        <v>0</v>
      </c>
      <c r="J41" s="77">
        <v>0</v>
      </c>
      <c r="K41" s="77">
        <v>0</v>
      </c>
      <c r="L41" s="77">
        <v>0</v>
      </c>
      <c r="M41" s="77">
        <v>0</v>
      </c>
      <c r="N41" s="425">
        <v>0</v>
      </c>
      <c r="O41" s="426">
        <v>0</v>
      </c>
      <c r="P41" s="426">
        <v>0</v>
      </c>
      <c r="Q41" s="426">
        <v>0</v>
      </c>
      <c r="R41" s="77">
        <v>1</v>
      </c>
      <c r="S41" s="77">
        <v>1</v>
      </c>
      <c r="T41" s="77">
        <v>1</v>
      </c>
      <c r="U41" s="77">
        <v>2</v>
      </c>
      <c r="V41" s="78">
        <v>2</v>
      </c>
      <c r="W41" s="72">
        <v>2</v>
      </c>
      <c r="X41" s="70">
        <v>2</v>
      </c>
      <c r="Y41" s="70">
        <v>0</v>
      </c>
      <c r="Z41" s="70">
        <v>0</v>
      </c>
      <c r="AB41" s="421"/>
    </row>
    <row r="42" spans="1:28" s="49" customFormat="1">
      <c r="A42" s="45"/>
      <c r="B42" s="46"/>
      <c r="C42" s="48"/>
      <c r="D42" s="83"/>
      <c r="E42" s="83"/>
      <c r="F42" s="83"/>
      <c r="G42" s="83"/>
      <c r="H42" s="83"/>
      <c r="I42" s="83"/>
      <c r="J42" s="83"/>
      <c r="K42" s="83"/>
      <c r="L42" s="48"/>
      <c r="M42" s="48"/>
      <c r="N42" s="48"/>
      <c r="O42" s="48"/>
      <c r="P42" s="48"/>
      <c r="Q42" s="48"/>
      <c r="R42" s="48"/>
      <c r="S42" s="48"/>
      <c r="T42" s="48"/>
      <c r="U42" s="48"/>
      <c r="V42" s="48"/>
      <c r="W42" s="48"/>
      <c r="X42" s="48"/>
      <c r="Y42" s="48"/>
      <c r="Z42" s="48"/>
      <c r="AB42" s="421"/>
    </row>
    <row r="43" spans="1:28" ht="15.75" thickBot="1">
      <c r="A43" s="41" t="s">
        <v>16</v>
      </c>
      <c r="B43" s="42" t="s">
        <v>139</v>
      </c>
      <c r="C43" s="43">
        <v>1</v>
      </c>
      <c r="D43" s="81">
        <v>1.1666666666666667</v>
      </c>
      <c r="E43" s="81">
        <v>1.3333333333333335</v>
      </c>
      <c r="F43" s="81">
        <v>1.5000000000000002</v>
      </c>
      <c r="G43" s="81">
        <v>1.666666666666667</v>
      </c>
      <c r="H43" s="81">
        <v>1.8333333333333337</v>
      </c>
      <c r="I43" s="82">
        <v>2</v>
      </c>
      <c r="J43" s="81">
        <v>2.0833333333333335</v>
      </c>
      <c r="K43" s="81">
        <v>2.166666666666667</v>
      </c>
      <c r="L43" s="44">
        <v>2.2500000000000004</v>
      </c>
      <c r="M43" s="44">
        <v>2.3333333333333339</v>
      </c>
      <c r="N43" s="43">
        <v>2.5</v>
      </c>
      <c r="O43" s="44">
        <v>2.75</v>
      </c>
      <c r="P43" s="44">
        <v>3</v>
      </c>
      <c r="Q43" s="44">
        <v>3.25</v>
      </c>
      <c r="R43" s="43">
        <v>3.5</v>
      </c>
      <c r="S43" s="44">
        <v>3.55</v>
      </c>
      <c r="T43" s="44">
        <v>3.5999999999999996</v>
      </c>
      <c r="U43" s="44">
        <v>3.6499999999999995</v>
      </c>
      <c r="V43" s="44">
        <v>3.6999999999999993</v>
      </c>
      <c r="W43" s="44">
        <v>4.416666666666667</v>
      </c>
      <c r="X43" s="44">
        <v>4.6000000000000005</v>
      </c>
      <c r="Y43" s="43">
        <v>4.5999999999999996</v>
      </c>
      <c r="Z43" s="44">
        <v>4.5999999999999996</v>
      </c>
      <c r="AA43" s="38">
        <v>5</v>
      </c>
      <c r="AB43" s="420">
        <v>0.16</v>
      </c>
    </row>
    <row r="44" spans="1:28" s="49" customFormat="1" ht="15.75" thickBot="1">
      <c r="A44" s="45"/>
      <c r="B44" s="46" t="s">
        <v>140</v>
      </c>
      <c r="C44" s="79">
        <v>1</v>
      </c>
      <c r="D44" s="84">
        <v>1.2</v>
      </c>
      <c r="E44" s="85">
        <v>1.3</v>
      </c>
      <c r="F44" s="85">
        <v>1.5</v>
      </c>
      <c r="G44" s="85">
        <v>1.7</v>
      </c>
      <c r="H44" s="85">
        <v>1.8</v>
      </c>
      <c r="I44" s="85">
        <v>2</v>
      </c>
      <c r="J44" s="85">
        <v>2</v>
      </c>
      <c r="K44" s="85">
        <v>2</v>
      </c>
      <c r="L44" s="85">
        <v>2</v>
      </c>
      <c r="M44" s="85">
        <v>3</v>
      </c>
      <c r="N44" s="423">
        <v>2.7</v>
      </c>
      <c r="O44" s="424">
        <v>3.3</v>
      </c>
      <c r="P44" s="424">
        <v>3.3</v>
      </c>
      <c r="Q44" s="424">
        <v>4</v>
      </c>
      <c r="R44" s="85">
        <v>3.8</v>
      </c>
      <c r="S44" s="85">
        <v>2.9</v>
      </c>
      <c r="T44" s="85">
        <v>3.9</v>
      </c>
      <c r="U44" s="85">
        <v>4.0999999999999996</v>
      </c>
      <c r="V44" s="86">
        <v>4.5999999999999996</v>
      </c>
      <c r="W44" s="80">
        <v>4.5999999999999996</v>
      </c>
      <c r="X44" s="69">
        <v>4.9000000000000004</v>
      </c>
      <c r="Y44" s="69">
        <v>0</v>
      </c>
      <c r="Z44" s="69">
        <v>0</v>
      </c>
      <c r="AB44" s="421"/>
    </row>
    <row r="45" spans="1:28" s="49" customFormat="1">
      <c r="A45" s="45"/>
      <c r="B45" s="46"/>
      <c r="C45" s="48"/>
      <c r="D45" s="83"/>
      <c r="E45" s="83"/>
      <c r="F45" s="83"/>
      <c r="G45" s="83"/>
      <c r="H45" s="83"/>
      <c r="I45" s="83"/>
      <c r="J45" s="83"/>
      <c r="K45" s="83"/>
      <c r="L45" s="48"/>
      <c r="M45" s="48"/>
      <c r="N45" s="48"/>
      <c r="O45" s="48"/>
      <c r="P45" s="48"/>
      <c r="Q45" s="48"/>
      <c r="R45" s="48"/>
      <c r="S45" s="48"/>
      <c r="T45" s="48"/>
      <c r="U45" s="48"/>
      <c r="V45" s="48"/>
      <c r="W45" s="48"/>
      <c r="X45" s="48"/>
      <c r="Y45" s="48"/>
      <c r="Z45" s="48"/>
      <c r="AB45" s="421"/>
    </row>
    <row r="46" spans="1:28" ht="15.75" thickBot="1">
      <c r="A46" s="41" t="s">
        <v>17</v>
      </c>
      <c r="B46" s="42" t="s">
        <v>139</v>
      </c>
      <c r="C46" s="43">
        <v>1</v>
      </c>
      <c r="D46" s="81">
        <v>1.0833333333333333</v>
      </c>
      <c r="E46" s="81">
        <v>1.1666666666666665</v>
      </c>
      <c r="F46" s="81">
        <v>1.2499999999999998</v>
      </c>
      <c r="G46" s="81">
        <v>1.333333333333333</v>
      </c>
      <c r="H46" s="81">
        <v>1.4166666666666663</v>
      </c>
      <c r="I46" s="82">
        <v>1.5</v>
      </c>
      <c r="J46" s="81">
        <v>1.6666666666666667</v>
      </c>
      <c r="K46" s="81">
        <v>1.8333333333333335</v>
      </c>
      <c r="L46" s="44">
        <v>2</v>
      </c>
      <c r="M46" s="44">
        <v>2.1666666666666665</v>
      </c>
      <c r="N46" s="43">
        <v>2.5</v>
      </c>
      <c r="O46" s="44">
        <v>2.75</v>
      </c>
      <c r="P46" s="44">
        <v>3</v>
      </c>
      <c r="Q46" s="44">
        <v>3.25</v>
      </c>
      <c r="R46" s="43">
        <v>3.5</v>
      </c>
      <c r="S46" s="44">
        <v>3.5833333333333335</v>
      </c>
      <c r="T46" s="44">
        <v>3.666666666666667</v>
      </c>
      <c r="U46" s="44">
        <v>3.7500000000000004</v>
      </c>
      <c r="V46" s="44">
        <v>3.8333333333333339</v>
      </c>
      <c r="W46" s="44">
        <v>4.25</v>
      </c>
      <c r="X46" s="44">
        <v>4.4000000000000004</v>
      </c>
      <c r="Y46" s="43">
        <v>4.4000000000000004</v>
      </c>
      <c r="Z46" s="44">
        <v>4.4000000000000004</v>
      </c>
      <c r="AA46" s="38">
        <v>5</v>
      </c>
      <c r="AB46" s="420">
        <v>0.16</v>
      </c>
    </row>
    <row r="47" spans="1:28" s="49" customFormat="1" ht="15.75" thickBot="1">
      <c r="A47" s="45"/>
      <c r="B47" s="46" t="s">
        <v>140</v>
      </c>
      <c r="C47" s="79">
        <v>1</v>
      </c>
      <c r="D47" s="84">
        <v>1.1000000000000001</v>
      </c>
      <c r="E47" s="85">
        <v>1.2</v>
      </c>
      <c r="F47" s="85">
        <v>1.3</v>
      </c>
      <c r="G47" s="85">
        <v>1.5</v>
      </c>
      <c r="H47" s="85">
        <v>1.4</v>
      </c>
      <c r="I47" s="85">
        <v>3</v>
      </c>
      <c r="J47" s="85">
        <v>1</v>
      </c>
      <c r="K47" s="85">
        <v>1</v>
      </c>
      <c r="L47" s="85">
        <v>2</v>
      </c>
      <c r="M47" s="85">
        <v>2.5</v>
      </c>
      <c r="N47" s="423">
        <v>2.7</v>
      </c>
      <c r="O47" s="424">
        <v>3.3</v>
      </c>
      <c r="P47" s="424">
        <v>4</v>
      </c>
      <c r="Q47" s="424">
        <v>4</v>
      </c>
      <c r="R47" s="85">
        <v>4.0999999999999996</v>
      </c>
      <c r="S47" s="85">
        <v>4.9000000000000004</v>
      </c>
      <c r="T47" s="85">
        <v>3.9</v>
      </c>
      <c r="U47" s="85">
        <v>4.3</v>
      </c>
      <c r="V47" s="86">
        <v>4.4000000000000004</v>
      </c>
      <c r="W47" s="80">
        <v>4.4000000000000004</v>
      </c>
      <c r="X47" s="69">
        <v>4.5</v>
      </c>
      <c r="Y47" s="69">
        <v>0</v>
      </c>
      <c r="Z47" s="69">
        <v>0</v>
      </c>
      <c r="AB47" s="421"/>
    </row>
    <row r="48" spans="1:28" s="49" customFormat="1">
      <c r="A48" s="45"/>
      <c r="B48" s="46"/>
      <c r="C48" s="48"/>
      <c r="D48" s="83"/>
      <c r="E48" s="83"/>
      <c r="F48" s="83"/>
      <c r="G48" s="83"/>
      <c r="H48" s="83"/>
      <c r="I48" s="83"/>
      <c r="J48" s="83"/>
      <c r="K48" s="83"/>
      <c r="L48" s="48"/>
      <c r="M48" s="48"/>
      <c r="N48" s="48"/>
      <c r="O48" s="48"/>
      <c r="P48" s="48"/>
      <c r="Q48" s="48"/>
      <c r="R48" s="48"/>
      <c r="S48" s="48"/>
      <c r="T48" s="48"/>
      <c r="U48" s="48"/>
      <c r="V48" s="48"/>
      <c r="W48" s="48"/>
      <c r="X48" s="48"/>
      <c r="Y48" s="48"/>
      <c r="Z48" s="48"/>
      <c r="AB48" s="421"/>
    </row>
    <row r="49" spans="1:28" ht="15.75" thickBot="1">
      <c r="A49" s="41" t="s">
        <v>18</v>
      </c>
      <c r="B49" s="42" t="s">
        <v>139</v>
      </c>
      <c r="C49" s="50">
        <v>0</v>
      </c>
      <c r="D49" s="73">
        <v>0.83333333333333337</v>
      </c>
      <c r="E49" s="73">
        <v>1.6666666666666667</v>
      </c>
      <c r="F49" s="73">
        <v>2.5</v>
      </c>
      <c r="G49" s="73">
        <v>3.3333333333333335</v>
      </c>
      <c r="H49" s="73">
        <v>4.166666666666667</v>
      </c>
      <c r="I49" s="74">
        <v>5</v>
      </c>
      <c r="J49" s="73">
        <v>5.333333333333333</v>
      </c>
      <c r="K49" s="73">
        <v>5.6666666666666661</v>
      </c>
      <c r="L49" s="51">
        <v>5.9999999999999991</v>
      </c>
      <c r="M49" s="51">
        <v>6.3333333333333321</v>
      </c>
      <c r="N49" s="50">
        <v>7</v>
      </c>
      <c r="O49" s="51">
        <v>6.25</v>
      </c>
      <c r="P49" s="51">
        <v>5.5</v>
      </c>
      <c r="Q49" s="51">
        <v>4.75</v>
      </c>
      <c r="R49" s="50">
        <v>4</v>
      </c>
      <c r="S49" s="51">
        <v>4.333333333333333</v>
      </c>
      <c r="T49" s="51">
        <v>4.6666666666666661</v>
      </c>
      <c r="U49" s="51">
        <v>4.9999999999999991</v>
      </c>
      <c r="V49" s="51">
        <v>5.3333333333333321</v>
      </c>
      <c r="W49" s="51">
        <v>7.3333333333333348</v>
      </c>
      <c r="X49" s="51">
        <v>8.0000000000000018</v>
      </c>
      <c r="Y49" s="50">
        <v>8</v>
      </c>
      <c r="Z49" s="51">
        <v>8</v>
      </c>
      <c r="AA49" s="38">
        <v>10</v>
      </c>
      <c r="AB49" s="420">
        <v>0.4</v>
      </c>
    </row>
    <row r="50" spans="1:28" s="49" customFormat="1" ht="15.75" thickBot="1">
      <c r="A50" s="45"/>
      <c r="B50" s="46" t="s">
        <v>140</v>
      </c>
      <c r="C50" s="71">
        <v>0</v>
      </c>
      <c r="D50" s="76">
        <v>0</v>
      </c>
      <c r="E50" s="77">
        <v>0</v>
      </c>
      <c r="F50" s="77">
        <v>0</v>
      </c>
      <c r="G50" s="77">
        <v>0</v>
      </c>
      <c r="H50" s="77">
        <v>0</v>
      </c>
      <c r="I50" s="77">
        <v>0</v>
      </c>
      <c r="J50" s="77">
        <v>0</v>
      </c>
      <c r="K50" s="77">
        <v>0</v>
      </c>
      <c r="L50" s="77">
        <v>0</v>
      </c>
      <c r="M50" s="77">
        <v>1</v>
      </c>
      <c r="N50" s="425">
        <v>2</v>
      </c>
      <c r="O50" s="426">
        <v>3</v>
      </c>
      <c r="P50" s="426">
        <v>4</v>
      </c>
      <c r="Q50" s="426">
        <v>5</v>
      </c>
      <c r="R50" s="85">
        <v>7</v>
      </c>
      <c r="S50" s="85">
        <v>1</v>
      </c>
      <c r="T50" s="85">
        <v>8</v>
      </c>
      <c r="U50" s="85">
        <v>8</v>
      </c>
      <c r="V50" s="86">
        <v>8</v>
      </c>
      <c r="W50" s="80">
        <v>9</v>
      </c>
      <c r="X50" s="69">
        <v>11</v>
      </c>
      <c r="Y50" s="69">
        <v>0</v>
      </c>
      <c r="Z50" s="69">
        <v>0</v>
      </c>
      <c r="AB50" s="421"/>
    </row>
    <row r="51" spans="1:28" s="49" customFormat="1">
      <c r="A51" s="45"/>
      <c r="B51" s="46"/>
      <c r="C51" s="48"/>
      <c r="D51" s="83"/>
      <c r="E51" s="83"/>
      <c r="F51" s="83"/>
      <c r="G51" s="83"/>
      <c r="H51" s="83"/>
      <c r="I51" s="83"/>
      <c r="J51" s="83"/>
      <c r="K51" s="83"/>
      <c r="L51" s="48"/>
      <c r="M51" s="48"/>
      <c r="N51" s="48"/>
      <c r="O51" s="48"/>
      <c r="P51" s="48"/>
      <c r="Q51" s="48"/>
      <c r="R51" s="48"/>
      <c r="S51" s="48"/>
      <c r="T51" s="48"/>
      <c r="U51" s="48"/>
      <c r="V51" s="48"/>
      <c r="W51" s="48"/>
      <c r="X51" s="48"/>
      <c r="Y51" s="48"/>
      <c r="Z51" s="48"/>
      <c r="AB51" s="421"/>
    </row>
    <row r="52" spans="1:28" ht="15.75" thickBot="1">
      <c r="A52" s="41" t="s">
        <v>19</v>
      </c>
      <c r="B52" s="42" t="s">
        <v>139</v>
      </c>
      <c r="C52" s="43">
        <v>1</v>
      </c>
      <c r="D52" s="81">
        <v>1.0833333333333333</v>
      </c>
      <c r="E52" s="81">
        <v>1.1666666666666665</v>
      </c>
      <c r="F52" s="81">
        <v>1.2499999999999998</v>
      </c>
      <c r="G52" s="81">
        <v>1.333333333333333</v>
      </c>
      <c r="H52" s="81">
        <v>1.4166666666666663</v>
      </c>
      <c r="I52" s="82">
        <v>1.5</v>
      </c>
      <c r="J52" s="81">
        <v>1.6666666666666667</v>
      </c>
      <c r="K52" s="81">
        <v>1.8333333333333335</v>
      </c>
      <c r="L52" s="44">
        <v>2</v>
      </c>
      <c r="M52" s="44">
        <v>2.1666666666666665</v>
      </c>
      <c r="N52" s="43">
        <v>2.5</v>
      </c>
      <c r="O52" s="44">
        <v>2.75</v>
      </c>
      <c r="P52" s="44">
        <v>3</v>
      </c>
      <c r="Q52" s="44">
        <v>3.25</v>
      </c>
      <c r="R52" s="43">
        <v>3.5</v>
      </c>
      <c r="S52" s="44">
        <v>3.55</v>
      </c>
      <c r="T52" s="44">
        <v>3.5999999999999996</v>
      </c>
      <c r="U52" s="44">
        <v>3.6499999999999995</v>
      </c>
      <c r="V52" s="44">
        <v>3.6999999999999993</v>
      </c>
      <c r="W52" s="44">
        <v>4.416666666666667</v>
      </c>
      <c r="X52" s="44">
        <v>4.6000000000000005</v>
      </c>
      <c r="Y52" s="43">
        <v>4.5999999999999996</v>
      </c>
      <c r="Z52" s="44">
        <v>4.5999999999999996</v>
      </c>
      <c r="AA52" s="38">
        <v>5</v>
      </c>
      <c r="AB52" s="420">
        <v>0.16</v>
      </c>
    </row>
    <row r="53" spans="1:28" s="49" customFormat="1" ht="15.75" thickBot="1">
      <c r="A53" s="45"/>
      <c r="B53" s="46" t="s">
        <v>140</v>
      </c>
      <c r="C53" s="79">
        <v>1</v>
      </c>
      <c r="D53" s="84">
        <v>1.2</v>
      </c>
      <c r="E53" s="85">
        <v>1.2</v>
      </c>
      <c r="F53" s="85">
        <v>1.3</v>
      </c>
      <c r="G53" s="85">
        <v>1.3</v>
      </c>
      <c r="H53" s="85">
        <v>1.4</v>
      </c>
      <c r="I53" s="85">
        <v>2</v>
      </c>
      <c r="J53" s="85">
        <v>2</v>
      </c>
      <c r="K53" s="85">
        <v>2</v>
      </c>
      <c r="L53" s="85">
        <v>2</v>
      </c>
      <c r="M53" s="85">
        <v>2.2999999999999998</v>
      </c>
      <c r="N53" s="423">
        <v>2.8</v>
      </c>
      <c r="O53" s="424">
        <v>3.6</v>
      </c>
      <c r="P53" s="424">
        <v>3.6</v>
      </c>
      <c r="Q53" s="424">
        <v>3.8</v>
      </c>
      <c r="R53" s="85">
        <v>4.0999999999999996</v>
      </c>
      <c r="S53" s="85">
        <v>3.9</v>
      </c>
      <c r="T53" s="85">
        <v>4</v>
      </c>
      <c r="U53" s="85">
        <v>4.5</v>
      </c>
      <c r="V53" s="86">
        <v>4.5999999999999996</v>
      </c>
      <c r="W53" s="80">
        <v>4.7</v>
      </c>
      <c r="X53" s="69">
        <v>4.8</v>
      </c>
      <c r="Y53" s="69">
        <v>0</v>
      </c>
      <c r="Z53" s="69">
        <v>0</v>
      </c>
      <c r="AB53" s="421"/>
    </row>
    <row r="54" spans="1:28" s="49" customFormat="1">
      <c r="A54" s="45"/>
      <c r="B54" s="46"/>
      <c r="C54" s="48"/>
      <c r="D54" s="83"/>
      <c r="E54" s="83"/>
      <c r="F54" s="83"/>
      <c r="G54" s="83"/>
      <c r="H54" s="83"/>
      <c r="I54" s="83"/>
      <c r="J54" s="83"/>
      <c r="K54" s="83"/>
      <c r="L54" s="48"/>
      <c r="M54" s="48"/>
      <c r="N54" s="48"/>
      <c r="O54" s="48"/>
      <c r="P54" s="48"/>
      <c r="Q54" s="48"/>
      <c r="R54" s="48"/>
      <c r="S54" s="48"/>
      <c r="T54" s="48"/>
      <c r="U54" s="48"/>
      <c r="V54" s="48"/>
      <c r="W54" s="48"/>
      <c r="X54" s="48"/>
      <c r="Y54" s="48"/>
      <c r="Z54" s="48"/>
      <c r="AB54" s="421"/>
    </row>
    <row r="55" spans="1:28" ht="15.75" thickBot="1">
      <c r="A55" s="41" t="s">
        <v>20</v>
      </c>
      <c r="B55" s="42" t="s">
        <v>139</v>
      </c>
      <c r="C55" s="43">
        <v>1</v>
      </c>
      <c r="D55" s="81">
        <v>1.0833333333333333</v>
      </c>
      <c r="E55" s="81">
        <v>1.1666666666666665</v>
      </c>
      <c r="F55" s="81">
        <v>1.2499999999999998</v>
      </c>
      <c r="G55" s="81">
        <v>1.333333333333333</v>
      </c>
      <c r="H55" s="81">
        <v>1.4166666666666663</v>
      </c>
      <c r="I55" s="82">
        <v>1.5</v>
      </c>
      <c r="J55" s="81">
        <v>1.6666666666666667</v>
      </c>
      <c r="K55" s="81">
        <v>1.8333333333333335</v>
      </c>
      <c r="L55" s="44">
        <v>2</v>
      </c>
      <c r="M55" s="44">
        <v>2.1666666666666665</v>
      </c>
      <c r="N55" s="43">
        <v>2.5</v>
      </c>
      <c r="O55" s="44">
        <v>2.625</v>
      </c>
      <c r="P55" s="44">
        <v>2.75</v>
      </c>
      <c r="Q55" s="44">
        <v>2.875</v>
      </c>
      <c r="R55" s="43">
        <v>3</v>
      </c>
      <c r="S55" s="44">
        <v>3.0833333333333335</v>
      </c>
      <c r="T55" s="44">
        <v>3.166666666666667</v>
      </c>
      <c r="U55" s="44">
        <v>3.2500000000000004</v>
      </c>
      <c r="V55" s="44">
        <v>3.3333333333333339</v>
      </c>
      <c r="W55" s="44">
        <v>4.0000000000000009</v>
      </c>
      <c r="X55" s="44">
        <v>4.2000000000000011</v>
      </c>
      <c r="Y55" s="43">
        <v>4.2</v>
      </c>
      <c r="Z55" s="44">
        <v>4.2</v>
      </c>
      <c r="AA55" s="38">
        <v>5</v>
      </c>
      <c r="AB55" s="420">
        <v>0.16</v>
      </c>
    </row>
    <row r="56" spans="1:28" s="49" customFormat="1" ht="15.75" thickBot="1">
      <c r="A56" s="45"/>
      <c r="B56" s="46" t="s">
        <v>140</v>
      </c>
      <c r="C56" s="79">
        <v>1</v>
      </c>
      <c r="D56" s="84">
        <v>1.1000000000000001</v>
      </c>
      <c r="E56" s="85">
        <v>1.3</v>
      </c>
      <c r="F56" s="85">
        <v>1.3</v>
      </c>
      <c r="G56" s="85">
        <v>1.4</v>
      </c>
      <c r="H56" s="85">
        <v>1.5</v>
      </c>
      <c r="I56" s="85">
        <v>1.5</v>
      </c>
      <c r="J56" s="85">
        <v>2</v>
      </c>
      <c r="K56" s="85">
        <v>2</v>
      </c>
      <c r="L56" s="85">
        <v>2</v>
      </c>
      <c r="M56" s="85">
        <v>2</v>
      </c>
      <c r="N56" s="423">
        <v>3.2</v>
      </c>
      <c r="O56" s="424">
        <v>2.8</v>
      </c>
      <c r="P56" s="424">
        <v>3.2</v>
      </c>
      <c r="Q56" s="424">
        <v>3</v>
      </c>
      <c r="R56" s="85">
        <v>3.8</v>
      </c>
      <c r="S56" s="85">
        <v>3.2</v>
      </c>
      <c r="T56" s="85">
        <v>3.6</v>
      </c>
      <c r="U56" s="85">
        <v>4.2</v>
      </c>
      <c r="V56" s="86">
        <v>4.2</v>
      </c>
      <c r="W56" s="80">
        <v>4.4000000000000004</v>
      </c>
      <c r="X56" s="69">
        <v>4.4000000000000004</v>
      </c>
      <c r="Y56" s="69">
        <v>0</v>
      </c>
      <c r="Z56" s="69">
        <v>0</v>
      </c>
      <c r="AB56" s="421"/>
    </row>
    <row r="57" spans="1:28" s="49" customFormat="1">
      <c r="A57" s="45"/>
      <c r="B57" s="46"/>
      <c r="C57" s="48"/>
      <c r="D57" s="83"/>
      <c r="E57" s="83"/>
      <c r="F57" s="83"/>
      <c r="G57" s="83"/>
      <c r="H57" s="83"/>
      <c r="I57" s="83"/>
      <c r="J57" s="83"/>
      <c r="K57" s="83"/>
      <c r="L57" s="48"/>
      <c r="M57" s="48"/>
      <c r="N57" s="48"/>
      <c r="O57" s="48"/>
      <c r="P57" s="48"/>
      <c r="Q57" s="48"/>
      <c r="R57" s="48"/>
      <c r="S57" s="48"/>
      <c r="T57" s="48"/>
      <c r="U57" s="48"/>
      <c r="V57" s="48"/>
      <c r="W57" s="48"/>
      <c r="X57" s="48"/>
      <c r="Y57" s="48"/>
      <c r="Z57" s="48"/>
      <c r="AB57" s="421"/>
    </row>
    <row r="58" spans="1:28" ht="15.75" thickBot="1">
      <c r="A58" s="41" t="s">
        <v>21</v>
      </c>
      <c r="B58" s="42" t="s">
        <v>139</v>
      </c>
      <c r="C58" s="50">
        <v>0</v>
      </c>
      <c r="D58" s="73">
        <v>0.33333333333333331</v>
      </c>
      <c r="E58" s="73">
        <v>0.66666666666666663</v>
      </c>
      <c r="F58" s="73">
        <v>1</v>
      </c>
      <c r="G58" s="73">
        <v>1.3333333333333333</v>
      </c>
      <c r="H58" s="73">
        <v>1.6666666666666665</v>
      </c>
      <c r="I58" s="74">
        <v>2</v>
      </c>
      <c r="J58" s="73">
        <v>2.3333333333333335</v>
      </c>
      <c r="K58" s="73">
        <v>2.666666666666667</v>
      </c>
      <c r="L58" s="51">
        <v>3.0000000000000004</v>
      </c>
      <c r="M58" s="51">
        <v>3.3333333333333339</v>
      </c>
      <c r="N58" s="50">
        <v>4</v>
      </c>
      <c r="O58" s="51">
        <v>4.5</v>
      </c>
      <c r="P58" s="51">
        <v>5</v>
      </c>
      <c r="Q58" s="51">
        <v>5.5</v>
      </c>
      <c r="R58" s="50">
        <v>6</v>
      </c>
      <c r="S58" s="51">
        <v>6.333333333333333</v>
      </c>
      <c r="T58" s="51">
        <v>6.6666666666666661</v>
      </c>
      <c r="U58" s="51">
        <v>6.9999999999999991</v>
      </c>
      <c r="V58" s="51">
        <v>7.3333333333333321</v>
      </c>
      <c r="W58" s="51">
        <v>8.5</v>
      </c>
      <c r="X58" s="51">
        <v>9</v>
      </c>
      <c r="Y58" s="50">
        <v>9</v>
      </c>
      <c r="Z58" s="51">
        <v>9</v>
      </c>
      <c r="AA58" s="38">
        <v>10</v>
      </c>
      <c r="AB58" s="420">
        <v>0.4</v>
      </c>
    </row>
    <row r="59" spans="1:28" s="49" customFormat="1" ht="15.75" thickBot="1">
      <c r="A59" s="45"/>
      <c r="B59" s="46" t="s">
        <v>140</v>
      </c>
      <c r="C59" s="71">
        <v>0</v>
      </c>
      <c r="D59" s="76">
        <v>0</v>
      </c>
      <c r="E59" s="77">
        <v>0</v>
      </c>
      <c r="F59" s="77">
        <v>0</v>
      </c>
      <c r="G59" s="77">
        <v>0</v>
      </c>
      <c r="H59" s="77">
        <v>0</v>
      </c>
      <c r="I59" s="77">
        <v>0</v>
      </c>
      <c r="J59" s="77">
        <v>0</v>
      </c>
      <c r="K59" s="77">
        <v>0</v>
      </c>
      <c r="L59" s="77">
        <v>0</v>
      </c>
      <c r="M59" s="77">
        <v>1</v>
      </c>
      <c r="N59" s="425">
        <v>2</v>
      </c>
      <c r="O59" s="426">
        <v>4</v>
      </c>
      <c r="P59" s="426">
        <v>12</v>
      </c>
      <c r="Q59" s="426">
        <v>4</v>
      </c>
      <c r="R59" s="77">
        <v>6</v>
      </c>
      <c r="S59" s="77">
        <v>6</v>
      </c>
      <c r="T59" s="77">
        <v>7</v>
      </c>
      <c r="U59" s="77">
        <v>8</v>
      </c>
      <c r="V59" s="78">
        <v>9</v>
      </c>
      <c r="W59" s="72">
        <v>9</v>
      </c>
      <c r="X59" s="70">
        <v>10</v>
      </c>
      <c r="Y59" s="70">
        <v>0</v>
      </c>
      <c r="Z59" s="70">
        <v>0</v>
      </c>
      <c r="AB59" s="421"/>
    </row>
    <row r="60" spans="1:28" s="49" customFormat="1">
      <c r="A60" s="45"/>
      <c r="B60" s="46"/>
      <c r="C60" s="53"/>
      <c r="D60" s="83"/>
      <c r="E60" s="83"/>
      <c r="F60" s="83"/>
      <c r="G60" s="83"/>
      <c r="H60" s="83"/>
      <c r="I60" s="83"/>
      <c r="J60" s="83"/>
      <c r="K60" s="83"/>
      <c r="L60" s="53"/>
      <c r="M60" s="53"/>
      <c r="N60" s="53"/>
      <c r="O60" s="53"/>
      <c r="P60" s="53"/>
      <c r="Q60" s="53"/>
      <c r="R60" s="53"/>
      <c r="S60" s="53"/>
      <c r="T60" s="53"/>
      <c r="U60" s="53"/>
      <c r="V60" s="53"/>
      <c r="W60" s="53"/>
      <c r="X60" s="53"/>
      <c r="Y60" s="53"/>
      <c r="Z60" s="53"/>
      <c r="AB60" s="421"/>
    </row>
    <row r="61" spans="1:28" ht="15.75" thickBot="1">
      <c r="A61" s="41" t="s">
        <v>166</v>
      </c>
      <c r="B61" s="42" t="s">
        <v>202</v>
      </c>
      <c r="C61" s="50">
        <v>0</v>
      </c>
      <c r="D61" s="73">
        <v>2.5</v>
      </c>
      <c r="E61" s="73">
        <v>5</v>
      </c>
      <c r="F61" s="73">
        <v>7.5</v>
      </c>
      <c r="G61" s="73">
        <v>10</v>
      </c>
      <c r="H61" s="73">
        <v>12.5</v>
      </c>
      <c r="I61" s="74">
        <v>15</v>
      </c>
      <c r="J61" s="73">
        <v>15.833333333333334</v>
      </c>
      <c r="K61" s="73">
        <v>16.666666666666668</v>
      </c>
      <c r="L61" s="51">
        <v>17.5</v>
      </c>
      <c r="M61" s="51">
        <v>18.333333333333332</v>
      </c>
      <c r="N61" s="50">
        <v>20</v>
      </c>
      <c r="O61" s="51">
        <v>17</v>
      </c>
      <c r="P61" s="51">
        <v>14</v>
      </c>
      <c r="Q61" s="51">
        <v>11</v>
      </c>
      <c r="R61" s="50">
        <v>8</v>
      </c>
      <c r="S61" s="51">
        <v>8.3333333333333339</v>
      </c>
      <c r="T61" s="51">
        <v>8.6666666666666679</v>
      </c>
      <c r="U61" s="51">
        <v>9.0000000000000018</v>
      </c>
      <c r="V61" s="51">
        <v>9.3333333333333357</v>
      </c>
      <c r="W61" s="51">
        <v>8.8333333333333304</v>
      </c>
      <c r="X61" s="51">
        <v>8.9999999999999964</v>
      </c>
      <c r="Y61" s="50">
        <v>9</v>
      </c>
      <c r="Z61" s="51">
        <v>9</v>
      </c>
      <c r="AA61" s="38">
        <v>20</v>
      </c>
      <c r="AB61" s="420">
        <v>0.8</v>
      </c>
    </row>
    <row r="62" spans="1:28" s="49" customFormat="1" ht="15.75" thickBot="1">
      <c r="A62" s="45"/>
      <c r="B62" s="46" t="s">
        <v>203</v>
      </c>
      <c r="C62" s="71">
        <v>0</v>
      </c>
      <c r="D62" s="76">
        <v>0</v>
      </c>
      <c r="E62" s="77">
        <v>0</v>
      </c>
      <c r="F62" s="77">
        <v>0</v>
      </c>
      <c r="G62" s="77">
        <v>0</v>
      </c>
      <c r="H62" s="77">
        <v>0</v>
      </c>
      <c r="I62" s="77">
        <v>2</v>
      </c>
      <c r="J62" s="77">
        <v>2</v>
      </c>
      <c r="K62" s="77">
        <v>2</v>
      </c>
      <c r="L62" s="77">
        <v>0</v>
      </c>
      <c r="M62" s="77">
        <v>1</v>
      </c>
      <c r="N62" s="425">
        <v>6</v>
      </c>
      <c r="O62" s="426">
        <v>6</v>
      </c>
      <c r="P62" s="426">
        <v>6</v>
      </c>
      <c r="Q62" s="426">
        <v>10</v>
      </c>
      <c r="R62" s="77">
        <v>8</v>
      </c>
      <c r="S62" s="77">
        <v>6</v>
      </c>
      <c r="T62" s="77">
        <v>9</v>
      </c>
      <c r="U62" s="77">
        <v>11</v>
      </c>
      <c r="V62" s="78">
        <v>9</v>
      </c>
      <c r="W62" s="72">
        <v>15</v>
      </c>
      <c r="X62" s="70">
        <v>16</v>
      </c>
      <c r="Y62" s="70">
        <v>0</v>
      </c>
      <c r="Z62" s="70">
        <v>0</v>
      </c>
      <c r="AB62" s="421"/>
    </row>
    <row r="63" spans="1:28" s="49" customFormat="1">
      <c r="A63" s="45"/>
      <c r="B63" s="46"/>
      <c r="C63" s="53"/>
      <c r="D63" s="427"/>
      <c r="E63" s="427"/>
      <c r="F63" s="427"/>
      <c r="G63" s="75"/>
      <c r="H63" s="75"/>
      <c r="I63" s="75"/>
      <c r="J63" s="75"/>
      <c r="K63" s="75"/>
      <c r="L63" s="53"/>
      <c r="M63" s="53"/>
      <c r="N63" s="53"/>
      <c r="O63" s="53"/>
      <c r="P63" s="53"/>
      <c r="Q63" s="53"/>
      <c r="R63" s="53"/>
      <c r="S63" s="53"/>
      <c r="T63" s="53"/>
      <c r="U63" s="53"/>
      <c r="V63" s="53"/>
      <c r="W63" s="53"/>
      <c r="X63" s="53"/>
      <c r="Y63" s="53"/>
      <c r="Z63" s="53"/>
      <c r="AB63" s="421"/>
    </row>
    <row r="64" spans="1:28" ht="15.75" thickBot="1">
      <c r="A64" s="41" t="s">
        <v>167</v>
      </c>
      <c r="B64" s="42" t="s">
        <v>213</v>
      </c>
      <c r="C64" s="50">
        <v>0</v>
      </c>
      <c r="D64" s="73">
        <v>0.83333333333333337</v>
      </c>
      <c r="E64" s="73">
        <v>1.6666666666666667</v>
      </c>
      <c r="F64" s="73">
        <v>2.5</v>
      </c>
      <c r="G64" s="73">
        <v>3.3333333333333335</v>
      </c>
      <c r="H64" s="73">
        <v>4.166666666666667</v>
      </c>
      <c r="I64" s="74">
        <v>5</v>
      </c>
      <c r="J64" s="73">
        <v>5.333333333333333</v>
      </c>
      <c r="K64" s="73">
        <v>5.6666666666666661</v>
      </c>
      <c r="L64" s="51">
        <v>5.9999999999999991</v>
      </c>
      <c r="M64" s="51">
        <v>6.3333333333333321</v>
      </c>
      <c r="N64" s="50">
        <v>7</v>
      </c>
      <c r="O64" s="51">
        <v>6.75</v>
      </c>
      <c r="P64" s="51">
        <v>6.5</v>
      </c>
      <c r="Q64" s="51">
        <v>6.25</v>
      </c>
      <c r="R64" s="50">
        <v>6</v>
      </c>
      <c r="S64" s="51">
        <v>6.333333333333333</v>
      </c>
      <c r="T64" s="51">
        <v>6.6666666666666661</v>
      </c>
      <c r="U64" s="51">
        <v>6.9999999999999991</v>
      </c>
      <c r="V64" s="51">
        <v>7.3333333333333321</v>
      </c>
      <c r="W64" s="51">
        <v>7.6666666666666652</v>
      </c>
      <c r="X64" s="51">
        <v>7.9999999999999982</v>
      </c>
      <c r="Y64" s="50">
        <v>8</v>
      </c>
      <c r="Z64" s="51">
        <v>8</v>
      </c>
      <c r="AA64" s="38">
        <v>20</v>
      </c>
      <c r="AB64" s="420">
        <v>0.8</v>
      </c>
    </row>
    <row r="65" spans="1:28" s="49" customFormat="1" ht="15.75" thickBot="1">
      <c r="A65" s="45"/>
      <c r="B65" s="46" t="s">
        <v>212</v>
      </c>
      <c r="C65" s="71">
        <v>0</v>
      </c>
      <c r="D65" s="76">
        <v>0</v>
      </c>
      <c r="E65" s="77">
        <v>0</v>
      </c>
      <c r="F65" s="77">
        <v>0</v>
      </c>
      <c r="G65" s="77">
        <v>0</v>
      </c>
      <c r="H65" s="77">
        <v>0</v>
      </c>
      <c r="I65" s="77">
        <v>2</v>
      </c>
      <c r="J65" s="77">
        <v>2</v>
      </c>
      <c r="K65" s="77">
        <v>2</v>
      </c>
      <c r="L65" s="77">
        <v>0</v>
      </c>
      <c r="M65" s="77">
        <v>1</v>
      </c>
      <c r="N65" s="425">
        <v>5</v>
      </c>
      <c r="O65" s="426">
        <v>7</v>
      </c>
      <c r="P65" s="426">
        <v>15</v>
      </c>
      <c r="Q65" s="426">
        <v>7</v>
      </c>
      <c r="R65" s="77">
        <v>6</v>
      </c>
      <c r="S65" s="77">
        <v>7</v>
      </c>
      <c r="T65" s="77">
        <v>7</v>
      </c>
      <c r="U65" s="77">
        <v>9</v>
      </c>
      <c r="V65" s="78">
        <v>8</v>
      </c>
      <c r="W65" s="72">
        <v>15</v>
      </c>
      <c r="X65" s="70">
        <v>16</v>
      </c>
      <c r="Y65" s="70">
        <v>0</v>
      </c>
      <c r="Z65" s="70">
        <v>0</v>
      </c>
      <c r="AB65" s="421"/>
    </row>
    <row r="66" spans="1:28" s="49" customFormat="1">
      <c r="A66" s="45"/>
      <c r="B66" s="46"/>
      <c r="C66" s="53"/>
      <c r="D66" s="427"/>
      <c r="E66" s="427"/>
      <c r="F66" s="427"/>
      <c r="G66" s="75"/>
      <c r="H66" s="75"/>
      <c r="I66" s="75"/>
      <c r="J66" s="75"/>
      <c r="K66" s="75"/>
      <c r="L66" s="53"/>
      <c r="M66" s="53"/>
      <c r="N66" s="53"/>
      <c r="O66" s="53"/>
      <c r="P66" s="53"/>
      <c r="Q66" s="53"/>
      <c r="R66" s="53"/>
      <c r="S66" s="53"/>
      <c r="T66" s="53"/>
      <c r="U66" s="53"/>
      <c r="V66" s="53"/>
      <c r="W66" s="53"/>
      <c r="X66" s="53"/>
      <c r="Y66" s="53"/>
      <c r="Z66" s="53"/>
      <c r="AB66" s="421"/>
    </row>
    <row r="67" spans="1:28" ht="15.75" thickBot="1">
      <c r="A67" s="41" t="s">
        <v>168</v>
      </c>
      <c r="B67" s="42" t="s">
        <v>211</v>
      </c>
      <c r="C67" s="50">
        <v>0</v>
      </c>
      <c r="D67" s="73">
        <v>0.33333333333333331</v>
      </c>
      <c r="E67" s="73">
        <v>0.66666666666666663</v>
      </c>
      <c r="F67" s="73">
        <v>1</v>
      </c>
      <c r="G67" s="73">
        <v>1.3333333333333333</v>
      </c>
      <c r="H67" s="73">
        <v>1.6666666666666665</v>
      </c>
      <c r="I67" s="74">
        <v>2</v>
      </c>
      <c r="J67" s="73">
        <v>2.3333333333333335</v>
      </c>
      <c r="K67" s="73">
        <v>2.666666666666667</v>
      </c>
      <c r="L67" s="51">
        <v>3.0000000000000004</v>
      </c>
      <c r="M67" s="51">
        <v>3.3333333333333339</v>
      </c>
      <c r="N67" s="50">
        <v>4</v>
      </c>
      <c r="O67" s="51">
        <v>4</v>
      </c>
      <c r="P67" s="51">
        <v>4</v>
      </c>
      <c r="Q67" s="51">
        <v>4</v>
      </c>
      <c r="R67" s="50">
        <v>4</v>
      </c>
      <c r="S67" s="51">
        <v>4.333333333333333</v>
      </c>
      <c r="T67" s="51">
        <v>4.6666666666666661</v>
      </c>
      <c r="U67" s="51">
        <v>4.9999999999999991</v>
      </c>
      <c r="V67" s="51">
        <v>5.3333333333333321</v>
      </c>
      <c r="W67" s="51">
        <v>4.8333333333333348</v>
      </c>
      <c r="X67" s="51">
        <v>5.0000000000000018</v>
      </c>
      <c r="Y67" s="50">
        <v>5</v>
      </c>
      <c r="Z67" s="51">
        <v>5</v>
      </c>
      <c r="AA67" s="38">
        <v>20</v>
      </c>
      <c r="AB67" s="420">
        <v>0.8</v>
      </c>
    </row>
    <row r="68" spans="1:28" s="49" customFormat="1" ht="15.75" thickBot="1">
      <c r="A68" s="45"/>
      <c r="B68" s="46" t="s">
        <v>210</v>
      </c>
      <c r="C68" s="71">
        <v>0</v>
      </c>
      <c r="D68" s="76">
        <v>0</v>
      </c>
      <c r="E68" s="77">
        <v>0</v>
      </c>
      <c r="F68" s="77">
        <v>0</v>
      </c>
      <c r="G68" s="77">
        <v>0</v>
      </c>
      <c r="H68" s="77">
        <v>0</v>
      </c>
      <c r="I68" s="77">
        <v>2</v>
      </c>
      <c r="J68" s="77">
        <v>2</v>
      </c>
      <c r="K68" s="77">
        <v>2</v>
      </c>
      <c r="L68" s="77">
        <v>0</v>
      </c>
      <c r="M68" s="77">
        <v>1</v>
      </c>
      <c r="N68" s="425">
        <v>3</v>
      </c>
      <c r="O68" s="426">
        <v>4</v>
      </c>
      <c r="P68" s="426">
        <v>6</v>
      </c>
      <c r="Q68" s="426">
        <v>6</v>
      </c>
      <c r="R68" s="77">
        <v>4</v>
      </c>
      <c r="S68" s="77">
        <v>4</v>
      </c>
      <c r="T68" s="77">
        <v>5</v>
      </c>
      <c r="U68" s="77">
        <v>5</v>
      </c>
      <c r="V68" s="78">
        <v>5</v>
      </c>
      <c r="W68" s="72">
        <v>7</v>
      </c>
      <c r="X68" s="70">
        <v>7</v>
      </c>
      <c r="Y68" s="70">
        <v>0</v>
      </c>
      <c r="Z68" s="70">
        <v>0</v>
      </c>
      <c r="AB68" s="421"/>
    </row>
    <row r="69" spans="1:28" s="49" customFormat="1">
      <c r="A69" s="45"/>
      <c r="B69" s="46"/>
      <c r="C69" s="53"/>
      <c r="D69" s="427"/>
      <c r="E69" s="427"/>
      <c r="F69" s="427"/>
      <c r="G69" s="75"/>
      <c r="H69" s="75"/>
      <c r="I69" s="75"/>
      <c r="J69" s="75"/>
      <c r="K69" s="75"/>
      <c r="L69" s="53"/>
      <c r="M69" s="53"/>
      <c r="N69" s="53"/>
      <c r="O69" s="53"/>
      <c r="P69" s="53"/>
      <c r="Q69" s="53"/>
      <c r="R69" s="53"/>
      <c r="S69" s="53"/>
      <c r="T69" s="53"/>
      <c r="U69" s="53"/>
      <c r="V69" s="53"/>
      <c r="W69" s="53"/>
      <c r="X69" s="53"/>
      <c r="Y69" s="53"/>
      <c r="Z69" s="53"/>
      <c r="AB69" s="421"/>
    </row>
    <row r="70" spans="1:28" ht="15.75" thickBot="1">
      <c r="A70" s="41" t="s">
        <v>169</v>
      </c>
      <c r="B70" s="42" t="s">
        <v>209</v>
      </c>
      <c r="C70" s="50">
        <v>0</v>
      </c>
      <c r="D70" s="73">
        <v>0.16666666666666666</v>
      </c>
      <c r="E70" s="73">
        <v>0.33333333333333331</v>
      </c>
      <c r="F70" s="73">
        <v>0.5</v>
      </c>
      <c r="G70" s="73">
        <v>0.66666666666666663</v>
      </c>
      <c r="H70" s="73">
        <v>0.83333333333333326</v>
      </c>
      <c r="I70" s="74">
        <v>1</v>
      </c>
      <c r="J70" s="73">
        <v>1.1666666666666667</v>
      </c>
      <c r="K70" s="73">
        <v>1.3333333333333335</v>
      </c>
      <c r="L70" s="51">
        <v>1.5000000000000002</v>
      </c>
      <c r="M70" s="51">
        <v>1.666666666666667</v>
      </c>
      <c r="N70" s="50">
        <v>2</v>
      </c>
      <c r="O70" s="51">
        <v>1.75</v>
      </c>
      <c r="P70" s="51">
        <v>1.5</v>
      </c>
      <c r="Q70" s="51">
        <v>1.25</v>
      </c>
      <c r="R70" s="50">
        <v>1</v>
      </c>
      <c r="S70" s="51">
        <v>1.1666666666666667</v>
      </c>
      <c r="T70" s="51">
        <v>1.3333333333333335</v>
      </c>
      <c r="U70" s="51">
        <v>1.5000000000000002</v>
      </c>
      <c r="V70" s="51">
        <v>1.666666666666667</v>
      </c>
      <c r="W70" s="51">
        <v>1.8333333333333337</v>
      </c>
      <c r="X70" s="51">
        <v>2.0000000000000004</v>
      </c>
      <c r="Y70" s="50">
        <v>2</v>
      </c>
      <c r="Z70" s="51">
        <v>2</v>
      </c>
      <c r="AA70" s="38">
        <v>20</v>
      </c>
      <c r="AB70" s="420">
        <v>0.8</v>
      </c>
    </row>
    <row r="71" spans="1:28" s="49" customFormat="1" ht="15.75" thickBot="1">
      <c r="A71" s="45"/>
      <c r="B71" s="46" t="s">
        <v>208</v>
      </c>
      <c r="C71" s="71">
        <v>0</v>
      </c>
      <c r="D71" s="76">
        <v>0</v>
      </c>
      <c r="E71" s="77">
        <v>0</v>
      </c>
      <c r="F71" s="77">
        <v>0</v>
      </c>
      <c r="G71" s="77">
        <v>0</v>
      </c>
      <c r="H71" s="77">
        <v>0</v>
      </c>
      <c r="I71" s="77">
        <v>2</v>
      </c>
      <c r="J71" s="77">
        <v>2</v>
      </c>
      <c r="K71" s="77">
        <v>2</v>
      </c>
      <c r="L71" s="77">
        <v>0</v>
      </c>
      <c r="M71" s="77">
        <v>1</v>
      </c>
      <c r="N71" s="425">
        <v>0</v>
      </c>
      <c r="O71" s="426">
        <v>0</v>
      </c>
      <c r="P71" s="426">
        <v>1</v>
      </c>
      <c r="Q71" s="426">
        <v>2</v>
      </c>
      <c r="R71" s="77">
        <v>2</v>
      </c>
      <c r="S71" s="77">
        <v>0</v>
      </c>
      <c r="T71" s="77">
        <v>2</v>
      </c>
      <c r="U71" s="77">
        <v>4</v>
      </c>
      <c r="V71" s="78">
        <v>1</v>
      </c>
      <c r="W71" s="72">
        <v>3</v>
      </c>
      <c r="X71" s="70">
        <v>3</v>
      </c>
      <c r="Y71" s="70">
        <v>0</v>
      </c>
      <c r="Z71" s="70">
        <v>0</v>
      </c>
      <c r="AB71" s="421"/>
    </row>
    <row r="72" spans="1:28" s="49" customFormat="1">
      <c r="A72" s="45"/>
      <c r="B72" s="46"/>
      <c r="C72" s="53"/>
      <c r="D72" s="427"/>
      <c r="E72" s="427"/>
      <c r="F72" s="427"/>
      <c r="G72" s="75"/>
      <c r="H72" s="75"/>
      <c r="I72" s="75"/>
      <c r="J72" s="75"/>
      <c r="K72" s="75"/>
      <c r="L72" s="53"/>
      <c r="M72" s="53"/>
      <c r="N72" s="53"/>
      <c r="O72" s="53"/>
      <c r="P72" s="53"/>
      <c r="Q72" s="53"/>
      <c r="R72" s="53"/>
      <c r="S72" s="53"/>
      <c r="T72" s="53"/>
      <c r="U72" s="53"/>
      <c r="V72" s="53"/>
      <c r="W72" s="53"/>
      <c r="X72" s="53"/>
      <c r="Y72" s="53"/>
      <c r="Z72" s="53"/>
      <c r="AB72" s="421"/>
    </row>
    <row r="73" spans="1:28" ht="15.75" thickBot="1">
      <c r="A73" s="41" t="s">
        <v>162</v>
      </c>
      <c r="B73" s="42" t="s">
        <v>202</v>
      </c>
      <c r="C73" s="50">
        <v>0</v>
      </c>
      <c r="D73" s="73">
        <v>0.5</v>
      </c>
      <c r="E73" s="73">
        <v>1</v>
      </c>
      <c r="F73" s="73">
        <v>1.5</v>
      </c>
      <c r="G73" s="73">
        <v>2</v>
      </c>
      <c r="H73" s="73">
        <v>2.5</v>
      </c>
      <c r="I73" s="74">
        <v>3</v>
      </c>
      <c r="J73" s="73">
        <v>3.3333333333333335</v>
      </c>
      <c r="K73" s="73">
        <v>3.666666666666667</v>
      </c>
      <c r="L73" s="51">
        <v>4</v>
      </c>
      <c r="M73" s="51">
        <v>4.333333333333333</v>
      </c>
      <c r="N73" s="50">
        <v>5</v>
      </c>
      <c r="O73" s="51">
        <v>5.75</v>
      </c>
      <c r="P73" s="51">
        <v>6.5</v>
      </c>
      <c r="Q73" s="51">
        <v>7.25</v>
      </c>
      <c r="R73" s="50">
        <v>8</v>
      </c>
      <c r="S73" s="51">
        <v>8.3333333333333339</v>
      </c>
      <c r="T73" s="51">
        <v>8.6666666666666679</v>
      </c>
      <c r="U73" s="51">
        <v>9.0000000000000018</v>
      </c>
      <c r="V73" s="51">
        <v>9.3333333333333357</v>
      </c>
      <c r="W73" s="51">
        <v>8</v>
      </c>
      <c r="X73" s="51">
        <v>8</v>
      </c>
      <c r="Y73" s="50">
        <v>8</v>
      </c>
      <c r="Z73" s="51">
        <v>8</v>
      </c>
      <c r="AA73" s="38">
        <v>20</v>
      </c>
      <c r="AB73" s="420">
        <v>0.8</v>
      </c>
    </row>
    <row r="74" spans="1:28" s="49" customFormat="1" ht="15.75" thickBot="1">
      <c r="A74" s="45"/>
      <c r="B74" s="46" t="s">
        <v>203</v>
      </c>
      <c r="C74" s="71">
        <v>0</v>
      </c>
      <c r="D74" s="76">
        <v>0</v>
      </c>
      <c r="E74" s="77">
        <v>0</v>
      </c>
      <c r="F74" s="77">
        <v>0</v>
      </c>
      <c r="G74" s="77">
        <v>0</v>
      </c>
      <c r="H74" s="77">
        <v>0</v>
      </c>
      <c r="I74" s="77">
        <v>0</v>
      </c>
      <c r="J74" s="77">
        <v>0</v>
      </c>
      <c r="K74" s="77">
        <v>0</v>
      </c>
      <c r="L74" s="77">
        <v>1</v>
      </c>
      <c r="M74" s="77">
        <v>1</v>
      </c>
      <c r="N74" s="425">
        <v>7</v>
      </c>
      <c r="O74" s="426">
        <v>7</v>
      </c>
      <c r="P74" s="426">
        <v>5</v>
      </c>
      <c r="Q74" s="426">
        <v>8</v>
      </c>
      <c r="R74" s="77">
        <v>8</v>
      </c>
      <c r="S74" s="77">
        <v>7</v>
      </c>
      <c r="T74" s="77">
        <v>12</v>
      </c>
      <c r="U74" s="77">
        <v>13</v>
      </c>
      <c r="V74" s="78">
        <v>8</v>
      </c>
      <c r="W74" s="72">
        <v>14</v>
      </c>
      <c r="X74" s="70">
        <v>14</v>
      </c>
      <c r="Y74" s="70">
        <v>0</v>
      </c>
      <c r="Z74" s="70">
        <v>0</v>
      </c>
      <c r="AB74" s="421"/>
    </row>
    <row r="75" spans="1:28" s="49" customFormat="1">
      <c r="A75" s="45"/>
      <c r="B75" s="46"/>
      <c r="C75" s="53"/>
      <c r="D75" s="428"/>
      <c r="E75" s="428"/>
      <c r="F75" s="428"/>
      <c r="G75" s="53"/>
      <c r="H75" s="53"/>
      <c r="I75" s="53"/>
      <c r="J75" s="53"/>
      <c r="K75" s="53"/>
      <c r="L75" s="53"/>
      <c r="M75" s="53"/>
      <c r="N75" s="53"/>
      <c r="O75" s="53"/>
      <c r="P75" s="53"/>
      <c r="Q75" s="53"/>
      <c r="R75" s="53"/>
      <c r="S75" s="53"/>
      <c r="T75" s="53"/>
      <c r="U75" s="53"/>
      <c r="V75" s="53"/>
      <c r="W75" s="53"/>
      <c r="X75" s="53"/>
      <c r="Y75" s="53"/>
      <c r="Z75" s="53"/>
      <c r="AB75" s="421"/>
    </row>
    <row r="76" spans="1:28" ht="15.75" thickBot="1">
      <c r="A76" s="41" t="s">
        <v>163</v>
      </c>
      <c r="B76" s="42" t="s">
        <v>213</v>
      </c>
      <c r="C76" s="50">
        <v>0</v>
      </c>
      <c r="D76" s="73">
        <v>0.33333333333333331</v>
      </c>
      <c r="E76" s="73">
        <v>0.66666666666666663</v>
      </c>
      <c r="F76" s="73">
        <v>1</v>
      </c>
      <c r="G76" s="73">
        <v>1.3333333333333333</v>
      </c>
      <c r="H76" s="73">
        <v>1.6666666666666665</v>
      </c>
      <c r="I76" s="74">
        <v>2</v>
      </c>
      <c r="J76" s="73">
        <v>2.3333333333333335</v>
      </c>
      <c r="K76" s="73">
        <v>2.666666666666667</v>
      </c>
      <c r="L76" s="51">
        <v>3.0000000000000004</v>
      </c>
      <c r="M76" s="51">
        <v>3.3333333333333339</v>
      </c>
      <c r="N76" s="50">
        <v>4</v>
      </c>
      <c r="O76" s="51">
        <v>4.5</v>
      </c>
      <c r="P76" s="51">
        <v>5</v>
      </c>
      <c r="Q76" s="51">
        <v>5.5</v>
      </c>
      <c r="R76" s="50">
        <v>6</v>
      </c>
      <c r="S76" s="51">
        <v>6.333333333333333</v>
      </c>
      <c r="T76" s="51">
        <v>6.6666666666666661</v>
      </c>
      <c r="U76" s="51">
        <v>6.9999999999999991</v>
      </c>
      <c r="V76" s="51">
        <v>7.3333333333333321</v>
      </c>
      <c r="W76" s="51">
        <v>6.8333333333333348</v>
      </c>
      <c r="X76" s="51">
        <v>7.0000000000000018</v>
      </c>
      <c r="Y76" s="50">
        <v>7</v>
      </c>
      <c r="Z76" s="51">
        <v>7</v>
      </c>
      <c r="AA76" s="38">
        <v>20</v>
      </c>
      <c r="AB76" s="420">
        <v>0.8</v>
      </c>
    </row>
    <row r="77" spans="1:28" s="49" customFormat="1" ht="15.75" thickBot="1">
      <c r="A77" s="45"/>
      <c r="B77" s="46" t="s">
        <v>212</v>
      </c>
      <c r="C77" s="71">
        <v>0</v>
      </c>
      <c r="D77" s="76">
        <v>0</v>
      </c>
      <c r="E77" s="77">
        <v>0</v>
      </c>
      <c r="F77" s="77">
        <v>0</v>
      </c>
      <c r="G77" s="77">
        <v>0</v>
      </c>
      <c r="H77" s="77">
        <v>0</v>
      </c>
      <c r="I77" s="77">
        <v>0</v>
      </c>
      <c r="J77" s="77">
        <v>0</v>
      </c>
      <c r="K77" s="77">
        <v>0</v>
      </c>
      <c r="L77" s="77">
        <v>0</v>
      </c>
      <c r="M77" s="77">
        <v>1</v>
      </c>
      <c r="N77" s="425">
        <v>6</v>
      </c>
      <c r="O77" s="426">
        <v>7</v>
      </c>
      <c r="P77" s="426">
        <v>4</v>
      </c>
      <c r="Q77" s="426">
        <v>5</v>
      </c>
      <c r="R77" s="77">
        <v>4</v>
      </c>
      <c r="S77" s="77">
        <v>7</v>
      </c>
      <c r="T77" s="77">
        <v>9</v>
      </c>
      <c r="U77" s="77">
        <v>9</v>
      </c>
      <c r="V77" s="78">
        <v>7</v>
      </c>
      <c r="W77" s="72">
        <v>13</v>
      </c>
      <c r="X77" s="70">
        <v>13</v>
      </c>
      <c r="Y77" s="70">
        <v>0</v>
      </c>
      <c r="Z77" s="70">
        <v>0</v>
      </c>
      <c r="AB77" s="421"/>
    </row>
    <row r="78" spans="1:28" s="49" customFormat="1">
      <c r="A78" s="45"/>
      <c r="B78" s="46"/>
      <c r="C78" s="53"/>
      <c r="D78" s="428"/>
      <c r="E78" s="428"/>
      <c r="F78" s="428"/>
      <c r="G78" s="53"/>
      <c r="H78" s="53"/>
      <c r="I78" s="53"/>
      <c r="J78" s="53"/>
      <c r="K78" s="53"/>
      <c r="L78" s="53"/>
      <c r="M78" s="53"/>
      <c r="N78" s="53"/>
      <c r="O78" s="53"/>
      <c r="P78" s="53"/>
      <c r="Q78" s="53"/>
      <c r="R78" s="53"/>
      <c r="S78" s="53"/>
      <c r="T78" s="53"/>
      <c r="U78" s="53"/>
      <c r="V78" s="53"/>
      <c r="W78" s="53"/>
      <c r="X78" s="53"/>
      <c r="Y78" s="53"/>
      <c r="Z78" s="53"/>
      <c r="AB78" s="421"/>
    </row>
    <row r="79" spans="1:28" ht="15.75" thickBot="1">
      <c r="A79" s="41" t="s">
        <v>164</v>
      </c>
      <c r="B79" s="42" t="s">
        <v>211</v>
      </c>
      <c r="C79" s="50">
        <v>0</v>
      </c>
      <c r="D79" s="73">
        <v>0.16666666666666666</v>
      </c>
      <c r="E79" s="73">
        <v>0.33333333333333331</v>
      </c>
      <c r="F79" s="73">
        <v>0.5</v>
      </c>
      <c r="G79" s="73">
        <v>0.66666666666666663</v>
      </c>
      <c r="H79" s="73">
        <v>0.83333333333333326</v>
      </c>
      <c r="I79" s="74">
        <v>1</v>
      </c>
      <c r="J79" s="73">
        <v>1.3333333333333333</v>
      </c>
      <c r="K79" s="73">
        <v>1.6666666666666665</v>
      </c>
      <c r="L79" s="51">
        <v>1.9999999999999998</v>
      </c>
      <c r="M79" s="51">
        <v>2.333333333333333</v>
      </c>
      <c r="N79" s="50">
        <v>3</v>
      </c>
      <c r="O79" s="51">
        <v>3.5</v>
      </c>
      <c r="P79" s="51">
        <v>4</v>
      </c>
      <c r="Q79" s="51">
        <v>4.5</v>
      </c>
      <c r="R79" s="50">
        <v>5</v>
      </c>
      <c r="S79" s="51">
        <v>5.333333333333333</v>
      </c>
      <c r="T79" s="51">
        <v>5.6666666666666661</v>
      </c>
      <c r="U79" s="51">
        <v>5.9999999999999991</v>
      </c>
      <c r="V79" s="51">
        <v>6.3333333333333321</v>
      </c>
      <c r="W79" s="51">
        <v>5.8333333333333348</v>
      </c>
      <c r="X79" s="51">
        <v>6.0000000000000018</v>
      </c>
      <c r="Y79" s="50">
        <v>6</v>
      </c>
      <c r="Z79" s="51">
        <v>6</v>
      </c>
      <c r="AA79" s="38">
        <v>20</v>
      </c>
      <c r="AB79" s="420">
        <v>0.8</v>
      </c>
    </row>
    <row r="80" spans="1:28" s="49" customFormat="1" ht="15.75" thickBot="1">
      <c r="A80" s="45"/>
      <c r="B80" s="46" t="s">
        <v>210</v>
      </c>
      <c r="C80" s="71">
        <v>0</v>
      </c>
      <c r="D80" s="76">
        <v>0</v>
      </c>
      <c r="E80" s="77">
        <v>0</v>
      </c>
      <c r="F80" s="77">
        <v>0</v>
      </c>
      <c r="G80" s="77">
        <v>0</v>
      </c>
      <c r="H80" s="77">
        <v>0</v>
      </c>
      <c r="I80" s="77">
        <v>0</v>
      </c>
      <c r="J80" s="77">
        <v>0</v>
      </c>
      <c r="K80" s="77">
        <v>0</v>
      </c>
      <c r="L80" s="77">
        <v>0</v>
      </c>
      <c r="M80" s="77">
        <v>1</v>
      </c>
      <c r="N80" s="425">
        <v>4</v>
      </c>
      <c r="O80" s="426">
        <v>4</v>
      </c>
      <c r="P80" s="426">
        <v>0</v>
      </c>
      <c r="Q80" s="426">
        <v>1</v>
      </c>
      <c r="R80" s="77">
        <v>1</v>
      </c>
      <c r="S80" s="77">
        <v>4</v>
      </c>
      <c r="T80" s="77">
        <v>5</v>
      </c>
      <c r="U80" s="77">
        <v>5</v>
      </c>
      <c r="V80" s="78">
        <v>6</v>
      </c>
      <c r="W80" s="72">
        <v>9</v>
      </c>
      <c r="X80" s="70">
        <v>9</v>
      </c>
      <c r="Y80" s="70">
        <v>0</v>
      </c>
      <c r="Z80" s="70">
        <v>0</v>
      </c>
      <c r="AB80" s="421"/>
    </row>
    <row r="81" spans="1:28" s="49" customFormat="1">
      <c r="A81" s="45"/>
      <c r="B81" s="46"/>
      <c r="C81" s="53"/>
      <c r="D81" s="428"/>
      <c r="E81" s="428"/>
      <c r="F81" s="428"/>
      <c r="G81" s="53"/>
      <c r="H81" s="53"/>
      <c r="I81" s="53"/>
      <c r="J81" s="53"/>
      <c r="K81" s="53"/>
      <c r="L81" s="53"/>
      <c r="M81" s="53"/>
      <c r="N81" s="53"/>
      <c r="O81" s="53"/>
      <c r="P81" s="53"/>
      <c r="Q81" s="53"/>
      <c r="R81" s="53"/>
      <c r="S81" s="53"/>
      <c r="T81" s="53"/>
      <c r="U81" s="53"/>
      <c r="V81" s="53"/>
      <c r="W81" s="53"/>
      <c r="X81" s="53"/>
      <c r="Y81" s="53"/>
      <c r="Z81" s="53"/>
      <c r="AB81" s="421"/>
    </row>
    <row r="82" spans="1:28" ht="15.75" thickBot="1">
      <c r="A82" s="41" t="s">
        <v>165</v>
      </c>
      <c r="B82" s="42" t="s">
        <v>209</v>
      </c>
      <c r="C82" s="50">
        <v>0</v>
      </c>
      <c r="D82" s="73">
        <v>0</v>
      </c>
      <c r="E82" s="73">
        <v>0</v>
      </c>
      <c r="F82" s="73">
        <v>0</v>
      </c>
      <c r="G82" s="73">
        <v>0</v>
      </c>
      <c r="H82" s="73">
        <v>0</v>
      </c>
      <c r="I82" s="74">
        <v>0</v>
      </c>
      <c r="J82" s="73">
        <v>0.33333333333333331</v>
      </c>
      <c r="K82" s="73">
        <v>0.66666666666666663</v>
      </c>
      <c r="L82" s="51">
        <v>1</v>
      </c>
      <c r="M82" s="51">
        <v>1.3333333333333333</v>
      </c>
      <c r="N82" s="50">
        <v>2</v>
      </c>
      <c r="O82" s="51">
        <v>2.5</v>
      </c>
      <c r="P82" s="51">
        <v>3</v>
      </c>
      <c r="Q82" s="51">
        <v>3.5</v>
      </c>
      <c r="R82" s="50">
        <v>4</v>
      </c>
      <c r="S82" s="51">
        <v>4.166666666666667</v>
      </c>
      <c r="T82" s="51">
        <v>4.3333333333333339</v>
      </c>
      <c r="U82" s="51">
        <v>4.5000000000000009</v>
      </c>
      <c r="V82" s="51">
        <v>4.6666666666666679</v>
      </c>
      <c r="W82" s="51">
        <v>4.8333333333333348</v>
      </c>
      <c r="X82" s="51">
        <v>5.0000000000000018</v>
      </c>
      <c r="Y82" s="50">
        <v>5</v>
      </c>
      <c r="Z82" s="51">
        <v>5</v>
      </c>
      <c r="AA82" s="38">
        <v>20</v>
      </c>
      <c r="AB82" s="420">
        <v>0.8</v>
      </c>
    </row>
    <row r="83" spans="1:28" s="49" customFormat="1" ht="15.75" thickBot="1">
      <c r="A83" s="45"/>
      <c r="B83" s="46" t="s">
        <v>208</v>
      </c>
      <c r="C83" s="71">
        <v>0</v>
      </c>
      <c r="D83" s="76">
        <v>0</v>
      </c>
      <c r="E83" s="77">
        <v>0</v>
      </c>
      <c r="F83" s="77">
        <v>0</v>
      </c>
      <c r="G83" s="77">
        <v>0</v>
      </c>
      <c r="H83" s="77">
        <v>0</v>
      </c>
      <c r="I83" s="77">
        <v>0</v>
      </c>
      <c r="J83" s="77">
        <v>0</v>
      </c>
      <c r="K83" s="77">
        <v>0</v>
      </c>
      <c r="L83" s="77">
        <v>0</v>
      </c>
      <c r="M83" s="77">
        <v>1</v>
      </c>
      <c r="N83" s="425">
        <v>0</v>
      </c>
      <c r="O83" s="426">
        <v>0</v>
      </c>
      <c r="P83" s="426">
        <v>2</v>
      </c>
      <c r="Q83" s="426">
        <v>2</v>
      </c>
      <c r="R83" s="77">
        <v>0</v>
      </c>
      <c r="S83" s="77">
        <v>0</v>
      </c>
      <c r="T83" s="77">
        <v>4</v>
      </c>
      <c r="U83" s="77">
        <v>5</v>
      </c>
      <c r="V83" s="78">
        <v>1</v>
      </c>
      <c r="W83" s="72">
        <v>2</v>
      </c>
      <c r="X83" s="70">
        <v>3</v>
      </c>
      <c r="Y83" s="70">
        <v>0</v>
      </c>
      <c r="Z83" s="70">
        <v>0</v>
      </c>
      <c r="AB83" s="421"/>
    </row>
    <row r="84" spans="1:28" s="49" customFormat="1">
      <c r="A84" s="45"/>
      <c r="B84" s="46"/>
      <c r="C84" s="53"/>
      <c r="D84" s="428"/>
      <c r="E84" s="428"/>
      <c r="F84" s="428"/>
      <c r="G84" s="53"/>
      <c r="H84" s="53"/>
      <c r="I84" s="53"/>
      <c r="J84" s="53"/>
      <c r="K84" s="53"/>
      <c r="L84" s="53"/>
      <c r="M84" s="53"/>
      <c r="N84" s="53"/>
      <c r="O84" s="53"/>
      <c r="P84" s="53"/>
      <c r="Q84" s="53"/>
      <c r="R84" s="53"/>
      <c r="S84" s="53"/>
      <c r="T84" s="53"/>
      <c r="U84" s="53"/>
      <c r="V84" s="53"/>
      <c r="W84" s="53"/>
      <c r="X84" s="53"/>
      <c r="Y84" s="53"/>
      <c r="Z84" s="53"/>
      <c r="AB84" s="421"/>
    </row>
    <row r="85" spans="1:28" ht="15.75" thickBot="1">
      <c r="A85" s="41" t="s">
        <v>160</v>
      </c>
      <c r="B85" s="42" t="s">
        <v>201</v>
      </c>
      <c r="C85" s="52"/>
      <c r="D85" s="52"/>
      <c r="E85" s="52"/>
      <c r="F85" s="52"/>
      <c r="G85" s="52"/>
      <c r="H85" s="52"/>
      <c r="I85" s="52"/>
      <c r="J85" s="52"/>
      <c r="K85" s="52"/>
      <c r="L85" s="52"/>
      <c r="M85" s="52"/>
      <c r="N85" s="50">
        <v>69</v>
      </c>
      <c r="O85" s="51">
        <v>70.5</v>
      </c>
      <c r="P85" s="51">
        <v>72</v>
      </c>
      <c r="Q85" s="51">
        <v>73.5</v>
      </c>
      <c r="R85" s="50">
        <v>75</v>
      </c>
      <c r="S85" s="51">
        <v>76.666666666666671</v>
      </c>
      <c r="T85" s="51">
        <v>78.333333333333343</v>
      </c>
      <c r="U85" s="51">
        <v>80.000000000000014</v>
      </c>
      <c r="V85" s="51">
        <v>81.666666666666686</v>
      </c>
      <c r="W85" s="51">
        <v>75</v>
      </c>
      <c r="X85" s="51">
        <v>75</v>
      </c>
      <c r="Y85" s="50">
        <v>75</v>
      </c>
      <c r="Z85" s="51">
        <v>75</v>
      </c>
      <c r="AA85" s="38">
        <v>100</v>
      </c>
      <c r="AB85" s="420">
        <v>4</v>
      </c>
    </row>
    <row r="86" spans="1:28" s="49" customFormat="1" ht="15.75" thickBot="1">
      <c r="A86" s="45"/>
      <c r="B86" s="46" t="s">
        <v>200</v>
      </c>
      <c r="C86" s="52"/>
      <c r="D86" s="52"/>
      <c r="E86" s="52"/>
      <c r="F86" s="52"/>
      <c r="G86" s="52"/>
      <c r="H86" s="52"/>
      <c r="I86" s="52"/>
      <c r="J86" s="52"/>
      <c r="K86" s="52"/>
      <c r="L86" s="52"/>
      <c r="M86" s="52"/>
      <c r="N86" s="52">
        <v>69</v>
      </c>
      <c r="O86" s="76">
        <v>69</v>
      </c>
      <c r="P86" s="426">
        <v>69</v>
      </c>
      <c r="Q86" s="426">
        <v>75</v>
      </c>
      <c r="R86" s="77">
        <v>83</v>
      </c>
      <c r="S86" s="77">
        <v>83</v>
      </c>
      <c r="T86" s="77">
        <v>83</v>
      </c>
      <c r="U86" s="77">
        <v>92</v>
      </c>
      <c r="V86" s="78">
        <v>73</v>
      </c>
      <c r="W86" s="72">
        <v>82.5</v>
      </c>
      <c r="X86" s="70">
        <v>82.5</v>
      </c>
      <c r="Y86" s="70">
        <v>0</v>
      </c>
      <c r="Z86" s="70">
        <v>0</v>
      </c>
      <c r="AB86" s="421"/>
    </row>
    <row r="87" spans="1:28" s="49" customFormat="1">
      <c r="A87" s="45"/>
      <c r="B87" s="46"/>
      <c r="C87" s="53"/>
      <c r="D87" s="428"/>
      <c r="E87" s="428"/>
      <c r="F87" s="428"/>
      <c r="G87" s="53"/>
      <c r="H87" s="53"/>
      <c r="I87" s="53"/>
      <c r="J87" s="53"/>
      <c r="K87" s="53"/>
      <c r="L87" s="53"/>
      <c r="M87" s="53"/>
      <c r="N87" s="53"/>
      <c r="O87" s="53"/>
      <c r="P87" s="53"/>
      <c r="Q87" s="53"/>
      <c r="R87" s="53"/>
      <c r="S87" s="53"/>
      <c r="T87" s="53"/>
      <c r="U87" s="53"/>
      <c r="V87" s="53"/>
      <c r="W87" s="53"/>
      <c r="X87" s="53"/>
      <c r="Y87" s="53"/>
      <c r="Z87" s="53"/>
      <c r="AB87" s="421"/>
    </row>
    <row r="88" spans="1:28" ht="15.75" thickBot="1">
      <c r="A88" s="41" t="s">
        <v>161</v>
      </c>
      <c r="B88" s="42" t="s">
        <v>198</v>
      </c>
      <c r="C88" s="52"/>
      <c r="D88" s="52"/>
      <c r="E88" s="52"/>
      <c r="F88" s="52"/>
      <c r="G88" s="52"/>
      <c r="H88" s="52"/>
      <c r="I88" s="52"/>
      <c r="J88" s="52"/>
      <c r="K88" s="52"/>
      <c r="L88" s="52"/>
      <c r="M88" s="52"/>
      <c r="N88" s="50">
        <v>48</v>
      </c>
      <c r="O88" s="51">
        <v>48.25</v>
      </c>
      <c r="P88" s="51">
        <v>48.5</v>
      </c>
      <c r="Q88" s="51">
        <v>48.75</v>
      </c>
      <c r="R88" s="50">
        <v>49</v>
      </c>
      <c r="S88" s="51">
        <v>49.166666666666664</v>
      </c>
      <c r="T88" s="51">
        <v>49.333333333333329</v>
      </c>
      <c r="U88" s="51">
        <v>49.499999999999993</v>
      </c>
      <c r="V88" s="51">
        <v>49.666666666666657</v>
      </c>
      <c r="W88" s="51">
        <v>70.666666666666671</v>
      </c>
      <c r="X88" s="51">
        <v>75</v>
      </c>
      <c r="Y88" s="50">
        <v>75</v>
      </c>
      <c r="Z88" s="51">
        <v>75</v>
      </c>
      <c r="AA88" s="38">
        <v>100</v>
      </c>
      <c r="AB88" s="420">
        <v>4</v>
      </c>
    </row>
    <row r="89" spans="1:28" s="49" customFormat="1" ht="15.75" thickBot="1">
      <c r="A89" s="45"/>
      <c r="B89" s="46" t="s">
        <v>199</v>
      </c>
      <c r="C89" s="52"/>
      <c r="D89" s="52"/>
      <c r="E89" s="52"/>
      <c r="F89" s="52"/>
      <c r="G89" s="52"/>
      <c r="H89" s="52"/>
      <c r="I89" s="52"/>
      <c r="J89" s="52"/>
      <c r="K89" s="52"/>
      <c r="L89" s="52"/>
      <c r="M89" s="52"/>
      <c r="N89" s="52">
        <v>48</v>
      </c>
      <c r="O89" s="76">
        <v>48</v>
      </c>
      <c r="P89" s="426">
        <v>48</v>
      </c>
      <c r="Q89" s="426">
        <v>52</v>
      </c>
      <c r="R89" s="77">
        <v>77.3</v>
      </c>
      <c r="S89" s="77">
        <v>67</v>
      </c>
      <c r="T89" s="77">
        <v>67</v>
      </c>
      <c r="U89" s="77">
        <v>74</v>
      </c>
      <c r="V89" s="78">
        <v>74</v>
      </c>
      <c r="W89" s="72">
        <v>74</v>
      </c>
      <c r="X89" s="70">
        <v>95</v>
      </c>
      <c r="Y89" s="70">
        <v>0</v>
      </c>
      <c r="Z89" s="70">
        <v>0</v>
      </c>
      <c r="AB89" s="421"/>
    </row>
    <row r="90" spans="1:28" s="49" customFormat="1">
      <c r="A90" s="45"/>
      <c r="B90" s="46"/>
      <c r="C90" s="53"/>
      <c r="D90" s="428"/>
      <c r="E90" s="428"/>
      <c r="F90" s="428"/>
      <c r="G90" s="53"/>
      <c r="H90" s="53"/>
      <c r="I90" s="53"/>
      <c r="J90" s="53"/>
      <c r="K90" s="53"/>
      <c r="L90" s="53"/>
      <c r="M90" s="53"/>
      <c r="N90" s="53"/>
      <c r="O90" s="53"/>
      <c r="P90" s="53"/>
      <c r="Q90" s="53"/>
      <c r="R90" s="53"/>
      <c r="S90" s="53"/>
      <c r="T90" s="53"/>
      <c r="U90" s="53"/>
      <c r="V90" s="53"/>
      <c r="W90" s="53"/>
      <c r="X90" s="53"/>
      <c r="Y90" s="53"/>
      <c r="Z90" s="53"/>
      <c r="AB90" s="421"/>
    </row>
    <row r="91" spans="1:28" ht="15.75" thickBot="1">
      <c r="A91" s="41" t="s">
        <v>40</v>
      </c>
      <c r="B91" s="42" t="s">
        <v>139</v>
      </c>
      <c r="C91" s="52"/>
      <c r="D91" s="52"/>
      <c r="E91" s="52"/>
      <c r="F91" s="52"/>
      <c r="G91" s="52"/>
      <c r="H91" s="52"/>
      <c r="I91" s="52"/>
      <c r="J91" s="52"/>
      <c r="K91" s="52"/>
      <c r="L91" s="52"/>
      <c r="M91" s="52"/>
      <c r="N91" s="43">
        <v>3.6</v>
      </c>
      <c r="O91" s="44">
        <v>3.65</v>
      </c>
      <c r="P91" s="44">
        <v>3.6999999999999997</v>
      </c>
      <c r="Q91" s="44">
        <v>3.7499999999999996</v>
      </c>
      <c r="R91" s="43">
        <v>3.8</v>
      </c>
      <c r="S91" s="44">
        <v>3.833333333333333</v>
      </c>
      <c r="T91" s="44">
        <v>3.8666666666666663</v>
      </c>
      <c r="U91" s="44">
        <v>3.8999999999999995</v>
      </c>
      <c r="V91" s="44">
        <v>3.9333333333333327</v>
      </c>
      <c r="W91" s="44">
        <v>4.1333333333333329</v>
      </c>
      <c r="X91" s="44">
        <v>4.1999999999999993</v>
      </c>
      <c r="Y91" s="43">
        <v>4.2</v>
      </c>
      <c r="Z91" s="44">
        <v>4.2</v>
      </c>
      <c r="AA91" s="38">
        <v>5</v>
      </c>
      <c r="AB91" s="420">
        <v>0.16</v>
      </c>
    </row>
    <row r="92" spans="1:28" s="49" customFormat="1" ht="15.75" thickBot="1">
      <c r="A92" s="45"/>
      <c r="B92" s="46" t="s">
        <v>140</v>
      </c>
      <c r="C92" s="52"/>
      <c r="D92" s="52"/>
      <c r="E92" s="52"/>
      <c r="F92" s="52"/>
      <c r="G92" s="52"/>
      <c r="H92" s="52"/>
      <c r="I92" s="52"/>
      <c r="J92" s="52"/>
      <c r="K92" s="52"/>
      <c r="L92" s="52"/>
      <c r="M92" s="52"/>
      <c r="N92" s="47">
        <v>3.6</v>
      </c>
      <c r="O92" s="84">
        <v>3.6</v>
      </c>
      <c r="P92" s="424">
        <v>3.6</v>
      </c>
      <c r="Q92" s="424">
        <v>3.7</v>
      </c>
      <c r="R92" s="85">
        <v>3.6</v>
      </c>
      <c r="S92" s="85">
        <v>3.8</v>
      </c>
      <c r="T92" s="85">
        <v>3.95</v>
      </c>
      <c r="U92" s="85">
        <v>4.0999999999999996</v>
      </c>
      <c r="V92" s="86">
        <v>4.2</v>
      </c>
      <c r="W92" s="80">
        <v>4.3</v>
      </c>
      <c r="X92" s="69">
        <v>4.4000000000000004</v>
      </c>
      <c r="Y92" s="69">
        <v>0</v>
      </c>
      <c r="Z92" s="69">
        <v>0</v>
      </c>
      <c r="AB92" s="421"/>
    </row>
    <row r="93" spans="1:28" s="49" customFormat="1">
      <c r="A93" s="45"/>
      <c r="B93" s="46"/>
      <c r="C93" s="48"/>
      <c r="D93" s="48"/>
      <c r="E93" s="48"/>
      <c r="F93" s="48"/>
      <c r="G93" s="48"/>
      <c r="H93" s="48"/>
      <c r="I93" s="48"/>
      <c r="J93" s="48"/>
      <c r="K93" s="48"/>
      <c r="L93" s="48"/>
      <c r="M93" s="48"/>
      <c r="N93" s="48"/>
      <c r="O93" s="48"/>
      <c r="P93" s="48"/>
      <c r="Q93" s="48"/>
      <c r="R93" s="48"/>
      <c r="S93" s="48"/>
      <c r="T93" s="48"/>
      <c r="U93" s="48"/>
      <c r="V93" s="48"/>
      <c r="W93" s="48"/>
      <c r="X93" s="48"/>
      <c r="Y93" s="48"/>
      <c r="Z93" s="48"/>
      <c r="AB93" s="421"/>
    </row>
    <row r="94" spans="1:28" ht="15.75" thickBot="1">
      <c r="A94" s="41" t="s">
        <v>32</v>
      </c>
      <c r="B94" s="42" t="s">
        <v>139</v>
      </c>
      <c r="C94" s="43">
        <v>1</v>
      </c>
      <c r="D94" s="81">
        <v>1.0833333333333333</v>
      </c>
      <c r="E94" s="81">
        <v>1.1666666666666665</v>
      </c>
      <c r="F94" s="81">
        <v>1.2499999999999998</v>
      </c>
      <c r="G94" s="81">
        <v>1.333333333333333</v>
      </c>
      <c r="H94" s="81">
        <v>1.4166666666666663</v>
      </c>
      <c r="I94" s="82">
        <v>1.5</v>
      </c>
      <c r="J94" s="81">
        <v>1.6666666666666667</v>
      </c>
      <c r="K94" s="81">
        <v>1.8333333333333335</v>
      </c>
      <c r="L94" s="44">
        <v>2</v>
      </c>
      <c r="M94" s="44">
        <v>2.1666666666666665</v>
      </c>
      <c r="N94" s="43">
        <v>2.5</v>
      </c>
      <c r="O94" s="44">
        <v>2.5750000000000002</v>
      </c>
      <c r="P94" s="44">
        <v>2.6500000000000004</v>
      </c>
      <c r="Q94" s="44">
        <v>2.7250000000000005</v>
      </c>
      <c r="R94" s="43">
        <v>2.8</v>
      </c>
      <c r="S94" s="44">
        <v>2.833333333333333</v>
      </c>
      <c r="T94" s="44">
        <v>2.8666666666666663</v>
      </c>
      <c r="U94" s="44">
        <v>2.8999999999999995</v>
      </c>
      <c r="V94" s="44">
        <v>2.9333333333333327</v>
      </c>
      <c r="W94" s="44">
        <v>3.4666666666666663</v>
      </c>
      <c r="X94" s="44">
        <v>3.5999999999999996</v>
      </c>
      <c r="Y94" s="43">
        <v>3.6</v>
      </c>
      <c r="Z94" s="44">
        <v>3.6</v>
      </c>
      <c r="AA94" s="38">
        <v>5</v>
      </c>
      <c r="AB94" s="420">
        <v>0.16</v>
      </c>
    </row>
    <row r="95" spans="1:28" s="49" customFormat="1" ht="15.75" thickBot="1">
      <c r="A95" s="45"/>
      <c r="B95" s="46" t="s">
        <v>140</v>
      </c>
      <c r="C95" s="79">
        <v>1</v>
      </c>
      <c r="D95" s="84">
        <v>1.2</v>
      </c>
      <c r="E95" s="85">
        <v>1.3</v>
      </c>
      <c r="F95" s="85">
        <v>1.4</v>
      </c>
      <c r="G95" s="85">
        <v>1.4</v>
      </c>
      <c r="H95" s="85">
        <v>1.4</v>
      </c>
      <c r="I95" s="85">
        <v>1.6</v>
      </c>
      <c r="J95" s="85">
        <v>1.6</v>
      </c>
      <c r="K95" s="85">
        <v>1.6</v>
      </c>
      <c r="L95" s="85">
        <v>2</v>
      </c>
      <c r="M95" s="85">
        <v>2</v>
      </c>
      <c r="N95" s="423">
        <v>2.2999999999999998</v>
      </c>
      <c r="O95" s="424">
        <v>2.2999999999999998</v>
      </c>
      <c r="P95" s="424">
        <v>2.8</v>
      </c>
      <c r="Q95" s="424">
        <v>2.8</v>
      </c>
      <c r="R95" s="85">
        <v>2.8</v>
      </c>
      <c r="S95" s="85">
        <v>2.8</v>
      </c>
      <c r="T95" s="85">
        <v>3.2</v>
      </c>
      <c r="U95" s="85">
        <v>3.2</v>
      </c>
      <c r="V95" s="86">
        <v>3.8</v>
      </c>
      <c r="W95" s="80">
        <v>3.8</v>
      </c>
      <c r="X95" s="69">
        <v>3.8</v>
      </c>
      <c r="Y95" s="69">
        <v>0</v>
      </c>
      <c r="Z95" s="69">
        <v>0</v>
      </c>
      <c r="AB95" s="421"/>
    </row>
    <row r="96" spans="1:28" s="49" customFormat="1">
      <c r="A96" s="45"/>
      <c r="B96" s="46"/>
      <c r="C96" s="48"/>
      <c r="D96" s="83"/>
      <c r="E96" s="83"/>
      <c r="F96" s="83"/>
      <c r="G96" s="83"/>
      <c r="H96" s="83"/>
      <c r="I96" s="83"/>
      <c r="J96" s="83"/>
      <c r="K96" s="83"/>
      <c r="L96" s="48"/>
      <c r="M96" s="48"/>
      <c r="N96" s="48"/>
      <c r="O96" s="48"/>
      <c r="P96" s="48"/>
      <c r="Q96" s="48"/>
      <c r="R96" s="48"/>
      <c r="S96" s="48"/>
      <c r="T96" s="48"/>
      <c r="U96" s="48"/>
      <c r="V96" s="48"/>
      <c r="W96" s="48"/>
      <c r="X96" s="48"/>
      <c r="Y96" s="48"/>
      <c r="Z96" s="48"/>
      <c r="AB96" s="421"/>
    </row>
    <row r="97" spans="1:28" ht="15.75" thickBot="1">
      <c r="A97" s="41" t="s">
        <v>33</v>
      </c>
      <c r="B97" s="42" t="s">
        <v>139</v>
      </c>
      <c r="C97" s="43">
        <v>1</v>
      </c>
      <c r="D97" s="81">
        <v>1.1666666666666667</v>
      </c>
      <c r="E97" s="81">
        <v>1.3333333333333335</v>
      </c>
      <c r="F97" s="81">
        <v>1.5000000000000002</v>
      </c>
      <c r="G97" s="81">
        <v>1.666666666666667</v>
      </c>
      <c r="H97" s="81">
        <v>1.8333333333333337</v>
      </c>
      <c r="I97" s="82">
        <v>2</v>
      </c>
      <c r="J97" s="81">
        <v>2.1666666666666665</v>
      </c>
      <c r="K97" s="81">
        <v>2.333333333333333</v>
      </c>
      <c r="L97" s="44">
        <v>2.4999999999999996</v>
      </c>
      <c r="M97" s="44">
        <v>2.6666666666666661</v>
      </c>
      <c r="N97" s="43">
        <v>3</v>
      </c>
      <c r="O97" s="44">
        <v>3.05</v>
      </c>
      <c r="P97" s="44">
        <v>3.0999999999999996</v>
      </c>
      <c r="Q97" s="44">
        <v>3.1499999999999995</v>
      </c>
      <c r="R97" s="43">
        <v>3.2</v>
      </c>
      <c r="S97" s="44">
        <v>3.25</v>
      </c>
      <c r="T97" s="44">
        <v>3.3</v>
      </c>
      <c r="U97" s="44">
        <v>3.3499999999999996</v>
      </c>
      <c r="V97" s="44">
        <v>3.3999999999999995</v>
      </c>
      <c r="W97" s="44">
        <v>4.2833333333333341</v>
      </c>
      <c r="X97" s="44">
        <v>4.5000000000000009</v>
      </c>
      <c r="Y97" s="43">
        <v>4.5</v>
      </c>
      <c r="Z97" s="44">
        <v>4.5</v>
      </c>
      <c r="AA97" s="38">
        <v>5</v>
      </c>
      <c r="AB97" s="420">
        <v>0.16</v>
      </c>
    </row>
    <row r="98" spans="1:28" s="49" customFormat="1" ht="15.75" thickBot="1">
      <c r="A98" s="45"/>
      <c r="B98" s="46" t="s">
        <v>140</v>
      </c>
      <c r="C98" s="79">
        <v>1</v>
      </c>
      <c r="D98" s="84">
        <v>1.3</v>
      </c>
      <c r="E98" s="85">
        <v>1.5</v>
      </c>
      <c r="F98" s="85">
        <v>1.5</v>
      </c>
      <c r="G98" s="85">
        <v>1.7</v>
      </c>
      <c r="H98" s="85">
        <v>1.8</v>
      </c>
      <c r="I98" s="85">
        <v>2.8</v>
      </c>
      <c r="J98" s="85">
        <v>1.6</v>
      </c>
      <c r="K98" s="85">
        <v>1.6</v>
      </c>
      <c r="L98" s="85">
        <v>2</v>
      </c>
      <c r="M98" s="85">
        <v>2</v>
      </c>
      <c r="N98" s="423">
        <v>2</v>
      </c>
      <c r="O98" s="424">
        <v>2.2999999999999998</v>
      </c>
      <c r="P98" s="424">
        <v>4</v>
      </c>
      <c r="Q98" s="424">
        <v>4</v>
      </c>
      <c r="R98" s="85">
        <v>4.5</v>
      </c>
      <c r="S98" s="85">
        <v>4.5</v>
      </c>
      <c r="T98" s="85">
        <v>4</v>
      </c>
      <c r="U98" s="85">
        <v>4</v>
      </c>
      <c r="V98" s="86">
        <v>4.8</v>
      </c>
      <c r="W98" s="80">
        <v>4.8</v>
      </c>
      <c r="X98" s="69">
        <v>4.8</v>
      </c>
      <c r="Y98" s="69">
        <v>0</v>
      </c>
      <c r="Z98" s="69">
        <v>0</v>
      </c>
      <c r="AB98" s="421"/>
    </row>
    <row r="99" spans="1:28" s="49" customFormat="1">
      <c r="A99" s="45"/>
      <c r="B99" s="46"/>
      <c r="C99" s="48"/>
      <c r="D99" s="83"/>
      <c r="E99" s="83"/>
      <c r="F99" s="83"/>
      <c r="G99" s="83"/>
      <c r="H99" s="83"/>
      <c r="I99" s="83"/>
      <c r="J99" s="83"/>
      <c r="K99" s="83"/>
      <c r="L99" s="48"/>
      <c r="M99" s="48"/>
      <c r="N99" s="48"/>
      <c r="O99" s="48"/>
      <c r="P99" s="48"/>
      <c r="Q99" s="48"/>
      <c r="R99" s="48"/>
      <c r="S99" s="48"/>
      <c r="T99" s="48"/>
      <c r="U99" s="48"/>
      <c r="V99" s="48"/>
      <c r="W99" s="48"/>
      <c r="X99" s="48"/>
      <c r="Y99" s="48"/>
      <c r="Z99" s="48"/>
      <c r="AB99" s="421"/>
    </row>
    <row r="100" spans="1:28" ht="15.75" thickBot="1">
      <c r="A100" s="41" t="s">
        <v>34</v>
      </c>
      <c r="B100" s="42" t="s">
        <v>139</v>
      </c>
      <c r="C100" s="43">
        <v>1</v>
      </c>
      <c r="D100" s="81">
        <v>1.1666666666666667</v>
      </c>
      <c r="E100" s="81">
        <v>1.3333333333333335</v>
      </c>
      <c r="F100" s="81">
        <v>1.5000000000000002</v>
      </c>
      <c r="G100" s="81">
        <v>1.666666666666667</v>
      </c>
      <c r="H100" s="81">
        <v>1.8333333333333337</v>
      </c>
      <c r="I100" s="82">
        <v>2</v>
      </c>
      <c r="J100" s="81">
        <v>2.1666666666666665</v>
      </c>
      <c r="K100" s="81">
        <v>2.333333333333333</v>
      </c>
      <c r="L100" s="44">
        <v>2.4999999999999996</v>
      </c>
      <c r="M100" s="44">
        <v>2.6666666666666661</v>
      </c>
      <c r="N100" s="43">
        <v>3</v>
      </c>
      <c r="O100" s="44">
        <v>3</v>
      </c>
      <c r="P100" s="44">
        <v>3</v>
      </c>
      <c r="Q100" s="44">
        <v>3</v>
      </c>
      <c r="R100" s="43">
        <v>3</v>
      </c>
      <c r="S100" s="44">
        <v>3.0833333333333335</v>
      </c>
      <c r="T100" s="44">
        <v>3.166666666666667</v>
      </c>
      <c r="U100" s="44">
        <v>3.2500000000000004</v>
      </c>
      <c r="V100" s="44">
        <v>3.3333333333333339</v>
      </c>
      <c r="W100" s="44">
        <v>3.5000000000000004</v>
      </c>
      <c r="X100" s="44">
        <v>3.6000000000000005</v>
      </c>
      <c r="Y100" s="43">
        <v>3.6</v>
      </c>
      <c r="Z100" s="44">
        <v>3.6</v>
      </c>
      <c r="AA100" s="38">
        <v>5</v>
      </c>
      <c r="AB100" s="420">
        <v>0.16</v>
      </c>
    </row>
    <row r="101" spans="1:28" s="49" customFormat="1" ht="15.75" thickBot="1">
      <c r="A101" s="45"/>
      <c r="B101" s="46" t="s">
        <v>140</v>
      </c>
      <c r="C101" s="79">
        <v>1</v>
      </c>
      <c r="D101" s="84">
        <v>1</v>
      </c>
      <c r="E101" s="85">
        <v>1</v>
      </c>
      <c r="F101" s="85">
        <v>1</v>
      </c>
      <c r="G101" s="85">
        <v>1</v>
      </c>
      <c r="H101" s="85">
        <v>1</v>
      </c>
      <c r="I101" s="85">
        <v>2</v>
      </c>
      <c r="J101" s="85">
        <v>3.3</v>
      </c>
      <c r="K101" s="85">
        <v>3.3</v>
      </c>
      <c r="L101" s="85">
        <v>4</v>
      </c>
      <c r="M101" s="85">
        <v>4</v>
      </c>
      <c r="N101" s="423">
        <v>2.2000000000000002</v>
      </c>
      <c r="O101" s="424">
        <v>2.6</v>
      </c>
      <c r="P101" s="424">
        <v>3.4</v>
      </c>
      <c r="Q101" s="424">
        <v>3.4</v>
      </c>
      <c r="R101" s="85">
        <v>3</v>
      </c>
      <c r="S101" s="85">
        <v>3</v>
      </c>
      <c r="T101" s="85">
        <v>3.3</v>
      </c>
      <c r="U101" s="85">
        <v>3.3</v>
      </c>
      <c r="V101" s="86">
        <v>3.7</v>
      </c>
      <c r="W101" s="80">
        <v>3.7</v>
      </c>
      <c r="X101" s="69">
        <v>3.7</v>
      </c>
      <c r="Y101" s="69">
        <v>0</v>
      </c>
      <c r="Z101" s="69">
        <v>0</v>
      </c>
      <c r="AB101" s="421"/>
    </row>
    <row r="102" spans="1:28" s="49" customFormat="1">
      <c r="A102" s="45"/>
      <c r="B102" s="46"/>
      <c r="C102" s="48"/>
      <c r="D102" s="83"/>
      <c r="E102" s="83"/>
      <c r="F102" s="83"/>
      <c r="G102" s="83"/>
      <c r="H102" s="83"/>
      <c r="I102" s="83"/>
      <c r="J102" s="83"/>
      <c r="K102" s="83"/>
      <c r="L102" s="48"/>
      <c r="M102" s="48"/>
      <c r="N102" s="48"/>
      <c r="O102" s="48"/>
      <c r="P102" s="48"/>
      <c r="Q102" s="48"/>
      <c r="R102" s="48"/>
      <c r="S102" s="48"/>
      <c r="T102" s="48"/>
      <c r="U102" s="48"/>
      <c r="V102" s="48"/>
      <c r="W102" s="48"/>
      <c r="X102" s="48"/>
      <c r="Y102" s="48"/>
      <c r="Z102" s="48"/>
      <c r="AB102" s="421"/>
    </row>
    <row r="103" spans="1:28" ht="15.75" thickBot="1">
      <c r="A103" s="41" t="s">
        <v>41</v>
      </c>
      <c r="B103" s="42" t="s">
        <v>139</v>
      </c>
      <c r="C103" s="43">
        <v>1</v>
      </c>
      <c r="D103" s="81">
        <v>1.1666666666666667</v>
      </c>
      <c r="E103" s="81">
        <v>1.3333333333333335</v>
      </c>
      <c r="F103" s="81">
        <v>1.5000000000000002</v>
      </c>
      <c r="G103" s="81">
        <v>1.666666666666667</v>
      </c>
      <c r="H103" s="81">
        <v>1.8333333333333337</v>
      </c>
      <c r="I103" s="82">
        <v>2</v>
      </c>
      <c r="J103" s="81">
        <v>2.1666666666666665</v>
      </c>
      <c r="K103" s="81">
        <v>2.333333333333333</v>
      </c>
      <c r="L103" s="44">
        <v>2.4999999999999996</v>
      </c>
      <c r="M103" s="44">
        <v>2.6666666666666661</v>
      </c>
      <c r="N103" s="43">
        <v>3</v>
      </c>
      <c r="O103" s="44">
        <v>3.05</v>
      </c>
      <c r="P103" s="44">
        <v>3.0999999999999996</v>
      </c>
      <c r="Q103" s="44">
        <v>3.1499999999999995</v>
      </c>
      <c r="R103" s="43">
        <v>3.2</v>
      </c>
      <c r="S103" s="44">
        <v>3.3000000000000003</v>
      </c>
      <c r="T103" s="44">
        <v>3.4000000000000004</v>
      </c>
      <c r="U103" s="44">
        <v>3.5000000000000004</v>
      </c>
      <c r="V103" s="44">
        <v>3.6000000000000005</v>
      </c>
      <c r="W103" s="44">
        <v>4.0333333333333332</v>
      </c>
      <c r="X103" s="44">
        <v>4.2</v>
      </c>
      <c r="Y103" s="43">
        <v>4.2</v>
      </c>
      <c r="Z103" s="44">
        <v>4.2</v>
      </c>
      <c r="AA103" s="38">
        <v>5</v>
      </c>
      <c r="AB103" s="420">
        <v>0.16</v>
      </c>
    </row>
    <row r="104" spans="1:28" s="49" customFormat="1" ht="15.75" thickBot="1">
      <c r="A104" s="45"/>
      <c r="B104" s="46" t="s">
        <v>140</v>
      </c>
      <c r="C104" s="79">
        <v>1</v>
      </c>
      <c r="D104" s="84">
        <v>1</v>
      </c>
      <c r="E104" s="85">
        <v>1</v>
      </c>
      <c r="F104" s="85">
        <v>1</v>
      </c>
      <c r="G104" s="85">
        <v>1</v>
      </c>
      <c r="H104" s="85">
        <v>1</v>
      </c>
      <c r="I104" s="85">
        <v>1.7</v>
      </c>
      <c r="J104" s="85">
        <v>2.2000000000000002</v>
      </c>
      <c r="K104" s="85">
        <v>2.2000000000000002</v>
      </c>
      <c r="L104" s="85">
        <v>2</v>
      </c>
      <c r="M104" s="85">
        <v>2</v>
      </c>
      <c r="N104" s="423">
        <v>2.4</v>
      </c>
      <c r="O104" s="424">
        <v>2.6</v>
      </c>
      <c r="P104" s="424">
        <v>3.6</v>
      </c>
      <c r="Q104" s="424">
        <v>3.9</v>
      </c>
      <c r="R104" s="85">
        <v>4</v>
      </c>
      <c r="S104" s="85">
        <v>4</v>
      </c>
      <c r="T104" s="85">
        <v>4.2</v>
      </c>
      <c r="U104" s="85">
        <v>4.2</v>
      </c>
      <c r="V104" s="86">
        <v>4.4000000000000004</v>
      </c>
      <c r="W104" s="80">
        <v>4.4000000000000004</v>
      </c>
      <c r="X104" s="69">
        <v>4.4000000000000004</v>
      </c>
      <c r="Y104" s="69">
        <v>0</v>
      </c>
      <c r="Z104" s="69">
        <v>0</v>
      </c>
      <c r="AB104" s="421"/>
    </row>
    <row r="105" spans="1:28" s="49" customFormat="1">
      <c r="A105" s="45"/>
      <c r="B105" s="46"/>
      <c r="C105" s="48"/>
      <c r="D105" s="83"/>
      <c r="E105" s="83"/>
      <c r="F105" s="83"/>
      <c r="G105" s="83"/>
      <c r="H105" s="83"/>
      <c r="I105" s="83"/>
      <c r="J105" s="83"/>
      <c r="K105" s="83"/>
      <c r="L105" s="48"/>
      <c r="M105" s="48"/>
      <c r="N105" s="48"/>
      <c r="O105" s="48"/>
      <c r="P105" s="48"/>
      <c r="Q105" s="48"/>
      <c r="R105" s="48"/>
      <c r="S105" s="48"/>
      <c r="T105" s="48"/>
      <c r="U105" s="48"/>
      <c r="V105" s="48"/>
      <c r="W105" s="48"/>
      <c r="X105" s="48"/>
      <c r="Y105" s="48"/>
      <c r="Z105" s="48"/>
      <c r="AB105" s="421"/>
    </row>
    <row r="106" spans="1:28" ht="15.75" thickBot="1">
      <c r="A106" s="41" t="s">
        <v>181</v>
      </c>
      <c r="B106" s="42" t="s">
        <v>204</v>
      </c>
      <c r="C106" s="50">
        <v>0</v>
      </c>
      <c r="D106" s="73">
        <v>0.33333333333333331</v>
      </c>
      <c r="E106" s="73">
        <v>0.66666666666666663</v>
      </c>
      <c r="F106" s="73">
        <v>1</v>
      </c>
      <c r="G106" s="73">
        <v>1.3333333333333333</v>
      </c>
      <c r="H106" s="73">
        <v>1.6666666666666665</v>
      </c>
      <c r="I106" s="74">
        <v>2</v>
      </c>
      <c r="J106" s="73">
        <v>2.3333333333333335</v>
      </c>
      <c r="K106" s="73">
        <v>2.666666666666667</v>
      </c>
      <c r="L106" s="51">
        <v>3.0000000000000004</v>
      </c>
      <c r="M106" s="51">
        <v>3.3333333333333339</v>
      </c>
      <c r="N106" s="50">
        <v>4</v>
      </c>
      <c r="O106" s="51">
        <v>4.5</v>
      </c>
      <c r="P106" s="51">
        <v>5</v>
      </c>
      <c r="Q106" s="51">
        <v>5.5</v>
      </c>
      <c r="R106" s="50">
        <v>6</v>
      </c>
      <c r="S106" s="51">
        <v>6.333333333333333</v>
      </c>
      <c r="T106" s="51">
        <v>6.6666666666666661</v>
      </c>
      <c r="U106" s="51">
        <v>6.9999999999999991</v>
      </c>
      <c r="V106" s="51">
        <v>7.3333333333333321</v>
      </c>
      <c r="W106" s="51">
        <v>11</v>
      </c>
      <c r="X106" s="51">
        <v>12</v>
      </c>
      <c r="Y106" s="50">
        <v>12</v>
      </c>
      <c r="Z106" s="51">
        <v>12</v>
      </c>
      <c r="AA106" s="38">
        <v>20</v>
      </c>
      <c r="AB106" s="420">
        <v>0.8</v>
      </c>
    </row>
    <row r="107" spans="1:28" s="49" customFormat="1" ht="15.75" thickBot="1">
      <c r="A107" s="45"/>
      <c r="B107" s="46" t="s">
        <v>205</v>
      </c>
      <c r="C107" s="71">
        <v>0</v>
      </c>
      <c r="D107" s="76">
        <v>0</v>
      </c>
      <c r="E107" s="77">
        <v>0</v>
      </c>
      <c r="F107" s="77">
        <v>0</v>
      </c>
      <c r="G107" s="77">
        <v>0</v>
      </c>
      <c r="H107" s="77">
        <v>0</v>
      </c>
      <c r="I107" s="77">
        <v>0</v>
      </c>
      <c r="J107" s="77">
        <v>0</v>
      </c>
      <c r="K107" s="77">
        <v>0</v>
      </c>
      <c r="L107" s="77">
        <v>1</v>
      </c>
      <c r="M107" s="77">
        <v>1</v>
      </c>
      <c r="N107" s="425">
        <v>5</v>
      </c>
      <c r="O107" s="426">
        <v>8</v>
      </c>
      <c r="P107" s="426">
        <v>11</v>
      </c>
      <c r="Q107" s="426">
        <v>13</v>
      </c>
      <c r="R107" s="77">
        <v>9</v>
      </c>
      <c r="S107" s="77">
        <v>9</v>
      </c>
      <c r="T107" s="77">
        <v>11</v>
      </c>
      <c r="U107" s="77">
        <v>11</v>
      </c>
      <c r="V107" s="78">
        <v>12</v>
      </c>
      <c r="W107" s="72">
        <v>13</v>
      </c>
      <c r="X107" s="70">
        <v>13</v>
      </c>
      <c r="Y107" s="70">
        <v>0</v>
      </c>
      <c r="Z107" s="70">
        <v>0</v>
      </c>
      <c r="AB107" s="421"/>
    </row>
    <row r="108" spans="1:28" s="49" customFormat="1">
      <c r="A108" s="45"/>
      <c r="B108" s="46"/>
      <c r="C108" s="53"/>
      <c r="D108" s="75"/>
      <c r="E108" s="75"/>
      <c r="F108" s="75"/>
      <c r="G108" s="75"/>
      <c r="H108" s="75"/>
      <c r="I108" s="75"/>
      <c r="J108" s="75"/>
      <c r="K108" s="75"/>
      <c r="L108" s="53"/>
      <c r="M108" s="53"/>
      <c r="N108" s="53"/>
      <c r="O108" s="53"/>
      <c r="P108" s="53"/>
      <c r="Q108" s="53"/>
      <c r="R108" s="53"/>
      <c r="S108" s="53"/>
      <c r="T108" s="53"/>
      <c r="U108" s="53"/>
      <c r="V108" s="53"/>
      <c r="W108" s="53"/>
      <c r="X108" s="53"/>
      <c r="Y108" s="53"/>
      <c r="Z108" s="53"/>
      <c r="AB108" s="421"/>
    </row>
    <row r="109" spans="1:28" ht="15.75" thickBot="1">
      <c r="A109" s="41" t="s">
        <v>182</v>
      </c>
      <c r="B109" s="42" t="s">
        <v>206</v>
      </c>
      <c r="C109" s="50">
        <v>0</v>
      </c>
      <c r="D109" s="73">
        <v>0.16666666666666666</v>
      </c>
      <c r="E109" s="73">
        <v>0.33333333333333331</v>
      </c>
      <c r="F109" s="73">
        <v>0.5</v>
      </c>
      <c r="G109" s="73">
        <v>0.66666666666666663</v>
      </c>
      <c r="H109" s="73">
        <v>0.83333333333333326</v>
      </c>
      <c r="I109" s="74">
        <v>1</v>
      </c>
      <c r="J109" s="73">
        <v>1</v>
      </c>
      <c r="K109" s="73">
        <v>1</v>
      </c>
      <c r="L109" s="51">
        <v>1</v>
      </c>
      <c r="M109" s="51">
        <v>1</v>
      </c>
      <c r="N109" s="50">
        <v>1</v>
      </c>
      <c r="O109" s="51">
        <v>1.5</v>
      </c>
      <c r="P109" s="51">
        <v>2</v>
      </c>
      <c r="Q109" s="51">
        <v>2.5</v>
      </c>
      <c r="R109" s="50">
        <v>3</v>
      </c>
      <c r="S109" s="51">
        <v>3.1666666666666665</v>
      </c>
      <c r="T109" s="51">
        <v>3.333333333333333</v>
      </c>
      <c r="U109" s="51">
        <v>3.4999999999999996</v>
      </c>
      <c r="V109" s="51">
        <v>3.6666666666666661</v>
      </c>
      <c r="W109" s="51">
        <v>5.5</v>
      </c>
      <c r="X109" s="51">
        <v>6</v>
      </c>
      <c r="Y109" s="50">
        <v>6</v>
      </c>
      <c r="Z109" s="51">
        <v>6</v>
      </c>
      <c r="AA109" s="38">
        <v>10</v>
      </c>
      <c r="AB109" s="420">
        <v>0.4</v>
      </c>
    </row>
    <row r="110" spans="1:28" s="49" customFormat="1" ht="15.75" thickBot="1">
      <c r="A110" s="45"/>
      <c r="B110" s="46" t="s">
        <v>207</v>
      </c>
      <c r="C110" s="71">
        <v>0</v>
      </c>
      <c r="D110" s="76">
        <v>0</v>
      </c>
      <c r="E110" s="77">
        <v>0</v>
      </c>
      <c r="F110" s="77">
        <v>0</v>
      </c>
      <c r="G110" s="77">
        <v>0</v>
      </c>
      <c r="H110" s="77">
        <v>0</v>
      </c>
      <c r="I110" s="77">
        <v>0</v>
      </c>
      <c r="J110" s="77">
        <v>0</v>
      </c>
      <c r="K110" s="77">
        <v>0</v>
      </c>
      <c r="L110" s="77">
        <v>1</v>
      </c>
      <c r="M110" s="77">
        <v>1</v>
      </c>
      <c r="N110" s="425">
        <v>3</v>
      </c>
      <c r="O110" s="426">
        <v>4</v>
      </c>
      <c r="P110" s="426">
        <v>4</v>
      </c>
      <c r="Q110" s="426">
        <v>5</v>
      </c>
      <c r="R110" s="77">
        <v>4</v>
      </c>
      <c r="S110" s="77">
        <v>5</v>
      </c>
      <c r="T110" s="77">
        <v>6</v>
      </c>
      <c r="U110" s="77">
        <v>6</v>
      </c>
      <c r="V110" s="78">
        <v>6</v>
      </c>
      <c r="W110" s="72">
        <v>6</v>
      </c>
      <c r="X110" s="70">
        <v>6</v>
      </c>
      <c r="Y110" s="70">
        <v>0</v>
      </c>
      <c r="Z110" s="70">
        <v>0</v>
      </c>
      <c r="AB110" s="421"/>
    </row>
    <row r="111" spans="1:28" s="49" customFormat="1">
      <c r="A111" s="45"/>
      <c r="B111" s="46"/>
      <c r="C111" s="53"/>
      <c r="D111" s="75"/>
      <c r="E111" s="75"/>
      <c r="F111" s="75"/>
      <c r="G111" s="75"/>
      <c r="H111" s="75"/>
      <c r="I111" s="75"/>
      <c r="J111" s="75"/>
      <c r="K111" s="75"/>
      <c r="L111" s="53"/>
      <c r="M111" s="53"/>
      <c r="N111" s="53"/>
      <c r="O111" s="53"/>
      <c r="P111" s="53"/>
      <c r="Q111" s="53"/>
      <c r="R111" s="53"/>
      <c r="S111" s="53"/>
      <c r="T111" s="53"/>
      <c r="U111" s="53"/>
      <c r="V111" s="53"/>
      <c r="W111" s="53"/>
      <c r="X111" s="53"/>
      <c r="Y111" s="53"/>
      <c r="Z111" s="53"/>
      <c r="AB111" s="421"/>
    </row>
    <row r="112" spans="1:28" ht="15.75" thickBot="1">
      <c r="A112" s="41" t="s">
        <v>695</v>
      </c>
      <c r="B112" s="42" t="s">
        <v>816</v>
      </c>
      <c r="C112" s="50">
        <v>0</v>
      </c>
      <c r="D112" s="73">
        <v>0</v>
      </c>
      <c r="E112" s="73">
        <v>0</v>
      </c>
      <c r="F112" s="73">
        <v>0</v>
      </c>
      <c r="G112" s="73">
        <v>0</v>
      </c>
      <c r="H112" s="73">
        <v>0</v>
      </c>
      <c r="I112" s="74">
        <v>0</v>
      </c>
      <c r="J112" s="73">
        <v>0</v>
      </c>
      <c r="K112" s="73">
        <v>0</v>
      </c>
      <c r="L112" s="51">
        <v>0</v>
      </c>
      <c r="M112" s="51">
        <v>0</v>
      </c>
      <c r="N112" s="50">
        <v>0</v>
      </c>
      <c r="O112" s="51">
        <v>2.75</v>
      </c>
      <c r="P112" s="51">
        <v>5.5</v>
      </c>
      <c r="Q112" s="51">
        <v>8.25</v>
      </c>
      <c r="R112" s="50">
        <v>11</v>
      </c>
      <c r="S112" s="51">
        <v>13.333333333333334</v>
      </c>
      <c r="T112" s="51">
        <v>15.666666666666668</v>
      </c>
      <c r="U112" s="51">
        <v>18</v>
      </c>
      <c r="V112" s="51">
        <v>20.333333333333332</v>
      </c>
      <c r="W112" s="51">
        <v>22.666666666666664</v>
      </c>
      <c r="X112" s="51">
        <v>24.999999999999996</v>
      </c>
      <c r="Y112" s="50">
        <v>25</v>
      </c>
      <c r="Z112" s="51">
        <v>25</v>
      </c>
      <c r="AA112" s="38">
        <v>20</v>
      </c>
      <c r="AB112" s="420">
        <v>0.8</v>
      </c>
    </row>
    <row r="113" spans="1:28" s="49" customFormat="1" ht="15.75" thickBot="1">
      <c r="A113" s="45"/>
      <c r="B113" s="46" t="s">
        <v>817</v>
      </c>
      <c r="C113" s="71">
        <v>0</v>
      </c>
      <c r="D113" s="76">
        <v>1</v>
      </c>
      <c r="E113" s="77">
        <v>3</v>
      </c>
      <c r="F113" s="77">
        <v>2</v>
      </c>
      <c r="G113" s="77">
        <v>2</v>
      </c>
      <c r="H113" s="77">
        <v>1</v>
      </c>
      <c r="I113" s="77">
        <v>1</v>
      </c>
      <c r="J113" s="77">
        <v>1</v>
      </c>
      <c r="K113" s="77">
        <v>1</v>
      </c>
      <c r="L113" s="77">
        <v>10</v>
      </c>
      <c r="M113" s="77">
        <v>7</v>
      </c>
      <c r="N113" s="425">
        <v>10</v>
      </c>
      <c r="O113" s="426">
        <v>14</v>
      </c>
      <c r="P113" s="426">
        <v>15</v>
      </c>
      <c r="Q113" s="426">
        <v>16</v>
      </c>
      <c r="R113" s="77">
        <v>18</v>
      </c>
      <c r="S113" s="77">
        <v>19</v>
      </c>
      <c r="T113" s="77">
        <v>22</v>
      </c>
      <c r="U113" s="77">
        <v>22</v>
      </c>
      <c r="V113" s="78">
        <v>24</v>
      </c>
      <c r="W113" s="72">
        <v>24</v>
      </c>
      <c r="X113" s="70">
        <v>26</v>
      </c>
      <c r="Y113" s="70">
        <v>0</v>
      </c>
      <c r="Z113" s="70">
        <v>0</v>
      </c>
      <c r="AA113" s="429"/>
      <c r="AB113" s="430"/>
    </row>
    <row r="114" spans="1:28" s="49" customFormat="1">
      <c r="A114" s="45"/>
      <c r="B114" s="46"/>
      <c r="C114" s="53"/>
      <c r="D114" s="75"/>
      <c r="E114" s="75"/>
      <c r="F114" s="75"/>
      <c r="G114" s="75"/>
      <c r="H114" s="75"/>
      <c r="I114" s="75"/>
      <c r="J114" s="75"/>
      <c r="K114" s="75"/>
      <c r="L114" s="53"/>
      <c r="M114" s="53"/>
      <c r="N114" s="53"/>
      <c r="O114" s="53"/>
      <c r="P114" s="53"/>
      <c r="Q114" s="53"/>
      <c r="R114" s="53"/>
      <c r="S114" s="53"/>
      <c r="T114" s="53"/>
      <c r="U114" s="53"/>
      <c r="V114" s="53"/>
      <c r="W114" s="53"/>
      <c r="X114" s="53"/>
      <c r="Y114" s="53"/>
      <c r="Z114" s="53"/>
      <c r="AA114" s="429"/>
      <c r="AB114" s="430"/>
    </row>
    <row r="115" spans="1:28" ht="15.75" thickBot="1">
      <c r="A115" s="41" t="s">
        <v>696</v>
      </c>
      <c r="B115" s="42" t="s">
        <v>818</v>
      </c>
      <c r="C115" s="52"/>
      <c r="D115" s="52"/>
      <c r="E115" s="52"/>
      <c r="F115" s="52"/>
      <c r="G115" s="52"/>
      <c r="H115" s="52"/>
      <c r="I115" s="52"/>
      <c r="J115" s="52"/>
      <c r="K115" s="52"/>
      <c r="L115" s="52"/>
      <c r="M115" s="52"/>
      <c r="N115" s="52"/>
      <c r="O115" s="52"/>
      <c r="P115" s="52"/>
      <c r="Q115" s="52"/>
      <c r="R115" s="50">
        <v>5</v>
      </c>
      <c r="S115" s="51">
        <v>5.833333333333333</v>
      </c>
      <c r="T115" s="51">
        <v>6.6666666666666661</v>
      </c>
      <c r="U115" s="51">
        <v>7.4999999999999991</v>
      </c>
      <c r="V115" s="51">
        <v>8.3333333333333321</v>
      </c>
      <c r="W115" s="51">
        <v>9.1666666666666661</v>
      </c>
      <c r="X115" s="51">
        <v>10</v>
      </c>
      <c r="Y115" s="50">
        <v>10</v>
      </c>
      <c r="Z115" s="51">
        <v>10</v>
      </c>
      <c r="AA115" s="38">
        <v>20</v>
      </c>
      <c r="AB115" s="420">
        <v>0.8</v>
      </c>
    </row>
    <row r="116" spans="1:28" s="49" customFormat="1" ht="15.75" thickBot="1">
      <c r="A116" s="45"/>
      <c r="B116" s="46" t="s">
        <v>819</v>
      </c>
      <c r="C116" s="52"/>
      <c r="D116" s="52"/>
      <c r="E116" s="52"/>
      <c r="F116" s="52"/>
      <c r="G116" s="52"/>
      <c r="H116" s="52"/>
      <c r="I116" s="52"/>
      <c r="J116" s="52"/>
      <c r="K116" s="52"/>
      <c r="L116" s="52"/>
      <c r="M116" s="52"/>
      <c r="N116" s="52"/>
      <c r="O116" s="52"/>
      <c r="P116" s="52"/>
      <c r="Q116" s="52"/>
      <c r="R116" s="52">
        <v>5</v>
      </c>
      <c r="S116" s="77">
        <v>5</v>
      </c>
      <c r="T116" s="77">
        <v>6</v>
      </c>
      <c r="U116" s="77">
        <v>6</v>
      </c>
      <c r="V116" s="78">
        <v>10</v>
      </c>
      <c r="W116" s="72">
        <v>13</v>
      </c>
      <c r="X116" s="70">
        <v>14</v>
      </c>
      <c r="Y116" s="70">
        <v>0</v>
      </c>
      <c r="Z116" s="70">
        <v>0</v>
      </c>
      <c r="AB116" s="421"/>
    </row>
    <row r="117" spans="1:28" s="49" customFormat="1">
      <c r="A117" s="45"/>
      <c r="B117" s="46"/>
      <c r="C117" s="53"/>
      <c r="D117" s="75"/>
      <c r="E117" s="75"/>
      <c r="F117" s="75"/>
      <c r="G117" s="75"/>
      <c r="H117" s="75"/>
      <c r="I117" s="75"/>
      <c r="J117" s="75"/>
      <c r="K117" s="75"/>
      <c r="L117" s="53"/>
      <c r="M117" s="53"/>
      <c r="N117" s="53"/>
      <c r="O117" s="53"/>
      <c r="P117" s="53"/>
      <c r="Q117" s="53"/>
      <c r="R117" s="53"/>
      <c r="S117" s="53"/>
      <c r="T117" s="53"/>
      <c r="U117" s="53"/>
      <c r="V117" s="53"/>
      <c r="W117" s="53"/>
      <c r="X117" s="53"/>
      <c r="Y117" s="53"/>
      <c r="Z117" s="53"/>
      <c r="AB117" s="421"/>
    </row>
    <row r="118" spans="1:28" ht="15.75" thickBot="1">
      <c r="A118" s="41" t="s">
        <v>697</v>
      </c>
      <c r="B118" s="42" t="s">
        <v>820</v>
      </c>
      <c r="C118" s="52"/>
      <c r="D118" s="52"/>
      <c r="E118" s="52"/>
      <c r="F118" s="52"/>
      <c r="G118" s="52"/>
      <c r="H118" s="52"/>
      <c r="I118" s="52"/>
      <c r="J118" s="52"/>
      <c r="K118" s="52"/>
      <c r="L118" s="52"/>
      <c r="M118" s="52"/>
      <c r="N118" s="52"/>
      <c r="O118" s="52"/>
      <c r="P118" s="52"/>
      <c r="Q118" s="52"/>
      <c r="R118" s="50">
        <v>5</v>
      </c>
      <c r="S118" s="51">
        <v>5.833333333333333</v>
      </c>
      <c r="T118" s="51">
        <v>6.6666666666666661</v>
      </c>
      <c r="U118" s="51">
        <v>7.4999999999999991</v>
      </c>
      <c r="V118" s="51">
        <v>8.3333333333333321</v>
      </c>
      <c r="W118" s="51">
        <v>7.5</v>
      </c>
      <c r="X118" s="51">
        <v>8</v>
      </c>
      <c r="Y118" s="50">
        <v>8</v>
      </c>
      <c r="Z118" s="51">
        <v>8</v>
      </c>
      <c r="AA118" s="38">
        <v>10</v>
      </c>
      <c r="AB118" s="420">
        <v>0.4</v>
      </c>
    </row>
    <row r="119" spans="1:28" s="49" customFormat="1" ht="15.75" thickBot="1">
      <c r="A119" s="45"/>
      <c r="B119" s="46" t="s">
        <v>821</v>
      </c>
      <c r="C119" s="52"/>
      <c r="D119" s="52"/>
      <c r="E119" s="52"/>
      <c r="F119" s="52"/>
      <c r="G119" s="52"/>
      <c r="H119" s="52"/>
      <c r="I119" s="52"/>
      <c r="J119" s="52"/>
      <c r="K119" s="52"/>
      <c r="L119" s="52"/>
      <c r="M119" s="52"/>
      <c r="N119" s="52"/>
      <c r="O119" s="52"/>
      <c r="P119" s="52"/>
      <c r="Q119" s="52"/>
      <c r="R119" s="52">
        <v>5</v>
      </c>
      <c r="S119" s="77">
        <v>5</v>
      </c>
      <c r="T119" s="77">
        <v>6</v>
      </c>
      <c r="U119" s="77">
        <v>6</v>
      </c>
      <c r="V119" s="78">
        <v>8</v>
      </c>
      <c r="W119" s="72">
        <v>13</v>
      </c>
      <c r="X119" s="70">
        <v>14</v>
      </c>
      <c r="Y119" s="70">
        <v>0</v>
      </c>
      <c r="Z119" s="70">
        <v>0</v>
      </c>
      <c r="AB119" s="421"/>
    </row>
    <row r="120" spans="1:28" s="49" customFormat="1">
      <c r="A120" s="45"/>
      <c r="B120" s="46"/>
      <c r="C120" s="53"/>
      <c r="D120" s="75"/>
      <c r="E120" s="75"/>
      <c r="F120" s="75"/>
      <c r="G120" s="75"/>
      <c r="H120" s="75"/>
      <c r="I120" s="75"/>
      <c r="J120" s="75"/>
      <c r="K120" s="75"/>
      <c r="L120" s="53"/>
      <c r="M120" s="53"/>
      <c r="N120" s="53"/>
      <c r="O120" s="53"/>
      <c r="P120" s="53"/>
      <c r="Q120" s="53"/>
      <c r="R120" s="53"/>
      <c r="S120" s="53"/>
      <c r="T120" s="53"/>
      <c r="U120" s="53"/>
      <c r="V120" s="53"/>
      <c r="W120" s="53"/>
      <c r="X120" s="53"/>
      <c r="Y120" s="53"/>
      <c r="Z120" s="53"/>
      <c r="AB120" s="421"/>
    </row>
    <row r="121" spans="1:28" ht="15.75" thickBot="1">
      <c r="A121" s="41" t="s">
        <v>698</v>
      </c>
      <c r="B121" s="42" t="s">
        <v>822</v>
      </c>
      <c r="C121" s="52"/>
      <c r="D121" s="52"/>
      <c r="E121" s="52"/>
      <c r="F121" s="52"/>
      <c r="G121" s="52"/>
      <c r="H121" s="52"/>
      <c r="I121" s="52"/>
      <c r="J121" s="52"/>
      <c r="K121" s="52"/>
      <c r="L121" s="52"/>
      <c r="M121" s="52"/>
      <c r="N121" s="52"/>
      <c r="O121" s="52"/>
      <c r="P121" s="52"/>
      <c r="Q121" s="52"/>
      <c r="R121" s="50">
        <v>7</v>
      </c>
      <c r="S121" s="51">
        <v>6.666666666666667</v>
      </c>
      <c r="T121" s="51">
        <v>6.3333333333333339</v>
      </c>
      <c r="U121" s="51">
        <v>6.0000000000000009</v>
      </c>
      <c r="V121" s="51">
        <v>5.6666666666666679</v>
      </c>
      <c r="W121" s="51">
        <v>7.8333333333333348</v>
      </c>
      <c r="X121" s="51">
        <v>8.0000000000000018</v>
      </c>
      <c r="Y121" s="50">
        <v>8</v>
      </c>
      <c r="Z121" s="51">
        <v>8</v>
      </c>
      <c r="AA121" s="38">
        <v>10</v>
      </c>
      <c r="AB121" s="420">
        <v>0.4</v>
      </c>
    </row>
    <row r="122" spans="1:28" s="49" customFormat="1" ht="15.75" thickBot="1">
      <c r="A122" s="45"/>
      <c r="B122" s="46" t="s">
        <v>823</v>
      </c>
      <c r="C122" s="52"/>
      <c r="D122" s="52"/>
      <c r="E122" s="52"/>
      <c r="F122" s="52"/>
      <c r="G122" s="52"/>
      <c r="H122" s="52"/>
      <c r="I122" s="52"/>
      <c r="J122" s="52"/>
      <c r="K122" s="52"/>
      <c r="L122" s="52"/>
      <c r="M122" s="52"/>
      <c r="N122" s="52"/>
      <c r="O122" s="52"/>
      <c r="P122" s="52"/>
      <c r="Q122" s="52"/>
      <c r="R122" s="52">
        <v>7</v>
      </c>
      <c r="S122" s="77">
        <v>7</v>
      </c>
      <c r="T122" s="77">
        <v>8</v>
      </c>
      <c r="U122" s="77">
        <v>8</v>
      </c>
      <c r="V122" s="78">
        <v>13</v>
      </c>
      <c r="W122" s="72">
        <v>13</v>
      </c>
      <c r="X122" s="70">
        <v>14</v>
      </c>
      <c r="Y122" s="70">
        <v>0</v>
      </c>
      <c r="Z122" s="70">
        <v>0</v>
      </c>
      <c r="AB122" s="421"/>
    </row>
    <row r="123" spans="1:28" s="49" customFormat="1">
      <c r="A123" s="45"/>
      <c r="B123" s="46"/>
      <c r="C123" s="53"/>
      <c r="D123" s="75"/>
      <c r="E123" s="75"/>
      <c r="F123" s="75"/>
      <c r="G123" s="75"/>
      <c r="H123" s="75"/>
      <c r="I123" s="75"/>
      <c r="J123" s="75"/>
      <c r="K123" s="75"/>
      <c r="L123" s="53"/>
      <c r="M123" s="53"/>
      <c r="N123" s="53"/>
      <c r="O123" s="53"/>
      <c r="P123" s="53"/>
      <c r="Q123" s="53"/>
      <c r="R123" s="53"/>
      <c r="S123" s="53"/>
      <c r="T123" s="53"/>
      <c r="U123" s="53"/>
      <c r="V123" s="53"/>
      <c r="W123" s="53"/>
      <c r="X123" s="53"/>
      <c r="Y123" s="53"/>
      <c r="Z123" s="53"/>
      <c r="AB123" s="421"/>
    </row>
    <row r="124" spans="1:28" ht="15.75" thickBot="1">
      <c r="A124" s="41" t="s">
        <v>699</v>
      </c>
      <c r="B124" s="42" t="s">
        <v>202</v>
      </c>
      <c r="C124" s="50">
        <v>0</v>
      </c>
      <c r="D124" s="73">
        <v>0.16666666666666666</v>
      </c>
      <c r="E124" s="73">
        <v>0.33333333333333331</v>
      </c>
      <c r="F124" s="73">
        <v>0.5</v>
      </c>
      <c r="G124" s="73">
        <v>0.66666666666666663</v>
      </c>
      <c r="H124" s="73">
        <v>0.83333333333333326</v>
      </c>
      <c r="I124" s="74">
        <v>1</v>
      </c>
      <c r="J124" s="73">
        <v>1.5</v>
      </c>
      <c r="K124" s="73">
        <v>2</v>
      </c>
      <c r="L124" s="51">
        <v>2.5</v>
      </c>
      <c r="M124" s="51">
        <v>3</v>
      </c>
      <c r="N124" s="50">
        <v>4</v>
      </c>
      <c r="O124" s="51">
        <v>3.5</v>
      </c>
      <c r="P124" s="51">
        <v>3</v>
      </c>
      <c r="Q124" s="51">
        <v>2.5</v>
      </c>
      <c r="R124" s="50">
        <v>2</v>
      </c>
      <c r="S124" s="51">
        <v>3.333333333333333</v>
      </c>
      <c r="T124" s="51">
        <v>4.6666666666666661</v>
      </c>
      <c r="U124" s="51">
        <v>5.9999999999999991</v>
      </c>
      <c r="V124" s="51">
        <v>7.3333333333333321</v>
      </c>
      <c r="W124" s="51">
        <v>7</v>
      </c>
      <c r="X124" s="51">
        <v>8</v>
      </c>
      <c r="Y124" s="50">
        <v>8</v>
      </c>
      <c r="Z124" s="51">
        <v>8</v>
      </c>
      <c r="AA124" s="38">
        <v>10</v>
      </c>
      <c r="AB124" s="420">
        <v>0.4</v>
      </c>
    </row>
    <row r="125" spans="1:28" s="49" customFormat="1" ht="15.75" thickBot="1">
      <c r="A125" s="45"/>
      <c r="B125" s="46" t="s">
        <v>203</v>
      </c>
      <c r="C125" s="71">
        <v>0</v>
      </c>
      <c r="D125" s="76">
        <v>0</v>
      </c>
      <c r="E125" s="77">
        <v>0</v>
      </c>
      <c r="F125" s="77">
        <v>0</v>
      </c>
      <c r="G125" s="77">
        <v>0</v>
      </c>
      <c r="H125" s="77">
        <v>0</v>
      </c>
      <c r="I125" s="77">
        <v>0</v>
      </c>
      <c r="J125" s="77">
        <v>0</v>
      </c>
      <c r="K125" s="77">
        <v>5</v>
      </c>
      <c r="L125" s="77">
        <v>3</v>
      </c>
      <c r="M125" s="77">
        <v>0</v>
      </c>
      <c r="N125" s="77">
        <v>0</v>
      </c>
      <c r="O125" s="77">
        <v>1</v>
      </c>
      <c r="P125" s="77">
        <v>2</v>
      </c>
      <c r="Q125" s="77">
        <v>3</v>
      </c>
      <c r="R125" s="77">
        <v>4</v>
      </c>
      <c r="S125" s="77">
        <v>4</v>
      </c>
      <c r="T125" s="77">
        <v>6</v>
      </c>
      <c r="U125" s="77">
        <v>6</v>
      </c>
      <c r="V125" s="78">
        <v>8</v>
      </c>
      <c r="W125" s="72">
        <v>9</v>
      </c>
      <c r="X125" s="70">
        <v>12</v>
      </c>
      <c r="Y125" s="70">
        <v>0</v>
      </c>
      <c r="Z125" s="70">
        <v>0</v>
      </c>
      <c r="AB125" s="421"/>
    </row>
    <row r="126" spans="1:28">
      <c r="B126" s="46"/>
      <c r="AB126" s="420"/>
    </row>
    <row r="127" spans="1:28" ht="15.75" thickBot="1">
      <c r="A127" s="41" t="s">
        <v>700</v>
      </c>
      <c r="B127" s="42" t="s">
        <v>213</v>
      </c>
      <c r="C127" s="52"/>
      <c r="D127" s="52"/>
      <c r="E127" s="52"/>
      <c r="F127" s="52"/>
      <c r="G127" s="52"/>
      <c r="H127" s="52"/>
      <c r="I127" s="52"/>
      <c r="J127" s="52"/>
      <c r="K127" s="52"/>
      <c r="L127" s="52"/>
      <c r="M127" s="52"/>
      <c r="N127" s="52"/>
      <c r="O127" s="52"/>
      <c r="P127" s="52"/>
      <c r="Q127" s="52"/>
      <c r="R127" s="50">
        <v>2</v>
      </c>
      <c r="S127" s="51">
        <v>2.6666666666666665</v>
      </c>
      <c r="T127" s="51">
        <v>3.333333333333333</v>
      </c>
      <c r="U127" s="51">
        <v>3.9999999999999996</v>
      </c>
      <c r="V127" s="51">
        <v>4.6666666666666661</v>
      </c>
      <c r="W127" s="51">
        <v>5.333333333333333</v>
      </c>
      <c r="X127" s="51">
        <v>6</v>
      </c>
      <c r="Y127" s="50">
        <v>6</v>
      </c>
      <c r="Z127" s="51">
        <v>6</v>
      </c>
      <c r="AA127" s="38">
        <v>10</v>
      </c>
      <c r="AB127" s="420">
        <v>0.4</v>
      </c>
    </row>
    <row r="128" spans="1:28" s="49" customFormat="1" ht="15.75" thickBot="1">
      <c r="A128" s="45"/>
      <c r="B128" s="46" t="s">
        <v>212</v>
      </c>
      <c r="C128" s="52"/>
      <c r="D128" s="52"/>
      <c r="E128" s="52"/>
      <c r="F128" s="52"/>
      <c r="G128" s="52"/>
      <c r="H128" s="52"/>
      <c r="I128" s="52"/>
      <c r="J128" s="52"/>
      <c r="K128" s="52"/>
      <c r="L128" s="52"/>
      <c r="M128" s="52"/>
      <c r="N128" s="52"/>
      <c r="O128" s="52"/>
      <c r="P128" s="52"/>
      <c r="Q128" s="52"/>
      <c r="R128" s="52">
        <v>2</v>
      </c>
      <c r="S128" s="77">
        <v>2</v>
      </c>
      <c r="T128" s="77">
        <v>3</v>
      </c>
      <c r="U128" s="77">
        <v>3</v>
      </c>
      <c r="V128" s="78">
        <v>6</v>
      </c>
      <c r="W128" s="72">
        <v>7</v>
      </c>
      <c r="X128" s="70">
        <v>10</v>
      </c>
      <c r="Y128" s="70">
        <v>0</v>
      </c>
      <c r="Z128" s="70">
        <v>0</v>
      </c>
      <c r="AB128" s="421"/>
    </row>
    <row r="129" spans="1:28" s="49" customFormat="1">
      <c r="A129" s="45"/>
      <c r="B129" s="46"/>
      <c r="C129" s="53"/>
      <c r="D129" s="75"/>
      <c r="E129" s="75"/>
      <c r="F129" s="75"/>
      <c r="G129" s="75"/>
      <c r="H129" s="75"/>
      <c r="I129" s="75"/>
      <c r="J129" s="75"/>
      <c r="K129" s="75"/>
      <c r="L129" s="53"/>
      <c r="M129" s="53"/>
      <c r="N129" s="53"/>
      <c r="O129" s="53"/>
      <c r="P129" s="53"/>
      <c r="Q129" s="53"/>
      <c r="R129" s="53"/>
      <c r="S129" s="53"/>
      <c r="T129" s="53"/>
      <c r="U129" s="53"/>
      <c r="V129" s="53"/>
      <c r="W129" s="53"/>
      <c r="X129" s="53"/>
      <c r="Y129" s="53"/>
      <c r="Z129" s="53"/>
      <c r="AB129" s="421"/>
    </row>
    <row r="130" spans="1:28" ht="15.75" thickBot="1">
      <c r="A130" s="41" t="s">
        <v>701</v>
      </c>
      <c r="B130" s="42" t="s">
        <v>211</v>
      </c>
      <c r="C130" s="52"/>
      <c r="D130" s="52"/>
      <c r="E130" s="52"/>
      <c r="F130" s="52"/>
      <c r="G130" s="52"/>
      <c r="H130" s="52"/>
      <c r="I130" s="52"/>
      <c r="J130" s="52"/>
      <c r="K130" s="52"/>
      <c r="L130" s="52"/>
      <c r="M130" s="52"/>
      <c r="N130" s="52"/>
      <c r="O130" s="52"/>
      <c r="P130" s="52"/>
      <c r="Q130" s="52"/>
      <c r="R130" s="50">
        <v>1</v>
      </c>
      <c r="S130" s="51">
        <v>1.5</v>
      </c>
      <c r="T130" s="51">
        <v>2</v>
      </c>
      <c r="U130" s="51">
        <v>2.5</v>
      </c>
      <c r="V130" s="51">
        <v>3</v>
      </c>
      <c r="W130" s="51">
        <v>2.6666666666666665</v>
      </c>
      <c r="X130" s="51">
        <v>3</v>
      </c>
      <c r="Y130" s="50">
        <v>3</v>
      </c>
      <c r="Z130" s="51">
        <v>3</v>
      </c>
      <c r="AA130" s="38">
        <v>5</v>
      </c>
      <c r="AB130" s="420">
        <v>0.2</v>
      </c>
    </row>
    <row r="131" spans="1:28" s="49" customFormat="1" ht="15.75" thickBot="1">
      <c r="A131" s="45"/>
      <c r="B131" s="46" t="s">
        <v>210</v>
      </c>
      <c r="C131" s="52"/>
      <c r="D131" s="52"/>
      <c r="E131" s="52"/>
      <c r="F131" s="52"/>
      <c r="G131" s="52"/>
      <c r="H131" s="52"/>
      <c r="I131" s="52"/>
      <c r="J131" s="52"/>
      <c r="K131" s="52"/>
      <c r="L131" s="52"/>
      <c r="M131" s="52"/>
      <c r="N131" s="52"/>
      <c r="O131" s="52"/>
      <c r="P131" s="52"/>
      <c r="Q131" s="52"/>
      <c r="R131" s="52">
        <v>1</v>
      </c>
      <c r="S131" s="77">
        <v>1</v>
      </c>
      <c r="T131" s="77">
        <v>1</v>
      </c>
      <c r="U131" s="77">
        <v>1</v>
      </c>
      <c r="V131" s="78">
        <v>3</v>
      </c>
      <c r="W131" s="72">
        <v>4</v>
      </c>
      <c r="X131" s="70">
        <v>6</v>
      </c>
      <c r="Y131" s="70">
        <v>0</v>
      </c>
      <c r="Z131" s="70">
        <v>0</v>
      </c>
      <c r="AB131" s="421"/>
    </row>
    <row r="132" spans="1:28" s="49" customFormat="1">
      <c r="A132" s="45"/>
      <c r="B132" s="46"/>
      <c r="C132" s="53"/>
      <c r="D132" s="75"/>
      <c r="E132" s="75"/>
      <c r="F132" s="75"/>
      <c r="G132" s="75"/>
      <c r="H132" s="75"/>
      <c r="I132" s="75"/>
      <c r="J132" s="75"/>
      <c r="K132" s="75"/>
      <c r="L132" s="53"/>
      <c r="M132" s="53"/>
      <c r="N132" s="53"/>
      <c r="O132" s="53"/>
      <c r="P132" s="53"/>
      <c r="Q132" s="53"/>
      <c r="R132" s="53"/>
      <c r="S132" s="53"/>
      <c r="T132" s="53"/>
      <c r="U132" s="53"/>
      <c r="V132" s="53"/>
      <c r="W132" s="53"/>
      <c r="X132" s="53"/>
      <c r="Y132" s="53"/>
      <c r="Z132" s="53"/>
      <c r="AB132" s="421"/>
    </row>
    <row r="133" spans="1:28" ht="15.75" thickBot="1">
      <c r="A133" s="41" t="s">
        <v>702</v>
      </c>
      <c r="B133" s="42" t="s">
        <v>209</v>
      </c>
      <c r="C133" s="52"/>
      <c r="D133" s="52"/>
      <c r="E133" s="52"/>
      <c r="F133" s="52"/>
      <c r="G133" s="52"/>
      <c r="H133" s="52"/>
      <c r="I133" s="52"/>
      <c r="J133" s="52"/>
      <c r="K133" s="52"/>
      <c r="L133" s="52"/>
      <c r="M133" s="52"/>
      <c r="N133" s="52"/>
      <c r="O133" s="52"/>
      <c r="P133" s="52"/>
      <c r="Q133" s="52"/>
      <c r="R133" s="50">
        <v>1</v>
      </c>
      <c r="S133" s="51">
        <v>1.1666666666666667</v>
      </c>
      <c r="T133" s="51">
        <v>1.3333333333333335</v>
      </c>
      <c r="U133" s="51">
        <v>1.5000000000000002</v>
      </c>
      <c r="V133" s="51">
        <v>1.666666666666667</v>
      </c>
      <c r="W133" s="51">
        <v>1.8333333333333337</v>
      </c>
      <c r="X133" s="51">
        <v>2.0000000000000004</v>
      </c>
      <c r="Y133" s="50">
        <v>2</v>
      </c>
      <c r="Z133" s="51">
        <v>2</v>
      </c>
      <c r="AA133" s="38">
        <v>5</v>
      </c>
      <c r="AB133" s="420">
        <v>0.2</v>
      </c>
    </row>
    <row r="134" spans="1:28" s="49" customFormat="1" ht="15.75" thickBot="1">
      <c r="A134" s="45"/>
      <c r="B134" s="46" t="s">
        <v>208</v>
      </c>
      <c r="C134" s="52"/>
      <c r="D134" s="52"/>
      <c r="E134" s="52"/>
      <c r="F134" s="52"/>
      <c r="G134" s="52"/>
      <c r="H134" s="52"/>
      <c r="I134" s="52"/>
      <c r="J134" s="52"/>
      <c r="K134" s="52"/>
      <c r="L134" s="52"/>
      <c r="M134" s="52"/>
      <c r="N134" s="52"/>
      <c r="O134" s="52"/>
      <c r="P134" s="52"/>
      <c r="Q134" s="52"/>
      <c r="R134" s="52">
        <v>1</v>
      </c>
      <c r="S134" s="77">
        <v>1</v>
      </c>
      <c r="T134" s="77">
        <v>1</v>
      </c>
      <c r="U134" s="77">
        <v>1</v>
      </c>
      <c r="V134" s="78">
        <v>2</v>
      </c>
      <c r="W134" s="72">
        <v>2</v>
      </c>
      <c r="X134" s="70">
        <v>3</v>
      </c>
      <c r="Y134" s="70">
        <v>0</v>
      </c>
      <c r="Z134" s="70">
        <v>0</v>
      </c>
      <c r="AB134" s="421"/>
    </row>
    <row r="135" spans="1:28" s="49" customFormat="1">
      <c r="A135" s="45"/>
      <c r="B135" s="46"/>
      <c r="C135" s="53"/>
      <c r="D135" s="75"/>
      <c r="E135" s="75"/>
      <c r="F135" s="75"/>
      <c r="G135" s="75"/>
      <c r="H135" s="75"/>
      <c r="I135" s="75"/>
      <c r="J135" s="75"/>
      <c r="K135" s="75"/>
      <c r="L135" s="53"/>
      <c r="M135" s="53"/>
      <c r="N135" s="53"/>
      <c r="O135" s="53"/>
      <c r="P135" s="53"/>
      <c r="Q135" s="53"/>
      <c r="R135" s="53"/>
      <c r="S135" s="53"/>
      <c r="T135" s="53"/>
      <c r="U135" s="53"/>
      <c r="V135" s="53"/>
      <c r="W135" s="53"/>
      <c r="X135" s="53"/>
      <c r="Y135" s="53"/>
      <c r="Z135" s="53"/>
      <c r="AB135" s="421"/>
    </row>
    <row r="136" spans="1:28" ht="15.75" thickBot="1">
      <c r="A136" s="41" t="s">
        <v>703</v>
      </c>
      <c r="B136" s="42" t="s">
        <v>824</v>
      </c>
      <c r="C136" s="52"/>
      <c r="D136" s="52"/>
      <c r="E136" s="52"/>
      <c r="F136" s="52"/>
      <c r="G136" s="52"/>
      <c r="H136" s="52"/>
      <c r="I136" s="52"/>
      <c r="J136" s="52"/>
      <c r="K136" s="52"/>
      <c r="L136" s="52"/>
      <c r="M136" s="52"/>
      <c r="N136" s="52"/>
      <c r="O136" s="52"/>
      <c r="P136" s="52"/>
      <c r="Q136" s="52"/>
      <c r="R136" s="50">
        <v>2</v>
      </c>
      <c r="S136" s="51">
        <v>2.3333333333333335</v>
      </c>
      <c r="T136" s="51">
        <v>2.666666666666667</v>
      </c>
      <c r="U136" s="51">
        <v>3.0000000000000004</v>
      </c>
      <c r="V136" s="51">
        <v>3.3333333333333339</v>
      </c>
      <c r="W136" s="51">
        <v>5.333333333333333</v>
      </c>
      <c r="X136" s="51">
        <v>6</v>
      </c>
      <c r="Y136" s="50">
        <v>6</v>
      </c>
      <c r="Z136" s="51">
        <v>6</v>
      </c>
      <c r="AA136" s="38">
        <v>10</v>
      </c>
      <c r="AB136" s="420">
        <v>0.4</v>
      </c>
    </row>
    <row r="137" spans="1:28" s="49" customFormat="1" ht="15.75" thickBot="1">
      <c r="A137" s="45"/>
      <c r="B137" s="46" t="s">
        <v>825</v>
      </c>
      <c r="C137" s="52"/>
      <c r="D137" s="52"/>
      <c r="E137" s="52"/>
      <c r="F137" s="52"/>
      <c r="G137" s="52"/>
      <c r="H137" s="52"/>
      <c r="I137" s="52"/>
      <c r="J137" s="52"/>
      <c r="K137" s="52"/>
      <c r="L137" s="52"/>
      <c r="M137" s="52"/>
      <c r="N137" s="52"/>
      <c r="O137" s="52"/>
      <c r="P137" s="52"/>
      <c r="Q137" s="52"/>
      <c r="R137" s="52">
        <v>2</v>
      </c>
      <c r="S137" s="77">
        <v>2</v>
      </c>
      <c r="T137" s="77">
        <v>4</v>
      </c>
      <c r="U137" s="77">
        <v>4</v>
      </c>
      <c r="V137" s="78">
        <v>6</v>
      </c>
      <c r="W137" s="72">
        <v>6</v>
      </c>
      <c r="X137" s="70">
        <v>6</v>
      </c>
      <c r="Y137" s="70">
        <v>0</v>
      </c>
      <c r="Z137" s="70">
        <v>0</v>
      </c>
      <c r="AB137" s="421"/>
    </row>
    <row r="138" spans="1:28">
      <c r="AB138" s="420"/>
    </row>
    <row r="139" spans="1:28" ht="15.75" thickBot="1">
      <c r="A139" s="41" t="s">
        <v>704</v>
      </c>
      <c r="B139" s="42" t="s">
        <v>826</v>
      </c>
      <c r="C139" s="52"/>
      <c r="D139" s="52"/>
      <c r="E139" s="52"/>
      <c r="F139" s="52"/>
      <c r="G139" s="52"/>
      <c r="H139" s="52"/>
      <c r="I139" s="52"/>
      <c r="J139" s="52"/>
      <c r="K139" s="52"/>
      <c r="L139" s="52"/>
      <c r="M139" s="52"/>
      <c r="N139" s="52"/>
      <c r="O139" s="52"/>
      <c r="P139" s="52"/>
      <c r="Q139" s="52"/>
      <c r="R139" s="50">
        <v>1</v>
      </c>
      <c r="S139" s="51">
        <v>1.3333333333333333</v>
      </c>
      <c r="T139" s="51">
        <v>1.6666666666666665</v>
      </c>
      <c r="U139" s="51">
        <v>1.9999999999999998</v>
      </c>
      <c r="V139" s="51">
        <v>2.333333333333333</v>
      </c>
      <c r="W139" s="51">
        <v>2.6666666666666665</v>
      </c>
      <c r="X139" s="51">
        <v>3</v>
      </c>
      <c r="Y139" s="50">
        <v>3</v>
      </c>
      <c r="Z139" s="51">
        <v>3</v>
      </c>
      <c r="AA139" s="38">
        <v>10</v>
      </c>
      <c r="AB139" s="420">
        <v>0.4</v>
      </c>
    </row>
    <row r="140" spans="1:28" s="49" customFormat="1" ht="15.75" thickBot="1">
      <c r="A140" s="45"/>
      <c r="B140" s="46" t="s">
        <v>827</v>
      </c>
      <c r="C140" s="52"/>
      <c r="D140" s="52"/>
      <c r="E140" s="52"/>
      <c r="F140" s="52"/>
      <c r="G140" s="52"/>
      <c r="H140" s="52"/>
      <c r="I140" s="52"/>
      <c r="J140" s="52"/>
      <c r="K140" s="52"/>
      <c r="L140" s="52"/>
      <c r="M140" s="52"/>
      <c r="N140" s="52"/>
      <c r="O140" s="52"/>
      <c r="P140" s="52"/>
      <c r="Q140" s="52"/>
      <c r="R140" s="52">
        <v>1</v>
      </c>
      <c r="S140" s="77">
        <v>1</v>
      </c>
      <c r="T140" s="77">
        <v>1</v>
      </c>
      <c r="U140" s="77">
        <v>1</v>
      </c>
      <c r="V140" s="78">
        <v>3</v>
      </c>
      <c r="W140" s="72">
        <v>3</v>
      </c>
      <c r="X140" s="70">
        <v>4</v>
      </c>
      <c r="Y140" s="70">
        <v>0</v>
      </c>
      <c r="Z140" s="70">
        <v>0</v>
      </c>
      <c r="AB140" s="421"/>
    </row>
    <row r="141" spans="1:28" s="49" customFormat="1">
      <c r="A141" s="45"/>
      <c r="B141" s="46"/>
      <c r="C141" s="53"/>
      <c r="D141" s="75"/>
      <c r="E141" s="75"/>
      <c r="F141" s="75"/>
      <c r="G141" s="75"/>
      <c r="H141" s="75"/>
      <c r="I141" s="75"/>
      <c r="J141" s="75"/>
      <c r="K141" s="75"/>
      <c r="L141" s="53"/>
      <c r="M141" s="53"/>
      <c r="N141" s="53"/>
      <c r="O141" s="53"/>
      <c r="P141" s="53"/>
      <c r="Q141" s="53"/>
      <c r="R141" s="53"/>
      <c r="S141" s="53"/>
      <c r="T141" s="53"/>
      <c r="U141" s="53"/>
      <c r="V141" s="53"/>
      <c r="W141" s="53"/>
      <c r="X141" s="53"/>
      <c r="Y141" s="53"/>
      <c r="Z141" s="53"/>
      <c r="AB141" s="421"/>
    </row>
    <row r="142" spans="1:28" ht="15.75" thickBot="1">
      <c r="A142" s="41" t="s">
        <v>705</v>
      </c>
      <c r="B142" s="42" t="s">
        <v>828</v>
      </c>
      <c r="C142" s="52"/>
      <c r="D142" s="52"/>
      <c r="E142" s="52"/>
      <c r="F142" s="52"/>
      <c r="G142" s="52"/>
      <c r="H142" s="52"/>
      <c r="I142" s="52"/>
      <c r="J142" s="52"/>
      <c r="K142" s="52"/>
      <c r="L142" s="52"/>
      <c r="M142" s="52"/>
      <c r="N142" s="52"/>
      <c r="O142" s="52"/>
      <c r="P142" s="52"/>
      <c r="Q142" s="52"/>
      <c r="R142" s="50">
        <v>1</v>
      </c>
      <c r="S142" s="51">
        <v>1.1666666666666667</v>
      </c>
      <c r="T142" s="51">
        <v>1.3333333333333335</v>
      </c>
      <c r="U142" s="51">
        <v>1.5000000000000002</v>
      </c>
      <c r="V142" s="51">
        <v>1.666666666666667</v>
      </c>
      <c r="W142" s="51">
        <v>1.8333333333333337</v>
      </c>
      <c r="X142" s="51">
        <v>2.0000000000000004</v>
      </c>
      <c r="Y142" s="50">
        <v>2</v>
      </c>
      <c r="Z142" s="51">
        <v>2</v>
      </c>
      <c r="AA142" s="38">
        <v>5</v>
      </c>
      <c r="AB142" s="420">
        <v>0.2</v>
      </c>
    </row>
    <row r="143" spans="1:28" s="49" customFormat="1" ht="15.75" thickBot="1">
      <c r="A143" s="45"/>
      <c r="B143" s="46" t="s">
        <v>829</v>
      </c>
      <c r="C143" s="52"/>
      <c r="D143" s="52"/>
      <c r="E143" s="52"/>
      <c r="F143" s="52"/>
      <c r="G143" s="52"/>
      <c r="H143" s="52"/>
      <c r="I143" s="52"/>
      <c r="J143" s="52"/>
      <c r="K143" s="52"/>
      <c r="L143" s="52"/>
      <c r="M143" s="52"/>
      <c r="N143" s="52"/>
      <c r="O143" s="52"/>
      <c r="P143" s="52"/>
      <c r="Q143" s="52"/>
      <c r="R143" s="52">
        <v>1</v>
      </c>
      <c r="S143" s="77">
        <v>1</v>
      </c>
      <c r="T143" s="77">
        <v>1</v>
      </c>
      <c r="U143" s="77">
        <v>1</v>
      </c>
      <c r="V143" s="78">
        <v>2</v>
      </c>
      <c r="W143" s="72">
        <v>2</v>
      </c>
      <c r="X143" s="70">
        <v>3</v>
      </c>
      <c r="Y143" s="70">
        <v>0</v>
      </c>
      <c r="Z143" s="70">
        <v>0</v>
      </c>
      <c r="AB143" s="421"/>
    </row>
    <row r="144" spans="1:28" s="49" customFormat="1">
      <c r="A144" s="45"/>
      <c r="B144" s="46"/>
      <c r="C144" s="53"/>
      <c r="D144" s="75"/>
      <c r="E144" s="75"/>
      <c r="F144" s="75"/>
      <c r="G144" s="75"/>
      <c r="H144" s="75"/>
      <c r="I144" s="75"/>
      <c r="J144" s="75"/>
      <c r="K144" s="75"/>
      <c r="L144" s="53"/>
      <c r="M144" s="53"/>
      <c r="N144" s="53"/>
      <c r="O144" s="53"/>
      <c r="P144" s="53"/>
      <c r="Q144" s="53"/>
      <c r="R144" s="53"/>
      <c r="S144" s="53"/>
      <c r="T144" s="53"/>
      <c r="U144" s="53"/>
      <c r="V144" s="53"/>
      <c r="W144" s="53"/>
      <c r="X144" s="53"/>
      <c r="Y144" s="53"/>
      <c r="Z144" s="53"/>
      <c r="AB144" s="421"/>
    </row>
    <row r="145" spans="1:28" ht="15.75" thickBot="1">
      <c r="A145" s="41" t="s">
        <v>706</v>
      </c>
      <c r="B145" s="42" t="s">
        <v>830</v>
      </c>
      <c r="C145" s="52"/>
      <c r="D145" s="52"/>
      <c r="E145" s="52"/>
      <c r="F145" s="52"/>
      <c r="G145" s="52"/>
      <c r="H145" s="52"/>
      <c r="I145" s="52"/>
      <c r="J145" s="52"/>
      <c r="K145" s="52"/>
      <c r="L145" s="52"/>
      <c r="M145" s="52"/>
      <c r="N145" s="52"/>
      <c r="O145" s="52"/>
      <c r="P145" s="52"/>
      <c r="Q145" s="52"/>
      <c r="R145" s="50">
        <v>0</v>
      </c>
      <c r="S145" s="51">
        <v>0.16666666666666666</v>
      </c>
      <c r="T145" s="51">
        <v>0.33333333333333331</v>
      </c>
      <c r="U145" s="51">
        <v>0.5</v>
      </c>
      <c r="V145" s="51">
        <v>0.66666666666666663</v>
      </c>
      <c r="W145" s="51">
        <v>0.83333333333333326</v>
      </c>
      <c r="X145" s="51">
        <v>0.99999999999999989</v>
      </c>
      <c r="Y145" s="50">
        <v>1</v>
      </c>
      <c r="Z145" s="51">
        <v>1</v>
      </c>
      <c r="AA145" s="38">
        <v>5</v>
      </c>
      <c r="AB145" s="420">
        <v>0.2</v>
      </c>
    </row>
    <row r="146" spans="1:28" s="49" customFormat="1" ht="15.75" thickBot="1">
      <c r="A146" s="45"/>
      <c r="B146" s="46" t="s">
        <v>831</v>
      </c>
      <c r="C146" s="52"/>
      <c r="D146" s="52"/>
      <c r="E146" s="52"/>
      <c r="F146" s="52"/>
      <c r="G146" s="52"/>
      <c r="H146" s="52"/>
      <c r="I146" s="52"/>
      <c r="J146" s="52"/>
      <c r="K146" s="52"/>
      <c r="L146" s="52"/>
      <c r="M146" s="52"/>
      <c r="N146" s="52"/>
      <c r="O146" s="52"/>
      <c r="P146" s="52"/>
      <c r="Q146" s="52"/>
      <c r="R146" s="52">
        <v>0</v>
      </c>
      <c r="S146" s="77">
        <v>0</v>
      </c>
      <c r="T146" s="77">
        <v>0</v>
      </c>
      <c r="U146" s="77">
        <v>0</v>
      </c>
      <c r="V146" s="78">
        <v>1</v>
      </c>
      <c r="W146" s="72">
        <v>1</v>
      </c>
      <c r="X146" s="70">
        <v>2</v>
      </c>
      <c r="Y146" s="70">
        <v>0</v>
      </c>
      <c r="Z146" s="70">
        <v>0</v>
      </c>
      <c r="AB146" s="421"/>
    </row>
    <row r="147" spans="1:28" s="49" customFormat="1">
      <c r="A147" s="45"/>
      <c r="B147" s="46"/>
      <c r="C147" s="53"/>
      <c r="D147" s="75"/>
      <c r="E147" s="75"/>
      <c r="F147" s="75"/>
      <c r="G147" s="75"/>
      <c r="H147" s="75"/>
      <c r="I147" s="75"/>
      <c r="J147" s="75"/>
      <c r="K147" s="75"/>
      <c r="L147" s="53"/>
      <c r="M147" s="53"/>
      <c r="N147" s="53"/>
      <c r="O147" s="53"/>
      <c r="P147" s="53"/>
      <c r="Q147" s="53"/>
      <c r="R147" s="53"/>
      <c r="S147" s="53"/>
      <c r="T147" s="53"/>
      <c r="U147" s="53"/>
      <c r="V147" s="53"/>
      <c r="W147" s="53"/>
      <c r="X147" s="53"/>
      <c r="Y147" s="53"/>
      <c r="Z147" s="53"/>
      <c r="AB147" s="421"/>
    </row>
    <row r="148" spans="1:28" ht="14.25">
      <c r="A148" s="38"/>
    </row>
    <row r="149" spans="1:28">
      <c r="C149" s="55" t="s">
        <v>194</v>
      </c>
      <c r="D149" s="431"/>
      <c r="E149" s="432"/>
      <c r="F149" s="433"/>
    </row>
    <row r="150" spans="1:28">
      <c r="C150" s="55" t="s">
        <v>195</v>
      </c>
      <c r="D150" s="434" t="s">
        <v>196</v>
      </c>
      <c r="E150" s="435" t="s">
        <v>153</v>
      </c>
      <c r="F150" s="435" t="s">
        <v>154</v>
      </c>
      <c r="G150" s="435" t="s">
        <v>158</v>
      </c>
      <c r="H150" s="434" t="s">
        <v>197</v>
      </c>
    </row>
    <row r="151" spans="1:28">
      <c r="C151" s="55"/>
      <c r="D151" s="434"/>
      <c r="E151" s="435"/>
      <c r="F151" s="435"/>
      <c r="G151" s="435"/>
      <c r="H151" s="434"/>
    </row>
    <row r="153" spans="1:28" ht="14.25">
      <c r="A153" s="1356" t="s">
        <v>727</v>
      </c>
      <c r="B153" s="1356"/>
    </row>
    <row r="154" spans="1:28" ht="14.25">
      <c r="A154" s="1356"/>
      <c r="B154" s="1356"/>
    </row>
    <row r="155" spans="1:28" ht="14.25">
      <c r="A155" s="1356"/>
      <c r="B155" s="1356"/>
    </row>
    <row r="156" spans="1:28" ht="14.25">
      <c r="A156" s="1356"/>
      <c r="B156" s="1356"/>
    </row>
    <row r="157" spans="1:28" ht="14.25">
      <c r="A157" s="1356"/>
      <c r="B157" s="1356"/>
    </row>
  </sheetData>
  <sheetProtection password="CF55" sheet="1" objects="1" scenarios="1" selectLockedCells="1" selectUnlockedCells="1"/>
  <mergeCells count="7">
    <mergeCell ref="W1:Z1"/>
    <mergeCell ref="S1:V1"/>
    <mergeCell ref="A153:B157"/>
    <mergeCell ref="D1:G1"/>
    <mergeCell ref="H1:K1"/>
    <mergeCell ref="L1:N1"/>
    <mergeCell ref="O1:R1"/>
  </mergeCell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tint="0.39997558519241921"/>
  </sheetPr>
  <dimension ref="A1:AB157"/>
  <sheetViews>
    <sheetView workbookViewId="0">
      <pane xSplit="2" ySplit="2" topLeftCell="F57" activePane="bottomRight" state="frozen"/>
      <selection activeCell="L92" sqref="L92:O92"/>
      <selection pane="topRight" activeCell="L92" sqref="L92:O92"/>
      <selection pane="bottomLeft" activeCell="L92" sqref="L92:O92"/>
      <selection pane="bottomRight" activeCell="L92" sqref="L92:O92"/>
    </sheetView>
  </sheetViews>
  <sheetFormatPr defaultColWidth="11.42578125" defaultRowHeight="15"/>
  <cols>
    <col min="1" max="1" width="21.85546875" style="39" customWidth="1"/>
    <col min="2" max="2" width="20.85546875" style="38" customWidth="1"/>
    <col min="3" max="3" width="10.85546875" style="54" customWidth="1"/>
    <col min="4" max="8" width="5.85546875" style="54" customWidth="1"/>
    <col min="9" max="9" width="10.85546875" style="54" customWidth="1"/>
    <col min="10" max="13" width="5.85546875" style="54" customWidth="1"/>
    <col min="14" max="14" width="10.85546875" style="54" customWidth="1"/>
    <col min="15" max="17" width="5.85546875" style="54" customWidth="1"/>
    <col min="18" max="18" width="10.85546875" style="54" customWidth="1"/>
    <col min="19" max="24" width="5.85546875" style="54" customWidth="1"/>
    <col min="25" max="25" width="10.85546875" style="54" customWidth="1"/>
    <col min="26" max="26" width="5.85546875" style="54" customWidth="1"/>
    <col min="27" max="28" width="10.85546875" style="38" customWidth="1"/>
    <col min="29" max="16384" width="11.42578125" style="38"/>
  </cols>
  <sheetData>
    <row r="1" spans="1:28">
      <c r="A1" s="57" t="s">
        <v>228</v>
      </c>
      <c r="B1" s="59" t="s">
        <v>192</v>
      </c>
      <c r="C1" s="459" t="s">
        <v>190</v>
      </c>
      <c r="D1" s="1357">
        <v>2010</v>
      </c>
      <c r="E1" s="1357"/>
      <c r="F1" s="1357"/>
      <c r="G1" s="1357"/>
      <c r="H1" s="1358">
        <v>2011</v>
      </c>
      <c r="I1" s="1358"/>
      <c r="J1" s="1358"/>
      <c r="K1" s="1358"/>
      <c r="L1" s="1353">
        <v>2012</v>
      </c>
      <c r="M1" s="1354"/>
      <c r="N1" s="1355"/>
      <c r="O1" s="1359">
        <v>2013</v>
      </c>
      <c r="P1" s="1360"/>
      <c r="Q1" s="1360"/>
      <c r="R1" s="1361"/>
      <c r="S1" s="1353">
        <v>2014</v>
      </c>
      <c r="T1" s="1354"/>
      <c r="U1" s="1354"/>
      <c r="V1" s="1355"/>
      <c r="W1" s="1351">
        <v>2015</v>
      </c>
      <c r="X1" s="1352"/>
      <c r="Y1" s="1352"/>
      <c r="Z1" s="1352"/>
    </row>
    <row r="2" spans="1:28" s="39" customFormat="1" ht="42.75">
      <c r="A2" s="58" t="s">
        <v>193</v>
      </c>
      <c r="B2" s="59" t="s">
        <v>191</v>
      </c>
      <c r="C2" s="418" t="s">
        <v>722</v>
      </c>
      <c r="D2" s="56" t="s">
        <v>141</v>
      </c>
      <c r="E2" s="56" t="s">
        <v>142</v>
      </c>
      <c r="F2" s="56" t="s">
        <v>143</v>
      </c>
      <c r="G2" s="56" t="s">
        <v>144</v>
      </c>
      <c r="H2" s="56" t="s">
        <v>141</v>
      </c>
      <c r="I2" s="418" t="s">
        <v>723</v>
      </c>
      <c r="J2" s="56" t="s">
        <v>143</v>
      </c>
      <c r="K2" s="56" t="s">
        <v>144</v>
      </c>
      <c r="L2" s="56" t="s">
        <v>141</v>
      </c>
      <c r="M2" s="56" t="s">
        <v>142</v>
      </c>
      <c r="N2" s="418" t="s">
        <v>724</v>
      </c>
      <c r="O2" s="56" t="s">
        <v>141</v>
      </c>
      <c r="P2" s="56" t="s">
        <v>142</v>
      </c>
      <c r="Q2" s="56" t="s">
        <v>143</v>
      </c>
      <c r="R2" s="418" t="s">
        <v>725</v>
      </c>
      <c r="S2" s="56" t="s">
        <v>141</v>
      </c>
      <c r="T2" s="56" t="s">
        <v>142</v>
      </c>
      <c r="U2" s="56" t="s">
        <v>143</v>
      </c>
      <c r="V2" s="56" t="s">
        <v>144</v>
      </c>
      <c r="W2" s="56" t="s">
        <v>141</v>
      </c>
      <c r="X2" s="56" t="s">
        <v>142</v>
      </c>
      <c r="Y2" s="418" t="s">
        <v>726</v>
      </c>
      <c r="Z2" s="56" t="s">
        <v>144</v>
      </c>
      <c r="AA2" s="419" t="s">
        <v>814</v>
      </c>
      <c r="AB2" s="419" t="s">
        <v>815</v>
      </c>
    </row>
    <row r="3" spans="1:28" s="39" customFormat="1">
      <c r="B3" s="38"/>
      <c r="C3" s="40"/>
      <c r="D3" s="40"/>
      <c r="E3" s="40"/>
      <c r="F3" s="40"/>
      <c r="G3" s="40"/>
      <c r="H3" s="40"/>
      <c r="I3" s="40"/>
      <c r="J3" s="40"/>
      <c r="K3" s="40"/>
      <c r="L3" s="40"/>
      <c r="M3" s="40"/>
      <c r="N3" s="40"/>
      <c r="O3" s="40"/>
      <c r="P3" s="40"/>
      <c r="Q3" s="40"/>
      <c r="R3" s="40"/>
      <c r="S3" s="40"/>
      <c r="T3" s="40"/>
      <c r="U3" s="40"/>
      <c r="V3" s="40"/>
      <c r="W3" s="40"/>
      <c r="X3" s="40"/>
      <c r="Y3" s="40"/>
      <c r="Z3" s="40"/>
    </row>
    <row r="4" spans="1:28" ht="15.75" thickBot="1">
      <c r="A4" s="41" t="s">
        <v>24</v>
      </c>
      <c r="B4" s="42" t="s">
        <v>139</v>
      </c>
      <c r="C4" s="43">
        <v>1.8</v>
      </c>
      <c r="D4" s="81">
        <v>1.8</v>
      </c>
      <c r="E4" s="81">
        <v>1.8</v>
      </c>
      <c r="F4" s="81">
        <v>1.8</v>
      </c>
      <c r="G4" s="81">
        <v>1.8</v>
      </c>
      <c r="H4" s="81">
        <v>1.8</v>
      </c>
      <c r="I4" s="82">
        <v>1.8</v>
      </c>
      <c r="J4" s="81">
        <v>1.9166666666666667</v>
      </c>
      <c r="K4" s="81">
        <v>2.0333333333333332</v>
      </c>
      <c r="L4" s="44">
        <v>2.15</v>
      </c>
      <c r="M4" s="44">
        <v>2.2666666666666666</v>
      </c>
      <c r="N4" s="43">
        <v>2.5</v>
      </c>
      <c r="O4" s="44">
        <v>2.6749999999999998</v>
      </c>
      <c r="P4" s="44">
        <v>2.8499999999999996</v>
      </c>
      <c r="Q4" s="44">
        <v>3.0249999999999995</v>
      </c>
      <c r="R4" s="43">
        <v>3.2</v>
      </c>
      <c r="S4" s="44">
        <v>3.2166666666666668</v>
      </c>
      <c r="T4" s="44">
        <v>3.2333333333333334</v>
      </c>
      <c r="U4" s="44">
        <v>3.25</v>
      </c>
      <c r="V4" s="44">
        <v>3.2666666666666666</v>
      </c>
      <c r="W4" s="44">
        <v>3.1166666666666671</v>
      </c>
      <c r="X4" s="44">
        <v>3.1000000000000005</v>
      </c>
      <c r="Y4" s="43">
        <v>3.1</v>
      </c>
      <c r="Z4" s="44">
        <v>3.1</v>
      </c>
      <c r="AA4" s="38">
        <v>5</v>
      </c>
      <c r="AB4" s="420">
        <v>0.16</v>
      </c>
    </row>
    <row r="5" spans="1:28" s="49" customFormat="1" ht="15.75" thickBot="1">
      <c r="A5" s="45"/>
      <c r="B5" s="46" t="s">
        <v>140</v>
      </c>
      <c r="C5" s="79">
        <v>1.8</v>
      </c>
      <c r="D5" s="84">
        <v>1.8</v>
      </c>
      <c r="E5" s="85">
        <v>1.8</v>
      </c>
      <c r="F5" s="85">
        <v>1.8</v>
      </c>
      <c r="G5" s="85">
        <v>1.8</v>
      </c>
      <c r="H5" s="85">
        <v>1</v>
      </c>
      <c r="I5" s="85">
        <v>2.5</v>
      </c>
      <c r="J5" s="85">
        <v>2.5</v>
      </c>
      <c r="K5" s="85">
        <v>2.5</v>
      </c>
      <c r="L5" s="85">
        <v>2</v>
      </c>
      <c r="M5" s="85">
        <v>2.6</v>
      </c>
      <c r="N5" s="85">
        <v>3.1</v>
      </c>
      <c r="O5" s="85">
        <v>3.1</v>
      </c>
      <c r="P5" s="85">
        <v>3.1</v>
      </c>
      <c r="Q5" s="85">
        <v>3.2</v>
      </c>
      <c r="R5" s="85">
        <v>3.2</v>
      </c>
      <c r="S5" s="85">
        <v>3.2</v>
      </c>
      <c r="T5" s="85">
        <v>3.2</v>
      </c>
      <c r="U5" s="85">
        <v>3.2</v>
      </c>
      <c r="V5" s="86">
        <v>3.1</v>
      </c>
      <c r="W5" s="80">
        <v>3.1</v>
      </c>
      <c r="X5" s="69">
        <v>3.4</v>
      </c>
      <c r="Y5" s="69">
        <v>0</v>
      </c>
      <c r="Z5" s="69">
        <v>0</v>
      </c>
      <c r="AB5" s="421"/>
    </row>
    <row r="6" spans="1:28" s="49" customFormat="1">
      <c r="A6" s="45"/>
      <c r="B6" s="46"/>
      <c r="C6" s="48"/>
      <c r="D6" s="422"/>
      <c r="E6" s="422"/>
      <c r="F6" s="422"/>
      <c r="G6" s="83"/>
      <c r="H6" s="83"/>
      <c r="I6" s="83"/>
      <c r="J6" s="83"/>
      <c r="K6" s="83"/>
      <c r="L6" s="48"/>
      <c r="M6" s="48"/>
      <c r="N6" s="48"/>
      <c r="O6" s="48"/>
      <c r="P6" s="48"/>
      <c r="Q6" s="48"/>
      <c r="R6" s="48"/>
      <c r="S6" s="48"/>
      <c r="T6" s="48"/>
      <c r="U6" s="48"/>
      <c r="V6" s="48"/>
      <c r="W6" s="48"/>
      <c r="X6" s="48"/>
      <c r="Y6" s="48"/>
      <c r="Z6" s="48"/>
      <c r="AB6" s="421"/>
    </row>
    <row r="7" spans="1:28" ht="15.75" thickBot="1">
      <c r="A7" s="41" t="s">
        <v>25</v>
      </c>
      <c r="B7" s="42" t="s">
        <v>139</v>
      </c>
      <c r="C7" s="43">
        <v>1</v>
      </c>
      <c r="D7" s="81">
        <v>1</v>
      </c>
      <c r="E7" s="81">
        <v>1</v>
      </c>
      <c r="F7" s="81">
        <v>1</v>
      </c>
      <c r="G7" s="81">
        <v>1</v>
      </c>
      <c r="H7" s="81">
        <v>1</v>
      </c>
      <c r="I7" s="82">
        <v>1</v>
      </c>
      <c r="J7" s="81">
        <v>1.0416666666666667</v>
      </c>
      <c r="K7" s="81">
        <v>1.0833333333333335</v>
      </c>
      <c r="L7" s="44">
        <v>1.1250000000000002</v>
      </c>
      <c r="M7" s="44">
        <v>1.166666666666667</v>
      </c>
      <c r="N7" s="43">
        <v>1.25</v>
      </c>
      <c r="O7" s="44">
        <v>1.5125</v>
      </c>
      <c r="P7" s="44">
        <v>1.7749999999999999</v>
      </c>
      <c r="Q7" s="44">
        <v>2.0374999999999996</v>
      </c>
      <c r="R7" s="43">
        <v>2.2999999999999998</v>
      </c>
      <c r="S7" s="44">
        <v>2.3499999999999996</v>
      </c>
      <c r="T7" s="44">
        <v>2.3999999999999995</v>
      </c>
      <c r="U7" s="44">
        <v>2.4499999999999993</v>
      </c>
      <c r="V7" s="44">
        <v>2.4999999999999991</v>
      </c>
      <c r="W7" s="44">
        <v>2.5499999999999989</v>
      </c>
      <c r="X7" s="44">
        <v>2.5999999999999988</v>
      </c>
      <c r="Y7" s="43">
        <v>2.6</v>
      </c>
      <c r="Z7" s="44">
        <v>2.6</v>
      </c>
      <c r="AA7" s="38">
        <v>5</v>
      </c>
      <c r="AB7" s="420">
        <v>0.16</v>
      </c>
    </row>
    <row r="8" spans="1:28" s="49" customFormat="1" ht="15.75" thickBot="1">
      <c r="A8" s="45"/>
      <c r="B8" s="46" t="s">
        <v>140</v>
      </c>
      <c r="C8" s="79">
        <v>1</v>
      </c>
      <c r="D8" s="84">
        <v>1</v>
      </c>
      <c r="E8" s="85">
        <v>1</v>
      </c>
      <c r="F8" s="85">
        <v>0</v>
      </c>
      <c r="G8" s="85">
        <v>1</v>
      </c>
      <c r="H8" s="85">
        <v>1.2</v>
      </c>
      <c r="I8" s="85">
        <v>1</v>
      </c>
      <c r="J8" s="85">
        <v>1</v>
      </c>
      <c r="K8" s="85">
        <v>1</v>
      </c>
      <c r="L8" s="85">
        <v>2</v>
      </c>
      <c r="M8" s="85">
        <v>2</v>
      </c>
      <c r="N8" s="423">
        <v>2.1</v>
      </c>
      <c r="O8" s="424">
        <v>2.1</v>
      </c>
      <c r="P8" s="424">
        <v>2.1</v>
      </c>
      <c r="Q8" s="424">
        <v>2.6</v>
      </c>
      <c r="R8" s="85">
        <v>2.4</v>
      </c>
      <c r="S8" s="85">
        <v>2.4</v>
      </c>
      <c r="T8" s="85">
        <v>2.4</v>
      </c>
      <c r="U8" s="85">
        <v>2.4</v>
      </c>
      <c r="V8" s="86">
        <v>2.5</v>
      </c>
      <c r="W8" s="80">
        <v>2.5</v>
      </c>
      <c r="X8" s="69">
        <v>2.7</v>
      </c>
      <c r="Y8" s="69">
        <v>0</v>
      </c>
      <c r="Z8" s="69">
        <v>0</v>
      </c>
      <c r="AB8" s="421"/>
    </row>
    <row r="9" spans="1:28" s="49" customFormat="1">
      <c r="A9" s="45"/>
      <c r="B9" s="46"/>
      <c r="C9" s="48"/>
      <c r="D9" s="83"/>
      <c r="E9" s="83"/>
      <c r="F9" s="83"/>
      <c r="G9" s="83"/>
      <c r="H9" s="83"/>
      <c r="I9" s="83"/>
      <c r="J9" s="83"/>
      <c r="K9" s="83"/>
      <c r="L9" s="48"/>
      <c r="M9" s="48"/>
      <c r="N9" s="48"/>
      <c r="O9" s="48"/>
      <c r="P9" s="48"/>
      <c r="Q9" s="48"/>
      <c r="R9" s="48"/>
      <c r="S9" s="48"/>
      <c r="T9" s="48"/>
      <c r="U9" s="48"/>
      <c r="V9" s="48"/>
      <c r="W9" s="48"/>
      <c r="X9" s="48"/>
      <c r="Y9" s="48"/>
      <c r="Z9" s="48"/>
      <c r="AB9" s="421"/>
    </row>
    <row r="10" spans="1:28" ht="15.75" thickBot="1">
      <c r="A10" s="41" t="s">
        <v>186</v>
      </c>
      <c r="B10" s="42" t="s">
        <v>214</v>
      </c>
      <c r="C10" s="50">
        <v>2</v>
      </c>
      <c r="D10" s="73">
        <v>2.6666666666666665</v>
      </c>
      <c r="E10" s="73">
        <v>3.333333333333333</v>
      </c>
      <c r="F10" s="73">
        <v>3.9999999999999996</v>
      </c>
      <c r="G10" s="73">
        <v>4.6666666666666661</v>
      </c>
      <c r="H10" s="73">
        <v>5.333333333333333</v>
      </c>
      <c r="I10" s="74">
        <v>6</v>
      </c>
      <c r="J10" s="73">
        <v>5.5</v>
      </c>
      <c r="K10" s="73">
        <v>5</v>
      </c>
      <c r="L10" s="51">
        <v>4.5</v>
      </c>
      <c r="M10" s="51">
        <v>4</v>
      </c>
      <c r="N10" s="50">
        <v>3</v>
      </c>
      <c r="O10" s="51">
        <v>5</v>
      </c>
      <c r="P10" s="51">
        <v>7</v>
      </c>
      <c r="Q10" s="51">
        <v>9</v>
      </c>
      <c r="R10" s="50">
        <v>11</v>
      </c>
      <c r="S10" s="51">
        <v>11.666666666666666</v>
      </c>
      <c r="T10" s="51">
        <v>12.333333333333332</v>
      </c>
      <c r="U10" s="51">
        <v>12.999999999999998</v>
      </c>
      <c r="V10" s="51">
        <v>13.666666666666664</v>
      </c>
      <c r="W10" s="51">
        <v>14.33333333333333</v>
      </c>
      <c r="X10" s="51">
        <v>14.999999999999996</v>
      </c>
      <c r="Y10" s="50">
        <v>15</v>
      </c>
      <c r="Z10" s="51">
        <v>15</v>
      </c>
      <c r="AA10" s="38">
        <v>15</v>
      </c>
      <c r="AB10" s="420">
        <v>0.6</v>
      </c>
    </row>
    <row r="11" spans="1:28" s="49" customFormat="1" ht="15.75" thickBot="1">
      <c r="A11" s="45"/>
      <c r="B11" s="46" t="s">
        <v>215</v>
      </c>
      <c r="C11" s="71">
        <v>2</v>
      </c>
      <c r="D11" s="76">
        <v>3</v>
      </c>
      <c r="E11" s="77">
        <v>3</v>
      </c>
      <c r="F11" s="77">
        <v>3</v>
      </c>
      <c r="G11" s="77">
        <v>3</v>
      </c>
      <c r="H11" s="77">
        <v>3</v>
      </c>
      <c r="I11" s="77">
        <v>7</v>
      </c>
      <c r="J11" s="77">
        <v>7</v>
      </c>
      <c r="K11" s="77">
        <v>7</v>
      </c>
      <c r="L11" s="77">
        <v>2</v>
      </c>
      <c r="M11" s="77">
        <v>2</v>
      </c>
      <c r="N11" s="425">
        <v>2</v>
      </c>
      <c r="O11" s="426">
        <v>2</v>
      </c>
      <c r="P11" s="426">
        <v>2</v>
      </c>
      <c r="Q11" s="426">
        <v>2</v>
      </c>
      <c r="R11" s="77">
        <v>2</v>
      </c>
      <c r="S11" s="77">
        <v>2</v>
      </c>
      <c r="T11" s="77">
        <v>2</v>
      </c>
      <c r="U11" s="77">
        <v>2</v>
      </c>
      <c r="V11" s="78">
        <v>2</v>
      </c>
      <c r="W11" s="72">
        <v>2</v>
      </c>
      <c r="X11" s="70">
        <v>2</v>
      </c>
      <c r="Y11" s="70">
        <v>0</v>
      </c>
      <c r="Z11" s="70">
        <v>0</v>
      </c>
      <c r="AA11" s="38"/>
      <c r="AB11" s="420"/>
    </row>
    <row r="12" spans="1:28" s="49" customFormat="1">
      <c r="A12" s="45"/>
      <c r="B12" s="46"/>
      <c r="C12" s="53"/>
      <c r="D12" s="75"/>
      <c r="E12" s="75"/>
      <c r="F12" s="75"/>
      <c r="G12" s="75"/>
      <c r="H12" s="75"/>
      <c r="I12" s="75"/>
      <c r="J12" s="75"/>
      <c r="K12" s="75"/>
      <c r="L12" s="53"/>
      <c r="M12" s="53"/>
      <c r="N12" s="53"/>
      <c r="O12" s="53"/>
      <c r="P12" s="53"/>
      <c r="Q12" s="53"/>
      <c r="R12" s="53"/>
      <c r="S12" s="53"/>
      <c r="T12" s="53"/>
      <c r="U12" s="53"/>
      <c r="V12" s="53"/>
      <c r="W12" s="53"/>
      <c r="X12" s="53"/>
      <c r="Y12" s="53"/>
      <c r="Z12" s="53"/>
      <c r="AB12" s="421"/>
    </row>
    <row r="13" spans="1:28" ht="15.75" thickBot="1">
      <c r="A13" s="41" t="s">
        <v>187</v>
      </c>
      <c r="B13" s="42" t="s">
        <v>216</v>
      </c>
      <c r="C13" s="50">
        <v>0</v>
      </c>
      <c r="D13" s="73">
        <v>0.16666666666666666</v>
      </c>
      <c r="E13" s="73">
        <v>0.33333333333333331</v>
      </c>
      <c r="F13" s="73">
        <v>0.5</v>
      </c>
      <c r="G13" s="73">
        <v>0.66666666666666663</v>
      </c>
      <c r="H13" s="73">
        <v>0.83333333333333326</v>
      </c>
      <c r="I13" s="74">
        <v>1</v>
      </c>
      <c r="J13" s="73">
        <v>1.1666666666666667</v>
      </c>
      <c r="K13" s="73">
        <v>1.3333333333333335</v>
      </c>
      <c r="L13" s="51">
        <v>1.5000000000000002</v>
      </c>
      <c r="M13" s="51">
        <v>1.666666666666667</v>
      </c>
      <c r="N13" s="50">
        <v>2</v>
      </c>
      <c r="O13" s="51">
        <v>4.25</v>
      </c>
      <c r="P13" s="51">
        <v>6.5</v>
      </c>
      <c r="Q13" s="51">
        <v>8.75</v>
      </c>
      <c r="R13" s="50">
        <v>11</v>
      </c>
      <c r="S13" s="51">
        <v>11.666666666666666</v>
      </c>
      <c r="T13" s="51">
        <v>12.333333333333332</v>
      </c>
      <c r="U13" s="51">
        <v>12.999999999999998</v>
      </c>
      <c r="V13" s="51">
        <v>13.666666666666664</v>
      </c>
      <c r="W13" s="51">
        <v>14.33333333333333</v>
      </c>
      <c r="X13" s="51">
        <v>14.999999999999996</v>
      </c>
      <c r="Y13" s="50">
        <v>15</v>
      </c>
      <c r="Z13" s="51">
        <v>15</v>
      </c>
      <c r="AA13" s="38">
        <v>15</v>
      </c>
      <c r="AB13" s="420">
        <v>0.6</v>
      </c>
    </row>
    <row r="14" spans="1:28" s="49" customFormat="1" ht="15.75" thickBot="1">
      <c r="A14" s="45"/>
      <c r="B14" s="46" t="s">
        <v>217</v>
      </c>
      <c r="C14" s="71">
        <v>0</v>
      </c>
      <c r="D14" s="76">
        <v>3</v>
      </c>
      <c r="E14" s="77">
        <v>0</v>
      </c>
      <c r="F14" s="77">
        <v>1</v>
      </c>
      <c r="G14" s="77">
        <v>1</v>
      </c>
      <c r="H14" s="77">
        <v>1</v>
      </c>
      <c r="I14" s="77">
        <v>3</v>
      </c>
      <c r="J14" s="77">
        <v>3</v>
      </c>
      <c r="K14" s="77">
        <v>3</v>
      </c>
      <c r="L14" s="77">
        <v>2</v>
      </c>
      <c r="M14" s="77">
        <v>2</v>
      </c>
      <c r="N14" s="425">
        <v>1</v>
      </c>
      <c r="O14" s="426">
        <v>1</v>
      </c>
      <c r="P14" s="426">
        <v>1</v>
      </c>
      <c r="Q14" s="426">
        <v>2</v>
      </c>
      <c r="R14" s="77">
        <v>2</v>
      </c>
      <c r="S14" s="77">
        <v>2</v>
      </c>
      <c r="T14" s="77">
        <v>2</v>
      </c>
      <c r="U14" s="77">
        <v>2</v>
      </c>
      <c r="V14" s="78">
        <v>2</v>
      </c>
      <c r="W14" s="72">
        <v>2</v>
      </c>
      <c r="X14" s="70">
        <v>2</v>
      </c>
      <c r="Y14" s="70">
        <v>0</v>
      </c>
      <c r="Z14" s="70">
        <v>0</v>
      </c>
      <c r="AB14" s="421"/>
    </row>
    <row r="15" spans="1:28" s="49" customFormat="1">
      <c r="A15" s="45"/>
      <c r="B15" s="46"/>
      <c r="C15" s="53"/>
      <c r="D15" s="427"/>
      <c r="E15" s="427"/>
      <c r="F15" s="427"/>
      <c r="G15" s="75"/>
      <c r="H15" s="75"/>
      <c r="I15" s="75"/>
      <c r="J15" s="75"/>
      <c r="K15" s="75"/>
      <c r="L15" s="53"/>
      <c r="M15" s="53"/>
      <c r="N15" s="53"/>
      <c r="O15" s="53"/>
      <c r="P15" s="53"/>
      <c r="Q15" s="53"/>
      <c r="R15" s="53"/>
      <c r="S15" s="53"/>
      <c r="T15" s="53"/>
      <c r="U15" s="53"/>
      <c r="V15" s="53"/>
      <c r="W15" s="53"/>
      <c r="X15" s="53"/>
      <c r="Y15" s="53"/>
      <c r="Z15" s="53"/>
      <c r="AB15" s="421"/>
    </row>
    <row r="16" spans="1:28" ht="15.75" thickBot="1">
      <c r="A16" s="41" t="s">
        <v>188</v>
      </c>
      <c r="B16" s="42" t="s">
        <v>218</v>
      </c>
      <c r="C16" s="50">
        <v>0</v>
      </c>
      <c r="D16" s="73">
        <v>0</v>
      </c>
      <c r="E16" s="73">
        <v>0</v>
      </c>
      <c r="F16" s="73">
        <v>0</v>
      </c>
      <c r="G16" s="73">
        <v>0</v>
      </c>
      <c r="H16" s="73">
        <v>0</v>
      </c>
      <c r="I16" s="74">
        <v>0</v>
      </c>
      <c r="J16" s="73">
        <v>0.16666666666666666</v>
      </c>
      <c r="K16" s="73">
        <v>0.33333333333333331</v>
      </c>
      <c r="L16" s="51">
        <v>0.5</v>
      </c>
      <c r="M16" s="51">
        <v>0.66666666666666663</v>
      </c>
      <c r="N16" s="50">
        <v>1</v>
      </c>
      <c r="O16" s="51">
        <v>1.25</v>
      </c>
      <c r="P16" s="51">
        <v>1.5</v>
      </c>
      <c r="Q16" s="51">
        <v>1.75</v>
      </c>
      <c r="R16" s="50">
        <v>2</v>
      </c>
      <c r="S16" s="51">
        <v>2.6666666666666665</v>
      </c>
      <c r="T16" s="51">
        <v>3.333333333333333</v>
      </c>
      <c r="U16" s="51">
        <v>3.9999999999999996</v>
      </c>
      <c r="V16" s="51">
        <v>4.6666666666666661</v>
      </c>
      <c r="W16" s="51">
        <v>11.166666666666666</v>
      </c>
      <c r="X16" s="51">
        <v>13</v>
      </c>
      <c r="Y16" s="50">
        <v>13</v>
      </c>
      <c r="Z16" s="51">
        <v>13</v>
      </c>
      <c r="AA16" s="38">
        <v>15</v>
      </c>
      <c r="AB16" s="420">
        <v>0.6</v>
      </c>
    </row>
    <row r="17" spans="1:28" s="49" customFormat="1" ht="15.75" thickBot="1">
      <c r="A17" s="45"/>
      <c r="B17" s="46" t="s">
        <v>219</v>
      </c>
      <c r="C17" s="71">
        <v>0</v>
      </c>
      <c r="D17" s="76">
        <v>0</v>
      </c>
      <c r="E17" s="77">
        <v>0</v>
      </c>
      <c r="F17" s="77">
        <v>0</v>
      </c>
      <c r="G17" s="77">
        <v>0</v>
      </c>
      <c r="H17" s="77">
        <v>0</v>
      </c>
      <c r="I17" s="77">
        <v>0</v>
      </c>
      <c r="J17" s="77">
        <v>0</v>
      </c>
      <c r="K17" s="77">
        <v>0</v>
      </c>
      <c r="L17" s="77">
        <v>2</v>
      </c>
      <c r="M17" s="77">
        <v>2</v>
      </c>
      <c r="N17" s="425">
        <v>1</v>
      </c>
      <c r="O17" s="426">
        <v>1</v>
      </c>
      <c r="P17" s="426">
        <v>1</v>
      </c>
      <c r="Q17" s="426">
        <v>1</v>
      </c>
      <c r="R17" s="77">
        <v>1</v>
      </c>
      <c r="S17" s="77">
        <v>1</v>
      </c>
      <c r="T17" s="77">
        <v>1</v>
      </c>
      <c r="U17" s="77">
        <v>1</v>
      </c>
      <c r="V17" s="78">
        <v>12</v>
      </c>
      <c r="W17" s="72">
        <v>12</v>
      </c>
      <c r="X17" s="70">
        <v>12</v>
      </c>
      <c r="Y17" s="70">
        <v>0</v>
      </c>
      <c r="Z17" s="70">
        <v>0</v>
      </c>
      <c r="AB17" s="421"/>
    </row>
    <row r="18" spans="1:28" s="49" customFormat="1">
      <c r="A18" s="45"/>
      <c r="B18" s="46"/>
      <c r="C18" s="53"/>
      <c r="D18" s="427"/>
      <c r="E18" s="427"/>
      <c r="F18" s="427"/>
      <c r="G18" s="75"/>
      <c r="H18" s="75"/>
      <c r="I18" s="75"/>
      <c r="J18" s="75"/>
      <c r="K18" s="75"/>
      <c r="L18" s="53"/>
      <c r="M18" s="53"/>
      <c r="N18" s="53"/>
      <c r="O18" s="53"/>
      <c r="P18" s="53"/>
      <c r="Q18" s="53"/>
      <c r="R18" s="53"/>
      <c r="S18" s="53"/>
      <c r="T18" s="53"/>
      <c r="U18" s="53"/>
      <c r="V18" s="53"/>
      <c r="W18" s="53"/>
      <c r="X18" s="53"/>
      <c r="Y18" s="53"/>
      <c r="Z18" s="53"/>
      <c r="AB18" s="421"/>
    </row>
    <row r="19" spans="1:28" ht="15.75" thickBot="1">
      <c r="A19" s="41" t="s">
        <v>189</v>
      </c>
      <c r="B19" s="42" t="s">
        <v>221</v>
      </c>
      <c r="C19" s="50">
        <v>13</v>
      </c>
      <c r="D19" s="73">
        <v>12.5</v>
      </c>
      <c r="E19" s="73">
        <v>12</v>
      </c>
      <c r="F19" s="73">
        <v>11.5</v>
      </c>
      <c r="G19" s="73">
        <v>11</v>
      </c>
      <c r="H19" s="73">
        <v>10.5</v>
      </c>
      <c r="I19" s="74">
        <v>10</v>
      </c>
      <c r="J19" s="73">
        <v>10.833333333333334</v>
      </c>
      <c r="K19" s="73">
        <v>11.666666666666668</v>
      </c>
      <c r="L19" s="51">
        <v>12.500000000000002</v>
      </c>
      <c r="M19" s="51">
        <v>13.333333333333336</v>
      </c>
      <c r="N19" s="50">
        <v>15</v>
      </c>
      <c r="O19" s="51">
        <v>15</v>
      </c>
      <c r="P19" s="51">
        <v>15</v>
      </c>
      <c r="Q19" s="51">
        <v>15</v>
      </c>
      <c r="R19" s="50">
        <v>15</v>
      </c>
      <c r="S19" s="51">
        <v>15</v>
      </c>
      <c r="T19" s="51">
        <v>15</v>
      </c>
      <c r="U19" s="51">
        <v>15</v>
      </c>
      <c r="V19" s="51">
        <v>15</v>
      </c>
      <c r="W19" s="51">
        <v>15</v>
      </c>
      <c r="X19" s="51">
        <v>15</v>
      </c>
      <c r="Y19" s="50">
        <v>15</v>
      </c>
      <c r="Z19" s="51">
        <v>15</v>
      </c>
      <c r="AA19" s="38">
        <v>15</v>
      </c>
      <c r="AB19" s="420">
        <v>0.6</v>
      </c>
    </row>
    <row r="20" spans="1:28" s="49" customFormat="1" ht="15.75" thickBot="1">
      <c r="A20" s="45"/>
      <c r="B20" s="46" t="s">
        <v>220</v>
      </c>
      <c r="C20" s="71">
        <v>13</v>
      </c>
      <c r="D20" s="76">
        <v>0</v>
      </c>
      <c r="E20" s="77">
        <v>0</v>
      </c>
      <c r="F20" s="77">
        <v>0</v>
      </c>
      <c r="G20" s="77">
        <v>0</v>
      </c>
      <c r="H20" s="77">
        <v>0</v>
      </c>
      <c r="I20" s="77">
        <v>10</v>
      </c>
      <c r="J20" s="77">
        <v>10</v>
      </c>
      <c r="K20" s="77">
        <v>10</v>
      </c>
      <c r="L20" s="77">
        <v>2</v>
      </c>
      <c r="M20" s="77">
        <v>15</v>
      </c>
      <c r="N20" s="425">
        <v>15</v>
      </c>
      <c r="O20" s="426">
        <v>15</v>
      </c>
      <c r="P20" s="426">
        <v>15</v>
      </c>
      <c r="Q20" s="426">
        <v>15</v>
      </c>
      <c r="R20" s="77">
        <v>15</v>
      </c>
      <c r="S20" s="77">
        <v>15</v>
      </c>
      <c r="T20" s="77">
        <v>15</v>
      </c>
      <c r="U20" s="77">
        <v>15</v>
      </c>
      <c r="V20" s="78">
        <v>15</v>
      </c>
      <c r="W20" s="72">
        <v>15</v>
      </c>
      <c r="X20" s="70">
        <v>15</v>
      </c>
      <c r="Y20" s="70">
        <v>0</v>
      </c>
      <c r="Z20" s="70">
        <v>0</v>
      </c>
      <c r="AB20" s="421"/>
    </row>
    <row r="21" spans="1:28" s="49" customFormat="1">
      <c r="A21" s="45"/>
      <c r="B21" s="46"/>
      <c r="C21" s="48"/>
      <c r="D21" s="422"/>
      <c r="E21" s="422"/>
      <c r="F21" s="422"/>
      <c r="G21" s="83"/>
      <c r="H21" s="83"/>
      <c r="I21" s="83"/>
      <c r="J21" s="83"/>
      <c r="K21" s="83"/>
      <c r="L21" s="48"/>
      <c r="M21" s="48"/>
      <c r="N21" s="48"/>
      <c r="O21" s="48"/>
      <c r="P21" s="48"/>
      <c r="Q21" s="48"/>
      <c r="R21" s="48"/>
      <c r="S21" s="48"/>
      <c r="T21" s="48"/>
      <c r="U21" s="48"/>
      <c r="V21" s="48"/>
      <c r="W21" s="48"/>
      <c r="X21" s="48"/>
      <c r="Y21" s="48"/>
      <c r="Z21" s="48"/>
      <c r="AB21" s="421"/>
    </row>
    <row r="22" spans="1:28" ht="15.75" thickBot="1">
      <c r="A22" s="41" t="s">
        <v>22</v>
      </c>
      <c r="B22" s="42" t="s">
        <v>139</v>
      </c>
      <c r="C22" s="43">
        <v>2.1</v>
      </c>
      <c r="D22" s="81">
        <v>2.1</v>
      </c>
      <c r="E22" s="81">
        <v>2.1</v>
      </c>
      <c r="F22" s="81">
        <v>2.1</v>
      </c>
      <c r="G22" s="81">
        <v>2.1</v>
      </c>
      <c r="H22" s="81">
        <v>2.1</v>
      </c>
      <c r="I22" s="82">
        <v>2.1</v>
      </c>
      <c r="J22" s="81">
        <v>2.1833333333333336</v>
      </c>
      <c r="K22" s="81">
        <v>2.2666666666666671</v>
      </c>
      <c r="L22" s="44">
        <v>2.3500000000000005</v>
      </c>
      <c r="M22" s="44">
        <v>2.433333333333334</v>
      </c>
      <c r="N22" s="43">
        <v>2.6</v>
      </c>
      <c r="O22" s="44">
        <v>2.7</v>
      </c>
      <c r="P22" s="44">
        <v>2.8000000000000003</v>
      </c>
      <c r="Q22" s="44">
        <v>2.9000000000000004</v>
      </c>
      <c r="R22" s="43">
        <v>3</v>
      </c>
      <c r="S22" s="44">
        <v>3.0333333333333332</v>
      </c>
      <c r="T22" s="44">
        <v>3.0666666666666664</v>
      </c>
      <c r="U22" s="44">
        <v>3.0999999999999996</v>
      </c>
      <c r="V22" s="44">
        <v>3.1333333333333329</v>
      </c>
      <c r="W22" s="44">
        <v>3.1666666666666661</v>
      </c>
      <c r="X22" s="44">
        <v>3.1999999999999993</v>
      </c>
      <c r="Y22" s="43">
        <v>3.2</v>
      </c>
      <c r="Z22" s="44">
        <v>3.2</v>
      </c>
      <c r="AA22" s="38">
        <v>5</v>
      </c>
      <c r="AB22" s="420">
        <v>0.16</v>
      </c>
    </row>
    <row r="23" spans="1:28" s="49" customFormat="1" ht="15.75" thickBot="1">
      <c r="A23" s="45"/>
      <c r="B23" s="46" t="s">
        <v>140</v>
      </c>
      <c r="C23" s="79">
        <v>2.1</v>
      </c>
      <c r="D23" s="84">
        <v>2.1</v>
      </c>
      <c r="E23" s="85">
        <v>2.1</v>
      </c>
      <c r="F23" s="85">
        <v>2.1</v>
      </c>
      <c r="G23" s="85">
        <v>2.1</v>
      </c>
      <c r="H23" s="85">
        <v>1</v>
      </c>
      <c r="I23" s="85">
        <v>3</v>
      </c>
      <c r="J23" s="85">
        <v>3</v>
      </c>
      <c r="K23" s="85">
        <v>3</v>
      </c>
      <c r="L23" s="85">
        <v>2</v>
      </c>
      <c r="M23" s="85">
        <v>2.6</v>
      </c>
      <c r="N23" s="423">
        <v>2.9</v>
      </c>
      <c r="O23" s="424">
        <v>2.9</v>
      </c>
      <c r="P23" s="424">
        <v>2.9</v>
      </c>
      <c r="Q23" s="424">
        <v>3</v>
      </c>
      <c r="R23" s="85">
        <v>3.1</v>
      </c>
      <c r="S23" s="85">
        <v>3.1</v>
      </c>
      <c r="T23" s="85">
        <v>3.1</v>
      </c>
      <c r="U23" s="85">
        <v>3.1</v>
      </c>
      <c r="V23" s="86">
        <v>3.4</v>
      </c>
      <c r="W23" s="80">
        <v>3.4</v>
      </c>
      <c r="X23" s="69">
        <v>3.6</v>
      </c>
      <c r="Y23" s="69">
        <v>0</v>
      </c>
      <c r="Z23" s="69">
        <v>0</v>
      </c>
      <c r="AB23" s="421"/>
    </row>
    <row r="24" spans="1:28" s="49" customFormat="1">
      <c r="A24" s="45"/>
      <c r="B24" s="46"/>
      <c r="C24" s="48"/>
      <c r="D24" s="422"/>
      <c r="E24" s="422"/>
      <c r="F24" s="422"/>
      <c r="G24" s="83"/>
      <c r="H24" s="83"/>
      <c r="I24" s="83"/>
      <c r="J24" s="83"/>
      <c r="K24" s="83"/>
      <c r="L24" s="48"/>
      <c r="M24" s="48"/>
      <c r="N24" s="48"/>
      <c r="O24" s="48"/>
      <c r="P24" s="48"/>
      <c r="Q24" s="48"/>
      <c r="R24" s="48"/>
      <c r="S24" s="48"/>
      <c r="T24" s="48"/>
      <c r="U24" s="48"/>
      <c r="V24" s="48"/>
      <c r="W24" s="48"/>
      <c r="X24" s="48"/>
      <c r="Y24" s="48"/>
      <c r="Z24" s="48"/>
      <c r="AB24" s="421"/>
    </row>
    <row r="25" spans="1:28" ht="15.75" thickBot="1">
      <c r="A25" s="41" t="s">
        <v>23</v>
      </c>
      <c r="B25" s="42" t="s">
        <v>139</v>
      </c>
      <c r="C25" s="43">
        <v>2.2000000000000002</v>
      </c>
      <c r="D25" s="81">
        <v>2.25</v>
      </c>
      <c r="E25" s="81">
        <v>2.2999999999999998</v>
      </c>
      <c r="F25" s="81">
        <v>2.3499999999999996</v>
      </c>
      <c r="G25" s="81">
        <v>2.3999999999999995</v>
      </c>
      <c r="H25" s="81">
        <v>2.4499999999999993</v>
      </c>
      <c r="I25" s="82">
        <v>2.5</v>
      </c>
      <c r="J25" s="81">
        <v>2.5666666666666664</v>
      </c>
      <c r="K25" s="81">
        <v>2.6333333333333329</v>
      </c>
      <c r="L25" s="44">
        <v>2.6999999999999993</v>
      </c>
      <c r="M25" s="44">
        <v>2.7666666666666657</v>
      </c>
      <c r="N25" s="43">
        <v>2.9</v>
      </c>
      <c r="O25" s="44">
        <v>2.9750000000000001</v>
      </c>
      <c r="P25" s="44">
        <v>3.0500000000000003</v>
      </c>
      <c r="Q25" s="44">
        <v>3.1250000000000004</v>
      </c>
      <c r="R25" s="43">
        <v>3.2</v>
      </c>
      <c r="S25" s="44">
        <v>3.25</v>
      </c>
      <c r="T25" s="44">
        <v>3.3</v>
      </c>
      <c r="U25" s="44">
        <v>3.3499999999999996</v>
      </c>
      <c r="V25" s="44">
        <v>3.3999999999999995</v>
      </c>
      <c r="W25" s="44">
        <v>4.1166666666666663</v>
      </c>
      <c r="X25" s="44">
        <v>4.3</v>
      </c>
      <c r="Y25" s="43">
        <v>4.3</v>
      </c>
      <c r="Z25" s="44">
        <v>4.3</v>
      </c>
      <c r="AA25" s="38">
        <v>5</v>
      </c>
      <c r="AB25" s="420">
        <v>0.16</v>
      </c>
    </row>
    <row r="26" spans="1:28" s="49" customFormat="1" ht="15.75" thickBot="1">
      <c r="A26" s="45"/>
      <c r="B26" s="46" t="s">
        <v>140</v>
      </c>
      <c r="C26" s="79">
        <v>2.2000000000000002</v>
      </c>
      <c r="D26" s="84">
        <v>2.2000000000000002</v>
      </c>
      <c r="E26" s="85">
        <v>2.2000000000000002</v>
      </c>
      <c r="F26" s="85">
        <v>2.2000000000000002</v>
      </c>
      <c r="G26" s="85">
        <v>2.2000000000000002</v>
      </c>
      <c r="H26" s="85">
        <v>2</v>
      </c>
      <c r="I26" s="85">
        <v>3</v>
      </c>
      <c r="J26" s="85">
        <v>3</v>
      </c>
      <c r="K26" s="85">
        <v>3</v>
      </c>
      <c r="L26" s="85">
        <v>2</v>
      </c>
      <c r="M26" s="85">
        <v>2.9</v>
      </c>
      <c r="N26" s="423">
        <v>3.1</v>
      </c>
      <c r="O26" s="424">
        <v>3.1</v>
      </c>
      <c r="P26" s="424">
        <v>3.1</v>
      </c>
      <c r="Q26" s="424">
        <v>3.3</v>
      </c>
      <c r="R26" s="85">
        <v>3.3</v>
      </c>
      <c r="S26" s="85">
        <v>3.3</v>
      </c>
      <c r="T26" s="85">
        <v>3.3</v>
      </c>
      <c r="U26" s="85">
        <v>3.3</v>
      </c>
      <c r="V26" s="86">
        <v>4.0999999999999996</v>
      </c>
      <c r="W26" s="80">
        <v>4.0999999999999996</v>
      </c>
      <c r="X26" s="69">
        <v>4.2</v>
      </c>
      <c r="Y26" s="69">
        <v>0</v>
      </c>
      <c r="Z26" s="69">
        <v>0</v>
      </c>
      <c r="AB26" s="421"/>
    </row>
    <row r="27" spans="1:28" s="49" customFormat="1">
      <c r="A27" s="45"/>
      <c r="B27" s="46"/>
      <c r="C27" s="48"/>
      <c r="D27" s="422"/>
      <c r="E27" s="422"/>
      <c r="F27" s="422"/>
      <c r="G27" s="83"/>
      <c r="H27" s="83"/>
      <c r="I27" s="83"/>
      <c r="J27" s="83"/>
      <c r="K27" s="83"/>
      <c r="L27" s="48"/>
      <c r="M27" s="48"/>
      <c r="N27" s="48"/>
      <c r="O27" s="48"/>
      <c r="P27" s="48"/>
      <c r="Q27" s="48"/>
      <c r="R27" s="48"/>
      <c r="S27" s="48"/>
      <c r="T27" s="48"/>
      <c r="U27" s="48"/>
      <c r="V27" s="48"/>
      <c r="W27" s="48"/>
      <c r="X27" s="48"/>
      <c r="Y27" s="48"/>
      <c r="Z27" s="48"/>
      <c r="AB27" s="421"/>
    </row>
    <row r="28" spans="1:28" ht="15.75" thickBot="1">
      <c r="A28" s="41" t="s">
        <v>38</v>
      </c>
      <c r="B28" s="42" t="s">
        <v>139</v>
      </c>
      <c r="C28" s="47"/>
      <c r="D28" s="47"/>
      <c r="E28" s="47"/>
      <c r="F28" s="47"/>
      <c r="G28" s="47"/>
      <c r="H28" s="47"/>
      <c r="I28" s="47"/>
      <c r="J28" s="47"/>
      <c r="K28" s="47"/>
      <c r="L28" s="47"/>
      <c r="M28" s="47"/>
      <c r="N28" s="43">
        <v>3.3</v>
      </c>
      <c r="O28" s="44">
        <v>3.3499999999999996</v>
      </c>
      <c r="P28" s="44">
        <v>3.3999999999999995</v>
      </c>
      <c r="Q28" s="44">
        <v>3.4499999999999993</v>
      </c>
      <c r="R28" s="43">
        <v>3.5</v>
      </c>
      <c r="S28" s="44">
        <v>3.55</v>
      </c>
      <c r="T28" s="44">
        <v>3.5999999999999996</v>
      </c>
      <c r="U28" s="44">
        <v>3.6499999999999995</v>
      </c>
      <c r="V28" s="44">
        <v>3.6999999999999993</v>
      </c>
      <c r="W28" s="44">
        <v>3.8333333333333321</v>
      </c>
      <c r="X28" s="44">
        <v>3.8999999999999986</v>
      </c>
      <c r="Y28" s="43">
        <v>3.9</v>
      </c>
      <c r="Z28" s="44">
        <v>3.9</v>
      </c>
      <c r="AA28" s="38">
        <v>5</v>
      </c>
      <c r="AB28" s="420">
        <v>0.16</v>
      </c>
    </row>
    <row r="29" spans="1:28" s="49" customFormat="1" ht="15.75" thickBot="1">
      <c r="A29" s="45"/>
      <c r="B29" s="46" t="s">
        <v>140</v>
      </c>
      <c r="C29" s="47"/>
      <c r="D29" s="47"/>
      <c r="E29" s="47"/>
      <c r="F29" s="47"/>
      <c r="G29" s="47"/>
      <c r="H29" s="47"/>
      <c r="I29" s="47"/>
      <c r="J29" s="47"/>
      <c r="K29" s="47"/>
      <c r="L29" s="47"/>
      <c r="M29" s="47"/>
      <c r="N29" s="47">
        <v>3.3</v>
      </c>
      <c r="O29" s="84">
        <v>3.1</v>
      </c>
      <c r="P29" s="424">
        <v>3.3</v>
      </c>
      <c r="Q29" s="424">
        <v>3.4</v>
      </c>
      <c r="R29" s="85">
        <v>3.4</v>
      </c>
      <c r="S29" s="85">
        <v>3.5</v>
      </c>
      <c r="T29" s="85">
        <v>3.5</v>
      </c>
      <c r="U29" s="85">
        <v>3.5</v>
      </c>
      <c r="V29" s="86">
        <v>3.8</v>
      </c>
      <c r="W29" s="80">
        <v>3.8</v>
      </c>
      <c r="X29" s="69">
        <v>4.0999999999999996</v>
      </c>
      <c r="Y29" s="69">
        <v>0</v>
      </c>
      <c r="Z29" s="69">
        <v>0</v>
      </c>
      <c r="AB29" s="421"/>
    </row>
    <row r="30" spans="1:28" s="49" customFormat="1">
      <c r="A30" s="45"/>
      <c r="B30" s="46"/>
      <c r="C30" s="48"/>
      <c r="D30" s="48"/>
      <c r="E30" s="48"/>
      <c r="F30" s="48"/>
      <c r="G30" s="48"/>
      <c r="H30" s="48"/>
      <c r="I30" s="48"/>
      <c r="J30" s="48"/>
      <c r="K30" s="48"/>
      <c r="L30" s="48"/>
      <c r="M30" s="48"/>
      <c r="N30" s="48"/>
      <c r="O30" s="48"/>
      <c r="P30" s="48"/>
      <c r="Q30" s="48"/>
      <c r="R30" s="48"/>
      <c r="S30" s="48"/>
      <c r="T30" s="48"/>
      <c r="U30" s="48"/>
      <c r="V30" s="48"/>
      <c r="W30" s="48"/>
      <c r="X30" s="48"/>
      <c r="Y30" s="48"/>
      <c r="Z30" s="48"/>
      <c r="AB30" s="421"/>
    </row>
    <row r="31" spans="1:28" ht="15.75" thickBot="1">
      <c r="A31" s="41" t="s">
        <v>39</v>
      </c>
      <c r="B31" s="42" t="s">
        <v>139</v>
      </c>
      <c r="C31" s="50">
        <v>0</v>
      </c>
      <c r="D31" s="73">
        <v>0.33333333333333331</v>
      </c>
      <c r="E31" s="73">
        <v>0.66666666666666663</v>
      </c>
      <c r="F31" s="73">
        <v>1</v>
      </c>
      <c r="G31" s="73">
        <v>1.3333333333333333</v>
      </c>
      <c r="H31" s="73">
        <v>1.6666666666666665</v>
      </c>
      <c r="I31" s="74">
        <v>2</v>
      </c>
      <c r="J31" s="73">
        <v>2.3333333333333335</v>
      </c>
      <c r="K31" s="73">
        <v>2.666666666666667</v>
      </c>
      <c r="L31" s="51">
        <v>3.0000000000000004</v>
      </c>
      <c r="M31" s="51">
        <v>3.3333333333333339</v>
      </c>
      <c r="N31" s="50">
        <v>4</v>
      </c>
      <c r="O31" s="51">
        <v>5</v>
      </c>
      <c r="P31" s="51">
        <v>6</v>
      </c>
      <c r="Q31" s="51">
        <v>7</v>
      </c>
      <c r="R31" s="50">
        <v>8</v>
      </c>
      <c r="S31" s="51">
        <v>8.3333333333333339</v>
      </c>
      <c r="T31" s="51">
        <v>8.6666666666666679</v>
      </c>
      <c r="U31" s="51">
        <v>9.0000000000000018</v>
      </c>
      <c r="V31" s="51">
        <v>9.3333333333333357</v>
      </c>
      <c r="W31" s="51">
        <v>11.33333333333333</v>
      </c>
      <c r="X31" s="51">
        <v>11.999999999999996</v>
      </c>
      <c r="Y31" s="50">
        <v>12</v>
      </c>
      <c r="Z31" s="51">
        <v>12</v>
      </c>
      <c r="AA31" s="38">
        <v>20</v>
      </c>
      <c r="AB31" s="420">
        <v>0.8</v>
      </c>
    </row>
    <row r="32" spans="1:28" s="49" customFormat="1" ht="15.75" thickBot="1">
      <c r="A32" s="45"/>
      <c r="B32" s="46" t="s">
        <v>140</v>
      </c>
      <c r="C32" s="71">
        <v>0</v>
      </c>
      <c r="D32" s="76">
        <v>0</v>
      </c>
      <c r="E32" s="77">
        <v>1</v>
      </c>
      <c r="F32" s="77">
        <v>1</v>
      </c>
      <c r="G32" s="77">
        <v>1</v>
      </c>
      <c r="H32" s="77">
        <v>2</v>
      </c>
      <c r="I32" s="77">
        <v>2</v>
      </c>
      <c r="J32" s="77">
        <v>2</v>
      </c>
      <c r="K32" s="77">
        <v>2</v>
      </c>
      <c r="L32" s="77">
        <v>5</v>
      </c>
      <c r="M32" s="77">
        <v>6</v>
      </c>
      <c r="N32" s="425">
        <v>6</v>
      </c>
      <c r="O32" s="426">
        <v>6</v>
      </c>
      <c r="P32" s="426">
        <v>6</v>
      </c>
      <c r="Q32" s="426">
        <v>8</v>
      </c>
      <c r="R32" s="77">
        <v>9</v>
      </c>
      <c r="S32" s="77">
        <v>10</v>
      </c>
      <c r="T32" s="77">
        <v>11</v>
      </c>
      <c r="U32" s="77">
        <v>12</v>
      </c>
      <c r="V32" s="78">
        <v>11</v>
      </c>
      <c r="W32" s="72">
        <v>11</v>
      </c>
      <c r="X32" s="70">
        <v>11</v>
      </c>
      <c r="Y32" s="70">
        <v>0</v>
      </c>
      <c r="Z32" s="70">
        <v>0</v>
      </c>
      <c r="AB32" s="421"/>
    </row>
    <row r="33" spans="1:28" s="49" customFormat="1">
      <c r="A33" s="45"/>
      <c r="B33" s="46"/>
      <c r="C33" s="53"/>
      <c r="D33" s="75"/>
      <c r="E33" s="75"/>
      <c r="F33" s="75"/>
      <c r="G33" s="75"/>
      <c r="H33" s="75"/>
      <c r="I33" s="75"/>
      <c r="J33" s="75"/>
      <c r="K33" s="75"/>
      <c r="L33" s="53"/>
      <c r="M33" s="53"/>
      <c r="N33" s="53"/>
      <c r="O33" s="53"/>
      <c r="P33" s="53"/>
      <c r="Q33" s="53"/>
      <c r="R33" s="53"/>
      <c r="S33" s="53"/>
      <c r="T33" s="53"/>
      <c r="U33" s="53"/>
      <c r="V33" s="53"/>
      <c r="W33" s="53"/>
      <c r="X33" s="53"/>
      <c r="Y33" s="53"/>
      <c r="Z33" s="53"/>
      <c r="AB33" s="421"/>
    </row>
    <row r="34" spans="1:28" ht="15.75" thickBot="1">
      <c r="A34" s="41" t="s">
        <v>185</v>
      </c>
      <c r="B34" s="42" t="s">
        <v>222</v>
      </c>
      <c r="C34" s="50">
        <v>0</v>
      </c>
      <c r="D34" s="73">
        <v>0.16666666666666666</v>
      </c>
      <c r="E34" s="73">
        <v>0.33333333333333331</v>
      </c>
      <c r="F34" s="73">
        <v>0.5</v>
      </c>
      <c r="G34" s="73">
        <v>0.66666666666666663</v>
      </c>
      <c r="H34" s="73">
        <v>0.83333333333333326</v>
      </c>
      <c r="I34" s="74">
        <v>1</v>
      </c>
      <c r="J34" s="73">
        <v>1.1666666666666667</v>
      </c>
      <c r="K34" s="73">
        <v>1.3333333333333335</v>
      </c>
      <c r="L34" s="51">
        <v>1.5000000000000002</v>
      </c>
      <c r="M34" s="51">
        <v>1.666666666666667</v>
      </c>
      <c r="N34" s="50">
        <v>2</v>
      </c>
      <c r="O34" s="51">
        <v>2.75</v>
      </c>
      <c r="P34" s="51">
        <v>3.5</v>
      </c>
      <c r="Q34" s="51">
        <v>4.25</v>
      </c>
      <c r="R34" s="50">
        <v>5</v>
      </c>
      <c r="S34" s="51">
        <v>5.333333333333333</v>
      </c>
      <c r="T34" s="51">
        <v>5.6666666666666661</v>
      </c>
      <c r="U34" s="51">
        <v>5.9999999999999991</v>
      </c>
      <c r="V34" s="51">
        <v>6.3333333333333321</v>
      </c>
      <c r="W34" s="51">
        <v>6.6666666666666652</v>
      </c>
      <c r="X34" s="51">
        <v>6.9999999999999982</v>
      </c>
      <c r="Y34" s="50">
        <v>7</v>
      </c>
      <c r="Z34" s="51">
        <v>7</v>
      </c>
      <c r="AA34" s="38">
        <v>15</v>
      </c>
      <c r="AB34" s="420">
        <v>0.6</v>
      </c>
    </row>
    <row r="35" spans="1:28" s="49" customFormat="1" ht="15.75" thickBot="1">
      <c r="A35" s="45"/>
      <c r="B35" s="46" t="s">
        <v>223</v>
      </c>
      <c r="C35" s="71">
        <v>0</v>
      </c>
      <c r="D35" s="76">
        <v>0</v>
      </c>
      <c r="E35" s="77">
        <v>0</v>
      </c>
      <c r="F35" s="77">
        <v>0</v>
      </c>
      <c r="G35" s="77">
        <v>0</v>
      </c>
      <c r="H35" s="77">
        <v>1</v>
      </c>
      <c r="I35" s="77">
        <v>1</v>
      </c>
      <c r="J35" s="77">
        <v>1</v>
      </c>
      <c r="K35" s="77">
        <v>2</v>
      </c>
      <c r="L35" s="77">
        <v>2</v>
      </c>
      <c r="M35" s="77">
        <v>3</v>
      </c>
      <c r="N35" s="425">
        <v>4</v>
      </c>
      <c r="O35" s="426">
        <v>4</v>
      </c>
      <c r="P35" s="426">
        <v>4</v>
      </c>
      <c r="Q35" s="426">
        <v>5</v>
      </c>
      <c r="R35" s="77">
        <v>6</v>
      </c>
      <c r="S35" s="77">
        <v>7</v>
      </c>
      <c r="T35" s="77">
        <v>7</v>
      </c>
      <c r="U35" s="77">
        <v>7</v>
      </c>
      <c r="V35" s="78">
        <v>5</v>
      </c>
      <c r="W35" s="72">
        <v>5</v>
      </c>
      <c r="X35" s="70">
        <v>5</v>
      </c>
      <c r="Y35" s="70">
        <v>0</v>
      </c>
      <c r="Z35" s="70">
        <v>0</v>
      </c>
      <c r="AB35" s="421"/>
    </row>
    <row r="36" spans="1:28" s="49" customFormat="1">
      <c r="A36" s="45"/>
      <c r="B36" s="46"/>
      <c r="C36" s="53"/>
      <c r="D36" s="75"/>
      <c r="E36" s="75"/>
      <c r="F36" s="75"/>
      <c r="G36" s="75"/>
      <c r="H36" s="75"/>
      <c r="I36" s="75"/>
      <c r="J36" s="75"/>
      <c r="K36" s="75"/>
      <c r="L36" s="53"/>
      <c r="M36" s="53"/>
      <c r="N36" s="53"/>
      <c r="O36" s="53"/>
      <c r="P36" s="53"/>
      <c r="Q36" s="53"/>
      <c r="R36" s="53"/>
      <c r="S36" s="53"/>
      <c r="T36" s="53"/>
      <c r="U36" s="53"/>
      <c r="V36" s="53"/>
      <c r="W36" s="53"/>
      <c r="X36" s="53"/>
      <c r="Y36" s="53"/>
      <c r="Z36" s="53"/>
      <c r="AB36" s="421"/>
    </row>
    <row r="37" spans="1:28" ht="15.75" thickBot="1">
      <c r="A37" s="41" t="s">
        <v>184</v>
      </c>
      <c r="B37" s="42" t="s">
        <v>226</v>
      </c>
      <c r="C37" s="50">
        <v>0</v>
      </c>
      <c r="D37" s="73">
        <v>0.16666666666666666</v>
      </c>
      <c r="E37" s="73">
        <v>0.33333333333333331</v>
      </c>
      <c r="F37" s="73">
        <v>0.5</v>
      </c>
      <c r="G37" s="73">
        <v>0.66666666666666663</v>
      </c>
      <c r="H37" s="73">
        <v>0.83333333333333326</v>
      </c>
      <c r="I37" s="74">
        <v>1</v>
      </c>
      <c r="J37" s="73">
        <v>1.1666666666666667</v>
      </c>
      <c r="K37" s="73">
        <v>1.3333333333333335</v>
      </c>
      <c r="L37" s="51">
        <v>1.5000000000000002</v>
      </c>
      <c r="M37" s="51">
        <v>1.666666666666667</v>
      </c>
      <c r="N37" s="50">
        <v>2</v>
      </c>
      <c r="O37" s="51">
        <v>2.25</v>
      </c>
      <c r="P37" s="51">
        <v>2.5</v>
      </c>
      <c r="Q37" s="51">
        <v>2.75</v>
      </c>
      <c r="R37" s="50">
        <v>3</v>
      </c>
      <c r="S37" s="51">
        <v>3.3333333333333335</v>
      </c>
      <c r="T37" s="51">
        <v>3.666666666666667</v>
      </c>
      <c r="U37" s="51">
        <v>4</v>
      </c>
      <c r="V37" s="51">
        <v>4.333333333333333</v>
      </c>
      <c r="W37" s="51">
        <v>4.6666666666666661</v>
      </c>
      <c r="X37" s="51">
        <v>4.9999999999999991</v>
      </c>
      <c r="Y37" s="50">
        <v>5</v>
      </c>
      <c r="Z37" s="51">
        <v>5</v>
      </c>
      <c r="AA37" s="38">
        <v>10</v>
      </c>
      <c r="AB37" s="420">
        <v>0.4</v>
      </c>
    </row>
    <row r="38" spans="1:28" s="49" customFormat="1" ht="15.75" thickBot="1">
      <c r="A38" s="45"/>
      <c r="B38" s="46" t="s">
        <v>227</v>
      </c>
      <c r="C38" s="71">
        <v>0</v>
      </c>
      <c r="D38" s="76">
        <v>0</v>
      </c>
      <c r="E38" s="77">
        <v>0</v>
      </c>
      <c r="F38" s="77">
        <v>0</v>
      </c>
      <c r="G38" s="77">
        <v>0</v>
      </c>
      <c r="H38" s="77">
        <v>0</v>
      </c>
      <c r="I38" s="77">
        <v>0</v>
      </c>
      <c r="J38" s="77">
        <v>0</v>
      </c>
      <c r="K38" s="77">
        <v>0</v>
      </c>
      <c r="L38" s="77">
        <v>0</v>
      </c>
      <c r="M38" s="77">
        <v>1</v>
      </c>
      <c r="N38" s="425">
        <v>1</v>
      </c>
      <c r="O38" s="426">
        <v>1</v>
      </c>
      <c r="P38" s="426">
        <v>1</v>
      </c>
      <c r="Q38" s="426">
        <v>2</v>
      </c>
      <c r="R38" s="77">
        <v>2</v>
      </c>
      <c r="S38" s="77">
        <v>2</v>
      </c>
      <c r="T38" s="77">
        <v>2</v>
      </c>
      <c r="U38" s="77">
        <v>2</v>
      </c>
      <c r="V38" s="78">
        <v>2</v>
      </c>
      <c r="W38" s="72">
        <v>2</v>
      </c>
      <c r="X38" s="70">
        <v>2</v>
      </c>
      <c r="Y38" s="70">
        <v>0</v>
      </c>
      <c r="Z38" s="70">
        <v>0</v>
      </c>
      <c r="AB38" s="421"/>
    </row>
    <row r="39" spans="1:28" s="49" customFormat="1">
      <c r="A39" s="45"/>
      <c r="B39" s="46"/>
      <c r="C39" s="53"/>
      <c r="D39" s="75"/>
      <c r="E39" s="75"/>
      <c r="F39" s="75"/>
      <c r="G39" s="75"/>
      <c r="H39" s="75"/>
      <c r="I39" s="75"/>
      <c r="J39" s="75"/>
      <c r="K39" s="75"/>
      <c r="L39" s="53"/>
      <c r="M39" s="53"/>
      <c r="N39" s="53"/>
      <c r="O39" s="53"/>
      <c r="P39" s="53"/>
      <c r="Q39" s="53"/>
      <c r="R39" s="53"/>
      <c r="S39" s="53"/>
      <c r="T39" s="53"/>
      <c r="U39" s="53"/>
      <c r="V39" s="53"/>
      <c r="W39" s="53"/>
      <c r="X39" s="53"/>
      <c r="Y39" s="53"/>
      <c r="Z39" s="53"/>
      <c r="AB39" s="421"/>
    </row>
    <row r="40" spans="1:28" ht="15.75" thickBot="1">
      <c r="A40" s="41" t="s">
        <v>183</v>
      </c>
      <c r="B40" s="42" t="s">
        <v>224</v>
      </c>
      <c r="C40" s="50">
        <v>0</v>
      </c>
      <c r="D40" s="73">
        <v>0</v>
      </c>
      <c r="E40" s="73">
        <v>0</v>
      </c>
      <c r="F40" s="73">
        <v>0</v>
      </c>
      <c r="G40" s="73">
        <v>0</v>
      </c>
      <c r="H40" s="73">
        <v>0</v>
      </c>
      <c r="I40" s="74">
        <v>0</v>
      </c>
      <c r="J40" s="73">
        <v>0</v>
      </c>
      <c r="K40" s="73">
        <v>0</v>
      </c>
      <c r="L40" s="51">
        <v>0</v>
      </c>
      <c r="M40" s="51">
        <v>0</v>
      </c>
      <c r="N40" s="50">
        <v>0</v>
      </c>
      <c r="O40" s="51">
        <v>0.25</v>
      </c>
      <c r="P40" s="51">
        <v>0.5</v>
      </c>
      <c r="Q40" s="51">
        <v>0.75</v>
      </c>
      <c r="R40" s="50">
        <v>1</v>
      </c>
      <c r="S40" s="51">
        <v>1.1666666666666667</v>
      </c>
      <c r="T40" s="51">
        <v>1.3333333333333335</v>
      </c>
      <c r="U40" s="51">
        <v>1.5000000000000002</v>
      </c>
      <c r="V40" s="51">
        <v>1.666666666666667</v>
      </c>
      <c r="W40" s="51">
        <v>1.8333333333333337</v>
      </c>
      <c r="X40" s="51">
        <v>2.0000000000000004</v>
      </c>
      <c r="Y40" s="50">
        <v>2</v>
      </c>
      <c r="Z40" s="51">
        <v>2</v>
      </c>
      <c r="AA40" s="38">
        <v>5</v>
      </c>
      <c r="AB40" s="420">
        <v>0.2</v>
      </c>
    </row>
    <row r="41" spans="1:28" s="49" customFormat="1" ht="15.75" thickBot="1">
      <c r="A41" s="45"/>
      <c r="B41" s="46" t="s">
        <v>225</v>
      </c>
      <c r="C41" s="71">
        <v>0</v>
      </c>
      <c r="D41" s="76">
        <v>0</v>
      </c>
      <c r="E41" s="77">
        <v>0</v>
      </c>
      <c r="F41" s="77">
        <v>0</v>
      </c>
      <c r="G41" s="77">
        <v>0</v>
      </c>
      <c r="H41" s="77">
        <v>0</v>
      </c>
      <c r="I41" s="77">
        <v>0</v>
      </c>
      <c r="J41" s="77">
        <v>0</v>
      </c>
      <c r="K41" s="77">
        <v>0</v>
      </c>
      <c r="L41" s="77">
        <v>0</v>
      </c>
      <c r="M41" s="77">
        <v>0</v>
      </c>
      <c r="N41" s="425">
        <v>0</v>
      </c>
      <c r="O41" s="426">
        <v>0</v>
      </c>
      <c r="P41" s="426">
        <v>0</v>
      </c>
      <c r="Q41" s="426">
        <v>0</v>
      </c>
      <c r="R41" s="77">
        <v>0</v>
      </c>
      <c r="S41" s="77">
        <v>0</v>
      </c>
      <c r="T41" s="77">
        <v>0</v>
      </c>
      <c r="U41" s="77">
        <v>0</v>
      </c>
      <c r="V41" s="78">
        <v>0</v>
      </c>
      <c r="W41" s="72">
        <v>0</v>
      </c>
      <c r="X41" s="70">
        <v>0</v>
      </c>
      <c r="Y41" s="70">
        <v>0</v>
      </c>
      <c r="Z41" s="70">
        <v>0</v>
      </c>
      <c r="AB41" s="421"/>
    </row>
    <row r="42" spans="1:28" s="49" customFormat="1">
      <c r="A42" s="45"/>
      <c r="B42" s="46"/>
      <c r="C42" s="48"/>
      <c r="D42" s="83"/>
      <c r="E42" s="83"/>
      <c r="F42" s="83"/>
      <c r="G42" s="83"/>
      <c r="H42" s="83"/>
      <c r="I42" s="83"/>
      <c r="J42" s="83"/>
      <c r="K42" s="83"/>
      <c r="L42" s="48"/>
      <c r="M42" s="48"/>
      <c r="N42" s="48"/>
      <c r="O42" s="48"/>
      <c r="P42" s="48"/>
      <c r="Q42" s="48"/>
      <c r="R42" s="48"/>
      <c r="S42" s="48"/>
      <c r="T42" s="48"/>
      <c r="U42" s="48"/>
      <c r="V42" s="48"/>
      <c r="W42" s="48"/>
      <c r="X42" s="48"/>
      <c r="Y42" s="48"/>
      <c r="Z42" s="48"/>
      <c r="AB42" s="421"/>
    </row>
    <row r="43" spans="1:28" ht="15.75" thickBot="1">
      <c r="A43" s="41" t="s">
        <v>16</v>
      </c>
      <c r="B43" s="42" t="s">
        <v>139</v>
      </c>
      <c r="C43" s="43">
        <v>1</v>
      </c>
      <c r="D43" s="81">
        <v>1.1666666666666667</v>
      </c>
      <c r="E43" s="81">
        <v>1.3333333333333335</v>
      </c>
      <c r="F43" s="81">
        <v>1.5000000000000002</v>
      </c>
      <c r="G43" s="81">
        <v>1.666666666666667</v>
      </c>
      <c r="H43" s="81">
        <v>1.8333333333333337</v>
      </c>
      <c r="I43" s="82">
        <v>2</v>
      </c>
      <c r="J43" s="81">
        <v>2.1666666666666665</v>
      </c>
      <c r="K43" s="81">
        <v>2.333333333333333</v>
      </c>
      <c r="L43" s="44">
        <v>2.4999999999999996</v>
      </c>
      <c r="M43" s="44">
        <v>2.6666666666666661</v>
      </c>
      <c r="N43" s="43">
        <v>3</v>
      </c>
      <c r="O43" s="44">
        <v>2.85</v>
      </c>
      <c r="P43" s="44">
        <v>2.7</v>
      </c>
      <c r="Q43" s="44">
        <v>2.5500000000000003</v>
      </c>
      <c r="R43" s="43">
        <v>2.4</v>
      </c>
      <c r="S43" s="44">
        <v>2.5</v>
      </c>
      <c r="T43" s="44">
        <v>2.6</v>
      </c>
      <c r="U43" s="44">
        <v>2.7</v>
      </c>
      <c r="V43" s="44">
        <v>2.8000000000000003</v>
      </c>
      <c r="W43" s="44">
        <v>3.5666666666666669</v>
      </c>
      <c r="X43" s="44">
        <v>3.8000000000000003</v>
      </c>
      <c r="Y43" s="43">
        <v>3.8</v>
      </c>
      <c r="Z43" s="44">
        <v>3.8</v>
      </c>
      <c r="AA43" s="38">
        <v>5</v>
      </c>
      <c r="AB43" s="420">
        <v>0.16</v>
      </c>
    </row>
    <row r="44" spans="1:28" s="49" customFormat="1" ht="15.75" thickBot="1">
      <c r="A44" s="45"/>
      <c r="B44" s="46" t="s">
        <v>140</v>
      </c>
      <c r="C44" s="79">
        <v>1</v>
      </c>
      <c r="D44" s="84">
        <v>1.2</v>
      </c>
      <c r="E44" s="85">
        <v>1.2</v>
      </c>
      <c r="F44" s="85">
        <v>1.2</v>
      </c>
      <c r="G44" s="85">
        <v>1.2</v>
      </c>
      <c r="H44" s="85">
        <v>1.2</v>
      </c>
      <c r="I44" s="85">
        <v>1.4</v>
      </c>
      <c r="J44" s="85">
        <v>2</v>
      </c>
      <c r="K44" s="85">
        <v>2</v>
      </c>
      <c r="L44" s="85">
        <v>2</v>
      </c>
      <c r="M44" s="85">
        <v>2</v>
      </c>
      <c r="N44" s="423">
        <v>2.2999999999999998</v>
      </c>
      <c r="O44" s="424">
        <v>2.2999999999999998</v>
      </c>
      <c r="P44" s="424">
        <v>1.75</v>
      </c>
      <c r="Q44" s="424">
        <v>2</v>
      </c>
      <c r="R44" s="85">
        <v>2.5</v>
      </c>
      <c r="S44" s="85">
        <v>2.5</v>
      </c>
      <c r="T44" s="85">
        <v>3.2</v>
      </c>
      <c r="U44" s="85">
        <v>3.2</v>
      </c>
      <c r="V44" s="86">
        <v>3.7</v>
      </c>
      <c r="W44" s="80">
        <v>3.7</v>
      </c>
      <c r="X44" s="69">
        <v>4.3</v>
      </c>
      <c r="Y44" s="69">
        <v>0</v>
      </c>
      <c r="Z44" s="69">
        <v>0</v>
      </c>
      <c r="AB44" s="421"/>
    </row>
    <row r="45" spans="1:28" s="49" customFormat="1">
      <c r="A45" s="45"/>
      <c r="B45" s="46"/>
      <c r="C45" s="48"/>
      <c r="D45" s="83"/>
      <c r="E45" s="83"/>
      <c r="F45" s="83"/>
      <c r="G45" s="83"/>
      <c r="H45" s="83"/>
      <c r="I45" s="83"/>
      <c r="J45" s="83"/>
      <c r="K45" s="83"/>
      <c r="L45" s="48"/>
      <c r="M45" s="48"/>
      <c r="N45" s="48"/>
      <c r="O45" s="48"/>
      <c r="P45" s="48"/>
      <c r="Q45" s="48"/>
      <c r="R45" s="48"/>
      <c r="S45" s="48"/>
      <c r="T45" s="48"/>
      <c r="U45" s="48"/>
      <c r="V45" s="48"/>
      <c r="W45" s="48"/>
      <c r="X45" s="48"/>
      <c r="Y45" s="48"/>
      <c r="Z45" s="48"/>
      <c r="AB45" s="421"/>
    </row>
    <row r="46" spans="1:28" ht="15.75" thickBot="1">
      <c r="A46" s="41" t="s">
        <v>17</v>
      </c>
      <c r="B46" s="42" t="s">
        <v>139</v>
      </c>
      <c r="C46" s="43">
        <v>1</v>
      </c>
      <c r="D46" s="81">
        <v>1.1666666666666667</v>
      </c>
      <c r="E46" s="81">
        <v>1.3333333333333335</v>
      </c>
      <c r="F46" s="81">
        <v>1.5000000000000002</v>
      </c>
      <c r="G46" s="81">
        <v>1.666666666666667</v>
      </c>
      <c r="H46" s="81">
        <v>1.8333333333333337</v>
      </c>
      <c r="I46" s="82">
        <v>2</v>
      </c>
      <c r="J46" s="81">
        <v>2.1666666666666665</v>
      </c>
      <c r="K46" s="81">
        <v>2.333333333333333</v>
      </c>
      <c r="L46" s="44">
        <v>2.4999999999999996</v>
      </c>
      <c r="M46" s="44">
        <v>2.6666666666666661</v>
      </c>
      <c r="N46" s="43">
        <v>3</v>
      </c>
      <c r="O46" s="44">
        <v>3</v>
      </c>
      <c r="P46" s="44">
        <v>3</v>
      </c>
      <c r="Q46" s="44">
        <v>3</v>
      </c>
      <c r="R46" s="43">
        <v>3</v>
      </c>
      <c r="S46" s="44">
        <v>3.05</v>
      </c>
      <c r="T46" s="44">
        <v>3.0999999999999996</v>
      </c>
      <c r="U46" s="44">
        <v>3.1499999999999995</v>
      </c>
      <c r="V46" s="44">
        <v>3.1999999999999993</v>
      </c>
      <c r="W46" s="44">
        <v>3.8333333333333326</v>
      </c>
      <c r="X46" s="44">
        <v>3.9999999999999991</v>
      </c>
      <c r="Y46" s="43">
        <v>4</v>
      </c>
      <c r="Z46" s="44">
        <v>4</v>
      </c>
      <c r="AA46" s="38">
        <v>5</v>
      </c>
      <c r="AB46" s="420">
        <v>0.16</v>
      </c>
    </row>
    <row r="47" spans="1:28" s="49" customFormat="1" ht="15.75" thickBot="1">
      <c r="A47" s="45"/>
      <c r="B47" s="46" t="s">
        <v>140</v>
      </c>
      <c r="C47" s="79">
        <v>1</v>
      </c>
      <c r="D47" s="84">
        <v>1.2</v>
      </c>
      <c r="E47" s="85">
        <v>1.2</v>
      </c>
      <c r="F47" s="85">
        <v>1.2</v>
      </c>
      <c r="G47" s="85">
        <v>1.2</v>
      </c>
      <c r="H47" s="85">
        <v>1.2</v>
      </c>
      <c r="I47" s="85">
        <v>1.4</v>
      </c>
      <c r="J47" s="85">
        <v>2</v>
      </c>
      <c r="K47" s="85">
        <v>2</v>
      </c>
      <c r="L47" s="85">
        <v>2</v>
      </c>
      <c r="M47" s="85">
        <v>2</v>
      </c>
      <c r="N47" s="423">
        <v>2.9</v>
      </c>
      <c r="O47" s="424">
        <v>2.9</v>
      </c>
      <c r="P47" s="424">
        <v>2.2999999999999998</v>
      </c>
      <c r="Q47" s="424">
        <v>2.9</v>
      </c>
      <c r="R47" s="85">
        <v>3</v>
      </c>
      <c r="S47" s="85">
        <v>3</v>
      </c>
      <c r="T47" s="85">
        <v>3.8</v>
      </c>
      <c r="U47" s="85">
        <v>3.8</v>
      </c>
      <c r="V47" s="86">
        <v>4</v>
      </c>
      <c r="W47" s="80">
        <v>4</v>
      </c>
      <c r="X47" s="69">
        <v>4.5</v>
      </c>
      <c r="Y47" s="69">
        <v>0</v>
      </c>
      <c r="Z47" s="69">
        <v>0</v>
      </c>
      <c r="AB47" s="421"/>
    </row>
    <row r="48" spans="1:28" s="49" customFormat="1">
      <c r="A48" s="45"/>
      <c r="B48" s="46"/>
      <c r="C48" s="48"/>
      <c r="D48" s="83"/>
      <c r="E48" s="83"/>
      <c r="F48" s="83"/>
      <c r="G48" s="83"/>
      <c r="H48" s="83"/>
      <c r="I48" s="83"/>
      <c r="J48" s="83"/>
      <c r="K48" s="83"/>
      <c r="L48" s="48"/>
      <c r="M48" s="48"/>
      <c r="N48" s="48"/>
      <c r="O48" s="48"/>
      <c r="P48" s="48"/>
      <c r="Q48" s="48"/>
      <c r="R48" s="48"/>
      <c r="S48" s="48"/>
      <c r="T48" s="48"/>
      <c r="U48" s="48"/>
      <c r="V48" s="48"/>
      <c r="W48" s="48"/>
      <c r="X48" s="48"/>
      <c r="Y48" s="48"/>
      <c r="Z48" s="48"/>
      <c r="AB48" s="421"/>
    </row>
    <row r="49" spans="1:28" ht="15.75" thickBot="1">
      <c r="A49" s="41" t="s">
        <v>18</v>
      </c>
      <c r="B49" s="42" t="s">
        <v>139</v>
      </c>
      <c r="C49" s="50">
        <v>0</v>
      </c>
      <c r="D49" s="73">
        <v>0.33333333333333331</v>
      </c>
      <c r="E49" s="73">
        <v>0.66666666666666663</v>
      </c>
      <c r="F49" s="73">
        <v>1</v>
      </c>
      <c r="G49" s="73">
        <v>1.3333333333333333</v>
      </c>
      <c r="H49" s="73">
        <v>1.6666666666666665</v>
      </c>
      <c r="I49" s="74">
        <v>2</v>
      </c>
      <c r="J49" s="73">
        <v>2.8333333333333335</v>
      </c>
      <c r="K49" s="73">
        <v>3.666666666666667</v>
      </c>
      <c r="L49" s="51">
        <v>4.5</v>
      </c>
      <c r="M49" s="51">
        <v>5.333333333333333</v>
      </c>
      <c r="N49" s="50">
        <v>7</v>
      </c>
      <c r="O49" s="51">
        <v>6.5</v>
      </c>
      <c r="P49" s="51">
        <v>6</v>
      </c>
      <c r="Q49" s="51">
        <v>5.5</v>
      </c>
      <c r="R49" s="50">
        <v>5</v>
      </c>
      <c r="S49" s="51">
        <v>5.333333333333333</v>
      </c>
      <c r="T49" s="51">
        <v>5.6666666666666661</v>
      </c>
      <c r="U49" s="51">
        <v>5.9999999999999991</v>
      </c>
      <c r="V49" s="51">
        <v>6.3333333333333321</v>
      </c>
      <c r="W49" s="51">
        <v>6.6666666666666652</v>
      </c>
      <c r="X49" s="51">
        <v>6.9999999999999982</v>
      </c>
      <c r="Y49" s="50">
        <v>7</v>
      </c>
      <c r="Z49" s="51">
        <v>7</v>
      </c>
      <c r="AA49" s="38">
        <v>10</v>
      </c>
      <c r="AB49" s="420">
        <v>0.4</v>
      </c>
    </row>
    <row r="50" spans="1:28" s="49" customFormat="1" ht="15.75" thickBot="1">
      <c r="A50" s="45"/>
      <c r="B50" s="46" t="s">
        <v>140</v>
      </c>
      <c r="C50" s="71">
        <v>0</v>
      </c>
      <c r="D50" s="76">
        <v>0</v>
      </c>
      <c r="E50" s="77">
        <v>0</v>
      </c>
      <c r="F50" s="77">
        <v>0</v>
      </c>
      <c r="G50" s="77">
        <v>0</v>
      </c>
      <c r="H50" s="77">
        <v>0</v>
      </c>
      <c r="I50" s="77">
        <v>0</v>
      </c>
      <c r="J50" s="77">
        <v>0</v>
      </c>
      <c r="K50" s="77">
        <v>0</v>
      </c>
      <c r="L50" s="77">
        <v>8</v>
      </c>
      <c r="M50" s="77">
        <v>4</v>
      </c>
      <c r="N50" s="425">
        <v>4</v>
      </c>
      <c r="O50" s="426">
        <v>4</v>
      </c>
      <c r="P50" s="426">
        <v>4</v>
      </c>
      <c r="Q50" s="426">
        <v>5</v>
      </c>
      <c r="R50" s="85">
        <v>7</v>
      </c>
      <c r="S50" s="85">
        <v>7</v>
      </c>
      <c r="T50" s="85">
        <v>9</v>
      </c>
      <c r="U50" s="85">
        <v>10</v>
      </c>
      <c r="V50" s="86">
        <v>9</v>
      </c>
      <c r="W50" s="80">
        <v>9</v>
      </c>
      <c r="X50" s="69">
        <v>9</v>
      </c>
      <c r="Y50" s="69">
        <v>0</v>
      </c>
      <c r="Z50" s="69">
        <v>0</v>
      </c>
      <c r="AB50" s="421"/>
    </row>
    <row r="51" spans="1:28" s="49" customFormat="1">
      <c r="A51" s="45"/>
      <c r="B51" s="46"/>
      <c r="C51" s="48"/>
      <c r="D51" s="83"/>
      <c r="E51" s="83"/>
      <c r="F51" s="83"/>
      <c r="G51" s="83"/>
      <c r="H51" s="83"/>
      <c r="I51" s="83"/>
      <c r="J51" s="83"/>
      <c r="K51" s="83"/>
      <c r="L51" s="48"/>
      <c r="M51" s="48"/>
      <c r="N51" s="48"/>
      <c r="O51" s="48"/>
      <c r="P51" s="48"/>
      <c r="Q51" s="48"/>
      <c r="R51" s="48"/>
      <c r="S51" s="48"/>
      <c r="T51" s="48"/>
      <c r="U51" s="48"/>
      <c r="V51" s="48"/>
      <c r="W51" s="48"/>
      <c r="X51" s="48"/>
      <c r="Y51" s="48"/>
      <c r="Z51" s="48"/>
      <c r="AB51" s="421"/>
    </row>
    <row r="52" spans="1:28" ht="15.75" thickBot="1">
      <c r="A52" s="41" t="s">
        <v>19</v>
      </c>
      <c r="B52" s="42" t="s">
        <v>139</v>
      </c>
      <c r="C52" s="43">
        <v>1</v>
      </c>
      <c r="D52" s="81">
        <v>1.0833333333333333</v>
      </c>
      <c r="E52" s="81">
        <v>1.1666666666666665</v>
      </c>
      <c r="F52" s="81">
        <v>1.2499999999999998</v>
      </c>
      <c r="G52" s="81">
        <v>1.333333333333333</v>
      </c>
      <c r="H52" s="81">
        <v>1.4166666666666663</v>
      </c>
      <c r="I52" s="82">
        <v>1.5</v>
      </c>
      <c r="J52" s="81">
        <v>1.5833333333333333</v>
      </c>
      <c r="K52" s="81">
        <v>1.6666666666666665</v>
      </c>
      <c r="L52" s="44">
        <v>1.7499999999999998</v>
      </c>
      <c r="M52" s="44">
        <v>1.833333333333333</v>
      </c>
      <c r="N52" s="43">
        <v>2</v>
      </c>
      <c r="O52" s="44">
        <v>2.125</v>
      </c>
      <c r="P52" s="44">
        <v>2.25</v>
      </c>
      <c r="Q52" s="44">
        <v>2.375</v>
      </c>
      <c r="R52" s="43">
        <v>2.5</v>
      </c>
      <c r="S52" s="44">
        <v>2.5833333333333335</v>
      </c>
      <c r="T52" s="44">
        <v>2.666666666666667</v>
      </c>
      <c r="U52" s="44">
        <v>2.7500000000000004</v>
      </c>
      <c r="V52" s="44">
        <v>2.8333333333333339</v>
      </c>
      <c r="W52" s="44">
        <v>2.9166666666666674</v>
      </c>
      <c r="X52" s="44">
        <v>3.0000000000000009</v>
      </c>
      <c r="Y52" s="43">
        <v>3</v>
      </c>
      <c r="Z52" s="44">
        <v>3</v>
      </c>
      <c r="AA52" s="38">
        <v>5</v>
      </c>
      <c r="AB52" s="420">
        <v>0.16</v>
      </c>
    </row>
    <row r="53" spans="1:28" s="49" customFormat="1" ht="15.75" thickBot="1">
      <c r="A53" s="45"/>
      <c r="B53" s="46" t="s">
        <v>140</v>
      </c>
      <c r="C53" s="79">
        <v>1</v>
      </c>
      <c r="D53" s="84">
        <v>1</v>
      </c>
      <c r="E53" s="85">
        <v>1</v>
      </c>
      <c r="F53" s="85">
        <v>1</v>
      </c>
      <c r="G53" s="85">
        <v>1</v>
      </c>
      <c r="H53" s="85">
        <v>1</v>
      </c>
      <c r="I53" s="85">
        <v>1</v>
      </c>
      <c r="J53" s="85">
        <v>1</v>
      </c>
      <c r="K53" s="85">
        <v>1</v>
      </c>
      <c r="L53" s="85">
        <v>2</v>
      </c>
      <c r="M53" s="85">
        <v>2</v>
      </c>
      <c r="N53" s="423">
        <v>2.5</v>
      </c>
      <c r="O53" s="424">
        <v>2.5</v>
      </c>
      <c r="P53" s="424">
        <v>2</v>
      </c>
      <c r="Q53" s="424">
        <v>2.1</v>
      </c>
      <c r="R53" s="85">
        <v>2</v>
      </c>
      <c r="S53" s="85">
        <v>2.2000000000000002</v>
      </c>
      <c r="T53" s="85">
        <v>2.6</v>
      </c>
      <c r="U53" s="85">
        <v>2.6</v>
      </c>
      <c r="V53" s="86">
        <v>2.7</v>
      </c>
      <c r="W53" s="80">
        <v>2.7</v>
      </c>
      <c r="X53" s="69">
        <v>2.9</v>
      </c>
      <c r="Y53" s="69">
        <v>0</v>
      </c>
      <c r="Z53" s="69">
        <v>0</v>
      </c>
      <c r="AB53" s="421"/>
    </row>
    <row r="54" spans="1:28" s="49" customFormat="1">
      <c r="A54" s="45"/>
      <c r="B54" s="46"/>
      <c r="C54" s="48"/>
      <c r="D54" s="83"/>
      <c r="E54" s="83"/>
      <c r="F54" s="83"/>
      <c r="G54" s="83"/>
      <c r="H54" s="83"/>
      <c r="I54" s="83"/>
      <c r="J54" s="83"/>
      <c r="K54" s="83"/>
      <c r="L54" s="48"/>
      <c r="M54" s="48"/>
      <c r="N54" s="48"/>
      <c r="O54" s="48"/>
      <c r="P54" s="48"/>
      <c r="Q54" s="48"/>
      <c r="R54" s="48"/>
      <c r="S54" s="48"/>
      <c r="T54" s="48"/>
      <c r="U54" s="48"/>
      <c r="V54" s="48"/>
      <c r="W54" s="48"/>
      <c r="X54" s="48"/>
      <c r="Y54" s="48"/>
      <c r="Z54" s="48"/>
      <c r="AB54" s="421"/>
    </row>
    <row r="55" spans="1:28" ht="15.75" thickBot="1">
      <c r="A55" s="41" t="s">
        <v>20</v>
      </c>
      <c r="B55" s="42" t="s">
        <v>139</v>
      </c>
      <c r="C55" s="43">
        <v>1</v>
      </c>
      <c r="D55" s="81">
        <v>1.0833333333333333</v>
      </c>
      <c r="E55" s="81">
        <v>1.1666666666666665</v>
      </c>
      <c r="F55" s="81">
        <v>1.2499999999999998</v>
      </c>
      <c r="G55" s="81">
        <v>1.333333333333333</v>
      </c>
      <c r="H55" s="81">
        <v>1.4166666666666663</v>
      </c>
      <c r="I55" s="82">
        <v>1.5</v>
      </c>
      <c r="J55" s="81">
        <v>1.5833333333333333</v>
      </c>
      <c r="K55" s="81">
        <v>1.6666666666666665</v>
      </c>
      <c r="L55" s="44">
        <v>1.7499999999999998</v>
      </c>
      <c r="M55" s="44">
        <v>1.833333333333333</v>
      </c>
      <c r="N55" s="43">
        <v>2</v>
      </c>
      <c r="O55" s="44">
        <v>2.125</v>
      </c>
      <c r="P55" s="44">
        <v>2.25</v>
      </c>
      <c r="Q55" s="44">
        <v>2.375</v>
      </c>
      <c r="R55" s="43">
        <v>2.5</v>
      </c>
      <c r="S55" s="44">
        <v>2.5333333333333332</v>
      </c>
      <c r="T55" s="44">
        <v>2.5666666666666664</v>
      </c>
      <c r="U55" s="44">
        <v>2.5999999999999996</v>
      </c>
      <c r="V55" s="44">
        <v>2.6333333333333329</v>
      </c>
      <c r="W55" s="44">
        <v>3.0833333333333335</v>
      </c>
      <c r="X55" s="44">
        <v>3.2</v>
      </c>
      <c r="Y55" s="43">
        <v>3.2</v>
      </c>
      <c r="Z55" s="44">
        <v>3.2</v>
      </c>
      <c r="AA55" s="38">
        <v>5</v>
      </c>
      <c r="AB55" s="420">
        <v>0.16</v>
      </c>
    </row>
    <row r="56" spans="1:28" s="49" customFormat="1" ht="15.75" thickBot="1">
      <c r="A56" s="45"/>
      <c r="B56" s="46" t="s">
        <v>140</v>
      </c>
      <c r="C56" s="79">
        <v>1</v>
      </c>
      <c r="D56" s="84">
        <v>1</v>
      </c>
      <c r="E56" s="85">
        <v>1.2</v>
      </c>
      <c r="F56" s="85">
        <v>1</v>
      </c>
      <c r="G56" s="85">
        <v>1</v>
      </c>
      <c r="H56" s="85">
        <v>1</v>
      </c>
      <c r="I56" s="85">
        <v>1</v>
      </c>
      <c r="J56" s="85">
        <v>1</v>
      </c>
      <c r="K56" s="85">
        <v>1</v>
      </c>
      <c r="L56" s="85">
        <v>2</v>
      </c>
      <c r="M56" s="85">
        <v>2</v>
      </c>
      <c r="N56" s="423">
        <v>2</v>
      </c>
      <c r="O56" s="424">
        <v>2</v>
      </c>
      <c r="P56" s="424">
        <v>2.4</v>
      </c>
      <c r="Q56" s="424">
        <v>2.4</v>
      </c>
      <c r="R56" s="85">
        <v>2.6</v>
      </c>
      <c r="S56" s="85">
        <v>2.6</v>
      </c>
      <c r="T56" s="85">
        <v>3.2</v>
      </c>
      <c r="U56" s="85">
        <v>3.2</v>
      </c>
      <c r="V56" s="86">
        <v>3.2</v>
      </c>
      <c r="W56" s="80">
        <v>3.2</v>
      </c>
      <c r="X56" s="69">
        <v>3.6</v>
      </c>
      <c r="Y56" s="69">
        <v>0</v>
      </c>
      <c r="Z56" s="69">
        <v>0</v>
      </c>
      <c r="AB56" s="421"/>
    </row>
    <row r="57" spans="1:28" s="49" customFormat="1">
      <c r="A57" s="45"/>
      <c r="B57" s="46"/>
      <c r="C57" s="48"/>
      <c r="D57" s="83"/>
      <c r="E57" s="83"/>
      <c r="F57" s="83"/>
      <c r="G57" s="83"/>
      <c r="H57" s="83"/>
      <c r="I57" s="83"/>
      <c r="J57" s="83"/>
      <c r="K57" s="83"/>
      <c r="L57" s="48"/>
      <c r="M57" s="48"/>
      <c r="N57" s="48"/>
      <c r="O57" s="48"/>
      <c r="P57" s="48"/>
      <c r="Q57" s="48"/>
      <c r="R57" s="48"/>
      <c r="S57" s="48"/>
      <c r="T57" s="48"/>
      <c r="U57" s="48"/>
      <c r="V57" s="48"/>
      <c r="W57" s="48"/>
      <c r="X57" s="48"/>
      <c r="Y57" s="48"/>
      <c r="Z57" s="48"/>
      <c r="AB57" s="421"/>
    </row>
    <row r="58" spans="1:28" ht="15.75" thickBot="1">
      <c r="A58" s="41" t="s">
        <v>21</v>
      </c>
      <c r="B58" s="42" t="s">
        <v>139</v>
      </c>
      <c r="C58" s="50">
        <v>0</v>
      </c>
      <c r="D58" s="73">
        <v>0.33333333333333331</v>
      </c>
      <c r="E58" s="73">
        <v>0.66666666666666663</v>
      </c>
      <c r="F58" s="73">
        <v>1</v>
      </c>
      <c r="G58" s="73">
        <v>1.3333333333333333</v>
      </c>
      <c r="H58" s="73">
        <v>1.6666666666666665</v>
      </c>
      <c r="I58" s="74">
        <v>2</v>
      </c>
      <c r="J58" s="73">
        <v>2.1666666666666665</v>
      </c>
      <c r="K58" s="73">
        <v>2.333333333333333</v>
      </c>
      <c r="L58" s="51">
        <v>2.4999999999999996</v>
      </c>
      <c r="M58" s="51">
        <v>2.6666666666666661</v>
      </c>
      <c r="N58" s="50">
        <v>3</v>
      </c>
      <c r="O58" s="51">
        <v>3.5</v>
      </c>
      <c r="P58" s="51">
        <v>4</v>
      </c>
      <c r="Q58" s="51">
        <v>4.5</v>
      </c>
      <c r="R58" s="50">
        <v>5</v>
      </c>
      <c r="S58" s="51">
        <v>5.333333333333333</v>
      </c>
      <c r="T58" s="51">
        <v>5.6666666666666661</v>
      </c>
      <c r="U58" s="51">
        <v>5.9999999999999991</v>
      </c>
      <c r="V58" s="51">
        <v>6.3333333333333321</v>
      </c>
      <c r="W58" s="51">
        <v>6.6666666666666652</v>
      </c>
      <c r="X58" s="51">
        <v>6.9999999999999982</v>
      </c>
      <c r="Y58" s="50">
        <v>7</v>
      </c>
      <c r="Z58" s="51">
        <v>7</v>
      </c>
      <c r="AA58" s="38">
        <v>10</v>
      </c>
      <c r="AB58" s="420">
        <v>0.4</v>
      </c>
    </row>
    <row r="59" spans="1:28" s="49" customFormat="1" ht="15.75" thickBot="1">
      <c r="A59" s="45"/>
      <c r="B59" s="46" t="s">
        <v>140</v>
      </c>
      <c r="C59" s="71">
        <v>0</v>
      </c>
      <c r="D59" s="76">
        <v>0</v>
      </c>
      <c r="E59" s="77">
        <v>0</v>
      </c>
      <c r="F59" s="77">
        <v>0</v>
      </c>
      <c r="G59" s="77">
        <v>0</v>
      </c>
      <c r="H59" s="77">
        <v>0</v>
      </c>
      <c r="I59" s="77">
        <v>0</v>
      </c>
      <c r="J59" s="77">
        <v>0</v>
      </c>
      <c r="K59" s="77">
        <v>0</v>
      </c>
      <c r="L59" s="77">
        <v>8</v>
      </c>
      <c r="M59" s="77">
        <v>3</v>
      </c>
      <c r="N59" s="425">
        <v>5</v>
      </c>
      <c r="O59" s="426">
        <v>5</v>
      </c>
      <c r="P59" s="426">
        <v>7</v>
      </c>
      <c r="Q59" s="426">
        <v>8</v>
      </c>
      <c r="R59" s="77">
        <v>9</v>
      </c>
      <c r="S59" s="77">
        <v>9</v>
      </c>
      <c r="T59" s="77">
        <v>10</v>
      </c>
      <c r="U59" s="77">
        <v>10</v>
      </c>
      <c r="V59" s="78">
        <v>11</v>
      </c>
      <c r="W59" s="72">
        <v>11</v>
      </c>
      <c r="X59" s="70">
        <v>11</v>
      </c>
      <c r="Y59" s="70">
        <v>0</v>
      </c>
      <c r="Z59" s="70">
        <v>0</v>
      </c>
      <c r="AB59" s="421"/>
    </row>
    <row r="60" spans="1:28" s="49" customFormat="1">
      <c r="A60" s="45"/>
      <c r="B60" s="46"/>
      <c r="C60" s="53"/>
      <c r="D60" s="83"/>
      <c r="E60" s="83"/>
      <c r="F60" s="83"/>
      <c r="G60" s="83"/>
      <c r="H60" s="83"/>
      <c r="I60" s="83"/>
      <c r="J60" s="83"/>
      <c r="K60" s="83"/>
      <c r="L60" s="53"/>
      <c r="M60" s="53"/>
      <c r="N60" s="53"/>
      <c r="O60" s="53"/>
      <c r="P60" s="53"/>
      <c r="Q60" s="53"/>
      <c r="R60" s="53"/>
      <c r="S60" s="53"/>
      <c r="T60" s="53"/>
      <c r="U60" s="53"/>
      <c r="V60" s="53"/>
      <c r="W60" s="53"/>
      <c r="X60" s="53"/>
      <c r="Y60" s="53"/>
      <c r="Z60" s="53"/>
      <c r="AB60" s="421"/>
    </row>
    <row r="61" spans="1:28" ht="15.75" thickBot="1">
      <c r="A61" s="41" t="s">
        <v>166</v>
      </c>
      <c r="B61" s="42" t="s">
        <v>202</v>
      </c>
      <c r="C61" s="50">
        <v>2</v>
      </c>
      <c r="D61" s="73">
        <v>2.1666666666666665</v>
      </c>
      <c r="E61" s="73">
        <v>2.333333333333333</v>
      </c>
      <c r="F61" s="73">
        <v>2.4999999999999996</v>
      </c>
      <c r="G61" s="73">
        <v>2.6666666666666661</v>
      </c>
      <c r="H61" s="73">
        <v>2.8333333333333326</v>
      </c>
      <c r="I61" s="74">
        <v>3</v>
      </c>
      <c r="J61" s="73">
        <v>3.3333333333333335</v>
      </c>
      <c r="K61" s="73">
        <v>3.666666666666667</v>
      </c>
      <c r="L61" s="51">
        <v>4</v>
      </c>
      <c r="M61" s="51">
        <v>4.333333333333333</v>
      </c>
      <c r="N61" s="50">
        <v>5</v>
      </c>
      <c r="O61" s="51">
        <v>5.75</v>
      </c>
      <c r="P61" s="51">
        <v>6.5</v>
      </c>
      <c r="Q61" s="51">
        <v>7.25</v>
      </c>
      <c r="R61" s="50">
        <v>8</v>
      </c>
      <c r="S61" s="51">
        <v>8.3333333333333339</v>
      </c>
      <c r="T61" s="51">
        <v>8.6666666666666679</v>
      </c>
      <c r="U61" s="51">
        <v>9.0000000000000018</v>
      </c>
      <c r="V61" s="51">
        <v>9.3333333333333357</v>
      </c>
      <c r="W61" s="51">
        <v>9.6666666666666696</v>
      </c>
      <c r="X61" s="51">
        <v>10.000000000000004</v>
      </c>
      <c r="Y61" s="50">
        <v>10</v>
      </c>
      <c r="Z61" s="51">
        <v>10</v>
      </c>
      <c r="AA61" s="38">
        <v>20</v>
      </c>
      <c r="AB61" s="420">
        <v>0.8</v>
      </c>
    </row>
    <row r="62" spans="1:28" s="49" customFormat="1" ht="15.75" thickBot="1">
      <c r="A62" s="45"/>
      <c r="B62" s="46" t="s">
        <v>203</v>
      </c>
      <c r="C62" s="71">
        <v>2</v>
      </c>
      <c r="D62" s="76">
        <v>2</v>
      </c>
      <c r="E62" s="77">
        <v>2</v>
      </c>
      <c r="F62" s="77">
        <v>3</v>
      </c>
      <c r="G62" s="77">
        <v>3</v>
      </c>
      <c r="H62" s="77">
        <v>3</v>
      </c>
      <c r="I62" s="77">
        <v>3</v>
      </c>
      <c r="J62" s="77">
        <v>3</v>
      </c>
      <c r="K62" s="77">
        <v>3</v>
      </c>
      <c r="L62" s="77">
        <v>2</v>
      </c>
      <c r="M62" s="77">
        <v>2</v>
      </c>
      <c r="N62" s="425">
        <v>5</v>
      </c>
      <c r="O62" s="426">
        <v>5</v>
      </c>
      <c r="P62" s="426">
        <v>5</v>
      </c>
      <c r="Q62" s="426">
        <v>8</v>
      </c>
      <c r="R62" s="77">
        <v>9</v>
      </c>
      <c r="S62" s="77">
        <v>10</v>
      </c>
      <c r="T62" s="77">
        <v>11</v>
      </c>
      <c r="U62" s="77">
        <v>12</v>
      </c>
      <c r="V62" s="78">
        <v>12</v>
      </c>
      <c r="W62" s="72">
        <v>12</v>
      </c>
      <c r="X62" s="70">
        <v>12</v>
      </c>
      <c r="Y62" s="70">
        <v>0</v>
      </c>
      <c r="Z62" s="70">
        <v>0</v>
      </c>
      <c r="AB62" s="421"/>
    </row>
    <row r="63" spans="1:28" s="49" customFormat="1">
      <c r="A63" s="45"/>
      <c r="B63" s="46"/>
      <c r="C63" s="53"/>
      <c r="D63" s="427"/>
      <c r="E63" s="427"/>
      <c r="F63" s="427"/>
      <c r="G63" s="75"/>
      <c r="H63" s="75"/>
      <c r="I63" s="75"/>
      <c r="J63" s="75"/>
      <c r="K63" s="75"/>
      <c r="L63" s="53"/>
      <c r="M63" s="53"/>
      <c r="N63" s="53"/>
      <c r="O63" s="53"/>
      <c r="P63" s="53"/>
      <c r="Q63" s="53"/>
      <c r="R63" s="53"/>
      <c r="S63" s="53"/>
      <c r="T63" s="53"/>
      <c r="U63" s="53"/>
      <c r="V63" s="53"/>
      <c r="W63" s="53"/>
      <c r="X63" s="53"/>
      <c r="Y63" s="53"/>
      <c r="Z63" s="53"/>
      <c r="AB63" s="421"/>
    </row>
    <row r="64" spans="1:28" ht="15.75" thickBot="1">
      <c r="A64" s="41" t="s">
        <v>167</v>
      </c>
      <c r="B64" s="42" t="s">
        <v>213</v>
      </c>
      <c r="C64" s="50">
        <v>0</v>
      </c>
      <c r="D64" s="73">
        <v>0.33333333333333331</v>
      </c>
      <c r="E64" s="73">
        <v>0.66666666666666663</v>
      </c>
      <c r="F64" s="73">
        <v>1</v>
      </c>
      <c r="G64" s="73">
        <v>1.3333333333333333</v>
      </c>
      <c r="H64" s="73">
        <v>1.6666666666666665</v>
      </c>
      <c r="I64" s="74">
        <v>2</v>
      </c>
      <c r="J64" s="73">
        <v>2.3333333333333335</v>
      </c>
      <c r="K64" s="73">
        <v>2.666666666666667</v>
      </c>
      <c r="L64" s="51">
        <v>3.0000000000000004</v>
      </c>
      <c r="M64" s="51">
        <v>3.3333333333333339</v>
      </c>
      <c r="N64" s="50">
        <v>4</v>
      </c>
      <c r="O64" s="51">
        <v>4.5</v>
      </c>
      <c r="P64" s="51">
        <v>5</v>
      </c>
      <c r="Q64" s="51">
        <v>5.5</v>
      </c>
      <c r="R64" s="50">
        <v>6</v>
      </c>
      <c r="S64" s="51">
        <v>6.333333333333333</v>
      </c>
      <c r="T64" s="51">
        <v>6.6666666666666661</v>
      </c>
      <c r="U64" s="51">
        <v>6.9999999999999991</v>
      </c>
      <c r="V64" s="51">
        <v>7.3333333333333321</v>
      </c>
      <c r="W64" s="51">
        <v>7.6666666666666652</v>
      </c>
      <c r="X64" s="51">
        <v>7.9999999999999982</v>
      </c>
      <c r="Y64" s="50">
        <v>8</v>
      </c>
      <c r="Z64" s="51">
        <v>8</v>
      </c>
      <c r="AA64" s="38">
        <v>20</v>
      </c>
      <c r="AB64" s="420">
        <v>0.8</v>
      </c>
    </row>
    <row r="65" spans="1:28" s="49" customFormat="1" ht="15.75" thickBot="1">
      <c r="A65" s="45"/>
      <c r="B65" s="46" t="s">
        <v>212</v>
      </c>
      <c r="C65" s="71">
        <v>0</v>
      </c>
      <c r="D65" s="76">
        <v>0</v>
      </c>
      <c r="E65" s="77">
        <v>1</v>
      </c>
      <c r="F65" s="77">
        <v>1</v>
      </c>
      <c r="G65" s="77">
        <v>1</v>
      </c>
      <c r="H65" s="77">
        <v>2</v>
      </c>
      <c r="I65" s="77">
        <v>2</v>
      </c>
      <c r="J65" s="77">
        <v>2</v>
      </c>
      <c r="K65" s="77">
        <v>2</v>
      </c>
      <c r="L65" s="77">
        <v>2</v>
      </c>
      <c r="M65" s="77">
        <v>2</v>
      </c>
      <c r="N65" s="425">
        <v>5</v>
      </c>
      <c r="O65" s="426">
        <v>5</v>
      </c>
      <c r="P65" s="426">
        <v>5</v>
      </c>
      <c r="Q65" s="426">
        <v>7</v>
      </c>
      <c r="R65" s="77">
        <v>8</v>
      </c>
      <c r="S65" s="77">
        <v>9</v>
      </c>
      <c r="T65" s="77">
        <v>10</v>
      </c>
      <c r="U65" s="77">
        <v>10</v>
      </c>
      <c r="V65" s="78">
        <v>11</v>
      </c>
      <c r="W65" s="72">
        <v>11</v>
      </c>
      <c r="X65" s="70">
        <v>11</v>
      </c>
      <c r="Y65" s="70">
        <v>0</v>
      </c>
      <c r="Z65" s="70">
        <v>0</v>
      </c>
      <c r="AB65" s="421"/>
    </row>
    <row r="66" spans="1:28" s="49" customFormat="1">
      <c r="A66" s="45"/>
      <c r="B66" s="46"/>
      <c r="C66" s="53"/>
      <c r="D66" s="427"/>
      <c r="E66" s="427"/>
      <c r="F66" s="427"/>
      <c r="G66" s="75"/>
      <c r="H66" s="75"/>
      <c r="I66" s="75"/>
      <c r="J66" s="75"/>
      <c r="K66" s="75"/>
      <c r="L66" s="53"/>
      <c r="M66" s="53"/>
      <c r="N66" s="53"/>
      <c r="O66" s="53"/>
      <c r="P66" s="53"/>
      <c r="Q66" s="53"/>
      <c r="R66" s="53"/>
      <c r="S66" s="53"/>
      <c r="T66" s="53"/>
      <c r="U66" s="53"/>
      <c r="V66" s="53"/>
      <c r="W66" s="53"/>
      <c r="X66" s="53"/>
      <c r="Y66" s="53"/>
      <c r="Z66" s="53"/>
      <c r="AB66" s="421"/>
    </row>
    <row r="67" spans="1:28" ht="15.75" thickBot="1">
      <c r="A67" s="41" t="s">
        <v>168</v>
      </c>
      <c r="B67" s="42" t="s">
        <v>211</v>
      </c>
      <c r="C67" s="50">
        <v>0</v>
      </c>
      <c r="D67" s="73">
        <v>0.16666666666666666</v>
      </c>
      <c r="E67" s="73">
        <v>0.33333333333333331</v>
      </c>
      <c r="F67" s="73">
        <v>0.5</v>
      </c>
      <c r="G67" s="73">
        <v>0.66666666666666663</v>
      </c>
      <c r="H67" s="73">
        <v>0.83333333333333326</v>
      </c>
      <c r="I67" s="74">
        <v>1</v>
      </c>
      <c r="J67" s="73">
        <v>1.3333333333333333</v>
      </c>
      <c r="K67" s="73">
        <v>1.6666666666666665</v>
      </c>
      <c r="L67" s="51">
        <v>1.9999999999999998</v>
      </c>
      <c r="M67" s="51">
        <v>2.333333333333333</v>
      </c>
      <c r="N67" s="50">
        <v>3</v>
      </c>
      <c r="O67" s="51">
        <v>3.5</v>
      </c>
      <c r="P67" s="51">
        <v>4</v>
      </c>
      <c r="Q67" s="51">
        <v>4.5</v>
      </c>
      <c r="R67" s="50">
        <v>5</v>
      </c>
      <c r="S67" s="51">
        <v>5.333333333333333</v>
      </c>
      <c r="T67" s="51">
        <v>5.6666666666666661</v>
      </c>
      <c r="U67" s="51">
        <v>5.9999999999999991</v>
      </c>
      <c r="V67" s="51">
        <v>6.3333333333333321</v>
      </c>
      <c r="W67" s="51">
        <v>6.6666666666666652</v>
      </c>
      <c r="X67" s="51">
        <v>6.9999999999999982</v>
      </c>
      <c r="Y67" s="50">
        <v>7</v>
      </c>
      <c r="Z67" s="51">
        <v>7</v>
      </c>
      <c r="AA67" s="38">
        <v>20</v>
      </c>
      <c r="AB67" s="420">
        <v>0.8</v>
      </c>
    </row>
    <row r="68" spans="1:28" s="49" customFormat="1" ht="15.75" thickBot="1">
      <c r="A68" s="45"/>
      <c r="B68" s="46" t="s">
        <v>210</v>
      </c>
      <c r="C68" s="71">
        <v>0</v>
      </c>
      <c r="D68" s="76">
        <v>0</v>
      </c>
      <c r="E68" s="77">
        <v>0</v>
      </c>
      <c r="F68" s="77">
        <v>1</v>
      </c>
      <c r="G68" s="77">
        <v>1</v>
      </c>
      <c r="H68" s="77">
        <v>1</v>
      </c>
      <c r="I68" s="77">
        <v>1</v>
      </c>
      <c r="J68" s="77">
        <v>1</v>
      </c>
      <c r="K68" s="77">
        <v>1</v>
      </c>
      <c r="L68" s="77">
        <v>2</v>
      </c>
      <c r="M68" s="77">
        <v>2</v>
      </c>
      <c r="N68" s="425">
        <v>5</v>
      </c>
      <c r="O68" s="426">
        <v>5</v>
      </c>
      <c r="P68" s="426">
        <v>5</v>
      </c>
      <c r="Q68" s="426">
        <v>6</v>
      </c>
      <c r="R68" s="77">
        <v>6</v>
      </c>
      <c r="S68" s="77">
        <v>6</v>
      </c>
      <c r="T68" s="77">
        <v>6</v>
      </c>
      <c r="U68" s="77">
        <v>6</v>
      </c>
      <c r="V68" s="78">
        <v>9</v>
      </c>
      <c r="W68" s="72">
        <v>9</v>
      </c>
      <c r="X68" s="70">
        <v>10</v>
      </c>
      <c r="Y68" s="70">
        <v>0</v>
      </c>
      <c r="Z68" s="70">
        <v>0</v>
      </c>
      <c r="AB68" s="421"/>
    </row>
    <row r="69" spans="1:28" s="49" customFormat="1">
      <c r="A69" s="45"/>
      <c r="B69" s="46"/>
      <c r="C69" s="53"/>
      <c r="D69" s="427"/>
      <c r="E69" s="427"/>
      <c r="F69" s="427"/>
      <c r="G69" s="75"/>
      <c r="H69" s="75"/>
      <c r="I69" s="75"/>
      <c r="J69" s="75"/>
      <c r="K69" s="75"/>
      <c r="L69" s="53"/>
      <c r="M69" s="53"/>
      <c r="N69" s="53"/>
      <c r="O69" s="53"/>
      <c r="P69" s="53"/>
      <c r="Q69" s="53"/>
      <c r="R69" s="53"/>
      <c r="S69" s="53"/>
      <c r="T69" s="53"/>
      <c r="U69" s="53"/>
      <c r="V69" s="53"/>
      <c r="W69" s="53"/>
      <c r="X69" s="53"/>
      <c r="Y69" s="53"/>
      <c r="Z69" s="53"/>
      <c r="AB69" s="421"/>
    </row>
    <row r="70" spans="1:28" ht="15.75" thickBot="1">
      <c r="A70" s="41" t="s">
        <v>169</v>
      </c>
      <c r="B70" s="42" t="s">
        <v>209</v>
      </c>
      <c r="C70" s="50">
        <v>0</v>
      </c>
      <c r="D70" s="73">
        <v>0</v>
      </c>
      <c r="E70" s="73">
        <v>0</v>
      </c>
      <c r="F70" s="73">
        <v>0</v>
      </c>
      <c r="G70" s="73">
        <v>0</v>
      </c>
      <c r="H70" s="73">
        <v>0</v>
      </c>
      <c r="I70" s="74">
        <v>0</v>
      </c>
      <c r="J70" s="73">
        <v>0.16666666666666666</v>
      </c>
      <c r="K70" s="73">
        <v>0.33333333333333331</v>
      </c>
      <c r="L70" s="51">
        <v>0.5</v>
      </c>
      <c r="M70" s="51">
        <v>0.66666666666666663</v>
      </c>
      <c r="N70" s="50">
        <v>1</v>
      </c>
      <c r="O70" s="51">
        <v>1.5</v>
      </c>
      <c r="P70" s="51">
        <v>2</v>
      </c>
      <c r="Q70" s="51">
        <v>2.5</v>
      </c>
      <c r="R70" s="50">
        <v>3</v>
      </c>
      <c r="S70" s="51">
        <v>3.3333333333333335</v>
      </c>
      <c r="T70" s="51">
        <v>3.666666666666667</v>
      </c>
      <c r="U70" s="51">
        <v>4</v>
      </c>
      <c r="V70" s="51">
        <v>4.333333333333333</v>
      </c>
      <c r="W70" s="51">
        <v>2.1666666666666674</v>
      </c>
      <c r="X70" s="51">
        <v>2.0000000000000009</v>
      </c>
      <c r="Y70" s="50">
        <v>2</v>
      </c>
      <c r="Z70" s="51">
        <v>2</v>
      </c>
      <c r="AA70" s="38">
        <v>20</v>
      </c>
      <c r="AB70" s="420">
        <v>0.8</v>
      </c>
    </row>
    <row r="71" spans="1:28" s="49" customFormat="1" ht="15.75" thickBot="1">
      <c r="A71" s="45"/>
      <c r="B71" s="46" t="s">
        <v>208</v>
      </c>
      <c r="C71" s="71">
        <v>0</v>
      </c>
      <c r="D71" s="76">
        <v>0</v>
      </c>
      <c r="E71" s="77">
        <v>0</v>
      </c>
      <c r="F71" s="77">
        <v>0</v>
      </c>
      <c r="G71" s="77">
        <v>0</v>
      </c>
      <c r="H71" s="77">
        <v>0</v>
      </c>
      <c r="I71" s="77">
        <v>0</v>
      </c>
      <c r="J71" s="77">
        <v>0</v>
      </c>
      <c r="K71" s="77">
        <v>0</v>
      </c>
      <c r="L71" s="77">
        <v>2</v>
      </c>
      <c r="M71" s="77">
        <v>2</v>
      </c>
      <c r="N71" s="425">
        <v>5</v>
      </c>
      <c r="O71" s="426">
        <v>5</v>
      </c>
      <c r="P71" s="426">
        <v>5</v>
      </c>
      <c r="Q71" s="426">
        <v>0</v>
      </c>
      <c r="R71" s="77">
        <v>5</v>
      </c>
      <c r="S71" s="77">
        <v>5</v>
      </c>
      <c r="T71" s="77">
        <v>5</v>
      </c>
      <c r="U71" s="77">
        <v>5</v>
      </c>
      <c r="V71" s="78">
        <v>1</v>
      </c>
      <c r="W71" s="72">
        <v>1</v>
      </c>
      <c r="X71" s="70">
        <v>1</v>
      </c>
      <c r="Y71" s="70">
        <v>0</v>
      </c>
      <c r="Z71" s="70">
        <v>0</v>
      </c>
      <c r="AB71" s="421"/>
    </row>
    <row r="72" spans="1:28" s="49" customFormat="1">
      <c r="A72" s="45"/>
      <c r="B72" s="46"/>
      <c r="C72" s="53"/>
      <c r="D72" s="427"/>
      <c r="E72" s="427"/>
      <c r="F72" s="427"/>
      <c r="G72" s="75"/>
      <c r="H72" s="75"/>
      <c r="I72" s="75"/>
      <c r="J72" s="75"/>
      <c r="K72" s="75"/>
      <c r="L72" s="53"/>
      <c r="M72" s="53"/>
      <c r="N72" s="53"/>
      <c r="O72" s="53"/>
      <c r="P72" s="53"/>
      <c r="Q72" s="53"/>
      <c r="R72" s="53"/>
      <c r="S72" s="53"/>
      <c r="T72" s="53"/>
      <c r="U72" s="53"/>
      <c r="V72" s="53"/>
      <c r="W72" s="53"/>
      <c r="X72" s="53"/>
      <c r="Y72" s="53"/>
      <c r="Z72" s="53"/>
      <c r="AB72" s="421"/>
    </row>
    <row r="73" spans="1:28" ht="15.75" thickBot="1">
      <c r="A73" s="41" t="s">
        <v>162</v>
      </c>
      <c r="B73" s="42" t="s">
        <v>202</v>
      </c>
      <c r="C73" s="50">
        <v>2</v>
      </c>
      <c r="D73" s="73">
        <v>2.1666666666666665</v>
      </c>
      <c r="E73" s="73">
        <v>2.333333333333333</v>
      </c>
      <c r="F73" s="73">
        <v>2.4999999999999996</v>
      </c>
      <c r="G73" s="73">
        <v>2.6666666666666661</v>
      </c>
      <c r="H73" s="73">
        <v>2.8333333333333326</v>
      </c>
      <c r="I73" s="74">
        <v>3</v>
      </c>
      <c r="J73" s="73">
        <v>3.3333333333333335</v>
      </c>
      <c r="K73" s="73">
        <v>3.666666666666667</v>
      </c>
      <c r="L73" s="51">
        <v>4</v>
      </c>
      <c r="M73" s="51">
        <v>4.333333333333333</v>
      </c>
      <c r="N73" s="50">
        <v>5</v>
      </c>
      <c r="O73" s="51">
        <v>5.75</v>
      </c>
      <c r="P73" s="51">
        <v>6.5</v>
      </c>
      <c r="Q73" s="51">
        <v>7.25</v>
      </c>
      <c r="R73" s="50">
        <v>8</v>
      </c>
      <c r="S73" s="51">
        <v>8.3333333333333339</v>
      </c>
      <c r="T73" s="51">
        <v>8.6666666666666679</v>
      </c>
      <c r="U73" s="51">
        <v>9.0000000000000018</v>
      </c>
      <c r="V73" s="51">
        <v>9.3333333333333357</v>
      </c>
      <c r="W73" s="51">
        <v>9.6666666666666696</v>
      </c>
      <c r="X73" s="51">
        <v>10.000000000000004</v>
      </c>
      <c r="Y73" s="50">
        <v>10</v>
      </c>
      <c r="Z73" s="51">
        <v>10</v>
      </c>
      <c r="AA73" s="38">
        <v>20</v>
      </c>
      <c r="AB73" s="420">
        <v>0.8</v>
      </c>
    </row>
    <row r="74" spans="1:28" s="49" customFormat="1" ht="15.75" thickBot="1">
      <c r="A74" s="45"/>
      <c r="B74" s="46" t="s">
        <v>203</v>
      </c>
      <c r="C74" s="71">
        <v>2</v>
      </c>
      <c r="D74" s="76">
        <v>0</v>
      </c>
      <c r="E74" s="77">
        <v>0</v>
      </c>
      <c r="F74" s="77">
        <v>0</v>
      </c>
      <c r="G74" s="77">
        <v>0</v>
      </c>
      <c r="H74" s="77">
        <v>0</v>
      </c>
      <c r="I74" s="77">
        <v>0</v>
      </c>
      <c r="J74" s="77">
        <v>0</v>
      </c>
      <c r="K74" s="77">
        <v>0</v>
      </c>
      <c r="L74" s="77">
        <v>2</v>
      </c>
      <c r="M74" s="77">
        <v>2</v>
      </c>
      <c r="N74" s="425">
        <v>4</v>
      </c>
      <c r="O74" s="426">
        <v>4</v>
      </c>
      <c r="P74" s="426">
        <v>4</v>
      </c>
      <c r="Q74" s="426">
        <v>6</v>
      </c>
      <c r="R74" s="77">
        <v>7</v>
      </c>
      <c r="S74" s="77">
        <v>8</v>
      </c>
      <c r="T74" s="77">
        <v>8</v>
      </c>
      <c r="U74" s="77">
        <v>9</v>
      </c>
      <c r="V74" s="78">
        <v>13</v>
      </c>
      <c r="W74" s="72">
        <v>13</v>
      </c>
      <c r="X74" s="70">
        <v>13</v>
      </c>
      <c r="Y74" s="70">
        <v>0</v>
      </c>
      <c r="Z74" s="70">
        <v>0</v>
      </c>
      <c r="AB74" s="421"/>
    </row>
    <row r="75" spans="1:28" s="49" customFormat="1">
      <c r="A75" s="45"/>
      <c r="B75" s="46"/>
      <c r="C75" s="53"/>
      <c r="D75" s="428"/>
      <c r="E75" s="428"/>
      <c r="F75" s="428"/>
      <c r="G75" s="53"/>
      <c r="H75" s="53"/>
      <c r="I75" s="53"/>
      <c r="J75" s="53"/>
      <c r="K75" s="53"/>
      <c r="L75" s="53"/>
      <c r="M75" s="53"/>
      <c r="N75" s="53"/>
      <c r="O75" s="53"/>
      <c r="P75" s="53"/>
      <c r="Q75" s="53"/>
      <c r="R75" s="53"/>
      <c r="S75" s="53"/>
      <c r="T75" s="53"/>
      <c r="U75" s="53"/>
      <c r="V75" s="53"/>
      <c r="W75" s="53"/>
      <c r="X75" s="53"/>
      <c r="Y75" s="53"/>
      <c r="Z75" s="53"/>
      <c r="AB75" s="421"/>
    </row>
    <row r="76" spans="1:28" ht="15.75" thickBot="1">
      <c r="A76" s="41" t="s">
        <v>163</v>
      </c>
      <c r="B76" s="42" t="s">
        <v>213</v>
      </c>
      <c r="C76" s="50">
        <v>0</v>
      </c>
      <c r="D76" s="73">
        <v>0.33333333333333331</v>
      </c>
      <c r="E76" s="73">
        <v>0.66666666666666663</v>
      </c>
      <c r="F76" s="73">
        <v>1</v>
      </c>
      <c r="G76" s="73">
        <v>1.3333333333333333</v>
      </c>
      <c r="H76" s="73">
        <v>1.6666666666666665</v>
      </c>
      <c r="I76" s="74">
        <v>2</v>
      </c>
      <c r="J76" s="73">
        <v>2.3333333333333335</v>
      </c>
      <c r="K76" s="73">
        <v>2.666666666666667</v>
      </c>
      <c r="L76" s="51">
        <v>3.0000000000000004</v>
      </c>
      <c r="M76" s="51">
        <v>3.3333333333333339</v>
      </c>
      <c r="N76" s="50">
        <v>4</v>
      </c>
      <c r="O76" s="51">
        <v>4.5</v>
      </c>
      <c r="P76" s="51">
        <v>5</v>
      </c>
      <c r="Q76" s="51">
        <v>5.5</v>
      </c>
      <c r="R76" s="50">
        <v>6</v>
      </c>
      <c r="S76" s="51">
        <v>6.333333333333333</v>
      </c>
      <c r="T76" s="51">
        <v>6.6666666666666661</v>
      </c>
      <c r="U76" s="51">
        <v>6.9999999999999991</v>
      </c>
      <c r="V76" s="51">
        <v>7.3333333333333321</v>
      </c>
      <c r="W76" s="51">
        <v>7.6666666666666652</v>
      </c>
      <c r="X76" s="51">
        <v>7.9999999999999982</v>
      </c>
      <c r="Y76" s="50">
        <v>8</v>
      </c>
      <c r="Z76" s="51">
        <v>8</v>
      </c>
      <c r="AA76" s="38">
        <v>20</v>
      </c>
      <c r="AB76" s="420">
        <v>0.8</v>
      </c>
    </row>
    <row r="77" spans="1:28" s="49" customFormat="1" ht="15.75" thickBot="1">
      <c r="A77" s="45"/>
      <c r="B77" s="46" t="s">
        <v>212</v>
      </c>
      <c r="C77" s="71">
        <v>0</v>
      </c>
      <c r="D77" s="76">
        <v>0</v>
      </c>
      <c r="E77" s="77">
        <v>0</v>
      </c>
      <c r="F77" s="77">
        <v>0</v>
      </c>
      <c r="G77" s="77">
        <v>0</v>
      </c>
      <c r="H77" s="77">
        <v>0</v>
      </c>
      <c r="I77" s="77">
        <v>0</v>
      </c>
      <c r="J77" s="77">
        <v>0</v>
      </c>
      <c r="K77" s="77">
        <v>0</v>
      </c>
      <c r="L77" s="77">
        <v>2</v>
      </c>
      <c r="M77" s="77">
        <v>2</v>
      </c>
      <c r="N77" s="425">
        <v>4</v>
      </c>
      <c r="O77" s="426">
        <v>4</v>
      </c>
      <c r="P77" s="426">
        <v>4</v>
      </c>
      <c r="Q77" s="426">
        <v>6</v>
      </c>
      <c r="R77" s="77">
        <v>6</v>
      </c>
      <c r="S77" s="77">
        <v>7</v>
      </c>
      <c r="T77" s="77">
        <v>7</v>
      </c>
      <c r="U77" s="77">
        <v>7</v>
      </c>
      <c r="V77" s="78">
        <v>13</v>
      </c>
      <c r="W77" s="72">
        <v>13</v>
      </c>
      <c r="X77" s="70">
        <v>13</v>
      </c>
      <c r="Y77" s="70">
        <v>0</v>
      </c>
      <c r="Z77" s="70">
        <v>0</v>
      </c>
      <c r="AB77" s="421"/>
    </row>
    <row r="78" spans="1:28" s="49" customFormat="1">
      <c r="A78" s="45"/>
      <c r="B78" s="46"/>
      <c r="C78" s="53"/>
      <c r="D78" s="428"/>
      <c r="E78" s="428"/>
      <c r="F78" s="428"/>
      <c r="G78" s="53"/>
      <c r="H78" s="53"/>
      <c r="I78" s="53"/>
      <c r="J78" s="53"/>
      <c r="K78" s="53"/>
      <c r="L78" s="53"/>
      <c r="M78" s="53"/>
      <c r="N78" s="53"/>
      <c r="O78" s="53"/>
      <c r="P78" s="53"/>
      <c r="Q78" s="53"/>
      <c r="R78" s="53"/>
      <c r="S78" s="53"/>
      <c r="T78" s="53"/>
      <c r="U78" s="53"/>
      <c r="V78" s="53"/>
      <c r="W78" s="53"/>
      <c r="X78" s="53"/>
      <c r="Y78" s="53"/>
      <c r="Z78" s="53"/>
      <c r="AB78" s="421"/>
    </row>
    <row r="79" spans="1:28" ht="15.75" thickBot="1">
      <c r="A79" s="41" t="s">
        <v>164</v>
      </c>
      <c r="B79" s="42" t="s">
        <v>211</v>
      </c>
      <c r="C79" s="50">
        <v>0</v>
      </c>
      <c r="D79" s="73">
        <v>0.33333333333333331</v>
      </c>
      <c r="E79" s="73">
        <v>0.66666666666666663</v>
      </c>
      <c r="F79" s="73">
        <v>1</v>
      </c>
      <c r="G79" s="73">
        <v>1.3333333333333333</v>
      </c>
      <c r="H79" s="73">
        <v>1.6666666666666665</v>
      </c>
      <c r="I79" s="74">
        <v>2</v>
      </c>
      <c r="J79" s="73">
        <v>2.1666666666666665</v>
      </c>
      <c r="K79" s="73">
        <v>2.333333333333333</v>
      </c>
      <c r="L79" s="51">
        <v>2.4999999999999996</v>
      </c>
      <c r="M79" s="51">
        <v>2.6666666666666661</v>
      </c>
      <c r="N79" s="50">
        <v>3</v>
      </c>
      <c r="O79" s="51">
        <v>3.5</v>
      </c>
      <c r="P79" s="51">
        <v>4</v>
      </c>
      <c r="Q79" s="51">
        <v>4.5</v>
      </c>
      <c r="R79" s="50">
        <v>5</v>
      </c>
      <c r="S79" s="51">
        <v>5.333333333333333</v>
      </c>
      <c r="T79" s="51">
        <v>5.6666666666666661</v>
      </c>
      <c r="U79" s="51">
        <v>5.9999999999999991</v>
      </c>
      <c r="V79" s="51">
        <v>6.3333333333333321</v>
      </c>
      <c r="W79" s="51">
        <v>6.6666666666666652</v>
      </c>
      <c r="X79" s="51">
        <v>6.9999999999999982</v>
      </c>
      <c r="Y79" s="50">
        <v>7</v>
      </c>
      <c r="Z79" s="51">
        <v>7</v>
      </c>
      <c r="AA79" s="38">
        <v>20</v>
      </c>
      <c r="AB79" s="420">
        <v>0.8</v>
      </c>
    </row>
    <row r="80" spans="1:28" s="49" customFormat="1" ht="15.75" thickBot="1">
      <c r="A80" s="45"/>
      <c r="B80" s="46" t="s">
        <v>210</v>
      </c>
      <c r="C80" s="71">
        <v>0</v>
      </c>
      <c r="D80" s="76">
        <v>0</v>
      </c>
      <c r="E80" s="77">
        <v>0</v>
      </c>
      <c r="F80" s="77">
        <v>0</v>
      </c>
      <c r="G80" s="77">
        <v>0</v>
      </c>
      <c r="H80" s="77">
        <v>0</v>
      </c>
      <c r="I80" s="77">
        <v>0</v>
      </c>
      <c r="J80" s="77">
        <v>0</v>
      </c>
      <c r="K80" s="77">
        <v>0</v>
      </c>
      <c r="L80" s="77">
        <v>2</v>
      </c>
      <c r="M80" s="77">
        <v>2</v>
      </c>
      <c r="N80" s="425">
        <v>4</v>
      </c>
      <c r="O80" s="426">
        <v>4</v>
      </c>
      <c r="P80" s="426">
        <v>4</v>
      </c>
      <c r="Q80" s="426">
        <v>6</v>
      </c>
      <c r="R80" s="77">
        <v>6</v>
      </c>
      <c r="S80" s="77">
        <v>6</v>
      </c>
      <c r="T80" s="77">
        <v>6</v>
      </c>
      <c r="U80" s="77">
        <v>6</v>
      </c>
      <c r="V80" s="78">
        <v>9</v>
      </c>
      <c r="W80" s="72">
        <v>9</v>
      </c>
      <c r="X80" s="70">
        <v>9</v>
      </c>
      <c r="Y80" s="70">
        <v>0</v>
      </c>
      <c r="Z80" s="70">
        <v>0</v>
      </c>
      <c r="AB80" s="421"/>
    </row>
    <row r="81" spans="1:28" s="49" customFormat="1">
      <c r="A81" s="45"/>
      <c r="B81" s="46"/>
      <c r="C81" s="53"/>
      <c r="D81" s="428"/>
      <c r="E81" s="428"/>
      <c r="F81" s="428"/>
      <c r="G81" s="53"/>
      <c r="H81" s="53"/>
      <c r="I81" s="53"/>
      <c r="J81" s="53"/>
      <c r="K81" s="53"/>
      <c r="L81" s="53"/>
      <c r="M81" s="53"/>
      <c r="N81" s="53"/>
      <c r="O81" s="53"/>
      <c r="P81" s="53"/>
      <c r="Q81" s="53"/>
      <c r="R81" s="53"/>
      <c r="S81" s="53"/>
      <c r="T81" s="53"/>
      <c r="U81" s="53"/>
      <c r="V81" s="53"/>
      <c r="W81" s="53"/>
      <c r="X81" s="53"/>
      <c r="Y81" s="53"/>
      <c r="Z81" s="53"/>
      <c r="AB81" s="421"/>
    </row>
    <row r="82" spans="1:28" ht="15.75" thickBot="1">
      <c r="A82" s="41" t="s">
        <v>165</v>
      </c>
      <c r="B82" s="42" t="s">
        <v>209</v>
      </c>
      <c r="C82" s="50">
        <v>0</v>
      </c>
      <c r="D82" s="73">
        <v>0</v>
      </c>
      <c r="E82" s="73">
        <v>0</v>
      </c>
      <c r="F82" s="73">
        <v>0</v>
      </c>
      <c r="G82" s="73">
        <v>0</v>
      </c>
      <c r="H82" s="73">
        <v>0</v>
      </c>
      <c r="I82" s="74">
        <v>0</v>
      </c>
      <c r="J82" s="73">
        <v>0.33333333333333331</v>
      </c>
      <c r="K82" s="73">
        <v>0.66666666666666663</v>
      </c>
      <c r="L82" s="51">
        <v>1</v>
      </c>
      <c r="M82" s="51">
        <v>1.3333333333333333</v>
      </c>
      <c r="N82" s="50">
        <v>2</v>
      </c>
      <c r="O82" s="51">
        <v>2.25</v>
      </c>
      <c r="P82" s="51">
        <v>2.5</v>
      </c>
      <c r="Q82" s="51">
        <v>2.75</v>
      </c>
      <c r="R82" s="50">
        <v>3</v>
      </c>
      <c r="S82" s="51">
        <v>3.3333333333333335</v>
      </c>
      <c r="T82" s="51">
        <v>3.666666666666667</v>
      </c>
      <c r="U82" s="51">
        <v>4</v>
      </c>
      <c r="V82" s="51">
        <v>4.333333333333333</v>
      </c>
      <c r="W82" s="51">
        <v>4.6666666666666661</v>
      </c>
      <c r="X82" s="51">
        <v>4.9999999999999991</v>
      </c>
      <c r="Y82" s="50">
        <v>5</v>
      </c>
      <c r="Z82" s="51">
        <v>5</v>
      </c>
      <c r="AA82" s="38">
        <v>20</v>
      </c>
      <c r="AB82" s="420">
        <v>0.8</v>
      </c>
    </row>
    <row r="83" spans="1:28" s="49" customFormat="1" ht="15.75" thickBot="1">
      <c r="A83" s="45"/>
      <c r="B83" s="46" t="s">
        <v>208</v>
      </c>
      <c r="C83" s="71">
        <v>0</v>
      </c>
      <c r="D83" s="76">
        <v>0</v>
      </c>
      <c r="E83" s="77">
        <v>0</v>
      </c>
      <c r="F83" s="77">
        <v>0</v>
      </c>
      <c r="G83" s="77">
        <v>0</v>
      </c>
      <c r="H83" s="77">
        <v>0</v>
      </c>
      <c r="I83" s="77">
        <v>0</v>
      </c>
      <c r="J83" s="77">
        <v>0</v>
      </c>
      <c r="K83" s="77">
        <v>0</v>
      </c>
      <c r="L83" s="77">
        <v>2</v>
      </c>
      <c r="M83" s="77">
        <v>2</v>
      </c>
      <c r="N83" s="425">
        <v>4</v>
      </c>
      <c r="O83" s="426">
        <v>4</v>
      </c>
      <c r="P83" s="426">
        <v>4</v>
      </c>
      <c r="Q83" s="426">
        <v>6</v>
      </c>
      <c r="R83" s="77">
        <v>6</v>
      </c>
      <c r="S83" s="77">
        <v>6</v>
      </c>
      <c r="T83" s="77">
        <v>6</v>
      </c>
      <c r="U83" s="77">
        <v>6</v>
      </c>
      <c r="V83" s="78">
        <v>2</v>
      </c>
      <c r="W83" s="72">
        <v>2</v>
      </c>
      <c r="X83" s="70">
        <v>2</v>
      </c>
      <c r="Y83" s="70">
        <v>0</v>
      </c>
      <c r="Z83" s="70">
        <v>0</v>
      </c>
      <c r="AB83" s="421"/>
    </row>
    <row r="84" spans="1:28" s="49" customFormat="1">
      <c r="A84" s="45"/>
      <c r="B84" s="46"/>
      <c r="C84" s="53"/>
      <c r="D84" s="428"/>
      <c r="E84" s="428"/>
      <c r="F84" s="428"/>
      <c r="G84" s="53"/>
      <c r="H84" s="53"/>
      <c r="I84" s="53"/>
      <c r="J84" s="53"/>
      <c r="K84" s="53"/>
      <c r="L84" s="53"/>
      <c r="M84" s="53"/>
      <c r="N84" s="53"/>
      <c r="O84" s="53"/>
      <c r="P84" s="53"/>
      <c r="Q84" s="53"/>
      <c r="R84" s="53"/>
      <c r="S84" s="53"/>
      <c r="T84" s="53"/>
      <c r="U84" s="53"/>
      <c r="V84" s="53"/>
      <c r="W84" s="53"/>
      <c r="X84" s="53"/>
      <c r="Y84" s="53"/>
      <c r="Z84" s="53"/>
      <c r="AB84" s="421"/>
    </row>
    <row r="85" spans="1:28" ht="15.75" thickBot="1">
      <c r="A85" s="41" t="s">
        <v>160</v>
      </c>
      <c r="B85" s="42" t="s">
        <v>201</v>
      </c>
      <c r="C85" s="52"/>
      <c r="D85" s="52"/>
      <c r="E85" s="52"/>
      <c r="F85" s="52"/>
      <c r="G85" s="52"/>
      <c r="H85" s="52"/>
      <c r="I85" s="52"/>
      <c r="J85" s="52"/>
      <c r="K85" s="52"/>
      <c r="L85" s="52"/>
      <c r="M85" s="52"/>
      <c r="N85" s="50">
        <v>50</v>
      </c>
      <c r="O85" s="51">
        <v>55</v>
      </c>
      <c r="P85" s="51">
        <v>60</v>
      </c>
      <c r="Q85" s="51">
        <v>65</v>
      </c>
      <c r="R85" s="50">
        <v>70</v>
      </c>
      <c r="S85" s="51">
        <v>71.666666666666671</v>
      </c>
      <c r="T85" s="51">
        <v>73.333333333333343</v>
      </c>
      <c r="U85" s="51">
        <v>75.000000000000014</v>
      </c>
      <c r="V85" s="51">
        <v>76.666666666666686</v>
      </c>
      <c r="W85" s="51">
        <v>78.333333333333357</v>
      </c>
      <c r="X85" s="51">
        <v>80.000000000000028</v>
      </c>
      <c r="Y85" s="50">
        <v>80</v>
      </c>
      <c r="Z85" s="51">
        <v>80</v>
      </c>
      <c r="AA85" s="38">
        <v>100</v>
      </c>
      <c r="AB85" s="420">
        <v>4</v>
      </c>
    </row>
    <row r="86" spans="1:28" s="49" customFormat="1" ht="15.75" thickBot="1">
      <c r="A86" s="45"/>
      <c r="B86" s="46" t="s">
        <v>200</v>
      </c>
      <c r="C86" s="52"/>
      <c r="D86" s="52"/>
      <c r="E86" s="52"/>
      <c r="F86" s="52"/>
      <c r="G86" s="52"/>
      <c r="H86" s="52"/>
      <c r="I86" s="52"/>
      <c r="J86" s="52"/>
      <c r="K86" s="52"/>
      <c r="L86" s="52"/>
      <c r="M86" s="52"/>
      <c r="N86" s="52">
        <v>50</v>
      </c>
      <c r="O86" s="76">
        <v>70</v>
      </c>
      <c r="P86" s="426">
        <v>75</v>
      </c>
      <c r="Q86" s="426">
        <v>80</v>
      </c>
      <c r="R86" s="77">
        <v>85</v>
      </c>
      <c r="S86" s="77">
        <v>85</v>
      </c>
      <c r="T86" s="77">
        <v>85</v>
      </c>
      <c r="U86" s="77">
        <v>90</v>
      </c>
      <c r="V86" s="78">
        <v>83</v>
      </c>
      <c r="W86" s="72">
        <v>83.333333333333343</v>
      </c>
      <c r="X86" s="70">
        <v>84.000000000000014</v>
      </c>
      <c r="Y86" s="70">
        <v>0</v>
      </c>
      <c r="Z86" s="70">
        <v>0</v>
      </c>
      <c r="AB86" s="421"/>
    </row>
    <row r="87" spans="1:28" s="49" customFormat="1">
      <c r="A87" s="45"/>
      <c r="B87" s="46"/>
      <c r="C87" s="53"/>
      <c r="D87" s="428"/>
      <c r="E87" s="428"/>
      <c r="F87" s="428"/>
      <c r="G87" s="53"/>
      <c r="H87" s="53"/>
      <c r="I87" s="53"/>
      <c r="J87" s="53"/>
      <c r="K87" s="53"/>
      <c r="L87" s="53"/>
      <c r="M87" s="53"/>
      <c r="N87" s="53"/>
      <c r="O87" s="53"/>
      <c r="P87" s="53"/>
      <c r="Q87" s="53"/>
      <c r="R87" s="53"/>
      <c r="S87" s="53"/>
      <c r="T87" s="53"/>
      <c r="U87" s="53"/>
      <c r="V87" s="53"/>
      <c r="W87" s="53"/>
      <c r="X87" s="53"/>
      <c r="Y87" s="53"/>
      <c r="Z87" s="53"/>
      <c r="AB87" s="421"/>
    </row>
    <row r="88" spans="1:28" ht="15.75" thickBot="1">
      <c r="A88" s="41" t="s">
        <v>161</v>
      </c>
      <c r="B88" s="42" t="s">
        <v>198</v>
      </c>
      <c r="C88" s="52"/>
      <c r="D88" s="52"/>
      <c r="E88" s="52"/>
      <c r="F88" s="52"/>
      <c r="G88" s="52"/>
      <c r="H88" s="52"/>
      <c r="I88" s="52"/>
      <c r="J88" s="52"/>
      <c r="K88" s="52"/>
      <c r="L88" s="52"/>
      <c r="M88" s="52"/>
      <c r="N88" s="50">
        <v>10</v>
      </c>
      <c r="O88" s="51">
        <v>11.25</v>
      </c>
      <c r="P88" s="51">
        <v>12.5</v>
      </c>
      <c r="Q88" s="51">
        <v>13.75</v>
      </c>
      <c r="R88" s="50">
        <v>15</v>
      </c>
      <c r="S88" s="51">
        <v>15.833333333333334</v>
      </c>
      <c r="T88" s="51">
        <v>16.666666666666668</v>
      </c>
      <c r="U88" s="51">
        <v>17.5</v>
      </c>
      <c r="V88" s="51">
        <v>18.333333333333332</v>
      </c>
      <c r="W88" s="51">
        <v>35.833333333333336</v>
      </c>
      <c r="X88" s="51">
        <v>40</v>
      </c>
      <c r="Y88" s="50">
        <v>40</v>
      </c>
      <c r="Z88" s="51">
        <v>40</v>
      </c>
      <c r="AA88" s="38">
        <v>100</v>
      </c>
      <c r="AB88" s="420">
        <v>4</v>
      </c>
    </row>
    <row r="89" spans="1:28" s="49" customFormat="1" ht="15.75" thickBot="1">
      <c r="A89" s="45"/>
      <c r="B89" s="46" t="s">
        <v>199</v>
      </c>
      <c r="C89" s="52"/>
      <c r="D89" s="52"/>
      <c r="E89" s="52"/>
      <c r="F89" s="52"/>
      <c r="G89" s="52"/>
      <c r="H89" s="52"/>
      <c r="I89" s="52"/>
      <c r="J89" s="52"/>
      <c r="K89" s="52"/>
      <c r="L89" s="52"/>
      <c r="M89" s="52"/>
      <c r="N89" s="52">
        <v>10</v>
      </c>
      <c r="O89" s="76">
        <v>50</v>
      </c>
      <c r="P89" s="426">
        <v>50</v>
      </c>
      <c r="Q89" s="426">
        <v>50</v>
      </c>
      <c r="R89" s="77">
        <v>15</v>
      </c>
      <c r="S89" s="77">
        <v>15</v>
      </c>
      <c r="T89" s="77">
        <v>15</v>
      </c>
      <c r="U89" s="77">
        <v>15</v>
      </c>
      <c r="V89" s="78">
        <v>44</v>
      </c>
      <c r="W89" s="72">
        <v>44</v>
      </c>
      <c r="X89" s="70">
        <v>76</v>
      </c>
      <c r="Y89" s="70">
        <v>0</v>
      </c>
      <c r="Z89" s="70">
        <v>0</v>
      </c>
      <c r="AB89" s="421"/>
    </row>
    <row r="90" spans="1:28" s="49" customFormat="1">
      <c r="A90" s="45"/>
      <c r="B90" s="46"/>
      <c r="C90" s="53"/>
      <c r="D90" s="428"/>
      <c r="E90" s="428"/>
      <c r="F90" s="428"/>
      <c r="G90" s="53"/>
      <c r="H90" s="53"/>
      <c r="I90" s="53"/>
      <c r="J90" s="53"/>
      <c r="K90" s="53"/>
      <c r="L90" s="53"/>
      <c r="M90" s="53"/>
      <c r="N90" s="53"/>
      <c r="O90" s="53"/>
      <c r="P90" s="53"/>
      <c r="Q90" s="53"/>
      <c r="R90" s="53"/>
      <c r="S90" s="53"/>
      <c r="T90" s="53"/>
      <c r="U90" s="53"/>
      <c r="V90" s="53"/>
      <c r="W90" s="53"/>
      <c r="X90" s="53"/>
      <c r="Y90" s="53"/>
      <c r="Z90" s="53"/>
      <c r="AB90" s="421"/>
    </row>
    <row r="91" spans="1:28" ht="15.75" thickBot="1">
      <c r="A91" s="41" t="s">
        <v>40</v>
      </c>
      <c r="B91" s="42" t="s">
        <v>139</v>
      </c>
      <c r="C91" s="52"/>
      <c r="D91" s="52"/>
      <c r="E91" s="52"/>
      <c r="F91" s="52"/>
      <c r="G91" s="52"/>
      <c r="H91" s="52"/>
      <c r="I91" s="52"/>
      <c r="J91" s="52"/>
      <c r="K91" s="52"/>
      <c r="L91" s="52"/>
      <c r="M91" s="52"/>
      <c r="N91" s="43">
        <v>3.5</v>
      </c>
      <c r="O91" s="44">
        <v>3.5249999999999999</v>
      </c>
      <c r="P91" s="44">
        <v>3.55</v>
      </c>
      <c r="Q91" s="44">
        <v>3.5749999999999997</v>
      </c>
      <c r="R91" s="43">
        <v>3.6</v>
      </c>
      <c r="S91" s="44">
        <v>3.666666666666667</v>
      </c>
      <c r="T91" s="44">
        <v>3.7333333333333334</v>
      </c>
      <c r="U91" s="44">
        <v>3.8</v>
      </c>
      <c r="V91" s="44">
        <v>3.8666666666666663</v>
      </c>
      <c r="W91" s="44">
        <v>3.9333333333333327</v>
      </c>
      <c r="X91" s="44">
        <v>3.9999999999999991</v>
      </c>
      <c r="Y91" s="43">
        <v>4</v>
      </c>
      <c r="Z91" s="44">
        <v>4</v>
      </c>
      <c r="AA91" s="38">
        <v>5</v>
      </c>
      <c r="AB91" s="420">
        <v>0.16</v>
      </c>
    </row>
    <row r="92" spans="1:28" s="49" customFormat="1" ht="15.75" thickBot="1">
      <c r="A92" s="45"/>
      <c r="B92" s="46" t="s">
        <v>140</v>
      </c>
      <c r="C92" s="52"/>
      <c r="D92" s="52"/>
      <c r="E92" s="52"/>
      <c r="F92" s="52"/>
      <c r="G92" s="52"/>
      <c r="H92" s="52"/>
      <c r="I92" s="52"/>
      <c r="J92" s="52"/>
      <c r="K92" s="52"/>
      <c r="L92" s="52"/>
      <c r="M92" s="52"/>
      <c r="N92" s="47">
        <v>3.5</v>
      </c>
      <c r="O92" s="84">
        <v>10</v>
      </c>
      <c r="P92" s="424">
        <v>3.55</v>
      </c>
      <c r="Q92" s="424">
        <v>4</v>
      </c>
      <c r="R92" s="85">
        <v>3.5</v>
      </c>
      <c r="S92" s="85">
        <v>3.6</v>
      </c>
      <c r="T92" s="85">
        <v>3.7</v>
      </c>
      <c r="U92" s="85">
        <v>3.7</v>
      </c>
      <c r="V92" s="86">
        <v>4</v>
      </c>
      <c r="W92" s="80">
        <v>4</v>
      </c>
      <c r="X92" s="69">
        <v>3.9</v>
      </c>
      <c r="Y92" s="69">
        <v>0</v>
      </c>
      <c r="Z92" s="69">
        <v>0</v>
      </c>
      <c r="AB92" s="421"/>
    </row>
    <row r="93" spans="1:28" s="49" customFormat="1">
      <c r="A93" s="45"/>
      <c r="B93" s="46"/>
      <c r="C93" s="48"/>
      <c r="D93" s="48"/>
      <c r="E93" s="48"/>
      <c r="F93" s="48"/>
      <c r="G93" s="48"/>
      <c r="H93" s="48"/>
      <c r="I93" s="48"/>
      <c r="J93" s="48"/>
      <c r="K93" s="48"/>
      <c r="L93" s="48"/>
      <c r="M93" s="48"/>
      <c r="N93" s="48"/>
      <c r="O93" s="48"/>
      <c r="P93" s="48"/>
      <c r="Q93" s="48"/>
      <c r="R93" s="48"/>
      <c r="S93" s="48"/>
      <c r="T93" s="48"/>
      <c r="U93" s="48"/>
      <c r="V93" s="48"/>
      <c r="W93" s="48"/>
      <c r="X93" s="48"/>
      <c r="Y93" s="48"/>
      <c r="Z93" s="48"/>
      <c r="AB93" s="421"/>
    </row>
    <row r="94" spans="1:28" ht="15.75" thickBot="1">
      <c r="A94" s="41" t="s">
        <v>32</v>
      </c>
      <c r="B94" s="42" t="s">
        <v>139</v>
      </c>
      <c r="C94" s="43">
        <v>1</v>
      </c>
      <c r="D94" s="81">
        <v>1</v>
      </c>
      <c r="E94" s="81">
        <v>1</v>
      </c>
      <c r="F94" s="81">
        <v>1</v>
      </c>
      <c r="G94" s="81">
        <v>1</v>
      </c>
      <c r="H94" s="81">
        <v>1</v>
      </c>
      <c r="I94" s="82">
        <v>1</v>
      </c>
      <c r="J94" s="81">
        <v>1.1666666666666667</v>
      </c>
      <c r="K94" s="81">
        <v>1.3333333333333335</v>
      </c>
      <c r="L94" s="44">
        <v>1.5000000000000002</v>
      </c>
      <c r="M94" s="44">
        <v>1.666666666666667</v>
      </c>
      <c r="N94" s="43">
        <v>2</v>
      </c>
      <c r="O94" s="44">
        <v>2.0249999999999999</v>
      </c>
      <c r="P94" s="44">
        <v>2.0499999999999998</v>
      </c>
      <c r="Q94" s="44">
        <v>2.0749999999999997</v>
      </c>
      <c r="R94" s="43">
        <v>2.1</v>
      </c>
      <c r="S94" s="44">
        <v>2.1833333333333336</v>
      </c>
      <c r="T94" s="44">
        <v>2.2666666666666671</v>
      </c>
      <c r="U94" s="44">
        <v>2.3500000000000005</v>
      </c>
      <c r="V94" s="44">
        <v>2.433333333333334</v>
      </c>
      <c r="W94" s="44">
        <v>3.2666666666666671</v>
      </c>
      <c r="X94" s="44">
        <v>3.5000000000000004</v>
      </c>
      <c r="Y94" s="43">
        <v>3.5</v>
      </c>
      <c r="Z94" s="44">
        <v>3.5</v>
      </c>
      <c r="AA94" s="38">
        <v>5</v>
      </c>
      <c r="AB94" s="420">
        <v>0.16</v>
      </c>
    </row>
    <row r="95" spans="1:28" s="49" customFormat="1" ht="15.75" thickBot="1">
      <c r="A95" s="45"/>
      <c r="B95" s="46" t="s">
        <v>140</v>
      </c>
      <c r="C95" s="79">
        <v>1</v>
      </c>
      <c r="D95" s="84">
        <v>1</v>
      </c>
      <c r="E95" s="85">
        <v>1</v>
      </c>
      <c r="F95" s="85">
        <v>1.2</v>
      </c>
      <c r="G95" s="85">
        <v>1.4</v>
      </c>
      <c r="H95" s="85">
        <v>1.4</v>
      </c>
      <c r="I95" s="85">
        <v>1.5</v>
      </c>
      <c r="J95" s="85">
        <v>1.5</v>
      </c>
      <c r="K95" s="85">
        <v>1.5</v>
      </c>
      <c r="L95" s="85">
        <v>2</v>
      </c>
      <c r="M95" s="85">
        <v>2</v>
      </c>
      <c r="N95" s="423">
        <v>2</v>
      </c>
      <c r="O95" s="424">
        <v>2.7</v>
      </c>
      <c r="P95" s="424">
        <v>2.7</v>
      </c>
      <c r="Q95" s="424">
        <v>3</v>
      </c>
      <c r="R95" s="85">
        <v>2.8</v>
      </c>
      <c r="S95" s="85">
        <v>2.8</v>
      </c>
      <c r="T95" s="85">
        <v>3</v>
      </c>
      <c r="U95" s="85">
        <v>3</v>
      </c>
      <c r="V95" s="86">
        <v>3.3</v>
      </c>
      <c r="W95" s="80">
        <v>3.3</v>
      </c>
      <c r="X95" s="69">
        <v>3.3</v>
      </c>
      <c r="Y95" s="69">
        <v>0</v>
      </c>
      <c r="Z95" s="69">
        <v>0</v>
      </c>
      <c r="AB95" s="421"/>
    </row>
    <row r="96" spans="1:28" s="49" customFormat="1">
      <c r="A96" s="45"/>
      <c r="B96" s="46"/>
      <c r="C96" s="48"/>
      <c r="D96" s="83"/>
      <c r="E96" s="83"/>
      <c r="F96" s="83"/>
      <c r="G96" s="83"/>
      <c r="H96" s="83"/>
      <c r="I96" s="83"/>
      <c r="J96" s="83"/>
      <c r="K96" s="83"/>
      <c r="L96" s="48"/>
      <c r="M96" s="48"/>
      <c r="N96" s="48"/>
      <c r="O96" s="48"/>
      <c r="P96" s="48"/>
      <c r="Q96" s="48"/>
      <c r="R96" s="48"/>
      <c r="S96" s="48"/>
      <c r="T96" s="48"/>
      <c r="U96" s="48"/>
      <c r="V96" s="48"/>
      <c r="W96" s="48"/>
      <c r="X96" s="48"/>
      <c r="Y96" s="48"/>
      <c r="Z96" s="48"/>
      <c r="AB96" s="421"/>
    </row>
    <row r="97" spans="1:28" ht="15.75" thickBot="1">
      <c r="A97" s="41" t="s">
        <v>33</v>
      </c>
      <c r="B97" s="42" t="s">
        <v>139</v>
      </c>
      <c r="C97" s="43">
        <v>1</v>
      </c>
      <c r="D97" s="81">
        <v>1</v>
      </c>
      <c r="E97" s="81">
        <v>1</v>
      </c>
      <c r="F97" s="81">
        <v>1</v>
      </c>
      <c r="G97" s="81">
        <v>1</v>
      </c>
      <c r="H97" s="81">
        <v>1</v>
      </c>
      <c r="I97" s="82">
        <v>1</v>
      </c>
      <c r="J97" s="81">
        <v>1.1666666666666667</v>
      </c>
      <c r="K97" s="81">
        <v>1.3333333333333335</v>
      </c>
      <c r="L97" s="44">
        <v>1.5000000000000002</v>
      </c>
      <c r="M97" s="44">
        <v>1.666666666666667</v>
      </c>
      <c r="N97" s="43">
        <v>2</v>
      </c>
      <c r="O97" s="44">
        <v>2.0249999999999999</v>
      </c>
      <c r="P97" s="44">
        <v>2.0499999999999998</v>
      </c>
      <c r="Q97" s="44">
        <v>2.0749999999999997</v>
      </c>
      <c r="R97" s="43">
        <v>2.1</v>
      </c>
      <c r="S97" s="44">
        <v>2.166666666666667</v>
      </c>
      <c r="T97" s="44">
        <v>2.2333333333333334</v>
      </c>
      <c r="U97" s="44">
        <v>2.2999999999999998</v>
      </c>
      <c r="V97" s="44">
        <v>2.3666666666666663</v>
      </c>
      <c r="W97" s="44">
        <v>4.0999999999999996</v>
      </c>
      <c r="X97" s="44">
        <v>4.5</v>
      </c>
      <c r="Y97" s="43">
        <v>4.5</v>
      </c>
      <c r="Z97" s="44">
        <v>4.5</v>
      </c>
      <c r="AA97" s="38">
        <v>5</v>
      </c>
      <c r="AB97" s="420">
        <v>0.16</v>
      </c>
    </row>
    <row r="98" spans="1:28" s="49" customFormat="1" ht="15.75" thickBot="1">
      <c r="A98" s="45"/>
      <c r="B98" s="46" t="s">
        <v>140</v>
      </c>
      <c r="C98" s="79">
        <v>1</v>
      </c>
      <c r="D98" s="84">
        <v>1</v>
      </c>
      <c r="E98" s="85">
        <v>1</v>
      </c>
      <c r="F98" s="85">
        <v>1</v>
      </c>
      <c r="G98" s="85">
        <v>1</v>
      </c>
      <c r="H98" s="85">
        <v>1</v>
      </c>
      <c r="I98" s="85">
        <v>1</v>
      </c>
      <c r="J98" s="85">
        <v>2</v>
      </c>
      <c r="K98" s="85">
        <v>2</v>
      </c>
      <c r="L98" s="85">
        <v>2</v>
      </c>
      <c r="M98" s="85">
        <v>2</v>
      </c>
      <c r="N98" s="423">
        <v>2</v>
      </c>
      <c r="O98" s="424">
        <v>2.2999999999999998</v>
      </c>
      <c r="P98" s="424">
        <v>2.2999999999999998</v>
      </c>
      <c r="Q98" s="424">
        <v>3</v>
      </c>
      <c r="R98" s="85">
        <v>4.3</v>
      </c>
      <c r="S98" s="85">
        <v>4.3</v>
      </c>
      <c r="T98" s="85">
        <v>4.5</v>
      </c>
      <c r="U98" s="85">
        <v>4.5</v>
      </c>
      <c r="V98" s="86">
        <v>4.5</v>
      </c>
      <c r="W98" s="80">
        <v>4.5</v>
      </c>
      <c r="X98" s="69">
        <v>4.5</v>
      </c>
      <c r="Y98" s="69">
        <v>0</v>
      </c>
      <c r="Z98" s="69">
        <v>0</v>
      </c>
      <c r="AB98" s="421"/>
    </row>
    <row r="99" spans="1:28" s="49" customFormat="1">
      <c r="A99" s="45"/>
      <c r="B99" s="46"/>
      <c r="C99" s="48"/>
      <c r="D99" s="83"/>
      <c r="E99" s="83"/>
      <c r="F99" s="83"/>
      <c r="G99" s="83"/>
      <c r="H99" s="83"/>
      <c r="I99" s="83"/>
      <c r="J99" s="83"/>
      <c r="K99" s="83"/>
      <c r="L99" s="48"/>
      <c r="M99" s="48"/>
      <c r="N99" s="48"/>
      <c r="O99" s="48"/>
      <c r="P99" s="48"/>
      <c r="Q99" s="48"/>
      <c r="R99" s="48"/>
      <c r="S99" s="48"/>
      <c r="T99" s="48"/>
      <c r="U99" s="48"/>
      <c r="V99" s="48"/>
      <c r="W99" s="48"/>
      <c r="X99" s="48"/>
      <c r="Y99" s="48"/>
      <c r="Z99" s="48"/>
      <c r="AB99" s="421"/>
    </row>
    <row r="100" spans="1:28" ht="15.75" thickBot="1">
      <c r="A100" s="41" t="s">
        <v>34</v>
      </c>
      <c r="B100" s="42" t="s">
        <v>139</v>
      </c>
      <c r="C100" s="43">
        <v>1</v>
      </c>
      <c r="D100" s="81">
        <v>1</v>
      </c>
      <c r="E100" s="81">
        <v>1</v>
      </c>
      <c r="F100" s="81">
        <v>1</v>
      </c>
      <c r="G100" s="81">
        <v>1</v>
      </c>
      <c r="H100" s="81">
        <v>1</v>
      </c>
      <c r="I100" s="82">
        <v>1</v>
      </c>
      <c r="J100" s="81">
        <v>1.1666666666666667</v>
      </c>
      <c r="K100" s="81">
        <v>1.3333333333333335</v>
      </c>
      <c r="L100" s="44">
        <v>1.5000000000000002</v>
      </c>
      <c r="M100" s="44">
        <v>1.666666666666667</v>
      </c>
      <c r="N100" s="43">
        <v>2</v>
      </c>
      <c r="O100" s="44">
        <v>2.125</v>
      </c>
      <c r="P100" s="44">
        <v>2.25</v>
      </c>
      <c r="Q100" s="44">
        <v>2.375</v>
      </c>
      <c r="R100" s="43">
        <v>2.5</v>
      </c>
      <c r="S100" s="44">
        <v>2.5499999999999998</v>
      </c>
      <c r="T100" s="44">
        <v>2.5999999999999996</v>
      </c>
      <c r="U100" s="44">
        <v>2.6499999999999995</v>
      </c>
      <c r="V100" s="44">
        <v>2.6999999999999993</v>
      </c>
      <c r="W100" s="44">
        <v>2.7499999999999991</v>
      </c>
      <c r="X100" s="44">
        <v>2.7999999999999989</v>
      </c>
      <c r="Y100" s="43">
        <v>2.8</v>
      </c>
      <c r="Z100" s="44">
        <v>2.8</v>
      </c>
      <c r="AA100" s="38">
        <v>5</v>
      </c>
      <c r="AB100" s="420">
        <v>0.16</v>
      </c>
    </row>
    <row r="101" spans="1:28" s="49" customFormat="1" ht="15.75" thickBot="1">
      <c r="A101" s="45"/>
      <c r="B101" s="46" t="s">
        <v>140</v>
      </c>
      <c r="C101" s="79">
        <v>1</v>
      </c>
      <c r="D101" s="84">
        <v>1</v>
      </c>
      <c r="E101" s="85">
        <v>1</v>
      </c>
      <c r="F101" s="85">
        <v>1</v>
      </c>
      <c r="G101" s="85">
        <v>1</v>
      </c>
      <c r="H101" s="85">
        <v>1</v>
      </c>
      <c r="I101" s="85">
        <v>1</v>
      </c>
      <c r="J101" s="85">
        <v>1.5</v>
      </c>
      <c r="K101" s="85">
        <v>2</v>
      </c>
      <c r="L101" s="85">
        <v>2</v>
      </c>
      <c r="M101" s="85">
        <v>2</v>
      </c>
      <c r="N101" s="423">
        <v>2.2999999999999998</v>
      </c>
      <c r="O101" s="424">
        <v>2.4</v>
      </c>
      <c r="P101" s="424">
        <v>2.4</v>
      </c>
      <c r="Q101" s="424">
        <v>3</v>
      </c>
      <c r="R101" s="85">
        <v>2.6</v>
      </c>
      <c r="S101" s="85">
        <v>2.6</v>
      </c>
      <c r="T101" s="85">
        <v>2.7</v>
      </c>
      <c r="U101" s="85">
        <v>2.7</v>
      </c>
      <c r="V101" s="86">
        <v>2.9</v>
      </c>
      <c r="W101" s="80">
        <v>2.9</v>
      </c>
      <c r="X101" s="69">
        <v>3</v>
      </c>
      <c r="Y101" s="69">
        <v>0</v>
      </c>
      <c r="Z101" s="69">
        <v>0</v>
      </c>
      <c r="AB101" s="421"/>
    </row>
    <row r="102" spans="1:28" s="49" customFormat="1">
      <c r="A102" s="45"/>
      <c r="B102" s="46"/>
      <c r="C102" s="48"/>
      <c r="D102" s="83"/>
      <c r="E102" s="83"/>
      <c r="F102" s="83"/>
      <c r="G102" s="83"/>
      <c r="H102" s="83"/>
      <c r="I102" s="83"/>
      <c r="J102" s="83"/>
      <c r="K102" s="83"/>
      <c r="L102" s="48"/>
      <c r="M102" s="48"/>
      <c r="N102" s="48"/>
      <c r="O102" s="48"/>
      <c r="P102" s="48"/>
      <c r="Q102" s="48"/>
      <c r="R102" s="48"/>
      <c r="S102" s="48"/>
      <c r="T102" s="48"/>
      <c r="U102" s="48"/>
      <c r="V102" s="48"/>
      <c r="W102" s="48"/>
      <c r="X102" s="48"/>
      <c r="Y102" s="48"/>
      <c r="Z102" s="48"/>
      <c r="AB102" s="421"/>
    </row>
    <row r="103" spans="1:28" ht="15.75" thickBot="1">
      <c r="A103" s="41" t="s">
        <v>41</v>
      </c>
      <c r="B103" s="42" t="s">
        <v>139</v>
      </c>
      <c r="C103" s="43">
        <v>1</v>
      </c>
      <c r="D103" s="81">
        <v>1</v>
      </c>
      <c r="E103" s="81">
        <v>1</v>
      </c>
      <c r="F103" s="81">
        <v>1</v>
      </c>
      <c r="G103" s="81">
        <v>1</v>
      </c>
      <c r="H103" s="81">
        <v>1</v>
      </c>
      <c r="I103" s="82">
        <v>1</v>
      </c>
      <c r="J103" s="81">
        <v>1.1666666666666667</v>
      </c>
      <c r="K103" s="81">
        <v>1.3333333333333335</v>
      </c>
      <c r="L103" s="44">
        <v>1.5000000000000002</v>
      </c>
      <c r="M103" s="44">
        <v>1.666666666666667</v>
      </c>
      <c r="N103" s="43">
        <v>2</v>
      </c>
      <c r="O103" s="44">
        <v>2.0750000000000002</v>
      </c>
      <c r="P103" s="44">
        <v>2.1500000000000004</v>
      </c>
      <c r="Q103" s="44">
        <v>2.2250000000000005</v>
      </c>
      <c r="R103" s="43">
        <v>2.2999999999999998</v>
      </c>
      <c r="S103" s="44">
        <v>2.333333333333333</v>
      </c>
      <c r="T103" s="44">
        <v>2.3666666666666663</v>
      </c>
      <c r="U103" s="44">
        <v>2.3999999999999995</v>
      </c>
      <c r="V103" s="44">
        <v>2.4333333333333327</v>
      </c>
      <c r="W103" s="44">
        <v>2.8833333333333333</v>
      </c>
      <c r="X103" s="44">
        <v>3</v>
      </c>
      <c r="Y103" s="43">
        <v>3</v>
      </c>
      <c r="Z103" s="44">
        <v>3</v>
      </c>
      <c r="AA103" s="38">
        <v>5</v>
      </c>
      <c r="AB103" s="420">
        <v>0.16</v>
      </c>
    </row>
    <row r="104" spans="1:28" s="49" customFormat="1" ht="15.75" thickBot="1">
      <c r="A104" s="45"/>
      <c r="B104" s="46" t="s">
        <v>140</v>
      </c>
      <c r="C104" s="79">
        <v>1</v>
      </c>
      <c r="D104" s="84">
        <v>1</v>
      </c>
      <c r="E104" s="85">
        <v>1</v>
      </c>
      <c r="F104" s="85">
        <v>1</v>
      </c>
      <c r="G104" s="85">
        <v>1</v>
      </c>
      <c r="H104" s="85">
        <v>1</v>
      </c>
      <c r="I104" s="85">
        <v>1</v>
      </c>
      <c r="J104" s="85">
        <v>1.5</v>
      </c>
      <c r="K104" s="85">
        <v>1.5</v>
      </c>
      <c r="L104" s="85">
        <v>2</v>
      </c>
      <c r="M104" s="85">
        <v>2</v>
      </c>
      <c r="N104" s="423">
        <v>2</v>
      </c>
      <c r="O104" s="424">
        <v>2</v>
      </c>
      <c r="P104" s="424">
        <v>2</v>
      </c>
      <c r="Q104" s="424">
        <v>3</v>
      </c>
      <c r="R104" s="85">
        <v>3.1</v>
      </c>
      <c r="S104" s="85">
        <v>3.1</v>
      </c>
      <c r="T104" s="85">
        <v>3</v>
      </c>
      <c r="U104" s="85">
        <v>3</v>
      </c>
      <c r="V104" s="86">
        <v>3</v>
      </c>
      <c r="W104" s="80">
        <v>3</v>
      </c>
      <c r="X104" s="69">
        <v>2.9</v>
      </c>
      <c r="Y104" s="69">
        <v>0</v>
      </c>
      <c r="Z104" s="69">
        <v>0</v>
      </c>
      <c r="AB104" s="421"/>
    </row>
    <row r="105" spans="1:28" s="49" customFormat="1">
      <c r="A105" s="45"/>
      <c r="B105" s="46"/>
      <c r="C105" s="48"/>
      <c r="D105" s="83"/>
      <c r="E105" s="83"/>
      <c r="F105" s="83"/>
      <c r="G105" s="83"/>
      <c r="H105" s="83"/>
      <c r="I105" s="83"/>
      <c r="J105" s="83"/>
      <c r="K105" s="83"/>
      <c r="L105" s="48"/>
      <c r="M105" s="48"/>
      <c r="N105" s="48"/>
      <c r="O105" s="48"/>
      <c r="P105" s="48"/>
      <c r="Q105" s="48"/>
      <c r="R105" s="48"/>
      <c r="S105" s="48"/>
      <c r="T105" s="48"/>
      <c r="U105" s="48"/>
      <c r="V105" s="48"/>
      <c r="W105" s="48"/>
      <c r="X105" s="48"/>
      <c r="Y105" s="48"/>
      <c r="Z105" s="48"/>
      <c r="AB105" s="421"/>
    </row>
    <row r="106" spans="1:28" ht="15.75" thickBot="1">
      <c r="A106" s="41" t="s">
        <v>181</v>
      </c>
      <c r="B106" s="42" t="s">
        <v>204</v>
      </c>
      <c r="C106" s="50">
        <v>0</v>
      </c>
      <c r="D106" s="73">
        <v>0.66666666666666663</v>
      </c>
      <c r="E106" s="73">
        <v>1.3333333333333333</v>
      </c>
      <c r="F106" s="73">
        <v>2</v>
      </c>
      <c r="G106" s="73">
        <v>2.6666666666666665</v>
      </c>
      <c r="H106" s="73">
        <v>3.333333333333333</v>
      </c>
      <c r="I106" s="74">
        <v>4</v>
      </c>
      <c r="J106" s="73">
        <v>4.166666666666667</v>
      </c>
      <c r="K106" s="73">
        <v>4.3333333333333339</v>
      </c>
      <c r="L106" s="51">
        <v>4.5000000000000009</v>
      </c>
      <c r="M106" s="51">
        <v>4.6666666666666679</v>
      </c>
      <c r="N106" s="50">
        <v>5</v>
      </c>
      <c r="O106" s="51">
        <v>5.75</v>
      </c>
      <c r="P106" s="51">
        <v>6.5</v>
      </c>
      <c r="Q106" s="51">
        <v>7.25</v>
      </c>
      <c r="R106" s="50">
        <v>8</v>
      </c>
      <c r="S106" s="51">
        <v>8.3333333333333339</v>
      </c>
      <c r="T106" s="51">
        <v>8.6666666666666679</v>
      </c>
      <c r="U106" s="51">
        <v>9.0000000000000018</v>
      </c>
      <c r="V106" s="51">
        <v>9.3333333333333357</v>
      </c>
      <c r="W106" s="51">
        <v>9.6666666666666696</v>
      </c>
      <c r="X106" s="51">
        <v>10.000000000000004</v>
      </c>
      <c r="Y106" s="50">
        <v>10</v>
      </c>
      <c r="Z106" s="51">
        <v>10</v>
      </c>
      <c r="AA106" s="38">
        <v>20</v>
      </c>
      <c r="AB106" s="420">
        <v>0.8</v>
      </c>
    </row>
    <row r="107" spans="1:28" s="49" customFormat="1" ht="15.75" thickBot="1">
      <c r="A107" s="45"/>
      <c r="B107" s="46" t="s">
        <v>205</v>
      </c>
      <c r="C107" s="71">
        <v>0</v>
      </c>
      <c r="D107" s="76">
        <v>0</v>
      </c>
      <c r="E107" s="77">
        <v>0</v>
      </c>
      <c r="F107" s="77">
        <v>0</v>
      </c>
      <c r="G107" s="77">
        <v>0</v>
      </c>
      <c r="H107" s="77">
        <v>0</v>
      </c>
      <c r="I107" s="77">
        <v>0</v>
      </c>
      <c r="J107" s="77">
        <v>0</v>
      </c>
      <c r="K107" s="77">
        <v>0</v>
      </c>
      <c r="L107" s="77">
        <v>8</v>
      </c>
      <c r="M107" s="77">
        <v>8</v>
      </c>
      <c r="N107" s="425">
        <v>6</v>
      </c>
      <c r="O107" s="426">
        <v>6</v>
      </c>
      <c r="P107" s="426">
        <v>6</v>
      </c>
      <c r="Q107" s="426">
        <v>6</v>
      </c>
      <c r="R107" s="77">
        <v>4</v>
      </c>
      <c r="S107" s="77">
        <v>4</v>
      </c>
      <c r="T107" s="77">
        <v>4</v>
      </c>
      <c r="U107" s="77">
        <v>7</v>
      </c>
      <c r="V107" s="78">
        <v>7</v>
      </c>
      <c r="W107" s="72">
        <v>7</v>
      </c>
      <c r="X107" s="70">
        <v>7</v>
      </c>
      <c r="Y107" s="70">
        <v>0</v>
      </c>
      <c r="Z107" s="70">
        <v>0</v>
      </c>
      <c r="AB107" s="421"/>
    </row>
    <row r="108" spans="1:28" s="49" customFormat="1">
      <c r="A108" s="45"/>
      <c r="B108" s="46"/>
      <c r="C108" s="53"/>
      <c r="D108" s="75"/>
      <c r="E108" s="75"/>
      <c r="F108" s="75"/>
      <c r="G108" s="75"/>
      <c r="H108" s="75"/>
      <c r="I108" s="75"/>
      <c r="J108" s="75"/>
      <c r="K108" s="75"/>
      <c r="L108" s="53"/>
      <c r="M108" s="53"/>
      <c r="N108" s="53"/>
      <c r="O108" s="53"/>
      <c r="P108" s="53"/>
      <c r="Q108" s="53"/>
      <c r="R108" s="53"/>
      <c r="S108" s="53"/>
      <c r="T108" s="53"/>
      <c r="U108" s="53"/>
      <c r="V108" s="53"/>
      <c r="W108" s="53"/>
      <c r="X108" s="53"/>
      <c r="Y108" s="53"/>
      <c r="Z108" s="53"/>
      <c r="AB108" s="421"/>
    </row>
    <row r="109" spans="1:28" ht="15.75" thickBot="1">
      <c r="A109" s="41" t="s">
        <v>182</v>
      </c>
      <c r="B109" s="42" t="s">
        <v>206</v>
      </c>
      <c r="C109" s="50">
        <v>0</v>
      </c>
      <c r="D109" s="73">
        <v>0.16666666666666666</v>
      </c>
      <c r="E109" s="73">
        <v>0.33333333333333331</v>
      </c>
      <c r="F109" s="73">
        <v>0.5</v>
      </c>
      <c r="G109" s="73">
        <v>0.66666666666666663</v>
      </c>
      <c r="H109" s="73">
        <v>0.83333333333333326</v>
      </c>
      <c r="I109" s="74">
        <v>1</v>
      </c>
      <c r="J109" s="73">
        <v>1</v>
      </c>
      <c r="K109" s="73">
        <v>1</v>
      </c>
      <c r="L109" s="51">
        <v>1</v>
      </c>
      <c r="M109" s="51">
        <v>1</v>
      </c>
      <c r="N109" s="50">
        <v>1</v>
      </c>
      <c r="O109" s="51">
        <v>1.5</v>
      </c>
      <c r="P109" s="51">
        <v>2</v>
      </c>
      <c r="Q109" s="51">
        <v>2.5</v>
      </c>
      <c r="R109" s="50">
        <v>3</v>
      </c>
      <c r="S109" s="51">
        <v>3.1666666666666665</v>
      </c>
      <c r="T109" s="51">
        <v>3.333333333333333</v>
      </c>
      <c r="U109" s="51">
        <v>3.4999999999999996</v>
      </c>
      <c r="V109" s="51">
        <v>3.6666666666666661</v>
      </c>
      <c r="W109" s="51">
        <v>3.8333333333333326</v>
      </c>
      <c r="X109" s="51">
        <v>3.9999999999999991</v>
      </c>
      <c r="Y109" s="50">
        <v>4</v>
      </c>
      <c r="Z109" s="51">
        <v>4</v>
      </c>
      <c r="AA109" s="38">
        <v>10</v>
      </c>
      <c r="AB109" s="420">
        <v>0.4</v>
      </c>
    </row>
    <row r="110" spans="1:28" s="49" customFormat="1" ht="15.75" thickBot="1">
      <c r="A110" s="45"/>
      <c r="B110" s="46" t="s">
        <v>207</v>
      </c>
      <c r="C110" s="71">
        <v>0</v>
      </c>
      <c r="D110" s="76">
        <v>0</v>
      </c>
      <c r="E110" s="77">
        <v>0</v>
      </c>
      <c r="F110" s="77">
        <v>0</v>
      </c>
      <c r="G110" s="77">
        <v>0</v>
      </c>
      <c r="H110" s="77">
        <v>0</v>
      </c>
      <c r="I110" s="77">
        <v>0</v>
      </c>
      <c r="J110" s="77">
        <v>0</v>
      </c>
      <c r="K110" s="77">
        <v>0</v>
      </c>
      <c r="L110" s="77">
        <v>0</v>
      </c>
      <c r="M110" s="77">
        <v>2</v>
      </c>
      <c r="N110" s="425">
        <v>2</v>
      </c>
      <c r="O110" s="426">
        <v>2</v>
      </c>
      <c r="P110" s="426">
        <v>2</v>
      </c>
      <c r="Q110" s="426">
        <v>2</v>
      </c>
      <c r="R110" s="77">
        <v>2</v>
      </c>
      <c r="S110" s="77">
        <v>2</v>
      </c>
      <c r="T110" s="77">
        <v>2</v>
      </c>
      <c r="U110" s="77">
        <v>2</v>
      </c>
      <c r="V110" s="78">
        <v>3</v>
      </c>
      <c r="W110" s="72">
        <v>3</v>
      </c>
      <c r="X110" s="70">
        <v>3</v>
      </c>
      <c r="Y110" s="70">
        <v>0</v>
      </c>
      <c r="Z110" s="70">
        <v>0</v>
      </c>
      <c r="AB110" s="421"/>
    </row>
    <row r="111" spans="1:28" s="49" customFormat="1">
      <c r="A111" s="45"/>
      <c r="B111" s="46"/>
      <c r="C111" s="53"/>
      <c r="D111" s="75"/>
      <c r="E111" s="75"/>
      <c r="F111" s="75"/>
      <c r="G111" s="75"/>
      <c r="H111" s="75"/>
      <c r="I111" s="75"/>
      <c r="J111" s="75"/>
      <c r="K111" s="75"/>
      <c r="L111" s="53"/>
      <c r="M111" s="53"/>
      <c r="N111" s="53"/>
      <c r="O111" s="53"/>
      <c r="P111" s="53"/>
      <c r="Q111" s="53"/>
      <c r="R111" s="53"/>
      <c r="S111" s="53"/>
      <c r="T111" s="53"/>
      <c r="U111" s="53"/>
      <c r="V111" s="53"/>
      <c r="W111" s="53"/>
      <c r="X111" s="53"/>
      <c r="Y111" s="53"/>
      <c r="Z111" s="53"/>
      <c r="AB111" s="421"/>
    </row>
    <row r="112" spans="1:28" ht="15.75" thickBot="1">
      <c r="A112" s="41" t="s">
        <v>695</v>
      </c>
      <c r="B112" s="42" t="s">
        <v>816</v>
      </c>
      <c r="C112" s="50">
        <v>0</v>
      </c>
      <c r="D112" s="73">
        <v>0</v>
      </c>
      <c r="E112" s="73">
        <v>0</v>
      </c>
      <c r="F112" s="73">
        <v>0</v>
      </c>
      <c r="G112" s="73">
        <v>0</v>
      </c>
      <c r="H112" s="73">
        <v>0</v>
      </c>
      <c r="I112" s="74">
        <v>0</v>
      </c>
      <c r="J112" s="73">
        <v>0</v>
      </c>
      <c r="K112" s="73">
        <v>0</v>
      </c>
      <c r="L112" s="51">
        <v>0</v>
      </c>
      <c r="M112" s="51">
        <v>0</v>
      </c>
      <c r="N112" s="50">
        <v>0</v>
      </c>
      <c r="O112" s="51">
        <v>2.5</v>
      </c>
      <c r="P112" s="51">
        <v>5</v>
      </c>
      <c r="Q112" s="51">
        <v>7.5</v>
      </c>
      <c r="R112" s="50">
        <v>10</v>
      </c>
      <c r="S112" s="51">
        <v>10.666666666666666</v>
      </c>
      <c r="T112" s="51">
        <v>11.333333333333332</v>
      </c>
      <c r="U112" s="51">
        <v>11.999999999999998</v>
      </c>
      <c r="V112" s="51">
        <v>12.666666666666664</v>
      </c>
      <c r="W112" s="51">
        <v>13.33333333333333</v>
      </c>
      <c r="X112" s="51">
        <v>13.999999999999996</v>
      </c>
      <c r="Y112" s="50">
        <v>14</v>
      </c>
      <c r="Z112" s="51">
        <v>14</v>
      </c>
      <c r="AA112" s="38">
        <v>20</v>
      </c>
      <c r="AB112" s="420">
        <v>0.8</v>
      </c>
    </row>
    <row r="113" spans="1:28" s="49" customFormat="1" ht="15.75" thickBot="1">
      <c r="A113" s="45"/>
      <c r="B113" s="46" t="s">
        <v>817</v>
      </c>
      <c r="C113" s="71">
        <v>0</v>
      </c>
      <c r="D113" s="76">
        <v>3</v>
      </c>
      <c r="E113" s="77">
        <v>3</v>
      </c>
      <c r="F113" s="77">
        <v>4</v>
      </c>
      <c r="G113" s="77">
        <v>4</v>
      </c>
      <c r="H113" s="77">
        <v>5</v>
      </c>
      <c r="I113" s="77">
        <v>7</v>
      </c>
      <c r="J113" s="77">
        <v>7</v>
      </c>
      <c r="K113" s="77">
        <v>7</v>
      </c>
      <c r="L113" s="77">
        <v>8</v>
      </c>
      <c r="M113" s="77">
        <v>8</v>
      </c>
      <c r="N113" s="425">
        <v>8</v>
      </c>
      <c r="O113" s="426">
        <v>10</v>
      </c>
      <c r="P113" s="426">
        <v>10</v>
      </c>
      <c r="Q113" s="426">
        <v>10</v>
      </c>
      <c r="R113" s="77">
        <v>12</v>
      </c>
      <c r="S113" s="77">
        <v>12</v>
      </c>
      <c r="T113" s="77">
        <v>16</v>
      </c>
      <c r="U113" s="77">
        <v>17</v>
      </c>
      <c r="V113" s="78">
        <v>18</v>
      </c>
      <c r="W113" s="72">
        <v>19</v>
      </c>
      <c r="X113" s="70">
        <v>19</v>
      </c>
      <c r="Y113" s="70">
        <v>0</v>
      </c>
      <c r="Z113" s="70">
        <v>0</v>
      </c>
      <c r="AA113" s="429"/>
      <c r="AB113" s="430"/>
    </row>
    <row r="114" spans="1:28" s="49" customFormat="1">
      <c r="A114" s="45"/>
      <c r="B114" s="46"/>
      <c r="C114" s="53"/>
      <c r="D114" s="75"/>
      <c r="E114" s="75"/>
      <c r="F114" s="75"/>
      <c r="G114" s="75"/>
      <c r="H114" s="75"/>
      <c r="I114" s="75"/>
      <c r="J114" s="75"/>
      <c r="K114" s="75"/>
      <c r="L114" s="53"/>
      <c r="M114" s="53"/>
      <c r="N114" s="53"/>
      <c r="O114" s="53"/>
      <c r="P114" s="53"/>
      <c r="Q114" s="53"/>
      <c r="R114" s="53"/>
      <c r="S114" s="53"/>
      <c r="T114" s="53"/>
      <c r="U114" s="53"/>
      <c r="V114" s="53"/>
      <c r="W114" s="53"/>
      <c r="X114" s="53"/>
      <c r="Y114" s="53"/>
      <c r="Z114" s="53"/>
      <c r="AA114" s="429"/>
      <c r="AB114" s="430"/>
    </row>
    <row r="115" spans="1:28" ht="15.75" thickBot="1">
      <c r="A115" s="41" t="s">
        <v>696</v>
      </c>
      <c r="B115" s="42" t="s">
        <v>818</v>
      </c>
      <c r="C115" s="52"/>
      <c r="D115" s="52"/>
      <c r="E115" s="52"/>
      <c r="F115" s="52"/>
      <c r="G115" s="52"/>
      <c r="H115" s="52"/>
      <c r="I115" s="52"/>
      <c r="J115" s="52"/>
      <c r="K115" s="52"/>
      <c r="L115" s="52"/>
      <c r="M115" s="52"/>
      <c r="N115" s="52"/>
      <c r="O115" s="52"/>
      <c r="P115" s="52"/>
      <c r="Q115" s="52"/>
      <c r="R115" s="50">
        <v>4</v>
      </c>
      <c r="S115" s="51">
        <v>4.5</v>
      </c>
      <c r="T115" s="51">
        <v>5</v>
      </c>
      <c r="U115" s="51">
        <v>5.5</v>
      </c>
      <c r="V115" s="51">
        <v>6</v>
      </c>
      <c r="W115" s="51">
        <v>6.5</v>
      </c>
      <c r="X115" s="51">
        <v>7</v>
      </c>
      <c r="Y115" s="50">
        <v>7</v>
      </c>
      <c r="Z115" s="51">
        <v>7</v>
      </c>
      <c r="AA115" s="38">
        <v>20</v>
      </c>
      <c r="AB115" s="420">
        <v>0.8</v>
      </c>
    </row>
    <row r="116" spans="1:28" s="49" customFormat="1" ht="15.75" thickBot="1">
      <c r="A116" s="45"/>
      <c r="B116" s="46" t="s">
        <v>819</v>
      </c>
      <c r="C116" s="52"/>
      <c r="D116" s="52"/>
      <c r="E116" s="52"/>
      <c r="F116" s="52"/>
      <c r="G116" s="52"/>
      <c r="H116" s="52"/>
      <c r="I116" s="52"/>
      <c r="J116" s="52"/>
      <c r="K116" s="52"/>
      <c r="L116" s="52"/>
      <c r="M116" s="52"/>
      <c r="N116" s="52"/>
      <c r="O116" s="52"/>
      <c r="P116" s="52"/>
      <c r="Q116" s="52"/>
      <c r="R116" s="52">
        <v>4</v>
      </c>
      <c r="S116" s="77">
        <v>7</v>
      </c>
      <c r="T116" s="77">
        <v>9</v>
      </c>
      <c r="U116" s="77">
        <v>9</v>
      </c>
      <c r="V116" s="78">
        <v>10</v>
      </c>
      <c r="W116" s="72">
        <v>12</v>
      </c>
      <c r="X116" s="70">
        <v>12</v>
      </c>
      <c r="Y116" s="70">
        <v>0</v>
      </c>
      <c r="Z116" s="70">
        <v>0</v>
      </c>
      <c r="AB116" s="421"/>
    </row>
    <row r="117" spans="1:28" s="49" customFormat="1">
      <c r="A117" s="45"/>
      <c r="B117" s="46"/>
      <c r="C117" s="53"/>
      <c r="D117" s="75"/>
      <c r="E117" s="75"/>
      <c r="F117" s="75"/>
      <c r="G117" s="75"/>
      <c r="H117" s="75"/>
      <c r="I117" s="75"/>
      <c r="J117" s="75"/>
      <c r="K117" s="75"/>
      <c r="L117" s="53"/>
      <c r="M117" s="53"/>
      <c r="N117" s="53"/>
      <c r="O117" s="53"/>
      <c r="P117" s="53"/>
      <c r="Q117" s="53"/>
      <c r="R117" s="53"/>
      <c r="S117" s="53"/>
      <c r="T117" s="53"/>
      <c r="U117" s="53"/>
      <c r="V117" s="53"/>
      <c r="W117" s="53"/>
      <c r="X117" s="53"/>
      <c r="Y117" s="53"/>
      <c r="Z117" s="53"/>
      <c r="AB117" s="421"/>
    </row>
    <row r="118" spans="1:28" ht="15.75" thickBot="1">
      <c r="A118" s="41" t="s">
        <v>697</v>
      </c>
      <c r="B118" s="42" t="s">
        <v>820</v>
      </c>
      <c r="C118" s="52"/>
      <c r="D118" s="52"/>
      <c r="E118" s="52"/>
      <c r="F118" s="52"/>
      <c r="G118" s="52"/>
      <c r="H118" s="52"/>
      <c r="I118" s="52"/>
      <c r="J118" s="52"/>
      <c r="K118" s="52"/>
      <c r="L118" s="52"/>
      <c r="M118" s="52"/>
      <c r="N118" s="52"/>
      <c r="O118" s="52"/>
      <c r="P118" s="52"/>
      <c r="Q118" s="52"/>
      <c r="R118" s="50">
        <v>4</v>
      </c>
      <c r="S118" s="51">
        <v>4</v>
      </c>
      <c r="T118" s="51">
        <v>4</v>
      </c>
      <c r="U118" s="51">
        <v>4</v>
      </c>
      <c r="V118" s="51">
        <v>4</v>
      </c>
      <c r="W118" s="51">
        <v>4</v>
      </c>
      <c r="X118" s="51">
        <v>4</v>
      </c>
      <c r="Y118" s="50">
        <v>4</v>
      </c>
      <c r="Z118" s="51">
        <v>4</v>
      </c>
      <c r="AA118" s="38">
        <v>10</v>
      </c>
      <c r="AB118" s="420">
        <v>0.4</v>
      </c>
    </row>
    <row r="119" spans="1:28" s="49" customFormat="1" ht="15.75" thickBot="1">
      <c r="A119" s="45"/>
      <c r="B119" s="46" t="s">
        <v>821</v>
      </c>
      <c r="C119" s="52"/>
      <c r="D119" s="52"/>
      <c r="E119" s="52"/>
      <c r="F119" s="52"/>
      <c r="G119" s="52"/>
      <c r="H119" s="52"/>
      <c r="I119" s="52"/>
      <c r="J119" s="52"/>
      <c r="K119" s="52"/>
      <c r="L119" s="52"/>
      <c r="M119" s="52"/>
      <c r="N119" s="52"/>
      <c r="O119" s="52"/>
      <c r="P119" s="52"/>
      <c r="Q119" s="52"/>
      <c r="R119" s="52">
        <v>4</v>
      </c>
      <c r="S119" s="77">
        <v>5</v>
      </c>
      <c r="T119" s="77">
        <v>6</v>
      </c>
      <c r="U119" s="77">
        <v>6</v>
      </c>
      <c r="V119" s="78">
        <v>7</v>
      </c>
      <c r="W119" s="72">
        <v>8</v>
      </c>
      <c r="X119" s="70">
        <v>8</v>
      </c>
      <c r="Y119" s="70">
        <v>0</v>
      </c>
      <c r="Z119" s="70">
        <v>0</v>
      </c>
      <c r="AB119" s="421"/>
    </row>
    <row r="120" spans="1:28" s="49" customFormat="1">
      <c r="A120" s="45"/>
      <c r="B120" s="46"/>
      <c r="C120" s="53"/>
      <c r="D120" s="75"/>
      <c r="E120" s="75"/>
      <c r="F120" s="75"/>
      <c r="G120" s="75"/>
      <c r="H120" s="75"/>
      <c r="I120" s="75"/>
      <c r="J120" s="75"/>
      <c r="K120" s="75"/>
      <c r="L120" s="53"/>
      <c r="M120" s="53"/>
      <c r="N120" s="53"/>
      <c r="O120" s="53"/>
      <c r="P120" s="53"/>
      <c r="Q120" s="53"/>
      <c r="R120" s="53"/>
      <c r="S120" s="53"/>
      <c r="T120" s="53"/>
      <c r="U120" s="53"/>
      <c r="V120" s="53"/>
      <c r="W120" s="53"/>
      <c r="X120" s="53"/>
      <c r="Y120" s="53"/>
      <c r="Z120" s="53"/>
      <c r="AB120" s="421"/>
    </row>
    <row r="121" spans="1:28" ht="15.75" thickBot="1">
      <c r="A121" s="41" t="s">
        <v>698</v>
      </c>
      <c r="B121" s="42" t="s">
        <v>822</v>
      </c>
      <c r="C121" s="52"/>
      <c r="D121" s="52"/>
      <c r="E121" s="52"/>
      <c r="F121" s="52"/>
      <c r="G121" s="52"/>
      <c r="H121" s="52"/>
      <c r="I121" s="52"/>
      <c r="J121" s="52"/>
      <c r="K121" s="52"/>
      <c r="L121" s="52"/>
      <c r="M121" s="52"/>
      <c r="N121" s="52"/>
      <c r="O121" s="52"/>
      <c r="P121" s="52"/>
      <c r="Q121" s="52"/>
      <c r="R121" s="50">
        <v>2</v>
      </c>
      <c r="S121" s="51">
        <v>2.1666666666666665</v>
      </c>
      <c r="T121" s="51">
        <v>2.333333333333333</v>
      </c>
      <c r="U121" s="51">
        <v>2.4999999999999996</v>
      </c>
      <c r="V121" s="51">
        <v>2.6666666666666661</v>
      </c>
      <c r="W121" s="51">
        <v>2.8333333333333326</v>
      </c>
      <c r="X121" s="51">
        <v>2.9999999999999991</v>
      </c>
      <c r="Y121" s="50">
        <v>3</v>
      </c>
      <c r="Z121" s="51">
        <v>3</v>
      </c>
      <c r="AA121" s="38">
        <v>10</v>
      </c>
      <c r="AB121" s="420">
        <v>0.4</v>
      </c>
    </row>
    <row r="122" spans="1:28" s="49" customFormat="1" ht="15.75" thickBot="1">
      <c r="A122" s="45"/>
      <c r="B122" s="46" t="s">
        <v>823</v>
      </c>
      <c r="C122" s="52"/>
      <c r="D122" s="52"/>
      <c r="E122" s="52"/>
      <c r="F122" s="52"/>
      <c r="G122" s="52"/>
      <c r="H122" s="52"/>
      <c r="I122" s="52"/>
      <c r="J122" s="52"/>
      <c r="K122" s="52"/>
      <c r="L122" s="52"/>
      <c r="M122" s="52"/>
      <c r="N122" s="52"/>
      <c r="O122" s="52"/>
      <c r="P122" s="52"/>
      <c r="Q122" s="52"/>
      <c r="R122" s="52">
        <v>2</v>
      </c>
      <c r="S122" s="77">
        <v>3</v>
      </c>
      <c r="T122" s="77">
        <v>3</v>
      </c>
      <c r="U122" s="77">
        <v>3</v>
      </c>
      <c r="V122" s="78">
        <v>4</v>
      </c>
      <c r="W122" s="72">
        <v>5</v>
      </c>
      <c r="X122" s="70">
        <v>5</v>
      </c>
      <c r="Y122" s="70">
        <v>0</v>
      </c>
      <c r="Z122" s="70">
        <v>0</v>
      </c>
      <c r="AB122" s="421"/>
    </row>
    <row r="123" spans="1:28" s="49" customFormat="1">
      <c r="A123" s="45"/>
      <c r="B123" s="46"/>
      <c r="C123" s="53"/>
      <c r="D123" s="75"/>
      <c r="E123" s="75"/>
      <c r="F123" s="75"/>
      <c r="G123" s="75"/>
      <c r="H123" s="75"/>
      <c r="I123" s="75"/>
      <c r="J123" s="75"/>
      <c r="K123" s="75"/>
      <c r="L123" s="53"/>
      <c r="M123" s="53"/>
      <c r="N123" s="53"/>
      <c r="O123" s="53"/>
      <c r="P123" s="53"/>
      <c r="Q123" s="53"/>
      <c r="R123" s="53"/>
      <c r="S123" s="53"/>
      <c r="T123" s="53"/>
      <c r="U123" s="53"/>
      <c r="V123" s="53"/>
      <c r="W123" s="53"/>
      <c r="X123" s="53"/>
      <c r="Y123" s="53"/>
      <c r="Z123" s="53"/>
      <c r="AB123" s="421"/>
    </row>
    <row r="124" spans="1:28" ht="15.75" thickBot="1">
      <c r="A124" s="41" t="s">
        <v>699</v>
      </c>
      <c r="B124" s="42" t="s">
        <v>202</v>
      </c>
      <c r="C124" s="50">
        <v>0</v>
      </c>
      <c r="D124" s="73">
        <v>0.33333333333333331</v>
      </c>
      <c r="E124" s="73">
        <v>0.66666666666666663</v>
      </c>
      <c r="F124" s="73">
        <v>1</v>
      </c>
      <c r="G124" s="73">
        <v>1.3333333333333333</v>
      </c>
      <c r="H124" s="73">
        <v>1.6666666666666665</v>
      </c>
      <c r="I124" s="74">
        <v>2</v>
      </c>
      <c r="J124" s="73">
        <v>2.5</v>
      </c>
      <c r="K124" s="73">
        <v>3</v>
      </c>
      <c r="L124" s="51">
        <v>3.5</v>
      </c>
      <c r="M124" s="51">
        <v>4</v>
      </c>
      <c r="N124" s="50">
        <v>5</v>
      </c>
      <c r="O124" s="51">
        <v>5</v>
      </c>
      <c r="P124" s="51">
        <v>5</v>
      </c>
      <c r="Q124" s="51">
        <v>5</v>
      </c>
      <c r="R124" s="50">
        <v>5</v>
      </c>
      <c r="S124" s="51">
        <v>5.333333333333333</v>
      </c>
      <c r="T124" s="51">
        <v>5.6666666666666661</v>
      </c>
      <c r="U124" s="51">
        <v>5.9999999999999991</v>
      </c>
      <c r="V124" s="51">
        <v>6.3333333333333321</v>
      </c>
      <c r="W124" s="51">
        <v>6.6666666666666652</v>
      </c>
      <c r="X124" s="51">
        <v>6.9999999999999982</v>
      </c>
      <c r="Y124" s="50">
        <v>7</v>
      </c>
      <c r="Z124" s="51">
        <v>7</v>
      </c>
      <c r="AA124" s="38">
        <v>10</v>
      </c>
      <c r="AB124" s="420">
        <v>0.4</v>
      </c>
    </row>
    <row r="125" spans="1:28" s="49" customFormat="1" ht="15.75" thickBot="1">
      <c r="A125" s="45"/>
      <c r="B125" s="46" t="s">
        <v>203</v>
      </c>
      <c r="C125" s="71">
        <v>0</v>
      </c>
      <c r="D125" s="76">
        <v>0</v>
      </c>
      <c r="E125" s="77">
        <v>0</v>
      </c>
      <c r="F125" s="77">
        <v>0</v>
      </c>
      <c r="G125" s="77">
        <v>0</v>
      </c>
      <c r="H125" s="77">
        <v>0</v>
      </c>
      <c r="I125" s="77">
        <v>0</v>
      </c>
      <c r="J125" s="77">
        <v>0</v>
      </c>
      <c r="K125" s="77">
        <v>0</v>
      </c>
      <c r="L125" s="77">
        <v>0</v>
      </c>
      <c r="M125" s="77">
        <v>0</v>
      </c>
      <c r="N125" s="77">
        <v>0</v>
      </c>
      <c r="O125" s="77">
        <v>0</v>
      </c>
      <c r="P125" s="77">
        <v>0</v>
      </c>
      <c r="Q125" s="77">
        <v>0</v>
      </c>
      <c r="R125" s="77">
        <v>0</v>
      </c>
      <c r="S125" s="77">
        <v>6</v>
      </c>
      <c r="T125" s="77">
        <v>6</v>
      </c>
      <c r="U125" s="77">
        <v>6</v>
      </c>
      <c r="V125" s="78">
        <v>7</v>
      </c>
      <c r="W125" s="72">
        <v>8</v>
      </c>
      <c r="X125" s="70">
        <v>8</v>
      </c>
      <c r="Y125" s="70">
        <v>0</v>
      </c>
      <c r="Z125" s="70">
        <v>0</v>
      </c>
      <c r="AB125" s="421"/>
    </row>
    <row r="126" spans="1:28">
      <c r="B126" s="46"/>
      <c r="AB126" s="420"/>
    </row>
    <row r="127" spans="1:28" ht="15.75" thickBot="1">
      <c r="A127" s="41" t="s">
        <v>700</v>
      </c>
      <c r="B127" s="42" t="s">
        <v>213</v>
      </c>
      <c r="C127" s="52"/>
      <c r="D127" s="52"/>
      <c r="E127" s="52"/>
      <c r="F127" s="52"/>
      <c r="G127" s="52"/>
      <c r="H127" s="52"/>
      <c r="I127" s="52"/>
      <c r="J127" s="52"/>
      <c r="K127" s="52"/>
      <c r="L127" s="52"/>
      <c r="M127" s="52"/>
      <c r="N127" s="52"/>
      <c r="O127" s="52"/>
      <c r="P127" s="52"/>
      <c r="Q127" s="52"/>
      <c r="R127" s="50">
        <v>6</v>
      </c>
      <c r="S127" s="51">
        <v>5.666666666666667</v>
      </c>
      <c r="T127" s="51">
        <v>5.3333333333333339</v>
      </c>
      <c r="U127" s="51">
        <v>5.0000000000000009</v>
      </c>
      <c r="V127" s="51">
        <v>4.6666666666666679</v>
      </c>
      <c r="W127" s="51">
        <v>4.3333333333333348</v>
      </c>
      <c r="X127" s="51">
        <v>4.0000000000000018</v>
      </c>
      <c r="Y127" s="50">
        <v>4</v>
      </c>
      <c r="Z127" s="51">
        <v>4</v>
      </c>
      <c r="AA127" s="38">
        <v>10</v>
      </c>
      <c r="AB127" s="420">
        <v>0.4</v>
      </c>
    </row>
    <row r="128" spans="1:28" s="49" customFormat="1" ht="15.75" thickBot="1">
      <c r="A128" s="45"/>
      <c r="B128" s="46" t="s">
        <v>212</v>
      </c>
      <c r="C128" s="52"/>
      <c r="D128" s="52"/>
      <c r="E128" s="52"/>
      <c r="F128" s="52"/>
      <c r="G128" s="52"/>
      <c r="H128" s="52"/>
      <c r="I128" s="52"/>
      <c r="J128" s="52"/>
      <c r="K128" s="52"/>
      <c r="L128" s="52"/>
      <c r="M128" s="52"/>
      <c r="N128" s="52"/>
      <c r="O128" s="52"/>
      <c r="P128" s="52"/>
      <c r="Q128" s="52"/>
      <c r="R128" s="52">
        <v>6</v>
      </c>
      <c r="S128" s="77">
        <v>2</v>
      </c>
      <c r="T128" s="77">
        <v>2</v>
      </c>
      <c r="U128" s="77">
        <v>2</v>
      </c>
      <c r="V128" s="78">
        <v>2</v>
      </c>
      <c r="W128" s="72">
        <v>6</v>
      </c>
      <c r="X128" s="70">
        <v>6</v>
      </c>
      <c r="Y128" s="70">
        <v>0</v>
      </c>
      <c r="Z128" s="70">
        <v>0</v>
      </c>
      <c r="AB128" s="421"/>
    </row>
    <row r="129" spans="1:28" s="49" customFormat="1">
      <c r="A129" s="45"/>
      <c r="B129" s="46"/>
      <c r="C129" s="53"/>
      <c r="D129" s="75"/>
      <c r="E129" s="75"/>
      <c r="F129" s="75"/>
      <c r="G129" s="75"/>
      <c r="H129" s="75"/>
      <c r="I129" s="75"/>
      <c r="J129" s="75"/>
      <c r="K129" s="75"/>
      <c r="L129" s="53"/>
      <c r="M129" s="53"/>
      <c r="N129" s="53"/>
      <c r="O129" s="53"/>
      <c r="P129" s="53"/>
      <c r="Q129" s="53"/>
      <c r="R129" s="53"/>
      <c r="S129" s="53"/>
      <c r="T129" s="53"/>
      <c r="U129" s="53"/>
      <c r="V129" s="53"/>
      <c r="W129" s="53"/>
      <c r="X129" s="53"/>
      <c r="Y129" s="53"/>
      <c r="Z129" s="53"/>
      <c r="AB129" s="421"/>
    </row>
    <row r="130" spans="1:28" ht="15.75" thickBot="1">
      <c r="A130" s="41" t="s">
        <v>701</v>
      </c>
      <c r="B130" s="42" t="s">
        <v>211</v>
      </c>
      <c r="C130" s="52"/>
      <c r="D130" s="52"/>
      <c r="E130" s="52"/>
      <c r="F130" s="52"/>
      <c r="G130" s="52"/>
      <c r="H130" s="52"/>
      <c r="I130" s="52"/>
      <c r="J130" s="52"/>
      <c r="K130" s="52"/>
      <c r="L130" s="52"/>
      <c r="M130" s="52"/>
      <c r="N130" s="52"/>
      <c r="O130" s="52"/>
      <c r="P130" s="52"/>
      <c r="Q130" s="52"/>
      <c r="R130" s="50">
        <v>2</v>
      </c>
      <c r="S130" s="51">
        <v>2</v>
      </c>
      <c r="T130" s="51">
        <v>2</v>
      </c>
      <c r="U130" s="51">
        <v>2</v>
      </c>
      <c r="V130" s="51">
        <v>2</v>
      </c>
      <c r="W130" s="51">
        <v>2</v>
      </c>
      <c r="X130" s="51">
        <v>2</v>
      </c>
      <c r="Y130" s="50">
        <v>2</v>
      </c>
      <c r="Z130" s="51">
        <v>2</v>
      </c>
      <c r="AA130" s="38">
        <v>5</v>
      </c>
      <c r="AB130" s="420">
        <v>0.2</v>
      </c>
    </row>
    <row r="131" spans="1:28" s="49" customFormat="1" ht="15.75" thickBot="1">
      <c r="A131" s="45"/>
      <c r="B131" s="46" t="s">
        <v>210</v>
      </c>
      <c r="C131" s="52"/>
      <c r="D131" s="52"/>
      <c r="E131" s="52"/>
      <c r="F131" s="52"/>
      <c r="G131" s="52"/>
      <c r="H131" s="52"/>
      <c r="I131" s="52"/>
      <c r="J131" s="52"/>
      <c r="K131" s="52"/>
      <c r="L131" s="52"/>
      <c r="M131" s="52"/>
      <c r="N131" s="52"/>
      <c r="O131" s="52"/>
      <c r="P131" s="52"/>
      <c r="Q131" s="52"/>
      <c r="R131" s="52">
        <v>2</v>
      </c>
      <c r="S131" s="77">
        <v>2</v>
      </c>
      <c r="T131" s="77">
        <v>2</v>
      </c>
      <c r="U131" s="77">
        <v>2</v>
      </c>
      <c r="V131" s="78">
        <v>2</v>
      </c>
      <c r="W131" s="72">
        <v>6</v>
      </c>
      <c r="X131" s="70">
        <v>6</v>
      </c>
      <c r="Y131" s="70">
        <v>0</v>
      </c>
      <c r="Z131" s="70">
        <v>0</v>
      </c>
      <c r="AB131" s="421"/>
    </row>
    <row r="132" spans="1:28" s="49" customFormat="1">
      <c r="A132" s="45"/>
      <c r="B132" s="46"/>
      <c r="C132" s="53"/>
      <c r="D132" s="75"/>
      <c r="E132" s="75"/>
      <c r="F132" s="75"/>
      <c r="G132" s="75"/>
      <c r="H132" s="75"/>
      <c r="I132" s="75"/>
      <c r="J132" s="75"/>
      <c r="K132" s="75"/>
      <c r="L132" s="53"/>
      <c r="M132" s="53"/>
      <c r="N132" s="53"/>
      <c r="O132" s="53"/>
      <c r="P132" s="53"/>
      <c r="Q132" s="53"/>
      <c r="R132" s="53"/>
      <c r="S132" s="53"/>
      <c r="T132" s="53"/>
      <c r="U132" s="53"/>
      <c r="V132" s="53"/>
      <c r="W132" s="53"/>
      <c r="X132" s="53"/>
      <c r="Y132" s="53"/>
      <c r="Z132" s="53"/>
      <c r="AB132" s="421"/>
    </row>
    <row r="133" spans="1:28" ht="15.75" thickBot="1">
      <c r="A133" s="41" t="s">
        <v>702</v>
      </c>
      <c r="B133" s="42" t="s">
        <v>209</v>
      </c>
      <c r="C133" s="52"/>
      <c r="D133" s="52"/>
      <c r="E133" s="52"/>
      <c r="F133" s="52"/>
      <c r="G133" s="52"/>
      <c r="H133" s="52"/>
      <c r="I133" s="52"/>
      <c r="J133" s="52"/>
      <c r="K133" s="52"/>
      <c r="L133" s="52"/>
      <c r="M133" s="52"/>
      <c r="N133" s="52"/>
      <c r="O133" s="52"/>
      <c r="P133" s="52"/>
      <c r="Q133" s="52"/>
      <c r="R133" s="50">
        <v>2</v>
      </c>
      <c r="S133" s="51">
        <v>1.8333333333333333</v>
      </c>
      <c r="T133" s="51">
        <v>1.6666666666666665</v>
      </c>
      <c r="U133" s="51">
        <v>1.4999999999999998</v>
      </c>
      <c r="V133" s="51">
        <v>1.333333333333333</v>
      </c>
      <c r="W133" s="51">
        <v>1.1666666666666663</v>
      </c>
      <c r="X133" s="51">
        <v>0.99999999999999967</v>
      </c>
      <c r="Y133" s="50">
        <v>1</v>
      </c>
      <c r="Z133" s="51">
        <v>1</v>
      </c>
      <c r="AA133" s="38">
        <v>5</v>
      </c>
      <c r="AB133" s="420">
        <v>0.2</v>
      </c>
    </row>
    <row r="134" spans="1:28" s="49" customFormat="1" ht="15.75" thickBot="1">
      <c r="A134" s="45"/>
      <c r="B134" s="46" t="s">
        <v>208</v>
      </c>
      <c r="C134" s="52"/>
      <c r="D134" s="52"/>
      <c r="E134" s="52"/>
      <c r="F134" s="52"/>
      <c r="G134" s="52"/>
      <c r="H134" s="52"/>
      <c r="I134" s="52"/>
      <c r="J134" s="52"/>
      <c r="K134" s="52"/>
      <c r="L134" s="52"/>
      <c r="M134" s="52"/>
      <c r="N134" s="52"/>
      <c r="O134" s="52"/>
      <c r="P134" s="52"/>
      <c r="Q134" s="52"/>
      <c r="R134" s="52">
        <v>2</v>
      </c>
      <c r="S134" s="77">
        <v>1</v>
      </c>
      <c r="T134" s="77">
        <v>1</v>
      </c>
      <c r="U134" s="77">
        <v>1</v>
      </c>
      <c r="V134" s="78">
        <v>2</v>
      </c>
      <c r="W134" s="72">
        <v>5</v>
      </c>
      <c r="X134" s="70">
        <v>5</v>
      </c>
      <c r="Y134" s="70">
        <v>0</v>
      </c>
      <c r="Z134" s="70">
        <v>0</v>
      </c>
      <c r="AB134" s="421"/>
    </row>
    <row r="135" spans="1:28" s="49" customFormat="1">
      <c r="A135" s="45"/>
      <c r="B135" s="46"/>
      <c r="C135" s="53"/>
      <c r="D135" s="75"/>
      <c r="E135" s="75"/>
      <c r="F135" s="75"/>
      <c r="G135" s="75"/>
      <c r="H135" s="75"/>
      <c r="I135" s="75"/>
      <c r="J135" s="75"/>
      <c r="K135" s="75"/>
      <c r="L135" s="53"/>
      <c r="M135" s="53"/>
      <c r="N135" s="53"/>
      <c r="O135" s="53"/>
      <c r="P135" s="53"/>
      <c r="Q135" s="53"/>
      <c r="R135" s="53"/>
      <c r="S135" s="53"/>
      <c r="T135" s="53"/>
      <c r="U135" s="53"/>
      <c r="V135" s="53"/>
      <c r="W135" s="53"/>
      <c r="X135" s="53"/>
      <c r="Y135" s="53"/>
      <c r="Z135" s="53"/>
      <c r="AB135" s="421"/>
    </row>
    <row r="136" spans="1:28" ht="15.75" thickBot="1">
      <c r="A136" s="41" t="s">
        <v>703</v>
      </c>
      <c r="B136" s="42" t="s">
        <v>824</v>
      </c>
      <c r="C136" s="52"/>
      <c r="D136" s="52"/>
      <c r="E136" s="52"/>
      <c r="F136" s="52"/>
      <c r="G136" s="52"/>
      <c r="H136" s="52"/>
      <c r="I136" s="52"/>
      <c r="J136" s="52"/>
      <c r="K136" s="52"/>
      <c r="L136" s="52"/>
      <c r="M136" s="52"/>
      <c r="N136" s="52"/>
      <c r="O136" s="52"/>
      <c r="P136" s="52"/>
      <c r="Q136" s="52"/>
      <c r="R136" s="50">
        <v>5</v>
      </c>
      <c r="S136" s="51">
        <v>5.166666666666667</v>
      </c>
      <c r="T136" s="51">
        <v>5.3333333333333339</v>
      </c>
      <c r="U136" s="51">
        <v>5.5000000000000009</v>
      </c>
      <c r="V136" s="51">
        <v>5.6666666666666679</v>
      </c>
      <c r="W136" s="51">
        <v>5.8333333333333348</v>
      </c>
      <c r="X136" s="51">
        <v>6.0000000000000018</v>
      </c>
      <c r="Y136" s="50">
        <v>6</v>
      </c>
      <c r="Z136" s="51">
        <v>6</v>
      </c>
      <c r="AA136" s="38">
        <v>10</v>
      </c>
      <c r="AB136" s="420">
        <v>0.4</v>
      </c>
    </row>
    <row r="137" spans="1:28" s="49" customFormat="1" ht="15.75" thickBot="1">
      <c r="A137" s="45"/>
      <c r="B137" s="46" t="s">
        <v>825</v>
      </c>
      <c r="C137" s="52"/>
      <c r="D137" s="52"/>
      <c r="E137" s="52"/>
      <c r="F137" s="52"/>
      <c r="G137" s="52"/>
      <c r="H137" s="52"/>
      <c r="I137" s="52"/>
      <c r="J137" s="52"/>
      <c r="K137" s="52"/>
      <c r="L137" s="52"/>
      <c r="M137" s="52"/>
      <c r="N137" s="52"/>
      <c r="O137" s="52"/>
      <c r="P137" s="52"/>
      <c r="Q137" s="52"/>
      <c r="R137" s="52">
        <v>5</v>
      </c>
      <c r="S137" s="77">
        <v>2</v>
      </c>
      <c r="T137" s="77">
        <v>4</v>
      </c>
      <c r="U137" s="77">
        <v>4</v>
      </c>
      <c r="V137" s="78">
        <v>4</v>
      </c>
      <c r="W137" s="72">
        <v>6</v>
      </c>
      <c r="X137" s="70">
        <v>6</v>
      </c>
      <c r="Y137" s="70">
        <v>0</v>
      </c>
      <c r="Z137" s="70">
        <v>0</v>
      </c>
      <c r="AB137" s="421"/>
    </row>
    <row r="138" spans="1:28">
      <c r="AB138" s="420"/>
    </row>
    <row r="139" spans="1:28" ht="15.75" thickBot="1">
      <c r="A139" s="41" t="s">
        <v>704</v>
      </c>
      <c r="B139" s="42" t="s">
        <v>826</v>
      </c>
      <c r="C139" s="52"/>
      <c r="D139" s="52"/>
      <c r="E139" s="52"/>
      <c r="F139" s="52"/>
      <c r="G139" s="52"/>
      <c r="H139" s="52"/>
      <c r="I139" s="52"/>
      <c r="J139" s="52"/>
      <c r="K139" s="52"/>
      <c r="L139" s="52"/>
      <c r="M139" s="52"/>
      <c r="N139" s="52"/>
      <c r="O139" s="52"/>
      <c r="P139" s="52"/>
      <c r="Q139" s="52"/>
      <c r="R139" s="50">
        <v>4</v>
      </c>
      <c r="S139" s="51">
        <v>4.333333333333333</v>
      </c>
      <c r="T139" s="51">
        <v>4.6666666666666661</v>
      </c>
      <c r="U139" s="51">
        <v>4.9999999999999991</v>
      </c>
      <c r="V139" s="51">
        <v>5.3333333333333321</v>
      </c>
      <c r="W139" s="51">
        <v>5.6666666666666652</v>
      </c>
      <c r="X139" s="51">
        <v>5.9999999999999982</v>
      </c>
      <c r="Y139" s="50">
        <v>6</v>
      </c>
      <c r="Z139" s="51">
        <v>6</v>
      </c>
      <c r="AA139" s="38">
        <v>10</v>
      </c>
      <c r="AB139" s="420">
        <v>0.4</v>
      </c>
    </row>
    <row r="140" spans="1:28" s="49" customFormat="1" ht="15.75" thickBot="1">
      <c r="A140" s="45"/>
      <c r="B140" s="46" t="s">
        <v>827</v>
      </c>
      <c r="C140" s="52"/>
      <c r="D140" s="52"/>
      <c r="E140" s="52"/>
      <c r="F140" s="52"/>
      <c r="G140" s="52"/>
      <c r="H140" s="52"/>
      <c r="I140" s="52"/>
      <c r="J140" s="52"/>
      <c r="K140" s="52"/>
      <c r="L140" s="52"/>
      <c r="M140" s="52"/>
      <c r="N140" s="52"/>
      <c r="O140" s="52"/>
      <c r="P140" s="52"/>
      <c r="Q140" s="52"/>
      <c r="R140" s="52">
        <v>4</v>
      </c>
      <c r="S140" s="77">
        <v>2</v>
      </c>
      <c r="T140" s="77">
        <v>2</v>
      </c>
      <c r="U140" s="77">
        <v>2</v>
      </c>
      <c r="V140" s="78">
        <v>2</v>
      </c>
      <c r="W140" s="72">
        <v>3</v>
      </c>
      <c r="X140" s="70">
        <v>3</v>
      </c>
      <c r="Y140" s="70">
        <v>0</v>
      </c>
      <c r="Z140" s="70">
        <v>0</v>
      </c>
      <c r="AB140" s="421"/>
    </row>
    <row r="141" spans="1:28" s="49" customFormat="1">
      <c r="A141" s="45"/>
      <c r="B141" s="46"/>
      <c r="C141" s="53"/>
      <c r="D141" s="75"/>
      <c r="E141" s="75"/>
      <c r="F141" s="75"/>
      <c r="G141" s="75"/>
      <c r="H141" s="75"/>
      <c r="I141" s="75"/>
      <c r="J141" s="75"/>
      <c r="K141" s="75"/>
      <c r="L141" s="53"/>
      <c r="M141" s="53"/>
      <c r="N141" s="53"/>
      <c r="O141" s="53"/>
      <c r="P141" s="53"/>
      <c r="Q141" s="53"/>
      <c r="R141" s="53"/>
      <c r="S141" s="53"/>
      <c r="T141" s="53"/>
      <c r="U141" s="53"/>
      <c r="V141" s="53"/>
      <c r="W141" s="53"/>
      <c r="X141" s="53"/>
      <c r="Y141" s="53"/>
      <c r="Z141" s="53"/>
      <c r="AB141" s="421"/>
    </row>
    <row r="142" spans="1:28" ht="15.75" thickBot="1">
      <c r="A142" s="41" t="s">
        <v>705</v>
      </c>
      <c r="B142" s="42" t="s">
        <v>828</v>
      </c>
      <c r="C142" s="52"/>
      <c r="D142" s="52"/>
      <c r="E142" s="52"/>
      <c r="F142" s="52"/>
      <c r="G142" s="52"/>
      <c r="H142" s="52"/>
      <c r="I142" s="52"/>
      <c r="J142" s="52"/>
      <c r="K142" s="52"/>
      <c r="L142" s="52"/>
      <c r="M142" s="52"/>
      <c r="N142" s="52"/>
      <c r="O142" s="52"/>
      <c r="P142" s="52"/>
      <c r="Q142" s="52"/>
      <c r="R142" s="50">
        <v>2</v>
      </c>
      <c r="S142" s="51">
        <v>2.3333333333333335</v>
      </c>
      <c r="T142" s="51">
        <v>2.666666666666667</v>
      </c>
      <c r="U142" s="51">
        <v>3.0000000000000004</v>
      </c>
      <c r="V142" s="51">
        <v>3.3333333333333339</v>
      </c>
      <c r="W142" s="51">
        <v>3.6666666666666674</v>
      </c>
      <c r="X142" s="51">
        <v>4.0000000000000009</v>
      </c>
      <c r="Y142" s="50">
        <v>4</v>
      </c>
      <c r="Z142" s="51">
        <v>4</v>
      </c>
      <c r="AA142" s="38">
        <v>5</v>
      </c>
      <c r="AB142" s="420">
        <v>0.2</v>
      </c>
    </row>
    <row r="143" spans="1:28" s="49" customFormat="1" ht="15.75" thickBot="1">
      <c r="A143" s="45"/>
      <c r="B143" s="46" t="s">
        <v>829</v>
      </c>
      <c r="C143" s="52"/>
      <c r="D143" s="52"/>
      <c r="E143" s="52"/>
      <c r="F143" s="52"/>
      <c r="G143" s="52"/>
      <c r="H143" s="52"/>
      <c r="I143" s="52"/>
      <c r="J143" s="52"/>
      <c r="K143" s="52"/>
      <c r="L143" s="52"/>
      <c r="M143" s="52"/>
      <c r="N143" s="52"/>
      <c r="O143" s="52"/>
      <c r="P143" s="52"/>
      <c r="Q143" s="52"/>
      <c r="R143" s="52">
        <v>2</v>
      </c>
      <c r="S143" s="77">
        <v>2</v>
      </c>
      <c r="T143" s="77">
        <v>1</v>
      </c>
      <c r="U143" s="77">
        <v>1</v>
      </c>
      <c r="V143" s="78">
        <v>2</v>
      </c>
      <c r="W143" s="72">
        <v>3</v>
      </c>
      <c r="X143" s="70">
        <v>3</v>
      </c>
      <c r="Y143" s="70">
        <v>0</v>
      </c>
      <c r="Z143" s="70">
        <v>0</v>
      </c>
      <c r="AB143" s="421"/>
    </row>
    <row r="144" spans="1:28" s="49" customFormat="1">
      <c r="A144" s="45"/>
      <c r="B144" s="46"/>
      <c r="C144" s="53"/>
      <c r="D144" s="75"/>
      <c r="E144" s="75"/>
      <c r="F144" s="75"/>
      <c r="G144" s="75"/>
      <c r="H144" s="75"/>
      <c r="I144" s="75"/>
      <c r="J144" s="75"/>
      <c r="K144" s="75"/>
      <c r="L144" s="53"/>
      <c r="M144" s="53"/>
      <c r="N144" s="53"/>
      <c r="O144" s="53"/>
      <c r="P144" s="53"/>
      <c r="Q144" s="53"/>
      <c r="R144" s="53"/>
      <c r="S144" s="53"/>
      <c r="T144" s="53"/>
      <c r="U144" s="53"/>
      <c r="V144" s="53"/>
      <c r="W144" s="53"/>
      <c r="X144" s="53"/>
      <c r="Y144" s="53"/>
      <c r="Z144" s="53"/>
      <c r="AB144" s="421"/>
    </row>
    <row r="145" spans="1:28" ht="15.75" thickBot="1">
      <c r="A145" s="41" t="s">
        <v>706</v>
      </c>
      <c r="B145" s="42" t="s">
        <v>830</v>
      </c>
      <c r="C145" s="52"/>
      <c r="D145" s="52"/>
      <c r="E145" s="52"/>
      <c r="F145" s="52"/>
      <c r="G145" s="52"/>
      <c r="H145" s="52"/>
      <c r="I145" s="52"/>
      <c r="J145" s="52"/>
      <c r="K145" s="52"/>
      <c r="L145" s="52"/>
      <c r="M145" s="52"/>
      <c r="N145" s="52"/>
      <c r="O145" s="52"/>
      <c r="P145" s="52"/>
      <c r="Q145" s="52"/>
      <c r="R145" s="50">
        <v>0</v>
      </c>
      <c r="S145" s="51">
        <v>0.16666666666666666</v>
      </c>
      <c r="T145" s="51">
        <v>0.33333333333333331</v>
      </c>
      <c r="U145" s="51">
        <v>0.5</v>
      </c>
      <c r="V145" s="51">
        <v>0.66666666666666663</v>
      </c>
      <c r="W145" s="51">
        <v>0.83333333333333326</v>
      </c>
      <c r="X145" s="51">
        <v>0.99999999999999989</v>
      </c>
      <c r="Y145" s="50">
        <v>1</v>
      </c>
      <c r="Z145" s="51">
        <v>1</v>
      </c>
      <c r="AA145" s="38">
        <v>5</v>
      </c>
      <c r="AB145" s="420">
        <v>0.2</v>
      </c>
    </row>
    <row r="146" spans="1:28" s="49" customFormat="1" ht="15.75" thickBot="1">
      <c r="A146" s="45"/>
      <c r="B146" s="46" t="s">
        <v>831</v>
      </c>
      <c r="C146" s="52"/>
      <c r="D146" s="52"/>
      <c r="E146" s="52"/>
      <c r="F146" s="52"/>
      <c r="G146" s="52"/>
      <c r="H146" s="52"/>
      <c r="I146" s="52"/>
      <c r="J146" s="52"/>
      <c r="K146" s="52"/>
      <c r="L146" s="52"/>
      <c r="M146" s="52"/>
      <c r="N146" s="52"/>
      <c r="O146" s="52"/>
      <c r="P146" s="52"/>
      <c r="Q146" s="52"/>
      <c r="R146" s="52">
        <v>0</v>
      </c>
      <c r="S146" s="77">
        <v>0</v>
      </c>
      <c r="T146" s="77">
        <v>1</v>
      </c>
      <c r="U146" s="77">
        <v>1</v>
      </c>
      <c r="V146" s="78">
        <v>1</v>
      </c>
      <c r="W146" s="72">
        <v>1</v>
      </c>
      <c r="X146" s="70">
        <v>1</v>
      </c>
      <c r="Y146" s="70">
        <v>0</v>
      </c>
      <c r="Z146" s="70">
        <v>0</v>
      </c>
      <c r="AB146" s="421"/>
    </row>
    <row r="147" spans="1:28" s="49" customFormat="1">
      <c r="A147" s="45"/>
      <c r="B147" s="46"/>
      <c r="C147" s="53"/>
      <c r="D147" s="75"/>
      <c r="E147" s="75"/>
      <c r="F147" s="75"/>
      <c r="G147" s="75"/>
      <c r="H147" s="75"/>
      <c r="I147" s="75"/>
      <c r="J147" s="75"/>
      <c r="K147" s="75"/>
      <c r="L147" s="53"/>
      <c r="M147" s="53"/>
      <c r="N147" s="53"/>
      <c r="O147" s="53"/>
      <c r="P147" s="53"/>
      <c r="Q147" s="53"/>
      <c r="R147" s="53"/>
      <c r="S147" s="53"/>
      <c r="T147" s="53"/>
      <c r="U147" s="53"/>
      <c r="V147" s="53"/>
      <c r="W147" s="53"/>
      <c r="X147" s="53"/>
      <c r="Y147" s="53"/>
      <c r="Z147" s="53"/>
      <c r="AB147" s="421"/>
    </row>
    <row r="148" spans="1:28" ht="14.25">
      <c r="A148" s="38"/>
    </row>
    <row r="149" spans="1:28">
      <c r="C149" s="55" t="s">
        <v>194</v>
      </c>
      <c r="D149" s="431"/>
      <c r="E149" s="432"/>
      <c r="F149" s="433"/>
    </row>
    <row r="150" spans="1:28">
      <c r="C150" s="55" t="s">
        <v>195</v>
      </c>
      <c r="D150" s="434" t="s">
        <v>196</v>
      </c>
      <c r="E150" s="435" t="s">
        <v>153</v>
      </c>
      <c r="F150" s="435" t="s">
        <v>154</v>
      </c>
      <c r="G150" s="435" t="s">
        <v>158</v>
      </c>
      <c r="H150" s="434" t="s">
        <v>197</v>
      </c>
    </row>
    <row r="151" spans="1:28">
      <c r="C151" s="55"/>
      <c r="D151" s="434"/>
      <c r="E151" s="435"/>
      <c r="F151" s="435"/>
      <c r="G151" s="435"/>
      <c r="H151" s="434"/>
    </row>
    <row r="153" spans="1:28" ht="14.25">
      <c r="A153" s="1356" t="s">
        <v>727</v>
      </c>
      <c r="B153" s="1356"/>
    </row>
    <row r="154" spans="1:28" ht="14.25">
      <c r="A154" s="1356"/>
      <c r="B154" s="1356"/>
    </row>
    <row r="155" spans="1:28" ht="14.25">
      <c r="A155" s="1356"/>
      <c r="B155" s="1356"/>
    </row>
    <row r="156" spans="1:28" ht="14.25">
      <c r="A156" s="1356"/>
      <c r="B156" s="1356"/>
    </row>
    <row r="157" spans="1:28" ht="14.25">
      <c r="A157" s="1356"/>
      <c r="B157" s="1356"/>
    </row>
  </sheetData>
  <sheetProtection password="CF55" sheet="1" objects="1" scenarios="1" selectLockedCells="1" selectUnlockedCells="1"/>
  <mergeCells count="7">
    <mergeCell ref="W1:Z1"/>
    <mergeCell ref="S1:V1"/>
    <mergeCell ref="A153:B157"/>
    <mergeCell ref="D1:G1"/>
    <mergeCell ref="H1:K1"/>
    <mergeCell ref="L1:N1"/>
    <mergeCell ref="O1:R1"/>
  </mergeCell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tint="0.39997558519241921"/>
  </sheetPr>
  <dimension ref="A1:AB157"/>
  <sheetViews>
    <sheetView workbookViewId="0">
      <pane xSplit="2" ySplit="2" topLeftCell="D67" activePane="bottomRight" state="frozen"/>
      <selection activeCell="L92" sqref="L92:O92"/>
      <selection pane="topRight" activeCell="L92" sqref="L92:O92"/>
      <selection pane="bottomLeft" activeCell="L92" sqref="L92:O92"/>
      <selection pane="bottomRight" activeCell="L92" sqref="L92:O92"/>
    </sheetView>
  </sheetViews>
  <sheetFormatPr defaultColWidth="11.42578125" defaultRowHeight="15"/>
  <cols>
    <col min="1" max="1" width="22.140625" style="39" customWidth="1"/>
    <col min="2" max="2" width="20.85546875" style="38" customWidth="1"/>
    <col min="3" max="3" width="10.85546875" style="54" customWidth="1"/>
    <col min="4" max="8" width="5.85546875" style="54" customWidth="1"/>
    <col min="9" max="9" width="10.85546875" style="54" customWidth="1"/>
    <col min="10" max="13" width="5.85546875" style="54" customWidth="1"/>
    <col min="14" max="14" width="10.85546875" style="54" customWidth="1"/>
    <col min="15" max="17" width="5.85546875" style="54" customWidth="1"/>
    <col min="18" max="18" width="10.85546875" style="54" customWidth="1"/>
    <col min="19" max="24" width="5.85546875" style="54" customWidth="1"/>
    <col min="25" max="25" width="10.85546875" style="54" customWidth="1"/>
    <col min="26" max="26" width="5.85546875" style="54" customWidth="1"/>
    <col min="27" max="28" width="10.85546875" style="38" customWidth="1"/>
    <col min="29" max="16384" width="11.42578125" style="38"/>
  </cols>
  <sheetData>
    <row r="1" spans="1:28">
      <c r="A1" s="57" t="s">
        <v>228</v>
      </c>
      <c r="B1" s="59" t="s">
        <v>192</v>
      </c>
      <c r="C1" s="459" t="s">
        <v>190</v>
      </c>
      <c r="D1" s="1357">
        <v>2010</v>
      </c>
      <c r="E1" s="1357"/>
      <c r="F1" s="1357"/>
      <c r="G1" s="1357"/>
      <c r="H1" s="1358">
        <v>2011</v>
      </c>
      <c r="I1" s="1358"/>
      <c r="J1" s="1358"/>
      <c r="K1" s="1358"/>
      <c r="L1" s="1353">
        <v>2012</v>
      </c>
      <c r="M1" s="1354"/>
      <c r="N1" s="1355"/>
      <c r="O1" s="1359">
        <v>2013</v>
      </c>
      <c r="P1" s="1360"/>
      <c r="Q1" s="1360"/>
      <c r="R1" s="1361"/>
      <c r="S1" s="1353">
        <v>2014</v>
      </c>
      <c r="T1" s="1354"/>
      <c r="U1" s="1354"/>
      <c r="V1" s="1355"/>
      <c r="W1" s="1351">
        <v>2015</v>
      </c>
      <c r="X1" s="1352"/>
      <c r="Y1" s="1352"/>
      <c r="Z1" s="1352"/>
    </row>
    <row r="2" spans="1:28" s="39" customFormat="1" ht="42.75">
      <c r="A2" s="58" t="s">
        <v>193</v>
      </c>
      <c r="B2" s="59" t="s">
        <v>191</v>
      </c>
      <c r="C2" s="418" t="s">
        <v>722</v>
      </c>
      <c r="D2" s="56" t="s">
        <v>141</v>
      </c>
      <c r="E2" s="56" t="s">
        <v>142</v>
      </c>
      <c r="F2" s="56" t="s">
        <v>143</v>
      </c>
      <c r="G2" s="56" t="s">
        <v>144</v>
      </c>
      <c r="H2" s="56" t="s">
        <v>141</v>
      </c>
      <c r="I2" s="418" t="s">
        <v>723</v>
      </c>
      <c r="J2" s="56" t="s">
        <v>143</v>
      </c>
      <c r="K2" s="56" t="s">
        <v>144</v>
      </c>
      <c r="L2" s="56" t="s">
        <v>141</v>
      </c>
      <c r="M2" s="56" t="s">
        <v>142</v>
      </c>
      <c r="N2" s="418" t="s">
        <v>724</v>
      </c>
      <c r="O2" s="56" t="s">
        <v>141</v>
      </c>
      <c r="P2" s="56" t="s">
        <v>142</v>
      </c>
      <c r="Q2" s="56" t="s">
        <v>143</v>
      </c>
      <c r="R2" s="418" t="s">
        <v>725</v>
      </c>
      <c r="S2" s="56" t="s">
        <v>141</v>
      </c>
      <c r="T2" s="56" t="s">
        <v>142</v>
      </c>
      <c r="U2" s="56" t="s">
        <v>143</v>
      </c>
      <c r="V2" s="56" t="s">
        <v>144</v>
      </c>
      <c r="W2" s="56" t="s">
        <v>141</v>
      </c>
      <c r="X2" s="56" t="s">
        <v>142</v>
      </c>
      <c r="Y2" s="418" t="s">
        <v>726</v>
      </c>
      <c r="Z2" s="56" t="s">
        <v>144</v>
      </c>
      <c r="AA2" s="419" t="s">
        <v>814</v>
      </c>
      <c r="AB2" s="419" t="s">
        <v>815</v>
      </c>
    </row>
    <row r="3" spans="1:28" s="39" customFormat="1">
      <c r="B3" s="38"/>
      <c r="C3" s="40"/>
      <c r="D3" s="40"/>
      <c r="E3" s="40"/>
      <c r="F3" s="40"/>
      <c r="G3" s="40"/>
      <c r="H3" s="40"/>
      <c r="I3" s="40"/>
      <c r="J3" s="40"/>
      <c r="K3" s="40"/>
      <c r="L3" s="40"/>
      <c r="M3" s="40"/>
      <c r="N3" s="40"/>
      <c r="O3" s="40"/>
      <c r="P3" s="40"/>
      <c r="Q3" s="40"/>
      <c r="R3" s="40"/>
      <c r="S3" s="40"/>
      <c r="T3" s="40"/>
      <c r="U3" s="40"/>
      <c r="V3" s="40"/>
      <c r="W3" s="40"/>
      <c r="X3" s="40"/>
      <c r="Y3" s="40"/>
      <c r="Z3" s="40"/>
    </row>
    <row r="4" spans="1:28" ht="15.75" thickBot="1">
      <c r="A4" s="41" t="s">
        <v>24</v>
      </c>
      <c r="B4" s="42" t="s">
        <v>139</v>
      </c>
      <c r="C4" s="43">
        <v>2</v>
      </c>
      <c r="D4" s="81">
        <v>2</v>
      </c>
      <c r="E4" s="81">
        <v>2</v>
      </c>
      <c r="F4" s="81">
        <v>2</v>
      </c>
      <c r="G4" s="81">
        <v>2</v>
      </c>
      <c r="H4" s="81">
        <v>2</v>
      </c>
      <c r="I4" s="82">
        <v>2</v>
      </c>
      <c r="J4" s="81">
        <v>2.1666666666666665</v>
      </c>
      <c r="K4" s="81">
        <v>2.333333333333333</v>
      </c>
      <c r="L4" s="44">
        <v>2.4999999999999996</v>
      </c>
      <c r="M4" s="44">
        <v>2.6666666666666661</v>
      </c>
      <c r="N4" s="43">
        <v>3</v>
      </c>
      <c r="O4" s="44">
        <v>3</v>
      </c>
      <c r="P4" s="44">
        <v>3</v>
      </c>
      <c r="Q4" s="44">
        <v>3</v>
      </c>
      <c r="R4" s="43">
        <v>3</v>
      </c>
      <c r="S4" s="44">
        <v>3.0333333333333332</v>
      </c>
      <c r="T4" s="44">
        <v>3.0666666666666664</v>
      </c>
      <c r="U4" s="44">
        <v>3.0999999999999996</v>
      </c>
      <c r="V4" s="44">
        <v>3.1333333333333329</v>
      </c>
      <c r="W4" s="44">
        <v>3.1666666666666661</v>
      </c>
      <c r="X4" s="44">
        <v>3.1999999999999993</v>
      </c>
      <c r="Y4" s="43">
        <v>3.2</v>
      </c>
      <c r="Z4" s="44">
        <v>3.2</v>
      </c>
      <c r="AA4" s="38">
        <v>5</v>
      </c>
      <c r="AB4" s="420">
        <v>0.16</v>
      </c>
    </row>
    <row r="5" spans="1:28" s="49" customFormat="1" ht="15.75" thickBot="1">
      <c r="A5" s="45"/>
      <c r="B5" s="46" t="s">
        <v>140</v>
      </c>
      <c r="C5" s="79">
        <v>2</v>
      </c>
      <c r="D5" s="436">
        <v>2</v>
      </c>
      <c r="E5" s="437">
        <v>2</v>
      </c>
      <c r="F5" s="437">
        <v>2</v>
      </c>
      <c r="G5" s="437">
        <v>2</v>
      </c>
      <c r="H5" s="437">
        <v>2</v>
      </c>
      <c r="I5" s="437">
        <v>2</v>
      </c>
      <c r="J5" s="437">
        <v>2</v>
      </c>
      <c r="K5" s="437">
        <v>2.1</v>
      </c>
      <c r="L5" s="437">
        <v>2</v>
      </c>
      <c r="M5" s="437">
        <v>2.7</v>
      </c>
      <c r="N5" s="437">
        <v>2.7</v>
      </c>
      <c r="O5" s="437">
        <v>2.7</v>
      </c>
      <c r="P5" s="437">
        <v>2.7</v>
      </c>
      <c r="Q5" s="437">
        <v>2.2999999999999998</v>
      </c>
      <c r="R5" s="437">
        <v>2.8</v>
      </c>
      <c r="S5" s="437">
        <v>2.8</v>
      </c>
      <c r="T5" s="437">
        <v>3.2</v>
      </c>
      <c r="U5" s="437">
        <v>3.2</v>
      </c>
      <c r="V5" s="438">
        <v>3.2</v>
      </c>
      <c r="W5" s="80">
        <v>3.5</v>
      </c>
      <c r="X5" s="69">
        <v>3.5</v>
      </c>
      <c r="Y5" s="69">
        <v>0</v>
      </c>
      <c r="Z5" s="69">
        <v>0</v>
      </c>
      <c r="AB5" s="421"/>
    </row>
    <row r="6" spans="1:28" s="49" customFormat="1">
      <c r="A6" s="45"/>
      <c r="B6" s="46"/>
      <c r="C6" s="48"/>
      <c r="D6" s="422"/>
      <c r="E6" s="422"/>
      <c r="F6" s="422"/>
      <c r="G6" s="83"/>
      <c r="H6" s="83"/>
      <c r="I6" s="83"/>
      <c r="J6" s="83"/>
      <c r="K6" s="83"/>
      <c r="L6" s="48"/>
      <c r="M6" s="48"/>
      <c r="N6" s="48"/>
      <c r="O6" s="48"/>
      <c r="P6" s="48"/>
      <c r="Q6" s="48"/>
      <c r="R6" s="48"/>
      <c r="S6" s="48"/>
      <c r="T6" s="48"/>
      <c r="U6" s="48"/>
      <c r="V6" s="48"/>
      <c r="W6" s="48"/>
      <c r="X6" s="48"/>
      <c r="Y6" s="48"/>
      <c r="Z6" s="48"/>
      <c r="AB6" s="421"/>
    </row>
    <row r="7" spans="1:28" ht="15.75" thickBot="1">
      <c r="A7" s="41" t="s">
        <v>25</v>
      </c>
      <c r="B7" s="42" t="s">
        <v>139</v>
      </c>
      <c r="C7" s="43">
        <v>1</v>
      </c>
      <c r="D7" s="81">
        <v>1</v>
      </c>
      <c r="E7" s="81">
        <v>1</v>
      </c>
      <c r="F7" s="81">
        <v>1</v>
      </c>
      <c r="G7" s="81">
        <v>1</v>
      </c>
      <c r="H7" s="81">
        <v>1</v>
      </c>
      <c r="I7" s="82">
        <v>1</v>
      </c>
      <c r="J7" s="81">
        <v>1.0416666666666667</v>
      </c>
      <c r="K7" s="81">
        <v>1.0833333333333335</v>
      </c>
      <c r="L7" s="44">
        <v>1.1250000000000002</v>
      </c>
      <c r="M7" s="44">
        <v>1.166666666666667</v>
      </c>
      <c r="N7" s="43">
        <v>1.25</v>
      </c>
      <c r="O7" s="44">
        <v>1.3125</v>
      </c>
      <c r="P7" s="44">
        <v>1.375</v>
      </c>
      <c r="Q7" s="44">
        <v>1.4375</v>
      </c>
      <c r="R7" s="43">
        <v>1.5</v>
      </c>
      <c r="S7" s="44">
        <v>1.5833333333333333</v>
      </c>
      <c r="T7" s="44">
        <v>1.6666666666666665</v>
      </c>
      <c r="U7" s="44">
        <v>1.7499999999999998</v>
      </c>
      <c r="V7" s="44">
        <v>1.833333333333333</v>
      </c>
      <c r="W7" s="44">
        <v>2.333333333333333</v>
      </c>
      <c r="X7" s="44">
        <v>2.4999999999999996</v>
      </c>
      <c r="Y7" s="43">
        <v>2.5</v>
      </c>
      <c r="Z7" s="44">
        <v>2.5</v>
      </c>
      <c r="AA7" s="38">
        <v>5</v>
      </c>
      <c r="AB7" s="420">
        <v>0.16</v>
      </c>
    </row>
    <row r="8" spans="1:28" s="49" customFormat="1" ht="15.75" thickBot="1">
      <c r="A8" s="45"/>
      <c r="B8" s="46" t="s">
        <v>140</v>
      </c>
      <c r="C8" s="79">
        <v>1</v>
      </c>
      <c r="D8" s="436">
        <v>1</v>
      </c>
      <c r="E8" s="437">
        <v>1</v>
      </c>
      <c r="F8" s="437">
        <v>1</v>
      </c>
      <c r="G8" s="437">
        <v>1</v>
      </c>
      <c r="H8" s="437">
        <v>1</v>
      </c>
      <c r="I8" s="437">
        <v>2</v>
      </c>
      <c r="J8" s="437">
        <v>2</v>
      </c>
      <c r="K8" s="437">
        <v>1</v>
      </c>
      <c r="L8" s="437">
        <v>2</v>
      </c>
      <c r="M8" s="437">
        <v>2</v>
      </c>
      <c r="N8" s="439">
        <v>2.2999999999999998</v>
      </c>
      <c r="O8" s="440">
        <v>2.2999999999999998</v>
      </c>
      <c r="P8" s="440">
        <v>2.2999999999999998</v>
      </c>
      <c r="Q8" s="440">
        <v>2.2999999999999998</v>
      </c>
      <c r="R8" s="437">
        <v>2.2999999999999998</v>
      </c>
      <c r="S8" s="437">
        <v>2.2999999999999998</v>
      </c>
      <c r="T8" s="437">
        <v>2.2999999999999998</v>
      </c>
      <c r="U8" s="437">
        <v>2.2999999999999998</v>
      </c>
      <c r="V8" s="438">
        <v>2.2999999999999998</v>
      </c>
      <c r="W8" s="80">
        <v>2</v>
      </c>
      <c r="X8" s="69">
        <v>2</v>
      </c>
      <c r="Y8" s="69">
        <v>0</v>
      </c>
      <c r="Z8" s="69">
        <v>0</v>
      </c>
      <c r="AB8" s="421"/>
    </row>
    <row r="9" spans="1:28" s="49" customFormat="1">
      <c r="A9" s="45"/>
      <c r="B9" s="46"/>
      <c r="C9" s="48"/>
      <c r="D9" s="83"/>
      <c r="E9" s="83"/>
      <c r="F9" s="83"/>
      <c r="G9" s="83"/>
      <c r="H9" s="83"/>
      <c r="I9" s="83"/>
      <c r="J9" s="83"/>
      <c r="K9" s="83"/>
      <c r="L9" s="48"/>
      <c r="M9" s="48"/>
      <c r="N9" s="48"/>
      <c r="O9" s="48"/>
      <c r="P9" s="48"/>
      <c r="Q9" s="48"/>
      <c r="R9" s="48"/>
      <c r="S9" s="48"/>
      <c r="T9" s="48"/>
      <c r="U9" s="48"/>
      <c r="V9" s="48"/>
      <c r="W9" s="48"/>
      <c r="X9" s="48"/>
      <c r="Y9" s="48"/>
      <c r="Z9" s="48"/>
      <c r="AB9" s="421"/>
    </row>
    <row r="10" spans="1:28" ht="15.75" thickBot="1">
      <c r="A10" s="41" t="s">
        <v>186</v>
      </c>
      <c r="B10" s="42" t="s">
        <v>214</v>
      </c>
      <c r="C10" s="50">
        <v>1</v>
      </c>
      <c r="D10" s="73">
        <v>1.1666666666666667</v>
      </c>
      <c r="E10" s="73">
        <v>1.3333333333333335</v>
      </c>
      <c r="F10" s="73">
        <v>1.5000000000000002</v>
      </c>
      <c r="G10" s="73">
        <v>1.666666666666667</v>
      </c>
      <c r="H10" s="73">
        <v>1.8333333333333337</v>
      </c>
      <c r="I10" s="74">
        <v>2</v>
      </c>
      <c r="J10" s="73">
        <v>2.1666666666666665</v>
      </c>
      <c r="K10" s="73">
        <v>2.333333333333333</v>
      </c>
      <c r="L10" s="51">
        <v>2.4999999999999996</v>
      </c>
      <c r="M10" s="51">
        <v>2.6666666666666661</v>
      </c>
      <c r="N10" s="50">
        <v>3</v>
      </c>
      <c r="O10" s="51">
        <v>3</v>
      </c>
      <c r="P10" s="51">
        <v>3</v>
      </c>
      <c r="Q10" s="51">
        <v>3</v>
      </c>
      <c r="R10" s="50">
        <v>3</v>
      </c>
      <c r="S10" s="51">
        <v>3.6666666666666665</v>
      </c>
      <c r="T10" s="51">
        <v>4.333333333333333</v>
      </c>
      <c r="U10" s="51">
        <v>5</v>
      </c>
      <c r="V10" s="51">
        <v>5.666666666666667</v>
      </c>
      <c r="W10" s="51">
        <v>6.3333333333333339</v>
      </c>
      <c r="X10" s="51">
        <v>7.0000000000000009</v>
      </c>
      <c r="Y10" s="50">
        <v>7</v>
      </c>
      <c r="Z10" s="51">
        <v>7</v>
      </c>
      <c r="AA10" s="38">
        <v>15</v>
      </c>
      <c r="AB10" s="420">
        <v>0.6</v>
      </c>
    </row>
    <row r="11" spans="1:28" s="49" customFormat="1" ht="15.75" thickBot="1">
      <c r="A11" s="45"/>
      <c r="B11" s="46" t="s">
        <v>215</v>
      </c>
      <c r="C11" s="71">
        <v>1</v>
      </c>
      <c r="D11" s="441">
        <v>1</v>
      </c>
      <c r="E11" s="442">
        <v>1</v>
      </c>
      <c r="F11" s="442">
        <v>1</v>
      </c>
      <c r="G11" s="442">
        <v>1</v>
      </c>
      <c r="H11" s="442">
        <v>1</v>
      </c>
      <c r="I11" s="442">
        <v>3</v>
      </c>
      <c r="J11" s="442">
        <v>3</v>
      </c>
      <c r="K11" s="442">
        <v>3</v>
      </c>
      <c r="L11" s="442">
        <v>3</v>
      </c>
      <c r="M11" s="442">
        <v>4</v>
      </c>
      <c r="N11" s="443">
        <v>1</v>
      </c>
      <c r="O11" s="444">
        <v>1</v>
      </c>
      <c r="P11" s="444">
        <v>1</v>
      </c>
      <c r="Q11" s="444">
        <v>4</v>
      </c>
      <c r="R11" s="442">
        <v>6</v>
      </c>
      <c r="S11" s="442">
        <v>6</v>
      </c>
      <c r="T11" s="442">
        <v>6</v>
      </c>
      <c r="U11" s="442">
        <v>6</v>
      </c>
      <c r="V11" s="445">
        <v>6</v>
      </c>
      <c r="W11" s="72">
        <v>6</v>
      </c>
      <c r="X11" s="70">
        <v>6</v>
      </c>
      <c r="Y11" s="70">
        <v>0</v>
      </c>
      <c r="Z11" s="70">
        <v>0</v>
      </c>
      <c r="AA11" s="38"/>
      <c r="AB11" s="420"/>
    </row>
    <row r="12" spans="1:28" s="49" customFormat="1">
      <c r="A12" s="45"/>
      <c r="B12" s="46"/>
      <c r="C12" s="53"/>
      <c r="D12" s="75"/>
      <c r="E12" s="75"/>
      <c r="F12" s="75"/>
      <c r="G12" s="75"/>
      <c r="H12" s="75"/>
      <c r="I12" s="75"/>
      <c r="J12" s="75"/>
      <c r="K12" s="75"/>
      <c r="L12" s="53"/>
      <c r="M12" s="53"/>
      <c r="N12" s="53"/>
      <c r="O12" s="53"/>
      <c r="P12" s="53"/>
      <c r="Q12" s="53"/>
      <c r="R12" s="53"/>
      <c r="S12" s="53"/>
      <c r="T12" s="53"/>
      <c r="U12" s="53"/>
      <c r="V12" s="53"/>
      <c r="W12" s="53"/>
      <c r="X12" s="53"/>
      <c r="Y12" s="53"/>
      <c r="Z12" s="53"/>
      <c r="AB12" s="421"/>
    </row>
    <row r="13" spans="1:28" ht="15.75" thickBot="1">
      <c r="A13" s="41" t="s">
        <v>187</v>
      </c>
      <c r="B13" s="42" t="s">
        <v>216</v>
      </c>
      <c r="C13" s="50">
        <v>1</v>
      </c>
      <c r="D13" s="73">
        <v>1.1666666666666667</v>
      </c>
      <c r="E13" s="73">
        <v>1.3333333333333335</v>
      </c>
      <c r="F13" s="73">
        <v>1.5000000000000002</v>
      </c>
      <c r="G13" s="73">
        <v>1.666666666666667</v>
      </c>
      <c r="H13" s="73">
        <v>1.8333333333333337</v>
      </c>
      <c r="I13" s="74">
        <v>2</v>
      </c>
      <c r="J13" s="73">
        <v>2.1666666666666665</v>
      </c>
      <c r="K13" s="73">
        <v>2.333333333333333</v>
      </c>
      <c r="L13" s="51">
        <v>2.4999999999999996</v>
      </c>
      <c r="M13" s="51">
        <v>2.6666666666666661</v>
      </c>
      <c r="N13" s="50">
        <v>3</v>
      </c>
      <c r="O13" s="51">
        <v>3</v>
      </c>
      <c r="P13" s="51">
        <v>3</v>
      </c>
      <c r="Q13" s="51">
        <v>3</v>
      </c>
      <c r="R13" s="50">
        <v>3</v>
      </c>
      <c r="S13" s="51">
        <v>3.6666666666666665</v>
      </c>
      <c r="T13" s="51">
        <v>4.333333333333333</v>
      </c>
      <c r="U13" s="51">
        <v>5</v>
      </c>
      <c r="V13" s="51">
        <v>5.666666666666667</v>
      </c>
      <c r="W13" s="51">
        <v>6.3333333333333339</v>
      </c>
      <c r="X13" s="51">
        <v>7.0000000000000009</v>
      </c>
      <c r="Y13" s="50">
        <v>7</v>
      </c>
      <c r="Z13" s="51">
        <v>7</v>
      </c>
      <c r="AA13" s="38">
        <v>15</v>
      </c>
      <c r="AB13" s="420">
        <v>0.6</v>
      </c>
    </row>
    <row r="14" spans="1:28" s="49" customFormat="1" ht="15.75" thickBot="1">
      <c r="A14" s="45"/>
      <c r="B14" s="46" t="s">
        <v>217</v>
      </c>
      <c r="C14" s="71">
        <v>1</v>
      </c>
      <c r="D14" s="441">
        <v>1</v>
      </c>
      <c r="E14" s="442">
        <v>1</v>
      </c>
      <c r="F14" s="442">
        <v>1</v>
      </c>
      <c r="G14" s="442">
        <v>1</v>
      </c>
      <c r="H14" s="442">
        <v>1</v>
      </c>
      <c r="I14" s="442">
        <v>3</v>
      </c>
      <c r="J14" s="442">
        <v>3</v>
      </c>
      <c r="K14" s="442">
        <v>3</v>
      </c>
      <c r="L14" s="442">
        <v>3</v>
      </c>
      <c r="M14" s="442">
        <v>4</v>
      </c>
      <c r="N14" s="443">
        <v>1</v>
      </c>
      <c r="O14" s="444">
        <v>1</v>
      </c>
      <c r="P14" s="444">
        <v>1</v>
      </c>
      <c r="Q14" s="444">
        <v>4</v>
      </c>
      <c r="R14" s="442">
        <v>6</v>
      </c>
      <c r="S14" s="442">
        <v>6</v>
      </c>
      <c r="T14" s="442">
        <v>6</v>
      </c>
      <c r="U14" s="442">
        <v>6</v>
      </c>
      <c r="V14" s="445">
        <v>6</v>
      </c>
      <c r="W14" s="72">
        <v>6</v>
      </c>
      <c r="X14" s="70">
        <v>6</v>
      </c>
      <c r="Y14" s="70">
        <v>0</v>
      </c>
      <c r="Z14" s="70">
        <v>0</v>
      </c>
      <c r="AB14" s="421"/>
    </row>
    <row r="15" spans="1:28" s="49" customFormat="1">
      <c r="A15" s="45"/>
      <c r="B15" s="46"/>
      <c r="C15" s="53"/>
      <c r="D15" s="427"/>
      <c r="E15" s="427"/>
      <c r="F15" s="427"/>
      <c r="G15" s="75"/>
      <c r="H15" s="75"/>
      <c r="I15" s="75"/>
      <c r="J15" s="75"/>
      <c r="K15" s="75"/>
      <c r="L15" s="53"/>
      <c r="M15" s="53"/>
      <c r="N15" s="53"/>
      <c r="O15" s="53"/>
      <c r="P15" s="53"/>
      <c r="Q15" s="53"/>
      <c r="R15" s="53"/>
      <c r="S15" s="53"/>
      <c r="T15" s="53"/>
      <c r="U15" s="53"/>
      <c r="V15" s="53"/>
      <c r="W15" s="53"/>
      <c r="X15" s="53"/>
      <c r="Y15" s="53"/>
      <c r="Z15" s="53"/>
      <c r="AB15" s="421"/>
    </row>
    <row r="16" spans="1:28" ht="15.75" thickBot="1">
      <c r="A16" s="41" t="s">
        <v>188</v>
      </c>
      <c r="B16" s="42" t="s">
        <v>218</v>
      </c>
      <c r="C16" s="50">
        <v>0</v>
      </c>
      <c r="D16" s="73">
        <v>0.16666666666666666</v>
      </c>
      <c r="E16" s="73">
        <v>0.33333333333333331</v>
      </c>
      <c r="F16" s="73">
        <v>0.5</v>
      </c>
      <c r="G16" s="73">
        <v>0.66666666666666663</v>
      </c>
      <c r="H16" s="73">
        <v>0.83333333333333326</v>
      </c>
      <c r="I16" s="74">
        <v>1</v>
      </c>
      <c r="J16" s="73">
        <v>1</v>
      </c>
      <c r="K16" s="73">
        <v>1</v>
      </c>
      <c r="L16" s="51">
        <v>1</v>
      </c>
      <c r="M16" s="51">
        <v>1</v>
      </c>
      <c r="N16" s="50">
        <v>1</v>
      </c>
      <c r="O16" s="51">
        <v>1.25</v>
      </c>
      <c r="P16" s="51">
        <v>1.5</v>
      </c>
      <c r="Q16" s="51">
        <v>1.75</v>
      </c>
      <c r="R16" s="50">
        <v>2</v>
      </c>
      <c r="S16" s="51">
        <v>2.6666666666666665</v>
      </c>
      <c r="T16" s="51">
        <v>3.333333333333333</v>
      </c>
      <c r="U16" s="51">
        <v>3.9999999999999996</v>
      </c>
      <c r="V16" s="51">
        <v>4.6666666666666661</v>
      </c>
      <c r="W16" s="51">
        <v>10.333333333333334</v>
      </c>
      <c r="X16" s="51">
        <v>12</v>
      </c>
      <c r="Y16" s="50">
        <v>12</v>
      </c>
      <c r="Z16" s="51">
        <v>12</v>
      </c>
      <c r="AA16" s="38">
        <v>15</v>
      </c>
      <c r="AB16" s="420">
        <v>0.6</v>
      </c>
    </row>
    <row r="17" spans="1:28" s="49" customFormat="1" ht="15.75" thickBot="1">
      <c r="A17" s="45"/>
      <c r="B17" s="46" t="s">
        <v>219</v>
      </c>
      <c r="C17" s="71">
        <v>0</v>
      </c>
      <c r="D17" s="441">
        <v>0</v>
      </c>
      <c r="E17" s="442">
        <v>0</v>
      </c>
      <c r="F17" s="442">
        <v>0</v>
      </c>
      <c r="G17" s="442">
        <v>0</v>
      </c>
      <c r="H17" s="442">
        <v>0</v>
      </c>
      <c r="I17" s="442">
        <v>1</v>
      </c>
      <c r="J17" s="442">
        <v>1</v>
      </c>
      <c r="K17" s="442">
        <v>1</v>
      </c>
      <c r="L17" s="442">
        <v>1</v>
      </c>
      <c r="M17" s="442">
        <v>1</v>
      </c>
      <c r="N17" s="443">
        <v>1</v>
      </c>
      <c r="O17" s="444">
        <v>1</v>
      </c>
      <c r="P17" s="444">
        <v>1</v>
      </c>
      <c r="Q17" s="444">
        <v>1</v>
      </c>
      <c r="R17" s="442">
        <v>1</v>
      </c>
      <c r="S17" s="442">
        <v>1</v>
      </c>
      <c r="T17" s="442">
        <v>1</v>
      </c>
      <c r="U17" s="442">
        <v>1</v>
      </c>
      <c r="V17" s="445">
        <v>12</v>
      </c>
      <c r="W17" s="72">
        <v>12</v>
      </c>
      <c r="X17" s="70">
        <v>12</v>
      </c>
      <c r="Y17" s="70">
        <v>0</v>
      </c>
      <c r="Z17" s="70">
        <v>0</v>
      </c>
      <c r="AB17" s="421"/>
    </row>
    <row r="18" spans="1:28" s="49" customFormat="1">
      <c r="A18" s="45"/>
      <c r="B18" s="46"/>
      <c r="C18" s="53"/>
      <c r="D18" s="427"/>
      <c r="E18" s="427"/>
      <c r="F18" s="427"/>
      <c r="G18" s="75"/>
      <c r="H18" s="75"/>
      <c r="I18" s="75"/>
      <c r="J18" s="75"/>
      <c r="K18" s="75"/>
      <c r="L18" s="53"/>
      <c r="M18" s="53"/>
      <c r="N18" s="53"/>
      <c r="O18" s="53"/>
      <c r="P18" s="53"/>
      <c r="Q18" s="53"/>
      <c r="R18" s="53"/>
      <c r="S18" s="53"/>
      <c r="T18" s="53"/>
      <c r="U18" s="53"/>
      <c r="V18" s="53"/>
      <c r="W18" s="53"/>
      <c r="X18" s="53"/>
      <c r="Y18" s="53"/>
      <c r="Z18" s="53"/>
      <c r="AB18" s="421"/>
    </row>
    <row r="19" spans="1:28" ht="15.75" thickBot="1">
      <c r="A19" s="41" t="s">
        <v>189</v>
      </c>
      <c r="B19" s="42" t="s">
        <v>221</v>
      </c>
      <c r="C19" s="50">
        <v>2</v>
      </c>
      <c r="D19" s="73">
        <v>3.5</v>
      </c>
      <c r="E19" s="73">
        <v>5</v>
      </c>
      <c r="F19" s="73">
        <v>6.5</v>
      </c>
      <c r="G19" s="73">
        <v>8</v>
      </c>
      <c r="H19" s="73">
        <v>9.5</v>
      </c>
      <c r="I19" s="74">
        <v>11</v>
      </c>
      <c r="J19" s="73">
        <v>11.666666666666666</v>
      </c>
      <c r="K19" s="73">
        <v>12.333333333333332</v>
      </c>
      <c r="L19" s="51">
        <v>12.999999999999998</v>
      </c>
      <c r="M19" s="51">
        <v>13.666666666666664</v>
      </c>
      <c r="N19" s="50">
        <v>15</v>
      </c>
      <c r="O19" s="51">
        <v>14.5</v>
      </c>
      <c r="P19" s="51">
        <v>14</v>
      </c>
      <c r="Q19" s="51">
        <v>13.5</v>
      </c>
      <c r="R19" s="50">
        <v>13</v>
      </c>
      <c r="S19" s="51">
        <v>13.166666666666666</v>
      </c>
      <c r="T19" s="51">
        <v>13.333333333333332</v>
      </c>
      <c r="U19" s="51">
        <v>13.499999999999998</v>
      </c>
      <c r="V19" s="51">
        <v>13.666666666666664</v>
      </c>
      <c r="W19" s="51">
        <v>13.83333333333333</v>
      </c>
      <c r="X19" s="51">
        <v>13.999999999999996</v>
      </c>
      <c r="Y19" s="50">
        <v>14</v>
      </c>
      <c r="Z19" s="51">
        <v>14</v>
      </c>
      <c r="AA19" s="38">
        <v>15</v>
      </c>
      <c r="AB19" s="420">
        <v>0.6</v>
      </c>
    </row>
    <row r="20" spans="1:28" s="49" customFormat="1" ht="15.75" thickBot="1">
      <c r="A20" s="45"/>
      <c r="B20" s="46" t="s">
        <v>220</v>
      </c>
      <c r="C20" s="71">
        <v>2</v>
      </c>
      <c r="D20" s="441">
        <v>2</v>
      </c>
      <c r="E20" s="442">
        <v>2</v>
      </c>
      <c r="F20" s="442">
        <v>2</v>
      </c>
      <c r="G20" s="442">
        <v>2</v>
      </c>
      <c r="H20" s="442">
        <v>2</v>
      </c>
      <c r="I20" s="442">
        <v>7</v>
      </c>
      <c r="J20" s="442">
        <v>7</v>
      </c>
      <c r="K20" s="442">
        <v>7</v>
      </c>
      <c r="L20" s="442">
        <v>8</v>
      </c>
      <c r="M20" s="442">
        <v>14</v>
      </c>
      <c r="N20" s="443">
        <v>13</v>
      </c>
      <c r="O20" s="444">
        <v>13</v>
      </c>
      <c r="P20" s="444">
        <v>13</v>
      </c>
      <c r="Q20" s="444">
        <v>13</v>
      </c>
      <c r="R20" s="442">
        <v>15</v>
      </c>
      <c r="S20" s="442">
        <v>15</v>
      </c>
      <c r="T20" s="442">
        <v>15</v>
      </c>
      <c r="U20" s="442">
        <v>15</v>
      </c>
      <c r="V20" s="445">
        <v>15</v>
      </c>
      <c r="W20" s="72">
        <v>12</v>
      </c>
      <c r="X20" s="70">
        <v>12</v>
      </c>
      <c r="Y20" s="70">
        <v>0</v>
      </c>
      <c r="Z20" s="70">
        <v>0</v>
      </c>
      <c r="AB20" s="421"/>
    </row>
    <row r="21" spans="1:28" s="49" customFormat="1">
      <c r="A21" s="45"/>
      <c r="B21" s="46"/>
      <c r="C21" s="48"/>
      <c r="D21" s="422"/>
      <c r="E21" s="422"/>
      <c r="F21" s="422"/>
      <c r="G21" s="83"/>
      <c r="H21" s="83"/>
      <c r="I21" s="83"/>
      <c r="J21" s="83"/>
      <c r="K21" s="83"/>
      <c r="L21" s="48"/>
      <c r="M21" s="48"/>
      <c r="N21" s="48"/>
      <c r="O21" s="48"/>
      <c r="P21" s="48"/>
      <c r="Q21" s="48"/>
      <c r="R21" s="48"/>
      <c r="S21" s="48"/>
      <c r="T21" s="48"/>
      <c r="U21" s="48"/>
      <c r="V21" s="48"/>
      <c r="W21" s="48"/>
      <c r="X21" s="48"/>
      <c r="Y21" s="48"/>
      <c r="Z21" s="48"/>
      <c r="AB21" s="421"/>
    </row>
    <row r="22" spans="1:28" ht="15.75" thickBot="1">
      <c r="A22" s="41" t="s">
        <v>22</v>
      </c>
      <c r="B22" s="42" t="s">
        <v>139</v>
      </c>
      <c r="C22" s="43">
        <v>1.9</v>
      </c>
      <c r="D22" s="81">
        <v>1.9166666666666665</v>
      </c>
      <c r="E22" s="81">
        <v>1.9333333333333331</v>
      </c>
      <c r="F22" s="81">
        <v>1.9499999999999997</v>
      </c>
      <c r="G22" s="81">
        <v>1.9666666666666663</v>
      </c>
      <c r="H22" s="81">
        <v>1.9833333333333329</v>
      </c>
      <c r="I22" s="82">
        <v>2</v>
      </c>
      <c r="J22" s="81">
        <v>2.1666666666666665</v>
      </c>
      <c r="K22" s="81">
        <v>2.333333333333333</v>
      </c>
      <c r="L22" s="44">
        <v>2.4999999999999996</v>
      </c>
      <c r="M22" s="44">
        <v>2.6666666666666661</v>
      </c>
      <c r="N22" s="43">
        <v>3</v>
      </c>
      <c r="O22" s="44">
        <v>3.05</v>
      </c>
      <c r="P22" s="44">
        <v>3.0999999999999996</v>
      </c>
      <c r="Q22" s="44">
        <v>3.1499999999999995</v>
      </c>
      <c r="R22" s="43">
        <v>3.2</v>
      </c>
      <c r="S22" s="44">
        <v>3.3333333333333335</v>
      </c>
      <c r="T22" s="44">
        <v>3.4666666666666668</v>
      </c>
      <c r="U22" s="44">
        <v>3.6</v>
      </c>
      <c r="V22" s="44">
        <v>3.7333333333333334</v>
      </c>
      <c r="W22" s="44">
        <v>3.8666666666666667</v>
      </c>
      <c r="X22" s="44">
        <v>4</v>
      </c>
      <c r="Y22" s="43">
        <v>4</v>
      </c>
      <c r="Z22" s="44">
        <v>4</v>
      </c>
      <c r="AA22" s="38">
        <v>5</v>
      </c>
      <c r="AB22" s="420">
        <v>0.16</v>
      </c>
    </row>
    <row r="23" spans="1:28" s="49" customFormat="1" ht="15.75" thickBot="1">
      <c r="A23" s="45"/>
      <c r="B23" s="46" t="s">
        <v>140</v>
      </c>
      <c r="C23" s="79">
        <v>1.9</v>
      </c>
      <c r="D23" s="436">
        <v>1.9</v>
      </c>
      <c r="E23" s="437">
        <v>1.9</v>
      </c>
      <c r="F23" s="437">
        <v>1.9</v>
      </c>
      <c r="G23" s="437">
        <v>1.9</v>
      </c>
      <c r="H23" s="437">
        <v>1.9</v>
      </c>
      <c r="I23" s="437">
        <v>2</v>
      </c>
      <c r="J23" s="437">
        <v>2</v>
      </c>
      <c r="K23" s="437">
        <v>2.1</v>
      </c>
      <c r="L23" s="437">
        <v>2</v>
      </c>
      <c r="M23" s="437">
        <v>2.5</v>
      </c>
      <c r="N23" s="439">
        <v>3</v>
      </c>
      <c r="O23" s="440">
        <v>3</v>
      </c>
      <c r="P23" s="440">
        <v>3</v>
      </c>
      <c r="Q23" s="440">
        <v>2.2999999999999998</v>
      </c>
      <c r="R23" s="437">
        <v>2.8</v>
      </c>
      <c r="S23" s="437">
        <v>2.8</v>
      </c>
      <c r="T23" s="437">
        <v>3.2</v>
      </c>
      <c r="U23" s="437">
        <v>3.2</v>
      </c>
      <c r="V23" s="438">
        <v>3.2</v>
      </c>
      <c r="W23" s="80">
        <v>3.6</v>
      </c>
      <c r="X23" s="69">
        <v>3.6</v>
      </c>
      <c r="Y23" s="69">
        <v>0</v>
      </c>
      <c r="Z23" s="69">
        <v>0</v>
      </c>
      <c r="AB23" s="421"/>
    </row>
    <row r="24" spans="1:28" s="49" customFormat="1">
      <c r="A24" s="45"/>
      <c r="B24" s="46"/>
      <c r="C24" s="48"/>
      <c r="D24" s="422"/>
      <c r="E24" s="422"/>
      <c r="F24" s="422"/>
      <c r="G24" s="83"/>
      <c r="H24" s="83"/>
      <c r="I24" s="83"/>
      <c r="J24" s="83"/>
      <c r="K24" s="83"/>
      <c r="L24" s="48"/>
      <c r="M24" s="48"/>
      <c r="N24" s="48"/>
      <c r="O24" s="48"/>
      <c r="P24" s="48"/>
      <c r="Q24" s="48"/>
      <c r="R24" s="48"/>
      <c r="S24" s="48"/>
      <c r="T24" s="48"/>
      <c r="U24" s="48"/>
      <c r="V24" s="48"/>
      <c r="W24" s="48"/>
      <c r="X24" s="48"/>
      <c r="Y24" s="48"/>
      <c r="Z24" s="48"/>
      <c r="AB24" s="421"/>
    </row>
    <row r="25" spans="1:28" ht="15.75" thickBot="1">
      <c r="A25" s="41" t="s">
        <v>23</v>
      </c>
      <c r="B25" s="42" t="s">
        <v>139</v>
      </c>
      <c r="C25" s="43">
        <v>2</v>
      </c>
      <c r="D25" s="81">
        <v>2</v>
      </c>
      <c r="E25" s="81">
        <v>2</v>
      </c>
      <c r="F25" s="81">
        <v>2</v>
      </c>
      <c r="G25" s="81">
        <v>2</v>
      </c>
      <c r="H25" s="81">
        <v>2</v>
      </c>
      <c r="I25" s="82">
        <v>2</v>
      </c>
      <c r="J25" s="81">
        <v>2.25</v>
      </c>
      <c r="K25" s="81">
        <v>2.5</v>
      </c>
      <c r="L25" s="44">
        <v>2.75</v>
      </c>
      <c r="M25" s="44">
        <v>3</v>
      </c>
      <c r="N25" s="43">
        <v>3.5</v>
      </c>
      <c r="O25" s="44">
        <v>3.625</v>
      </c>
      <c r="P25" s="44">
        <v>3.75</v>
      </c>
      <c r="Q25" s="44">
        <v>3.875</v>
      </c>
      <c r="R25" s="43">
        <v>4</v>
      </c>
      <c r="S25" s="44">
        <v>4.0333333333333332</v>
      </c>
      <c r="T25" s="44">
        <v>4.0666666666666664</v>
      </c>
      <c r="U25" s="44">
        <v>4.0999999999999996</v>
      </c>
      <c r="V25" s="44">
        <v>4.1333333333333329</v>
      </c>
      <c r="W25" s="44">
        <v>4.1666666666666661</v>
      </c>
      <c r="X25" s="44">
        <v>4.1999999999999993</v>
      </c>
      <c r="Y25" s="43">
        <v>4.2</v>
      </c>
      <c r="Z25" s="44">
        <v>4.2</v>
      </c>
      <c r="AA25" s="38">
        <v>5</v>
      </c>
      <c r="AB25" s="420">
        <v>0.16</v>
      </c>
    </row>
    <row r="26" spans="1:28" s="49" customFormat="1" ht="15.75" thickBot="1">
      <c r="A26" s="45"/>
      <c r="B26" s="46" t="s">
        <v>140</v>
      </c>
      <c r="C26" s="79">
        <v>2</v>
      </c>
      <c r="D26" s="436">
        <v>2</v>
      </c>
      <c r="E26" s="437">
        <v>2</v>
      </c>
      <c r="F26" s="437">
        <v>2</v>
      </c>
      <c r="G26" s="437">
        <v>2</v>
      </c>
      <c r="H26" s="437">
        <v>2</v>
      </c>
      <c r="I26" s="437">
        <v>2</v>
      </c>
      <c r="J26" s="437">
        <v>2</v>
      </c>
      <c r="K26" s="437">
        <v>2.2999999999999998</v>
      </c>
      <c r="L26" s="437">
        <v>2</v>
      </c>
      <c r="M26" s="437">
        <v>3.1</v>
      </c>
      <c r="N26" s="439">
        <v>3.5</v>
      </c>
      <c r="O26" s="440">
        <v>3.5</v>
      </c>
      <c r="P26" s="440">
        <v>3.5</v>
      </c>
      <c r="Q26" s="440">
        <v>3.4</v>
      </c>
      <c r="R26" s="437">
        <v>3.5</v>
      </c>
      <c r="S26" s="437">
        <v>3.5</v>
      </c>
      <c r="T26" s="437">
        <v>3.9</v>
      </c>
      <c r="U26" s="437">
        <v>3.9</v>
      </c>
      <c r="V26" s="438">
        <v>3.9</v>
      </c>
      <c r="W26" s="80">
        <v>4.3</v>
      </c>
      <c r="X26" s="69">
        <v>4.3</v>
      </c>
      <c r="Y26" s="69">
        <v>0</v>
      </c>
      <c r="Z26" s="69">
        <v>0</v>
      </c>
      <c r="AB26" s="421"/>
    </row>
    <row r="27" spans="1:28" s="49" customFormat="1">
      <c r="A27" s="45"/>
      <c r="B27" s="46"/>
      <c r="C27" s="48"/>
      <c r="D27" s="422"/>
      <c r="E27" s="422"/>
      <c r="F27" s="422"/>
      <c r="G27" s="83"/>
      <c r="H27" s="83"/>
      <c r="I27" s="83"/>
      <c r="J27" s="83"/>
      <c r="K27" s="83"/>
      <c r="L27" s="48"/>
      <c r="M27" s="48"/>
      <c r="N27" s="48"/>
      <c r="O27" s="48"/>
      <c r="P27" s="48"/>
      <c r="Q27" s="48"/>
      <c r="R27" s="48"/>
      <c r="S27" s="48"/>
      <c r="T27" s="48"/>
      <c r="U27" s="48"/>
      <c r="V27" s="48"/>
      <c r="W27" s="48"/>
      <c r="X27" s="48"/>
      <c r="Y27" s="48"/>
      <c r="Z27" s="48"/>
      <c r="AB27" s="421"/>
    </row>
    <row r="28" spans="1:28" ht="15.75" thickBot="1">
      <c r="A28" s="41" t="s">
        <v>38</v>
      </c>
      <c r="B28" s="42" t="s">
        <v>139</v>
      </c>
      <c r="C28" s="47"/>
      <c r="D28" s="47"/>
      <c r="E28" s="47"/>
      <c r="F28" s="47"/>
      <c r="G28" s="47"/>
      <c r="H28" s="47"/>
      <c r="I28" s="47"/>
      <c r="J28" s="47"/>
      <c r="K28" s="47"/>
      <c r="L28" s="47"/>
      <c r="M28" s="47"/>
      <c r="N28" s="43">
        <v>2.8</v>
      </c>
      <c r="O28" s="44">
        <v>2.9</v>
      </c>
      <c r="P28" s="44">
        <v>3</v>
      </c>
      <c r="Q28" s="44">
        <v>3.1</v>
      </c>
      <c r="R28" s="43">
        <v>3.2</v>
      </c>
      <c r="S28" s="44">
        <v>3.3333333333333335</v>
      </c>
      <c r="T28" s="44">
        <v>3.4666666666666668</v>
      </c>
      <c r="U28" s="44">
        <v>3.6</v>
      </c>
      <c r="V28" s="44">
        <v>3.7333333333333334</v>
      </c>
      <c r="W28" s="44">
        <v>3.8666666666666667</v>
      </c>
      <c r="X28" s="44">
        <v>4</v>
      </c>
      <c r="Y28" s="43">
        <v>4</v>
      </c>
      <c r="Z28" s="44">
        <v>4</v>
      </c>
      <c r="AA28" s="38">
        <v>5</v>
      </c>
      <c r="AB28" s="420">
        <v>0.16</v>
      </c>
    </row>
    <row r="29" spans="1:28" s="49" customFormat="1" ht="15.75" thickBot="1">
      <c r="A29" s="45"/>
      <c r="B29" s="46" t="s">
        <v>140</v>
      </c>
      <c r="C29" s="47"/>
      <c r="D29" s="47"/>
      <c r="E29" s="47"/>
      <c r="F29" s="47"/>
      <c r="G29" s="47"/>
      <c r="H29" s="47"/>
      <c r="I29" s="47"/>
      <c r="J29" s="47"/>
      <c r="K29" s="47"/>
      <c r="L29" s="47"/>
      <c r="M29" s="47"/>
      <c r="N29" s="47">
        <v>2.8</v>
      </c>
      <c r="O29" s="436">
        <v>2.2999999999999998</v>
      </c>
      <c r="P29" s="440">
        <v>2.8</v>
      </c>
      <c r="Q29" s="440">
        <v>2.8</v>
      </c>
      <c r="R29" s="437">
        <v>3.7</v>
      </c>
      <c r="S29" s="437">
        <v>3.7</v>
      </c>
      <c r="T29" s="437">
        <v>3.8</v>
      </c>
      <c r="U29" s="437">
        <v>3.8</v>
      </c>
      <c r="V29" s="438">
        <v>3.8</v>
      </c>
      <c r="W29" s="80">
        <v>4.0999999999999996</v>
      </c>
      <c r="X29" s="69">
        <v>4.0999999999999996</v>
      </c>
      <c r="Y29" s="69">
        <v>0</v>
      </c>
      <c r="Z29" s="69">
        <v>0</v>
      </c>
      <c r="AB29" s="421"/>
    </row>
    <row r="30" spans="1:28" s="49" customFormat="1">
      <c r="A30" s="45"/>
      <c r="B30" s="46"/>
      <c r="C30" s="48"/>
      <c r="D30" s="48"/>
      <c r="E30" s="48"/>
      <c r="F30" s="48"/>
      <c r="G30" s="48"/>
      <c r="H30" s="48"/>
      <c r="I30" s="48"/>
      <c r="J30" s="48"/>
      <c r="K30" s="48"/>
      <c r="L30" s="48"/>
      <c r="M30" s="48"/>
      <c r="N30" s="48"/>
      <c r="O30" s="48"/>
      <c r="P30" s="48"/>
      <c r="Q30" s="48"/>
      <c r="R30" s="48"/>
      <c r="S30" s="48"/>
      <c r="T30" s="48"/>
      <c r="U30" s="48"/>
      <c r="V30" s="48"/>
      <c r="W30" s="48"/>
      <c r="X30" s="48"/>
      <c r="Y30" s="48"/>
      <c r="Z30" s="48"/>
      <c r="AB30" s="421"/>
    </row>
    <row r="31" spans="1:28" ht="15.75" thickBot="1">
      <c r="A31" s="41" t="s">
        <v>39</v>
      </c>
      <c r="B31" s="42" t="s">
        <v>139</v>
      </c>
      <c r="C31" s="50">
        <v>0</v>
      </c>
      <c r="D31" s="73">
        <v>0.33333333333333331</v>
      </c>
      <c r="E31" s="73">
        <v>0.66666666666666663</v>
      </c>
      <c r="F31" s="73">
        <v>1</v>
      </c>
      <c r="G31" s="73">
        <v>1.3333333333333333</v>
      </c>
      <c r="H31" s="73">
        <v>1.6666666666666665</v>
      </c>
      <c r="I31" s="74">
        <v>2</v>
      </c>
      <c r="J31" s="73">
        <v>2.3333333333333335</v>
      </c>
      <c r="K31" s="73">
        <v>2.666666666666667</v>
      </c>
      <c r="L31" s="51">
        <v>3.0000000000000004</v>
      </c>
      <c r="M31" s="51">
        <v>3.3333333333333339</v>
      </c>
      <c r="N31" s="50">
        <v>4</v>
      </c>
      <c r="O31" s="51">
        <v>5.5</v>
      </c>
      <c r="P31" s="51">
        <v>7</v>
      </c>
      <c r="Q31" s="51">
        <v>8.5</v>
      </c>
      <c r="R31" s="50">
        <v>10</v>
      </c>
      <c r="S31" s="51">
        <v>10.5</v>
      </c>
      <c r="T31" s="51">
        <v>11</v>
      </c>
      <c r="U31" s="51">
        <v>11.5</v>
      </c>
      <c r="V31" s="51">
        <v>12</v>
      </c>
      <c r="W31" s="51">
        <v>12.5</v>
      </c>
      <c r="X31" s="51">
        <v>13</v>
      </c>
      <c r="Y31" s="50">
        <v>13</v>
      </c>
      <c r="Z31" s="51">
        <v>13</v>
      </c>
      <c r="AA31" s="38">
        <v>20</v>
      </c>
      <c r="AB31" s="420">
        <v>0.8</v>
      </c>
    </row>
    <row r="32" spans="1:28" s="49" customFormat="1" ht="15.75" thickBot="1">
      <c r="A32" s="45"/>
      <c r="B32" s="46" t="s">
        <v>140</v>
      </c>
      <c r="C32" s="71">
        <v>0</v>
      </c>
      <c r="D32" s="441">
        <v>0</v>
      </c>
      <c r="E32" s="442">
        <v>0</v>
      </c>
      <c r="F32" s="442">
        <v>0</v>
      </c>
      <c r="G32" s="442">
        <v>0</v>
      </c>
      <c r="H32" s="442">
        <v>0</v>
      </c>
      <c r="I32" s="442">
        <v>2</v>
      </c>
      <c r="J32" s="442">
        <v>2</v>
      </c>
      <c r="K32" s="442">
        <v>2</v>
      </c>
      <c r="L32" s="442">
        <v>4</v>
      </c>
      <c r="M32" s="442">
        <v>6</v>
      </c>
      <c r="N32" s="443">
        <v>7</v>
      </c>
      <c r="O32" s="444">
        <v>8</v>
      </c>
      <c r="P32" s="444">
        <v>10</v>
      </c>
      <c r="Q32" s="444">
        <v>11</v>
      </c>
      <c r="R32" s="442">
        <v>14</v>
      </c>
      <c r="S32" s="442">
        <v>14</v>
      </c>
      <c r="T32" s="442">
        <v>15</v>
      </c>
      <c r="U32" s="442">
        <v>17</v>
      </c>
      <c r="V32" s="445">
        <v>12</v>
      </c>
      <c r="W32" s="72">
        <v>11</v>
      </c>
      <c r="X32" s="70">
        <v>13</v>
      </c>
      <c r="Y32" s="70">
        <v>0</v>
      </c>
      <c r="Z32" s="70">
        <v>0</v>
      </c>
      <c r="AB32" s="421"/>
    </row>
    <row r="33" spans="1:28" s="49" customFormat="1">
      <c r="A33" s="45"/>
      <c r="B33" s="46"/>
      <c r="C33" s="53"/>
      <c r="D33" s="75"/>
      <c r="E33" s="75"/>
      <c r="F33" s="75"/>
      <c r="G33" s="75"/>
      <c r="H33" s="75"/>
      <c r="I33" s="75"/>
      <c r="J33" s="75"/>
      <c r="K33" s="75"/>
      <c r="L33" s="53"/>
      <c r="M33" s="53"/>
      <c r="N33" s="53"/>
      <c r="O33" s="53"/>
      <c r="P33" s="53"/>
      <c r="Q33" s="53"/>
      <c r="R33" s="53"/>
      <c r="S33" s="53"/>
      <c r="T33" s="53"/>
      <c r="U33" s="53"/>
      <c r="V33" s="53"/>
      <c r="W33" s="53"/>
      <c r="X33" s="53"/>
      <c r="Y33" s="53"/>
      <c r="Z33" s="53"/>
      <c r="AB33" s="421"/>
    </row>
    <row r="34" spans="1:28" ht="15.75" thickBot="1">
      <c r="A34" s="41" t="s">
        <v>185</v>
      </c>
      <c r="B34" s="42" t="s">
        <v>222</v>
      </c>
      <c r="C34" s="50">
        <v>0</v>
      </c>
      <c r="D34" s="73">
        <v>0.16666666666666666</v>
      </c>
      <c r="E34" s="73">
        <v>0.33333333333333331</v>
      </c>
      <c r="F34" s="73">
        <v>0.5</v>
      </c>
      <c r="G34" s="73">
        <v>0.66666666666666663</v>
      </c>
      <c r="H34" s="73">
        <v>0.83333333333333326</v>
      </c>
      <c r="I34" s="74">
        <v>1</v>
      </c>
      <c r="J34" s="73">
        <v>1.1666666666666667</v>
      </c>
      <c r="K34" s="73">
        <v>1.3333333333333335</v>
      </c>
      <c r="L34" s="51">
        <v>1.5000000000000002</v>
      </c>
      <c r="M34" s="51">
        <v>1.666666666666667</v>
      </c>
      <c r="N34" s="50">
        <v>2</v>
      </c>
      <c r="O34" s="51">
        <v>2.75</v>
      </c>
      <c r="P34" s="51">
        <v>3.5</v>
      </c>
      <c r="Q34" s="51">
        <v>4.25</v>
      </c>
      <c r="R34" s="50">
        <v>5</v>
      </c>
      <c r="S34" s="51">
        <v>5.333333333333333</v>
      </c>
      <c r="T34" s="51">
        <v>5.6666666666666661</v>
      </c>
      <c r="U34" s="51">
        <v>5.9999999999999991</v>
      </c>
      <c r="V34" s="51">
        <v>6.3333333333333321</v>
      </c>
      <c r="W34" s="51">
        <v>6.6666666666666652</v>
      </c>
      <c r="X34" s="51">
        <v>6.9999999999999982</v>
      </c>
      <c r="Y34" s="50">
        <v>7</v>
      </c>
      <c r="Z34" s="51">
        <v>7</v>
      </c>
      <c r="AA34" s="38">
        <v>15</v>
      </c>
      <c r="AB34" s="420">
        <v>0.6</v>
      </c>
    </row>
    <row r="35" spans="1:28" s="49" customFormat="1" ht="15.75" thickBot="1">
      <c r="A35" s="45"/>
      <c r="B35" s="46" t="s">
        <v>223</v>
      </c>
      <c r="C35" s="71">
        <v>0</v>
      </c>
      <c r="D35" s="441">
        <v>0</v>
      </c>
      <c r="E35" s="442">
        <v>0</v>
      </c>
      <c r="F35" s="442">
        <v>0</v>
      </c>
      <c r="G35" s="442">
        <v>0</v>
      </c>
      <c r="H35" s="442">
        <v>0</v>
      </c>
      <c r="I35" s="442">
        <v>1</v>
      </c>
      <c r="J35" s="442">
        <v>1</v>
      </c>
      <c r="K35" s="442">
        <v>1</v>
      </c>
      <c r="L35" s="442">
        <v>2</v>
      </c>
      <c r="M35" s="442">
        <v>3</v>
      </c>
      <c r="N35" s="443">
        <v>4</v>
      </c>
      <c r="O35" s="444">
        <v>5</v>
      </c>
      <c r="P35" s="444">
        <v>6</v>
      </c>
      <c r="Q35" s="444">
        <v>7</v>
      </c>
      <c r="R35" s="442">
        <v>8</v>
      </c>
      <c r="S35" s="442">
        <v>8</v>
      </c>
      <c r="T35" s="442">
        <v>9</v>
      </c>
      <c r="U35" s="442">
        <v>10</v>
      </c>
      <c r="V35" s="445">
        <v>7</v>
      </c>
      <c r="W35" s="72">
        <v>9</v>
      </c>
      <c r="X35" s="70">
        <v>8</v>
      </c>
      <c r="Y35" s="70">
        <v>0</v>
      </c>
      <c r="Z35" s="70">
        <v>0</v>
      </c>
      <c r="AB35" s="421"/>
    </row>
    <row r="36" spans="1:28" s="49" customFormat="1">
      <c r="A36" s="45"/>
      <c r="B36" s="46"/>
      <c r="C36" s="53"/>
      <c r="D36" s="75"/>
      <c r="E36" s="75"/>
      <c r="F36" s="75"/>
      <c r="G36" s="75"/>
      <c r="H36" s="75"/>
      <c r="I36" s="75"/>
      <c r="J36" s="75"/>
      <c r="K36" s="75"/>
      <c r="L36" s="53"/>
      <c r="M36" s="53"/>
      <c r="N36" s="53"/>
      <c r="O36" s="53"/>
      <c r="P36" s="53"/>
      <c r="Q36" s="53"/>
      <c r="R36" s="53"/>
      <c r="S36" s="53"/>
      <c r="T36" s="53"/>
      <c r="U36" s="53"/>
      <c r="V36" s="53"/>
      <c r="W36" s="53"/>
      <c r="X36" s="53"/>
      <c r="Y36" s="53"/>
      <c r="Z36" s="53"/>
      <c r="AB36" s="421"/>
    </row>
    <row r="37" spans="1:28" ht="15.75" thickBot="1">
      <c r="A37" s="41" t="s">
        <v>184</v>
      </c>
      <c r="B37" s="42" t="s">
        <v>226</v>
      </c>
      <c r="C37" s="50">
        <v>0</v>
      </c>
      <c r="D37" s="73">
        <v>0</v>
      </c>
      <c r="E37" s="73">
        <v>0</v>
      </c>
      <c r="F37" s="73">
        <v>0</v>
      </c>
      <c r="G37" s="73">
        <v>0</v>
      </c>
      <c r="H37" s="73">
        <v>0</v>
      </c>
      <c r="I37" s="74">
        <v>0</v>
      </c>
      <c r="J37" s="73">
        <v>0.16666666666666666</v>
      </c>
      <c r="K37" s="73">
        <v>0.33333333333333331</v>
      </c>
      <c r="L37" s="51">
        <v>0.5</v>
      </c>
      <c r="M37" s="51">
        <v>0.66666666666666663</v>
      </c>
      <c r="N37" s="50">
        <v>1</v>
      </c>
      <c r="O37" s="51">
        <v>1.5</v>
      </c>
      <c r="P37" s="51">
        <v>2</v>
      </c>
      <c r="Q37" s="51">
        <v>2.5</v>
      </c>
      <c r="R37" s="50">
        <v>3</v>
      </c>
      <c r="S37" s="51">
        <v>3.1666666666666665</v>
      </c>
      <c r="T37" s="51">
        <v>3.333333333333333</v>
      </c>
      <c r="U37" s="51">
        <v>3.4999999999999996</v>
      </c>
      <c r="V37" s="51">
        <v>3.6666666666666661</v>
      </c>
      <c r="W37" s="51">
        <v>7.1666666666666661</v>
      </c>
      <c r="X37" s="51">
        <v>7.9999999999999991</v>
      </c>
      <c r="Y37" s="50">
        <v>8</v>
      </c>
      <c r="Z37" s="51">
        <v>8</v>
      </c>
      <c r="AA37" s="38">
        <v>10</v>
      </c>
      <c r="AB37" s="420">
        <v>0.4</v>
      </c>
    </row>
    <row r="38" spans="1:28" s="49" customFormat="1" ht="15.75" thickBot="1">
      <c r="A38" s="45"/>
      <c r="B38" s="46" t="s">
        <v>227</v>
      </c>
      <c r="C38" s="71">
        <v>0</v>
      </c>
      <c r="D38" s="441">
        <v>0</v>
      </c>
      <c r="E38" s="442">
        <v>0</v>
      </c>
      <c r="F38" s="442">
        <v>0</v>
      </c>
      <c r="G38" s="442">
        <v>0</v>
      </c>
      <c r="H38" s="442">
        <v>0</v>
      </c>
      <c r="I38" s="442">
        <v>0</v>
      </c>
      <c r="J38" s="442">
        <v>0</v>
      </c>
      <c r="K38" s="442">
        <v>0</v>
      </c>
      <c r="L38" s="442">
        <v>0</v>
      </c>
      <c r="M38" s="442">
        <v>1</v>
      </c>
      <c r="N38" s="443">
        <v>2</v>
      </c>
      <c r="O38" s="444">
        <v>2</v>
      </c>
      <c r="P38" s="444">
        <v>3</v>
      </c>
      <c r="Q38" s="444">
        <v>4</v>
      </c>
      <c r="R38" s="442">
        <v>4</v>
      </c>
      <c r="S38" s="442">
        <v>5</v>
      </c>
      <c r="T38" s="442">
        <v>6</v>
      </c>
      <c r="U38" s="442">
        <v>7</v>
      </c>
      <c r="V38" s="445">
        <v>8</v>
      </c>
      <c r="W38" s="72">
        <v>9</v>
      </c>
      <c r="X38" s="70">
        <v>7</v>
      </c>
      <c r="Y38" s="70">
        <v>0</v>
      </c>
      <c r="Z38" s="70">
        <v>0</v>
      </c>
      <c r="AB38" s="421"/>
    </row>
    <row r="39" spans="1:28" s="49" customFormat="1">
      <c r="A39" s="45"/>
      <c r="B39" s="46"/>
      <c r="C39" s="53"/>
      <c r="D39" s="75"/>
      <c r="E39" s="75"/>
      <c r="F39" s="75"/>
      <c r="G39" s="75"/>
      <c r="H39" s="75"/>
      <c r="I39" s="75"/>
      <c r="J39" s="75"/>
      <c r="K39" s="75"/>
      <c r="L39" s="53"/>
      <c r="M39" s="53"/>
      <c r="N39" s="53"/>
      <c r="O39" s="53"/>
      <c r="P39" s="53"/>
      <c r="Q39" s="53"/>
      <c r="R39" s="53"/>
      <c r="S39" s="53"/>
      <c r="T39" s="53"/>
      <c r="U39" s="53"/>
      <c r="V39" s="53"/>
      <c r="W39" s="53"/>
      <c r="X39" s="53"/>
      <c r="Y39" s="53"/>
      <c r="Z39" s="53"/>
      <c r="AB39" s="421"/>
    </row>
    <row r="40" spans="1:28" ht="15.75" thickBot="1">
      <c r="A40" s="41" t="s">
        <v>183</v>
      </c>
      <c r="B40" s="42" t="s">
        <v>224</v>
      </c>
      <c r="C40" s="50">
        <v>0</v>
      </c>
      <c r="D40" s="73">
        <v>0</v>
      </c>
      <c r="E40" s="73">
        <v>0</v>
      </c>
      <c r="F40" s="73">
        <v>0</v>
      </c>
      <c r="G40" s="73">
        <v>0</v>
      </c>
      <c r="H40" s="73">
        <v>0</v>
      </c>
      <c r="I40" s="74">
        <v>0</v>
      </c>
      <c r="J40" s="73">
        <v>0</v>
      </c>
      <c r="K40" s="73">
        <v>0</v>
      </c>
      <c r="L40" s="51">
        <v>0</v>
      </c>
      <c r="M40" s="51">
        <v>0</v>
      </c>
      <c r="N40" s="50">
        <v>0</v>
      </c>
      <c r="O40" s="51">
        <v>0</v>
      </c>
      <c r="P40" s="51">
        <v>0</v>
      </c>
      <c r="Q40" s="51">
        <v>0</v>
      </c>
      <c r="R40" s="50">
        <v>0</v>
      </c>
      <c r="S40" s="51">
        <v>0.16666666666666666</v>
      </c>
      <c r="T40" s="51">
        <v>0.33333333333333331</v>
      </c>
      <c r="U40" s="51">
        <v>0.5</v>
      </c>
      <c r="V40" s="51">
        <v>0.66666666666666663</v>
      </c>
      <c r="W40" s="51">
        <v>0.83333333333333326</v>
      </c>
      <c r="X40" s="51">
        <v>0.99999999999999989</v>
      </c>
      <c r="Y40" s="50">
        <v>1</v>
      </c>
      <c r="Z40" s="51">
        <v>1</v>
      </c>
      <c r="AA40" s="38">
        <v>5</v>
      </c>
      <c r="AB40" s="420">
        <v>0.2</v>
      </c>
    </row>
    <row r="41" spans="1:28" s="49" customFormat="1" ht="15.75" thickBot="1">
      <c r="A41" s="45"/>
      <c r="B41" s="46" t="s">
        <v>225</v>
      </c>
      <c r="C41" s="71">
        <v>0</v>
      </c>
      <c r="D41" s="441">
        <v>0</v>
      </c>
      <c r="E41" s="442">
        <v>0</v>
      </c>
      <c r="F41" s="442">
        <v>0</v>
      </c>
      <c r="G41" s="442">
        <v>0</v>
      </c>
      <c r="H41" s="442">
        <v>0</v>
      </c>
      <c r="I41" s="442">
        <v>0</v>
      </c>
      <c r="J41" s="442">
        <v>0</v>
      </c>
      <c r="K41" s="442">
        <v>0</v>
      </c>
      <c r="L41" s="442">
        <v>0</v>
      </c>
      <c r="M41" s="442">
        <v>0</v>
      </c>
      <c r="N41" s="443">
        <v>0</v>
      </c>
      <c r="O41" s="444">
        <v>0</v>
      </c>
      <c r="P41" s="444">
        <v>0</v>
      </c>
      <c r="Q41" s="444">
        <v>0</v>
      </c>
      <c r="R41" s="442">
        <v>0</v>
      </c>
      <c r="S41" s="442">
        <v>0</v>
      </c>
      <c r="T41" s="442">
        <v>0</v>
      </c>
      <c r="U41" s="442">
        <v>1</v>
      </c>
      <c r="V41" s="445">
        <v>0</v>
      </c>
      <c r="W41" s="72">
        <v>0</v>
      </c>
      <c r="X41" s="70">
        <v>0</v>
      </c>
      <c r="Y41" s="70">
        <v>0</v>
      </c>
      <c r="Z41" s="70">
        <v>0</v>
      </c>
      <c r="AB41" s="421"/>
    </row>
    <row r="42" spans="1:28" s="49" customFormat="1">
      <c r="A42" s="45"/>
      <c r="B42" s="46"/>
      <c r="C42" s="48"/>
      <c r="D42" s="83"/>
      <c r="E42" s="83"/>
      <c r="F42" s="83"/>
      <c r="G42" s="83"/>
      <c r="H42" s="83"/>
      <c r="I42" s="83"/>
      <c r="J42" s="83"/>
      <c r="K42" s="83"/>
      <c r="L42" s="48"/>
      <c r="M42" s="48"/>
      <c r="N42" s="48"/>
      <c r="O42" s="48"/>
      <c r="P42" s="48"/>
      <c r="Q42" s="48"/>
      <c r="R42" s="48"/>
      <c r="S42" s="48"/>
      <c r="T42" s="48"/>
      <c r="U42" s="48"/>
      <c r="V42" s="48"/>
      <c r="W42" s="48"/>
      <c r="X42" s="48"/>
      <c r="Y42" s="48"/>
      <c r="Z42" s="48"/>
      <c r="AB42" s="421"/>
    </row>
    <row r="43" spans="1:28" ht="15.75" thickBot="1">
      <c r="A43" s="41" t="s">
        <v>16</v>
      </c>
      <c r="B43" s="42" t="s">
        <v>139</v>
      </c>
      <c r="C43" s="43">
        <v>1</v>
      </c>
      <c r="D43" s="81">
        <v>1.0833333333333333</v>
      </c>
      <c r="E43" s="81">
        <v>1.1666666666666665</v>
      </c>
      <c r="F43" s="81">
        <v>1.2499999999999998</v>
      </c>
      <c r="G43" s="81">
        <v>1.333333333333333</v>
      </c>
      <c r="H43" s="81">
        <v>1.4166666666666663</v>
      </c>
      <c r="I43" s="82">
        <v>1.5</v>
      </c>
      <c r="J43" s="81">
        <v>1.6666666666666667</v>
      </c>
      <c r="K43" s="81">
        <v>1.8333333333333335</v>
      </c>
      <c r="L43" s="44">
        <v>2</v>
      </c>
      <c r="M43" s="44">
        <v>2.1666666666666665</v>
      </c>
      <c r="N43" s="43">
        <v>2.5</v>
      </c>
      <c r="O43" s="44">
        <v>2.75</v>
      </c>
      <c r="P43" s="44">
        <v>3</v>
      </c>
      <c r="Q43" s="44">
        <v>3.25</v>
      </c>
      <c r="R43" s="43">
        <v>3.5</v>
      </c>
      <c r="S43" s="44">
        <v>3.5833333333333335</v>
      </c>
      <c r="T43" s="44">
        <v>3.666666666666667</v>
      </c>
      <c r="U43" s="44">
        <v>3.7500000000000004</v>
      </c>
      <c r="V43" s="44">
        <v>3.8333333333333339</v>
      </c>
      <c r="W43" s="44">
        <v>3.9166666666666674</v>
      </c>
      <c r="X43" s="44">
        <v>4.0000000000000009</v>
      </c>
      <c r="Y43" s="43">
        <v>4</v>
      </c>
      <c r="Z43" s="44">
        <v>4</v>
      </c>
      <c r="AA43" s="38">
        <v>5</v>
      </c>
      <c r="AB43" s="420">
        <v>0.16</v>
      </c>
    </row>
    <row r="44" spans="1:28" s="49" customFormat="1" ht="15.75" thickBot="1">
      <c r="A44" s="45"/>
      <c r="B44" s="46" t="s">
        <v>140</v>
      </c>
      <c r="C44" s="79">
        <v>1</v>
      </c>
      <c r="D44" s="436">
        <v>1</v>
      </c>
      <c r="E44" s="437">
        <v>1</v>
      </c>
      <c r="F44" s="437">
        <v>1</v>
      </c>
      <c r="G44" s="437">
        <v>1</v>
      </c>
      <c r="H44" s="437">
        <v>1</v>
      </c>
      <c r="I44" s="437">
        <v>2</v>
      </c>
      <c r="J44" s="437">
        <v>2</v>
      </c>
      <c r="K44" s="437">
        <v>2</v>
      </c>
      <c r="L44" s="437">
        <v>2</v>
      </c>
      <c r="M44" s="437">
        <v>2.5</v>
      </c>
      <c r="N44" s="439">
        <v>2.5</v>
      </c>
      <c r="O44" s="440">
        <v>2.5</v>
      </c>
      <c r="P44" s="440">
        <v>3.1</v>
      </c>
      <c r="Q44" s="440">
        <v>3.7</v>
      </c>
      <c r="R44" s="437">
        <v>3.6</v>
      </c>
      <c r="S44" s="437">
        <v>1.5</v>
      </c>
      <c r="T44" s="437">
        <v>1.8</v>
      </c>
      <c r="U44" s="437">
        <v>3.5</v>
      </c>
      <c r="V44" s="438">
        <v>3.8</v>
      </c>
      <c r="W44" s="80">
        <v>3.9</v>
      </c>
      <c r="X44" s="69">
        <v>4.3</v>
      </c>
      <c r="Y44" s="69">
        <v>0</v>
      </c>
      <c r="Z44" s="69">
        <v>0</v>
      </c>
      <c r="AB44" s="421"/>
    </row>
    <row r="45" spans="1:28" s="49" customFormat="1">
      <c r="A45" s="45"/>
      <c r="B45" s="46"/>
      <c r="C45" s="48"/>
      <c r="D45" s="83"/>
      <c r="E45" s="83"/>
      <c r="F45" s="83"/>
      <c r="G45" s="83"/>
      <c r="H45" s="83"/>
      <c r="I45" s="83"/>
      <c r="J45" s="83"/>
      <c r="K45" s="83"/>
      <c r="L45" s="48"/>
      <c r="M45" s="48"/>
      <c r="N45" s="48"/>
      <c r="O45" s="48"/>
      <c r="P45" s="48"/>
      <c r="Q45" s="48"/>
      <c r="R45" s="48"/>
      <c r="S45" s="48"/>
      <c r="T45" s="48"/>
      <c r="U45" s="48"/>
      <c r="V45" s="48"/>
      <c r="W45" s="48"/>
      <c r="X45" s="48"/>
      <c r="Y45" s="48"/>
      <c r="Z45" s="48"/>
      <c r="AB45" s="421"/>
    </row>
    <row r="46" spans="1:28" ht="15.75" thickBot="1">
      <c r="A46" s="41" t="s">
        <v>17</v>
      </c>
      <c r="B46" s="42" t="s">
        <v>139</v>
      </c>
      <c r="C46" s="43">
        <v>1</v>
      </c>
      <c r="D46" s="81">
        <v>1.0833333333333333</v>
      </c>
      <c r="E46" s="81">
        <v>1.1666666666666665</v>
      </c>
      <c r="F46" s="81">
        <v>1.2499999999999998</v>
      </c>
      <c r="G46" s="81">
        <v>1.333333333333333</v>
      </c>
      <c r="H46" s="81">
        <v>1.4166666666666663</v>
      </c>
      <c r="I46" s="82">
        <v>1.5</v>
      </c>
      <c r="J46" s="81">
        <v>1.75</v>
      </c>
      <c r="K46" s="81">
        <v>2</v>
      </c>
      <c r="L46" s="44">
        <v>2.25</v>
      </c>
      <c r="M46" s="44">
        <v>2.5</v>
      </c>
      <c r="N46" s="43">
        <v>3</v>
      </c>
      <c r="O46" s="44">
        <v>3.25</v>
      </c>
      <c r="P46" s="44">
        <v>3.5</v>
      </c>
      <c r="Q46" s="44">
        <v>3.75</v>
      </c>
      <c r="R46" s="43">
        <v>4</v>
      </c>
      <c r="S46" s="44">
        <v>4.083333333333333</v>
      </c>
      <c r="T46" s="44">
        <v>4.1666666666666661</v>
      </c>
      <c r="U46" s="44">
        <v>4.2499999999999991</v>
      </c>
      <c r="V46" s="44">
        <v>4.3333333333333321</v>
      </c>
      <c r="W46" s="44">
        <v>4.4166666666666652</v>
      </c>
      <c r="X46" s="44">
        <v>4.4999999999999982</v>
      </c>
      <c r="Y46" s="43">
        <v>4.5</v>
      </c>
      <c r="Z46" s="44">
        <v>4.5</v>
      </c>
      <c r="AA46" s="38">
        <v>5</v>
      </c>
      <c r="AB46" s="420">
        <v>0.16</v>
      </c>
    </row>
    <row r="47" spans="1:28" s="49" customFormat="1" ht="15.75" thickBot="1">
      <c r="A47" s="45"/>
      <c r="B47" s="46" t="s">
        <v>140</v>
      </c>
      <c r="C47" s="79">
        <v>1</v>
      </c>
      <c r="D47" s="436">
        <v>1</v>
      </c>
      <c r="E47" s="437">
        <v>1</v>
      </c>
      <c r="F47" s="437">
        <v>1</v>
      </c>
      <c r="G47" s="437">
        <v>1</v>
      </c>
      <c r="H47" s="437">
        <v>1</v>
      </c>
      <c r="I47" s="437">
        <v>1</v>
      </c>
      <c r="J47" s="437">
        <v>1</v>
      </c>
      <c r="K47" s="437">
        <v>1</v>
      </c>
      <c r="L47" s="437">
        <v>2</v>
      </c>
      <c r="M47" s="437">
        <v>2</v>
      </c>
      <c r="N47" s="439">
        <v>3.4</v>
      </c>
      <c r="O47" s="440">
        <v>3.4</v>
      </c>
      <c r="P47" s="440">
        <v>3.4</v>
      </c>
      <c r="Q47" s="440">
        <v>4</v>
      </c>
      <c r="R47" s="437">
        <v>3.9</v>
      </c>
      <c r="S47" s="437">
        <v>2</v>
      </c>
      <c r="T47" s="437">
        <v>2</v>
      </c>
      <c r="U47" s="437">
        <v>3.9</v>
      </c>
      <c r="V47" s="438">
        <v>3.8</v>
      </c>
      <c r="W47" s="80">
        <v>4.0999999999999996</v>
      </c>
      <c r="X47" s="69">
        <v>4.5</v>
      </c>
      <c r="Y47" s="69">
        <v>0</v>
      </c>
      <c r="Z47" s="69">
        <v>0</v>
      </c>
      <c r="AB47" s="421"/>
    </row>
    <row r="48" spans="1:28" s="49" customFormat="1">
      <c r="A48" s="45"/>
      <c r="B48" s="46"/>
      <c r="C48" s="48"/>
      <c r="D48" s="83"/>
      <c r="E48" s="83"/>
      <c r="F48" s="83"/>
      <c r="G48" s="83"/>
      <c r="H48" s="83"/>
      <c r="I48" s="83"/>
      <c r="J48" s="83"/>
      <c r="K48" s="83"/>
      <c r="L48" s="48"/>
      <c r="M48" s="48"/>
      <c r="N48" s="48"/>
      <c r="O48" s="48"/>
      <c r="P48" s="48"/>
      <c r="Q48" s="48"/>
      <c r="R48" s="48"/>
      <c r="S48" s="48"/>
      <c r="T48" s="48"/>
      <c r="U48" s="48"/>
      <c r="V48" s="48"/>
      <c r="W48" s="48"/>
      <c r="X48" s="48"/>
      <c r="Y48" s="48"/>
      <c r="Z48" s="48"/>
      <c r="AB48" s="421"/>
    </row>
    <row r="49" spans="1:28" ht="15.75" thickBot="1">
      <c r="A49" s="41" t="s">
        <v>18</v>
      </c>
      <c r="B49" s="42" t="s">
        <v>139</v>
      </c>
      <c r="C49" s="50">
        <v>1</v>
      </c>
      <c r="D49" s="73">
        <v>1</v>
      </c>
      <c r="E49" s="73">
        <v>1</v>
      </c>
      <c r="F49" s="73">
        <v>1</v>
      </c>
      <c r="G49" s="73">
        <v>1</v>
      </c>
      <c r="H49" s="73">
        <v>1</v>
      </c>
      <c r="I49" s="74">
        <v>1</v>
      </c>
      <c r="J49" s="73">
        <v>1</v>
      </c>
      <c r="K49" s="73">
        <v>1</v>
      </c>
      <c r="L49" s="51">
        <v>1</v>
      </c>
      <c r="M49" s="51">
        <v>1</v>
      </c>
      <c r="N49" s="50">
        <v>1</v>
      </c>
      <c r="O49" s="51">
        <v>1.25</v>
      </c>
      <c r="P49" s="51">
        <v>1.5</v>
      </c>
      <c r="Q49" s="51">
        <v>1.75</v>
      </c>
      <c r="R49" s="50">
        <v>2</v>
      </c>
      <c r="S49" s="51">
        <v>2.3333333333333335</v>
      </c>
      <c r="T49" s="51">
        <v>2.666666666666667</v>
      </c>
      <c r="U49" s="51">
        <v>3.0000000000000004</v>
      </c>
      <c r="V49" s="51">
        <v>3.3333333333333339</v>
      </c>
      <c r="W49" s="51">
        <v>10.333333333333334</v>
      </c>
      <c r="X49" s="51">
        <v>12</v>
      </c>
      <c r="Y49" s="50">
        <v>12</v>
      </c>
      <c r="Z49" s="51">
        <v>12</v>
      </c>
      <c r="AA49" s="38">
        <v>10</v>
      </c>
      <c r="AB49" s="420">
        <v>0.4</v>
      </c>
    </row>
    <row r="50" spans="1:28" s="49" customFormat="1" ht="15.75" thickBot="1">
      <c r="A50" s="45"/>
      <c r="B50" s="46" t="s">
        <v>140</v>
      </c>
      <c r="C50" s="71">
        <v>1</v>
      </c>
      <c r="D50" s="441">
        <v>1</v>
      </c>
      <c r="E50" s="442">
        <v>1</v>
      </c>
      <c r="F50" s="442">
        <v>1</v>
      </c>
      <c r="G50" s="442">
        <v>1</v>
      </c>
      <c r="H50" s="442">
        <v>1</v>
      </c>
      <c r="I50" s="442">
        <v>1</v>
      </c>
      <c r="J50" s="442">
        <v>1</v>
      </c>
      <c r="K50" s="442">
        <v>1</v>
      </c>
      <c r="L50" s="442">
        <v>1</v>
      </c>
      <c r="M50" s="442">
        <v>1</v>
      </c>
      <c r="N50" s="443">
        <v>3</v>
      </c>
      <c r="O50" s="444">
        <v>8</v>
      </c>
      <c r="P50" s="444">
        <v>11</v>
      </c>
      <c r="Q50" s="444">
        <v>13</v>
      </c>
      <c r="R50" s="437">
        <v>8</v>
      </c>
      <c r="S50" s="437">
        <v>8</v>
      </c>
      <c r="T50" s="437">
        <v>9</v>
      </c>
      <c r="U50" s="437">
        <v>12</v>
      </c>
      <c r="V50" s="438">
        <v>10</v>
      </c>
      <c r="W50" s="80">
        <v>15</v>
      </c>
      <c r="X50" s="69">
        <v>18</v>
      </c>
      <c r="Y50" s="69">
        <v>0</v>
      </c>
      <c r="Z50" s="69">
        <v>0</v>
      </c>
      <c r="AB50" s="421"/>
    </row>
    <row r="51" spans="1:28" s="49" customFormat="1">
      <c r="A51" s="45"/>
      <c r="B51" s="46"/>
      <c r="C51" s="48"/>
      <c r="D51" s="83"/>
      <c r="E51" s="83"/>
      <c r="F51" s="83"/>
      <c r="G51" s="83"/>
      <c r="H51" s="83"/>
      <c r="I51" s="83"/>
      <c r="J51" s="83"/>
      <c r="K51" s="83"/>
      <c r="L51" s="48"/>
      <c r="M51" s="48"/>
      <c r="N51" s="48"/>
      <c r="O51" s="48"/>
      <c r="P51" s="48"/>
      <c r="Q51" s="48"/>
      <c r="R51" s="48"/>
      <c r="S51" s="48"/>
      <c r="T51" s="48"/>
      <c r="U51" s="48"/>
      <c r="V51" s="48"/>
      <c r="W51" s="48"/>
      <c r="X51" s="48"/>
      <c r="Y51" s="48"/>
      <c r="Z51" s="48"/>
      <c r="AB51" s="421"/>
    </row>
    <row r="52" spans="1:28" ht="15.75" thickBot="1">
      <c r="A52" s="41" t="s">
        <v>19</v>
      </c>
      <c r="B52" s="42" t="s">
        <v>139</v>
      </c>
      <c r="C52" s="43">
        <v>1</v>
      </c>
      <c r="D52" s="81">
        <v>1.1666666666666667</v>
      </c>
      <c r="E52" s="81">
        <v>1.3333333333333335</v>
      </c>
      <c r="F52" s="81">
        <v>1.5000000000000002</v>
      </c>
      <c r="G52" s="81">
        <v>1.666666666666667</v>
      </c>
      <c r="H52" s="81">
        <v>1.8333333333333337</v>
      </c>
      <c r="I52" s="82">
        <v>2</v>
      </c>
      <c r="J52" s="81">
        <v>2.0833333333333335</v>
      </c>
      <c r="K52" s="81">
        <v>2.166666666666667</v>
      </c>
      <c r="L52" s="44">
        <v>2.2500000000000004</v>
      </c>
      <c r="M52" s="44">
        <v>2.3333333333333339</v>
      </c>
      <c r="N52" s="43">
        <v>2.5</v>
      </c>
      <c r="O52" s="44">
        <v>2.75</v>
      </c>
      <c r="P52" s="44">
        <v>3</v>
      </c>
      <c r="Q52" s="44">
        <v>3.25</v>
      </c>
      <c r="R52" s="43">
        <v>3.5</v>
      </c>
      <c r="S52" s="44">
        <v>3.5833333333333335</v>
      </c>
      <c r="T52" s="44">
        <v>3.666666666666667</v>
      </c>
      <c r="U52" s="44">
        <v>3.7500000000000004</v>
      </c>
      <c r="V52" s="44">
        <v>3.8333333333333339</v>
      </c>
      <c r="W52" s="44">
        <v>3.9166666666666674</v>
      </c>
      <c r="X52" s="44">
        <v>4.0000000000000009</v>
      </c>
      <c r="Y52" s="43">
        <v>4</v>
      </c>
      <c r="Z52" s="44">
        <v>4</v>
      </c>
      <c r="AA52" s="38">
        <v>5</v>
      </c>
      <c r="AB52" s="420">
        <v>0.16</v>
      </c>
    </row>
    <row r="53" spans="1:28" s="49" customFormat="1" ht="15.75" thickBot="1">
      <c r="A53" s="45"/>
      <c r="B53" s="46" t="s">
        <v>140</v>
      </c>
      <c r="C53" s="79">
        <v>1</v>
      </c>
      <c r="D53" s="436">
        <v>1</v>
      </c>
      <c r="E53" s="437">
        <v>1</v>
      </c>
      <c r="F53" s="437">
        <v>1</v>
      </c>
      <c r="G53" s="437">
        <v>1</v>
      </c>
      <c r="H53" s="437">
        <v>1</v>
      </c>
      <c r="I53" s="437">
        <v>2</v>
      </c>
      <c r="J53" s="437">
        <v>2.5</v>
      </c>
      <c r="K53" s="437">
        <v>2.5</v>
      </c>
      <c r="L53" s="437">
        <v>2</v>
      </c>
      <c r="M53" s="437">
        <v>1.8</v>
      </c>
      <c r="N53" s="439">
        <v>3</v>
      </c>
      <c r="O53" s="440">
        <v>3</v>
      </c>
      <c r="P53" s="440">
        <v>2.8</v>
      </c>
      <c r="Q53" s="440">
        <v>3.6</v>
      </c>
      <c r="R53" s="437">
        <v>3.8</v>
      </c>
      <c r="S53" s="437">
        <v>4.2</v>
      </c>
      <c r="T53" s="437">
        <v>0.7</v>
      </c>
      <c r="U53" s="437">
        <v>3</v>
      </c>
      <c r="V53" s="438">
        <v>3.9</v>
      </c>
      <c r="W53" s="80">
        <v>4.5</v>
      </c>
      <c r="X53" s="69">
        <v>4.5</v>
      </c>
      <c r="Y53" s="69">
        <v>0</v>
      </c>
      <c r="Z53" s="69">
        <v>0</v>
      </c>
      <c r="AB53" s="421"/>
    </row>
    <row r="54" spans="1:28" s="49" customFormat="1">
      <c r="A54" s="45"/>
      <c r="B54" s="46"/>
      <c r="C54" s="48"/>
      <c r="D54" s="83"/>
      <c r="E54" s="83"/>
      <c r="F54" s="83"/>
      <c r="G54" s="83"/>
      <c r="H54" s="83"/>
      <c r="I54" s="83"/>
      <c r="J54" s="83"/>
      <c r="K54" s="83"/>
      <c r="L54" s="48"/>
      <c r="M54" s="48"/>
      <c r="N54" s="48"/>
      <c r="O54" s="48"/>
      <c r="P54" s="48"/>
      <c r="Q54" s="48"/>
      <c r="R54" s="48"/>
      <c r="S54" s="48"/>
      <c r="T54" s="48"/>
      <c r="U54" s="48"/>
      <c r="V54" s="48"/>
      <c r="W54" s="48"/>
      <c r="X54" s="48"/>
      <c r="Y54" s="48"/>
      <c r="Z54" s="48"/>
      <c r="AB54" s="421"/>
    </row>
    <row r="55" spans="1:28" ht="15.75" thickBot="1">
      <c r="A55" s="41" t="s">
        <v>20</v>
      </c>
      <c r="B55" s="42" t="s">
        <v>139</v>
      </c>
      <c r="C55" s="43">
        <v>1</v>
      </c>
      <c r="D55" s="81">
        <v>1.1666666666666667</v>
      </c>
      <c r="E55" s="81">
        <v>1.3333333333333335</v>
      </c>
      <c r="F55" s="81">
        <v>1.5000000000000002</v>
      </c>
      <c r="G55" s="81">
        <v>1.666666666666667</v>
      </c>
      <c r="H55" s="81">
        <v>1.8333333333333337</v>
      </c>
      <c r="I55" s="82">
        <v>2</v>
      </c>
      <c r="J55" s="81">
        <v>2.1666666666666665</v>
      </c>
      <c r="K55" s="81">
        <v>2.333333333333333</v>
      </c>
      <c r="L55" s="44">
        <v>2.4999999999999996</v>
      </c>
      <c r="M55" s="44">
        <v>2.6666666666666661</v>
      </c>
      <c r="N55" s="43">
        <v>3</v>
      </c>
      <c r="O55" s="44">
        <v>3.25</v>
      </c>
      <c r="P55" s="44">
        <v>3.5</v>
      </c>
      <c r="Q55" s="44">
        <v>3.75</v>
      </c>
      <c r="R55" s="43">
        <v>4</v>
      </c>
      <c r="S55" s="44">
        <v>4.083333333333333</v>
      </c>
      <c r="T55" s="44">
        <v>4.1666666666666661</v>
      </c>
      <c r="U55" s="44">
        <v>4.2499999999999991</v>
      </c>
      <c r="V55" s="44">
        <v>4.3333333333333321</v>
      </c>
      <c r="W55" s="44">
        <v>4.4166666666666652</v>
      </c>
      <c r="X55" s="44">
        <v>4.4999999999999982</v>
      </c>
      <c r="Y55" s="43">
        <v>4.5</v>
      </c>
      <c r="Z55" s="44">
        <v>4.5</v>
      </c>
      <c r="AA55" s="38">
        <v>5</v>
      </c>
      <c r="AB55" s="420">
        <v>0.16</v>
      </c>
    </row>
    <row r="56" spans="1:28" s="49" customFormat="1" ht="15.75" thickBot="1">
      <c r="A56" s="45"/>
      <c r="B56" s="46" t="s">
        <v>140</v>
      </c>
      <c r="C56" s="79">
        <v>1</v>
      </c>
      <c r="D56" s="436">
        <v>1</v>
      </c>
      <c r="E56" s="437">
        <v>1</v>
      </c>
      <c r="F56" s="437">
        <v>1</v>
      </c>
      <c r="G56" s="437">
        <v>1</v>
      </c>
      <c r="H56" s="437">
        <v>1</v>
      </c>
      <c r="I56" s="437">
        <v>1</v>
      </c>
      <c r="J56" s="437">
        <v>1</v>
      </c>
      <c r="K56" s="437">
        <v>1</v>
      </c>
      <c r="L56" s="437">
        <v>2</v>
      </c>
      <c r="M56" s="437">
        <v>3</v>
      </c>
      <c r="N56" s="439">
        <v>3.6</v>
      </c>
      <c r="O56" s="440">
        <v>3.6</v>
      </c>
      <c r="P56" s="440">
        <v>3.6</v>
      </c>
      <c r="Q56" s="440">
        <v>4.2</v>
      </c>
      <c r="R56" s="437">
        <v>4</v>
      </c>
      <c r="S56" s="437">
        <v>4.8</v>
      </c>
      <c r="T56" s="437">
        <v>1.6</v>
      </c>
      <c r="U56" s="437">
        <v>3.3</v>
      </c>
      <c r="V56" s="438">
        <v>3.6</v>
      </c>
      <c r="W56" s="80">
        <v>4.2</v>
      </c>
      <c r="X56" s="69">
        <v>4.4000000000000004</v>
      </c>
      <c r="Y56" s="69">
        <v>0</v>
      </c>
      <c r="Z56" s="69">
        <v>0</v>
      </c>
      <c r="AB56" s="421"/>
    </row>
    <row r="57" spans="1:28" s="49" customFormat="1">
      <c r="A57" s="45"/>
      <c r="B57" s="46"/>
      <c r="C57" s="48"/>
      <c r="D57" s="83"/>
      <c r="E57" s="83"/>
      <c r="F57" s="83"/>
      <c r="G57" s="83"/>
      <c r="H57" s="83"/>
      <c r="I57" s="83"/>
      <c r="J57" s="83"/>
      <c r="K57" s="83"/>
      <c r="L57" s="48"/>
      <c r="M57" s="48"/>
      <c r="N57" s="48"/>
      <c r="O57" s="48"/>
      <c r="P57" s="48"/>
      <c r="Q57" s="48"/>
      <c r="R57" s="48"/>
      <c r="S57" s="48"/>
      <c r="T57" s="48"/>
      <c r="U57" s="48"/>
      <c r="V57" s="48"/>
      <c r="W57" s="48"/>
      <c r="X57" s="48"/>
      <c r="Y57" s="48"/>
      <c r="Z57" s="48"/>
      <c r="AB57" s="421"/>
    </row>
    <row r="58" spans="1:28" ht="15.75" thickBot="1">
      <c r="A58" s="41" t="s">
        <v>21</v>
      </c>
      <c r="B58" s="42" t="s">
        <v>139</v>
      </c>
      <c r="C58" s="50">
        <v>0</v>
      </c>
      <c r="D58" s="73">
        <v>0.33333333333333331</v>
      </c>
      <c r="E58" s="73">
        <v>0.66666666666666663</v>
      </c>
      <c r="F58" s="73">
        <v>1</v>
      </c>
      <c r="G58" s="73">
        <v>1.3333333333333333</v>
      </c>
      <c r="H58" s="73">
        <v>1.6666666666666665</v>
      </c>
      <c r="I58" s="74">
        <v>2</v>
      </c>
      <c r="J58" s="73">
        <v>2.1666666666666665</v>
      </c>
      <c r="K58" s="73">
        <v>2.333333333333333</v>
      </c>
      <c r="L58" s="51">
        <v>2.4999999999999996</v>
      </c>
      <c r="M58" s="51">
        <v>2.6666666666666661</v>
      </c>
      <c r="N58" s="50">
        <v>3</v>
      </c>
      <c r="O58" s="51">
        <v>3.5</v>
      </c>
      <c r="P58" s="51">
        <v>4</v>
      </c>
      <c r="Q58" s="51">
        <v>4.5</v>
      </c>
      <c r="R58" s="50">
        <v>5</v>
      </c>
      <c r="S58" s="51">
        <v>5.333333333333333</v>
      </c>
      <c r="T58" s="51">
        <v>5.6666666666666661</v>
      </c>
      <c r="U58" s="51">
        <v>5.9999999999999991</v>
      </c>
      <c r="V58" s="51">
        <v>6.3333333333333321</v>
      </c>
      <c r="W58" s="51">
        <v>9.1666666666666661</v>
      </c>
      <c r="X58" s="51">
        <v>10</v>
      </c>
      <c r="Y58" s="50">
        <v>10</v>
      </c>
      <c r="Z58" s="51">
        <v>10</v>
      </c>
      <c r="AA58" s="38">
        <v>10</v>
      </c>
      <c r="AB58" s="420">
        <v>0.4</v>
      </c>
    </row>
    <row r="59" spans="1:28" s="49" customFormat="1" ht="15.75" thickBot="1">
      <c r="A59" s="45"/>
      <c r="B59" s="46" t="s">
        <v>140</v>
      </c>
      <c r="C59" s="71">
        <v>0</v>
      </c>
      <c r="D59" s="441">
        <v>0</v>
      </c>
      <c r="E59" s="442">
        <v>0</v>
      </c>
      <c r="F59" s="442">
        <v>0</v>
      </c>
      <c r="G59" s="442">
        <v>0</v>
      </c>
      <c r="H59" s="442">
        <v>0</v>
      </c>
      <c r="I59" s="442">
        <v>0</v>
      </c>
      <c r="J59" s="442">
        <v>0</v>
      </c>
      <c r="K59" s="442">
        <v>0</v>
      </c>
      <c r="L59" s="442">
        <v>8</v>
      </c>
      <c r="M59" s="442">
        <v>13</v>
      </c>
      <c r="N59" s="443">
        <v>4</v>
      </c>
      <c r="O59" s="444">
        <v>6</v>
      </c>
      <c r="P59" s="444">
        <v>8</v>
      </c>
      <c r="Q59" s="444">
        <v>9</v>
      </c>
      <c r="R59" s="442">
        <v>8</v>
      </c>
      <c r="S59" s="442">
        <v>9</v>
      </c>
      <c r="T59" s="442">
        <v>11</v>
      </c>
      <c r="U59" s="442">
        <v>17</v>
      </c>
      <c r="V59" s="445">
        <v>9</v>
      </c>
      <c r="W59" s="72">
        <v>9</v>
      </c>
      <c r="X59" s="70">
        <v>10</v>
      </c>
      <c r="Y59" s="70">
        <v>0</v>
      </c>
      <c r="Z59" s="70">
        <v>0</v>
      </c>
      <c r="AB59" s="421"/>
    </row>
    <row r="60" spans="1:28" s="49" customFormat="1">
      <c r="A60" s="45"/>
      <c r="B60" s="46"/>
      <c r="C60" s="53"/>
      <c r="D60" s="83"/>
      <c r="E60" s="83"/>
      <c r="F60" s="83"/>
      <c r="G60" s="83"/>
      <c r="H60" s="83"/>
      <c r="I60" s="83"/>
      <c r="J60" s="83"/>
      <c r="K60" s="83"/>
      <c r="L60" s="53"/>
      <c r="M60" s="53"/>
      <c r="N60" s="53"/>
      <c r="O60" s="53"/>
      <c r="P60" s="53"/>
      <c r="Q60" s="53"/>
      <c r="R60" s="53"/>
      <c r="S60" s="53"/>
      <c r="T60" s="53"/>
      <c r="U60" s="53"/>
      <c r="V60" s="53"/>
      <c r="W60" s="53"/>
      <c r="X60" s="53"/>
      <c r="Y60" s="53"/>
      <c r="Z60" s="53"/>
      <c r="AB60" s="421"/>
    </row>
    <row r="61" spans="1:28" ht="15.75" thickBot="1">
      <c r="A61" s="41" t="s">
        <v>166</v>
      </c>
      <c r="B61" s="42" t="s">
        <v>202</v>
      </c>
      <c r="C61" s="50">
        <v>0</v>
      </c>
      <c r="D61" s="73">
        <v>0.66666666666666663</v>
      </c>
      <c r="E61" s="73">
        <v>1.3333333333333333</v>
      </c>
      <c r="F61" s="73">
        <v>2</v>
      </c>
      <c r="G61" s="73">
        <v>2.6666666666666665</v>
      </c>
      <c r="H61" s="73">
        <v>3.333333333333333</v>
      </c>
      <c r="I61" s="74">
        <v>4</v>
      </c>
      <c r="J61" s="73">
        <v>4.666666666666667</v>
      </c>
      <c r="K61" s="73">
        <v>5.3333333333333339</v>
      </c>
      <c r="L61" s="51">
        <v>6.0000000000000009</v>
      </c>
      <c r="M61" s="51">
        <v>6.6666666666666679</v>
      </c>
      <c r="N61" s="50">
        <v>8</v>
      </c>
      <c r="O61" s="51">
        <v>8.25</v>
      </c>
      <c r="P61" s="51">
        <v>8.5</v>
      </c>
      <c r="Q61" s="51">
        <v>8.75</v>
      </c>
      <c r="R61" s="50">
        <v>9</v>
      </c>
      <c r="S61" s="51">
        <v>9.5</v>
      </c>
      <c r="T61" s="51">
        <v>10</v>
      </c>
      <c r="U61" s="51">
        <v>10.5</v>
      </c>
      <c r="V61" s="51">
        <v>11</v>
      </c>
      <c r="W61" s="51">
        <v>11.5</v>
      </c>
      <c r="X61" s="51">
        <v>12</v>
      </c>
      <c r="Y61" s="50">
        <v>12</v>
      </c>
      <c r="Z61" s="51">
        <v>12</v>
      </c>
      <c r="AA61" s="38">
        <v>20</v>
      </c>
      <c r="AB61" s="420">
        <v>0.8</v>
      </c>
    </row>
    <row r="62" spans="1:28" s="49" customFormat="1" ht="15.75" thickBot="1">
      <c r="A62" s="45"/>
      <c r="B62" s="46" t="s">
        <v>203</v>
      </c>
      <c r="C62" s="71">
        <v>0</v>
      </c>
      <c r="D62" s="441">
        <v>0</v>
      </c>
      <c r="E62" s="442">
        <v>0</v>
      </c>
      <c r="F62" s="442">
        <v>0</v>
      </c>
      <c r="G62" s="442">
        <v>0</v>
      </c>
      <c r="H62" s="442">
        <v>0</v>
      </c>
      <c r="I62" s="442">
        <v>3</v>
      </c>
      <c r="J62" s="442">
        <v>3</v>
      </c>
      <c r="K62" s="442">
        <v>3</v>
      </c>
      <c r="L62" s="442">
        <v>1</v>
      </c>
      <c r="M62" s="442">
        <v>4</v>
      </c>
      <c r="N62" s="443">
        <v>6</v>
      </c>
      <c r="O62" s="444">
        <v>8</v>
      </c>
      <c r="P62" s="444">
        <v>9</v>
      </c>
      <c r="Q62" s="444">
        <v>10</v>
      </c>
      <c r="R62" s="442">
        <v>13</v>
      </c>
      <c r="S62" s="442">
        <v>13</v>
      </c>
      <c r="T62" s="442">
        <v>15</v>
      </c>
      <c r="U62" s="442">
        <v>19</v>
      </c>
      <c r="V62" s="445">
        <v>9</v>
      </c>
      <c r="W62" s="72">
        <v>9</v>
      </c>
      <c r="X62" s="70">
        <v>13</v>
      </c>
      <c r="Y62" s="70">
        <v>0</v>
      </c>
      <c r="Z62" s="70">
        <v>0</v>
      </c>
      <c r="AB62" s="421"/>
    </row>
    <row r="63" spans="1:28" s="49" customFormat="1">
      <c r="A63" s="45"/>
      <c r="B63" s="46"/>
      <c r="C63" s="53"/>
      <c r="D63" s="427"/>
      <c r="E63" s="427"/>
      <c r="F63" s="427"/>
      <c r="G63" s="75"/>
      <c r="H63" s="75"/>
      <c r="I63" s="75"/>
      <c r="J63" s="75"/>
      <c r="K63" s="75"/>
      <c r="L63" s="53"/>
      <c r="M63" s="53"/>
      <c r="N63" s="53"/>
      <c r="O63" s="53"/>
      <c r="P63" s="53"/>
      <c r="Q63" s="53"/>
      <c r="R63" s="53"/>
      <c r="S63" s="53"/>
      <c r="T63" s="53"/>
      <c r="U63" s="53"/>
      <c r="V63" s="53"/>
      <c r="W63" s="53"/>
      <c r="X63" s="53"/>
      <c r="Y63" s="53"/>
      <c r="Z63" s="53"/>
      <c r="AB63" s="421"/>
    </row>
    <row r="64" spans="1:28" ht="15.75" thickBot="1">
      <c r="A64" s="41" t="s">
        <v>167</v>
      </c>
      <c r="B64" s="42" t="s">
        <v>213</v>
      </c>
      <c r="C64" s="50">
        <v>0</v>
      </c>
      <c r="D64" s="73">
        <v>0.33333333333333331</v>
      </c>
      <c r="E64" s="73">
        <v>0.66666666666666663</v>
      </c>
      <c r="F64" s="73">
        <v>1</v>
      </c>
      <c r="G64" s="73">
        <v>1.3333333333333333</v>
      </c>
      <c r="H64" s="73">
        <v>1.6666666666666665</v>
      </c>
      <c r="I64" s="74">
        <v>2</v>
      </c>
      <c r="J64" s="73">
        <v>2.3333333333333335</v>
      </c>
      <c r="K64" s="73">
        <v>2.666666666666667</v>
      </c>
      <c r="L64" s="51">
        <v>3.0000000000000004</v>
      </c>
      <c r="M64" s="51">
        <v>3.3333333333333339</v>
      </c>
      <c r="N64" s="50">
        <v>4</v>
      </c>
      <c r="O64" s="51">
        <v>4.25</v>
      </c>
      <c r="P64" s="51">
        <v>4.5</v>
      </c>
      <c r="Q64" s="51">
        <v>4.75</v>
      </c>
      <c r="R64" s="50">
        <v>5</v>
      </c>
      <c r="S64" s="51">
        <v>5.5</v>
      </c>
      <c r="T64" s="51">
        <v>6</v>
      </c>
      <c r="U64" s="51">
        <v>6.5</v>
      </c>
      <c r="V64" s="51">
        <v>7</v>
      </c>
      <c r="W64" s="51">
        <v>9.1666666666666661</v>
      </c>
      <c r="X64" s="51">
        <v>10</v>
      </c>
      <c r="Y64" s="50">
        <v>10</v>
      </c>
      <c r="Z64" s="51">
        <v>10</v>
      </c>
      <c r="AA64" s="38">
        <v>20</v>
      </c>
      <c r="AB64" s="420">
        <v>0.8</v>
      </c>
    </row>
    <row r="65" spans="1:28" s="49" customFormat="1" ht="15.75" thickBot="1">
      <c r="A65" s="45"/>
      <c r="B65" s="46" t="s">
        <v>212</v>
      </c>
      <c r="C65" s="71">
        <v>0</v>
      </c>
      <c r="D65" s="441">
        <v>0</v>
      </c>
      <c r="E65" s="442">
        <v>0</v>
      </c>
      <c r="F65" s="442">
        <v>0</v>
      </c>
      <c r="G65" s="442">
        <v>0</v>
      </c>
      <c r="H65" s="442">
        <v>0</v>
      </c>
      <c r="I65" s="442">
        <v>2</v>
      </c>
      <c r="J65" s="442">
        <v>2</v>
      </c>
      <c r="K65" s="442">
        <v>3</v>
      </c>
      <c r="L65" s="442">
        <v>1</v>
      </c>
      <c r="M65" s="442">
        <v>4</v>
      </c>
      <c r="N65" s="443">
        <v>3</v>
      </c>
      <c r="O65" s="444">
        <v>5</v>
      </c>
      <c r="P65" s="444">
        <v>6</v>
      </c>
      <c r="Q65" s="444">
        <v>7</v>
      </c>
      <c r="R65" s="442">
        <v>12</v>
      </c>
      <c r="S65" s="442">
        <v>12</v>
      </c>
      <c r="T65" s="442">
        <v>14</v>
      </c>
      <c r="U65" s="442">
        <v>15</v>
      </c>
      <c r="V65" s="445">
        <v>9</v>
      </c>
      <c r="W65" s="72">
        <v>9</v>
      </c>
      <c r="X65" s="70">
        <v>13</v>
      </c>
      <c r="Y65" s="70">
        <v>0</v>
      </c>
      <c r="Z65" s="70">
        <v>0</v>
      </c>
      <c r="AB65" s="421"/>
    </row>
    <row r="66" spans="1:28" s="49" customFormat="1">
      <c r="A66" s="45"/>
      <c r="B66" s="46"/>
      <c r="C66" s="53"/>
      <c r="D66" s="427"/>
      <c r="E66" s="427"/>
      <c r="F66" s="427"/>
      <c r="G66" s="75"/>
      <c r="H66" s="75"/>
      <c r="I66" s="75"/>
      <c r="J66" s="75"/>
      <c r="K66" s="75"/>
      <c r="L66" s="53"/>
      <c r="M66" s="53"/>
      <c r="N66" s="53"/>
      <c r="O66" s="53"/>
      <c r="P66" s="53"/>
      <c r="Q66" s="53"/>
      <c r="R66" s="53"/>
      <c r="S66" s="53"/>
      <c r="T66" s="53"/>
      <c r="U66" s="53"/>
      <c r="V66" s="53"/>
      <c r="W66" s="53"/>
      <c r="X66" s="53"/>
      <c r="Y66" s="53"/>
      <c r="Z66" s="53"/>
      <c r="AB66" s="421"/>
    </row>
    <row r="67" spans="1:28" ht="15.75" thickBot="1">
      <c r="A67" s="41" t="s">
        <v>168</v>
      </c>
      <c r="B67" s="42" t="s">
        <v>211</v>
      </c>
      <c r="C67" s="50">
        <v>0</v>
      </c>
      <c r="D67" s="73">
        <v>0.33333333333333331</v>
      </c>
      <c r="E67" s="73">
        <v>0.66666666666666663</v>
      </c>
      <c r="F67" s="73">
        <v>1</v>
      </c>
      <c r="G67" s="73">
        <v>1.3333333333333333</v>
      </c>
      <c r="H67" s="73">
        <v>1.6666666666666665</v>
      </c>
      <c r="I67" s="74">
        <v>2</v>
      </c>
      <c r="J67" s="73">
        <v>2.3333333333333335</v>
      </c>
      <c r="K67" s="73">
        <v>2.666666666666667</v>
      </c>
      <c r="L67" s="51">
        <v>3.0000000000000004</v>
      </c>
      <c r="M67" s="51">
        <v>3.3333333333333339</v>
      </c>
      <c r="N67" s="50">
        <v>4</v>
      </c>
      <c r="O67" s="51">
        <v>4.25</v>
      </c>
      <c r="P67" s="51">
        <v>4.5</v>
      </c>
      <c r="Q67" s="51">
        <v>4.75</v>
      </c>
      <c r="R67" s="50">
        <v>5</v>
      </c>
      <c r="S67" s="51">
        <v>5.5</v>
      </c>
      <c r="T67" s="51">
        <v>6</v>
      </c>
      <c r="U67" s="51">
        <v>6.5</v>
      </c>
      <c r="V67" s="51">
        <v>7</v>
      </c>
      <c r="W67" s="51">
        <v>7.5</v>
      </c>
      <c r="X67" s="51">
        <v>8</v>
      </c>
      <c r="Y67" s="50">
        <v>8</v>
      </c>
      <c r="Z67" s="51">
        <v>8</v>
      </c>
      <c r="AA67" s="38">
        <v>20</v>
      </c>
      <c r="AB67" s="420">
        <v>0.8</v>
      </c>
    </row>
    <row r="68" spans="1:28" s="49" customFormat="1" ht="15.75" thickBot="1">
      <c r="A68" s="45"/>
      <c r="B68" s="46" t="s">
        <v>210</v>
      </c>
      <c r="C68" s="71">
        <v>0</v>
      </c>
      <c r="D68" s="441">
        <v>0</v>
      </c>
      <c r="E68" s="442">
        <v>0</v>
      </c>
      <c r="F68" s="442">
        <v>0</v>
      </c>
      <c r="G68" s="442">
        <v>0</v>
      </c>
      <c r="H68" s="442">
        <v>0</v>
      </c>
      <c r="I68" s="442">
        <v>2</v>
      </c>
      <c r="J68" s="442">
        <v>2</v>
      </c>
      <c r="K68" s="442">
        <v>3</v>
      </c>
      <c r="L68" s="442">
        <v>0</v>
      </c>
      <c r="M68" s="442">
        <v>1</v>
      </c>
      <c r="N68" s="443">
        <v>3</v>
      </c>
      <c r="O68" s="444">
        <v>5</v>
      </c>
      <c r="P68" s="444">
        <v>6</v>
      </c>
      <c r="Q68" s="444">
        <v>7</v>
      </c>
      <c r="R68" s="442">
        <v>9</v>
      </c>
      <c r="S68" s="442">
        <v>9</v>
      </c>
      <c r="T68" s="442">
        <v>11</v>
      </c>
      <c r="U68" s="442">
        <v>14</v>
      </c>
      <c r="V68" s="445">
        <v>8</v>
      </c>
      <c r="W68" s="72">
        <v>7</v>
      </c>
      <c r="X68" s="70">
        <v>12</v>
      </c>
      <c r="Y68" s="70">
        <v>0</v>
      </c>
      <c r="Z68" s="70">
        <v>0</v>
      </c>
      <c r="AB68" s="421"/>
    </row>
    <row r="69" spans="1:28" s="49" customFormat="1">
      <c r="A69" s="45"/>
      <c r="B69" s="46"/>
      <c r="C69" s="53"/>
      <c r="D69" s="427"/>
      <c r="E69" s="427"/>
      <c r="F69" s="427"/>
      <c r="G69" s="75"/>
      <c r="H69" s="75"/>
      <c r="I69" s="75"/>
      <c r="J69" s="75"/>
      <c r="K69" s="75"/>
      <c r="L69" s="53"/>
      <c r="M69" s="53"/>
      <c r="N69" s="53"/>
      <c r="O69" s="53"/>
      <c r="P69" s="53"/>
      <c r="Q69" s="53"/>
      <c r="R69" s="53"/>
      <c r="S69" s="53"/>
      <c r="T69" s="53"/>
      <c r="U69" s="53"/>
      <c r="V69" s="53"/>
      <c r="W69" s="53"/>
      <c r="X69" s="53"/>
      <c r="Y69" s="53"/>
      <c r="Z69" s="53"/>
      <c r="AB69" s="421"/>
    </row>
    <row r="70" spans="1:28" ht="15.75" thickBot="1">
      <c r="A70" s="41" t="s">
        <v>169</v>
      </c>
      <c r="B70" s="42" t="s">
        <v>209</v>
      </c>
      <c r="C70" s="50">
        <v>0</v>
      </c>
      <c r="D70" s="73">
        <v>0.16666666666666666</v>
      </c>
      <c r="E70" s="73">
        <v>0.33333333333333331</v>
      </c>
      <c r="F70" s="73">
        <v>0.5</v>
      </c>
      <c r="G70" s="73">
        <v>0.66666666666666663</v>
      </c>
      <c r="H70" s="73">
        <v>0.83333333333333326</v>
      </c>
      <c r="I70" s="74">
        <v>1</v>
      </c>
      <c r="J70" s="73">
        <v>1</v>
      </c>
      <c r="K70" s="73">
        <v>1</v>
      </c>
      <c r="L70" s="51">
        <v>1</v>
      </c>
      <c r="M70" s="51">
        <v>1</v>
      </c>
      <c r="N70" s="50">
        <v>1</v>
      </c>
      <c r="O70" s="51">
        <v>1.5</v>
      </c>
      <c r="P70" s="51">
        <v>2</v>
      </c>
      <c r="Q70" s="51">
        <v>2.5</v>
      </c>
      <c r="R70" s="50">
        <v>3</v>
      </c>
      <c r="S70" s="51">
        <v>3.3333333333333335</v>
      </c>
      <c r="T70" s="51">
        <v>3.666666666666667</v>
      </c>
      <c r="U70" s="51">
        <v>4</v>
      </c>
      <c r="V70" s="51">
        <v>4.333333333333333</v>
      </c>
      <c r="W70" s="51">
        <v>4.6666666666666661</v>
      </c>
      <c r="X70" s="51">
        <v>4.9999999999999991</v>
      </c>
      <c r="Y70" s="50">
        <v>5</v>
      </c>
      <c r="Z70" s="51">
        <v>5</v>
      </c>
      <c r="AA70" s="38">
        <v>20</v>
      </c>
      <c r="AB70" s="420">
        <v>0.8</v>
      </c>
    </row>
    <row r="71" spans="1:28" s="49" customFormat="1" ht="15.75" thickBot="1">
      <c r="A71" s="45"/>
      <c r="B71" s="46" t="s">
        <v>208</v>
      </c>
      <c r="C71" s="71">
        <v>0</v>
      </c>
      <c r="D71" s="441">
        <v>0</v>
      </c>
      <c r="E71" s="442">
        <v>0</v>
      </c>
      <c r="F71" s="442">
        <v>0</v>
      </c>
      <c r="G71" s="442">
        <v>0</v>
      </c>
      <c r="H71" s="442">
        <v>0</v>
      </c>
      <c r="I71" s="442">
        <v>1</v>
      </c>
      <c r="J71" s="442">
        <v>1</v>
      </c>
      <c r="K71" s="442">
        <v>1</v>
      </c>
      <c r="L71" s="442">
        <v>0</v>
      </c>
      <c r="M71" s="442">
        <v>4</v>
      </c>
      <c r="N71" s="443">
        <v>0</v>
      </c>
      <c r="O71" s="444">
        <v>1</v>
      </c>
      <c r="P71" s="444">
        <v>1</v>
      </c>
      <c r="Q71" s="444">
        <v>1</v>
      </c>
      <c r="R71" s="442">
        <v>6</v>
      </c>
      <c r="S71" s="442">
        <v>6</v>
      </c>
      <c r="T71" s="442">
        <v>7</v>
      </c>
      <c r="U71" s="442">
        <v>9</v>
      </c>
      <c r="V71" s="445">
        <v>1</v>
      </c>
      <c r="W71" s="72">
        <v>1</v>
      </c>
      <c r="X71" s="70">
        <v>3</v>
      </c>
      <c r="Y71" s="70">
        <v>0</v>
      </c>
      <c r="Z71" s="70">
        <v>0</v>
      </c>
      <c r="AB71" s="421"/>
    </row>
    <row r="72" spans="1:28" s="49" customFormat="1">
      <c r="A72" s="45"/>
      <c r="B72" s="46"/>
      <c r="C72" s="53"/>
      <c r="D72" s="427"/>
      <c r="E72" s="427"/>
      <c r="F72" s="427"/>
      <c r="G72" s="75"/>
      <c r="H72" s="75"/>
      <c r="I72" s="75"/>
      <c r="J72" s="75"/>
      <c r="K72" s="75"/>
      <c r="L72" s="53"/>
      <c r="M72" s="53"/>
      <c r="N72" s="53"/>
      <c r="O72" s="53"/>
      <c r="P72" s="53"/>
      <c r="Q72" s="53"/>
      <c r="R72" s="53"/>
      <c r="S72" s="53"/>
      <c r="T72" s="53"/>
      <c r="U72" s="53"/>
      <c r="V72" s="53"/>
      <c r="W72" s="53"/>
      <c r="X72" s="53"/>
      <c r="Y72" s="53"/>
      <c r="Z72" s="53"/>
      <c r="AB72" s="421"/>
    </row>
    <row r="73" spans="1:28" ht="15.75" thickBot="1">
      <c r="A73" s="41" t="s">
        <v>162</v>
      </c>
      <c r="B73" s="42" t="s">
        <v>202</v>
      </c>
      <c r="C73" s="50">
        <v>0</v>
      </c>
      <c r="D73" s="73">
        <v>0.33333333333333331</v>
      </c>
      <c r="E73" s="73">
        <v>0.66666666666666663</v>
      </c>
      <c r="F73" s="73">
        <v>1</v>
      </c>
      <c r="G73" s="73">
        <v>1.3333333333333333</v>
      </c>
      <c r="H73" s="73">
        <v>1.6666666666666665</v>
      </c>
      <c r="I73" s="74">
        <v>2</v>
      </c>
      <c r="J73" s="73">
        <v>2.5</v>
      </c>
      <c r="K73" s="73">
        <v>3</v>
      </c>
      <c r="L73" s="51">
        <v>3.5</v>
      </c>
      <c r="M73" s="51">
        <v>4</v>
      </c>
      <c r="N73" s="50">
        <v>5</v>
      </c>
      <c r="O73" s="51">
        <v>5.5</v>
      </c>
      <c r="P73" s="51">
        <v>6</v>
      </c>
      <c r="Q73" s="51">
        <v>6.5</v>
      </c>
      <c r="R73" s="50">
        <v>7</v>
      </c>
      <c r="S73" s="51">
        <v>7.166666666666667</v>
      </c>
      <c r="T73" s="51">
        <v>7.3333333333333339</v>
      </c>
      <c r="U73" s="51">
        <v>7.5000000000000009</v>
      </c>
      <c r="V73" s="51">
        <v>7.6666666666666679</v>
      </c>
      <c r="W73" s="51">
        <v>9.5</v>
      </c>
      <c r="X73" s="51">
        <v>10</v>
      </c>
      <c r="Y73" s="50">
        <v>10</v>
      </c>
      <c r="Z73" s="51">
        <v>10</v>
      </c>
      <c r="AA73" s="38">
        <v>20</v>
      </c>
      <c r="AB73" s="420">
        <v>0.8</v>
      </c>
    </row>
    <row r="74" spans="1:28" s="49" customFormat="1" ht="15.75" thickBot="1">
      <c r="A74" s="45"/>
      <c r="B74" s="46" t="s">
        <v>203</v>
      </c>
      <c r="C74" s="71">
        <v>0</v>
      </c>
      <c r="D74" s="441">
        <v>0</v>
      </c>
      <c r="E74" s="442">
        <v>0</v>
      </c>
      <c r="F74" s="442">
        <v>0</v>
      </c>
      <c r="G74" s="442">
        <v>0</v>
      </c>
      <c r="H74" s="442">
        <v>0</v>
      </c>
      <c r="I74" s="442">
        <v>0</v>
      </c>
      <c r="J74" s="442">
        <v>0</v>
      </c>
      <c r="K74" s="442">
        <v>0</v>
      </c>
      <c r="L74" s="442">
        <v>2</v>
      </c>
      <c r="M74" s="442">
        <v>2</v>
      </c>
      <c r="N74" s="443">
        <v>3</v>
      </c>
      <c r="O74" s="444">
        <v>5</v>
      </c>
      <c r="P74" s="444">
        <v>6</v>
      </c>
      <c r="Q74" s="444">
        <v>8</v>
      </c>
      <c r="R74" s="442">
        <v>6</v>
      </c>
      <c r="S74" s="442">
        <v>12</v>
      </c>
      <c r="T74" s="442">
        <v>15</v>
      </c>
      <c r="U74" s="442">
        <v>16</v>
      </c>
      <c r="V74" s="445">
        <v>10</v>
      </c>
      <c r="W74" s="72">
        <v>10</v>
      </c>
      <c r="X74" s="70">
        <v>10</v>
      </c>
      <c r="Y74" s="70">
        <v>0</v>
      </c>
      <c r="Z74" s="70">
        <v>0</v>
      </c>
      <c r="AB74" s="421"/>
    </row>
    <row r="75" spans="1:28" s="49" customFormat="1">
      <c r="A75" s="45"/>
      <c r="B75" s="46"/>
      <c r="C75" s="53"/>
      <c r="D75" s="428"/>
      <c r="E75" s="428"/>
      <c r="F75" s="428"/>
      <c r="G75" s="53"/>
      <c r="H75" s="53"/>
      <c r="I75" s="53"/>
      <c r="J75" s="53"/>
      <c r="K75" s="53"/>
      <c r="L75" s="53"/>
      <c r="M75" s="53"/>
      <c r="N75" s="53"/>
      <c r="O75" s="53"/>
      <c r="P75" s="53"/>
      <c r="Q75" s="53"/>
      <c r="R75" s="53"/>
      <c r="S75" s="53"/>
      <c r="T75" s="53"/>
      <c r="U75" s="53"/>
      <c r="V75" s="53"/>
      <c r="W75" s="53"/>
      <c r="X75" s="53"/>
      <c r="Y75" s="53"/>
      <c r="Z75" s="53"/>
      <c r="AB75" s="421"/>
    </row>
    <row r="76" spans="1:28" ht="15.75" thickBot="1">
      <c r="A76" s="41" t="s">
        <v>163</v>
      </c>
      <c r="B76" s="42" t="s">
        <v>213</v>
      </c>
      <c r="C76" s="50">
        <v>0</v>
      </c>
      <c r="D76" s="73">
        <v>0.33333333333333331</v>
      </c>
      <c r="E76" s="73">
        <v>0.66666666666666663</v>
      </c>
      <c r="F76" s="73">
        <v>1</v>
      </c>
      <c r="G76" s="73">
        <v>1.3333333333333333</v>
      </c>
      <c r="H76" s="73">
        <v>1.6666666666666665</v>
      </c>
      <c r="I76" s="74">
        <v>2</v>
      </c>
      <c r="J76" s="73">
        <v>2.5</v>
      </c>
      <c r="K76" s="73">
        <v>3</v>
      </c>
      <c r="L76" s="51">
        <v>3.5</v>
      </c>
      <c r="M76" s="51">
        <v>4</v>
      </c>
      <c r="N76" s="50">
        <v>5</v>
      </c>
      <c r="O76" s="51">
        <v>5.5</v>
      </c>
      <c r="P76" s="51">
        <v>6</v>
      </c>
      <c r="Q76" s="51">
        <v>6.5</v>
      </c>
      <c r="R76" s="50">
        <v>7</v>
      </c>
      <c r="S76" s="51">
        <v>7.166666666666667</v>
      </c>
      <c r="T76" s="51">
        <v>7.3333333333333339</v>
      </c>
      <c r="U76" s="51">
        <v>7.5000000000000009</v>
      </c>
      <c r="V76" s="51">
        <v>7.6666666666666679</v>
      </c>
      <c r="W76" s="51">
        <v>8.6666666666666661</v>
      </c>
      <c r="X76" s="51">
        <v>9</v>
      </c>
      <c r="Y76" s="50">
        <v>9</v>
      </c>
      <c r="Z76" s="51">
        <v>9</v>
      </c>
      <c r="AA76" s="38">
        <v>20</v>
      </c>
      <c r="AB76" s="420">
        <v>0.8</v>
      </c>
    </row>
    <row r="77" spans="1:28" s="49" customFormat="1" ht="15.75" thickBot="1">
      <c r="A77" s="45"/>
      <c r="B77" s="46" t="s">
        <v>212</v>
      </c>
      <c r="C77" s="71">
        <v>0</v>
      </c>
      <c r="D77" s="441">
        <v>0</v>
      </c>
      <c r="E77" s="442">
        <v>0</v>
      </c>
      <c r="F77" s="442">
        <v>0</v>
      </c>
      <c r="G77" s="442">
        <v>0</v>
      </c>
      <c r="H77" s="442">
        <v>0</v>
      </c>
      <c r="I77" s="442">
        <v>0</v>
      </c>
      <c r="J77" s="442">
        <v>0</v>
      </c>
      <c r="K77" s="442">
        <v>0</v>
      </c>
      <c r="L77" s="442">
        <v>0</v>
      </c>
      <c r="M77" s="442">
        <v>2</v>
      </c>
      <c r="N77" s="443">
        <v>3</v>
      </c>
      <c r="O77" s="444">
        <v>4</v>
      </c>
      <c r="P77" s="444">
        <v>5</v>
      </c>
      <c r="Q77" s="444">
        <v>7</v>
      </c>
      <c r="R77" s="442">
        <v>6</v>
      </c>
      <c r="S77" s="442">
        <v>12</v>
      </c>
      <c r="T77" s="442">
        <v>13</v>
      </c>
      <c r="U77" s="442">
        <v>16</v>
      </c>
      <c r="V77" s="445">
        <v>6</v>
      </c>
      <c r="W77" s="72">
        <v>9</v>
      </c>
      <c r="X77" s="70">
        <v>10</v>
      </c>
      <c r="Y77" s="70">
        <v>0</v>
      </c>
      <c r="Z77" s="70">
        <v>0</v>
      </c>
      <c r="AB77" s="421"/>
    </row>
    <row r="78" spans="1:28" s="49" customFormat="1">
      <c r="A78" s="45"/>
      <c r="B78" s="46"/>
      <c r="C78" s="53"/>
      <c r="D78" s="428"/>
      <c r="E78" s="428"/>
      <c r="F78" s="428"/>
      <c r="G78" s="53"/>
      <c r="H78" s="53"/>
      <c r="I78" s="53"/>
      <c r="J78" s="53"/>
      <c r="K78" s="53"/>
      <c r="L78" s="53"/>
      <c r="M78" s="53"/>
      <c r="N78" s="53"/>
      <c r="O78" s="53"/>
      <c r="P78" s="53"/>
      <c r="Q78" s="53"/>
      <c r="R78" s="53"/>
      <c r="S78" s="53"/>
      <c r="T78" s="53"/>
      <c r="U78" s="53"/>
      <c r="V78" s="53"/>
      <c r="W78" s="53"/>
      <c r="X78" s="53"/>
      <c r="Y78" s="53"/>
      <c r="Z78" s="53"/>
      <c r="AB78" s="421"/>
    </row>
    <row r="79" spans="1:28" ht="15.75" thickBot="1">
      <c r="A79" s="41" t="s">
        <v>164</v>
      </c>
      <c r="B79" s="42" t="s">
        <v>211</v>
      </c>
      <c r="C79" s="50">
        <v>0</v>
      </c>
      <c r="D79" s="73">
        <v>0.33333333333333331</v>
      </c>
      <c r="E79" s="73">
        <v>0.66666666666666663</v>
      </c>
      <c r="F79" s="73">
        <v>1</v>
      </c>
      <c r="G79" s="73">
        <v>1.3333333333333333</v>
      </c>
      <c r="H79" s="73">
        <v>1.6666666666666665</v>
      </c>
      <c r="I79" s="74">
        <v>2</v>
      </c>
      <c r="J79" s="73">
        <v>2.1666666666666665</v>
      </c>
      <c r="K79" s="73">
        <v>2.333333333333333</v>
      </c>
      <c r="L79" s="51">
        <v>2.4999999999999996</v>
      </c>
      <c r="M79" s="51">
        <v>2.6666666666666661</v>
      </c>
      <c r="N79" s="50">
        <v>3</v>
      </c>
      <c r="O79" s="51">
        <v>3.5</v>
      </c>
      <c r="P79" s="51">
        <v>4</v>
      </c>
      <c r="Q79" s="51">
        <v>4.5</v>
      </c>
      <c r="R79" s="50">
        <v>5</v>
      </c>
      <c r="S79" s="51">
        <v>5.166666666666667</v>
      </c>
      <c r="T79" s="51">
        <v>5.3333333333333339</v>
      </c>
      <c r="U79" s="51">
        <v>5.5000000000000009</v>
      </c>
      <c r="V79" s="51">
        <v>5.6666666666666679</v>
      </c>
      <c r="W79" s="51">
        <v>5.8333333333333348</v>
      </c>
      <c r="X79" s="51">
        <v>6.0000000000000018</v>
      </c>
      <c r="Y79" s="50">
        <v>6</v>
      </c>
      <c r="Z79" s="51">
        <v>6</v>
      </c>
      <c r="AA79" s="38">
        <v>20</v>
      </c>
      <c r="AB79" s="420">
        <v>0.8</v>
      </c>
    </row>
    <row r="80" spans="1:28" s="49" customFormat="1" ht="15.75" thickBot="1">
      <c r="A80" s="45"/>
      <c r="B80" s="46" t="s">
        <v>210</v>
      </c>
      <c r="C80" s="71">
        <v>0</v>
      </c>
      <c r="D80" s="441">
        <v>0</v>
      </c>
      <c r="E80" s="442">
        <v>0</v>
      </c>
      <c r="F80" s="442">
        <v>0</v>
      </c>
      <c r="G80" s="442">
        <v>0</v>
      </c>
      <c r="H80" s="442">
        <v>0</v>
      </c>
      <c r="I80" s="442">
        <v>0</v>
      </c>
      <c r="J80" s="442">
        <v>0</v>
      </c>
      <c r="K80" s="442">
        <v>0</v>
      </c>
      <c r="L80" s="442">
        <v>0</v>
      </c>
      <c r="M80" s="442">
        <v>2</v>
      </c>
      <c r="N80" s="443">
        <v>3</v>
      </c>
      <c r="O80" s="444">
        <v>4</v>
      </c>
      <c r="P80" s="444">
        <v>5</v>
      </c>
      <c r="Q80" s="444">
        <v>8</v>
      </c>
      <c r="R80" s="442">
        <v>5</v>
      </c>
      <c r="S80" s="442">
        <v>13</v>
      </c>
      <c r="T80" s="442">
        <v>14</v>
      </c>
      <c r="U80" s="442">
        <v>17</v>
      </c>
      <c r="V80" s="445">
        <v>4</v>
      </c>
      <c r="W80" s="72">
        <v>6</v>
      </c>
      <c r="X80" s="70">
        <v>7</v>
      </c>
      <c r="Y80" s="70">
        <v>0</v>
      </c>
      <c r="Z80" s="70">
        <v>0</v>
      </c>
      <c r="AB80" s="421"/>
    </row>
    <row r="81" spans="1:28" s="49" customFormat="1">
      <c r="A81" s="45"/>
      <c r="B81" s="46"/>
      <c r="C81" s="53"/>
      <c r="D81" s="428"/>
      <c r="E81" s="428"/>
      <c r="F81" s="428"/>
      <c r="G81" s="53"/>
      <c r="H81" s="53"/>
      <c r="I81" s="53"/>
      <c r="J81" s="53"/>
      <c r="K81" s="53"/>
      <c r="L81" s="53"/>
      <c r="M81" s="53"/>
      <c r="N81" s="53"/>
      <c r="O81" s="53"/>
      <c r="P81" s="53"/>
      <c r="Q81" s="53"/>
      <c r="R81" s="53"/>
      <c r="S81" s="53"/>
      <c r="T81" s="53"/>
      <c r="U81" s="53"/>
      <c r="V81" s="53"/>
      <c r="W81" s="53"/>
      <c r="X81" s="53"/>
      <c r="Y81" s="53"/>
      <c r="Z81" s="53"/>
      <c r="AB81" s="421"/>
    </row>
    <row r="82" spans="1:28" ht="15.75" thickBot="1">
      <c r="A82" s="41" t="s">
        <v>165</v>
      </c>
      <c r="B82" s="42" t="s">
        <v>209</v>
      </c>
      <c r="C82" s="50">
        <v>0</v>
      </c>
      <c r="D82" s="73">
        <v>0.16666666666666666</v>
      </c>
      <c r="E82" s="73">
        <v>0.33333333333333331</v>
      </c>
      <c r="F82" s="73">
        <v>0.5</v>
      </c>
      <c r="G82" s="73">
        <v>0.66666666666666663</v>
      </c>
      <c r="H82" s="73">
        <v>0.83333333333333326</v>
      </c>
      <c r="I82" s="74">
        <v>1</v>
      </c>
      <c r="J82" s="73">
        <v>1</v>
      </c>
      <c r="K82" s="73">
        <v>1</v>
      </c>
      <c r="L82" s="51">
        <v>1</v>
      </c>
      <c r="M82" s="51">
        <v>1</v>
      </c>
      <c r="N82" s="50">
        <v>1</v>
      </c>
      <c r="O82" s="51">
        <v>1.25</v>
      </c>
      <c r="P82" s="51">
        <v>1.5</v>
      </c>
      <c r="Q82" s="51">
        <v>1.75</v>
      </c>
      <c r="R82" s="50">
        <v>2</v>
      </c>
      <c r="S82" s="51">
        <v>2.1666666666666665</v>
      </c>
      <c r="T82" s="51">
        <v>2.333333333333333</v>
      </c>
      <c r="U82" s="51">
        <v>2.4999999999999996</v>
      </c>
      <c r="V82" s="51">
        <v>2.6666666666666661</v>
      </c>
      <c r="W82" s="51">
        <v>2.8333333333333326</v>
      </c>
      <c r="X82" s="51">
        <v>2.9999999999999991</v>
      </c>
      <c r="Y82" s="50">
        <v>3</v>
      </c>
      <c r="Z82" s="51">
        <v>3</v>
      </c>
      <c r="AA82" s="38">
        <v>20</v>
      </c>
      <c r="AB82" s="420">
        <v>0.8</v>
      </c>
    </row>
    <row r="83" spans="1:28" s="49" customFormat="1" ht="15.75" thickBot="1">
      <c r="A83" s="45"/>
      <c r="B83" s="46" t="s">
        <v>208</v>
      </c>
      <c r="C83" s="71">
        <v>0</v>
      </c>
      <c r="D83" s="441">
        <v>0</v>
      </c>
      <c r="E83" s="442">
        <v>0</v>
      </c>
      <c r="F83" s="442">
        <v>0</v>
      </c>
      <c r="G83" s="442">
        <v>0</v>
      </c>
      <c r="H83" s="442">
        <v>0</v>
      </c>
      <c r="I83" s="442">
        <v>0</v>
      </c>
      <c r="J83" s="442">
        <v>0</v>
      </c>
      <c r="K83" s="442">
        <v>0</v>
      </c>
      <c r="L83" s="442">
        <v>0</v>
      </c>
      <c r="M83" s="442">
        <v>2</v>
      </c>
      <c r="N83" s="443">
        <v>0</v>
      </c>
      <c r="O83" s="444">
        <v>1</v>
      </c>
      <c r="P83" s="444">
        <v>3</v>
      </c>
      <c r="Q83" s="444">
        <v>6</v>
      </c>
      <c r="R83" s="442">
        <v>2</v>
      </c>
      <c r="S83" s="442">
        <v>8</v>
      </c>
      <c r="T83" s="442">
        <v>9</v>
      </c>
      <c r="U83" s="442">
        <v>9</v>
      </c>
      <c r="V83" s="445">
        <v>0</v>
      </c>
      <c r="W83" s="72">
        <v>1</v>
      </c>
      <c r="X83" s="70">
        <v>1</v>
      </c>
      <c r="Y83" s="70">
        <v>0</v>
      </c>
      <c r="Z83" s="70">
        <v>0</v>
      </c>
      <c r="AB83" s="421"/>
    </row>
    <row r="84" spans="1:28" s="49" customFormat="1">
      <c r="A84" s="45"/>
      <c r="B84" s="46"/>
      <c r="C84" s="53"/>
      <c r="D84" s="428"/>
      <c r="E84" s="428"/>
      <c r="F84" s="428"/>
      <c r="G84" s="53"/>
      <c r="H84" s="53"/>
      <c r="I84" s="53"/>
      <c r="J84" s="53"/>
      <c r="K84" s="53"/>
      <c r="L84" s="53"/>
      <c r="M84" s="53"/>
      <c r="N84" s="53"/>
      <c r="O84" s="53"/>
      <c r="P84" s="53"/>
      <c r="Q84" s="53"/>
      <c r="R84" s="53"/>
      <c r="S84" s="53"/>
      <c r="T84" s="53"/>
      <c r="U84" s="53"/>
      <c r="V84" s="53"/>
      <c r="W84" s="53"/>
      <c r="X84" s="53"/>
      <c r="Y84" s="53"/>
      <c r="Z84" s="53"/>
      <c r="AB84" s="421"/>
    </row>
    <row r="85" spans="1:28" ht="15.75" thickBot="1">
      <c r="A85" s="41" t="s">
        <v>160</v>
      </c>
      <c r="B85" s="42" t="s">
        <v>201</v>
      </c>
      <c r="C85" s="52"/>
      <c r="D85" s="52"/>
      <c r="E85" s="52"/>
      <c r="F85" s="52"/>
      <c r="G85" s="52"/>
      <c r="H85" s="52"/>
      <c r="I85" s="52"/>
      <c r="J85" s="52"/>
      <c r="K85" s="52"/>
      <c r="L85" s="52"/>
      <c r="M85" s="52"/>
      <c r="N85" s="50">
        <v>50</v>
      </c>
      <c r="O85" s="51">
        <v>55</v>
      </c>
      <c r="P85" s="51">
        <v>60</v>
      </c>
      <c r="Q85" s="51">
        <v>65</v>
      </c>
      <c r="R85" s="50">
        <v>70</v>
      </c>
      <c r="S85" s="51">
        <v>73.333333333333329</v>
      </c>
      <c r="T85" s="51">
        <v>76.666666666666657</v>
      </c>
      <c r="U85" s="51">
        <v>79.999999999999986</v>
      </c>
      <c r="V85" s="51">
        <v>83.333333333333314</v>
      </c>
      <c r="W85" s="51">
        <v>78.333333333333357</v>
      </c>
      <c r="X85" s="51">
        <v>80.000000000000028</v>
      </c>
      <c r="Y85" s="50">
        <v>80</v>
      </c>
      <c r="Z85" s="51">
        <v>80</v>
      </c>
      <c r="AA85" s="38">
        <v>100</v>
      </c>
      <c r="AB85" s="420">
        <v>4</v>
      </c>
    </row>
    <row r="86" spans="1:28" s="49" customFormat="1" ht="15.75" thickBot="1">
      <c r="A86" s="45"/>
      <c r="B86" s="46" t="s">
        <v>200</v>
      </c>
      <c r="C86" s="52"/>
      <c r="D86" s="52"/>
      <c r="E86" s="52"/>
      <c r="F86" s="52"/>
      <c r="G86" s="52"/>
      <c r="H86" s="52"/>
      <c r="I86" s="52"/>
      <c r="J86" s="52"/>
      <c r="K86" s="52"/>
      <c r="L86" s="52"/>
      <c r="M86" s="52"/>
      <c r="N86" s="52">
        <v>50</v>
      </c>
      <c r="O86" s="441">
        <v>49</v>
      </c>
      <c r="P86" s="444">
        <v>49</v>
      </c>
      <c r="Q86" s="444">
        <v>55</v>
      </c>
      <c r="R86" s="442">
        <v>66</v>
      </c>
      <c r="S86" s="442">
        <v>66</v>
      </c>
      <c r="T86" s="442">
        <v>66</v>
      </c>
      <c r="U86" s="442">
        <v>69</v>
      </c>
      <c r="V86" s="445">
        <v>73</v>
      </c>
      <c r="W86" s="72">
        <v>73.333333333333343</v>
      </c>
      <c r="X86" s="70">
        <v>80</v>
      </c>
      <c r="Y86" s="70">
        <v>0</v>
      </c>
      <c r="Z86" s="70">
        <v>0</v>
      </c>
      <c r="AB86" s="421"/>
    </row>
    <row r="87" spans="1:28" s="49" customFormat="1">
      <c r="A87" s="45"/>
      <c r="B87" s="46"/>
      <c r="C87" s="53"/>
      <c r="D87" s="428"/>
      <c r="E87" s="428"/>
      <c r="F87" s="428"/>
      <c r="G87" s="53"/>
      <c r="H87" s="53"/>
      <c r="I87" s="53"/>
      <c r="J87" s="53"/>
      <c r="K87" s="53"/>
      <c r="L87" s="53"/>
      <c r="M87" s="53"/>
      <c r="N87" s="53"/>
      <c r="O87" s="53"/>
      <c r="P87" s="53"/>
      <c r="Q87" s="53"/>
      <c r="R87" s="53"/>
      <c r="S87" s="53"/>
      <c r="T87" s="53"/>
      <c r="U87" s="53"/>
      <c r="V87" s="53"/>
      <c r="W87" s="53"/>
      <c r="X87" s="53"/>
      <c r="Y87" s="53"/>
      <c r="Z87" s="53"/>
      <c r="AB87" s="421"/>
    </row>
    <row r="88" spans="1:28" ht="15.75" thickBot="1">
      <c r="A88" s="41" t="s">
        <v>161</v>
      </c>
      <c r="B88" s="42" t="s">
        <v>198</v>
      </c>
      <c r="C88" s="52"/>
      <c r="D88" s="52"/>
      <c r="E88" s="52"/>
      <c r="F88" s="52"/>
      <c r="G88" s="52"/>
      <c r="H88" s="52"/>
      <c r="I88" s="52"/>
      <c r="J88" s="52"/>
      <c r="K88" s="52"/>
      <c r="L88" s="52"/>
      <c r="M88" s="52"/>
      <c r="N88" s="50">
        <v>55</v>
      </c>
      <c r="O88" s="51">
        <v>56.25</v>
      </c>
      <c r="P88" s="51">
        <v>57.5</v>
      </c>
      <c r="Q88" s="51">
        <v>58.75</v>
      </c>
      <c r="R88" s="50">
        <v>60</v>
      </c>
      <c r="S88" s="51">
        <v>60.833333333333336</v>
      </c>
      <c r="T88" s="51">
        <v>61.666666666666671</v>
      </c>
      <c r="U88" s="51">
        <v>62.500000000000007</v>
      </c>
      <c r="V88" s="51">
        <v>63.333333333333343</v>
      </c>
      <c r="W88" s="51">
        <v>80.833333333333357</v>
      </c>
      <c r="X88" s="51">
        <v>85.000000000000028</v>
      </c>
      <c r="Y88" s="50">
        <v>85</v>
      </c>
      <c r="Z88" s="51">
        <v>85</v>
      </c>
      <c r="AA88" s="38">
        <v>100</v>
      </c>
      <c r="AB88" s="420">
        <v>4</v>
      </c>
    </row>
    <row r="89" spans="1:28" s="49" customFormat="1" ht="15.75" thickBot="1">
      <c r="A89" s="45"/>
      <c r="B89" s="46" t="s">
        <v>199</v>
      </c>
      <c r="C89" s="52"/>
      <c r="D89" s="52"/>
      <c r="E89" s="52"/>
      <c r="F89" s="52"/>
      <c r="G89" s="52"/>
      <c r="H89" s="52"/>
      <c r="I89" s="52"/>
      <c r="J89" s="52"/>
      <c r="K89" s="52"/>
      <c r="L89" s="52"/>
      <c r="M89" s="52"/>
      <c r="N89" s="52">
        <v>55</v>
      </c>
      <c r="O89" s="441">
        <v>55</v>
      </c>
      <c r="P89" s="444">
        <v>55</v>
      </c>
      <c r="Q89" s="444">
        <v>66</v>
      </c>
      <c r="R89" s="442">
        <v>86</v>
      </c>
      <c r="S89" s="442">
        <v>84</v>
      </c>
      <c r="T89" s="442">
        <v>84</v>
      </c>
      <c r="U89" s="442">
        <v>89</v>
      </c>
      <c r="V89" s="445">
        <v>89</v>
      </c>
      <c r="W89" s="72">
        <v>62</v>
      </c>
      <c r="X89" s="70">
        <v>62</v>
      </c>
      <c r="Y89" s="70">
        <v>0</v>
      </c>
      <c r="Z89" s="70">
        <v>0</v>
      </c>
      <c r="AB89" s="421"/>
    </row>
    <row r="90" spans="1:28" s="49" customFormat="1">
      <c r="A90" s="45"/>
      <c r="B90" s="46"/>
      <c r="C90" s="53"/>
      <c r="D90" s="428"/>
      <c r="E90" s="428"/>
      <c r="F90" s="428"/>
      <c r="G90" s="53"/>
      <c r="H90" s="53"/>
      <c r="I90" s="53"/>
      <c r="J90" s="53"/>
      <c r="K90" s="53"/>
      <c r="L90" s="53"/>
      <c r="M90" s="53"/>
      <c r="N90" s="53"/>
      <c r="O90" s="53"/>
      <c r="P90" s="53"/>
      <c r="Q90" s="53"/>
      <c r="R90" s="53"/>
      <c r="S90" s="53"/>
      <c r="T90" s="53"/>
      <c r="U90" s="53"/>
      <c r="V90" s="53"/>
      <c r="W90" s="53"/>
      <c r="X90" s="53"/>
      <c r="Y90" s="53"/>
      <c r="Z90" s="53"/>
      <c r="AB90" s="421"/>
    </row>
    <row r="91" spans="1:28" ht="15.75" thickBot="1">
      <c r="A91" s="41" t="s">
        <v>40</v>
      </c>
      <c r="B91" s="42" t="s">
        <v>139</v>
      </c>
      <c r="C91" s="52"/>
      <c r="D91" s="52"/>
      <c r="E91" s="52"/>
      <c r="F91" s="52"/>
      <c r="G91" s="52"/>
      <c r="H91" s="52"/>
      <c r="I91" s="52"/>
      <c r="J91" s="52"/>
      <c r="K91" s="52"/>
      <c r="L91" s="52"/>
      <c r="M91" s="52"/>
      <c r="N91" s="43">
        <v>3</v>
      </c>
      <c r="O91" s="44">
        <v>3.125</v>
      </c>
      <c r="P91" s="44">
        <v>3.25</v>
      </c>
      <c r="Q91" s="44">
        <v>3.375</v>
      </c>
      <c r="R91" s="43">
        <v>3.5</v>
      </c>
      <c r="S91" s="44">
        <v>3.5833333333333335</v>
      </c>
      <c r="T91" s="44">
        <v>3.666666666666667</v>
      </c>
      <c r="U91" s="44">
        <v>3.7500000000000004</v>
      </c>
      <c r="V91" s="44">
        <v>3.8333333333333339</v>
      </c>
      <c r="W91" s="44">
        <v>3.9166666666666674</v>
      </c>
      <c r="X91" s="44">
        <v>4.0000000000000009</v>
      </c>
      <c r="Y91" s="43">
        <v>4</v>
      </c>
      <c r="Z91" s="44">
        <v>4</v>
      </c>
      <c r="AA91" s="38">
        <v>5</v>
      </c>
      <c r="AB91" s="420">
        <v>0.16</v>
      </c>
    </row>
    <row r="92" spans="1:28" s="49" customFormat="1" ht="15.75" thickBot="1">
      <c r="A92" s="45"/>
      <c r="B92" s="46" t="s">
        <v>140</v>
      </c>
      <c r="C92" s="52"/>
      <c r="D92" s="52"/>
      <c r="E92" s="52"/>
      <c r="F92" s="52"/>
      <c r="G92" s="52"/>
      <c r="H92" s="52"/>
      <c r="I92" s="52"/>
      <c r="J92" s="52"/>
      <c r="K92" s="52"/>
      <c r="L92" s="52"/>
      <c r="M92" s="52"/>
      <c r="N92" s="47">
        <v>3</v>
      </c>
      <c r="O92" s="436">
        <v>0</v>
      </c>
      <c r="P92" s="440">
        <v>3</v>
      </c>
      <c r="Q92" s="440">
        <v>3.3</v>
      </c>
      <c r="R92" s="437">
        <v>3.6</v>
      </c>
      <c r="S92" s="437">
        <v>3.7</v>
      </c>
      <c r="T92" s="437">
        <v>4.0999999999999996</v>
      </c>
      <c r="U92" s="437">
        <v>4.0999999999999996</v>
      </c>
      <c r="V92" s="438">
        <v>3.4</v>
      </c>
      <c r="W92" s="80">
        <v>3.4</v>
      </c>
      <c r="X92" s="69">
        <v>3.8</v>
      </c>
      <c r="Y92" s="69">
        <v>0</v>
      </c>
      <c r="Z92" s="69">
        <v>0</v>
      </c>
      <c r="AB92" s="421"/>
    </row>
    <row r="93" spans="1:28" s="49" customFormat="1">
      <c r="A93" s="45"/>
      <c r="B93" s="46"/>
      <c r="C93" s="48"/>
      <c r="D93" s="48"/>
      <c r="E93" s="48"/>
      <c r="F93" s="48"/>
      <c r="G93" s="48"/>
      <c r="H93" s="48"/>
      <c r="I93" s="48"/>
      <c r="J93" s="48"/>
      <c r="K93" s="48"/>
      <c r="L93" s="48"/>
      <c r="M93" s="48"/>
      <c r="N93" s="48"/>
      <c r="O93" s="48"/>
      <c r="P93" s="48"/>
      <c r="Q93" s="48"/>
      <c r="R93" s="48"/>
      <c r="S93" s="48"/>
      <c r="T93" s="48"/>
      <c r="U93" s="48"/>
      <c r="V93" s="48"/>
      <c r="W93" s="48"/>
      <c r="X93" s="48"/>
      <c r="Y93" s="48"/>
      <c r="Z93" s="48"/>
      <c r="AB93" s="421"/>
    </row>
    <row r="94" spans="1:28" ht="15.75" thickBot="1">
      <c r="A94" s="41" t="s">
        <v>32</v>
      </c>
      <c r="B94" s="42" t="s">
        <v>139</v>
      </c>
      <c r="C94" s="43">
        <v>2</v>
      </c>
      <c r="D94" s="81">
        <v>2</v>
      </c>
      <c r="E94" s="81">
        <v>2</v>
      </c>
      <c r="F94" s="81">
        <v>2</v>
      </c>
      <c r="G94" s="81">
        <v>2</v>
      </c>
      <c r="H94" s="81">
        <v>2</v>
      </c>
      <c r="I94" s="82">
        <v>2</v>
      </c>
      <c r="J94" s="81">
        <v>2.0833333333333335</v>
      </c>
      <c r="K94" s="81">
        <v>2.166666666666667</v>
      </c>
      <c r="L94" s="44">
        <v>2.2500000000000004</v>
      </c>
      <c r="M94" s="44">
        <v>2.3333333333333339</v>
      </c>
      <c r="N94" s="43">
        <v>2.5</v>
      </c>
      <c r="O94" s="44">
        <v>2.5</v>
      </c>
      <c r="P94" s="44">
        <v>2.5</v>
      </c>
      <c r="Q94" s="44">
        <v>2.5</v>
      </c>
      <c r="R94" s="43">
        <v>2.5</v>
      </c>
      <c r="S94" s="44">
        <v>2.5833333333333335</v>
      </c>
      <c r="T94" s="44">
        <v>2.666666666666667</v>
      </c>
      <c r="U94" s="44">
        <v>2.7500000000000004</v>
      </c>
      <c r="V94" s="44">
        <v>2.8333333333333339</v>
      </c>
      <c r="W94" s="44">
        <v>2.9166666666666674</v>
      </c>
      <c r="X94" s="44">
        <v>3.0000000000000009</v>
      </c>
      <c r="Y94" s="43">
        <v>3</v>
      </c>
      <c r="Z94" s="44">
        <v>3</v>
      </c>
      <c r="AA94" s="38">
        <v>5</v>
      </c>
      <c r="AB94" s="420">
        <v>0.16</v>
      </c>
    </row>
    <row r="95" spans="1:28" s="49" customFormat="1" ht="15.75" thickBot="1">
      <c r="A95" s="45"/>
      <c r="B95" s="46" t="s">
        <v>140</v>
      </c>
      <c r="C95" s="79">
        <v>2</v>
      </c>
      <c r="D95" s="436">
        <v>2</v>
      </c>
      <c r="E95" s="437">
        <v>2</v>
      </c>
      <c r="F95" s="437">
        <v>2</v>
      </c>
      <c r="G95" s="437">
        <v>2</v>
      </c>
      <c r="H95" s="437">
        <v>2</v>
      </c>
      <c r="I95" s="437">
        <v>2</v>
      </c>
      <c r="J95" s="437">
        <v>2</v>
      </c>
      <c r="K95" s="437">
        <v>2</v>
      </c>
      <c r="L95" s="437">
        <v>3</v>
      </c>
      <c r="M95" s="437">
        <v>3</v>
      </c>
      <c r="N95" s="439">
        <v>3.3</v>
      </c>
      <c r="O95" s="440">
        <v>1.6</v>
      </c>
      <c r="P95" s="440">
        <v>1.8</v>
      </c>
      <c r="Q95" s="440">
        <v>2.2999999999999998</v>
      </c>
      <c r="R95" s="437">
        <v>2.8</v>
      </c>
      <c r="S95" s="437">
        <v>2.6</v>
      </c>
      <c r="T95" s="437">
        <v>2.6</v>
      </c>
      <c r="U95" s="437">
        <v>3.5</v>
      </c>
      <c r="V95" s="438">
        <v>3</v>
      </c>
      <c r="W95" s="80">
        <v>3</v>
      </c>
      <c r="X95" s="69">
        <v>3</v>
      </c>
      <c r="Y95" s="69">
        <v>0</v>
      </c>
      <c r="Z95" s="69">
        <v>0</v>
      </c>
      <c r="AB95" s="421"/>
    </row>
    <row r="96" spans="1:28" s="49" customFormat="1">
      <c r="A96" s="45"/>
      <c r="B96" s="46"/>
      <c r="C96" s="48"/>
      <c r="D96" s="83"/>
      <c r="E96" s="83"/>
      <c r="F96" s="83"/>
      <c r="G96" s="83"/>
      <c r="H96" s="83"/>
      <c r="I96" s="83"/>
      <c r="J96" s="83"/>
      <c r="K96" s="83"/>
      <c r="L96" s="48"/>
      <c r="M96" s="48"/>
      <c r="N96" s="48"/>
      <c r="O96" s="48"/>
      <c r="P96" s="48"/>
      <c r="Q96" s="48"/>
      <c r="R96" s="48"/>
      <c r="S96" s="48"/>
      <c r="T96" s="48"/>
      <c r="U96" s="48"/>
      <c r="V96" s="48"/>
      <c r="W96" s="48"/>
      <c r="X96" s="48"/>
      <c r="Y96" s="48"/>
      <c r="Z96" s="48"/>
      <c r="AB96" s="421"/>
    </row>
    <row r="97" spans="1:28" ht="15.75" thickBot="1">
      <c r="A97" s="41" t="s">
        <v>33</v>
      </c>
      <c r="B97" s="42" t="s">
        <v>139</v>
      </c>
      <c r="C97" s="43">
        <v>2</v>
      </c>
      <c r="D97" s="81">
        <v>2</v>
      </c>
      <c r="E97" s="81">
        <v>2</v>
      </c>
      <c r="F97" s="81">
        <v>2</v>
      </c>
      <c r="G97" s="81">
        <v>2</v>
      </c>
      <c r="H97" s="81">
        <v>2</v>
      </c>
      <c r="I97" s="82">
        <v>2</v>
      </c>
      <c r="J97" s="81">
        <v>2.1666666666666665</v>
      </c>
      <c r="K97" s="81">
        <v>2.333333333333333</v>
      </c>
      <c r="L97" s="44">
        <v>2.4999999999999996</v>
      </c>
      <c r="M97" s="44">
        <v>2.6666666666666661</v>
      </c>
      <c r="N97" s="43">
        <v>3</v>
      </c>
      <c r="O97" s="44">
        <v>3</v>
      </c>
      <c r="P97" s="44">
        <v>3</v>
      </c>
      <c r="Q97" s="44">
        <v>3</v>
      </c>
      <c r="R97" s="43">
        <v>3</v>
      </c>
      <c r="S97" s="44">
        <v>3.0333333333333332</v>
      </c>
      <c r="T97" s="44">
        <v>3.0666666666666664</v>
      </c>
      <c r="U97" s="44">
        <v>3.0999999999999996</v>
      </c>
      <c r="V97" s="44">
        <v>3.1333333333333329</v>
      </c>
      <c r="W97" s="44">
        <v>4.25</v>
      </c>
      <c r="X97" s="44">
        <v>4.5</v>
      </c>
      <c r="Y97" s="43">
        <v>4.5</v>
      </c>
      <c r="Z97" s="44">
        <v>4.5</v>
      </c>
      <c r="AA97" s="38">
        <v>5</v>
      </c>
      <c r="AB97" s="420">
        <v>0.16</v>
      </c>
    </row>
    <row r="98" spans="1:28" s="49" customFormat="1" ht="15.75" thickBot="1">
      <c r="A98" s="45"/>
      <c r="B98" s="46" t="s">
        <v>140</v>
      </c>
      <c r="C98" s="79">
        <v>2</v>
      </c>
      <c r="D98" s="436">
        <v>1</v>
      </c>
      <c r="E98" s="437">
        <v>1</v>
      </c>
      <c r="F98" s="437">
        <v>1</v>
      </c>
      <c r="G98" s="437">
        <v>1</v>
      </c>
      <c r="H98" s="437">
        <v>1</v>
      </c>
      <c r="I98" s="437">
        <v>1</v>
      </c>
      <c r="J98" s="437">
        <v>2</v>
      </c>
      <c r="K98" s="437">
        <v>2</v>
      </c>
      <c r="L98" s="437">
        <v>3</v>
      </c>
      <c r="M98" s="437">
        <v>3</v>
      </c>
      <c r="N98" s="439">
        <v>2.7</v>
      </c>
      <c r="O98" s="440">
        <v>3.3</v>
      </c>
      <c r="P98" s="440">
        <v>1.8</v>
      </c>
      <c r="Q98" s="440">
        <v>2.2999999999999998</v>
      </c>
      <c r="R98" s="437">
        <v>4.3</v>
      </c>
      <c r="S98" s="437">
        <v>2.6</v>
      </c>
      <c r="T98" s="437">
        <v>2.6</v>
      </c>
      <c r="U98" s="437">
        <v>3.5</v>
      </c>
      <c r="V98" s="438">
        <v>4.3</v>
      </c>
      <c r="W98" s="80">
        <v>4.3</v>
      </c>
      <c r="X98" s="69">
        <v>4.3</v>
      </c>
      <c r="Y98" s="69">
        <v>0</v>
      </c>
      <c r="Z98" s="69">
        <v>0</v>
      </c>
      <c r="AB98" s="421"/>
    </row>
    <row r="99" spans="1:28" s="49" customFormat="1">
      <c r="A99" s="45"/>
      <c r="B99" s="46"/>
      <c r="C99" s="48"/>
      <c r="D99" s="83"/>
      <c r="E99" s="83"/>
      <c r="F99" s="83"/>
      <c r="G99" s="83"/>
      <c r="H99" s="83"/>
      <c r="I99" s="83"/>
      <c r="J99" s="83"/>
      <c r="K99" s="83"/>
      <c r="L99" s="48"/>
      <c r="M99" s="48"/>
      <c r="N99" s="48"/>
      <c r="O99" s="48"/>
      <c r="P99" s="48"/>
      <c r="Q99" s="48"/>
      <c r="R99" s="48"/>
      <c r="S99" s="48"/>
      <c r="T99" s="48"/>
      <c r="U99" s="48"/>
      <c r="V99" s="48"/>
      <c r="W99" s="48"/>
      <c r="X99" s="48"/>
      <c r="Y99" s="48"/>
      <c r="Z99" s="48"/>
      <c r="AB99" s="421"/>
    </row>
    <row r="100" spans="1:28" ht="15.75" thickBot="1">
      <c r="A100" s="41" t="s">
        <v>34</v>
      </c>
      <c r="B100" s="42" t="s">
        <v>139</v>
      </c>
      <c r="C100" s="43">
        <v>1</v>
      </c>
      <c r="D100" s="81">
        <v>1</v>
      </c>
      <c r="E100" s="81">
        <v>1</v>
      </c>
      <c r="F100" s="81">
        <v>1</v>
      </c>
      <c r="G100" s="81">
        <v>1</v>
      </c>
      <c r="H100" s="81">
        <v>1</v>
      </c>
      <c r="I100" s="82">
        <v>1</v>
      </c>
      <c r="J100" s="81">
        <v>1.1666666666666667</v>
      </c>
      <c r="K100" s="81">
        <v>1.3333333333333335</v>
      </c>
      <c r="L100" s="44">
        <v>1.5000000000000002</v>
      </c>
      <c r="M100" s="44">
        <v>1.666666666666667</v>
      </c>
      <c r="N100" s="43">
        <v>2</v>
      </c>
      <c r="O100" s="44">
        <v>2.125</v>
      </c>
      <c r="P100" s="44">
        <v>2.25</v>
      </c>
      <c r="Q100" s="44">
        <v>2.375</v>
      </c>
      <c r="R100" s="43">
        <v>2.5</v>
      </c>
      <c r="S100" s="44">
        <v>2.5833333333333335</v>
      </c>
      <c r="T100" s="44">
        <v>2.666666666666667</v>
      </c>
      <c r="U100" s="44">
        <v>2.7500000000000004</v>
      </c>
      <c r="V100" s="44">
        <v>2.8333333333333339</v>
      </c>
      <c r="W100" s="44">
        <v>2.9166666666666674</v>
      </c>
      <c r="X100" s="44">
        <v>3.0000000000000009</v>
      </c>
      <c r="Y100" s="43">
        <v>3</v>
      </c>
      <c r="Z100" s="44">
        <v>3</v>
      </c>
      <c r="AA100" s="38">
        <v>5</v>
      </c>
      <c r="AB100" s="420">
        <v>0.16</v>
      </c>
    </row>
    <row r="101" spans="1:28" s="49" customFormat="1" ht="15.75" thickBot="1">
      <c r="A101" s="45"/>
      <c r="B101" s="46" t="s">
        <v>140</v>
      </c>
      <c r="C101" s="79">
        <v>1</v>
      </c>
      <c r="D101" s="436">
        <v>2</v>
      </c>
      <c r="E101" s="437">
        <v>2</v>
      </c>
      <c r="F101" s="437">
        <v>2</v>
      </c>
      <c r="G101" s="437">
        <v>2</v>
      </c>
      <c r="H101" s="437">
        <v>2</v>
      </c>
      <c r="I101" s="437">
        <v>2</v>
      </c>
      <c r="J101" s="437">
        <v>2</v>
      </c>
      <c r="K101" s="437">
        <v>2</v>
      </c>
      <c r="L101" s="437">
        <v>3</v>
      </c>
      <c r="M101" s="437">
        <v>3</v>
      </c>
      <c r="N101" s="439">
        <v>1.6</v>
      </c>
      <c r="O101" s="440">
        <v>2.7</v>
      </c>
      <c r="P101" s="440">
        <v>1.8</v>
      </c>
      <c r="Q101" s="440">
        <v>2</v>
      </c>
      <c r="R101" s="437">
        <v>2.6</v>
      </c>
      <c r="S101" s="437">
        <v>2.1</v>
      </c>
      <c r="T101" s="437">
        <v>3.4</v>
      </c>
      <c r="U101" s="437">
        <v>3.6</v>
      </c>
      <c r="V101" s="438">
        <v>3.9</v>
      </c>
      <c r="W101" s="80">
        <v>3.9</v>
      </c>
      <c r="X101" s="69">
        <v>3.9</v>
      </c>
      <c r="Y101" s="69">
        <v>0</v>
      </c>
      <c r="Z101" s="69">
        <v>0</v>
      </c>
      <c r="AB101" s="421"/>
    </row>
    <row r="102" spans="1:28" s="49" customFormat="1">
      <c r="A102" s="45"/>
      <c r="B102" s="46"/>
      <c r="C102" s="48"/>
      <c r="D102" s="83"/>
      <c r="E102" s="83"/>
      <c r="F102" s="83"/>
      <c r="G102" s="83"/>
      <c r="H102" s="83"/>
      <c r="I102" s="83"/>
      <c r="J102" s="83"/>
      <c r="K102" s="83"/>
      <c r="L102" s="48"/>
      <c r="M102" s="48"/>
      <c r="N102" s="48"/>
      <c r="O102" s="48"/>
      <c r="P102" s="48"/>
      <c r="Q102" s="48"/>
      <c r="R102" s="48"/>
      <c r="S102" s="48"/>
      <c r="T102" s="48"/>
      <c r="U102" s="48"/>
      <c r="V102" s="48"/>
      <c r="W102" s="48"/>
      <c r="X102" s="48"/>
      <c r="Y102" s="48"/>
      <c r="Z102" s="48"/>
      <c r="AB102" s="421"/>
    </row>
    <row r="103" spans="1:28" ht="15.75" thickBot="1">
      <c r="A103" s="41" t="s">
        <v>41</v>
      </c>
      <c r="B103" s="42" t="s">
        <v>139</v>
      </c>
      <c r="C103" s="43">
        <v>1</v>
      </c>
      <c r="D103" s="81">
        <v>1.1666666666666667</v>
      </c>
      <c r="E103" s="81">
        <v>1.3333333333333335</v>
      </c>
      <c r="F103" s="81">
        <v>1.5000000000000002</v>
      </c>
      <c r="G103" s="81">
        <v>1.666666666666667</v>
      </c>
      <c r="H103" s="81">
        <v>1.8333333333333337</v>
      </c>
      <c r="I103" s="82">
        <v>2</v>
      </c>
      <c r="J103" s="81">
        <v>2.1666666666666665</v>
      </c>
      <c r="K103" s="81">
        <v>2.333333333333333</v>
      </c>
      <c r="L103" s="44">
        <v>2.4999999999999996</v>
      </c>
      <c r="M103" s="44">
        <v>2.6666666666666661</v>
      </c>
      <c r="N103" s="43">
        <v>3</v>
      </c>
      <c r="O103" s="44">
        <v>3.0249999999999999</v>
      </c>
      <c r="P103" s="44">
        <v>3.05</v>
      </c>
      <c r="Q103" s="44">
        <v>3.0749999999999997</v>
      </c>
      <c r="R103" s="43">
        <v>3.1</v>
      </c>
      <c r="S103" s="44">
        <v>3.166666666666667</v>
      </c>
      <c r="T103" s="44">
        <v>3.2333333333333334</v>
      </c>
      <c r="U103" s="44">
        <v>3.3</v>
      </c>
      <c r="V103" s="44">
        <v>3.3666666666666663</v>
      </c>
      <c r="W103" s="44">
        <v>3.4333333333333327</v>
      </c>
      <c r="X103" s="44">
        <v>3.4999999999999991</v>
      </c>
      <c r="Y103" s="43">
        <v>3.5</v>
      </c>
      <c r="Z103" s="44">
        <v>3.5</v>
      </c>
      <c r="AA103" s="38">
        <v>5</v>
      </c>
      <c r="AB103" s="420">
        <v>0.16</v>
      </c>
    </row>
    <row r="104" spans="1:28" s="49" customFormat="1" ht="15.75" thickBot="1">
      <c r="A104" s="45"/>
      <c r="B104" s="46" t="s">
        <v>140</v>
      </c>
      <c r="C104" s="79">
        <v>1</v>
      </c>
      <c r="D104" s="436">
        <v>1</v>
      </c>
      <c r="E104" s="437">
        <v>1</v>
      </c>
      <c r="F104" s="437">
        <v>1</v>
      </c>
      <c r="G104" s="437">
        <v>1</v>
      </c>
      <c r="H104" s="437">
        <v>1</v>
      </c>
      <c r="I104" s="437">
        <v>2</v>
      </c>
      <c r="J104" s="437">
        <v>2</v>
      </c>
      <c r="K104" s="437">
        <v>2</v>
      </c>
      <c r="L104" s="437">
        <v>3</v>
      </c>
      <c r="M104" s="437">
        <v>3</v>
      </c>
      <c r="N104" s="439">
        <v>2</v>
      </c>
      <c r="O104" s="440">
        <v>2</v>
      </c>
      <c r="P104" s="440">
        <v>2.7</v>
      </c>
      <c r="Q104" s="440">
        <v>2</v>
      </c>
      <c r="R104" s="437">
        <v>2.4</v>
      </c>
      <c r="S104" s="437">
        <v>2.4</v>
      </c>
      <c r="T104" s="437">
        <v>2.4</v>
      </c>
      <c r="U104" s="437">
        <v>3.5</v>
      </c>
      <c r="V104" s="438">
        <v>3.5</v>
      </c>
      <c r="W104" s="80">
        <v>3.5</v>
      </c>
      <c r="X104" s="69">
        <v>3.5</v>
      </c>
      <c r="Y104" s="69">
        <v>0</v>
      </c>
      <c r="Z104" s="69">
        <v>0</v>
      </c>
      <c r="AB104" s="421"/>
    </row>
    <row r="105" spans="1:28" s="49" customFormat="1">
      <c r="A105" s="45"/>
      <c r="B105" s="46"/>
      <c r="C105" s="48"/>
      <c r="D105" s="83"/>
      <c r="E105" s="83"/>
      <c r="F105" s="83"/>
      <c r="G105" s="83"/>
      <c r="H105" s="83"/>
      <c r="I105" s="83"/>
      <c r="J105" s="83"/>
      <c r="K105" s="83"/>
      <c r="L105" s="48"/>
      <c r="M105" s="48"/>
      <c r="N105" s="48"/>
      <c r="O105" s="48"/>
      <c r="P105" s="48"/>
      <c r="Q105" s="48"/>
      <c r="R105" s="48"/>
      <c r="S105" s="48"/>
      <c r="T105" s="48"/>
      <c r="U105" s="48"/>
      <c r="V105" s="48"/>
      <c r="W105" s="48"/>
      <c r="X105" s="48"/>
      <c r="Y105" s="48"/>
      <c r="Z105" s="48"/>
      <c r="AB105" s="421"/>
    </row>
    <row r="106" spans="1:28" ht="15.75" thickBot="1">
      <c r="A106" s="41" t="s">
        <v>181</v>
      </c>
      <c r="B106" s="42" t="s">
        <v>204</v>
      </c>
      <c r="C106" s="50">
        <v>0</v>
      </c>
      <c r="D106" s="73">
        <v>1</v>
      </c>
      <c r="E106" s="73">
        <v>2</v>
      </c>
      <c r="F106" s="73">
        <v>3</v>
      </c>
      <c r="G106" s="73">
        <v>4</v>
      </c>
      <c r="H106" s="73">
        <v>5</v>
      </c>
      <c r="I106" s="74">
        <v>6</v>
      </c>
      <c r="J106" s="73">
        <v>6.666666666666667</v>
      </c>
      <c r="K106" s="73">
        <v>7.3333333333333339</v>
      </c>
      <c r="L106" s="51">
        <v>8</v>
      </c>
      <c r="M106" s="51">
        <v>8.6666666666666661</v>
      </c>
      <c r="N106" s="50">
        <v>10</v>
      </c>
      <c r="O106" s="51">
        <v>10</v>
      </c>
      <c r="P106" s="51">
        <v>10</v>
      </c>
      <c r="Q106" s="51">
        <v>10</v>
      </c>
      <c r="R106" s="50">
        <v>10</v>
      </c>
      <c r="S106" s="51">
        <v>10.833333333333334</v>
      </c>
      <c r="T106" s="51">
        <v>11.666666666666668</v>
      </c>
      <c r="U106" s="51">
        <v>12.500000000000002</v>
      </c>
      <c r="V106" s="51">
        <v>13.333333333333336</v>
      </c>
      <c r="W106" s="51">
        <v>11.66666666666667</v>
      </c>
      <c r="X106" s="51">
        <v>12.000000000000004</v>
      </c>
      <c r="Y106" s="50">
        <v>12</v>
      </c>
      <c r="Z106" s="51">
        <v>12</v>
      </c>
      <c r="AA106" s="38">
        <v>20</v>
      </c>
      <c r="AB106" s="420">
        <v>0.8</v>
      </c>
    </row>
    <row r="107" spans="1:28" s="49" customFormat="1" ht="15.75" thickBot="1">
      <c r="A107" s="45"/>
      <c r="B107" s="46" t="s">
        <v>205</v>
      </c>
      <c r="C107" s="71">
        <v>0</v>
      </c>
      <c r="D107" s="441">
        <v>0</v>
      </c>
      <c r="E107" s="442">
        <v>0</v>
      </c>
      <c r="F107" s="442">
        <v>0</v>
      </c>
      <c r="G107" s="442">
        <v>0</v>
      </c>
      <c r="H107" s="442">
        <v>0</v>
      </c>
      <c r="I107" s="442">
        <v>0</v>
      </c>
      <c r="J107" s="442">
        <v>0</v>
      </c>
      <c r="K107" s="442">
        <v>0</v>
      </c>
      <c r="L107" s="442">
        <v>0</v>
      </c>
      <c r="M107" s="442">
        <v>1</v>
      </c>
      <c r="N107" s="443">
        <v>7</v>
      </c>
      <c r="O107" s="444">
        <v>8</v>
      </c>
      <c r="P107" s="444">
        <v>12</v>
      </c>
      <c r="Q107" s="444">
        <v>18</v>
      </c>
      <c r="R107" s="442">
        <v>10</v>
      </c>
      <c r="S107" s="442">
        <v>10</v>
      </c>
      <c r="T107" s="442">
        <v>11</v>
      </c>
      <c r="U107" s="442">
        <v>12</v>
      </c>
      <c r="V107" s="445">
        <v>11</v>
      </c>
      <c r="W107" s="72">
        <v>11</v>
      </c>
      <c r="X107" s="70">
        <v>11</v>
      </c>
      <c r="Y107" s="70">
        <v>0</v>
      </c>
      <c r="Z107" s="70">
        <v>0</v>
      </c>
      <c r="AB107" s="421"/>
    </row>
    <row r="108" spans="1:28" s="49" customFormat="1">
      <c r="A108" s="45"/>
      <c r="B108" s="46"/>
      <c r="C108" s="53"/>
      <c r="D108" s="75"/>
      <c r="E108" s="75"/>
      <c r="F108" s="75"/>
      <c r="G108" s="75"/>
      <c r="H108" s="75"/>
      <c r="I108" s="75"/>
      <c r="J108" s="75"/>
      <c r="K108" s="75"/>
      <c r="L108" s="53"/>
      <c r="M108" s="53"/>
      <c r="N108" s="53"/>
      <c r="O108" s="53"/>
      <c r="P108" s="53"/>
      <c r="Q108" s="53"/>
      <c r="R108" s="53"/>
      <c r="S108" s="53"/>
      <c r="T108" s="53"/>
      <c r="U108" s="53"/>
      <c r="V108" s="53"/>
      <c r="W108" s="53"/>
      <c r="X108" s="53"/>
      <c r="Y108" s="53"/>
      <c r="Z108" s="53"/>
      <c r="AB108" s="421"/>
    </row>
    <row r="109" spans="1:28" ht="15.75" thickBot="1">
      <c r="A109" s="41" t="s">
        <v>182</v>
      </c>
      <c r="B109" s="42" t="s">
        <v>206</v>
      </c>
      <c r="C109" s="50">
        <v>0</v>
      </c>
      <c r="D109" s="73">
        <v>0.16666666666666666</v>
      </c>
      <c r="E109" s="73">
        <v>0.33333333333333331</v>
      </c>
      <c r="F109" s="73">
        <v>0.5</v>
      </c>
      <c r="G109" s="73">
        <v>0.66666666666666663</v>
      </c>
      <c r="H109" s="73">
        <v>0.83333333333333326</v>
      </c>
      <c r="I109" s="74">
        <v>1</v>
      </c>
      <c r="J109" s="73">
        <v>1.1666666666666667</v>
      </c>
      <c r="K109" s="73">
        <v>1.3333333333333335</v>
      </c>
      <c r="L109" s="51">
        <v>1.5000000000000002</v>
      </c>
      <c r="M109" s="51">
        <v>1.666666666666667</v>
      </c>
      <c r="N109" s="50">
        <v>2</v>
      </c>
      <c r="O109" s="51">
        <v>2</v>
      </c>
      <c r="P109" s="51">
        <v>2</v>
      </c>
      <c r="Q109" s="51">
        <v>2</v>
      </c>
      <c r="R109" s="50">
        <v>2</v>
      </c>
      <c r="S109" s="51">
        <v>2.1666666666666665</v>
      </c>
      <c r="T109" s="51">
        <v>2.333333333333333</v>
      </c>
      <c r="U109" s="51">
        <v>2.4999999999999996</v>
      </c>
      <c r="V109" s="51">
        <v>2.6666666666666661</v>
      </c>
      <c r="W109" s="51">
        <v>5.333333333333333</v>
      </c>
      <c r="X109" s="51">
        <v>6</v>
      </c>
      <c r="Y109" s="50">
        <v>6</v>
      </c>
      <c r="Z109" s="51">
        <v>6</v>
      </c>
      <c r="AA109" s="38">
        <v>10</v>
      </c>
      <c r="AB109" s="420">
        <v>0.4</v>
      </c>
    </row>
    <row r="110" spans="1:28" s="49" customFormat="1" ht="15.75" thickBot="1">
      <c r="A110" s="45"/>
      <c r="B110" s="46" t="s">
        <v>207</v>
      </c>
      <c r="C110" s="71">
        <v>0</v>
      </c>
      <c r="D110" s="441">
        <v>0</v>
      </c>
      <c r="E110" s="442">
        <v>0</v>
      </c>
      <c r="F110" s="442">
        <v>0</v>
      </c>
      <c r="G110" s="442">
        <v>0</v>
      </c>
      <c r="H110" s="442">
        <v>0</v>
      </c>
      <c r="I110" s="442">
        <v>0</v>
      </c>
      <c r="J110" s="442">
        <v>0</v>
      </c>
      <c r="K110" s="442">
        <v>0</v>
      </c>
      <c r="L110" s="442">
        <v>0</v>
      </c>
      <c r="M110" s="442">
        <v>1</v>
      </c>
      <c r="N110" s="443">
        <v>1</v>
      </c>
      <c r="O110" s="444">
        <v>1</v>
      </c>
      <c r="P110" s="444">
        <v>1</v>
      </c>
      <c r="Q110" s="444">
        <v>1</v>
      </c>
      <c r="R110" s="442">
        <v>2</v>
      </c>
      <c r="S110" s="442">
        <v>2</v>
      </c>
      <c r="T110" s="442">
        <v>2</v>
      </c>
      <c r="U110" s="442">
        <v>5</v>
      </c>
      <c r="V110" s="445">
        <v>7</v>
      </c>
      <c r="W110" s="72">
        <v>7</v>
      </c>
      <c r="X110" s="70">
        <v>9</v>
      </c>
      <c r="Y110" s="70">
        <v>0</v>
      </c>
      <c r="Z110" s="70">
        <v>0</v>
      </c>
      <c r="AB110" s="421"/>
    </row>
    <row r="111" spans="1:28" s="49" customFormat="1">
      <c r="A111" s="45"/>
      <c r="B111" s="46"/>
      <c r="C111" s="53"/>
      <c r="D111" s="75"/>
      <c r="E111" s="75"/>
      <c r="F111" s="75"/>
      <c r="G111" s="75"/>
      <c r="H111" s="75"/>
      <c r="I111" s="75"/>
      <c r="J111" s="75"/>
      <c r="K111" s="75"/>
      <c r="L111" s="53"/>
      <c r="M111" s="53"/>
      <c r="N111" s="53"/>
      <c r="O111" s="53"/>
      <c r="P111" s="53"/>
      <c r="Q111" s="53"/>
      <c r="R111" s="53"/>
      <c r="S111" s="53"/>
      <c r="T111" s="53"/>
      <c r="U111" s="53"/>
      <c r="V111" s="53"/>
      <c r="W111" s="53"/>
      <c r="X111" s="53"/>
      <c r="Y111" s="53"/>
      <c r="Z111" s="53"/>
      <c r="AB111" s="421"/>
    </row>
    <row r="112" spans="1:28" ht="15.75" thickBot="1">
      <c r="A112" s="41" t="s">
        <v>695</v>
      </c>
      <c r="B112" s="42" t="s">
        <v>816</v>
      </c>
      <c r="C112" s="50">
        <v>0</v>
      </c>
      <c r="D112" s="73">
        <v>0</v>
      </c>
      <c r="E112" s="73">
        <v>0</v>
      </c>
      <c r="F112" s="73">
        <v>0</v>
      </c>
      <c r="G112" s="73">
        <v>0</v>
      </c>
      <c r="H112" s="73">
        <v>0</v>
      </c>
      <c r="I112" s="74">
        <v>0</v>
      </c>
      <c r="J112" s="73">
        <v>0</v>
      </c>
      <c r="K112" s="73">
        <v>0</v>
      </c>
      <c r="L112" s="51">
        <v>0</v>
      </c>
      <c r="M112" s="51">
        <v>0</v>
      </c>
      <c r="N112" s="50">
        <v>0</v>
      </c>
      <c r="O112" s="51">
        <v>2.5</v>
      </c>
      <c r="P112" s="51">
        <v>5</v>
      </c>
      <c r="Q112" s="51">
        <v>7.5</v>
      </c>
      <c r="R112" s="50">
        <v>10</v>
      </c>
      <c r="S112" s="51">
        <v>12.333333333333334</v>
      </c>
      <c r="T112" s="51">
        <v>14.666666666666668</v>
      </c>
      <c r="U112" s="51">
        <v>17</v>
      </c>
      <c r="V112" s="51">
        <v>19.333333333333332</v>
      </c>
      <c r="W112" s="51">
        <v>21.666666666666664</v>
      </c>
      <c r="X112" s="51">
        <v>23.999999999999996</v>
      </c>
      <c r="Y112" s="50">
        <v>24</v>
      </c>
      <c r="Z112" s="51">
        <v>24</v>
      </c>
      <c r="AA112" s="38">
        <v>20</v>
      </c>
      <c r="AB112" s="420">
        <v>0.8</v>
      </c>
    </row>
    <row r="113" spans="1:28" s="49" customFormat="1" ht="15.75" thickBot="1">
      <c r="A113" s="45"/>
      <c r="B113" s="46" t="s">
        <v>817</v>
      </c>
      <c r="C113" s="71">
        <v>0</v>
      </c>
      <c r="D113" s="441">
        <v>0</v>
      </c>
      <c r="E113" s="442">
        <v>0</v>
      </c>
      <c r="F113" s="442">
        <v>0</v>
      </c>
      <c r="G113" s="442">
        <v>0</v>
      </c>
      <c r="H113" s="442">
        <v>0</v>
      </c>
      <c r="I113" s="442">
        <v>3</v>
      </c>
      <c r="J113" s="442">
        <v>3</v>
      </c>
      <c r="K113" s="442">
        <v>3</v>
      </c>
      <c r="L113" s="442">
        <v>0</v>
      </c>
      <c r="M113" s="442">
        <v>3</v>
      </c>
      <c r="N113" s="443">
        <v>8</v>
      </c>
      <c r="O113" s="444">
        <v>9</v>
      </c>
      <c r="P113" s="444">
        <v>10</v>
      </c>
      <c r="Q113" s="444">
        <v>10</v>
      </c>
      <c r="R113" s="442">
        <v>13</v>
      </c>
      <c r="S113" s="442">
        <v>14</v>
      </c>
      <c r="T113" s="442">
        <v>19</v>
      </c>
      <c r="U113" s="442">
        <v>22</v>
      </c>
      <c r="V113" s="445">
        <v>22</v>
      </c>
      <c r="W113" s="72">
        <v>22</v>
      </c>
      <c r="X113" s="70">
        <v>22</v>
      </c>
      <c r="Y113" s="70">
        <v>0</v>
      </c>
      <c r="Z113" s="70">
        <v>0</v>
      </c>
      <c r="AA113" s="429"/>
      <c r="AB113" s="430"/>
    </row>
    <row r="114" spans="1:28" s="49" customFormat="1">
      <c r="A114" s="45"/>
      <c r="B114" s="46"/>
      <c r="C114" s="53"/>
      <c r="D114" s="75"/>
      <c r="E114" s="75"/>
      <c r="F114" s="75"/>
      <c r="G114" s="75"/>
      <c r="H114" s="75"/>
      <c r="I114" s="75"/>
      <c r="J114" s="75"/>
      <c r="K114" s="75"/>
      <c r="L114" s="53"/>
      <c r="M114" s="53"/>
      <c r="N114" s="53"/>
      <c r="O114" s="53"/>
      <c r="P114" s="53"/>
      <c r="Q114" s="53"/>
      <c r="R114" s="53"/>
      <c r="S114" s="53"/>
      <c r="T114" s="53"/>
      <c r="U114" s="53"/>
      <c r="V114" s="53"/>
      <c r="W114" s="53"/>
      <c r="X114" s="53"/>
      <c r="Y114" s="53"/>
      <c r="Z114" s="53"/>
      <c r="AA114" s="429"/>
      <c r="AB114" s="430"/>
    </row>
    <row r="115" spans="1:28" ht="15.75" thickBot="1">
      <c r="A115" s="41" t="s">
        <v>696</v>
      </c>
      <c r="B115" s="42" t="s">
        <v>818</v>
      </c>
      <c r="C115" s="52"/>
      <c r="D115" s="52"/>
      <c r="E115" s="52"/>
      <c r="F115" s="52"/>
      <c r="G115" s="52"/>
      <c r="H115" s="52"/>
      <c r="I115" s="52"/>
      <c r="J115" s="52"/>
      <c r="K115" s="52"/>
      <c r="L115" s="52"/>
      <c r="M115" s="52"/>
      <c r="N115" s="52"/>
      <c r="O115" s="52"/>
      <c r="P115" s="52"/>
      <c r="Q115" s="52"/>
      <c r="R115" s="50">
        <v>5</v>
      </c>
      <c r="S115" s="51">
        <v>6.166666666666667</v>
      </c>
      <c r="T115" s="51">
        <v>7.3333333333333339</v>
      </c>
      <c r="U115" s="51">
        <v>8.5</v>
      </c>
      <c r="V115" s="51">
        <v>9.6666666666666661</v>
      </c>
      <c r="W115" s="51">
        <v>9.1666666666666661</v>
      </c>
      <c r="X115" s="51">
        <v>10</v>
      </c>
      <c r="Y115" s="50">
        <v>10</v>
      </c>
      <c r="Z115" s="51">
        <v>10</v>
      </c>
      <c r="AA115" s="38">
        <v>20</v>
      </c>
      <c r="AB115" s="420">
        <v>0.8</v>
      </c>
    </row>
    <row r="116" spans="1:28" s="49" customFormat="1" ht="15.75" thickBot="1">
      <c r="A116" s="45"/>
      <c r="B116" s="46" t="s">
        <v>819</v>
      </c>
      <c r="C116" s="52"/>
      <c r="D116" s="52"/>
      <c r="E116" s="52"/>
      <c r="F116" s="52"/>
      <c r="G116" s="52"/>
      <c r="H116" s="52"/>
      <c r="I116" s="52"/>
      <c r="J116" s="52"/>
      <c r="K116" s="52"/>
      <c r="L116" s="52"/>
      <c r="M116" s="52"/>
      <c r="N116" s="52"/>
      <c r="O116" s="52"/>
      <c r="P116" s="52"/>
      <c r="Q116" s="52"/>
      <c r="R116" s="52">
        <v>5</v>
      </c>
      <c r="S116" s="442">
        <v>5</v>
      </c>
      <c r="T116" s="442">
        <v>8</v>
      </c>
      <c r="U116" s="442">
        <v>9</v>
      </c>
      <c r="V116" s="445">
        <v>9</v>
      </c>
      <c r="W116" s="72">
        <v>22</v>
      </c>
      <c r="X116" s="70">
        <v>22</v>
      </c>
      <c r="Y116" s="70">
        <v>0</v>
      </c>
      <c r="Z116" s="70">
        <v>0</v>
      </c>
      <c r="AB116" s="421"/>
    </row>
    <row r="117" spans="1:28" s="49" customFormat="1">
      <c r="A117" s="45"/>
      <c r="B117" s="46"/>
      <c r="C117" s="53"/>
      <c r="D117" s="75"/>
      <c r="E117" s="75"/>
      <c r="F117" s="75"/>
      <c r="G117" s="75"/>
      <c r="H117" s="75"/>
      <c r="I117" s="75"/>
      <c r="J117" s="75"/>
      <c r="K117" s="75"/>
      <c r="L117" s="53"/>
      <c r="M117" s="53"/>
      <c r="N117" s="53"/>
      <c r="O117" s="53"/>
      <c r="P117" s="53"/>
      <c r="Q117" s="53"/>
      <c r="R117" s="53"/>
      <c r="S117" s="53"/>
      <c r="T117" s="53"/>
      <c r="U117" s="53"/>
      <c r="V117" s="53"/>
      <c r="W117" s="53"/>
      <c r="X117" s="53"/>
      <c r="Y117" s="53"/>
      <c r="Z117" s="53"/>
      <c r="AB117" s="421"/>
    </row>
    <row r="118" spans="1:28" ht="15.75" thickBot="1">
      <c r="A118" s="41" t="s">
        <v>697</v>
      </c>
      <c r="B118" s="42" t="s">
        <v>820</v>
      </c>
      <c r="C118" s="52"/>
      <c r="D118" s="52"/>
      <c r="E118" s="52"/>
      <c r="F118" s="52"/>
      <c r="G118" s="52"/>
      <c r="H118" s="52"/>
      <c r="I118" s="52"/>
      <c r="J118" s="52"/>
      <c r="K118" s="52"/>
      <c r="L118" s="52"/>
      <c r="M118" s="52"/>
      <c r="N118" s="52"/>
      <c r="O118" s="52"/>
      <c r="P118" s="52"/>
      <c r="Q118" s="52"/>
      <c r="R118" s="50">
        <v>3</v>
      </c>
      <c r="S118" s="51">
        <v>3.5</v>
      </c>
      <c r="T118" s="51">
        <v>4</v>
      </c>
      <c r="U118" s="51">
        <v>4.5</v>
      </c>
      <c r="V118" s="51">
        <v>5</v>
      </c>
      <c r="W118" s="51">
        <v>6.3333333333333339</v>
      </c>
      <c r="X118" s="51">
        <v>7.0000000000000009</v>
      </c>
      <c r="Y118" s="50">
        <v>7</v>
      </c>
      <c r="Z118" s="51">
        <v>7</v>
      </c>
      <c r="AA118" s="38">
        <v>10</v>
      </c>
      <c r="AB118" s="420">
        <v>0.4</v>
      </c>
    </row>
    <row r="119" spans="1:28" s="49" customFormat="1" ht="15.75" thickBot="1">
      <c r="A119" s="45"/>
      <c r="B119" s="46" t="s">
        <v>821</v>
      </c>
      <c r="C119" s="52"/>
      <c r="D119" s="52"/>
      <c r="E119" s="52"/>
      <c r="F119" s="52"/>
      <c r="G119" s="52"/>
      <c r="H119" s="52"/>
      <c r="I119" s="52"/>
      <c r="J119" s="52"/>
      <c r="K119" s="52"/>
      <c r="L119" s="52"/>
      <c r="M119" s="52"/>
      <c r="N119" s="52"/>
      <c r="O119" s="52"/>
      <c r="P119" s="52"/>
      <c r="Q119" s="52"/>
      <c r="R119" s="52">
        <v>3</v>
      </c>
      <c r="S119" s="442">
        <v>4</v>
      </c>
      <c r="T119" s="442">
        <v>7</v>
      </c>
      <c r="U119" s="442">
        <v>8</v>
      </c>
      <c r="V119" s="445">
        <v>8</v>
      </c>
      <c r="W119" s="72">
        <v>17</v>
      </c>
      <c r="X119" s="70">
        <v>17</v>
      </c>
      <c r="Y119" s="70">
        <v>0</v>
      </c>
      <c r="Z119" s="70">
        <v>0</v>
      </c>
      <c r="AB119" s="421"/>
    </row>
    <row r="120" spans="1:28" s="49" customFormat="1">
      <c r="A120" s="45"/>
      <c r="B120" s="46"/>
      <c r="C120" s="53"/>
      <c r="D120" s="75"/>
      <c r="E120" s="75"/>
      <c r="F120" s="75"/>
      <c r="G120" s="75"/>
      <c r="H120" s="75"/>
      <c r="I120" s="75"/>
      <c r="J120" s="75"/>
      <c r="K120" s="75"/>
      <c r="L120" s="53"/>
      <c r="M120" s="53"/>
      <c r="N120" s="53"/>
      <c r="O120" s="53"/>
      <c r="P120" s="53"/>
      <c r="Q120" s="53"/>
      <c r="R120" s="53"/>
      <c r="S120" s="53"/>
      <c r="T120" s="53"/>
      <c r="U120" s="53"/>
      <c r="V120" s="53"/>
      <c r="W120" s="53"/>
      <c r="X120" s="53"/>
      <c r="Y120" s="53"/>
      <c r="Z120" s="53"/>
      <c r="AB120" s="421"/>
    </row>
    <row r="121" spans="1:28" ht="15.75" thickBot="1">
      <c r="A121" s="41" t="s">
        <v>698</v>
      </c>
      <c r="B121" s="42" t="s">
        <v>822</v>
      </c>
      <c r="C121" s="52"/>
      <c r="D121" s="52"/>
      <c r="E121" s="52"/>
      <c r="F121" s="52"/>
      <c r="G121" s="52"/>
      <c r="H121" s="52"/>
      <c r="I121" s="52"/>
      <c r="J121" s="52"/>
      <c r="K121" s="52"/>
      <c r="L121" s="52"/>
      <c r="M121" s="52"/>
      <c r="N121" s="52"/>
      <c r="O121" s="52"/>
      <c r="P121" s="52"/>
      <c r="Q121" s="52"/>
      <c r="R121" s="50">
        <v>5</v>
      </c>
      <c r="S121" s="51">
        <v>5</v>
      </c>
      <c r="T121" s="51">
        <v>5</v>
      </c>
      <c r="U121" s="51">
        <v>5</v>
      </c>
      <c r="V121" s="51">
        <v>5</v>
      </c>
      <c r="W121" s="51">
        <v>6.6666666666666652</v>
      </c>
      <c r="X121" s="51">
        <v>6.9999999999999982</v>
      </c>
      <c r="Y121" s="50">
        <v>7</v>
      </c>
      <c r="Z121" s="51">
        <v>7</v>
      </c>
      <c r="AA121" s="38">
        <v>10</v>
      </c>
      <c r="AB121" s="420">
        <v>0.4</v>
      </c>
    </row>
    <row r="122" spans="1:28" s="49" customFormat="1" ht="15.75" thickBot="1">
      <c r="A122" s="45"/>
      <c r="B122" s="46" t="s">
        <v>823</v>
      </c>
      <c r="C122" s="52"/>
      <c r="D122" s="52"/>
      <c r="E122" s="52"/>
      <c r="F122" s="52"/>
      <c r="G122" s="52"/>
      <c r="H122" s="52"/>
      <c r="I122" s="52"/>
      <c r="J122" s="52"/>
      <c r="K122" s="52"/>
      <c r="L122" s="52"/>
      <c r="M122" s="52"/>
      <c r="N122" s="52"/>
      <c r="O122" s="52"/>
      <c r="P122" s="52"/>
      <c r="Q122" s="52"/>
      <c r="R122" s="52">
        <v>5</v>
      </c>
      <c r="S122" s="442">
        <v>5</v>
      </c>
      <c r="T122" s="442">
        <v>7</v>
      </c>
      <c r="U122" s="442">
        <v>8</v>
      </c>
      <c r="V122" s="445">
        <v>8</v>
      </c>
      <c r="W122" s="72">
        <v>9</v>
      </c>
      <c r="X122" s="70">
        <v>9</v>
      </c>
      <c r="Y122" s="70">
        <v>0</v>
      </c>
      <c r="Z122" s="70">
        <v>0</v>
      </c>
      <c r="AB122" s="421"/>
    </row>
    <row r="123" spans="1:28" s="49" customFormat="1">
      <c r="A123" s="45"/>
      <c r="B123" s="46"/>
      <c r="C123" s="53"/>
      <c r="D123" s="75"/>
      <c r="E123" s="75"/>
      <c r="F123" s="75"/>
      <c r="G123" s="75"/>
      <c r="H123" s="75"/>
      <c r="I123" s="75"/>
      <c r="J123" s="75"/>
      <c r="K123" s="75"/>
      <c r="L123" s="53"/>
      <c r="M123" s="53"/>
      <c r="N123" s="53"/>
      <c r="O123" s="53"/>
      <c r="P123" s="53"/>
      <c r="Q123" s="53"/>
      <c r="R123" s="53"/>
      <c r="S123" s="53"/>
      <c r="T123" s="53"/>
      <c r="U123" s="53"/>
      <c r="V123" s="53"/>
      <c r="W123" s="53"/>
      <c r="X123" s="53"/>
      <c r="Y123" s="53"/>
      <c r="Z123" s="53"/>
      <c r="AB123" s="421"/>
    </row>
    <row r="124" spans="1:28" ht="15.75" thickBot="1">
      <c r="A124" s="41" t="s">
        <v>699</v>
      </c>
      <c r="B124" s="42" t="s">
        <v>202</v>
      </c>
      <c r="C124" s="50">
        <v>0</v>
      </c>
      <c r="D124" s="73">
        <v>0.83333333333333337</v>
      </c>
      <c r="E124" s="73">
        <v>1.6666666666666667</v>
      </c>
      <c r="F124" s="73">
        <v>2.5</v>
      </c>
      <c r="G124" s="73">
        <v>3.3333333333333335</v>
      </c>
      <c r="H124" s="73">
        <v>4.166666666666667</v>
      </c>
      <c r="I124" s="74">
        <v>5</v>
      </c>
      <c r="J124" s="73">
        <v>5.833333333333333</v>
      </c>
      <c r="K124" s="73">
        <v>6.6666666666666661</v>
      </c>
      <c r="L124" s="51">
        <v>7.4999999999999991</v>
      </c>
      <c r="M124" s="51">
        <v>8.3333333333333321</v>
      </c>
      <c r="N124" s="50">
        <v>10</v>
      </c>
      <c r="O124" s="51">
        <v>9.5</v>
      </c>
      <c r="P124" s="51">
        <v>9</v>
      </c>
      <c r="Q124" s="51">
        <v>8.5</v>
      </c>
      <c r="R124" s="50">
        <v>8</v>
      </c>
      <c r="S124" s="51">
        <v>8.8333333333333339</v>
      </c>
      <c r="T124" s="51">
        <v>9.6666666666666679</v>
      </c>
      <c r="U124" s="51">
        <v>10.500000000000002</v>
      </c>
      <c r="V124" s="51">
        <v>11.333333333333336</v>
      </c>
      <c r="W124" s="51">
        <v>12.16666666666667</v>
      </c>
      <c r="X124" s="51">
        <v>13.000000000000004</v>
      </c>
      <c r="Y124" s="50">
        <v>13</v>
      </c>
      <c r="Z124" s="51">
        <v>13</v>
      </c>
      <c r="AA124" s="38">
        <v>10</v>
      </c>
      <c r="AB124" s="420">
        <v>0.4</v>
      </c>
    </row>
    <row r="125" spans="1:28" s="49" customFormat="1" ht="15.75" thickBot="1">
      <c r="A125" s="45"/>
      <c r="B125" s="46" t="s">
        <v>203</v>
      </c>
      <c r="C125" s="71">
        <v>0</v>
      </c>
      <c r="D125" s="441">
        <v>0</v>
      </c>
      <c r="E125" s="442">
        <v>0</v>
      </c>
      <c r="F125" s="442">
        <v>0</v>
      </c>
      <c r="G125" s="442">
        <v>0</v>
      </c>
      <c r="H125" s="442">
        <v>0</v>
      </c>
      <c r="I125" s="442">
        <v>0</v>
      </c>
      <c r="J125" s="442">
        <v>0</v>
      </c>
      <c r="K125" s="442">
        <v>0</v>
      </c>
      <c r="L125" s="442">
        <v>2</v>
      </c>
      <c r="M125" s="442">
        <v>2</v>
      </c>
      <c r="N125" s="442">
        <v>5</v>
      </c>
      <c r="O125" s="442">
        <v>6</v>
      </c>
      <c r="P125" s="442">
        <v>6</v>
      </c>
      <c r="Q125" s="442">
        <v>7</v>
      </c>
      <c r="R125" s="442">
        <v>8</v>
      </c>
      <c r="S125" s="442">
        <v>9</v>
      </c>
      <c r="T125" s="442">
        <v>10</v>
      </c>
      <c r="U125" s="442">
        <v>11</v>
      </c>
      <c r="V125" s="445">
        <v>12</v>
      </c>
      <c r="W125" s="72">
        <v>12</v>
      </c>
      <c r="X125" s="70">
        <v>14</v>
      </c>
      <c r="Y125" s="70">
        <v>0</v>
      </c>
      <c r="Z125" s="70">
        <v>0</v>
      </c>
      <c r="AB125" s="421"/>
    </row>
    <row r="126" spans="1:28">
      <c r="B126" s="46"/>
      <c r="AB126" s="420"/>
    </row>
    <row r="127" spans="1:28" ht="15.75" thickBot="1">
      <c r="A127" s="41" t="s">
        <v>700</v>
      </c>
      <c r="B127" s="42" t="s">
        <v>213</v>
      </c>
      <c r="C127" s="52"/>
      <c r="D127" s="52"/>
      <c r="E127" s="52"/>
      <c r="F127" s="52"/>
      <c r="G127" s="52"/>
      <c r="H127" s="52"/>
      <c r="I127" s="52"/>
      <c r="J127" s="52"/>
      <c r="K127" s="52"/>
      <c r="L127" s="52"/>
      <c r="M127" s="52"/>
      <c r="N127" s="52"/>
      <c r="O127" s="52"/>
      <c r="P127" s="52"/>
      <c r="Q127" s="52"/>
      <c r="R127" s="50">
        <v>4</v>
      </c>
      <c r="S127" s="51">
        <v>4.833333333333333</v>
      </c>
      <c r="T127" s="51">
        <v>5.6666666666666661</v>
      </c>
      <c r="U127" s="51">
        <v>6.4999999999999991</v>
      </c>
      <c r="V127" s="51">
        <v>7.3333333333333321</v>
      </c>
      <c r="W127" s="51">
        <v>6.5</v>
      </c>
      <c r="X127" s="51">
        <v>7</v>
      </c>
      <c r="Y127" s="50">
        <v>7</v>
      </c>
      <c r="Z127" s="51">
        <v>7</v>
      </c>
      <c r="AA127" s="38">
        <v>10</v>
      </c>
      <c r="AB127" s="420">
        <v>0.4</v>
      </c>
    </row>
    <row r="128" spans="1:28" s="49" customFormat="1" ht="15.75" thickBot="1">
      <c r="A128" s="45"/>
      <c r="B128" s="46" t="s">
        <v>212</v>
      </c>
      <c r="C128" s="52"/>
      <c r="D128" s="52"/>
      <c r="E128" s="52"/>
      <c r="F128" s="52"/>
      <c r="G128" s="52"/>
      <c r="H128" s="52"/>
      <c r="I128" s="52"/>
      <c r="J128" s="52"/>
      <c r="K128" s="52"/>
      <c r="L128" s="52"/>
      <c r="M128" s="52"/>
      <c r="N128" s="52"/>
      <c r="O128" s="52"/>
      <c r="P128" s="52"/>
      <c r="Q128" s="52"/>
      <c r="R128" s="52">
        <v>4</v>
      </c>
      <c r="S128" s="442">
        <v>5</v>
      </c>
      <c r="T128" s="442">
        <v>5</v>
      </c>
      <c r="U128" s="442">
        <v>6</v>
      </c>
      <c r="V128" s="445">
        <v>6</v>
      </c>
      <c r="W128" s="72">
        <v>6</v>
      </c>
      <c r="X128" s="70">
        <v>8</v>
      </c>
      <c r="Y128" s="70">
        <v>0</v>
      </c>
      <c r="Z128" s="70">
        <v>0</v>
      </c>
      <c r="AB128" s="421"/>
    </row>
    <row r="129" spans="1:28" s="49" customFormat="1">
      <c r="A129" s="45"/>
      <c r="B129" s="46"/>
      <c r="C129" s="53"/>
      <c r="D129" s="75"/>
      <c r="E129" s="75"/>
      <c r="F129" s="75"/>
      <c r="G129" s="75"/>
      <c r="H129" s="75"/>
      <c r="I129" s="75"/>
      <c r="J129" s="75"/>
      <c r="K129" s="75"/>
      <c r="L129" s="53"/>
      <c r="M129" s="53"/>
      <c r="N129" s="53"/>
      <c r="O129" s="53"/>
      <c r="P129" s="53"/>
      <c r="Q129" s="53"/>
      <c r="R129" s="53"/>
      <c r="S129" s="53"/>
      <c r="T129" s="53"/>
      <c r="U129" s="53"/>
      <c r="V129" s="53"/>
      <c r="W129" s="53"/>
      <c r="X129" s="53"/>
      <c r="Y129" s="53"/>
      <c r="Z129" s="53"/>
      <c r="AB129" s="421"/>
    </row>
    <row r="130" spans="1:28" ht="15.75" thickBot="1">
      <c r="A130" s="41" t="s">
        <v>701</v>
      </c>
      <c r="B130" s="42" t="s">
        <v>211</v>
      </c>
      <c r="C130" s="52"/>
      <c r="D130" s="52"/>
      <c r="E130" s="52"/>
      <c r="F130" s="52"/>
      <c r="G130" s="52"/>
      <c r="H130" s="52"/>
      <c r="I130" s="52"/>
      <c r="J130" s="52"/>
      <c r="K130" s="52"/>
      <c r="L130" s="52"/>
      <c r="M130" s="52"/>
      <c r="N130" s="52"/>
      <c r="O130" s="52"/>
      <c r="P130" s="52"/>
      <c r="Q130" s="52"/>
      <c r="R130" s="50">
        <v>3</v>
      </c>
      <c r="S130" s="51">
        <v>3.5</v>
      </c>
      <c r="T130" s="51">
        <v>4</v>
      </c>
      <c r="U130" s="51">
        <v>4.5</v>
      </c>
      <c r="V130" s="51">
        <v>5</v>
      </c>
      <c r="W130" s="51">
        <v>5.5</v>
      </c>
      <c r="X130" s="51">
        <v>6</v>
      </c>
      <c r="Y130" s="50">
        <v>6</v>
      </c>
      <c r="Z130" s="51">
        <v>6</v>
      </c>
      <c r="AA130" s="38">
        <v>5</v>
      </c>
      <c r="AB130" s="420">
        <v>0.2</v>
      </c>
    </row>
    <row r="131" spans="1:28" s="49" customFormat="1" ht="15.75" thickBot="1">
      <c r="A131" s="45"/>
      <c r="B131" s="46" t="s">
        <v>210</v>
      </c>
      <c r="C131" s="52"/>
      <c r="D131" s="52"/>
      <c r="E131" s="52"/>
      <c r="F131" s="52"/>
      <c r="G131" s="52"/>
      <c r="H131" s="52"/>
      <c r="I131" s="52"/>
      <c r="J131" s="52"/>
      <c r="K131" s="52"/>
      <c r="L131" s="52"/>
      <c r="M131" s="52"/>
      <c r="N131" s="52"/>
      <c r="O131" s="52"/>
      <c r="P131" s="52"/>
      <c r="Q131" s="52"/>
      <c r="R131" s="52">
        <v>3</v>
      </c>
      <c r="S131" s="442">
        <v>4</v>
      </c>
      <c r="T131" s="442">
        <v>4</v>
      </c>
      <c r="U131" s="442">
        <v>4</v>
      </c>
      <c r="V131" s="445">
        <v>4</v>
      </c>
      <c r="W131" s="72">
        <v>4</v>
      </c>
      <c r="X131" s="70">
        <v>4</v>
      </c>
      <c r="Y131" s="70">
        <v>0</v>
      </c>
      <c r="Z131" s="70">
        <v>0</v>
      </c>
      <c r="AB131" s="421"/>
    </row>
    <row r="132" spans="1:28" s="49" customFormat="1">
      <c r="A132" s="45"/>
      <c r="B132" s="46"/>
      <c r="C132" s="53"/>
      <c r="D132" s="75"/>
      <c r="E132" s="75"/>
      <c r="F132" s="75"/>
      <c r="G132" s="75"/>
      <c r="H132" s="75"/>
      <c r="I132" s="75"/>
      <c r="J132" s="75"/>
      <c r="K132" s="75"/>
      <c r="L132" s="53"/>
      <c r="M132" s="53"/>
      <c r="N132" s="53"/>
      <c r="O132" s="53"/>
      <c r="P132" s="53"/>
      <c r="Q132" s="53"/>
      <c r="R132" s="53"/>
      <c r="S132" s="53"/>
      <c r="T132" s="53"/>
      <c r="U132" s="53"/>
      <c r="V132" s="53"/>
      <c r="W132" s="53"/>
      <c r="X132" s="53"/>
      <c r="Y132" s="53"/>
      <c r="Z132" s="53"/>
      <c r="AB132" s="421"/>
    </row>
    <row r="133" spans="1:28" ht="15.75" thickBot="1">
      <c r="A133" s="41" t="s">
        <v>702</v>
      </c>
      <c r="B133" s="42" t="s">
        <v>209</v>
      </c>
      <c r="C133" s="52"/>
      <c r="D133" s="52"/>
      <c r="E133" s="52"/>
      <c r="F133" s="52"/>
      <c r="G133" s="52"/>
      <c r="H133" s="52"/>
      <c r="I133" s="52"/>
      <c r="J133" s="52"/>
      <c r="K133" s="52"/>
      <c r="L133" s="52"/>
      <c r="M133" s="52"/>
      <c r="N133" s="52"/>
      <c r="O133" s="52"/>
      <c r="P133" s="52"/>
      <c r="Q133" s="52"/>
      <c r="R133" s="50">
        <v>1</v>
      </c>
      <c r="S133" s="51">
        <v>1.1666666666666667</v>
      </c>
      <c r="T133" s="51">
        <v>1.3333333333333335</v>
      </c>
      <c r="U133" s="51">
        <v>1.5000000000000002</v>
      </c>
      <c r="V133" s="51">
        <v>1.666666666666667</v>
      </c>
      <c r="W133" s="51">
        <v>1.8333333333333337</v>
      </c>
      <c r="X133" s="51">
        <v>2.0000000000000004</v>
      </c>
      <c r="Y133" s="50">
        <v>2</v>
      </c>
      <c r="Z133" s="51">
        <v>2</v>
      </c>
      <c r="AA133" s="38">
        <v>5</v>
      </c>
      <c r="AB133" s="420">
        <v>0.2</v>
      </c>
    </row>
    <row r="134" spans="1:28" s="49" customFormat="1" ht="15.75" thickBot="1">
      <c r="A134" s="45"/>
      <c r="B134" s="46" t="s">
        <v>208</v>
      </c>
      <c r="C134" s="52"/>
      <c r="D134" s="52"/>
      <c r="E134" s="52"/>
      <c r="F134" s="52"/>
      <c r="G134" s="52"/>
      <c r="H134" s="52"/>
      <c r="I134" s="52"/>
      <c r="J134" s="52"/>
      <c r="K134" s="52"/>
      <c r="L134" s="52"/>
      <c r="M134" s="52"/>
      <c r="N134" s="52"/>
      <c r="O134" s="52"/>
      <c r="P134" s="52"/>
      <c r="Q134" s="52"/>
      <c r="R134" s="52">
        <v>1</v>
      </c>
      <c r="S134" s="442">
        <v>1</v>
      </c>
      <c r="T134" s="442">
        <v>1</v>
      </c>
      <c r="U134" s="442">
        <v>1</v>
      </c>
      <c r="V134" s="445">
        <v>1</v>
      </c>
      <c r="W134" s="72">
        <v>1</v>
      </c>
      <c r="X134" s="70">
        <v>1</v>
      </c>
      <c r="Y134" s="70">
        <v>0</v>
      </c>
      <c r="Z134" s="70">
        <v>0</v>
      </c>
      <c r="AB134" s="421"/>
    </row>
    <row r="135" spans="1:28" s="49" customFormat="1">
      <c r="A135" s="45"/>
      <c r="B135" s="46"/>
      <c r="C135" s="53"/>
      <c r="D135" s="75"/>
      <c r="E135" s="75"/>
      <c r="F135" s="75"/>
      <c r="G135" s="75"/>
      <c r="H135" s="75"/>
      <c r="I135" s="75"/>
      <c r="J135" s="75"/>
      <c r="K135" s="75"/>
      <c r="L135" s="53"/>
      <c r="M135" s="53"/>
      <c r="N135" s="53"/>
      <c r="O135" s="53"/>
      <c r="P135" s="53"/>
      <c r="Q135" s="53"/>
      <c r="R135" s="53"/>
      <c r="S135" s="53"/>
      <c r="T135" s="53"/>
      <c r="U135" s="53"/>
      <c r="V135" s="53"/>
      <c r="W135" s="53"/>
      <c r="X135" s="53"/>
      <c r="Y135" s="53"/>
      <c r="Z135" s="53"/>
      <c r="AB135" s="421"/>
    </row>
    <row r="136" spans="1:28" ht="15.75" thickBot="1">
      <c r="A136" s="41" t="s">
        <v>703</v>
      </c>
      <c r="B136" s="42" t="s">
        <v>824</v>
      </c>
      <c r="C136" s="52"/>
      <c r="D136" s="52"/>
      <c r="E136" s="52"/>
      <c r="F136" s="52"/>
      <c r="G136" s="52"/>
      <c r="H136" s="52"/>
      <c r="I136" s="52"/>
      <c r="J136" s="52"/>
      <c r="K136" s="52"/>
      <c r="L136" s="52"/>
      <c r="M136" s="52"/>
      <c r="N136" s="52"/>
      <c r="O136" s="52"/>
      <c r="P136" s="52"/>
      <c r="Q136" s="52"/>
      <c r="R136" s="50">
        <v>4</v>
      </c>
      <c r="S136" s="51">
        <v>4.666666666666667</v>
      </c>
      <c r="T136" s="51">
        <v>5.3333333333333339</v>
      </c>
      <c r="U136" s="51">
        <v>6.0000000000000009</v>
      </c>
      <c r="V136" s="51">
        <v>6.6666666666666679</v>
      </c>
      <c r="W136" s="51">
        <v>7.3333333333333348</v>
      </c>
      <c r="X136" s="51">
        <v>8.0000000000000018</v>
      </c>
      <c r="Y136" s="50">
        <v>8</v>
      </c>
      <c r="Z136" s="51">
        <v>8</v>
      </c>
      <c r="AA136" s="38">
        <v>10</v>
      </c>
      <c r="AB136" s="420">
        <v>0.4</v>
      </c>
    </row>
    <row r="137" spans="1:28" s="49" customFormat="1" ht="15.75" thickBot="1">
      <c r="A137" s="45"/>
      <c r="B137" s="46" t="s">
        <v>825</v>
      </c>
      <c r="C137" s="52"/>
      <c r="D137" s="52"/>
      <c r="E137" s="52"/>
      <c r="F137" s="52"/>
      <c r="G137" s="52"/>
      <c r="H137" s="52"/>
      <c r="I137" s="52"/>
      <c r="J137" s="52"/>
      <c r="K137" s="52"/>
      <c r="L137" s="52"/>
      <c r="M137" s="52"/>
      <c r="N137" s="52"/>
      <c r="O137" s="52"/>
      <c r="P137" s="52"/>
      <c r="Q137" s="52"/>
      <c r="R137" s="52">
        <v>4</v>
      </c>
      <c r="S137" s="442">
        <v>5</v>
      </c>
      <c r="T137" s="442">
        <v>6</v>
      </c>
      <c r="U137" s="442">
        <v>7</v>
      </c>
      <c r="V137" s="445">
        <v>7</v>
      </c>
      <c r="W137" s="72">
        <v>7</v>
      </c>
      <c r="X137" s="70">
        <v>8</v>
      </c>
      <c r="Y137" s="70">
        <v>0</v>
      </c>
      <c r="Z137" s="70">
        <v>0</v>
      </c>
      <c r="AB137" s="421"/>
    </row>
    <row r="138" spans="1:28">
      <c r="AB138" s="420"/>
    </row>
    <row r="139" spans="1:28" ht="15.75" thickBot="1">
      <c r="A139" s="41" t="s">
        <v>704</v>
      </c>
      <c r="B139" s="42" t="s">
        <v>826</v>
      </c>
      <c r="C139" s="52"/>
      <c r="D139" s="52"/>
      <c r="E139" s="52"/>
      <c r="F139" s="52"/>
      <c r="G139" s="52"/>
      <c r="H139" s="52"/>
      <c r="I139" s="52"/>
      <c r="J139" s="52"/>
      <c r="K139" s="52"/>
      <c r="L139" s="52"/>
      <c r="M139" s="52"/>
      <c r="N139" s="52"/>
      <c r="O139" s="52"/>
      <c r="P139" s="52"/>
      <c r="Q139" s="52"/>
      <c r="R139" s="50">
        <v>2</v>
      </c>
      <c r="S139" s="51">
        <v>2.1666666666666665</v>
      </c>
      <c r="T139" s="51">
        <v>2.333333333333333</v>
      </c>
      <c r="U139" s="51">
        <v>2.4999999999999996</v>
      </c>
      <c r="V139" s="51">
        <v>2.6666666666666661</v>
      </c>
      <c r="W139" s="51">
        <v>2.8333333333333326</v>
      </c>
      <c r="X139" s="51">
        <v>2.9999999999999991</v>
      </c>
      <c r="Y139" s="50">
        <v>3</v>
      </c>
      <c r="Z139" s="51">
        <v>3</v>
      </c>
      <c r="AA139" s="38">
        <v>10</v>
      </c>
      <c r="AB139" s="420">
        <v>0.4</v>
      </c>
    </row>
    <row r="140" spans="1:28" s="49" customFormat="1" ht="15.75" thickBot="1">
      <c r="A140" s="45"/>
      <c r="B140" s="46" t="s">
        <v>827</v>
      </c>
      <c r="C140" s="52"/>
      <c r="D140" s="52"/>
      <c r="E140" s="52"/>
      <c r="F140" s="52"/>
      <c r="G140" s="52"/>
      <c r="H140" s="52"/>
      <c r="I140" s="52"/>
      <c r="J140" s="52"/>
      <c r="K140" s="52"/>
      <c r="L140" s="52"/>
      <c r="M140" s="52"/>
      <c r="N140" s="52"/>
      <c r="O140" s="52"/>
      <c r="P140" s="52"/>
      <c r="Q140" s="52"/>
      <c r="R140" s="52">
        <v>2</v>
      </c>
      <c r="S140" s="442">
        <v>2</v>
      </c>
      <c r="T140" s="442">
        <v>2</v>
      </c>
      <c r="U140" s="442">
        <v>2</v>
      </c>
      <c r="V140" s="445">
        <v>3</v>
      </c>
      <c r="W140" s="72">
        <v>3</v>
      </c>
      <c r="X140" s="70">
        <v>4</v>
      </c>
      <c r="Y140" s="70">
        <v>0</v>
      </c>
      <c r="Z140" s="70">
        <v>0</v>
      </c>
      <c r="AB140" s="421"/>
    </row>
    <row r="141" spans="1:28" s="49" customFormat="1">
      <c r="A141" s="45"/>
      <c r="B141" s="46"/>
      <c r="C141" s="53"/>
      <c r="D141" s="75"/>
      <c r="E141" s="75"/>
      <c r="F141" s="75"/>
      <c r="G141" s="75"/>
      <c r="H141" s="75"/>
      <c r="I141" s="75"/>
      <c r="J141" s="75"/>
      <c r="K141" s="75"/>
      <c r="L141" s="53"/>
      <c r="M141" s="53"/>
      <c r="N141" s="53"/>
      <c r="O141" s="53"/>
      <c r="P141" s="53"/>
      <c r="Q141" s="53"/>
      <c r="R141" s="53"/>
      <c r="S141" s="53"/>
      <c r="T141" s="53"/>
      <c r="U141" s="53"/>
      <c r="V141" s="53"/>
      <c r="W141" s="53"/>
      <c r="X141" s="53"/>
      <c r="Y141" s="53"/>
      <c r="Z141" s="53"/>
      <c r="AB141" s="421"/>
    </row>
    <row r="142" spans="1:28" ht="15.75" thickBot="1">
      <c r="A142" s="41" t="s">
        <v>705</v>
      </c>
      <c r="B142" s="42" t="s">
        <v>828</v>
      </c>
      <c r="C142" s="52"/>
      <c r="D142" s="52"/>
      <c r="E142" s="52"/>
      <c r="F142" s="52"/>
      <c r="G142" s="52"/>
      <c r="H142" s="52"/>
      <c r="I142" s="52"/>
      <c r="J142" s="52"/>
      <c r="K142" s="52"/>
      <c r="L142" s="52"/>
      <c r="M142" s="52"/>
      <c r="N142" s="52"/>
      <c r="O142" s="52"/>
      <c r="P142" s="52"/>
      <c r="Q142" s="52"/>
      <c r="R142" s="50">
        <v>1</v>
      </c>
      <c r="S142" s="51">
        <v>1</v>
      </c>
      <c r="T142" s="51">
        <v>1</v>
      </c>
      <c r="U142" s="51">
        <v>1</v>
      </c>
      <c r="V142" s="51">
        <v>1</v>
      </c>
      <c r="W142" s="51">
        <v>1</v>
      </c>
      <c r="X142" s="51">
        <v>1</v>
      </c>
      <c r="Y142" s="50">
        <v>1</v>
      </c>
      <c r="Z142" s="51">
        <v>1</v>
      </c>
      <c r="AA142" s="38">
        <v>5</v>
      </c>
      <c r="AB142" s="420">
        <v>0.2</v>
      </c>
    </row>
    <row r="143" spans="1:28" s="49" customFormat="1" ht="15.75" thickBot="1">
      <c r="A143" s="45"/>
      <c r="B143" s="46" t="s">
        <v>829</v>
      </c>
      <c r="C143" s="52"/>
      <c r="D143" s="52"/>
      <c r="E143" s="52"/>
      <c r="F143" s="52"/>
      <c r="G143" s="52"/>
      <c r="H143" s="52"/>
      <c r="I143" s="52"/>
      <c r="J143" s="52"/>
      <c r="K143" s="52"/>
      <c r="L143" s="52"/>
      <c r="M143" s="52"/>
      <c r="N143" s="52"/>
      <c r="O143" s="52"/>
      <c r="P143" s="52"/>
      <c r="Q143" s="52"/>
      <c r="R143" s="52">
        <v>1</v>
      </c>
      <c r="S143" s="442">
        <v>1</v>
      </c>
      <c r="T143" s="442">
        <v>1</v>
      </c>
      <c r="U143" s="442">
        <v>1</v>
      </c>
      <c r="V143" s="445">
        <v>1</v>
      </c>
      <c r="W143" s="72">
        <v>1</v>
      </c>
      <c r="X143" s="70">
        <v>6</v>
      </c>
      <c r="Y143" s="70">
        <v>0</v>
      </c>
      <c r="Z143" s="70">
        <v>0</v>
      </c>
      <c r="AB143" s="421"/>
    </row>
    <row r="144" spans="1:28" s="49" customFormat="1">
      <c r="A144" s="45"/>
      <c r="B144" s="46"/>
      <c r="C144" s="53"/>
      <c r="D144" s="75"/>
      <c r="E144" s="75"/>
      <c r="F144" s="75"/>
      <c r="G144" s="75"/>
      <c r="H144" s="75"/>
      <c r="I144" s="75"/>
      <c r="J144" s="75"/>
      <c r="K144" s="75"/>
      <c r="L144" s="53"/>
      <c r="M144" s="53"/>
      <c r="N144" s="53"/>
      <c r="O144" s="53"/>
      <c r="P144" s="53"/>
      <c r="Q144" s="53"/>
      <c r="R144" s="53"/>
      <c r="S144" s="53"/>
      <c r="T144" s="53"/>
      <c r="U144" s="53"/>
      <c r="V144" s="53"/>
      <c r="W144" s="53"/>
      <c r="X144" s="53"/>
      <c r="Y144" s="53"/>
      <c r="Z144" s="53"/>
      <c r="AB144" s="421"/>
    </row>
    <row r="145" spans="1:28" ht="15.75" thickBot="1">
      <c r="A145" s="41" t="s">
        <v>706</v>
      </c>
      <c r="B145" s="42" t="s">
        <v>830</v>
      </c>
      <c r="C145" s="52"/>
      <c r="D145" s="52"/>
      <c r="E145" s="52"/>
      <c r="F145" s="52"/>
      <c r="G145" s="52"/>
      <c r="H145" s="52"/>
      <c r="I145" s="52"/>
      <c r="J145" s="52"/>
      <c r="K145" s="52"/>
      <c r="L145" s="52"/>
      <c r="M145" s="52"/>
      <c r="N145" s="52"/>
      <c r="O145" s="52"/>
      <c r="P145" s="52"/>
      <c r="Q145" s="52"/>
      <c r="R145" s="50">
        <v>1</v>
      </c>
      <c r="S145" s="51">
        <v>1</v>
      </c>
      <c r="T145" s="51">
        <v>1</v>
      </c>
      <c r="U145" s="51">
        <v>1</v>
      </c>
      <c r="V145" s="51">
        <v>1</v>
      </c>
      <c r="W145" s="51">
        <v>1</v>
      </c>
      <c r="X145" s="51">
        <v>1</v>
      </c>
      <c r="Y145" s="50">
        <v>1</v>
      </c>
      <c r="Z145" s="51">
        <v>1</v>
      </c>
      <c r="AA145" s="38">
        <v>5</v>
      </c>
      <c r="AB145" s="420">
        <v>0.2</v>
      </c>
    </row>
    <row r="146" spans="1:28" s="49" customFormat="1" ht="15.75" thickBot="1">
      <c r="A146" s="45"/>
      <c r="B146" s="46" t="s">
        <v>831</v>
      </c>
      <c r="C146" s="52"/>
      <c r="D146" s="52"/>
      <c r="E146" s="52"/>
      <c r="F146" s="52"/>
      <c r="G146" s="52"/>
      <c r="H146" s="52"/>
      <c r="I146" s="52"/>
      <c r="J146" s="52"/>
      <c r="K146" s="52"/>
      <c r="L146" s="52"/>
      <c r="M146" s="52"/>
      <c r="N146" s="52"/>
      <c r="O146" s="52"/>
      <c r="P146" s="52"/>
      <c r="Q146" s="52"/>
      <c r="R146" s="52">
        <v>1</v>
      </c>
      <c r="S146" s="442">
        <v>1</v>
      </c>
      <c r="T146" s="442">
        <v>1</v>
      </c>
      <c r="U146" s="442">
        <v>1</v>
      </c>
      <c r="V146" s="445">
        <v>1</v>
      </c>
      <c r="W146" s="72">
        <v>1</v>
      </c>
      <c r="X146" s="70">
        <v>2</v>
      </c>
      <c r="Y146" s="70">
        <v>0</v>
      </c>
      <c r="Z146" s="70">
        <v>0</v>
      </c>
      <c r="AB146" s="421"/>
    </row>
    <row r="147" spans="1:28" s="49" customFormat="1">
      <c r="A147" s="45"/>
      <c r="B147" s="46"/>
      <c r="C147" s="53"/>
      <c r="D147" s="75"/>
      <c r="E147" s="75"/>
      <c r="F147" s="75"/>
      <c r="G147" s="75"/>
      <c r="H147" s="75"/>
      <c r="I147" s="75"/>
      <c r="J147" s="75"/>
      <c r="K147" s="75"/>
      <c r="L147" s="53"/>
      <c r="M147" s="53"/>
      <c r="N147" s="53"/>
      <c r="O147" s="53"/>
      <c r="P147" s="53"/>
      <c r="Q147" s="53"/>
      <c r="R147" s="53"/>
      <c r="S147" s="53"/>
      <c r="T147" s="53"/>
      <c r="U147" s="53"/>
      <c r="V147" s="53"/>
      <c r="W147" s="53"/>
      <c r="X147" s="53"/>
      <c r="Y147" s="53"/>
      <c r="Z147" s="53"/>
      <c r="AB147" s="421"/>
    </row>
    <row r="148" spans="1:28" ht="14.25">
      <c r="A148" s="38"/>
    </row>
    <row r="149" spans="1:28">
      <c r="C149" s="55" t="s">
        <v>194</v>
      </c>
      <c r="D149" s="431"/>
      <c r="E149" s="432"/>
      <c r="F149" s="433"/>
    </row>
    <row r="150" spans="1:28">
      <c r="C150" s="55" t="s">
        <v>195</v>
      </c>
      <c r="D150" s="434" t="s">
        <v>196</v>
      </c>
      <c r="E150" s="435" t="s">
        <v>153</v>
      </c>
      <c r="F150" s="435" t="s">
        <v>154</v>
      </c>
      <c r="G150" s="435" t="s">
        <v>158</v>
      </c>
      <c r="H150" s="434" t="s">
        <v>197</v>
      </c>
    </row>
    <row r="151" spans="1:28">
      <c r="C151" s="55"/>
      <c r="D151" s="434"/>
      <c r="E151" s="435"/>
      <c r="F151" s="435"/>
      <c r="G151" s="435"/>
      <c r="H151" s="434"/>
    </row>
    <row r="153" spans="1:28" ht="14.25">
      <c r="A153" s="1356" t="s">
        <v>727</v>
      </c>
      <c r="B153" s="1356"/>
    </row>
    <row r="154" spans="1:28" ht="14.25">
      <c r="A154" s="1356"/>
      <c r="B154" s="1356"/>
    </row>
    <row r="155" spans="1:28" ht="14.25">
      <c r="A155" s="1356"/>
      <c r="B155" s="1356"/>
    </row>
    <row r="156" spans="1:28" ht="14.25">
      <c r="A156" s="1356"/>
      <c r="B156" s="1356"/>
    </row>
    <row r="157" spans="1:28" ht="14.25">
      <c r="A157" s="1356"/>
      <c r="B157" s="1356"/>
    </row>
  </sheetData>
  <sheetProtection password="CF55" sheet="1" objects="1" scenarios="1" selectLockedCells="1" selectUnlockedCells="1"/>
  <mergeCells count="7">
    <mergeCell ref="W1:Z1"/>
    <mergeCell ref="S1:V1"/>
    <mergeCell ref="A153:B157"/>
    <mergeCell ref="D1:G1"/>
    <mergeCell ref="H1:K1"/>
    <mergeCell ref="L1:N1"/>
    <mergeCell ref="O1:R1"/>
  </mergeCell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5" tint="0.39997558519241921"/>
  </sheetPr>
  <dimension ref="A1:AD460"/>
  <sheetViews>
    <sheetView topLeftCell="A70" workbookViewId="0">
      <selection activeCell="P22" sqref="P22:S22"/>
    </sheetView>
  </sheetViews>
  <sheetFormatPr defaultColWidth="9.140625" defaultRowHeight="12"/>
  <cols>
    <col min="1" max="1" width="20.85546875" style="138" customWidth="1"/>
    <col min="2" max="2" width="30.85546875" style="31" customWidth="1"/>
    <col min="3" max="5" width="65.85546875" style="146" customWidth="1"/>
    <col min="6" max="6" width="20.85546875" style="138" customWidth="1"/>
    <col min="7" max="16384" width="9.140625" style="121"/>
  </cols>
  <sheetData>
    <row r="1" spans="1:6" s="67" customFormat="1" ht="15.75">
      <c r="A1" s="119" t="str">
        <f>'Guide - wip'!A1</f>
        <v>SAVI Programme</v>
      </c>
      <c r="B1" s="120" t="s">
        <v>229</v>
      </c>
    </row>
    <row r="2" spans="1:6">
      <c r="A2" s="121"/>
      <c r="B2" s="121"/>
      <c r="C2" s="122"/>
      <c r="D2" s="122"/>
      <c r="E2" s="122"/>
      <c r="F2" s="121"/>
    </row>
    <row r="3" spans="1:6" ht="12.75" thickBot="1">
      <c r="A3" s="121"/>
      <c r="B3" s="121"/>
      <c r="C3" s="122"/>
      <c r="D3" s="122"/>
      <c r="E3" s="122"/>
      <c r="F3" s="121"/>
    </row>
    <row r="4" spans="1:6" s="29" customFormat="1" ht="12.75" thickBot="1">
      <c r="A4" s="904" t="s">
        <v>114</v>
      </c>
      <c r="B4" s="902" t="s">
        <v>113</v>
      </c>
      <c r="C4" s="896" t="s">
        <v>127</v>
      </c>
      <c r="D4" s="897"/>
      <c r="E4" s="897"/>
      <c r="F4" s="898"/>
    </row>
    <row r="5" spans="1:6" s="29" customFormat="1" ht="36.75" thickBot="1">
      <c r="A5" s="905"/>
      <c r="B5" s="903"/>
      <c r="C5" s="155" t="s">
        <v>129</v>
      </c>
      <c r="D5" s="155" t="s">
        <v>130</v>
      </c>
      <c r="E5" s="155" t="s">
        <v>571</v>
      </c>
      <c r="F5" s="155" t="s">
        <v>128</v>
      </c>
    </row>
    <row r="6" spans="1:6" ht="12.75" thickBot="1">
      <c r="A6" s="15" t="s">
        <v>50</v>
      </c>
      <c r="B6" s="3" t="s">
        <v>51</v>
      </c>
      <c r="C6" s="3"/>
      <c r="D6" s="3"/>
      <c r="E6" s="3"/>
      <c r="F6" s="3"/>
    </row>
    <row r="7" spans="1:6" ht="84.75" thickBot="1">
      <c r="A7" s="866" t="str">
        <f>'LF for 2012 AR'!A5</f>
        <v>Nigeria’s own resources used efficiently and effectively to achieve MDGs.</v>
      </c>
      <c r="B7" s="110" t="str">
        <f>'LF for 2012 AR'!B5</f>
        <v>Progress towards MDGs.</v>
      </c>
      <c r="C7" s="177" t="s">
        <v>570</v>
      </c>
      <c r="D7" s="178"/>
      <c r="E7" s="178"/>
      <c r="F7" s="167" t="s">
        <v>85</v>
      </c>
    </row>
    <row r="8" spans="1:6" ht="12.75" thickBot="1">
      <c r="A8" s="866"/>
      <c r="B8" s="3" t="s">
        <v>52</v>
      </c>
      <c r="C8" s="179"/>
      <c r="D8" s="179"/>
      <c r="E8" s="179"/>
      <c r="F8" s="30"/>
    </row>
    <row r="9" spans="1:6" ht="168.75" thickBot="1">
      <c r="A9" s="866"/>
      <c r="B9" s="110" t="str">
        <f>'LF for 2012 AR'!B10</f>
        <v>Level of citizens’ access to, use of and satisfaction with basic services in existing states.</v>
      </c>
      <c r="C9" s="177" t="s">
        <v>570</v>
      </c>
      <c r="D9" s="178"/>
      <c r="E9" s="178"/>
      <c r="F9" s="167" t="s">
        <v>87</v>
      </c>
    </row>
    <row r="10" spans="1:6" ht="12.75" thickBot="1">
      <c r="A10" s="867"/>
      <c r="B10" s="3" t="s">
        <v>53</v>
      </c>
      <c r="C10" s="180"/>
      <c r="D10" s="180"/>
      <c r="E10" s="180"/>
      <c r="F10" s="3"/>
    </row>
    <row r="11" spans="1:6" ht="45" customHeight="1" thickBot="1">
      <c r="A11" s="867"/>
      <c r="B11" s="111" t="str">
        <f>'LF for 2012 AR'!B15</f>
        <v>Level of citizen’s perceptions of state and local government performance.</v>
      </c>
      <c r="C11" s="177" t="s">
        <v>570</v>
      </c>
      <c r="D11" s="181"/>
      <c r="E11" s="181"/>
      <c r="F11" s="168" t="s">
        <v>84</v>
      </c>
    </row>
    <row r="12" spans="1:6" ht="12.75" thickBot="1">
      <c r="A12" s="15" t="s">
        <v>1</v>
      </c>
      <c r="B12" s="3" t="s">
        <v>24</v>
      </c>
      <c r="C12" s="180"/>
      <c r="D12" s="180"/>
      <c r="E12" s="180"/>
      <c r="F12" s="3"/>
    </row>
    <row r="13" spans="1:6" ht="408" customHeight="1" thickBot="1">
      <c r="A13" s="868" t="str">
        <f>'LF for 2012 AR'!A22</f>
        <v>The efficiency and effectiveness of selected state level governments’ use of public resources is enhanced.</v>
      </c>
      <c r="B13" s="110" t="str">
        <f>'LF for 2012 AR'!B22</f>
        <v>Level of accountability and responsiveness of state and local government.</v>
      </c>
      <c r="C13" s="751" t="s">
        <v>1130</v>
      </c>
      <c r="D13" s="752" t="s">
        <v>1131</v>
      </c>
      <c r="E13" s="753" t="s">
        <v>1132</v>
      </c>
      <c r="F13" s="167" t="s">
        <v>115</v>
      </c>
    </row>
    <row r="14" spans="1:6" ht="12.75" thickBot="1">
      <c r="A14" s="885"/>
      <c r="B14" s="3" t="s">
        <v>25</v>
      </c>
      <c r="C14" s="179"/>
      <c r="D14" s="179"/>
      <c r="E14" s="179"/>
      <c r="F14" s="30"/>
    </row>
    <row r="15" spans="1:6" ht="408.75" customHeight="1" thickBot="1">
      <c r="A15" s="885"/>
      <c r="B15" s="110" t="str">
        <f>'LF for 2012 AR'!B31</f>
        <v>Level of citizen’s satisfaction (including that of women and other socially excluded groups) with their ability to claim rights and hold government to account through democratic channels.</v>
      </c>
      <c r="C15" s="751" t="s">
        <v>1133</v>
      </c>
      <c r="D15" s="752" t="s">
        <v>1134</v>
      </c>
      <c r="E15" s="752" t="s">
        <v>1135</v>
      </c>
      <c r="F15" s="167" t="s">
        <v>116</v>
      </c>
    </row>
    <row r="16" spans="1:6" ht="12.75" thickBot="1">
      <c r="A16" s="885"/>
      <c r="B16" s="3" t="s">
        <v>37</v>
      </c>
      <c r="C16" s="180"/>
      <c r="D16" s="180"/>
      <c r="E16" s="180"/>
      <c r="F16" s="3"/>
    </row>
    <row r="17" spans="1:6" ht="45" customHeight="1" thickBot="1">
      <c r="A17" s="885"/>
      <c r="B17" s="130" t="str">
        <f>'LF for 2012 AR'!B40</f>
        <v>Extent of passage and implementation (by state houses of assembly and state governments) of key legislation that underpins good governance:
a). fiscal responsibility bill (FR),</v>
      </c>
      <c r="C17" s="891" t="s">
        <v>1136</v>
      </c>
      <c r="D17" s="888" t="s">
        <v>1137</v>
      </c>
      <c r="E17" s="888" t="s">
        <v>1138</v>
      </c>
      <c r="F17" s="873" t="s">
        <v>117</v>
      </c>
    </row>
    <row r="18" spans="1:6" ht="12.75" thickBot="1">
      <c r="A18" s="885"/>
      <c r="B18" s="131" t="str">
        <f>'LF for 2012 AR'!B42</f>
        <v>b). public procurement bill (PP),</v>
      </c>
      <c r="C18" s="892"/>
      <c r="D18" s="889"/>
      <c r="E18" s="889"/>
      <c r="F18" s="874"/>
    </row>
    <row r="19" spans="1:6" ht="24.75" thickBot="1">
      <c r="A19" s="885"/>
      <c r="B19" s="131" t="str">
        <f>'LF for 2012 AR'!B43</f>
        <v>c). freedom of information bill (FoI), and</v>
      </c>
      <c r="C19" s="892"/>
      <c r="D19" s="889"/>
      <c r="E19" s="889"/>
      <c r="F19" s="874"/>
    </row>
    <row r="20" spans="1:6" ht="360" customHeight="1" thickBot="1">
      <c r="A20" s="869"/>
      <c r="B20" s="132" t="str">
        <f>'LF for 2012 AR'!B44</f>
        <v>d). house service commission bill (SC).</v>
      </c>
      <c r="C20" s="893"/>
      <c r="D20" s="890"/>
      <c r="E20" s="890"/>
      <c r="F20" s="875"/>
    </row>
    <row r="21" spans="1:6" ht="12.75" thickBot="1">
      <c r="A21" s="7" t="s">
        <v>5</v>
      </c>
      <c r="B21" s="3" t="s">
        <v>22</v>
      </c>
      <c r="C21" s="180"/>
      <c r="D21" s="180"/>
      <c r="E21" s="180"/>
      <c r="F21" s="3"/>
    </row>
    <row r="22" spans="1:6" ht="408.75" customHeight="1" thickBot="1">
      <c r="A22" s="868" t="str">
        <f>'LF for 2012 AR'!A52</f>
        <v>State houses of assembly, civil society, media and citizens demonstrate more effectiveness in demanding better performance from government and holding government to account.</v>
      </c>
      <c r="B22" s="110" t="str">
        <f>'LF for 2012 AR'!B52</f>
        <v>Level of functionality of state houses of assembly as agents of voice and accountability.</v>
      </c>
      <c r="C22" s="751" t="s">
        <v>1139</v>
      </c>
      <c r="D22" s="752" t="s">
        <v>1140</v>
      </c>
      <c r="E22" s="753" t="s">
        <v>1141</v>
      </c>
      <c r="F22" s="167" t="s">
        <v>115</v>
      </c>
    </row>
    <row r="23" spans="1:6" ht="12.75" thickBot="1">
      <c r="A23" s="885"/>
      <c r="B23" s="3" t="s">
        <v>23</v>
      </c>
      <c r="C23" s="180"/>
      <c r="D23" s="180"/>
      <c r="E23" s="180"/>
      <c r="F23" s="3"/>
    </row>
    <row r="24" spans="1:6" ht="408.75" customHeight="1" thickBot="1">
      <c r="A24" s="885"/>
      <c r="B24" s="110" t="str">
        <f>'LF for 2012 AR'!B61</f>
        <v>Level of functionality of civil society as agents of voice and accountability.</v>
      </c>
      <c r="C24" s="751" t="s">
        <v>1142</v>
      </c>
      <c r="D24" s="752" t="s">
        <v>1143</v>
      </c>
      <c r="E24" s="753" t="s">
        <v>1144</v>
      </c>
      <c r="F24" s="167" t="s">
        <v>115</v>
      </c>
    </row>
    <row r="25" spans="1:6" ht="12.75" thickBot="1">
      <c r="A25" s="885"/>
      <c r="B25" s="3" t="s">
        <v>38</v>
      </c>
      <c r="C25" s="180"/>
      <c r="D25" s="180"/>
      <c r="E25" s="180"/>
      <c r="F25" s="3"/>
    </row>
    <row r="26" spans="1:6" ht="408" customHeight="1" thickBot="1">
      <c r="A26" s="885"/>
      <c r="B26" s="111" t="str">
        <f>'LF for 2012 AR'!B70</f>
        <v>Level of functionality of the media as agents of voice and accountability.</v>
      </c>
      <c r="C26" s="751" t="s">
        <v>1145</v>
      </c>
      <c r="D26" s="754" t="s">
        <v>1146</v>
      </c>
      <c r="E26" s="753" t="s">
        <v>1147</v>
      </c>
      <c r="F26" s="167" t="s">
        <v>115</v>
      </c>
    </row>
    <row r="27" spans="1:6" ht="12.75" thickBot="1">
      <c r="A27" s="885"/>
      <c r="B27" s="3" t="s">
        <v>39</v>
      </c>
      <c r="C27" s="180"/>
      <c r="D27" s="180"/>
      <c r="E27" s="180"/>
      <c r="F27" s="3"/>
    </row>
    <row r="28" spans="1:6" ht="56.1" customHeight="1" thickBot="1">
      <c r="A28" s="885"/>
      <c r="B28" s="134" t="str">
        <f>'LF for 2012 AR'!B79</f>
        <v>Cumulative number of demonstrable changes in policy and implementation (behavioural change, policy change and change in practice) by state government in response to public demand where there is evidence of attribution to SAVI's approach, a proportion of which:</v>
      </c>
      <c r="C28" s="891" t="s">
        <v>1148</v>
      </c>
      <c r="D28" s="888" t="s">
        <v>1149</v>
      </c>
      <c r="E28" s="888" t="s">
        <v>1150</v>
      </c>
      <c r="F28" s="879" t="s">
        <v>126</v>
      </c>
    </row>
    <row r="29" spans="1:6" ht="24.75" thickBot="1">
      <c r="A29" s="885"/>
      <c r="B29" s="131" t="str">
        <f>'LF for 2012 AR'!B81</f>
        <v>a). reflect the voice of women and other socially excluded groups,</v>
      </c>
      <c r="C29" s="892"/>
      <c r="D29" s="889"/>
      <c r="E29" s="889"/>
      <c r="F29" s="880"/>
    </row>
    <row r="30" spans="1:6" ht="12" customHeight="1" thickBot="1">
      <c r="A30" s="885"/>
      <c r="B30" s="131" t="str">
        <f>'LF for 2012 AR'!B82</f>
        <v xml:space="preserve">b). are indirectly attributable to SAVI, and </v>
      </c>
      <c r="C30" s="892"/>
      <c r="D30" s="889"/>
      <c r="E30" s="889"/>
      <c r="F30" s="880"/>
    </row>
    <row r="31" spans="1:6" ht="408.75" customHeight="1" thickBot="1">
      <c r="A31" s="869"/>
      <c r="B31" s="132" t="str">
        <f>'LF for 2012 AR'!B83</f>
        <v>c). are outside of focal states.</v>
      </c>
      <c r="C31" s="893"/>
      <c r="D31" s="890"/>
      <c r="E31" s="890"/>
      <c r="F31" s="881"/>
    </row>
    <row r="32" spans="1:6" ht="12.75" thickBot="1">
      <c r="A32" s="7" t="s">
        <v>11</v>
      </c>
      <c r="B32" s="3" t="s">
        <v>16</v>
      </c>
      <c r="C32" s="180"/>
      <c r="D32" s="180"/>
      <c r="E32" s="180"/>
      <c r="F32" s="3"/>
    </row>
    <row r="33" spans="1:6" ht="408.75" customHeight="1" thickBot="1">
      <c r="A33" s="866" t="str">
        <f>'LF for 2012 AR'!A91</f>
        <v>Civil society demonstrates a replicable and sustainable approach to issue-based policy advocacy and monitoring.</v>
      </c>
      <c r="B33" s="110" t="str">
        <f>'LF for 2012 AR'!B91</f>
        <v>Level of strength of civil society partnerships in terms of their internal capacity, external relations and skills in policy advocacy and monitoring.</v>
      </c>
      <c r="C33" s="751" t="s">
        <v>1151</v>
      </c>
      <c r="D33" s="752" t="s">
        <v>1152</v>
      </c>
      <c r="E33" s="752" t="s">
        <v>1153</v>
      </c>
      <c r="F33" s="167" t="s">
        <v>272</v>
      </c>
    </row>
    <row r="34" spans="1:6" ht="12.75" thickBot="1">
      <c r="A34" s="866"/>
      <c r="B34" s="3" t="s">
        <v>17</v>
      </c>
      <c r="C34" s="180"/>
      <c r="D34" s="180"/>
      <c r="E34" s="180"/>
      <c r="F34" s="3"/>
    </row>
    <row r="35" spans="1:6" ht="408.75" customHeight="1" thickBot="1">
      <c r="A35" s="866"/>
      <c r="B35" s="110" t="str">
        <f>'LF for 2012 AR'!B100</f>
        <v>Level of independence / dependence of civil society partnerships on SAVI support.</v>
      </c>
      <c r="C35" s="751" t="s">
        <v>1154</v>
      </c>
      <c r="D35" s="752" t="s">
        <v>1155</v>
      </c>
      <c r="E35" s="752" t="s">
        <v>1156</v>
      </c>
      <c r="F35" s="167" t="s">
        <v>118</v>
      </c>
    </row>
    <row r="36" spans="1:6" ht="12.75" thickBot="1">
      <c r="A36" s="866"/>
      <c r="B36" s="3" t="s">
        <v>18</v>
      </c>
      <c r="C36" s="180"/>
      <c r="D36" s="180"/>
      <c r="E36" s="180"/>
      <c r="F36" s="3"/>
    </row>
    <row r="37" spans="1:6" ht="342" customHeight="1" thickBot="1">
      <c r="A37" s="866"/>
      <c r="B37" s="110" t="str">
        <f>'LF for 2012 AR'!B109</f>
        <v>Cumulative number of civil society partnerships emerging in other sub-sectors, sectors and states which have based key aspects of their approach on that of SAVI-supported partnerships.</v>
      </c>
      <c r="C37" s="751" t="s">
        <v>1157</v>
      </c>
      <c r="D37" s="752" t="s">
        <v>1158</v>
      </c>
      <c r="E37" s="752" t="s">
        <v>1159</v>
      </c>
      <c r="F37" s="167" t="s">
        <v>119</v>
      </c>
    </row>
    <row r="38" spans="1:6" ht="12.75" thickBot="1">
      <c r="A38" s="15" t="s">
        <v>15</v>
      </c>
      <c r="B38" s="3" t="s">
        <v>19</v>
      </c>
      <c r="C38" s="180"/>
      <c r="D38" s="180"/>
      <c r="E38" s="180"/>
      <c r="F38" s="3"/>
    </row>
    <row r="39" spans="1:6" ht="408" customHeight="1" thickBot="1">
      <c r="A39" s="882" t="str">
        <f>'LF for 2012 AR'!A120</f>
        <v>Civil society demonstrates a replicable and sustainable approach to facilitating public involvement in government budget and planning processes.</v>
      </c>
      <c r="B39" s="110" t="str">
        <f>'LF for 2012 AR'!B120</f>
        <v>Level of strength of civil society partnerships in terms of their internal capacity, external relations and skills in facilitating public involvement in government budget and planning processes.</v>
      </c>
      <c r="C39" s="751" t="s">
        <v>1160</v>
      </c>
      <c r="D39" s="754" t="s">
        <v>1161</v>
      </c>
      <c r="E39" s="752" t="s">
        <v>1162</v>
      </c>
      <c r="F39" s="167" t="s">
        <v>272</v>
      </c>
    </row>
    <row r="40" spans="1:6" ht="12.75" thickBot="1">
      <c r="A40" s="867"/>
      <c r="B40" s="3" t="s">
        <v>20</v>
      </c>
      <c r="C40" s="180"/>
      <c r="D40" s="180"/>
      <c r="E40" s="180"/>
      <c r="F40" s="3"/>
    </row>
    <row r="41" spans="1:6" ht="408" customHeight="1" thickBot="1">
      <c r="A41" s="867"/>
      <c r="B41" s="110" t="str">
        <f>'LF for 2012 AR'!B129</f>
        <v>Level of independence / dependence of civil society partnerships on SAVI support.</v>
      </c>
      <c r="C41" s="751" t="s">
        <v>1163</v>
      </c>
      <c r="D41" s="752" t="s">
        <v>1164</v>
      </c>
      <c r="E41" s="752" t="s">
        <v>1156</v>
      </c>
      <c r="F41" s="167" t="s">
        <v>118</v>
      </c>
    </row>
    <row r="42" spans="1:6" ht="12.75" thickBot="1">
      <c r="A42" s="867"/>
      <c r="B42" s="3" t="s">
        <v>21</v>
      </c>
      <c r="C42" s="180"/>
      <c r="D42" s="180"/>
      <c r="E42" s="180"/>
      <c r="F42" s="3"/>
    </row>
    <row r="43" spans="1:6" ht="408" customHeight="1" thickBot="1">
      <c r="A43" s="867"/>
      <c r="B43" s="111" t="str">
        <f>'LF for 2012 AR'!B138</f>
        <v>Cumulative number of issue-based civil society partnerships supported by these budget and planning process partnerships through replication of key aspects of their approaches to facilitating public involvement.</v>
      </c>
      <c r="C43" s="751" t="s">
        <v>1165</v>
      </c>
      <c r="D43" s="752" t="s">
        <v>1166</v>
      </c>
      <c r="E43" s="752" t="s">
        <v>1167</v>
      </c>
      <c r="F43" s="167" t="s">
        <v>119</v>
      </c>
    </row>
    <row r="44" spans="1:6" ht="12" customHeight="1" thickBot="1">
      <c r="A44" s="7" t="s">
        <v>26</v>
      </c>
      <c r="B44" s="3" t="s">
        <v>29</v>
      </c>
      <c r="C44" s="180"/>
      <c r="D44" s="180"/>
      <c r="E44" s="180"/>
      <c r="F44" s="3"/>
    </row>
    <row r="45" spans="1:6" ht="66.95" customHeight="1" thickBot="1">
      <c r="A45" s="882" t="str">
        <f>'LF for 2012 AR'!A149</f>
        <v>More open and inclusive systems of communication and improved understanding between citizens, CS, media, SHoA and government.</v>
      </c>
      <c r="B45" s="135" t="str">
        <f>'LF for 2012 AR'!B149</f>
        <v>Cumulative number of partnerships supported by SAVI (for demonstration) and by local partners (for replication) under all five Outputs progressively supported by the leadership in civil society, the media, state houses of assembly and government: i.e:
a). permitting &gt;</v>
      </c>
      <c r="C45" s="891" t="s">
        <v>1168</v>
      </c>
      <c r="D45" s="888" t="s">
        <v>1169</v>
      </c>
      <c r="E45" s="888" t="s">
        <v>1170</v>
      </c>
      <c r="F45" s="879" t="s">
        <v>420</v>
      </c>
    </row>
    <row r="46" spans="1:6" ht="12.75" thickBot="1">
      <c r="A46" s="882"/>
      <c r="B46" s="131" t="str">
        <f>'LF for 2012 AR'!B151</f>
        <v xml:space="preserve">b). facilitating &gt; </v>
      </c>
      <c r="C46" s="892"/>
      <c r="D46" s="889"/>
      <c r="E46" s="889"/>
      <c r="F46" s="880"/>
    </row>
    <row r="47" spans="1:6" ht="12.75" thickBot="1">
      <c r="A47" s="882"/>
      <c r="B47" s="131" t="str">
        <f>'LF for 2012 AR'!B152</f>
        <v>c). promoting &gt;</v>
      </c>
      <c r="C47" s="892"/>
      <c r="D47" s="889"/>
      <c r="E47" s="889"/>
      <c r="F47" s="880"/>
    </row>
    <row r="48" spans="1:6" ht="294" customHeight="1" thickBot="1">
      <c r="A48" s="882"/>
      <c r="B48" s="132" t="str">
        <f>'LF for 2012 AR'!B153</f>
        <v>d). institutionalising their subordinates participation.</v>
      </c>
      <c r="C48" s="893"/>
      <c r="D48" s="890"/>
      <c r="E48" s="890"/>
      <c r="F48" s="881"/>
    </row>
    <row r="49" spans="1:6" ht="12" customHeight="1" thickBot="1">
      <c r="A49" s="882"/>
      <c r="B49" s="3" t="s">
        <v>30</v>
      </c>
      <c r="C49" s="180"/>
      <c r="D49" s="180"/>
      <c r="E49" s="180"/>
      <c r="F49" s="3"/>
    </row>
    <row r="50" spans="1:6" ht="56.1" customHeight="1" thickBot="1">
      <c r="A50" s="882"/>
      <c r="B50" s="135" t="str">
        <f>'LF for 2012 AR'!B155</f>
        <v>Cumulative number of partnerships supported by SAVI (for demonstration) and by local partners (for replication) under all five Outputs progressively including the voice of women and other socially excluded groups: i.e:
a). permitting &gt;</v>
      </c>
      <c r="C50" s="891" t="s">
        <v>1171</v>
      </c>
      <c r="D50" s="888" t="s">
        <v>1172</v>
      </c>
      <c r="E50" s="888" t="s">
        <v>1173</v>
      </c>
      <c r="F50" s="879" t="s">
        <v>420</v>
      </c>
    </row>
    <row r="51" spans="1:6" ht="12.75" thickBot="1">
      <c r="A51" s="882"/>
      <c r="B51" s="131" t="str">
        <f>'LF for 2012 AR'!B157</f>
        <v xml:space="preserve">b). facilitating &gt; </v>
      </c>
      <c r="C51" s="892"/>
      <c r="D51" s="889"/>
      <c r="E51" s="889"/>
      <c r="F51" s="880"/>
    </row>
    <row r="52" spans="1:6" ht="12.75" thickBot="1">
      <c r="A52" s="882"/>
      <c r="B52" s="131" t="str">
        <f>'LF for 2012 AR'!B158</f>
        <v>c). promoting &gt;</v>
      </c>
      <c r="C52" s="892"/>
      <c r="D52" s="889"/>
      <c r="E52" s="889"/>
      <c r="F52" s="880"/>
    </row>
    <row r="53" spans="1:6" ht="369" customHeight="1" thickBot="1">
      <c r="A53" s="882"/>
      <c r="B53" s="132" t="str">
        <f>'LF for 2012 AR'!B159</f>
        <v>d). institutionalising their inclusion.</v>
      </c>
      <c r="C53" s="893"/>
      <c r="D53" s="890"/>
      <c r="E53" s="890"/>
      <c r="F53" s="881"/>
    </row>
    <row r="54" spans="1:6" ht="12.75" thickBot="1">
      <c r="A54" s="882"/>
      <c r="B54" s="3" t="s">
        <v>31</v>
      </c>
      <c r="C54" s="180"/>
      <c r="D54" s="180"/>
      <c r="E54" s="180"/>
      <c r="F54" s="3"/>
    </row>
    <row r="55" spans="1:6" ht="56.1" customHeight="1" thickBot="1">
      <c r="A55" s="882"/>
      <c r="B55" s="135" t="str">
        <f>'LF for 2012 AR'!B161</f>
        <v>Extent of public understanding of the expected roles and responsibilities of civil society, the media, state houses of assembly, government and citizens in improving voice and accountability:
a). among SAVI's local partners,</v>
      </c>
      <c r="C55" s="891" t="s">
        <v>1174</v>
      </c>
      <c r="D55" s="888" t="s">
        <v>1175</v>
      </c>
      <c r="E55" s="888" t="s">
        <v>1176</v>
      </c>
      <c r="F55" s="879" t="s">
        <v>121</v>
      </c>
    </row>
    <row r="56" spans="1:6" ht="252" customHeight="1" thickBot="1">
      <c r="A56" s="882"/>
      <c r="B56" s="132" t="str">
        <f>'LF for 2012 AR'!B165</f>
        <v>b). among state citizens.</v>
      </c>
      <c r="C56" s="893"/>
      <c r="D56" s="890"/>
      <c r="E56" s="890"/>
      <c r="F56" s="881"/>
    </row>
    <row r="57" spans="1:6" ht="12.75" thickBot="1">
      <c r="A57" s="882"/>
      <c r="B57" s="3" t="s">
        <v>40</v>
      </c>
      <c r="C57" s="180"/>
      <c r="D57" s="180"/>
      <c r="E57" s="180"/>
      <c r="F57" s="3"/>
    </row>
    <row r="58" spans="1:6" ht="408.75" customHeight="1" thickBot="1">
      <c r="A58" s="882"/>
      <c r="B58" s="151" t="str">
        <f>'LF for 2012 AR'!B171</f>
        <v>Level of quality of coverage of SAVI-related policy issues and govt budget and planning processes by SAVI supported media partners.</v>
      </c>
      <c r="C58" s="751" t="s">
        <v>1177</v>
      </c>
      <c r="D58" s="754" t="s">
        <v>1178</v>
      </c>
      <c r="E58" s="754" t="s">
        <v>1179</v>
      </c>
      <c r="F58" s="167" t="s">
        <v>122</v>
      </c>
    </row>
    <row r="59" spans="1:6" ht="12.75" thickBot="1">
      <c r="A59" s="7" t="s">
        <v>28</v>
      </c>
      <c r="B59" s="3" t="s">
        <v>32</v>
      </c>
      <c r="C59" s="180"/>
      <c r="D59" s="180"/>
      <c r="E59" s="180"/>
      <c r="F59" s="3"/>
    </row>
    <row r="60" spans="1:6" ht="408.75" customHeight="1" thickBot="1">
      <c r="A60" s="873" t="str">
        <f>'LF for 2012 AR'!A186</f>
        <v>Improved systems of transparency, public engagement and financial oversight in state houses of assembly.</v>
      </c>
      <c r="B60" s="110" t="str">
        <f>'LF for 2012 AR'!B186</f>
        <v>Level of quality of systems for recruitment and retention of house support staff and aides.</v>
      </c>
      <c r="C60" s="751" t="s">
        <v>1180</v>
      </c>
      <c r="D60" s="754" t="s">
        <v>1181</v>
      </c>
      <c r="E60" s="754" t="s">
        <v>1182</v>
      </c>
      <c r="F60" s="167" t="s">
        <v>123</v>
      </c>
    </row>
    <row r="61" spans="1:6" ht="12.75" thickBot="1">
      <c r="A61" s="874"/>
      <c r="B61" s="3" t="s">
        <v>33</v>
      </c>
      <c r="C61" s="180"/>
      <c r="D61" s="180"/>
      <c r="E61" s="180"/>
      <c r="F61" s="3"/>
    </row>
    <row r="62" spans="1:6" ht="408" customHeight="1" thickBot="1">
      <c r="A62" s="874"/>
      <c r="B62" s="110" t="str">
        <f>'LF for 2012 AR'!B195</f>
        <v>Level of quality of systems for induction and monitoring of compliance with house rules &amp; procedures.</v>
      </c>
      <c r="C62" s="751" t="s">
        <v>1183</v>
      </c>
      <c r="D62" s="754" t="s">
        <v>1184</v>
      </c>
      <c r="E62" s="754" t="s">
        <v>1185</v>
      </c>
      <c r="F62" s="167" t="s">
        <v>123</v>
      </c>
    </row>
    <row r="63" spans="1:6" ht="12.75" thickBot="1">
      <c r="A63" s="874"/>
      <c r="B63" s="3" t="s">
        <v>34</v>
      </c>
      <c r="C63" s="180"/>
      <c r="D63" s="180"/>
      <c r="E63" s="180"/>
      <c r="F63" s="3"/>
    </row>
    <row r="64" spans="1:6" ht="408" customHeight="1" thickBot="1">
      <c r="A64" s="874"/>
      <c r="B64" s="110" t="str">
        <f>'LF for 2012 AR'!B204</f>
        <v>Level of quality of systems for public access to information and processes in the house and representation of public interests by members.</v>
      </c>
      <c r="C64" s="751" t="s">
        <v>1186</v>
      </c>
      <c r="D64" s="754" t="s">
        <v>1187</v>
      </c>
      <c r="E64" s="754" t="s">
        <v>1188</v>
      </c>
      <c r="F64" s="167" t="s">
        <v>123</v>
      </c>
    </row>
    <row r="65" spans="1:30" ht="12.75" thickBot="1">
      <c r="A65" s="874"/>
      <c r="B65" s="3" t="s">
        <v>41</v>
      </c>
      <c r="C65" s="180"/>
      <c r="D65" s="180"/>
      <c r="E65" s="180"/>
      <c r="F65" s="3"/>
    </row>
    <row r="66" spans="1:30" ht="408" customHeight="1" thickBot="1">
      <c r="A66" s="874"/>
      <c r="B66" s="151" t="str">
        <f>'LF for 2012 AR'!B213</f>
        <v>Level of quality of systems for scrutinizing public financial documents in the house.</v>
      </c>
      <c r="C66" s="751" t="s">
        <v>1189</v>
      </c>
      <c r="D66" s="754" t="s">
        <v>1190</v>
      </c>
      <c r="E66" s="754" t="s">
        <v>1191</v>
      </c>
      <c r="F66" s="167" t="s">
        <v>123</v>
      </c>
    </row>
    <row r="67" spans="1:30" ht="12.75" thickBot="1">
      <c r="A67" s="874"/>
      <c r="B67" s="3" t="s">
        <v>42</v>
      </c>
      <c r="C67" s="180"/>
      <c r="D67" s="180"/>
      <c r="E67" s="180"/>
      <c r="F67" s="3"/>
    </row>
    <row r="68" spans="1:30" ht="45" customHeight="1" thickBot="1">
      <c r="A68" s="874"/>
      <c r="B68" s="130" t="str">
        <f>'LF for 2012 AR'!B222</f>
        <v>Cumulative number of house committees and state houses improving the quality of their systems based on approaches initially demonstrated with SAVI support:
a). house committees,</v>
      </c>
      <c r="C68" s="891" t="s">
        <v>1192</v>
      </c>
      <c r="D68" s="894" t="s">
        <v>1193</v>
      </c>
      <c r="E68" s="894" t="s">
        <v>1194</v>
      </c>
      <c r="F68" s="879" t="s">
        <v>124</v>
      </c>
    </row>
    <row r="69" spans="1:30" ht="408.75" customHeight="1" thickBot="1">
      <c r="A69" s="875"/>
      <c r="B69" s="132" t="str">
        <f>'LF for 2012 AR'!B225</f>
        <v>b). state houses.</v>
      </c>
      <c r="C69" s="893"/>
      <c r="D69" s="895"/>
      <c r="E69" s="895"/>
      <c r="F69" s="881"/>
    </row>
    <row r="70" spans="1:30" ht="12.75" thickBot="1">
      <c r="A70" s="7" t="s">
        <v>27</v>
      </c>
      <c r="B70" s="3" t="s">
        <v>35</v>
      </c>
      <c r="C70" s="180"/>
      <c r="D70" s="180"/>
      <c r="E70" s="180"/>
      <c r="F70" s="3"/>
    </row>
    <row r="71" spans="1:30" ht="408" customHeight="1" thickBot="1">
      <c r="A71" s="868" t="str">
        <f>'LF for 2012 AR'!A234</f>
        <v>Other development partners take a more sustainable and replicable approach to strengthening voice and accountability.</v>
      </c>
      <c r="B71" s="110" t="str">
        <f>'LF for 2012 AR'!B234</f>
        <v>Cumulative number of other development partners accessing relevant and useful lessons learnt by SAVI and its local partners.</v>
      </c>
      <c r="C71" s="751" t="s">
        <v>1195</v>
      </c>
      <c r="D71" s="752" t="s">
        <v>1196</v>
      </c>
      <c r="E71" s="752" t="s">
        <v>1197</v>
      </c>
      <c r="F71" s="167" t="s">
        <v>125</v>
      </c>
    </row>
    <row r="72" spans="1:30" ht="12.75" thickBot="1">
      <c r="A72" s="885"/>
      <c r="B72" s="3" t="s">
        <v>36</v>
      </c>
      <c r="C72" s="180"/>
      <c r="D72" s="180"/>
      <c r="E72" s="180"/>
      <c r="F72" s="3"/>
    </row>
    <row r="73" spans="1:30" ht="408.95" customHeight="1" thickBot="1">
      <c r="A73" s="885"/>
      <c r="B73" s="144" t="str">
        <f>'LF for 2012 AR'!B239</f>
        <v>Cumulative number of firm commitments by other development partners to replicate key aspects of SAVI and its local partners approaches.</v>
      </c>
      <c r="C73" s="751" t="s">
        <v>1198</v>
      </c>
      <c r="D73" s="752" t="s">
        <v>1199</v>
      </c>
      <c r="E73" s="752" t="s">
        <v>1200</v>
      </c>
      <c r="F73" s="167" t="s">
        <v>125</v>
      </c>
    </row>
    <row r="74" spans="1:30" ht="12.75" thickBot="1">
      <c r="A74" s="885"/>
      <c r="B74" s="3" t="s">
        <v>600</v>
      </c>
      <c r="C74" s="180"/>
      <c r="D74" s="180"/>
      <c r="E74" s="180"/>
      <c r="F74" s="3"/>
    </row>
    <row r="75" spans="1:30" ht="249.95" customHeight="1">
      <c r="A75" s="885"/>
      <c r="B75" s="868" t="str">
        <f>[2]Logframe!B182</f>
        <v>Depth of SAVI and its local partners’ learning/approaches being taken up by other development partners (organisations).</v>
      </c>
      <c r="C75" s="891" t="s">
        <v>1127</v>
      </c>
      <c r="D75" s="888" t="s">
        <v>1128</v>
      </c>
      <c r="E75" s="888" t="s">
        <v>1129</v>
      </c>
      <c r="F75" s="879" t="str">
        <f>[2]Logframe!D186</f>
        <v>SAVI ‘results / replication diaries’ kept by state, national and UK-based teams.</v>
      </c>
    </row>
    <row r="76" spans="1:30" ht="356.1" customHeight="1" thickBot="1">
      <c r="A76" s="869"/>
      <c r="B76" s="869"/>
      <c r="C76" s="893"/>
      <c r="D76" s="890"/>
      <c r="E76" s="890"/>
      <c r="F76" s="881"/>
    </row>
    <row r="77" spans="1:30">
      <c r="C77" s="31"/>
      <c r="D77" s="31"/>
      <c r="E77" s="31"/>
      <c r="F77" s="32"/>
      <c r="G77" s="31"/>
      <c r="H77" s="31"/>
      <c r="I77" s="31"/>
      <c r="J77" s="31"/>
      <c r="K77" s="31"/>
      <c r="L77" s="31"/>
      <c r="M77" s="31"/>
      <c r="N77" s="31"/>
      <c r="O77" s="31"/>
      <c r="P77" s="31"/>
      <c r="Q77" s="31"/>
      <c r="R77" s="31"/>
      <c r="S77" s="31"/>
      <c r="T77" s="31"/>
      <c r="U77" s="31"/>
      <c r="V77" s="31"/>
      <c r="W77" s="31"/>
      <c r="X77" s="31"/>
      <c r="Y77" s="31"/>
      <c r="Z77" s="31"/>
      <c r="AA77" s="31"/>
      <c r="AB77" s="31"/>
      <c r="AC77" s="31"/>
      <c r="AD77" s="31"/>
    </row>
    <row r="78" spans="1:30" ht="12.75" thickBot="1">
      <c r="C78" s="31"/>
      <c r="D78" s="31"/>
      <c r="E78" s="31"/>
      <c r="F78" s="32"/>
      <c r="G78" s="31"/>
      <c r="H78" s="31"/>
      <c r="I78" s="31"/>
      <c r="J78" s="31"/>
      <c r="K78" s="31"/>
      <c r="L78" s="31"/>
      <c r="M78" s="31"/>
      <c r="N78" s="31"/>
      <c r="O78" s="31"/>
      <c r="P78" s="31"/>
      <c r="Q78" s="31"/>
      <c r="R78" s="31"/>
      <c r="S78" s="31"/>
      <c r="T78" s="31"/>
      <c r="U78" s="31"/>
      <c r="V78" s="31"/>
      <c r="W78" s="31"/>
      <c r="X78" s="31"/>
      <c r="Y78" s="31"/>
      <c r="Z78" s="31"/>
      <c r="AA78" s="31"/>
      <c r="AB78" s="31"/>
      <c r="AC78" s="31"/>
      <c r="AD78" s="31"/>
    </row>
    <row r="79" spans="1:30" ht="12.75" thickBot="1">
      <c r="A79" s="33" t="s">
        <v>131</v>
      </c>
      <c r="B79" s="33" t="s">
        <v>134</v>
      </c>
      <c r="C79" s="33"/>
      <c r="D79" s="33"/>
      <c r="E79" s="33"/>
      <c r="F79" s="33"/>
    </row>
    <row r="80" spans="1:30" ht="168.75" thickBot="1">
      <c r="A80" s="868"/>
      <c r="B80" s="110" t="str">
        <f>'LF for 2012 AR'!X22</f>
        <v>• State governments continue to prioritise the MDGs in the allocation and use of public resources.
• Levels and fluctuations in oil revenues do not unduly undermine fiscal stability.
• Sectoral SLPs achieve sustainable improvements in sector performance.
• Sustainable improvements in key service delivery are achieved.
• Governors forum influences passage of legislation relating to fiscal discipline.</v>
      </c>
      <c r="C80" s="156" t="s">
        <v>132</v>
      </c>
      <c r="D80" s="154"/>
      <c r="E80" s="154"/>
      <c r="F80" s="128"/>
    </row>
    <row r="81" spans="1:30" ht="12.75" thickBot="1">
      <c r="A81" s="885"/>
      <c r="B81" s="33" t="s">
        <v>135</v>
      </c>
      <c r="C81" s="33"/>
      <c r="D81" s="33"/>
      <c r="E81" s="33"/>
      <c r="F81" s="33"/>
    </row>
    <row r="82" spans="1:30" ht="336.75" thickBot="1">
      <c r="A82" s="885"/>
      <c r="B82" s="128" t="str">
        <f>'LF for 2012 AR'!X52</f>
        <v>• Sustainable achievements are achieved in:
− adoption, monitoring and evaluation of appropriate state policies and strategies,
− state public financial management,
− state civil service performance,
− and federal support to state governance. 
• The power of vested interests that oppose increased voice and accountability do not increase beyond the capacity of civil society to respond.
• Social instability and insecurity does not substantially affect poverty reducing resource allocation.
• Economy does not contract and levels of oil revenues do not fall below critical levels.
• State governments continue their reform agenda and engagement with civil society.
• There is a space for plural political views in the States where SAVI works.
• Citizens maintain faith in democratic process.</v>
      </c>
      <c r="C82" s="156" t="s">
        <v>133</v>
      </c>
      <c r="D82" s="128" t="s">
        <v>138</v>
      </c>
      <c r="E82" s="128" t="s">
        <v>138</v>
      </c>
      <c r="F82" s="128" t="s">
        <v>138</v>
      </c>
    </row>
    <row r="83" spans="1:30" ht="12.75" thickBot="1">
      <c r="A83" s="885"/>
      <c r="B83" s="33" t="s">
        <v>136</v>
      </c>
      <c r="C83" s="33"/>
      <c r="D83" s="33"/>
      <c r="E83" s="33"/>
      <c r="F83" s="33"/>
    </row>
    <row r="84" spans="1:30" ht="192">
      <c r="A84" s="885"/>
      <c r="B84" s="151" t="str">
        <f>'LF for 2012 AR'!X91</f>
        <v>• The key functions of government in lead states improve → General 
• Community voice provides information to SAVI supported CS partnerships for their advocacy activities → General 
• Progress on V&amp;A is not undermined by other initiatives → General 
• CS groups do not make substantial abuse of their influence for personal or political gains → General
• Media does not become more manipulated by the political class → General
(cont’d under Output 2)</v>
      </c>
      <c r="C84" s="899" t="s">
        <v>137</v>
      </c>
      <c r="D84" s="879" t="s">
        <v>137</v>
      </c>
      <c r="E84" s="879" t="s">
        <v>137</v>
      </c>
      <c r="F84" s="879" t="s">
        <v>137</v>
      </c>
    </row>
    <row r="85" spans="1:30" ht="168">
      <c r="A85" s="885"/>
      <c r="B85" s="152" t="str">
        <f>'LF for 2012 AR'!X120</f>
        <v>(cont’d from Output 1):
• Political volatility doesn’t undermine the justification of any SAVI supported advocacy activity → OP 1, 2
• CS groups not involved with SAVI are responsive to using lessons and replicating them → OP 1, 2
• Turf protection and competition for resources between CS groups does not undermine partnership working &amp; possible replication → OP 1, 2
(cont’d under Output 3)</v>
      </c>
      <c r="C85" s="900"/>
      <c r="D85" s="880"/>
      <c r="E85" s="880"/>
      <c r="F85" s="880"/>
    </row>
    <row r="86" spans="1:30" ht="72">
      <c r="A86" s="885"/>
      <c r="B86" s="152" t="str">
        <f>'LF for 2012 AR'!X149</f>
        <v>(cont’d from Output 2):
• Electioneering in the run up to elections does not unduly hamper CS engagement on V&amp;A → OP 1, 2, 3, 4</v>
      </c>
      <c r="C86" s="900"/>
      <c r="D86" s="880"/>
      <c r="E86" s="880"/>
      <c r="F86" s="880"/>
    </row>
    <row r="87" spans="1:30" ht="144">
      <c r="A87" s="885"/>
      <c r="B87" s="152" t="str">
        <f>'LF for 2012 AR'!X186</f>
        <v>• SHoA does not become more manipulated the executive or political class → OP4
• Lack of continuity of members between administrations does not necessarily negate improvement in democratic functioning of SHoA → OP4
• Members are receptive to SAVI’s capacity building &amp; reform activities during election campaigning periods → OP4</v>
      </c>
      <c r="C87" s="900"/>
      <c r="D87" s="880"/>
      <c r="E87" s="880"/>
      <c r="F87" s="880"/>
    </row>
    <row r="88" spans="1:30" ht="72.75" thickBot="1">
      <c r="A88" s="869"/>
      <c r="B88" s="153" t="str">
        <f>'LF for 2012 AR'!X234</f>
        <v>• DFID continues to regard SAVI as a pilot/demonstration programme → OP5
• SAVI’s approach continues to be appropriate to the Nigerian setting → OP5</v>
      </c>
      <c r="C88" s="901"/>
      <c r="D88" s="881"/>
      <c r="E88" s="881"/>
      <c r="F88" s="881"/>
    </row>
    <row r="89" spans="1:30">
      <c r="A89" s="157"/>
      <c r="B89" s="157"/>
      <c r="C89" s="157"/>
      <c r="D89" s="157"/>
      <c r="E89" s="157"/>
      <c r="F89" s="157"/>
    </row>
    <row r="90" spans="1:30">
      <c r="C90" s="31"/>
      <c r="D90" s="31"/>
      <c r="E90" s="31"/>
      <c r="F90" s="32"/>
      <c r="G90" s="31"/>
      <c r="H90" s="31"/>
      <c r="I90" s="31"/>
      <c r="J90" s="31"/>
      <c r="K90" s="31"/>
      <c r="L90" s="31"/>
      <c r="M90" s="31"/>
      <c r="N90" s="31"/>
      <c r="O90" s="31"/>
      <c r="P90" s="31"/>
      <c r="Q90" s="31"/>
      <c r="R90" s="31"/>
      <c r="S90" s="31"/>
      <c r="T90" s="31"/>
      <c r="U90" s="31"/>
      <c r="V90" s="31"/>
      <c r="W90" s="31"/>
      <c r="X90" s="31"/>
      <c r="Y90" s="31"/>
      <c r="Z90" s="31"/>
      <c r="AA90" s="31"/>
      <c r="AB90" s="31"/>
      <c r="AC90" s="31"/>
      <c r="AD90" s="31"/>
    </row>
    <row r="91" spans="1:30">
      <c r="C91" s="31"/>
      <c r="D91" s="31"/>
      <c r="E91" s="31"/>
      <c r="F91" s="32"/>
      <c r="G91" s="31"/>
      <c r="H91" s="31"/>
      <c r="I91" s="31"/>
      <c r="J91" s="31"/>
      <c r="K91" s="31"/>
      <c r="L91" s="31"/>
      <c r="M91" s="31"/>
      <c r="N91" s="31"/>
      <c r="O91" s="31"/>
      <c r="P91" s="31"/>
      <c r="Q91" s="31"/>
      <c r="R91" s="31"/>
      <c r="S91" s="31"/>
      <c r="T91" s="31"/>
      <c r="U91" s="31"/>
      <c r="V91" s="31"/>
      <c r="W91" s="31"/>
      <c r="X91" s="31"/>
      <c r="Y91" s="31"/>
      <c r="Z91" s="31"/>
      <c r="AA91" s="31"/>
      <c r="AB91" s="31"/>
      <c r="AC91" s="31"/>
      <c r="AD91" s="31"/>
    </row>
    <row r="92" spans="1:30">
      <c r="C92" s="31"/>
      <c r="D92" s="31"/>
      <c r="E92" s="31"/>
      <c r="F92" s="32"/>
      <c r="G92" s="31"/>
      <c r="H92" s="31"/>
      <c r="I92" s="31"/>
      <c r="J92" s="31"/>
      <c r="K92" s="31"/>
      <c r="L92" s="31"/>
      <c r="M92" s="31"/>
      <c r="N92" s="31"/>
      <c r="O92" s="31"/>
      <c r="P92" s="31"/>
      <c r="Q92" s="31"/>
      <c r="R92" s="31"/>
      <c r="S92" s="31"/>
      <c r="T92" s="31"/>
      <c r="U92" s="31"/>
      <c r="V92" s="31"/>
      <c r="W92" s="31"/>
      <c r="X92" s="31"/>
      <c r="Y92" s="31"/>
      <c r="Z92" s="31"/>
      <c r="AA92" s="31"/>
      <c r="AB92" s="31"/>
      <c r="AC92" s="31"/>
      <c r="AD92" s="31"/>
    </row>
    <row r="93" spans="1:30">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row>
    <row r="94" spans="1:30">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row>
    <row r="95" spans="1:30">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row>
    <row r="96" spans="1:30">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row>
    <row r="97" spans="1:30">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row>
    <row r="98" spans="1:30">
      <c r="A98" s="121"/>
      <c r="B98" s="121"/>
      <c r="C98" s="121"/>
      <c r="D98" s="121"/>
      <c r="E98" s="12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row>
    <row r="99" spans="1:30">
      <c r="A99" s="121"/>
      <c r="B99" s="121"/>
      <c r="C99" s="121"/>
      <c r="D99" s="121"/>
      <c r="E99" s="12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row>
    <row r="100" spans="1:30">
      <c r="A100" s="121"/>
      <c r="B100" s="121"/>
      <c r="C100" s="121"/>
      <c r="D100" s="121"/>
      <c r="E100" s="12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row>
    <row r="101" spans="1:30">
      <c r="A101" s="121"/>
      <c r="B101" s="121"/>
      <c r="C101" s="121"/>
      <c r="D101" s="121"/>
      <c r="E101" s="12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row>
    <row r="102" spans="1:30">
      <c r="A102" s="121"/>
      <c r="B102" s="121"/>
      <c r="C102" s="121"/>
      <c r="D102" s="121"/>
      <c r="E102" s="12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row>
    <row r="103" spans="1:30">
      <c r="A103" s="121"/>
      <c r="B103" s="121"/>
      <c r="C103" s="121"/>
      <c r="D103" s="121"/>
      <c r="E103" s="12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row>
    <row r="104" spans="1:30">
      <c r="A104" s="121"/>
      <c r="B104" s="121"/>
      <c r="C104" s="121"/>
      <c r="D104" s="121"/>
      <c r="E104" s="12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row>
    <row r="105" spans="1:30">
      <c r="A105" s="121"/>
      <c r="B105" s="121"/>
      <c r="C105" s="121"/>
      <c r="D105" s="121"/>
      <c r="E105" s="12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row>
    <row r="106" spans="1:30">
      <c r="A106" s="121"/>
      <c r="B106" s="121"/>
      <c r="C106" s="121"/>
      <c r="D106" s="121"/>
      <c r="E106" s="12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row>
    <row r="107" spans="1:30">
      <c r="A107" s="121"/>
      <c r="B107" s="121"/>
      <c r="C107" s="121"/>
      <c r="D107" s="121"/>
      <c r="E107" s="12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row>
    <row r="108" spans="1:30">
      <c r="A108" s="121"/>
      <c r="B108" s="121"/>
      <c r="C108" s="121"/>
      <c r="D108" s="121"/>
      <c r="E108" s="12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row>
    <row r="109" spans="1:30">
      <c r="A109" s="121"/>
      <c r="B109" s="121"/>
      <c r="C109" s="121"/>
      <c r="D109" s="121"/>
      <c r="E109" s="12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row>
    <row r="110" spans="1:30">
      <c r="A110" s="121"/>
      <c r="B110" s="121"/>
      <c r="C110" s="121"/>
      <c r="D110" s="121"/>
      <c r="E110" s="12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row>
    <row r="111" spans="1:30">
      <c r="A111" s="121"/>
      <c r="B111" s="121"/>
      <c r="C111" s="121"/>
      <c r="D111" s="121"/>
      <c r="E111" s="12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row>
    <row r="112" spans="1:30">
      <c r="A112" s="121"/>
      <c r="B112" s="121"/>
      <c r="C112" s="121"/>
      <c r="D112" s="121"/>
      <c r="E112" s="12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row>
    <row r="113" spans="1:30">
      <c r="A113" s="121"/>
      <c r="B113" s="121"/>
      <c r="C113" s="121"/>
      <c r="D113" s="121"/>
      <c r="E113" s="12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row>
    <row r="114" spans="1:30">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row>
    <row r="115" spans="1:30">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row>
    <row r="116" spans="1:30">
      <c r="A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row>
    <row r="117" spans="1:30">
      <c r="A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row>
    <row r="118" spans="1:30">
      <c r="A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row>
    <row r="119" spans="1:30">
      <c r="A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row>
    <row r="120" spans="1:30">
      <c r="A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row>
    <row r="121" spans="1:30">
      <c r="A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row>
    <row r="122" spans="1:30">
      <c r="A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row>
    <row r="123" spans="1:30">
      <c r="A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row>
    <row r="124" spans="1:30">
      <c r="A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row>
    <row r="125" spans="1:30">
      <c r="A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row>
    <row r="126" spans="1:30">
      <c r="A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row>
    <row r="127" spans="1:30">
      <c r="A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row>
    <row r="128" spans="1:30">
      <c r="A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row>
    <row r="129" spans="1:30">
      <c r="A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row>
    <row r="130" spans="1:30">
      <c r="A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row>
    <row r="131" spans="1:30">
      <c r="A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row>
    <row r="132" spans="1:30">
      <c r="A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row>
    <row r="133" spans="1:30">
      <c r="A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row>
    <row r="134" spans="1:30">
      <c r="A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row>
    <row r="135" spans="1:30">
      <c r="A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row>
    <row r="136" spans="1:30">
      <c r="A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row>
    <row r="137" spans="1:30">
      <c r="A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row>
    <row r="138" spans="1:30">
      <c r="A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row>
    <row r="139" spans="1:30">
      <c r="A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row>
    <row r="140" spans="1:30">
      <c r="A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row>
    <row r="141" spans="1:30">
      <c r="A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row>
    <row r="142" spans="1:30">
      <c r="A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row>
    <row r="143" spans="1:30">
      <c r="A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row>
    <row r="144" spans="1:30">
      <c r="A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row>
    <row r="145" spans="1:30">
      <c r="A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row>
    <row r="146" spans="1:30">
      <c r="A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row>
    <row r="147" spans="1:30">
      <c r="A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row>
    <row r="148" spans="1:30">
      <c r="A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row>
    <row r="149" spans="1:30">
      <c r="A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row>
    <row r="150" spans="1:30">
      <c r="A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row>
    <row r="151" spans="1:30">
      <c r="A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row>
    <row r="152" spans="1:30">
      <c r="A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row>
    <row r="153" spans="1:30">
      <c r="A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row>
    <row r="154" spans="1:30">
      <c r="A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row>
    <row r="155" spans="1:30">
      <c r="A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row>
    <row r="156" spans="1:30">
      <c r="A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row>
    <row r="157" spans="1:30">
      <c r="A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row>
    <row r="158" spans="1:30">
      <c r="A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row>
    <row r="159" spans="1:30">
      <c r="A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row>
    <row r="160" spans="1:30">
      <c r="A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row>
    <row r="161" spans="1:30">
      <c r="A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row>
    <row r="162" spans="1:30">
      <c r="A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row>
    <row r="163" spans="1:30">
      <c r="A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row>
    <row r="164" spans="1:30">
      <c r="A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row>
    <row r="165" spans="1:30">
      <c r="A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row>
    <row r="166" spans="1:30">
      <c r="A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row>
    <row r="167" spans="1:30">
      <c r="A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row>
    <row r="168" spans="1:30">
      <c r="A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row>
    <row r="169" spans="1:30">
      <c r="A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row>
    <row r="170" spans="1:30">
      <c r="A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row>
    <row r="171" spans="1:30">
      <c r="A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row>
    <row r="172" spans="1:30">
      <c r="A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row>
    <row r="173" spans="1:30">
      <c r="A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row>
    <row r="174" spans="1:30">
      <c r="A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row>
    <row r="175" spans="1:30">
      <c r="A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row>
    <row r="176" spans="1:30">
      <c r="A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row>
    <row r="177" spans="1:30">
      <c r="A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row>
    <row r="178" spans="1:30">
      <c r="A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row>
    <row r="179" spans="1:30">
      <c r="A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row>
    <row r="180" spans="1:30">
      <c r="A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row>
    <row r="181" spans="1:30">
      <c r="A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row>
    <row r="182" spans="1:30">
      <c r="A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row>
    <row r="183" spans="1:30">
      <c r="A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row>
    <row r="184" spans="1:30">
      <c r="A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row>
    <row r="185" spans="1:30">
      <c r="A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row>
    <row r="186" spans="1:30">
      <c r="A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row>
    <row r="187" spans="1:30">
      <c r="A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row>
    <row r="188" spans="1:30">
      <c r="A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row>
    <row r="189" spans="1:30">
      <c r="A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row>
    <row r="190" spans="1:30">
      <c r="A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row>
    <row r="191" spans="1:30">
      <c r="A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row>
    <row r="192" spans="1:30">
      <c r="A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1"/>
    </row>
    <row r="193" spans="1:30">
      <c r="A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row>
    <row r="194" spans="1:30">
      <c r="A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1"/>
    </row>
    <row r="195" spans="1:30">
      <c r="A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1"/>
    </row>
    <row r="196" spans="1:30">
      <c r="A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1"/>
    </row>
    <row r="197" spans="1:30">
      <c r="A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1"/>
    </row>
    <row r="198" spans="1:30">
      <c r="A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1"/>
    </row>
    <row r="199" spans="1:30">
      <c r="A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c r="AD199" s="31"/>
    </row>
    <row r="200" spans="1:30">
      <c r="A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row>
    <row r="201" spans="1:30">
      <c r="A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1"/>
    </row>
    <row r="202" spans="1:30">
      <c r="A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row>
    <row r="203" spans="1:30">
      <c r="A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1"/>
    </row>
    <row r="204" spans="1:30">
      <c r="A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row>
    <row r="205" spans="1:30">
      <c r="A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1"/>
    </row>
    <row r="206" spans="1:30">
      <c r="A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row>
    <row r="207" spans="1:30">
      <c r="A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1"/>
    </row>
    <row r="208" spans="1:30">
      <c r="A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row>
    <row r="209" spans="1:30">
      <c r="A209" s="31"/>
      <c r="F209" s="31"/>
      <c r="G209" s="31"/>
      <c r="H209" s="31"/>
      <c r="I209" s="31"/>
      <c r="J209" s="31"/>
      <c r="K209" s="31"/>
      <c r="L209" s="31"/>
      <c r="M209" s="31"/>
      <c r="N209" s="31"/>
      <c r="O209" s="31"/>
      <c r="P209" s="31"/>
      <c r="Q209" s="31"/>
      <c r="R209" s="31"/>
      <c r="S209" s="31"/>
      <c r="T209" s="31"/>
      <c r="U209" s="31"/>
      <c r="V209" s="31"/>
      <c r="W209" s="31"/>
      <c r="X209" s="31"/>
      <c r="Y209" s="31"/>
      <c r="Z209" s="31"/>
      <c r="AA209" s="31"/>
      <c r="AB209" s="31"/>
      <c r="AC209" s="31"/>
      <c r="AD209" s="31"/>
    </row>
    <row r="210" spans="1:30">
      <c r="A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c r="AC210" s="31"/>
      <c r="AD210" s="31"/>
    </row>
    <row r="211" spans="1:30">
      <c r="A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1"/>
    </row>
    <row r="212" spans="1:30">
      <c r="A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1"/>
    </row>
    <row r="213" spans="1:30">
      <c r="A213" s="31"/>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row>
    <row r="214" spans="1:30">
      <c r="A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1"/>
    </row>
    <row r="215" spans="1:30">
      <c r="A215" s="31"/>
      <c r="F215" s="31"/>
      <c r="G215" s="31"/>
      <c r="H215" s="31"/>
      <c r="I215" s="31"/>
      <c r="J215" s="31"/>
      <c r="K215" s="31"/>
      <c r="L215" s="31"/>
      <c r="M215" s="31"/>
      <c r="N215" s="31"/>
      <c r="O215" s="31"/>
      <c r="P215" s="31"/>
      <c r="Q215" s="31"/>
      <c r="R215" s="31"/>
      <c r="S215" s="31"/>
      <c r="T215" s="31"/>
      <c r="U215" s="31"/>
      <c r="V215" s="31"/>
      <c r="W215" s="31"/>
      <c r="X215" s="31"/>
      <c r="Y215" s="31"/>
      <c r="Z215" s="31"/>
      <c r="AA215" s="31"/>
      <c r="AB215" s="31"/>
      <c r="AC215" s="31"/>
      <c r="AD215" s="31"/>
    </row>
    <row r="216" spans="1:30">
      <c r="A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1"/>
    </row>
    <row r="217" spans="1:30">
      <c r="A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row>
    <row r="218" spans="1:30">
      <c r="A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1"/>
    </row>
    <row r="219" spans="1:30">
      <c r="A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row>
    <row r="220" spans="1:30">
      <c r="A220" s="31"/>
      <c r="F220" s="31"/>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row>
    <row r="221" spans="1:30">
      <c r="A221" s="31"/>
      <c r="F221" s="31"/>
      <c r="G221" s="31"/>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row>
    <row r="222" spans="1:30">
      <c r="A222" s="31"/>
      <c r="F222" s="31"/>
      <c r="G222" s="31"/>
      <c r="H222" s="31"/>
      <c r="I222" s="31"/>
      <c r="J222" s="31"/>
      <c r="K222" s="31"/>
      <c r="L222" s="31"/>
      <c r="M222" s="31"/>
      <c r="N222" s="31"/>
      <c r="O222" s="31"/>
      <c r="P222" s="31"/>
      <c r="Q222" s="31"/>
      <c r="R222" s="31"/>
      <c r="S222" s="31"/>
      <c r="T222" s="31"/>
      <c r="U222" s="31"/>
      <c r="V222" s="31"/>
      <c r="W222" s="31"/>
      <c r="X222" s="31"/>
      <c r="Y222" s="31"/>
      <c r="Z222" s="31"/>
      <c r="AA222" s="31"/>
      <c r="AB222" s="31"/>
      <c r="AC222" s="31"/>
      <c r="AD222" s="31"/>
    </row>
    <row r="223" spans="1:30">
      <c r="A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row>
    <row r="224" spans="1:30">
      <c r="A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row>
    <row r="225" spans="1:30">
      <c r="A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row>
    <row r="226" spans="1:30">
      <c r="A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row>
    <row r="227" spans="1:30">
      <c r="A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row>
    <row r="228" spans="1:30">
      <c r="A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row>
    <row r="229" spans="1:30">
      <c r="A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row>
    <row r="230" spans="1:30">
      <c r="A230" s="31"/>
      <c r="F230" s="31"/>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1"/>
    </row>
    <row r="231" spans="1:30">
      <c r="A231" s="31"/>
      <c r="F231" s="31"/>
      <c r="G231" s="31"/>
      <c r="H231" s="31"/>
      <c r="I231" s="31"/>
      <c r="J231" s="31"/>
      <c r="K231" s="31"/>
      <c r="L231" s="31"/>
      <c r="M231" s="31"/>
      <c r="N231" s="31"/>
      <c r="O231" s="31"/>
      <c r="P231" s="31"/>
      <c r="Q231" s="31"/>
      <c r="R231" s="31"/>
      <c r="S231" s="31"/>
      <c r="T231" s="31"/>
      <c r="U231" s="31"/>
      <c r="V231" s="31"/>
      <c r="W231" s="31"/>
      <c r="X231" s="31"/>
      <c r="Y231" s="31"/>
      <c r="Z231" s="31"/>
      <c r="AA231" s="31"/>
      <c r="AB231" s="31"/>
      <c r="AC231" s="31"/>
      <c r="AD231" s="31"/>
    </row>
    <row r="232" spans="1:30">
      <c r="A232" s="31"/>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row>
    <row r="233" spans="1:30">
      <c r="A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row>
    <row r="234" spans="1:30">
      <c r="A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row>
    <row r="235" spans="1:30">
      <c r="A235" s="31"/>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row>
    <row r="236" spans="1:30">
      <c r="A236" s="31"/>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row>
    <row r="237" spans="1:30">
      <c r="A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row>
    <row r="238" spans="1:30">
      <c r="A238" s="31"/>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row>
    <row r="239" spans="1:30">
      <c r="A239" s="31"/>
      <c r="F239" s="31"/>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row>
    <row r="240" spans="1:30">
      <c r="A240" s="31"/>
      <c r="F240" s="31"/>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1"/>
    </row>
    <row r="241" spans="1:30">
      <c r="A241" s="31"/>
      <c r="F241" s="31"/>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row>
    <row r="242" spans="1:30">
      <c r="A242" s="31"/>
      <c r="F242" s="31"/>
      <c r="G242" s="31"/>
      <c r="H242" s="31"/>
      <c r="I242" s="31"/>
      <c r="J242" s="31"/>
      <c r="K242" s="31"/>
      <c r="L242" s="31"/>
      <c r="M242" s="31"/>
      <c r="N242" s="31"/>
      <c r="O242" s="31"/>
      <c r="P242" s="31"/>
      <c r="Q242" s="31"/>
      <c r="R242" s="31"/>
      <c r="S242" s="31"/>
      <c r="T242" s="31"/>
      <c r="U242" s="31"/>
      <c r="V242" s="31"/>
      <c r="W242" s="31"/>
      <c r="X242" s="31"/>
      <c r="Y242" s="31"/>
      <c r="Z242" s="31"/>
      <c r="AA242" s="31"/>
      <c r="AB242" s="31"/>
      <c r="AC242" s="31"/>
      <c r="AD242" s="31"/>
    </row>
    <row r="243" spans="1:30">
      <c r="A243" s="31"/>
      <c r="F243" s="31"/>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row>
    <row r="244" spans="1:30">
      <c r="A244" s="31"/>
      <c r="F244" s="31"/>
      <c r="G244" s="31"/>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row>
    <row r="245" spans="1:30">
      <c r="A245" s="31"/>
      <c r="F245" s="31"/>
      <c r="G245" s="31"/>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row>
    <row r="246" spans="1:30">
      <c r="A246" s="31"/>
      <c r="F246" s="31"/>
      <c r="G246" s="31"/>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row>
    <row r="247" spans="1:30">
      <c r="A247" s="31"/>
      <c r="F247" s="31"/>
      <c r="G247" s="31"/>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row>
    <row r="248" spans="1:30">
      <c r="A248" s="31"/>
      <c r="F248" s="31"/>
      <c r="G248" s="31"/>
      <c r="H248" s="31"/>
      <c r="I248" s="31"/>
      <c r="J248" s="31"/>
      <c r="K248" s="31"/>
      <c r="L248" s="31"/>
      <c r="M248" s="31"/>
      <c r="N248" s="31"/>
      <c r="O248" s="31"/>
      <c r="P248" s="31"/>
      <c r="Q248" s="31"/>
      <c r="R248" s="31"/>
      <c r="S248" s="31"/>
      <c r="T248" s="31"/>
      <c r="U248" s="31"/>
      <c r="V248" s="31"/>
      <c r="W248" s="31"/>
      <c r="X248" s="31"/>
      <c r="Y248" s="31"/>
      <c r="Z248" s="31"/>
      <c r="AA248" s="31"/>
      <c r="AB248" s="31"/>
      <c r="AC248" s="31"/>
      <c r="AD248" s="31"/>
    </row>
    <row r="249" spans="1:30">
      <c r="A249" s="31"/>
      <c r="F249" s="31"/>
      <c r="G249" s="31"/>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row>
    <row r="250" spans="1:30">
      <c r="A250" s="31"/>
      <c r="F250" s="31"/>
      <c r="G250" s="31"/>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row>
    <row r="251" spans="1:30">
      <c r="A251" s="31"/>
      <c r="F251" s="31"/>
      <c r="G251" s="31"/>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row>
    <row r="252" spans="1:30">
      <c r="A252" s="31"/>
      <c r="F252" s="31"/>
      <c r="G252" s="31"/>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row>
    <row r="253" spans="1:30">
      <c r="A253" s="31"/>
      <c r="F253" s="31"/>
      <c r="G253" s="31"/>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row>
    <row r="254" spans="1:30">
      <c r="A254" s="31"/>
      <c r="F254" s="31"/>
      <c r="G254" s="31"/>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row>
    <row r="255" spans="1:30">
      <c r="A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row>
    <row r="256" spans="1:30">
      <c r="A256" s="31"/>
      <c r="F256" s="31"/>
      <c r="G256" s="31"/>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row>
    <row r="257" spans="1:30">
      <c r="A257" s="31"/>
      <c r="F257" s="31"/>
      <c r="G257" s="31"/>
      <c r="H257" s="31"/>
      <c r="I257" s="31"/>
      <c r="J257" s="31"/>
      <c r="K257" s="31"/>
      <c r="L257" s="31"/>
      <c r="M257" s="31"/>
      <c r="N257" s="31"/>
      <c r="O257" s="31"/>
      <c r="P257" s="31"/>
      <c r="Q257" s="31"/>
      <c r="R257" s="31"/>
      <c r="S257" s="31"/>
      <c r="T257" s="31"/>
      <c r="U257" s="31"/>
      <c r="V257" s="31"/>
      <c r="W257" s="31"/>
      <c r="X257" s="31"/>
      <c r="Y257" s="31"/>
      <c r="Z257" s="31"/>
      <c r="AA257" s="31"/>
      <c r="AB257" s="31"/>
      <c r="AC257" s="31"/>
      <c r="AD257" s="31"/>
    </row>
    <row r="258" spans="1:30">
      <c r="A258" s="31"/>
      <c r="F258" s="31"/>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row>
    <row r="259" spans="1:30">
      <c r="A259" s="31"/>
      <c r="F259" s="31"/>
      <c r="G259" s="31"/>
      <c r="H259" s="31"/>
      <c r="I259" s="31"/>
      <c r="J259" s="31"/>
      <c r="K259" s="31"/>
      <c r="L259" s="31"/>
      <c r="M259" s="31"/>
      <c r="N259" s="31"/>
      <c r="O259" s="31"/>
      <c r="P259" s="31"/>
      <c r="Q259" s="31"/>
      <c r="R259" s="31"/>
      <c r="S259" s="31"/>
      <c r="T259" s="31"/>
      <c r="U259" s="31"/>
      <c r="V259" s="31"/>
      <c r="W259" s="31"/>
      <c r="X259" s="31"/>
      <c r="Y259" s="31"/>
      <c r="Z259" s="31"/>
      <c r="AA259" s="31"/>
      <c r="AB259" s="31"/>
      <c r="AC259" s="31"/>
      <c r="AD259" s="31"/>
    </row>
    <row r="260" spans="1:30">
      <c r="A260" s="31"/>
      <c r="F260" s="31"/>
      <c r="G260" s="31"/>
      <c r="H260" s="31"/>
      <c r="I260" s="31"/>
      <c r="J260" s="31"/>
      <c r="K260" s="31"/>
      <c r="L260" s="31"/>
      <c r="M260" s="31"/>
      <c r="N260" s="31"/>
      <c r="O260" s="31"/>
      <c r="P260" s="31"/>
      <c r="Q260" s="31"/>
      <c r="R260" s="31"/>
      <c r="S260" s="31"/>
      <c r="T260" s="31"/>
      <c r="U260" s="31"/>
      <c r="V260" s="31"/>
      <c r="W260" s="31"/>
      <c r="X260" s="31"/>
      <c r="Y260" s="31"/>
      <c r="Z260" s="31"/>
      <c r="AA260" s="31"/>
      <c r="AB260" s="31"/>
      <c r="AC260" s="31"/>
      <c r="AD260" s="31"/>
    </row>
    <row r="261" spans="1:30">
      <c r="A261" s="31"/>
      <c r="F261" s="31"/>
      <c r="G261" s="31"/>
      <c r="H261" s="31"/>
      <c r="I261" s="31"/>
      <c r="J261" s="31"/>
      <c r="K261" s="31"/>
      <c r="L261" s="31"/>
      <c r="M261" s="31"/>
      <c r="N261" s="31"/>
      <c r="O261" s="31"/>
      <c r="P261" s="31"/>
      <c r="Q261" s="31"/>
      <c r="R261" s="31"/>
      <c r="S261" s="31"/>
      <c r="T261" s="31"/>
      <c r="U261" s="31"/>
      <c r="V261" s="31"/>
      <c r="W261" s="31"/>
      <c r="X261" s="31"/>
      <c r="Y261" s="31"/>
      <c r="Z261" s="31"/>
      <c r="AA261" s="31"/>
      <c r="AB261" s="31"/>
      <c r="AC261" s="31"/>
      <c r="AD261" s="31"/>
    </row>
    <row r="262" spans="1:30">
      <c r="A262" s="31"/>
      <c r="F262" s="31"/>
      <c r="G262" s="31"/>
      <c r="H262" s="31"/>
      <c r="I262" s="31"/>
      <c r="J262" s="31"/>
      <c r="K262" s="31"/>
      <c r="L262" s="31"/>
      <c r="M262" s="31"/>
      <c r="N262" s="31"/>
      <c r="O262" s="31"/>
      <c r="P262" s="31"/>
      <c r="Q262" s="31"/>
      <c r="R262" s="31"/>
      <c r="S262" s="31"/>
      <c r="T262" s="31"/>
      <c r="U262" s="31"/>
      <c r="V262" s="31"/>
      <c r="W262" s="31"/>
      <c r="X262" s="31"/>
      <c r="Y262" s="31"/>
      <c r="Z262" s="31"/>
      <c r="AA262" s="31"/>
      <c r="AB262" s="31"/>
      <c r="AC262" s="31"/>
      <c r="AD262" s="31"/>
    </row>
    <row r="263" spans="1:30">
      <c r="A263" s="31"/>
      <c r="F263" s="31"/>
      <c r="G263" s="31"/>
      <c r="H263" s="31"/>
      <c r="I263" s="31"/>
      <c r="J263" s="31"/>
      <c r="K263" s="31"/>
      <c r="L263" s="31"/>
      <c r="M263" s="31"/>
      <c r="N263" s="31"/>
      <c r="O263" s="31"/>
      <c r="P263" s="31"/>
      <c r="Q263" s="31"/>
      <c r="R263" s="31"/>
      <c r="S263" s="31"/>
      <c r="T263" s="31"/>
      <c r="U263" s="31"/>
      <c r="V263" s="31"/>
      <c r="W263" s="31"/>
      <c r="X263" s="31"/>
      <c r="Y263" s="31"/>
      <c r="Z263" s="31"/>
      <c r="AA263" s="31"/>
      <c r="AB263" s="31"/>
      <c r="AC263" s="31"/>
      <c r="AD263" s="31"/>
    </row>
    <row r="264" spans="1:30">
      <c r="A264" s="31"/>
      <c r="F264" s="31"/>
      <c r="G264" s="31"/>
      <c r="H264" s="31"/>
      <c r="I264" s="31"/>
      <c r="J264" s="31"/>
      <c r="K264" s="31"/>
      <c r="L264" s="31"/>
      <c r="M264" s="31"/>
      <c r="N264" s="31"/>
      <c r="O264" s="31"/>
      <c r="P264" s="31"/>
      <c r="Q264" s="31"/>
      <c r="R264" s="31"/>
      <c r="S264" s="31"/>
      <c r="T264" s="31"/>
      <c r="U264" s="31"/>
      <c r="V264" s="31"/>
      <c r="W264" s="31"/>
      <c r="X264" s="31"/>
      <c r="Y264" s="31"/>
      <c r="Z264" s="31"/>
      <c r="AA264" s="31"/>
      <c r="AB264" s="31"/>
      <c r="AC264" s="31"/>
      <c r="AD264" s="31"/>
    </row>
    <row r="265" spans="1:30">
      <c r="A265" s="31"/>
      <c r="F265" s="31"/>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row>
    <row r="266" spans="1:30">
      <c r="A266" s="31"/>
      <c r="F266" s="31"/>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row>
    <row r="267" spans="1:30">
      <c r="A267" s="31"/>
      <c r="F267" s="31"/>
      <c r="G267" s="31"/>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row>
    <row r="268" spans="1:30">
      <c r="A268" s="31"/>
      <c r="F268" s="31"/>
      <c r="G268" s="31"/>
      <c r="H268" s="31"/>
      <c r="I268" s="31"/>
      <c r="J268" s="31"/>
      <c r="K268" s="31"/>
      <c r="L268" s="31"/>
      <c r="M268" s="31"/>
      <c r="N268" s="31"/>
      <c r="O268" s="31"/>
      <c r="P268" s="31"/>
      <c r="Q268" s="31"/>
      <c r="R268" s="31"/>
      <c r="S268" s="31"/>
      <c r="T268" s="31"/>
      <c r="U268" s="31"/>
      <c r="V268" s="31"/>
      <c r="W268" s="31"/>
      <c r="X268" s="31"/>
      <c r="Y268" s="31"/>
      <c r="Z268" s="31"/>
      <c r="AA268" s="31"/>
      <c r="AB268" s="31"/>
      <c r="AC268" s="31"/>
      <c r="AD268" s="31"/>
    </row>
    <row r="269" spans="1:30">
      <c r="A269" s="31"/>
      <c r="F269" s="31"/>
      <c r="G269" s="31"/>
      <c r="H269" s="31"/>
      <c r="I269" s="31"/>
      <c r="J269" s="31"/>
      <c r="K269" s="31"/>
      <c r="L269" s="31"/>
      <c r="M269" s="31"/>
      <c r="N269" s="31"/>
      <c r="O269" s="31"/>
      <c r="P269" s="31"/>
      <c r="Q269" s="31"/>
      <c r="R269" s="31"/>
      <c r="S269" s="31"/>
      <c r="T269" s="31"/>
      <c r="U269" s="31"/>
      <c r="V269" s="31"/>
      <c r="W269" s="31"/>
      <c r="X269" s="31"/>
      <c r="Y269" s="31"/>
      <c r="Z269" s="31"/>
      <c r="AA269" s="31"/>
      <c r="AB269" s="31"/>
      <c r="AC269" s="31"/>
      <c r="AD269" s="31"/>
    </row>
    <row r="270" spans="1:30">
      <c r="A270" s="31"/>
      <c r="F270" s="31"/>
      <c r="G270" s="31"/>
      <c r="H270" s="31"/>
      <c r="I270" s="31"/>
      <c r="J270" s="31"/>
      <c r="K270" s="31"/>
      <c r="L270" s="31"/>
      <c r="M270" s="31"/>
      <c r="N270" s="31"/>
      <c r="O270" s="31"/>
      <c r="P270" s="31"/>
      <c r="Q270" s="31"/>
      <c r="R270" s="31"/>
      <c r="S270" s="31"/>
      <c r="T270" s="31"/>
      <c r="U270" s="31"/>
      <c r="V270" s="31"/>
      <c r="W270" s="31"/>
      <c r="X270" s="31"/>
      <c r="Y270" s="31"/>
      <c r="Z270" s="31"/>
      <c r="AA270" s="31"/>
      <c r="AB270" s="31"/>
      <c r="AC270" s="31"/>
      <c r="AD270" s="31"/>
    </row>
    <row r="271" spans="1:30">
      <c r="A271" s="31"/>
      <c r="F271" s="31"/>
      <c r="G271" s="31"/>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row>
    <row r="272" spans="1:30">
      <c r="A272" s="31"/>
      <c r="F272" s="31"/>
      <c r="G272" s="31"/>
      <c r="H272" s="31"/>
      <c r="I272" s="31"/>
      <c r="J272" s="31"/>
      <c r="K272" s="31"/>
      <c r="L272" s="31"/>
      <c r="M272" s="31"/>
      <c r="N272" s="31"/>
      <c r="O272" s="31"/>
      <c r="P272" s="31"/>
      <c r="Q272" s="31"/>
      <c r="R272" s="31"/>
      <c r="S272" s="31"/>
      <c r="T272" s="31"/>
      <c r="U272" s="31"/>
      <c r="V272" s="31"/>
      <c r="W272" s="31"/>
      <c r="X272" s="31"/>
      <c r="Y272" s="31"/>
      <c r="Z272" s="31"/>
      <c r="AA272" s="31"/>
      <c r="AB272" s="31"/>
      <c r="AC272" s="31"/>
      <c r="AD272" s="31"/>
    </row>
    <row r="273" spans="1:30">
      <c r="A273" s="31"/>
      <c r="F273" s="31"/>
      <c r="G273" s="31"/>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row>
    <row r="274" spans="1:30">
      <c r="A274" s="31"/>
      <c r="F274" s="31"/>
      <c r="G274" s="31"/>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row>
    <row r="275" spans="1:30">
      <c r="A275" s="31"/>
      <c r="F275" s="31"/>
      <c r="G275" s="31"/>
      <c r="H275" s="31"/>
      <c r="I275" s="31"/>
      <c r="J275" s="31"/>
      <c r="K275" s="31"/>
      <c r="L275" s="31"/>
      <c r="M275" s="31"/>
      <c r="N275" s="31"/>
      <c r="O275" s="31"/>
      <c r="P275" s="31"/>
      <c r="Q275" s="31"/>
      <c r="R275" s="31"/>
      <c r="S275" s="31"/>
      <c r="T275" s="31"/>
      <c r="U275" s="31"/>
      <c r="V275" s="31"/>
      <c r="W275" s="31"/>
      <c r="X275" s="31"/>
      <c r="Y275" s="31"/>
      <c r="Z275" s="31"/>
      <c r="AA275" s="31"/>
      <c r="AB275" s="31"/>
      <c r="AC275" s="31"/>
      <c r="AD275" s="31"/>
    </row>
    <row r="276" spans="1:30">
      <c r="A276" s="31"/>
      <c r="F276" s="31"/>
      <c r="G276" s="31"/>
      <c r="H276" s="31"/>
      <c r="I276" s="31"/>
      <c r="J276" s="31"/>
      <c r="K276" s="31"/>
      <c r="L276" s="31"/>
      <c r="M276" s="31"/>
      <c r="N276" s="31"/>
      <c r="O276" s="31"/>
      <c r="P276" s="31"/>
      <c r="Q276" s="31"/>
      <c r="R276" s="31"/>
      <c r="S276" s="31"/>
      <c r="T276" s="31"/>
      <c r="U276" s="31"/>
      <c r="V276" s="31"/>
      <c r="W276" s="31"/>
      <c r="X276" s="31"/>
      <c r="Y276" s="31"/>
      <c r="Z276" s="31"/>
      <c r="AA276" s="31"/>
      <c r="AB276" s="31"/>
      <c r="AC276" s="31"/>
      <c r="AD276" s="31"/>
    </row>
    <row r="277" spans="1:30">
      <c r="A277" s="31"/>
      <c r="F277" s="31"/>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1"/>
    </row>
    <row r="278" spans="1:30">
      <c r="A278" s="31"/>
      <c r="F278" s="31"/>
      <c r="G278" s="31"/>
      <c r="H278" s="31"/>
      <c r="I278" s="31"/>
      <c r="J278" s="31"/>
      <c r="K278" s="31"/>
      <c r="L278" s="31"/>
      <c r="M278" s="31"/>
      <c r="N278" s="31"/>
      <c r="O278" s="31"/>
      <c r="P278" s="31"/>
      <c r="Q278" s="31"/>
      <c r="R278" s="31"/>
      <c r="S278" s="31"/>
      <c r="T278" s="31"/>
      <c r="U278" s="31"/>
      <c r="V278" s="31"/>
      <c r="W278" s="31"/>
      <c r="X278" s="31"/>
      <c r="Y278" s="31"/>
      <c r="Z278" s="31"/>
      <c r="AA278" s="31"/>
      <c r="AB278" s="31"/>
      <c r="AC278" s="31"/>
      <c r="AD278" s="31"/>
    </row>
    <row r="279" spans="1:30">
      <c r="A279" s="31"/>
      <c r="F279" s="31"/>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row>
    <row r="280" spans="1:30">
      <c r="A280" s="31"/>
      <c r="F280" s="31"/>
      <c r="G280" s="31"/>
      <c r="H280" s="31"/>
      <c r="I280" s="31"/>
      <c r="J280" s="31"/>
      <c r="K280" s="31"/>
      <c r="L280" s="31"/>
      <c r="M280" s="31"/>
      <c r="N280" s="31"/>
      <c r="O280" s="31"/>
      <c r="P280" s="31"/>
      <c r="Q280" s="31"/>
      <c r="R280" s="31"/>
      <c r="S280" s="31"/>
      <c r="T280" s="31"/>
      <c r="U280" s="31"/>
      <c r="V280" s="31"/>
      <c r="W280" s="31"/>
      <c r="X280" s="31"/>
      <c r="Y280" s="31"/>
      <c r="Z280" s="31"/>
      <c r="AA280" s="31"/>
      <c r="AB280" s="31"/>
      <c r="AC280" s="31"/>
      <c r="AD280" s="31"/>
    </row>
    <row r="281" spans="1:30">
      <c r="A281" s="31"/>
      <c r="F281" s="31"/>
      <c r="G281" s="31"/>
      <c r="H281" s="31"/>
      <c r="I281" s="31"/>
      <c r="J281" s="31"/>
      <c r="K281" s="31"/>
      <c r="L281" s="31"/>
      <c r="M281" s="31"/>
      <c r="N281" s="31"/>
      <c r="O281" s="31"/>
      <c r="P281" s="31"/>
      <c r="Q281" s="31"/>
      <c r="R281" s="31"/>
      <c r="S281" s="31"/>
      <c r="T281" s="31"/>
      <c r="U281" s="31"/>
      <c r="V281" s="31"/>
      <c r="W281" s="31"/>
      <c r="X281" s="31"/>
      <c r="Y281" s="31"/>
      <c r="Z281" s="31"/>
      <c r="AA281" s="31"/>
      <c r="AB281" s="31"/>
      <c r="AC281" s="31"/>
      <c r="AD281" s="31"/>
    </row>
    <row r="282" spans="1:30">
      <c r="A282" s="31"/>
      <c r="F282" s="31"/>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1"/>
    </row>
    <row r="283" spans="1:30">
      <c r="A283" s="31"/>
      <c r="F283" s="31"/>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1"/>
    </row>
    <row r="284" spans="1:30">
      <c r="A284" s="31"/>
      <c r="F284" s="31"/>
      <c r="G284" s="31"/>
      <c r="H284" s="31"/>
      <c r="I284" s="31"/>
      <c r="J284" s="31"/>
      <c r="K284" s="31"/>
      <c r="L284" s="31"/>
      <c r="M284" s="31"/>
      <c r="N284" s="31"/>
      <c r="O284" s="31"/>
      <c r="P284" s="31"/>
      <c r="Q284" s="31"/>
      <c r="R284" s="31"/>
      <c r="S284" s="31"/>
      <c r="T284" s="31"/>
      <c r="U284" s="31"/>
      <c r="V284" s="31"/>
      <c r="W284" s="31"/>
      <c r="X284" s="31"/>
      <c r="Y284" s="31"/>
      <c r="Z284" s="31"/>
      <c r="AA284" s="31"/>
      <c r="AB284" s="31"/>
      <c r="AC284" s="31"/>
      <c r="AD284" s="31"/>
    </row>
    <row r="285" spans="1:30">
      <c r="A285" s="31"/>
      <c r="F285" s="31"/>
      <c r="G285" s="31"/>
      <c r="H285" s="31"/>
      <c r="I285" s="31"/>
      <c r="J285" s="31"/>
      <c r="K285" s="31"/>
      <c r="L285" s="31"/>
      <c r="M285" s="31"/>
      <c r="N285" s="31"/>
      <c r="O285" s="31"/>
      <c r="P285" s="31"/>
      <c r="Q285" s="31"/>
      <c r="R285" s="31"/>
      <c r="S285" s="31"/>
      <c r="T285" s="31"/>
      <c r="U285" s="31"/>
      <c r="V285" s="31"/>
      <c r="W285" s="31"/>
      <c r="X285" s="31"/>
      <c r="Y285" s="31"/>
      <c r="Z285" s="31"/>
      <c r="AA285" s="31"/>
      <c r="AB285" s="31"/>
      <c r="AC285" s="31"/>
      <c r="AD285" s="31"/>
    </row>
    <row r="286" spans="1:30">
      <c r="A286" s="31"/>
      <c r="F286" s="31"/>
      <c r="G286" s="31"/>
      <c r="H286" s="31"/>
      <c r="I286" s="31"/>
      <c r="J286" s="31"/>
      <c r="K286" s="31"/>
      <c r="L286" s="31"/>
      <c r="M286" s="31"/>
      <c r="N286" s="31"/>
      <c r="O286" s="31"/>
      <c r="P286" s="31"/>
      <c r="Q286" s="31"/>
      <c r="R286" s="31"/>
      <c r="S286" s="31"/>
      <c r="T286" s="31"/>
      <c r="U286" s="31"/>
      <c r="V286" s="31"/>
      <c r="W286" s="31"/>
      <c r="X286" s="31"/>
      <c r="Y286" s="31"/>
      <c r="Z286" s="31"/>
      <c r="AA286" s="31"/>
      <c r="AB286" s="31"/>
      <c r="AC286" s="31"/>
      <c r="AD286" s="31"/>
    </row>
    <row r="287" spans="1:30">
      <c r="A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row>
    <row r="288" spans="1:30">
      <c r="A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row>
    <row r="289" spans="1:30">
      <c r="A289" s="31"/>
      <c r="F289" s="31"/>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1"/>
    </row>
    <row r="290" spans="1:30">
      <c r="A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row>
    <row r="291" spans="1:30">
      <c r="A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row>
    <row r="292" spans="1:30">
      <c r="A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row>
    <row r="293" spans="1:30">
      <c r="A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row>
    <row r="294" spans="1:30">
      <c r="A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row>
    <row r="295" spans="1:30">
      <c r="A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row>
    <row r="296" spans="1:30">
      <c r="A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row>
    <row r="297" spans="1:30">
      <c r="A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row>
    <row r="298" spans="1:30">
      <c r="A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row>
    <row r="299" spans="1:30">
      <c r="A299" s="31"/>
      <c r="F299" s="31"/>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c r="AD299" s="31"/>
    </row>
    <row r="300" spans="1:30">
      <c r="A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row>
    <row r="301" spans="1:30">
      <c r="A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row>
    <row r="302" spans="1:30">
      <c r="A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row>
    <row r="303" spans="1:30">
      <c r="A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row>
    <row r="304" spans="1:30">
      <c r="A304" s="31"/>
      <c r="F304" s="31"/>
      <c r="G304" s="31"/>
      <c r="H304" s="31"/>
      <c r="I304" s="31"/>
      <c r="J304" s="31"/>
      <c r="K304" s="31"/>
      <c r="L304" s="31"/>
      <c r="M304" s="31"/>
      <c r="N304" s="31"/>
      <c r="O304" s="31"/>
      <c r="P304" s="31"/>
      <c r="Q304" s="31"/>
      <c r="R304" s="31"/>
      <c r="S304" s="31"/>
      <c r="T304" s="31"/>
      <c r="U304" s="31"/>
      <c r="V304" s="31"/>
      <c r="W304" s="31"/>
      <c r="X304" s="31"/>
      <c r="Y304" s="31"/>
      <c r="Z304" s="31"/>
      <c r="AA304" s="31"/>
      <c r="AB304" s="31"/>
      <c r="AC304" s="31"/>
      <c r="AD304" s="31"/>
    </row>
    <row r="305" spans="1:30">
      <c r="A305" s="31"/>
      <c r="F305" s="31"/>
      <c r="G305" s="31"/>
      <c r="H305" s="31"/>
      <c r="I305" s="31"/>
      <c r="J305" s="31"/>
      <c r="K305" s="31"/>
      <c r="L305" s="31"/>
      <c r="M305" s="31"/>
      <c r="N305" s="31"/>
      <c r="O305" s="31"/>
      <c r="P305" s="31"/>
      <c r="Q305" s="31"/>
      <c r="R305" s="31"/>
      <c r="S305" s="31"/>
      <c r="T305" s="31"/>
      <c r="U305" s="31"/>
      <c r="V305" s="31"/>
      <c r="W305" s="31"/>
      <c r="X305" s="31"/>
      <c r="Y305" s="31"/>
      <c r="Z305" s="31"/>
      <c r="AA305" s="31"/>
      <c r="AB305" s="31"/>
      <c r="AC305" s="31"/>
      <c r="AD305" s="31"/>
    </row>
    <row r="306" spans="1:30">
      <c r="A306" s="31"/>
      <c r="F306" s="31"/>
      <c r="G306" s="31"/>
      <c r="H306" s="31"/>
      <c r="I306" s="31"/>
      <c r="J306" s="31"/>
      <c r="K306" s="31"/>
      <c r="L306" s="31"/>
      <c r="M306" s="31"/>
      <c r="N306" s="31"/>
      <c r="O306" s="31"/>
      <c r="P306" s="31"/>
      <c r="Q306" s="31"/>
      <c r="R306" s="31"/>
      <c r="S306" s="31"/>
      <c r="T306" s="31"/>
      <c r="U306" s="31"/>
      <c r="V306" s="31"/>
      <c r="W306" s="31"/>
      <c r="X306" s="31"/>
      <c r="Y306" s="31"/>
      <c r="Z306" s="31"/>
      <c r="AA306" s="31"/>
      <c r="AB306" s="31"/>
      <c r="AC306" s="31"/>
      <c r="AD306" s="31"/>
    </row>
    <row r="307" spans="1:30">
      <c r="A307" s="31"/>
      <c r="F307" s="31"/>
      <c r="G307" s="31"/>
      <c r="H307" s="31"/>
      <c r="I307" s="31"/>
      <c r="J307" s="31"/>
      <c r="K307" s="31"/>
      <c r="L307" s="31"/>
      <c r="M307" s="31"/>
      <c r="N307" s="31"/>
      <c r="O307" s="31"/>
      <c r="P307" s="31"/>
      <c r="Q307" s="31"/>
      <c r="R307" s="31"/>
      <c r="S307" s="31"/>
      <c r="T307" s="31"/>
      <c r="U307" s="31"/>
      <c r="V307" s="31"/>
      <c r="W307" s="31"/>
      <c r="X307" s="31"/>
      <c r="Y307" s="31"/>
      <c r="Z307" s="31"/>
      <c r="AA307" s="31"/>
      <c r="AB307" s="31"/>
      <c r="AC307" s="31"/>
      <c r="AD307" s="31"/>
    </row>
    <row r="308" spans="1:30">
      <c r="A308" s="31"/>
      <c r="F308" s="31"/>
      <c r="G308" s="31"/>
      <c r="H308" s="31"/>
      <c r="I308" s="31"/>
      <c r="J308" s="31"/>
      <c r="K308" s="31"/>
      <c r="L308" s="31"/>
      <c r="M308" s="31"/>
      <c r="N308" s="31"/>
      <c r="O308" s="31"/>
      <c r="P308" s="31"/>
      <c r="Q308" s="31"/>
      <c r="R308" s="31"/>
      <c r="S308" s="31"/>
      <c r="T308" s="31"/>
      <c r="U308" s="31"/>
      <c r="V308" s="31"/>
      <c r="W308" s="31"/>
      <c r="X308" s="31"/>
      <c r="Y308" s="31"/>
      <c r="Z308" s="31"/>
      <c r="AA308" s="31"/>
      <c r="AB308" s="31"/>
      <c r="AC308" s="31"/>
      <c r="AD308" s="31"/>
    </row>
    <row r="309" spans="1:30">
      <c r="A309" s="31"/>
      <c r="F309" s="31"/>
      <c r="G309" s="31"/>
      <c r="H309" s="31"/>
      <c r="I309" s="31"/>
      <c r="J309" s="31"/>
      <c r="K309" s="31"/>
      <c r="L309" s="31"/>
      <c r="M309" s="31"/>
      <c r="N309" s="31"/>
      <c r="O309" s="31"/>
      <c r="P309" s="31"/>
      <c r="Q309" s="31"/>
      <c r="R309" s="31"/>
      <c r="S309" s="31"/>
      <c r="T309" s="31"/>
      <c r="U309" s="31"/>
      <c r="V309" s="31"/>
      <c r="W309" s="31"/>
      <c r="X309" s="31"/>
      <c r="Y309" s="31"/>
      <c r="Z309" s="31"/>
      <c r="AA309" s="31"/>
      <c r="AB309" s="31"/>
      <c r="AC309" s="31"/>
      <c r="AD309" s="31"/>
    </row>
    <row r="310" spans="1:30">
      <c r="A310" s="31"/>
      <c r="F310" s="31"/>
      <c r="G310" s="31"/>
      <c r="H310" s="31"/>
      <c r="I310" s="31"/>
      <c r="J310" s="31"/>
      <c r="K310" s="31"/>
      <c r="L310" s="31"/>
      <c r="M310" s="31"/>
      <c r="N310" s="31"/>
      <c r="O310" s="31"/>
      <c r="P310" s="31"/>
      <c r="Q310" s="31"/>
      <c r="R310" s="31"/>
      <c r="S310" s="31"/>
      <c r="T310" s="31"/>
      <c r="U310" s="31"/>
      <c r="V310" s="31"/>
      <c r="W310" s="31"/>
      <c r="X310" s="31"/>
      <c r="Y310" s="31"/>
      <c r="Z310" s="31"/>
      <c r="AA310" s="31"/>
      <c r="AB310" s="31"/>
      <c r="AC310" s="31"/>
      <c r="AD310" s="31"/>
    </row>
    <row r="311" spans="1:30">
      <c r="A311" s="31"/>
      <c r="F311" s="31"/>
      <c r="G311" s="31"/>
      <c r="H311" s="31"/>
      <c r="I311" s="31"/>
      <c r="J311" s="31"/>
      <c r="K311" s="31"/>
      <c r="L311" s="31"/>
      <c r="M311" s="31"/>
      <c r="N311" s="31"/>
      <c r="O311" s="31"/>
      <c r="P311" s="31"/>
      <c r="Q311" s="31"/>
      <c r="R311" s="31"/>
      <c r="S311" s="31"/>
      <c r="T311" s="31"/>
      <c r="U311" s="31"/>
      <c r="V311" s="31"/>
      <c r="W311" s="31"/>
      <c r="X311" s="31"/>
      <c r="Y311" s="31"/>
      <c r="Z311" s="31"/>
      <c r="AA311" s="31"/>
      <c r="AB311" s="31"/>
      <c r="AC311" s="31"/>
      <c r="AD311" s="31"/>
    </row>
    <row r="312" spans="1:30">
      <c r="A312" s="31"/>
      <c r="F312" s="31"/>
      <c r="G312" s="31"/>
      <c r="H312" s="31"/>
      <c r="I312" s="31"/>
      <c r="J312" s="31"/>
      <c r="K312" s="31"/>
      <c r="L312" s="31"/>
      <c r="M312" s="31"/>
      <c r="N312" s="31"/>
      <c r="O312" s="31"/>
      <c r="P312" s="31"/>
      <c r="Q312" s="31"/>
      <c r="R312" s="31"/>
      <c r="S312" s="31"/>
      <c r="T312" s="31"/>
      <c r="U312" s="31"/>
      <c r="V312" s="31"/>
      <c r="W312" s="31"/>
      <c r="X312" s="31"/>
      <c r="Y312" s="31"/>
      <c r="Z312" s="31"/>
      <c r="AA312" s="31"/>
      <c r="AB312" s="31"/>
      <c r="AC312" s="31"/>
      <c r="AD312" s="31"/>
    </row>
    <row r="313" spans="1:30">
      <c r="A313" s="31"/>
      <c r="F313" s="31"/>
      <c r="G313" s="31"/>
      <c r="H313" s="31"/>
      <c r="I313" s="31"/>
      <c r="J313" s="31"/>
      <c r="K313" s="31"/>
      <c r="L313" s="31"/>
      <c r="M313" s="31"/>
      <c r="N313" s="31"/>
      <c r="O313" s="31"/>
      <c r="P313" s="31"/>
      <c r="Q313" s="31"/>
      <c r="R313" s="31"/>
      <c r="S313" s="31"/>
      <c r="T313" s="31"/>
      <c r="U313" s="31"/>
      <c r="V313" s="31"/>
      <c r="W313" s="31"/>
      <c r="X313" s="31"/>
      <c r="Y313" s="31"/>
      <c r="Z313" s="31"/>
      <c r="AA313" s="31"/>
      <c r="AB313" s="31"/>
      <c r="AC313" s="31"/>
      <c r="AD313" s="31"/>
    </row>
    <row r="314" spans="1:30">
      <c r="A314" s="31"/>
      <c r="F314" s="31"/>
      <c r="G314" s="31"/>
      <c r="H314" s="31"/>
      <c r="I314" s="31"/>
      <c r="J314" s="31"/>
      <c r="K314" s="31"/>
      <c r="L314" s="31"/>
      <c r="M314" s="31"/>
      <c r="N314" s="31"/>
      <c r="O314" s="31"/>
      <c r="P314" s="31"/>
      <c r="Q314" s="31"/>
      <c r="R314" s="31"/>
      <c r="S314" s="31"/>
      <c r="T314" s="31"/>
      <c r="U314" s="31"/>
      <c r="V314" s="31"/>
      <c r="W314" s="31"/>
      <c r="X314" s="31"/>
      <c r="Y314" s="31"/>
      <c r="Z314" s="31"/>
      <c r="AA314" s="31"/>
      <c r="AB314" s="31"/>
      <c r="AC314" s="31"/>
      <c r="AD314" s="31"/>
    </row>
    <row r="315" spans="1:30">
      <c r="A315" s="31"/>
      <c r="F315" s="31"/>
      <c r="G315" s="31"/>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row>
    <row r="316" spans="1:30">
      <c r="A316" s="31"/>
      <c r="F316" s="31"/>
      <c r="G316" s="31"/>
      <c r="H316" s="31"/>
      <c r="I316" s="31"/>
      <c r="J316" s="31"/>
      <c r="K316" s="31"/>
      <c r="L316" s="31"/>
      <c r="M316" s="31"/>
      <c r="N316" s="31"/>
      <c r="O316" s="31"/>
      <c r="P316" s="31"/>
      <c r="Q316" s="31"/>
      <c r="R316" s="31"/>
      <c r="S316" s="31"/>
      <c r="T316" s="31"/>
      <c r="U316" s="31"/>
      <c r="V316" s="31"/>
      <c r="W316" s="31"/>
      <c r="X316" s="31"/>
      <c r="Y316" s="31"/>
      <c r="Z316" s="31"/>
      <c r="AA316" s="31"/>
      <c r="AB316" s="31"/>
      <c r="AC316" s="31"/>
      <c r="AD316" s="31"/>
    </row>
    <row r="317" spans="1:30">
      <c r="A317" s="31"/>
      <c r="F317" s="31"/>
      <c r="G317" s="31"/>
      <c r="H317" s="31"/>
      <c r="I317" s="31"/>
      <c r="J317" s="31"/>
      <c r="K317" s="31"/>
      <c r="L317" s="31"/>
      <c r="M317" s="31"/>
      <c r="N317" s="31"/>
      <c r="O317" s="31"/>
      <c r="P317" s="31"/>
      <c r="Q317" s="31"/>
      <c r="R317" s="31"/>
      <c r="S317" s="31"/>
      <c r="T317" s="31"/>
      <c r="U317" s="31"/>
      <c r="V317" s="31"/>
      <c r="W317" s="31"/>
      <c r="X317" s="31"/>
      <c r="Y317" s="31"/>
      <c r="Z317" s="31"/>
      <c r="AA317" s="31"/>
      <c r="AB317" s="31"/>
      <c r="AC317" s="31"/>
      <c r="AD317" s="31"/>
    </row>
    <row r="318" spans="1:30">
      <c r="A318" s="31"/>
      <c r="F318" s="31"/>
      <c r="G318" s="31"/>
      <c r="H318" s="31"/>
      <c r="I318" s="31"/>
      <c r="J318" s="31"/>
      <c r="K318" s="31"/>
      <c r="L318" s="31"/>
      <c r="M318" s="31"/>
      <c r="N318" s="31"/>
      <c r="O318" s="31"/>
      <c r="P318" s="31"/>
      <c r="Q318" s="31"/>
      <c r="R318" s="31"/>
      <c r="S318" s="31"/>
      <c r="T318" s="31"/>
      <c r="U318" s="31"/>
      <c r="V318" s="31"/>
      <c r="W318" s="31"/>
      <c r="X318" s="31"/>
      <c r="Y318" s="31"/>
      <c r="Z318" s="31"/>
      <c r="AA318" s="31"/>
      <c r="AB318" s="31"/>
      <c r="AC318" s="31"/>
      <c r="AD318" s="31"/>
    </row>
    <row r="319" spans="1:30">
      <c r="A319" s="31"/>
      <c r="F319" s="31"/>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1"/>
    </row>
    <row r="320" spans="1:30">
      <c r="A320" s="31"/>
      <c r="F320" s="31"/>
      <c r="G320" s="31"/>
      <c r="H320" s="31"/>
      <c r="I320" s="31"/>
      <c r="J320" s="31"/>
      <c r="K320" s="31"/>
      <c r="L320" s="31"/>
      <c r="M320" s="31"/>
      <c r="N320" s="31"/>
      <c r="O320" s="31"/>
      <c r="P320" s="31"/>
      <c r="Q320" s="31"/>
      <c r="R320" s="31"/>
      <c r="S320" s="31"/>
      <c r="T320" s="31"/>
      <c r="U320" s="31"/>
      <c r="V320" s="31"/>
      <c r="W320" s="31"/>
      <c r="X320" s="31"/>
      <c r="Y320" s="31"/>
      <c r="Z320" s="31"/>
      <c r="AA320" s="31"/>
      <c r="AB320" s="31"/>
      <c r="AC320" s="31"/>
      <c r="AD320" s="31"/>
    </row>
    <row r="321" spans="1:30">
      <c r="A321" s="31"/>
      <c r="F321" s="31"/>
      <c r="G321" s="31"/>
      <c r="H321" s="31"/>
      <c r="I321" s="31"/>
      <c r="J321" s="31"/>
      <c r="K321" s="31"/>
      <c r="L321" s="31"/>
      <c r="M321" s="31"/>
      <c r="N321" s="31"/>
      <c r="O321" s="31"/>
      <c r="P321" s="31"/>
      <c r="Q321" s="31"/>
      <c r="R321" s="31"/>
      <c r="S321" s="31"/>
      <c r="T321" s="31"/>
      <c r="U321" s="31"/>
      <c r="V321" s="31"/>
      <c r="W321" s="31"/>
      <c r="X321" s="31"/>
      <c r="Y321" s="31"/>
      <c r="Z321" s="31"/>
      <c r="AA321" s="31"/>
      <c r="AB321" s="31"/>
      <c r="AC321" s="31"/>
      <c r="AD321" s="31"/>
    </row>
    <row r="322" spans="1:30">
      <c r="A322" s="31"/>
      <c r="F322" s="31"/>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c r="AD322" s="31"/>
    </row>
    <row r="323" spans="1:30">
      <c r="A323" s="31"/>
      <c r="F323" s="31"/>
      <c r="G323" s="31"/>
      <c r="H323" s="31"/>
      <c r="I323" s="31"/>
      <c r="J323" s="31"/>
      <c r="K323" s="31"/>
      <c r="L323" s="31"/>
      <c r="M323" s="31"/>
      <c r="N323" s="31"/>
      <c r="O323" s="31"/>
      <c r="P323" s="31"/>
      <c r="Q323" s="31"/>
      <c r="R323" s="31"/>
      <c r="S323" s="31"/>
      <c r="T323" s="31"/>
      <c r="U323" s="31"/>
      <c r="V323" s="31"/>
      <c r="W323" s="31"/>
      <c r="X323" s="31"/>
      <c r="Y323" s="31"/>
      <c r="Z323" s="31"/>
      <c r="AA323" s="31"/>
      <c r="AB323" s="31"/>
      <c r="AC323" s="31"/>
      <c r="AD323" s="31"/>
    </row>
    <row r="324" spans="1:30">
      <c r="A324" s="31"/>
      <c r="F324" s="31"/>
      <c r="G324" s="31"/>
      <c r="H324" s="31"/>
      <c r="I324" s="31"/>
      <c r="J324" s="31"/>
      <c r="K324" s="31"/>
      <c r="L324" s="31"/>
      <c r="M324" s="31"/>
      <c r="N324" s="31"/>
      <c r="O324" s="31"/>
      <c r="P324" s="31"/>
      <c r="Q324" s="31"/>
      <c r="R324" s="31"/>
      <c r="S324" s="31"/>
      <c r="T324" s="31"/>
      <c r="U324" s="31"/>
      <c r="V324" s="31"/>
      <c r="W324" s="31"/>
      <c r="X324" s="31"/>
      <c r="Y324" s="31"/>
      <c r="Z324" s="31"/>
      <c r="AA324" s="31"/>
      <c r="AB324" s="31"/>
      <c r="AC324" s="31"/>
      <c r="AD324" s="31"/>
    </row>
    <row r="325" spans="1:30">
      <c r="A325" s="31"/>
      <c r="F325" s="31"/>
      <c r="G325" s="31"/>
      <c r="H325" s="31"/>
      <c r="I325" s="31"/>
      <c r="J325" s="31"/>
      <c r="K325" s="31"/>
      <c r="L325" s="31"/>
      <c r="M325" s="31"/>
      <c r="N325" s="31"/>
      <c r="O325" s="31"/>
      <c r="P325" s="31"/>
      <c r="Q325" s="31"/>
      <c r="R325" s="31"/>
      <c r="S325" s="31"/>
      <c r="T325" s="31"/>
      <c r="U325" s="31"/>
      <c r="V325" s="31"/>
      <c r="W325" s="31"/>
      <c r="X325" s="31"/>
      <c r="Y325" s="31"/>
      <c r="Z325" s="31"/>
      <c r="AA325" s="31"/>
      <c r="AB325" s="31"/>
      <c r="AC325" s="31"/>
      <c r="AD325" s="31"/>
    </row>
    <row r="326" spans="1:30">
      <c r="A326" s="31"/>
      <c r="F326" s="31"/>
      <c r="G326" s="31"/>
      <c r="H326" s="31"/>
      <c r="I326" s="31"/>
      <c r="J326" s="31"/>
      <c r="K326" s="31"/>
      <c r="L326" s="31"/>
      <c r="M326" s="31"/>
      <c r="N326" s="31"/>
      <c r="O326" s="31"/>
      <c r="P326" s="31"/>
      <c r="Q326" s="31"/>
      <c r="R326" s="31"/>
      <c r="S326" s="31"/>
      <c r="T326" s="31"/>
      <c r="U326" s="31"/>
      <c r="V326" s="31"/>
      <c r="W326" s="31"/>
      <c r="X326" s="31"/>
      <c r="Y326" s="31"/>
      <c r="Z326" s="31"/>
      <c r="AA326" s="31"/>
      <c r="AB326" s="31"/>
      <c r="AC326" s="31"/>
      <c r="AD326" s="31"/>
    </row>
    <row r="327" spans="1:30">
      <c r="A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1"/>
    </row>
    <row r="328" spans="1:30">
      <c r="A328" s="31"/>
      <c r="F328" s="31"/>
      <c r="G328" s="31"/>
      <c r="H328" s="31"/>
      <c r="I328" s="31"/>
      <c r="J328" s="31"/>
      <c r="K328" s="31"/>
      <c r="L328" s="31"/>
      <c r="M328" s="31"/>
      <c r="N328" s="31"/>
      <c r="O328" s="31"/>
      <c r="P328" s="31"/>
      <c r="Q328" s="31"/>
      <c r="R328" s="31"/>
      <c r="S328" s="31"/>
      <c r="T328" s="31"/>
      <c r="U328" s="31"/>
      <c r="V328" s="31"/>
      <c r="W328" s="31"/>
      <c r="X328" s="31"/>
      <c r="Y328" s="31"/>
      <c r="Z328" s="31"/>
      <c r="AA328" s="31"/>
      <c r="AB328" s="31"/>
      <c r="AC328" s="31"/>
      <c r="AD328" s="31"/>
    </row>
    <row r="329" spans="1:30">
      <c r="A329" s="31"/>
      <c r="F329" s="31"/>
      <c r="G329" s="31"/>
      <c r="H329" s="31"/>
      <c r="I329" s="31"/>
      <c r="J329" s="31"/>
      <c r="K329" s="31"/>
      <c r="L329" s="31"/>
      <c r="M329" s="31"/>
      <c r="N329" s="31"/>
      <c r="O329" s="31"/>
      <c r="P329" s="31"/>
      <c r="Q329" s="31"/>
      <c r="R329" s="31"/>
      <c r="S329" s="31"/>
      <c r="T329" s="31"/>
      <c r="U329" s="31"/>
      <c r="V329" s="31"/>
      <c r="W329" s="31"/>
      <c r="X329" s="31"/>
      <c r="Y329" s="31"/>
      <c r="Z329" s="31"/>
      <c r="AA329" s="31"/>
      <c r="AB329" s="31"/>
      <c r="AC329" s="31"/>
      <c r="AD329" s="31"/>
    </row>
    <row r="330" spans="1:30">
      <c r="A330" s="31"/>
      <c r="F330" s="31"/>
      <c r="G330" s="31"/>
      <c r="H330" s="31"/>
      <c r="I330" s="31"/>
      <c r="J330" s="31"/>
      <c r="K330" s="31"/>
      <c r="L330" s="31"/>
      <c r="M330" s="31"/>
      <c r="N330" s="31"/>
      <c r="O330" s="31"/>
      <c r="P330" s="31"/>
      <c r="Q330" s="31"/>
      <c r="R330" s="31"/>
      <c r="S330" s="31"/>
      <c r="T330" s="31"/>
      <c r="U330" s="31"/>
      <c r="V330" s="31"/>
      <c r="W330" s="31"/>
      <c r="X330" s="31"/>
      <c r="Y330" s="31"/>
      <c r="Z330" s="31"/>
      <c r="AA330" s="31"/>
      <c r="AB330" s="31"/>
      <c r="AC330" s="31"/>
      <c r="AD330" s="31"/>
    </row>
    <row r="331" spans="1:30">
      <c r="A331" s="31"/>
      <c r="F331" s="31"/>
      <c r="G331" s="31"/>
      <c r="H331" s="31"/>
      <c r="I331" s="31"/>
      <c r="J331" s="31"/>
      <c r="K331" s="31"/>
      <c r="L331" s="31"/>
      <c r="M331" s="31"/>
      <c r="N331" s="31"/>
      <c r="O331" s="31"/>
      <c r="P331" s="31"/>
      <c r="Q331" s="31"/>
      <c r="R331" s="31"/>
      <c r="S331" s="31"/>
      <c r="T331" s="31"/>
      <c r="U331" s="31"/>
      <c r="V331" s="31"/>
      <c r="W331" s="31"/>
      <c r="X331" s="31"/>
      <c r="Y331" s="31"/>
      <c r="Z331" s="31"/>
      <c r="AA331" s="31"/>
      <c r="AB331" s="31"/>
      <c r="AC331" s="31"/>
      <c r="AD331" s="31"/>
    </row>
    <row r="332" spans="1:30">
      <c r="A332" s="31"/>
      <c r="F332" s="31"/>
      <c r="G332" s="31"/>
      <c r="H332" s="31"/>
      <c r="I332" s="31"/>
      <c r="J332" s="31"/>
      <c r="K332" s="31"/>
      <c r="L332" s="31"/>
      <c r="M332" s="31"/>
      <c r="N332" s="31"/>
      <c r="O332" s="31"/>
      <c r="P332" s="31"/>
      <c r="Q332" s="31"/>
      <c r="R332" s="31"/>
      <c r="S332" s="31"/>
      <c r="T332" s="31"/>
      <c r="U332" s="31"/>
      <c r="V332" s="31"/>
      <c r="W332" s="31"/>
      <c r="X332" s="31"/>
      <c r="Y332" s="31"/>
      <c r="Z332" s="31"/>
      <c r="AA332" s="31"/>
      <c r="AB332" s="31"/>
      <c r="AC332" s="31"/>
      <c r="AD332" s="31"/>
    </row>
    <row r="333" spans="1:30">
      <c r="A333" s="31"/>
      <c r="F333" s="31"/>
      <c r="G333" s="31"/>
      <c r="H333" s="31"/>
      <c r="I333" s="31"/>
      <c r="J333" s="31"/>
      <c r="K333" s="31"/>
      <c r="L333" s="31"/>
      <c r="M333" s="31"/>
      <c r="N333" s="31"/>
      <c r="O333" s="31"/>
      <c r="P333" s="31"/>
      <c r="Q333" s="31"/>
      <c r="R333" s="31"/>
      <c r="S333" s="31"/>
      <c r="T333" s="31"/>
      <c r="U333" s="31"/>
      <c r="V333" s="31"/>
      <c r="W333" s="31"/>
      <c r="X333" s="31"/>
      <c r="Y333" s="31"/>
      <c r="Z333" s="31"/>
      <c r="AA333" s="31"/>
      <c r="AB333" s="31"/>
      <c r="AC333" s="31"/>
      <c r="AD333" s="31"/>
    </row>
    <row r="334" spans="1:30">
      <c r="A334" s="31"/>
      <c r="F334" s="31"/>
      <c r="G334" s="31"/>
      <c r="H334" s="31"/>
      <c r="I334" s="31"/>
      <c r="J334" s="31"/>
      <c r="K334" s="31"/>
      <c r="L334" s="31"/>
      <c r="M334" s="31"/>
      <c r="N334" s="31"/>
      <c r="O334" s="31"/>
      <c r="P334" s="31"/>
      <c r="Q334" s="31"/>
      <c r="R334" s="31"/>
      <c r="S334" s="31"/>
      <c r="T334" s="31"/>
      <c r="U334" s="31"/>
      <c r="V334" s="31"/>
      <c r="W334" s="31"/>
      <c r="X334" s="31"/>
      <c r="Y334" s="31"/>
      <c r="Z334" s="31"/>
      <c r="AA334" s="31"/>
      <c r="AB334" s="31"/>
      <c r="AC334" s="31"/>
      <c r="AD334" s="31"/>
    </row>
    <row r="335" spans="1:30">
      <c r="A335" s="31"/>
      <c r="F335" s="31"/>
      <c r="G335" s="31"/>
      <c r="H335" s="31"/>
      <c r="I335" s="31"/>
      <c r="J335" s="31"/>
      <c r="K335" s="31"/>
      <c r="L335" s="31"/>
      <c r="M335" s="31"/>
      <c r="N335" s="31"/>
      <c r="O335" s="31"/>
      <c r="P335" s="31"/>
      <c r="Q335" s="31"/>
      <c r="R335" s="31"/>
      <c r="S335" s="31"/>
      <c r="T335" s="31"/>
      <c r="U335" s="31"/>
      <c r="V335" s="31"/>
      <c r="W335" s="31"/>
      <c r="X335" s="31"/>
      <c r="Y335" s="31"/>
      <c r="Z335" s="31"/>
      <c r="AA335" s="31"/>
      <c r="AB335" s="31"/>
      <c r="AC335" s="31"/>
      <c r="AD335" s="31"/>
    </row>
    <row r="336" spans="1:30">
      <c r="A336" s="31"/>
      <c r="F336" s="31"/>
      <c r="G336" s="31"/>
      <c r="H336" s="31"/>
      <c r="I336" s="31"/>
      <c r="J336" s="31"/>
      <c r="K336" s="31"/>
      <c r="L336" s="31"/>
      <c r="M336" s="31"/>
      <c r="N336" s="31"/>
      <c r="O336" s="31"/>
      <c r="P336" s="31"/>
      <c r="Q336" s="31"/>
      <c r="R336" s="31"/>
      <c r="S336" s="31"/>
      <c r="T336" s="31"/>
      <c r="U336" s="31"/>
      <c r="V336" s="31"/>
      <c r="W336" s="31"/>
      <c r="X336" s="31"/>
      <c r="Y336" s="31"/>
      <c r="Z336" s="31"/>
      <c r="AA336" s="31"/>
      <c r="AB336" s="31"/>
      <c r="AC336" s="31"/>
      <c r="AD336" s="31"/>
    </row>
    <row r="337" spans="1:30">
      <c r="A337" s="31"/>
      <c r="F337" s="31"/>
      <c r="G337" s="31"/>
      <c r="H337" s="31"/>
      <c r="I337" s="31"/>
      <c r="J337" s="31"/>
      <c r="K337" s="31"/>
      <c r="L337" s="31"/>
      <c r="M337" s="31"/>
      <c r="N337" s="31"/>
      <c r="O337" s="31"/>
      <c r="P337" s="31"/>
      <c r="Q337" s="31"/>
      <c r="R337" s="31"/>
      <c r="S337" s="31"/>
      <c r="T337" s="31"/>
      <c r="U337" s="31"/>
      <c r="V337" s="31"/>
      <c r="W337" s="31"/>
      <c r="X337" s="31"/>
      <c r="Y337" s="31"/>
      <c r="Z337" s="31"/>
      <c r="AA337" s="31"/>
      <c r="AB337" s="31"/>
      <c r="AC337" s="31"/>
      <c r="AD337" s="31"/>
    </row>
    <row r="338" spans="1:30">
      <c r="A338" s="31"/>
      <c r="F338" s="31"/>
      <c r="G338" s="31"/>
      <c r="H338" s="31"/>
      <c r="I338" s="31"/>
      <c r="J338" s="31"/>
      <c r="K338" s="31"/>
      <c r="L338" s="31"/>
      <c r="M338" s="31"/>
      <c r="N338" s="31"/>
      <c r="O338" s="31"/>
      <c r="P338" s="31"/>
      <c r="Q338" s="31"/>
      <c r="R338" s="31"/>
      <c r="S338" s="31"/>
      <c r="T338" s="31"/>
      <c r="U338" s="31"/>
      <c r="V338" s="31"/>
      <c r="W338" s="31"/>
      <c r="X338" s="31"/>
      <c r="Y338" s="31"/>
      <c r="Z338" s="31"/>
      <c r="AA338" s="31"/>
      <c r="AB338" s="31"/>
      <c r="AC338" s="31"/>
      <c r="AD338" s="31"/>
    </row>
    <row r="339" spans="1:30">
      <c r="A339" s="31"/>
      <c r="F339" s="31"/>
      <c r="G339" s="31"/>
      <c r="H339" s="31"/>
      <c r="I339" s="31"/>
      <c r="J339" s="31"/>
      <c r="K339" s="31"/>
      <c r="L339" s="31"/>
      <c r="M339" s="31"/>
      <c r="N339" s="31"/>
      <c r="O339" s="31"/>
      <c r="P339" s="31"/>
      <c r="Q339" s="31"/>
      <c r="R339" s="31"/>
      <c r="S339" s="31"/>
      <c r="T339" s="31"/>
      <c r="U339" s="31"/>
      <c r="V339" s="31"/>
      <c r="W339" s="31"/>
      <c r="X339" s="31"/>
      <c r="Y339" s="31"/>
      <c r="Z339" s="31"/>
      <c r="AA339" s="31"/>
      <c r="AB339" s="31"/>
      <c r="AC339" s="31"/>
      <c r="AD339" s="31"/>
    </row>
    <row r="340" spans="1:30">
      <c r="A340" s="31"/>
      <c r="F340" s="31"/>
      <c r="G340" s="31"/>
      <c r="H340" s="31"/>
      <c r="I340" s="31"/>
      <c r="J340" s="31"/>
      <c r="K340" s="31"/>
      <c r="L340" s="31"/>
      <c r="M340" s="31"/>
      <c r="N340" s="31"/>
      <c r="O340" s="31"/>
      <c r="P340" s="31"/>
      <c r="Q340" s="31"/>
      <c r="R340" s="31"/>
      <c r="S340" s="31"/>
      <c r="T340" s="31"/>
      <c r="U340" s="31"/>
      <c r="V340" s="31"/>
      <c r="W340" s="31"/>
      <c r="X340" s="31"/>
      <c r="Y340" s="31"/>
      <c r="Z340" s="31"/>
      <c r="AA340" s="31"/>
      <c r="AB340" s="31"/>
      <c r="AC340" s="31"/>
      <c r="AD340" s="31"/>
    </row>
    <row r="341" spans="1:30">
      <c r="A341" s="31"/>
      <c r="F341" s="31"/>
      <c r="G341" s="31"/>
      <c r="H341" s="31"/>
      <c r="I341" s="31"/>
      <c r="J341" s="31"/>
      <c r="K341" s="31"/>
      <c r="L341" s="31"/>
      <c r="M341" s="31"/>
      <c r="N341" s="31"/>
      <c r="O341" s="31"/>
      <c r="P341" s="31"/>
      <c r="Q341" s="31"/>
      <c r="R341" s="31"/>
      <c r="S341" s="31"/>
      <c r="T341" s="31"/>
      <c r="U341" s="31"/>
      <c r="V341" s="31"/>
      <c r="W341" s="31"/>
      <c r="X341" s="31"/>
      <c r="Y341" s="31"/>
      <c r="Z341" s="31"/>
      <c r="AA341" s="31"/>
      <c r="AB341" s="31"/>
      <c r="AC341" s="31"/>
      <c r="AD341" s="31"/>
    </row>
    <row r="342" spans="1:30">
      <c r="A342" s="31"/>
      <c r="F342" s="31"/>
      <c r="G342" s="31"/>
      <c r="H342" s="31"/>
      <c r="I342" s="31"/>
      <c r="J342" s="31"/>
      <c r="K342" s="31"/>
      <c r="L342" s="31"/>
      <c r="M342" s="31"/>
      <c r="N342" s="31"/>
      <c r="O342" s="31"/>
      <c r="P342" s="31"/>
      <c r="Q342" s="31"/>
      <c r="R342" s="31"/>
      <c r="S342" s="31"/>
      <c r="T342" s="31"/>
      <c r="U342" s="31"/>
      <c r="V342" s="31"/>
      <c r="W342" s="31"/>
      <c r="X342" s="31"/>
      <c r="Y342" s="31"/>
      <c r="Z342" s="31"/>
      <c r="AA342" s="31"/>
      <c r="AB342" s="31"/>
      <c r="AC342" s="31"/>
      <c r="AD342" s="31"/>
    </row>
    <row r="343" spans="1:30">
      <c r="A343" s="31"/>
      <c r="F343" s="31"/>
      <c r="G343" s="31"/>
      <c r="H343" s="31"/>
      <c r="I343" s="31"/>
      <c r="J343" s="31"/>
      <c r="K343" s="31"/>
      <c r="L343" s="31"/>
      <c r="M343" s="31"/>
      <c r="N343" s="31"/>
      <c r="O343" s="31"/>
      <c r="P343" s="31"/>
      <c r="Q343" s="31"/>
      <c r="R343" s="31"/>
      <c r="S343" s="31"/>
      <c r="T343" s="31"/>
      <c r="U343" s="31"/>
      <c r="V343" s="31"/>
      <c r="W343" s="31"/>
      <c r="X343" s="31"/>
      <c r="Y343" s="31"/>
      <c r="Z343" s="31"/>
      <c r="AA343" s="31"/>
      <c r="AB343" s="31"/>
      <c r="AC343" s="31"/>
      <c r="AD343" s="31"/>
    </row>
    <row r="344" spans="1:30">
      <c r="A344" s="31"/>
      <c r="F344" s="31"/>
      <c r="G344" s="31"/>
      <c r="H344" s="31"/>
      <c r="I344" s="31"/>
      <c r="J344" s="31"/>
      <c r="K344" s="31"/>
      <c r="L344" s="31"/>
      <c r="M344" s="31"/>
      <c r="N344" s="31"/>
      <c r="O344" s="31"/>
      <c r="P344" s="31"/>
      <c r="Q344" s="31"/>
      <c r="R344" s="31"/>
      <c r="S344" s="31"/>
      <c r="T344" s="31"/>
      <c r="U344" s="31"/>
      <c r="V344" s="31"/>
      <c r="W344" s="31"/>
      <c r="X344" s="31"/>
      <c r="Y344" s="31"/>
      <c r="Z344" s="31"/>
      <c r="AA344" s="31"/>
      <c r="AB344" s="31"/>
      <c r="AC344" s="31"/>
      <c r="AD344" s="31"/>
    </row>
    <row r="345" spans="1:30">
      <c r="A345" s="31"/>
      <c r="F345" s="31"/>
      <c r="G345" s="31"/>
      <c r="H345" s="31"/>
      <c r="I345" s="31"/>
      <c r="J345" s="31"/>
      <c r="K345" s="31"/>
      <c r="L345" s="31"/>
      <c r="M345" s="31"/>
      <c r="N345" s="31"/>
      <c r="O345" s="31"/>
      <c r="P345" s="31"/>
      <c r="Q345" s="31"/>
      <c r="R345" s="31"/>
      <c r="S345" s="31"/>
      <c r="T345" s="31"/>
      <c r="U345" s="31"/>
      <c r="V345" s="31"/>
      <c r="W345" s="31"/>
      <c r="X345" s="31"/>
      <c r="Y345" s="31"/>
      <c r="Z345" s="31"/>
      <c r="AA345" s="31"/>
      <c r="AB345" s="31"/>
      <c r="AC345" s="31"/>
      <c r="AD345" s="31"/>
    </row>
    <row r="346" spans="1:30">
      <c r="A346" s="31"/>
      <c r="F346" s="31"/>
      <c r="G346" s="31"/>
      <c r="H346" s="31"/>
      <c r="I346" s="31"/>
      <c r="J346" s="31"/>
      <c r="K346" s="31"/>
      <c r="L346" s="31"/>
      <c r="M346" s="31"/>
      <c r="N346" s="31"/>
      <c r="O346" s="31"/>
      <c r="P346" s="31"/>
      <c r="Q346" s="31"/>
      <c r="R346" s="31"/>
      <c r="S346" s="31"/>
      <c r="T346" s="31"/>
      <c r="U346" s="31"/>
      <c r="V346" s="31"/>
      <c r="W346" s="31"/>
      <c r="X346" s="31"/>
      <c r="Y346" s="31"/>
      <c r="Z346" s="31"/>
      <c r="AA346" s="31"/>
      <c r="AB346" s="31"/>
      <c r="AC346" s="31"/>
      <c r="AD346" s="31"/>
    </row>
    <row r="347" spans="1:30">
      <c r="A347" s="31"/>
      <c r="F347" s="31"/>
      <c r="G347" s="31"/>
      <c r="H347" s="31"/>
      <c r="I347" s="31"/>
      <c r="J347" s="31"/>
      <c r="K347" s="31"/>
      <c r="L347" s="31"/>
      <c r="M347" s="31"/>
      <c r="N347" s="31"/>
      <c r="O347" s="31"/>
      <c r="P347" s="31"/>
      <c r="Q347" s="31"/>
      <c r="R347" s="31"/>
      <c r="S347" s="31"/>
      <c r="T347" s="31"/>
      <c r="U347" s="31"/>
      <c r="V347" s="31"/>
      <c r="W347" s="31"/>
      <c r="X347" s="31"/>
      <c r="Y347" s="31"/>
      <c r="Z347" s="31"/>
      <c r="AA347" s="31"/>
      <c r="AB347" s="31"/>
      <c r="AC347" s="31"/>
      <c r="AD347" s="31"/>
    </row>
    <row r="348" spans="1:30">
      <c r="A348" s="31"/>
      <c r="F348" s="31"/>
      <c r="G348" s="31"/>
      <c r="H348" s="31"/>
      <c r="I348" s="31"/>
      <c r="J348" s="31"/>
      <c r="K348" s="31"/>
      <c r="L348" s="31"/>
      <c r="M348" s="31"/>
      <c r="N348" s="31"/>
      <c r="O348" s="31"/>
      <c r="P348" s="31"/>
      <c r="Q348" s="31"/>
      <c r="R348" s="31"/>
      <c r="S348" s="31"/>
      <c r="T348" s="31"/>
      <c r="U348" s="31"/>
      <c r="V348" s="31"/>
      <c r="W348" s="31"/>
      <c r="X348" s="31"/>
      <c r="Y348" s="31"/>
      <c r="Z348" s="31"/>
      <c r="AA348" s="31"/>
      <c r="AB348" s="31"/>
      <c r="AC348" s="31"/>
      <c r="AD348" s="31"/>
    </row>
    <row r="349" spans="1:30">
      <c r="A349" s="31"/>
      <c r="F349" s="31"/>
      <c r="G349" s="31"/>
      <c r="H349" s="31"/>
      <c r="I349" s="31"/>
      <c r="J349" s="31"/>
      <c r="K349" s="31"/>
      <c r="L349" s="31"/>
      <c r="M349" s="31"/>
      <c r="N349" s="31"/>
      <c r="O349" s="31"/>
      <c r="P349" s="31"/>
      <c r="Q349" s="31"/>
      <c r="R349" s="31"/>
      <c r="S349" s="31"/>
      <c r="T349" s="31"/>
      <c r="U349" s="31"/>
      <c r="V349" s="31"/>
      <c r="W349" s="31"/>
      <c r="X349" s="31"/>
      <c r="Y349" s="31"/>
      <c r="Z349" s="31"/>
      <c r="AA349" s="31"/>
      <c r="AB349" s="31"/>
      <c r="AC349" s="31"/>
      <c r="AD349" s="31"/>
    </row>
    <row r="350" spans="1:30">
      <c r="A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1"/>
    </row>
    <row r="351" spans="1:30">
      <c r="A351" s="31"/>
      <c r="F351" s="31"/>
      <c r="G351" s="31"/>
      <c r="H351" s="31"/>
      <c r="I351" s="31"/>
      <c r="J351" s="31"/>
      <c r="K351" s="31"/>
      <c r="L351" s="31"/>
      <c r="M351" s="31"/>
      <c r="N351" s="31"/>
      <c r="O351" s="31"/>
      <c r="P351" s="31"/>
      <c r="Q351" s="31"/>
      <c r="R351" s="31"/>
      <c r="S351" s="31"/>
      <c r="T351" s="31"/>
      <c r="U351" s="31"/>
      <c r="V351" s="31"/>
      <c r="W351" s="31"/>
      <c r="X351" s="31"/>
      <c r="Y351" s="31"/>
      <c r="Z351" s="31"/>
      <c r="AA351" s="31"/>
      <c r="AB351" s="31"/>
      <c r="AC351" s="31"/>
      <c r="AD351" s="31"/>
    </row>
    <row r="352" spans="1:30">
      <c r="A352" s="31"/>
      <c r="F352" s="31"/>
      <c r="G352" s="31"/>
      <c r="H352" s="31"/>
      <c r="I352" s="31"/>
      <c r="J352" s="31"/>
      <c r="K352" s="31"/>
      <c r="L352" s="31"/>
      <c r="M352" s="31"/>
      <c r="N352" s="31"/>
      <c r="O352" s="31"/>
      <c r="P352" s="31"/>
      <c r="Q352" s="31"/>
      <c r="R352" s="31"/>
      <c r="S352" s="31"/>
      <c r="T352" s="31"/>
      <c r="U352" s="31"/>
      <c r="V352" s="31"/>
      <c r="W352" s="31"/>
      <c r="X352" s="31"/>
      <c r="Y352" s="31"/>
      <c r="Z352" s="31"/>
      <c r="AA352" s="31"/>
      <c r="AB352" s="31"/>
      <c r="AC352" s="31"/>
      <c r="AD352" s="31"/>
    </row>
    <row r="353" spans="1:30">
      <c r="A353" s="31"/>
      <c r="F353" s="31"/>
      <c r="G353" s="31"/>
      <c r="H353" s="31"/>
      <c r="I353" s="31"/>
      <c r="J353" s="31"/>
      <c r="K353" s="31"/>
      <c r="L353" s="31"/>
      <c r="M353" s="31"/>
      <c r="N353" s="31"/>
      <c r="O353" s="31"/>
      <c r="P353" s="31"/>
      <c r="Q353" s="31"/>
      <c r="R353" s="31"/>
      <c r="S353" s="31"/>
      <c r="T353" s="31"/>
      <c r="U353" s="31"/>
      <c r="V353" s="31"/>
      <c r="W353" s="31"/>
      <c r="X353" s="31"/>
      <c r="Y353" s="31"/>
      <c r="Z353" s="31"/>
      <c r="AA353" s="31"/>
      <c r="AB353" s="31"/>
      <c r="AC353" s="31"/>
      <c r="AD353" s="31"/>
    </row>
    <row r="354" spans="1:30">
      <c r="A354" s="31"/>
      <c r="F354" s="31"/>
      <c r="G354" s="31"/>
      <c r="H354" s="31"/>
      <c r="I354" s="31"/>
      <c r="J354" s="31"/>
      <c r="K354" s="31"/>
      <c r="L354" s="31"/>
      <c r="M354" s="31"/>
      <c r="N354" s="31"/>
      <c r="O354" s="31"/>
      <c r="P354" s="31"/>
      <c r="Q354" s="31"/>
      <c r="R354" s="31"/>
      <c r="S354" s="31"/>
      <c r="T354" s="31"/>
      <c r="U354" s="31"/>
      <c r="V354" s="31"/>
      <c r="W354" s="31"/>
      <c r="X354" s="31"/>
      <c r="Y354" s="31"/>
      <c r="Z354" s="31"/>
      <c r="AA354" s="31"/>
      <c r="AB354" s="31"/>
      <c r="AC354" s="31"/>
      <c r="AD354" s="31"/>
    </row>
    <row r="355" spans="1:30">
      <c r="A355" s="31"/>
      <c r="F355" s="31"/>
      <c r="G355" s="31"/>
      <c r="H355" s="31"/>
      <c r="I355" s="31"/>
      <c r="J355" s="31"/>
      <c r="K355" s="31"/>
      <c r="L355" s="31"/>
      <c r="M355" s="31"/>
      <c r="N355" s="31"/>
      <c r="O355" s="31"/>
      <c r="P355" s="31"/>
      <c r="Q355" s="31"/>
      <c r="R355" s="31"/>
      <c r="S355" s="31"/>
      <c r="T355" s="31"/>
      <c r="U355" s="31"/>
      <c r="V355" s="31"/>
      <c r="W355" s="31"/>
      <c r="X355" s="31"/>
      <c r="Y355" s="31"/>
      <c r="Z355" s="31"/>
      <c r="AA355" s="31"/>
      <c r="AB355" s="31"/>
      <c r="AC355" s="31"/>
      <c r="AD355" s="31"/>
    </row>
    <row r="356" spans="1:30">
      <c r="A356" s="31"/>
      <c r="F356" s="31"/>
      <c r="G356" s="31"/>
      <c r="H356" s="31"/>
      <c r="I356" s="31"/>
      <c r="J356" s="31"/>
      <c r="K356" s="31"/>
      <c r="L356" s="31"/>
      <c r="M356" s="31"/>
      <c r="N356" s="31"/>
      <c r="O356" s="31"/>
      <c r="P356" s="31"/>
      <c r="Q356" s="31"/>
      <c r="R356" s="31"/>
      <c r="S356" s="31"/>
      <c r="T356" s="31"/>
      <c r="U356" s="31"/>
      <c r="V356" s="31"/>
      <c r="W356" s="31"/>
      <c r="X356" s="31"/>
      <c r="Y356" s="31"/>
      <c r="Z356" s="31"/>
      <c r="AA356" s="31"/>
      <c r="AB356" s="31"/>
      <c r="AC356" s="31"/>
      <c r="AD356" s="31"/>
    </row>
    <row r="357" spans="1:30">
      <c r="A357" s="31"/>
      <c r="F357" s="31"/>
      <c r="G357" s="31"/>
      <c r="H357" s="31"/>
      <c r="I357" s="31"/>
      <c r="J357" s="31"/>
      <c r="K357" s="31"/>
      <c r="L357" s="31"/>
      <c r="M357" s="31"/>
      <c r="N357" s="31"/>
      <c r="O357" s="31"/>
      <c r="P357" s="31"/>
      <c r="Q357" s="31"/>
      <c r="R357" s="31"/>
      <c r="S357" s="31"/>
      <c r="T357" s="31"/>
      <c r="U357" s="31"/>
      <c r="V357" s="31"/>
      <c r="W357" s="31"/>
      <c r="X357" s="31"/>
      <c r="Y357" s="31"/>
      <c r="Z357" s="31"/>
      <c r="AA357" s="31"/>
      <c r="AB357" s="31"/>
      <c r="AC357" s="31"/>
      <c r="AD357" s="31"/>
    </row>
    <row r="358" spans="1:30">
      <c r="A358" s="31"/>
      <c r="F358" s="31"/>
      <c r="G358" s="31"/>
      <c r="H358" s="31"/>
      <c r="I358" s="31"/>
      <c r="J358" s="31"/>
      <c r="K358" s="31"/>
      <c r="L358" s="31"/>
      <c r="M358" s="31"/>
      <c r="N358" s="31"/>
      <c r="O358" s="31"/>
      <c r="P358" s="31"/>
      <c r="Q358" s="31"/>
      <c r="R358" s="31"/>
      <c r="S358" s="31"/>
      <c r="T358" s="31"/>
      <c r="U358" s="31"/>
      <c r="V358" s="31"/>
      <c r="W358" s="31"/>
      <c r="X358" s="31"/>
      <c r="Y358" s="31"/>
      <c r="Z358" s="31"/>
      <c r="AA358" s="31"/>
      <c r="AB358" s="31"/>
      <c r="AC358" s="31"/>
      <c r="AD358" s="31"/>
    </row>
    <row r="359" spans="1:30">
      <c r="A359" s="31"/>
      <c r="F359" s="31"/>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1"/>
    </row>
    <row r="360" spans="1:30">
      <c r="A360" s="31"/>
      <c r="F360" s="31"/>
      <c r="G360" s="31"/>
      <c r="H360" s="31"/>
      <c r="I360" s="31"/>
      <c r="J360" s="31"/>
      <c r="K360" s="31"/>
      <c r="L360" s="31"/>
      <c r="M360" s="31"/>
      <c r="N360" s="31"/>
      <c r="O360" s="31"/>
      <c r="P360" s="31"/>
      <c r="Q360" s="31"/>
      <c r="R360" s="31"/>
      <c r="S360" s="31"/>
      <c r="T360" s="31"/>
      <c r="U360" s="31"/>
      <c r="V360" s="31"/>
      <c r="W360" s="31"/>
      <c r="X360" s="31"/>
      <c r="Y360" s="31"/>
      <c r="Z360" s="31"/>
      <c r="AA360" s="31"/>
      <c r="AB360" s="31"/>
      <c r="AC360" s="31"/>
      <c r="AD360" s="31"/>
    </row>
    <row r="361" spans="1:30">
      <c r="A361" s="31"/>
      <c r="F361" s="31"/>
      <c r="G361" s="31"/>
      <c r="H361" s="31"/>
      <c r="I361" s="31"/>
      <c r="J361" s="31"/>
      <c r="K361" s="31"/>
      <c r="L361" s="31"/>
      <c r="M361" s="31"/>
      <c r="N361" s="31"/>
      <c r="O361" s="31"/>
      <c r="P361" s="31"/>
      <c r="Q361" s="31"/>
      <c r="R361" s="31"/>
      <c r="S361" s="31"/>
      <c r="T361" s="31"/>
      <c r="U361" s="31"/>
      <c r="V361" s="31"/>
      <c r="W361" s="31"/>
      <c r="X361" s="31"/>
      <c r="Y361" s="31"/>
      <c r="Z361" s="31"/>
      <c r="AA361" s="31"/>
      <c r="AB361" s="31"/>
      <c r="AC361" s="31"/>
      <c r="AD361" s="31"/>
    </row>
    <row r="362" spans="1:30">
      <c r="A362" s="31"/>
      <c r="F362" s="31"/>
      <c r="G362" s="31"/>
      <c r="H362" s="31"/>
      <c r="I362" s="31"/>
      <c r="J362" s="31"/>
      <c r="K362" s="31"/>
      <c r="L362" s="31"/>
      <c r="M362" s="31"/>
      <c r="N362" s="31"/>
      <c r="O362" s="31"/>
      <c r="P362" s="31"/>
      <c r="Q362" s="31"/>
      <c r="R362" s="31"/>
      <c r="S362" s="31"/>
      <c r="T362" s="31"/>
      <c r="U362" s="31"/>
      <c r="V362" s="31"/>
      <c r="W362" s="31"/>
      <c r="X362" s="31"/>
      <c r="Y362" s="31"/>
      <c r="Z362" s="31"/>
      <c r="AA362" s="31"/>
      <c r="AB362" s="31"/>
      <c r="AC362" s="31"/>
      <c r="AD362" s="31"/>
    </row>
    <row r="363" spans="1:30">
      <c r="A363" s="31"/>
      <c r="F363" s="31"/>
      <c r="G363" s="31"/>
      <c r="H363" s="31"/>
      <c r="I363" s="31"/>
      <c r="J363" s="31"/>
      <c r="K363" s="31"/>
      <c r="L363" s="31"/>
      <c r="M363" s="31"/>
      <c r="N363" s="31"/>
      <c r="O363" s="31"/>
      <c r="P363" s="31"/>
      <c r="Q363" s="31"/>
      <c r="R363" s="31"/>
      <c r="S363" s="31"/>
      <c r="T363" s="31"/>
      <c r="U363" s="31"/>
      <c r="V363" s="31"/>
      <c r="W363" s="31"/>
      <c r="X363" s="31"/>
      <c r="Y363" s="31"/>
      <c r="Z363" s="31"/>
      <c r="AA363" s="31"/>
      <c r="AB363" s="31"/>
      <c r="AC363" s="31"/>
      <c r="AD363" s="31"/>
    </row>
    <row r="364" spans="1:30">
      <c r="A364" s="31"/>
      <c r="F364" s="31"/>
      <c r="G364" s="31"/>
      <c r="H364" s="31"/>
      <c r="I364" s="31"/>
      <c r="J364" s="31"/>
      <c r="K364" s="31"/>
      <c r="L364" s="31"/>
      <c r="M364" s="31"/>
      <c r="N364" s="31"/>
      <c r="O364" s="31"/>
      <c r="P364" s="31"/>
      <c r="Q364" s="31"/>
      <c r="R364" s="31"/>
      <c r="S364" s="31"/>
      <c r="T364" s="31"/>
      <c r="U364" s="31"/>
      <c r="V364" s="31"/>
      <c r="W364" s="31"/>
      <c r="X364" s="31"/>
      <c r="Y364" s="31"/>
      <c r="Z364" s="31"/>
      <c r="AA364" s="31"/>
      <c r="AB364" s="31"/>
      <c r="AC364" s="31"/>
      <c r="AD364" s="31"/>
    </row>
    <row r="365" spans="1:30">
      <c r="A365" s="31"/>
      <c r="F365" s="31"/>
      <c r="G365" s="31"/>
      <c r="H365" s="31"/>
      <c r="I365" s="31"/>
      <c r="J365" s="31"/>
      <c r="K365" s="31"/>
      <c r="L365" s="31"/>
      <c r="M365" s="31"/>
      <c r="N365" s="31"/>
      <c r="O365" s="31"/>
      <c r="P365" s="31"/>
      <c r="Q365" s="31"/>
      <c r="R365" s="31"/>
      <c r="S365" s="31"/>
      <c r="T365" s="31"/>
      <c r="U365" s="31"/>
      <c r="V365" s="31"/>
      <c r="W365" s="31"/>
      <c r="X365" s="31"/>
      <c r="Y365" s="31"/>
      <c r="Z365" s="31"/>
      <c r="AA365" s="31"/>
      <c r="AB365" s="31"/>
      <c r="AC365" s="31"/>
      <c r="AD365" s="31"/>
    </row>
    <row r="366" spans="1:30">
      <c r="A366" s="31"/>
      <c r="F366" s="31"/>
      <c r="G366" s="31"/>
      <c r="H366" s="31"/>
      <c r="I366" s="31"/>
      <c r="J366" s="31"/>
      <c r="K366" s="31"/>
      <c r="L366" s="31"/>
      <c r="M366" s="31"/>
      <c r="N366" s="31"/>
      <c r="O366" s="31"/>
      <c r="P366" s="31"/>
      <c r="Q366" s="31"/>
      <c r="R366" s="31"/>
      <c r="S366" s="31"/>
      <c r="T366" s="31"/>
      <c r="U366" s="31"/>
      <c r="V366" s="31"/>
      <c r="W366" s="31"/>
      <c r="X366" s="31"/>
      <c r="Y366" s="31"/>
      <c r="Z366" s="31"/>
      <c r="AA366" s="31"/>
      <c r="AB366" s="31"/>
      <c r="AC366" s="31"/>
      <c r="AD366" s="31"/>
    </row>
    <row r="367" spans="1:30">
      <c r="A367" s="31"/>
      <c r="F367" s="31"/>
      <c r="G367" s="31"/>
      <c r="H367" s="31"/>
      <c r="I367" s="31"/>
      <c r="J367" s="31"/>
      <c r="K367" s="31"/>
      <c r="L367" s="31"/>
      <c r="M367" s="31"/>
      <c r="N367" s="31"/>
      <c r="O367" s="31"/>
      <c r="P367" s="31"/>
      <c r="Q367" s="31"/>
      <c r="R367" s="31"/>
      <c r="S367" s="31"/>
      <c r="T367" s="31"/>
      <c r="U367" s="31"/>
      <c r="V367" s="31"/>
      <c r="W367" s="31"/>
      <c r="X367" s="31"/>
      <c r="Y367" s="31"/>
      <c r="Z367" s="31"/>
      <c r="AA367" s="31"/>
      <c r="AB367" s="31"/>
      <c r="AC367" s="31"/>
      <c r="AD367" s="31"/>
    </row>
    <row r="368" spans="1:30">
      <c r="A368" s="31"/>
      <c r="F368" s="31"/>
      <c r="G368" s="31"/>
      <c r="H368" s="31"/>
      <c r="I368" s="31"/>
      <c r="J368" s="31"/>
      <c r="K368" s="31"/>
      <c r="L368" s="31"/>
      <c r="M368" s="31"/>
      <c r="N368" s="31"/>
      <c r="O368" s="31"/>
      <c r="P368" s="31"/>
      <c r="Q368" s="31"/>
      <c r="R368" s="31"/>
      <c r="S368" s="31"/>
      <c r="T368" s="31"/>
      <c r="U368" s="31"/>
      <c r="V368" s="31"/>
      <c r="W368" s="31"/>
      <c r="X368" s="31"/>
      <c r="Y368" s="31"/>
      <c r="Z368" s="31"/>
      <c r="AA368" s="31"/>
      <c r="AB368" s="31"/>
      <c r="AC368" s="31"/>
      <c r="AD368" s="31"/>
    </row>
    <row r="369" spans="1:30">
      <c r="A369" s="31"/>
      <c r="F369" s="31"/>
      <c r="G369" s="31"/>
      <c r="H369" s="31"/>
      <c r="I369" s="31"/>
      <c r="J369" s="31"/>
      <c r="K369" s="31"/>
      <c r="L369" s="31"/>
      <c r="M369" s="31"/>
      <c r="N369" s="31"/>
      <c r="O369" s="31"/>
      <c r="P369" s="31"/>
      <c r="Q369" s="31"/>
      <c r="R369" s="31"/>
      <c r="S369" s="31"/>
      <c r="T369" s="31"/>
      <c r="U369" s="31"/>
      <c r="V369" s="31"/>
      <c r="W369" s="31"/>
      <c r="X369" s="31"/>
      <c r="Y369" s="31"/>
      <c r="Z369" s="31"/>
      <c r="AA369" s="31"/>
      <c r="AB369" s="31"/>
      <c r="AC369" s="31"/>
      <c r="AD369" s="31"/>
    </row>
    <row r="370" spans="1:30">
      <c r="A370" s="31"/>
      <c r="F370" s="31"/>
      <c r="G370" s="31"/>
      <c r="H370" s="31"/>
      <c r="I370" s="31"/>
      <c r="J370" s="31"/>
      <c r="K370" s="31"/>
      <c r="L370" s="31"/>
      <c r="M370" s="31"/>
      <c r="N370" s="31"/>
      <c r="O370" s="31"/>
      <c r="P370" s="31"/>
      <c r="Q370" s="31"/>
      <c r="R370" s="31"/>
      <c r="S370" s="31"/>
      <c r="T370" s="31"/>
      <c r="U370" s="31"/>
      <c r="V370" s="31"/>
      <c r="W370" s="31"/>
      <c r="X370" s="31"/>
      <c r="Y370" s="31"/>
      <c r="Z370" s="31"/>
      <c r="AA370" s="31"/>
      <c r="AB370" s="31"/>
      <c r="AC370" s="31"/>
      <c r="AD370" s="31"/>
    </row>
    <row r="371" spans="1:30">
      <c r="A371" s="31"/>
      <c r="F371" s="31"/>
      <c r="G371" s="31"/>
      <c r="H371" s="31"/>
      <c r="I371" s="31"/>
      <c r="J371" s="31"/>
      <c r="K371" s="31"/>
      <c r="L371" s="31"/>
      <c r="M371" s="31"/>
      <c r="N371" s="31"/>
      <c r="O371" s="31"/>
      <c r="P371" s="31"/>
      <c r="Q371" s="31"/>
      <c r="R371" s="31"/>
      <c r="S371" s="31"/>
      <c r="T371" s="31"/>
      <c r="U371" s="31"/>
      <c r="V371" s="31"/>
      <c r="W371" s="31"/>
      <c r="X371" s="31"/>
      <c r="Y371" s="31"/>
      <c r="Z371" s="31"/>
      <c r="AA371" s="31"/>
      <c r="AB371" s="31"/>
      <c r="AC371" s="31"/>
      <c r="AD371" s="31"/>
    </row>
    <row r="372" spans="1:30">
      <c r="A372" s="31"/>
      <c r="F372" s="31"/>
      <c r="G372" s="31"/>
      <c r="H372" s="31"/>
      <c r="I372" s="31"/>
      <c r="J372" s="31"/>
      <c r="K372" s="31"/>
      <c r="L372" s="31"/>
      <c r="M372" s="31"/>
      <c r="N372" s="31"/>
      <c r="O372" s="31"/>
      <c r="P372" s="31"/>
      <c r="Q372" s="31"/>
      <c r="R372" s="31"/>
      <c r="S372" s="31"/>
      <c r="T372" s="31"/>
      <c r="U372" s="31"/>
      <c r="V372" s="31"/>
      <c r="W372" s="31"/>
      <c r="X372" s="31"/>
      <c r="Y372" s="31"/>
      <c r="Z372" s="31"/>
      <c r="AA372" s="31"/>
      <c r="AB372" s="31"/>
      <c r="AC372" s="31"/>
      <c r="AD372" s="31"/>
    </row>
    <row r="373" spans="1:30">
      <c r="A373" s="31"/>
      <c r="F373" s="31"/>
      <c r="G373" s="31"/>
      <c r="H373" s="31"/>
      <c r="I373" s="31"/>
      <c r="J373" s="31"/>
      <c r="K373" s="31"/>
      <c r="L373" s="31"/>
      <c r="M373" s="31"/>
      <c r="N373" s="31"/>
      <c r="O373" s="31"/>
      <c r="P373" s="31"/>
      <c r="Q373" s="31"/>
      <c r="R373" s="31"/>
      <c r="S373" s="31"/>
      <c r="T373" s="31"/>
      <c r="U373" s="31"/>
      <c r="V373" s="31"/>
      <c r="W373" s="31"/>
      <c r="X373" s="31"/>
      <c r="Y373" s="31"/>
      <c r="Z373" s="31"/>
      <c r="AA373" s="31"/>
      <c r="AB373" s="31"/>
      <c r="AC373" s="31"/>
      <c r="AD373" s="31"/>
    </row>
    <row r="374" spans="1:30">
      <c r="A374" s="31"/>
      <c r="F374" s="31"/>
      <c r="G374" s="31"/>
      <c r="H374" s="31"/>
      <c r="I374" s="31"/>
      <c r="J374" s="31"/>
      <c r="K374" s="31"/>
      <c r="L374" s="31"/>
      <c r="M374" s="31"/>
      <c r="N374" s="31"/>
      <c r="O374" s="31"/>
      <c r="P374" s="31"/>
      <c r="Q374" s="31"/>
      <c r="R374" s="31"/>
      <c r="S374" s="31"/>
      <c r="T374" s="31"/>
      <c r="U374" s="31"/>
      <c r="V374" s="31"/>
      <c r="W374" s="31"/>
      <c r="X374" s="31"/>
      <c r="Y374" s="31"/>
      <c r="Z374" s="31"/>
      <c r="AA374" s="31"/>
      <c r="AB374" s="31"/>
      <c r="AC374" s="31"/>
      <c r="AD374" s="31"/>
    </row>
    <row r="375" spans="1:30">
      <c r="A375" s="31"/>
      <c r="F375" s="31"/>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1"/>
    </row>
    <row r="376" spans="1:30">
      <c r="A376" s="31"/>
      <c r="F376" s="31"/>
      <c r="G376" s="31"/>
      <c r="H376" s="31"/>
      <c r="I376" s="31"/>
      <c r="J376" s="31"/>
      <c r="K376" s="31"/>
      <c r="L376" s="31"/>
      <c r="M376" s="31"/>
      <c r="N376" s="31"/>
      <c r="O376" s="31"/>
      <c r="P376" s="31"/>
      <c r="Q376" s="31"/>
      <c r="R376" s="31"/>
      <c r="S376" s="31"/>
      <c r="T376" s="31"/>
      <c r="U376" s="31"/>
      <c r="V376" s="31"/>
      <c r="W376" s="31"/>
      <c r="X376" s="31"/>
      <c r="Y376" s="31"/>
      <c r="Z376" s="31"/>
      <c r="AA376" s="31"/>
      <c r="AB376" s="31"/>
      <c r="AC376" s="31"/>
      <c r="AD376" s="31"/>
    </row>
    <row r="377" spans="1:30">
      <c r="A377" s="31"/>
      <c r="F377" s="31"/>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1"/>
    </row>
    <row r="378" spans="1:30">
      <c r="A378" s="31"/>
      <c r="F378" s="31"/>
      <c r="G378" s="31"/>
      <c r="H378" s="31"/>
      <c r="I378" s="31"/>
      <c r="J378" s="31"/>
      <c r="K378" s="31"/>
      <c r="L378" s="31"/>
      <c r="M378" s="31"/>
      <c r="N378" s="31"/>
      <c r="O378" s="31"/>
      <c r="P378" s="31"/>
      <c r="Q378" s="31"/>
      <c r="R378" s="31"/>
      <c r="S378" s="31"/>
      <c r="T378" s="31"/>
      <c r="U378" s="31"/>
      <c r="V378" s="31"/>
      <c r="W378" s="31"/>
      <c r="X378" s="31"/>
      <c r="Y378" s="31"/>
      <c r="Z378" s="31"/>
      <c r="AA378" s="31"/>
      <c r="AB378" s="31"/>
      <c r="AC378" s="31"/>
      <c r="AD378" s="31"/>
    </row>
    <row r="379" spans="1:30">
      <c r="A379" s="31"/>
      <c r="F379" s="31"/>
      <c r="G379" s="31"/>
      <c r="H379" s="31"/>
      <c r="I379" s="31"/>
      <c r="J379" s="31"/>
      <c r="K379" s="31"/>
      <c r="L379" s="31"/>
      <c r="M379" s="31"/>
      <c r="N379" s="31"/>
      <c r="O379" s="31"/>
      <c r="P379" s="31"/>
      <c r="Q379" s="31"/>
      <c r="R379" s="31"/>
      <c r="S379" s="31"/>
      <c r="T379" s="31"/>
      <c r="U379" s="31"/>
      <c r="V379" s="31"/>
      <c r="W379" s="31"/>
      <c r="X379" s="31"/>
      <c r="Y379" s="31"/>
      <c r="Z379" s="31"/>
      <c r="AA379" s="31"/>
      <c r="AB379" s="31"/>
      <c r="AC379" s="31"/>
      <c r="AD379" s="31"/>
    </row>
    <row r="380" spans="1:30">
      <c r="A380" s="31"/>
      <c r="F380" s="31"/>
      <c r="G380" s="31"/>
      <c r="H380" s="31"/>
      <c r="I380" s="31"/>
      <c r="J380" s="31"/>
      <c r="K380" s="31"/>
      <c r="L380" s="31"/>
      <c r="M380" s="31"/>
      <c r="N380" s="31"/>
      <c r="O380" s="31"/>
      <c r="P380" s="31"/>
      <c r="Q380" s="31"/>
      <c r="R380" s="31"/>
      <c r="S380" s="31"/>
      <c r="T380" s="31"/>
      <c r="U380" s="31"/>
      <c r="V380" s="31"/>
      <c r="W380" s="31"/>
      <c r="X380" s="31"/>
      <c r="Y380" s="31"/>
      <c r="Z380" s="31"/>
      <c r="AA380" s="31"/>
      <c r="AB380" s="31"/>
      <c r="AC380" s="31"/>
      <c r="AD380" s="31"/>
    </row>
    <row r="381" spans="1:30">
      <c r="A381" s="31"/>
      <c r="F381" s="31"/>
      <c r="G381" s="31"/>
      <c r="H381" s="31"/>
      <c r="I381" s="31"/>
      <c r="J381" s="31"/>
      <c r="K381" s="31"/>
      <c r="L381" s="31"/>
      <c r="M381" s="31"/>
      <c r="N381" s="31"/>
      <c r="O381" s="31"/>
      <c r="P381" s="31"/>
      <c r="Q381" s="31"/>
      <c r="R381" s="31"/>
      <c r="S381" s="31"/>
      <c r="T381" s="31"/>
      <c r="U381" s="31"/>
      <c r="V381" s="31"/>
      <c r="W381" s="31"/>
      <c r="X381" s="31"/>
      <c r="Y381" s="31"/>
      <c r="Z381" s="31"/>
      <c r="AA381" s="31"/>
      <c r="AB381" s="31"/>
      <c r="AC381" s="31"/>
      <c r="AD381" s="31"/>
    </row>
    <row r="382" spans="1:30">
      <c r="A382" s="31"/>
      <c r="F382" s="31"/>
      <c r="G382" s="31"/>
      <c r="H382" s="31"/>
      <c r="I382" s="31"/>
      <c r="J382" s="31"/>
      <c r="K382" s="31"/>
      <c r="L382" s="31"/>
      <c r="M382" s="31"/>
      <c r="N382" s="31"/>
      <c r="O382" s="31"/>
      <c r="P382" s="31"/>
      <c r="Q382" s="31"/>
      <c r="R382" s="31"/>
      <c r="S382" s="31"/>
      <c r="T382" s="31"/>
      <c r="U382" s="31"/>
      <c r="V382" s="31"/>
      <c r="W382" s="31"/>
      <c r="X382" s="31"/>
      <c r="Y382" s="31"/>
      <c r="Z382" s="31"/>
      <c r="AA382" s="31"/>
      <c r="AB382" s="31"/>
      <c r="AC382" s="31"/>
      <c r="AD382" s="31"/>
    </row>
    <row r="383" spans="1:30">
      <c r="A383" s="31"/>
      <c r="F383" s="31"/>
      <c r="G383" s="31"/>
      <c r="H383" s="31"/>
      <c r="I383" s="31"/>
      <c r="J383" s="31"/>
      <c r="K383" s="31"/>
      <c r="L383" s="31"/>
      <c r="M383" s="31"/>
      <c r="N383" s="31"/>
      <c r="O383" s="31"/>
      <c r="P383" s="31"/>
      <c r="Q383" s="31"/>
      <c r="R383" s="31"/>
      <c r="S383" s="31"/>
      <c r="T383" s="31"/>
      <c r="U383" s="31"/>
      <c r="V383" s="31"/>
      <c r="W383" s="31"/>
      <c r="X383" s="31"/>
      <c r="Y383" s="31"/>
      <c r="Z383" s="31"/>
      <c r="AA383" s="31"/>
      <c r="AB383" s="31"/>
      <c r="AC383" s="31"/>
      <c r="AD383" s="31"/>
    </row>
    <row r="384" spans="1:30">
      <c r="A384" s="31"/>
      <c r="F384" s="31"/>
      <c r="G384" s="31"/>
      <c r="H384" s="31"/>
      <c r="I384" s="31"/>
      <c r="J384" s="31"/>
      <c r="K384" s="31"/>
      <c r="L384" s="31"/>
      <c r="M384" s="31"/>
      <c r="N384" s="31"/>
      <c r="O384" s="31"/>
      <c r="P384" s="31"/>
      <c r="Q384" s="31"/>
      <c r="R384" s="31"/>
      <c r="S384" s="31"/>
      <c r="T384" s="31"/>
      <c r="U384" s="31"/>
      <c r="V384" s="31"/>
      <c r="W384" s="31"/>
      <c r="X384" s="31"/>
      <c r="Y384" s="31"/>
      <c r="Z384" s="31"/>
      <c r="AA384" s="31"/>
      <c r="AB384" s="31"/>
      <c r="AC384" s="31"/>
      <c r="AD384" s="31"/>
    </row>
    <row r="385" spans="1:30">
      <c r="A385" s="31"/>
      <c r="F385" s="31"/>
      <c r="G385" s="31"/>
      <c r="H385" s="31"/>
      <c r="I385" s="31"/>
      <c r="J385" s="31"/>
      <c r="K385" s="31"/>
      <c r="L385" s="31"/>
      <c r="M385" s="31"/>
      <c r="N385" s="31"/>
      <c r="O385" s="31"/>
      <c r="P385" s="31"/>
      <c r="Q385" s="31"/>
      <c r="R385" s="31"/>
      <c r="S385" s="31"/>
      <c r="T385" s="31"/>
      <c r="U385" s="31"/>
      <c r="V385" s="31"/>
      <c r="W385" s="31"/>
      <c r="X385" s="31"/>
      <c r="Y385" s="31"/>
      <c r="Z385" s="31"/>
      <c r="AA385" s="31"/>
      <c r="AB385" s="31"/>
      <c r="AC385" s="31"/>
      <c r="AD385" s="31"/>
    </row>
    <row r="386" spans="1:30">
      <c r="A386" s="31"/>
      <c r="F386" s="31"/>
      <c r="G386" s="31"/>
      <c r="H386" s="31"/>
      <c r="I386" s="31"/>
      <c r="J386" s="31"/>
      <c r="K386" s="31"/>
      <c r="L386" s="31"/>
      <c r="M386" s="31"/>
      <c r="N386" s="31"/>
      <c r="O386" s="31"/>
      <c r="P386" s="31"/>
      <c r="Q386" s="31"/>
      <c r="R386" s="31"/>
      <c r="S386" s="31"/>
      <c r="T386" s="31"/>
      <c r="U386" s="31"/>
      <c r="V386" s="31"/>
      <c r="W386" s="31"/>
      <c r="X386" s="31"/>
      <c r="Y386" s="31"/>
      <c r="Z386" s="31"/>
      <c r="AA386" s="31"/>
      <c r="AB386" s="31"/>
      <c r="AC386" s="31"/>
      <c r="AD386" s="31"/>
    </row>
    <row r="387" spans="1:30">
      <c r="A387" s="31"/>
      <c r="F387" s="31"/>
      <c r="G387" s="31"/>
      <c r="H387" s="31"/>
      <c r="I387" s="31"/>
      <c r="J387" s="31"/>
      <c r="K387" s="31"/>
      <c r="L387" s="31"/>
      <c r="M387" s="31"/>
      <c r="N387" s="31"/>
      <c r="O387" s="31"/>
      <c r="P387" s="31"/>
      <c r="Q387" s="31"/>
      <c r="R387" s="31"/>
      <c r="S387" s="31"/>
      <c r="T387" s="31"/>
      <c r="U387" s="31"/>
      <c r="V387" s="31"/>
      <c r="W387" s="31"/>
      <c r="X387" s="31"/>
      <c r="Y387" s="31"/>
      <c r="Z387" s="31"/>
      <c r="AA387" s="31"/>
      <c r="AB387" s="31"/>
      <c r="AC387" s="31"/>
      <c r="AD387" s="31"/>
    </row>
    <row r="388" spans="1:30">
      <c r="A388" s="31"/>
      <c r="F388" s="31"/>
      <c r="G388" s="31"/>
      <c r="H388" s="31"/>
      <c r="I388" s="31"/>
      <c r="J388" s="31"/>
      <c r="K388" s="31"/>
      <c r="L388" s="31"/>
      <c r="M388" s="31"/>
      <c r="N388" s="31"/>
      <c r="O388" s="31"/>
      <c r="P388" s="31"/>
      <c r="Q388" s="31"/>
      <c r="R388" s="31"/>
      <c r="S388" s="31"/>
      <c r="T388" s="31"/>
      <c r="U388" s="31"/>
      <c r="V388" s="31"/>
      <c r="W388" s="31"/>
      <c r="X388" s="31"/>
      <c r="Y388" s="31"/>
      <c r="Z388" s="31"/>
      <c r="AA388" s="31"/>
      <c r="AB388" s="31"/>
      <c r="AC388" s="31"/>
      <c r="AD388" s="31"/>
    </row>
    <row r="389" spans="1:30">
      <c r="A389" s="31"/>
      <c r="F389" s="31"/>
      <c r="G389" s="31"/>
      <c r="H389" s="31"/>
      <c r="I389" s="31"/>
      <c r="J389" s="31"/>
      <c r="K389" s="31"/>
      <c r="L389" s="31"/>
      <c r="M389" s="31"/>
      <c r="N389" s="31"/>
      <c r="O389" s="31"/>
      <c r="P389" s="31"/>
      <c r="Q389" s="31"/>
      <c r="R389" s="31"/>
      <c r="S389" s="31"/>
      <c r="T389" s="31"/>
      <c r="U389" s="31"/>
      <c r="V389" s="31"/>
      <c r="W389" s="31"/>
      <c r="X389" s="31"/>
      <c r="Y389" s="31"/>
      <c r="Z389" s="31"/>
      <c r="AA389" s="31"/>
      <c r="AB389" s="31"/>
      <c r="AC389" s="31"/>
      <c r="AD389" s="31"/>
    </row>
    <row r="390" spans="1:30">
      <c r="A390" s="31"/>
      <c r="F390" s="31"/>
      <c r="G390" s="31"/>
      <c r="H390" s="31"/>
      <c r="I390" s="31"/>
      <c r="J390" s="31"/>
      <c r="K390" s="31"/>
      <c r="L390" s="31"/>
      <c r="M390" s="31"/>
      <c r="N390" s="31"/>
      <c r="O390" s="31"/>
      <c r="P390" s="31"/>
      <c r="Q390" s="31"/>
      <c r="R390" s="31"/>
      <c r="S390" s="31"/>
      <c r="T390" s="31"/>
      <c r="U390" s="31"/>
      <c r="V390" s="31"/>
      <c r="W390" s="31"/>
      <c r="X390" s="31"/>
      <c r="Y390" s="31"/>
      <c r="Z390" s="31"/>
      <c r="AA390" s="31"/>
      <c r="AB390" s="31"/>
      <c r="AC390" s="31"/>
      <c r="AD390" s="31"/>
    </row>
    <row r="391" spans="1:30">
      <c r="A391" s="31"/>
      <c r="F391" s="31"/>
      <c r="G391" s="31"/>
      <c r="H391" s="31"/>
      <c r="I391" s="31"/>
      <c r="J391" s="31"/>
      <c r="K391" s="31"/>
      <c r="L391" s="31"/>
      <c r="M391" s="31"/>
      <c r="N391" s="31"/>
      <c r="O391" s="31"/>
      <c r="P391" s="31"/>
      <c r="Q391" s="31"/>
      <c r="R391" s="31"/>
      <c r="S391" s="31"/>
      <c r="T391" s="31"/>
      <c r="U391" s="31"/>
      <c r="V391" s="31"/>
      <c r="W391" s="31"/>
      <c r="X391" s="31"/>
      <c r="Y391" s="31"/>
      <c r="Z391" s="31"/>
      <c r="AA391" s="31"/>
      <c r="AB391" s="31"/>
      <c r="AC391" s="31"/>
      <c r="AD391" s="31"/>
    </row>
    <row r="392" spans="1:30">
      <c r="A392" s="31"/>
      <c r="F392" s="31"/>
      <c r="G392" s="31"/>
      <c r="H392" s="31"/>
      <c r="I392" s="31"/>
      <c r="J392" s="31"/>
      <c r="K392" s="31"/>
      <c r="L392" s="31"/>
      <c r="M392" s="31"/>
      <c r="N392" s="31"/>
      <c r="O392" s="31"/>
      <c r="P392" s="31"/>
      <c r="Q392" s="31"/>
      <c r="R392" s="31"/>
      <c r="S392" s="31"/>
      <c r="T392" s="31"/>
      <c r="U392" s="31"/>
      <c r="V392" s="31"/>
      <c r="W392" s="31"/>
      <c r="X392" s="31"/>
      <c r="Y392" s="31"/>
      <c r="Z392" s="31"/>
      <c r="AA392" s="31"/>
      <c r="AB392" s="31"/>
      <c r="AC392" s="31"/>
      <c r="AD392" s="31"/>
    </row>
    <row r="393" spans="1:30">
      <c r="A393" s="31"/>
      <c r="F393" s="31"/>
      <c r="G393" s="31"/>
      <c r="H393" s="31"/>
      <c r="I393" s="31"/>
      <c r="J393" s="31"/>
      <c r="K393" s="31"/>
      <c r="L393" s="31"/>
      <c r="M393" s="31"/>
      <c r="N393" s="31"/>
      <c r="O393" s="31"/>
      <c r="P393" s="31"/>
      <c r="Q393" s="31"/>
      <c r="R393" s="31"/>
      <c r="S393" s="31"/>
      <c r="T393" s="31"/>
      <c r="U393" s="31"/>
      <c r="V393" s="31"/>
      <c r="W393" s="31"/>
      <c r="X393" s="31"/>
      <c r="Y393" s="31"/>
      <c r="Z393" s="31"/>
      <c r="AA393" s="31"/>
      <c r="AB393" s="31"/>
      <c r="AC393" s="31"/>
      <c r="AD393" s="31"/>
    </row>
    <row r="394" spans="1:30">
      <c r="A394" s="31"/>
      <c r="F394" s="31"/>
      <c r="G394" s="31"/>
      <c r="H394" s="31"/>
      <c r="I394" s="31"/>
      <c r="J394" s="31"/>
      <c r="K394" s="31"/>
      <c r="L394" s="31"/>
      <c r="M394" s="31"/>
      <c r="N394" s="31"/>
      <c r="O394" s="31"/>
      <c r="P394" s="31"/>
      <c r="Q394" s="31"/>
      <c r="R394" s="31"/>
      <c r="S394" s="31"/>
      <c r="T394" s="31"/>
      <c r="U394" s="31"/>
      <c r="V394" s="31"/>
      <c r="W394" s="31"/>
      <c r="X394" s="31"/>
      <c r="Y394" s="31"/>
      <c r="Z394" s="31"/>
      <c r="AA394" s="31"/>
      <c r="AB394" s="31"/>
      <c r="AC394" s="31"/>
      <c r="AD394" s="31"/>
    </row>
    <row r="395" spans="1:30">
      <c r="A395" s="31"/>
      <c r="F395" s="31"/>
      <c r="G395" s="31"/>
      <c r="H395" s="31"/>
      <c r="I395" s="31"/>
      <c r="J395" s="31"/>
      <c r="K395" s="31"/>
      <c r="L395" s="31"/>
      <c r="M395" s="31"/>
      <c r="N395" s="31"/>
      <c r="O395" s="31"/>
      <c r="P395" s="31"/>
      <c r="Q395" s="31"/>
      <c r="R395" s="31"/>
      <c r="S395" s="31"/>
      <c r="T395" s="31"/>
      <c r="U395" s="31"/>
      <c r="V395" s="31"/>
      <c r="W395" s="31"/>
      <c r="X395" s="31"/>
      <c r="Y395" s="31"/>
      <c r="Z395" s="31"/>
      <c r="AA395" s="31"/>
      <c r="AB395" s="31"/>
      <c r="AC395" s="31"/>
      <c r="AD395" s="31"/>
    </row>
    <row r="396" spans="1:30">
      <c r="A396" s="31"/>
      <c r="F396" s="31"/>
      <c r="G396" s="31"/>
      <c r="H396" s="31"/>
      <c r="I396" s="31"/>
      <c r="J396" s="31"/>
      <c r="K396" s="31"/>
      <c r="L396" s="31"/>
      <c r="M396" s="31"/>
      <c r="N396" s="31"/>
      <c r="O396" s="31"/>
      <c r="P396" s="31"/>
      <c r="Q396" s="31"/>
      <c r="R396" s="31"/>
      <c r="S396" s="31"/>
      <c r="T396" s="31"/>
      <c r="U396" s="31"/>
      <c r="V396" s="31"/>
      <c r="W396" s="31"/>
      <c r="X396" s="31"/>
      <c r="Y396" s="31"/>
      <c r="Z396" s="31"/>
      <c r="AA396" s="31"/>
      <c r="AB396" s="31"/>
      <c r="AC396" s="31"/>
      <c r="AD396" s="31"/>
    </row>
    <row r="397" spans="1:30">
      <c r="A397" s="31"/>
      <c r="F397" s="31"/>
      <c r="G397" s="31"/>
      <c r="H397" s="31"/>
      <c r="I397" s="31"/>
      <c r="J397" s="31"/>
      <c r="K397" s="31"/>
      <c r="L397" s="31"/>
      <c r="M397" s="31"/>
      <c r="N397" s="31"/>
      <c r="O397" s="31"/>
      <c r="P397" s="31"/>
      <c r="Q397" s="31"/>
      <c r="R397" s="31"/>
      <c r="S397" s="31"/>
      <c r="T397" s="31"/>
      <c r="U397" s="31"/>
      <c r="V397" s="31"/>
      <c r="W397" s="31"/>
      <c r="X397" s="31"/>
      <c r="Y397" s="31"/>
      <c r="Z397" s="31"/>
      <c r="AA397" s="31"/>
      <c r="AB397" s="31"/>
      <c r="AC397" s="31"/>
      <c r="AD397" s="31"/>
    </row>
    <row r="398" spans="1:30">
      <c r="A398" s="31"/>
      <c r="F398" s="31"/>
      <c r="G398" s="31"/>
      <c r="H398" s="31"/>
      <c r="I398" s="31"/>
      <c r="J398" s="31"/>
      <c r="K398" s="31"/>
      <c r="L398" s="31"/>
      <c r="M398" s="31"/>
      <c r="N398" s="31"/>
      <c r="O398" s="31"/>
      <c r="P398" s="31"/>
      <c r="Q398" s="31"/>
      <c r="R398" s="31"/>
      <c r="S398" s="31"/>
      <c r="T398" s="31"/>
      <c r="U398" s="31"/>
      <c r="V398" s="31"/>
      <c r="W398" s="31"/>
      <c r="X398" s="31"/>
      <c r="Y398" s="31"/>
      <c r="Z398" s="31"/>
      <c r="AA398" s="31"/>
      <c r="AB398" s="31"/>
      <c r="AC398" s="31"/>
      <c r="AD398" s="31"/>
    </row>
    <row r="399" spans="1:30">
      <c r="A399" s="31"/>
      <c r="F399" s="31"/>
      <c r="G399" s="31"/>
      <c r="H399" s="31"/>
      <c r="I399" s="31"/>
      <c r="J399" s="31"/>
      <c r="K399" s="31"/>
      <c r="L399" s="31"/>
      <c r="M399" s="31"/>
      <c r="N399" s="31"/>
      <c r="O399" s="31"/>
      <c r="P399" s="31"/>
      <c r="Q399" s="31"/>
      <c r="R399" s="31"/>
      <c r="S399" s="31"/>
      <c r="T399" s="31"/>
      <c r="U399" s="31"/>
      <c r="V399" s="31"/>
      <c r="W399" s="31"/>
      <c r="X399" s="31"/>
      <c r="Y399" s="31"/>
      <c r="Z399" s="31"/>
      <c r="AA399" s="31"/>
      <c r="AB399" s="31"/>
      <c r="AC399" s="31"/>
      <c r="AD399" s="31"/>
    </row>
    <row r="400" spans="1:30">
      <c r="A400" s="31"/>
      <c r="F400" s="31"/>
      <c r="G400" s="31"/>
      <c r="H400" s="31"/>
      <c r="I400" s="31"/>
      <c r="J400" s="31"/>
      <c r="K400" s="31"/>
      <c r="L400" s="31"/>
      <c r="M400" s="31"/>
      <c r="N400" s="31"/>
      <c r="O400" s="31"/>
      <c r="P400" s="31"/>
      <c r="Q400" s="31"/>
      <c r="R400" s="31"/>
      <c r="S400" s="31"/>
      <c r="T400" s="31"/>
      <c r="U400" s="31"/>
      <c r="V400" s="31"/>
      <c r="W400" s="31"/>
      <c r="X400" s="31"/>
      <c r="Y400" s="31"/>
      <c r="Z400" s="31"/>
      <c r="AA400" s="31"/>
      <c r="AB400" s="31"/>
      <c r="AC400" s="31"/>
      <c r="AD400" s="31"/>
    </row>
    <row r="401" spans="1:30">
      <c r="A401" s="31"/>
      <c r="F401" s="31"/>
      <c r="G401" s="31"/>
      <c r="H401" s="31"/>
      <c r="I401" s="31"/>
      <c r="J401" s="31"/>
      <c r="K401" s="31"/>
      <c r="L401" s="31"/>
      <c r="M401" s="31"/>
      <c r="N401" s="31"/>
      <c r="O401" s="31"/>
      <c r="P401" s="31"/>
      <c r="Q401" s="31"/>
      <c r="R401" s="31"/>
      <c r="S401" s="31"/>
      <c r="T401" s="31"/>
      <c r="U401" s="31"/>
      <c r="V401" s="31"/>
      <c r="W401" s="31"/>
      <c r="X401" s="31"/>
      <c r="Y401" s="31"/>
      <c r="Z401" s="31"/>
      <c r="AA401" s="31"/>
      <c r="AB401" s="31"/>
      <c r="AC401" s="31"/>
      <c r="AD401" s="31"/>
    </row>
    <row r="402" spans="1:30">
      <c r="A402" s="31"/>
      <c r="F402" s="31"/>
      <c r="G402" s="31"/>
      <c r="H402" s="31"/>
      <c r="I402" s="31"/>
      <c r="J402" s="31"/>
      <c r="K402" s="31"/>
      <c r="L402" s="31"/>
      <c r="M402" s="31"/>
      <c r="N402" s="31"/>
      <c r="O402" s="31"/>
      <c r="P402" s="31"/>
      <c r="Q402" s="31"/>
      <c r="R402" s="31"/>
      <c r="S402" s="31"/>
      <c r="T402" s="31"/>
      <c r="U402" s="31"/>
      <c r="V402" s="31"/>
      <c r="W402" s="31"/>
      <c r="X402" s="31"/>
      <c r="Y402" s="31"/>
      <c r="Z402" s="31"/>
      <c r="AA402" s="31"/>
      <c r="AB402" s="31"/>
      <c r="AC402" s="31"/>
      <c r="AD402" s="31"/>
    </row>
    <row r="403" spans="1:30">
      <c r="A403" s="31"/>
      <c r="F403" s="31"/>
      <c r="G403" s="31"/>
      <c r="H403" s="31"/>
      <c r="I403" s="31"/>
      <c r="J403" s="31"/>
      <c r="K403" s="31"/>
      <c r="L403" s="31"/>
      <c r="M403" s="31"/>
      <c r="N403" s="31"/>
      <c r="O403" s="31"/>
      <c r="P403" s="31"/>
      <c r="Q403" s="31"/>
      <c r="R403" s="31"/>
      <c r="S403" s="31"/>
      <c r="T403" s="31"/>
      <c r="U403" s="31"/>
      <c r="V403" s="31"/>
      <c r="W403" s="31"/>
      <c r="X403" s="31"/>
      <c r="Y403" s="31"/>
      <c r="Z403" s="31"/>
      <c r="AA403" s="31"/>
      <c r="AB403" s="31"/>
      <c r="AC403" s="31"/>
      <c r="AD403" s="31"/>
    </row>
    <row r="404" spans="1:30">
      <c r="A404" s="31"/>
      <c r="F404" s="31"/>
      <c r="G404" s="31"/>
      <c r="H404" s="31"/>
      <c r="I404" s="31"/>
      <c r="J404" s="31"/>
      <c r="K404" s="31"/>
      <c r="L404" s="31"/>
      <c r="M404" s="31"/>
      <c r="N404" s="31"/>
      <c r="O404" s="31"/>
      <c r="P404" s="31"/>
      <c r="Q404" s="31"/>
      <c r="R404" s="31"/>
      <c r="S404" s="31"/>
      <c r="T404" s="31"/>
      <c r="U404" s="31"/>
      <c r="V404" s="31"/>
      <c r="W404" s="31"/>
      <c r="X404" s="31"/>
      <c r="Y404" s="31"/>
      <c r="Z404" s="31"/>
      <c r="AA404" s="31"/>
      <c r="AB404" s="31"/>
      <c r="AC404" s="31"/>
      <c r="AD404" s="31"/>
    </row>
    <row r="405" spans="1:30">
      <c r="A405" s="31"/>
      <c r="F405" s="31"/>
      <c r="G405" s="31"/>
      <c r="H405" s="31"/>
      <c r="I405" s="31"/>
      <c r="J405" s="31"/>
      <c r="K405" s="31"/>
      <c r="L405" s="31"/>
      <c r="M405" s="31"/>
      <c r="N405" s="31"/>
      <c r="O405" s="31"/>
      <c r="P405" s="31"/>
      <c r="Q405" s="31"/>
      <c r="R405" s="31"/>
      <c r="S405" s="31"/>
      <c r="T405" s="31"/>
      <c r="U405" s="31"/>
      <c r="V405" s="31"/>
      <c r="W405" s="31"/>
      <c r="X405" s="31"/>
      <c r="Y405" s="31"/>
      <c r="Z405" s="31"/>
      <c r="AA405" s="31"/>
      <c r="AB405" s="31"/>
      <c r="AC405" s="31"/>
      <c r="AD405" s="31"/>
    </row>
    <row r="406" spans="1:30">
      <c r="A406" s="31"/>
      <c r="F406" s="31"/>
      <c r="G406" s="31"/>
      <c r="H406" s="31"/>
      <c r="I406" s="31"/>
      <c r="J406" s="31"/>
      <c r="K406" s="31"/>
      <c r="L406" s="31"/>
      <c r="M406" s="31"/>
      <c r="N406" s="31"/>
      <c r="O406" s="31"/>
      <c r="P406" s="31"/>
      <c r="Q406" s="31"/>
      <c r="R406" s="31"/>
      <c r="S406" s="31"/>
      <c r="T406" s="31"/>
      <c r="U406" s="31"/>
      <c r="V406" s="31"/>
      <c r="W406" s="31"/>
      <c r="X406" s="31"/>
      <c r="Y406" s="31"/>
      <c r="Z406" s="31"/>
      <c r="AA406" s="31"/>
      <c r="AB406" s="31"/>
      <c r="AC406" s="31"/>
      <c r="AD406" s="31"/>
    </row>
    <row r="407" spans="1:30">
      <c r="A407" s="31"/>
      <c r="F407" s="31"/>
      <c r="G407" s="31"/>
      <c r="H407" s="31"/>
      <c r="I407" s="31"/>
      <c r="J407" s="31"/>
      <c r="K407" s="31"/>
      <c r="L407" s="31"/>
      <c r="M407" s="31"/>
      <c r="N407" s="31"/>
      <c r="O407" s="31"/>
      <c r="P407" s="31"/>
      <c r="Q407" s="31"/>
      <c r="R407" s="31"/>
      <c r="S407" s="31"/>
      <c r="T407" s="31"/>
      <c r="U407" s="31"/>
      <c r="V407" s="31"/>
      <c r="W407" s="31"/>
      <c r="X407" s="31"/>
      <c r="Y407" s="31"/>
      <c r="Z407" s="31"/>
      <c r="AA407" s="31"/>
      <c r="AB407" s="31"/>
      <c r="AC407" s="31"/>
      <c r="AD407" s="31"/>
    </row>
    <row r="408" spans="1:30">
      <c r="A408" s="31"/>
      <c r="F408" s="31"/>
      <c r="G408" s="31"/>
      <c r="H408" s="31"/>
      <c r="I408" s="31"/>
      <c r="J408" s="31"/>
      <c r="K408" s="31"/>
      <c r="L408" s="31"/>
      <c r="M408" s="31"/>
      <c r="N408" s="31"/>
      <c r="O408" s="31"/>
      <c r="P408" s="31"/>
      <c r="Q408" s="31"/>
      <c r="R408" s="31"/>
      <c r="S408" s="31"/>
      <c r="T408" s="31"/>
      <c r="U408" s="31"/>
      <c r="V408" s="31"/>
      <c r="W408" s="31"/>
      <c r="X408" s="31"/>
      <c r="Y408" s="31"/>
      <c r="Z408" s="31"/>
      <c r="AA408" s="31"/>
      <c r="AB408" s="31"/>
      <c r="AC408" s="31"/>
      <c r="AD408" s="31"/>
    </row>
    <row r="409" spans="1:30">
      <c r="A409" s="31"/>
      <c r="F409" s="31"/>
      <c r="G409" s="31"/>
      <c r="H409" s="31"/>
      <c r="I409" s="31"/>
      <c r="J409" s="31"/>
      <c r="K409" s="31"/>
      <c r="L409" s="31"/>
      <c r="M409" s="31"/>
      <c r="N409" s="31"/>
      <c r="O409" s="31"/>
      <c r="P409" s="31"/>
      <c r="Q409" s="31"/>
      <c r="R409" s="31"/>
      <c r="S409" s="31"/>
      <c r="T409" s="31"/>
      <c r="U409" s="31"/>
      <c r="V409" s="31"/>
      <c r="W409" s="31"/>
      <c r="X409" s="31"/>
      <c r="Y409" s="31"/>
      <c r="Z409" s="31"/>
      <c r="AA409" s="31"/>
      <c r="AB409" s="31"/>
      <c r="AC409" s="31"/>
      <c r="AD409" s="31"/>
    </row>
    <row r="410" spans="1:30">
      <c r="A410" s="31"/>
      <c r="F410" s="31"/>
      <c r="G410" s="31"/>
      <c r="H410" s="31"/>
      <c r="I410" s="31"/>
      <c r="J410" s="31"/>
      <c r="K410" s="31"/>
      <c r="L410" s="31"/>
      <c r="M410" s="31"/>
      <c r="N410" s="31"/>
      <c r="O410" s="31"/>
      <c r="P410" s="31"/>
      <c r="Q410" s="31"/>
      <c r="R410" s="31"/>
      <c r="S410" s="31"/>
      <c r="T410" s="31"/>
      <c r="U410" s="31"/>
      <c r="V410" s="31"/>
      <c r="W410" s="31"/>
      <c r="X410" s="31"/>
      <c r="Y410" s="31"/>
      <c r="Z410" s="31"/>
      <c r="AA410" s="31"/>
      <c r="AB410" s="31"/>
      <c r="AC410" s="31"/>
      <c r="AD410" s="31"/>
    </row>
    <row r="411" spans="1:30">
      <c r="A411" s="31"/>
      <c r="F411" s="31"/>
      <c r="G411" s="31"/>
      <c r="H411" s="31"/>
      <c r="I411" s="31"/>
      <c r="J411" s="31"/>
      <c r="K411" s="31"/>
      <c r="L411" s="31"/>
      <c r="M411" s="31"/>
      <c r="N411" s="31"/>
      <c r="O411" s="31"/>
      <c r="P411" s="31"/>
      <c r="Q411" s="31"/>
      <c r="R411" s="31"/>
      <c r="S411" s="31"/>
      <c r="T411" s="31"/>
      <c r="U411" s="31"/>
      <c r="V411" s="31"/>
      <c r="W411" s="31"/>
      <c r="X411" s="31"/>
      <c r="Y411" s="31"/>
      <c r="Z411" s="31"/>
      <c r="AA411" s="31"/>
      <c r="AB411" s="31"/>
      <c r="AC411" s="31"/>
      <c r="AD411" s="31"/>
    </row>
    <row r="412" spans="1:30">
      <c r="A412" s="31"/>
      <c r="F412" s="31"/>
      <c r="G412" s="31"/>
      <c r="H412" s="31"/>
      <c r="I412" s="31"/>
      <c r="J412" s="31"/>
      <c r="K412" s="31"/>
      <c r="L412" s="31"/>
      <c r="M412" s="31"/>
      <c r="N412" s="31"/>
      <c r="O412" s="31"/>
      <c r="P412" s="31"/>
      <c r="Q412" s="31"/>
      <c r="R412" s="31"/>
      <c r="S412" s="31"/>
      <c r="T412" s="31"/>
      <c r="U412" s="31"/>
      <c r="V412" s="31"/>
      <c r="W412" s="31"/>
      <c r="X412" s="31"/>
      <c r="Y412" s="31"/>
      <c r="Z412" s="31"/>
      <c r="AA412" s="31"/>
      <c r="AB412" s="31"/>
      <c r="AC412" s="31"/>
      <c r="AD412" s="31"/>
    </row>
    <row r="413" spans="1:30">
      <c r="A413" s="31"/>
      <c r="F413" s="31"/>
      <c r="G413" s="31"/>
      <c r="H413" s="31"/>
      <c r="I413" s="31"/>
      <c r="J413" s="31"/>
      <c r="K413" s="31"/>
      <c r="L413" s="31"/>
      <c r="M413" s="31"/>
      <c r="N413" s="31"/>
      <c r="O413" s="31"/>
      <c r="P413" s="31"/>
      <c r="Q413" s="31"/>
      <c r="R413" s="31"/>
      <c r="S413" s="31"/>
      <c r="T413" s="31"/>
      <c r="U413" s="31"/>
      <c r="V413" s="31"/>
      <c r="W413" s="31"/>
      <c r="X413" s="31"/>
      <c r="Y413" s="31"/>
      <c r="Z413" s="31"/>
      <c r="AA413" s="31"/>
      <c r="AB413" s="31"/>
      <c r="AC413" s="31"/>
      <c r="AD413" s="31"/>
    </row>
    <row r="414" spans="1:30">
      <c r="A414" s="31"/>
      <c r="F414" s="31"/>
      <c r="G414" s="31"/>
      <c r="H414" s="31"/>
      <c r="I414" s="31"/>
      <c r="J414" s="31"/>
      <c r="K414" s="31"/>
      <c r="L414" s="31"/>
      <c r="M414" s="31"/>
      <c r="N414" s="31"/>
      <c r="O414" s="31"/>
      <c r="P414" s="31"/>
      <c r="Q414" s="31"/>
      <c r="R414" s="31"/>
      <c r="S414" s="31"/>
      <c r="T414" s="31"/>
      <c r="U414" s="31"/>
      <c r="V414" s="31"/>
      <c r="W414" s="31"/>
      <c r="X414" s="31"/>
      <c r="Y414" s="31"/>
      <c r="Z414" s="31"/>
      <c r="AA414" s="31"/>
      <c r="AB414" s="31"/>
      <c r="AC414" s="31"/>
      <c r="AD414" s="31"/>
    </row>
    <row r="415" spans="1:30">
      <c r="A415" s="31"/>
      <c r="F415" s="31"/>
      <c r="G415" s="31"/>
      <c r="H415" s="31"/>
      <c r="I415" s="31"/>
      <c r="J415" s="31"/>
      <c r="K415" s="31"/>
      <c r="L415" s="31"/>
      <c r="M415" s="31"/>
      <c r="N415" s="31"/>
      <c r="O415" s="31"/>
      <c r="P415" s="31"/>
      <c r="Q415" s="31"/>
      <c r="R415" s="31"/>
      <c r="S415" s="31"/>
      <c r="T415" s="31"/>
      <c r="U415" s="31"/>
      <c r="V415" s="31"/>
      <c r="W415" s="31"/>
      <c r="X415" s="31"/>
      <c r="Y415" s="31"/>
      <c r="Z415" s="31"/>
      <c r="AA415" s="31"/>
      <c r="AB415" s="31"/>
      <c r="AC415" s="31"/>
      <c r="AD415" s="31"/>
    </row>
    <row r="416" spans="1:30">
      <c r="A416" s="31"/>
      <c r="F416" s="31"/>
      <c r="G416" s="31"/>
      <c r="H416" s="31"/>
      <c r="I416" s="31"/>
      <c r="J416" s="31"/>
      <c r="K416" s="31"/>
      <c r="L416" s="31"/>
      <c r="M416" s="31"/>
      <c r="N416" s="31"/>
      <c r="O416" s="31"/>
      <c r="P416" s="31"/>
      <c r="Q416" s="31"/>
      <c r="R416" s="31"/>
      <c r="S416" s="31"/>
      <c r="T416" s="31"/>
      <c r="U416" s="31"/>
      <c r="V416" s="31"/>
      <c r="W416" s="31"/>
      <c r="X416" s="31"/>
      <c r="Y416" s="31"/>
      <c r="Z416" s="31"/>
      <c r="AA416" s="31"/>
      <c r="AB416" s="31"/>
      <c r="AC416" s="31"/>
      <c r="AD416" s="31"/>
    </row>
    <row r="417" spans="1:30">
      <c r="A417" s="31"/>
      <c r="F417" s="31"/>
      <c r="G417" s="31"/>
      <c r="H417" s="31"/>
      <c r="I417" s="31"/>
      <c r="J417" s="31"/>
      <c r="K417" s="31"/>
      <c r="L417" s="31"/>
      <c r="M417" s="31"/>
      <c r="N417" s="31"/>
      <c r="O417" s="31"/>
      <c r="P417" s="31"/>
      <c r="Q417" s="31"/>
      <c r="R417" s="31"/>
      <c r="S417" s="31"/>
      <c r="T417" s="31"/>
      <c r="U417" s="31"/>
      <c r="V417" s="31"/>
      <c r="W417" s="31"/>
      <c r="X417" s="31"/>
      <c r="Y417" s="31"/>
      <c r="Z417" s="31"/>
      <c r="AA417" s="31"/>
      <c r="AB417" s="31"/>
      <c r="AC417" s="31"/>
      <c r="AD417" s="31"/>
    </row>
    <row r="418" spans="1:30">
      <c r="A418" s="31"/>
      <c r="F418" s="31"/>
      <c r="G418" s="31"/>
      <c r="H418" s="31"/>
      <c r="I418" s="31"/>
      <c r="J418" s="31"/>
      <c r="K418" s="31"/>
      <c r="L418" s="31"/>
      <c r="M418" s="31"/>
      <c r="N418" s="31"/>
      <c r="O418" s="31"/>
      <c r="P418" s="31"/>
      <c r="Q418" s="31"/>
      <c r="R418" s="31"/>
      <c r="S418" s="31"/>
      <c r="T418" s="31"/>
      <c r="U418" s="31"/>
      <c r="V418" s="31"/>
      <c r="W418" s="31"/>
      <c r="X418" s="31"/>
      <c r="Y418" s="31"/>
      <c r="Z418" s="31"/>
      <c r="AA418" s="31"/>
      <c r="AB418" s="31"/>
      <c r="AC418" s="31"/>
      <c r="AD418" s="31"/>
    </row>
    <row r="419" spans="1:30">
      <c r="A419" s="31"/>
      <c r="F419" s="31"/>
      <c r="G419" s="31"/>
      <c r="H419" s="31"/>
      <c r="I419" s="31"/>
      <c r="J419" s="31"/>
      <c r="K419" s="31"/>
      <c r="L419" s="31"/>
      <c r="M419" s="31"/>
      <c r="N419" s="31"/>
      <c r="O419" s="31"/>
      <c r="P419" s="31"/>
      <c r="Q419" s="31"/>
      <c r="R419" s="31"/>
      <c r="S419" s="31"/>
      <c r="T419" s="31"/>
      <c r="U419" s="31"/>
      <c r="V419" s="31"/>
      <c r="W419" s="31"/>
      <c r="X419" s="31"/>
      <c r="Y419" s="31"/>
      <c r="Z419" s="31"/>
      <c r="AA419" s="31"/>
      <c r="AB419" s="31"/>
      <c r="AC419" s="31"/>
      <c r="AD419" s="31"/>
    </row>
    <row r="420" spans="1:30">
      <c r="A420" s="31"/>
      <c r="F420" s="31"/>
      <c r="G420" s="31"/>
      <c r="H420" s="31"/>
      <c r="I420" s="31"/>
      <c r="J420" s="31"/>
      <c r="K420" s="31"/>
      <c r="L420" s="31"/>
      <c r="M420" s="31"/>
      <c r="N420" s="31"/>
      <c r="O420" s="31"/>
      <c r="P420" s="31"/>
      <c r="Q420" s="31"/>
      <c r="R420" s="31"/>
      <c r="S420" s="31"/>
      <c r="T420" s="31"/>
      <c r="U420" s="31"/>
      <c r="V420" s="31"/>
      <c r="W420" s="31"/>
      <c r="X420" s="31"/>
      <c r="Y420" s="31"/>
      <c r="Z420" s="31"/>
      <c r="AA420" s="31"/>
      <c r="AB420" s="31"/>
      <c r="AC420" s="31"/>
      <c r="AD420" s="31"/>
    </row>
    <row r="421" spans="1:30">
      <c r="A421" s="31"/>
      <c r="F421" s="31"/>
      <c r="G421" s="31"/>
      <c r="H421" s="31"/>
      <c r="I421" s="31"/>
      <c r="J421" s="31"/>
      <c r="K421" s="31"/>
      <c r="L421" s="31"/>
      <c r="M421" s="31"/>
      <c r="N421" s="31"/>
      <c r="O421" s="31"/>
      <c r="P421" s="31"/>
      <c r="Q421" s="31"/>
      <c r="R421" s="31"/>
      <c r="S421" s="31"/>
      <c r="T421" s="31"/>
      <c r="U421" s="31"/>
      <c r="V421" s="31"/>
      <c r="W421" s="31"/>
      <c r="X421" s="31"/>
      <c r="Y421" s="31"/>
      <c r="Z421" s="31"/>
      <c r="AA421" s="31"/>
      <c r="AB421" s="31"/>
      <c r="AC421" s="31"/>
      <c r="AD421" s="31"/>
    </row>
    <row r="422" spans="1:30">
      <c r="A422" s="31"/>
      <c r="F422" s="31"/>
      <c r="G422" s="31"/>
      <c r="H422" s="31"/>
      <c r="I422" s="31"/>
      <c r="J422" s="31"/>
      <c r="K422" s="31"/>
      <c r="L422" s="31"/>
      <c r="M422" s="31"/>
      <c r="N422" s="31"/>
      <c r="O422" s="31"/>
      <c r="P422" s="31"/>
      <c r="Q422" s="31"/>
      <c r="R422" s="31"/>
      <c r="S422" s="31"/>
      <c r="T422" s="31"/>
      <c r="U422" s="31"/>
      <c r="V422" s="31"/>
      <c r="W422" s="31"/>
      <c r="X422" s="31"/>
      <c r="Y422" s="31"/>
      <c r="Z422" s="31"/>
      <c r="AA422" s="31"/>
      <c r="AB422" s="31"/>
      <c r="AC422" s="31"/>
      <c r="AD422" s="31"/>
    </row>
    <row r="423" spans="1:30">
      <c r="A423" s="31"/>
      <c r="F423" s="31"/>
      <c r="G423" s="31"/>
      <c r="H423" s="31"/>
      <c r="I423" s="31"/>
      <c r="J423" s="31"/>
      <c r="K423" s="31"/>
      <c r="L423" s="31"/>
      <c r="M423" s="31"/>
      <c r="N423" s="31"/>
      <c r="O423" s="31"/>
      <c r="P423" s="31"/>
      <c r="Q423" s="31"/>
      <c r="R423" s="31"/>
      <c r="S423" s="31"/>
      <c r="T423" s="31"/>
      <c r="U423" s="31"/>
      <c r="V423" s="31"/>
      <c r="W423" s="31"/>
      <c r="X423" s="31"/>
      <c r="Y423" s="31"/>
      <c r="Z423" s="31"/>
      <c r="AA423" s="31"/>
      <c r="AB423" s="31"/>
      <c r="AC423" s="31"/>
      <c r="AD423" s="31"/>
    </row>
    <row r="424" spans="1:30">
      <c r="A424" s="31"/>
      <c r="F424" s="31"/>
      <c r="G424" s="31"/>
      <c r="H424" s="31"/>
      <c r="I424" s="31"/>
      <c r="J424" s="31"/>
      <c r="K424" s="31"/>
      <c r="L424" s="31"/>
      <c r="M424" s="31"/>
      <c r="N424" s="31"/>
      <c r="O424" s="31"/>
      <c r="P424" s="31"/>
      <c r="Q424" s="31"/>
      <c r="R424" s="31"/>
      <c r="S424" s="31"/>
      <c r="T424" s="31"/>
      <c r="U424" s="31"/>
      <c r="V424" s="31"/>
      <c r="W424" s="31"/>
      <c r="X424" s="31"/>
      <c r="Y424" s="31"/>
      <c r="Z424" s="31"/>
      <c r="AA424" s="31"/>
      <c r="AB424" s="31"/>
      <c r="AC424" s="31"/>
      <c r="AD424" s="31"/>
    </row>
    <row r="425" spans="1:30">
      <c r="A425" s="31"/>
      <c r="F425" s="31"/>
      <c r="G425" s="31"/>
      <c r="H425" s="31"/>
      <c r="I425" s="31"/>
      <c r="J425" s="31"/>
      <c r="K425" s="31"/>
      <c r="L425" s="31"/>
      <c r="M425" s="31"/>
      <c r="N425" s="31"/>
      <c r="O425" s="31"/>
      <c r="P425" s="31"/>
      <c r="Q425" s="31"/>
      <c r="R425" s="31"/>
      <c r="S425" s="31"/>
      <c r="T425" s="31"/>
      <c r="U425" s="31"/>
      <c r="V425" s="31"/>
      <c r="W425" s="31"/>
      <c r="X425" s="31"/>
      <c r="Y425" s="31"/>
      <c r="Z425" s="31"/>
      <c r="AA425" s="31"/>
      <c r="AB425" s="31"/>
      <c r="AC425" s="31"/>
      <c r="AD425" s="31"/>
    </row>
    <row r="426" spans="1:30">
      <c r="A426" s="31"/>
      <c r="F426" s="31"/>
    </row>
    <row r="427" spans="1:30">
      <c r="A427" s="31"/>
      <c r="F427" s="31"/>
    </row>
    <row r="428" spans="1:30">
      <c r="A428" s="31"/>
      <c r="F428" s="31"/>
    </row>
    <row r="429" spans="1:30">
      <c r="A429" s="31"/>
      <c r="F429" s="31"/>
    </row>
    <row r="430" spans="1:30">
      <c r="A430" s="31"/>
      <c r="F430" s="31"/>
    </row>
    <row r="431" spans="1:30">
      <c r="A431" s="31"/>
      <c r="F431" s="31"/>
    </row>
    <row r="432" spans="1:30">
      <c r="A432" s="31"/>
      <c r="F432" s="31"/>
    </row>
    <row r="433" spans="1:6">
      <c r="A433" s="31"/>
      <c r="F433" s="31"/>
    </row>
    <row r="434" spans="1:6">
      <c r="A434" s="31"/>
      <c r="F434" s="31"/>
    </row>
    <row r="435" spans="1:6">
      <c r="A435" s="31"/>
      <c r="F435" s="31"/>
    </row>
    <row r="436" spans="1:6">
      <c r="A436" s="31"/>
      <c r="F436" s="31"/>
    </row>
    <row r="437" spans="1:6">
      <c r="A437" s="31"/>
      <c r="F437" s="31"/>
    </row>
    <row r="438" spans="1:6">
      <c r="A438" s="31"/>
      <c r="F438" s="31"/>
    </row>
    <row r="439" spans="1:6">
      <c r="A439" s="31"/>
      <c r="F439" s="31"/>
    </row>
    <row r="440" spans="1:6">
      <c r="A440" s="31"/>
      <c r="F440" s="31"/>
    </row>
    <row r="441" spans="1:6">
      <c r="A441" s="31"/>
      <c r="F441" s="31"/>
    </row>
    <row r="442" spans="1:6">
      <c r="A442" s="31"/>
      <c r="F442" s="31"/>
    </row>
    <row r="443" spans="1:6">
      <c r="A443" s="31"/>
      <c r="F443" s="31"/>
    </row>
    <row r="444" spans="1:6">
      <c r="A444" s="31"/>
      <c r="F444" s="31"/>
    </row>
    <row r="445" spans="1:6">
      <c r="A445" s="31"/>
      <c r="F445" s="31"/>
    </row>
    <row r="446" spans="1:6">
      <c r="A446" s="31"/>
      <c r="F446" s="31"/>
    </row>
    <row r="447" spans="1:6">
      <c r="A447" s="31"/>
      <c r="F447" s="31"/>
    </row>
    <row r="448" spans="1:6">
      <c r="A448" s="31"/>
      <c r="F448" s="31"/>
    </row>
    <row r="449" spans="1:6">
      <c r="A449" s="31"/>
      <c r="F449" s="31"/>
    </row>
    <row r="450" spans="1:6">
      <c r="A450" s="31"/>
      <c r="F450" s="31"/>
    </row>
    <row r="451" spans="1:6">
      <c r="A451" s="31"/>
      <c r="F451" s="31"/>
    </row>
    <row r="452" spans="1:6">
      <c r="A452" s="31"/>
      <c r="F452" s="31"/>
    </row>
    <row r="453" spans="1:6">
      <c r="A453" s="31"/>
      <c r="F453" s="31"/>
    </row>
    <row r="454" spans="1:6">
      <c r="A454" s="31"/>
      <c r="F454" s="31"/>
    </row>
    <row r="455" spans="1:6">
      <c r="A455" s="31"/>
      <c r="F455" s="31"/>
    </row>
    <row r="456" spans="1:6">
      <c r="A456" s="31"/>
      <c r="F456" s="31"/>
    </row>
    <row r="457" spans="1:6">
      <c r="A457" s="31"/>
      <c r="F457" s="31"/>
    </row>
    <row r="458" spans="1:6">
      <c r="A458" s="31"/>
      <c r="F458" s="31"/>
    </row>
    <row r="459" spans="1:6">
      <c r="A459" s="31"/>
      <c r="F459" s="31"/>
    </row>
    <row r="460" spans="1:6">
      <c r="A460" s="31"/>
      <c r="F460" s="31"/>
    </row>
  </sheetData>
  <sheetProtection password="CF55" sheet="1" objects="1" scenarios="1" formatRows="0"/>
  <mergeCells count="45">
    <mergeCell ref="E17:E20"/>
    <mergeCell ref="F17:F20"/>
    <mergeCell ref="A22:A31"/>
    <mergeCell ref="B75:B76"/>
    <mergeCell ref="C75:C76"/>
    <mergeCell ref="D75:D76"/>
    <mergeCell ref="E75:E76"/>
    <mergeCell ref="F75:F76"/>
    <mergeCell ref="D28:D31"/>
    <mergeCell ref="C50:C53"/>
    <mergeCell ref="D50:D53"/>
    <mergeCell ref="A39:A43"/>
    <mergeCell ref="A45:A58"/>
    <mergeCell ref="E55:E56"/>
    <mergeCell ref="F55:F56"/>
    <mergeCell ref="C68:C69"/>
    <mergeCell ref="C4:F4"/>
    <mergeCell ref="A80:A88"/>
    <mergeCell ref="C84:C88"/>
    <mergeCell ref="D84:D88"/>
    <mergeCell ref="E84:E88"/>
    <mergeCell ref="B4:B5"/>
    <mergeCell ref="A4:A5"/>
    <mergeCell ref="A7:A11"/>
    <mergeCell ref="F84:F88"/>
    <mergeCell ref="A33:A37"/>
    <mergeCell ref="A13:A20"/>
    <mergeCell ref="C17:C20"/>
    <mergeCell ref="D17:D20"/>
    <mergeCell ref="F68:F69"/>
    <mergeCell ref="C55:C56"/>
    <mergeCell ref="D55:D56"/>
    <mergeCell ref="A71:A76"/>
    <mergeCell ref="E28:E31"/>
    <mergeCell ref="F28:F31"/>
    <mergeCell ref="C45:C48"/>
    <mergeCell ref="D45:D48"/>
    <mergeCell ref="E45:E48"/>
    <mergeCell ref="F45:F48"/>
    <mergeCell ref="C28:C31"/>
    <mergeCell ref="E50:E53"/>
    <mergeCell ref="F50:F53"/>
    <mergeCell ref="A60:A69"/>
    <mergeCell ref="D68:D69"/>
    <mergeCell ref="E68:E69"/>
  </mergeCells>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tint="0.39997558519241921"/>
  </sheetPr>
  <dimension ref="A1:AB157"/>
  <sheetViews>
    <sheetView workbookViewId="0">
      <pane xSplit="2" ySplit="2" topLeftCell="D54" activePane="bottomRight" state="frozen"/>
      <selection activeCell="L92" sqref="L92:O92"/>
      <selection pane="topRight" activeCell="L92" sqref="L92:O92"/>
      <selection pane="bottomLeft" activeCell="L92" sqref="L92:O92"/>
      <selection pane="bottomRight" activeCell="L92" sqref="L92:O92"/>
    </sheetView>
  </sheetViews>
  <sheetFormatPr defaultColWidth="11.42578125" defaultRowHeight="15"/>
  <cols>
    <col min="1" max="1" width="22.140625" style="39" customWidth="1"/>
    <col min="2" max="2" width="20.85546875" style="38" customWidth="1"/>
    <col min="3" max="3" width="10.85546875" style="54" customWidth="1"/>
    <col min="4" max="8" width="5.85546875" style="54" customWidth="1"/>
    <col min="9" max="9" width="10.85546875" style="54" customWidth="1"/>
    <col min="10" max="13" width="5.85546875" style="54" customWidth="1"/>
    <col min="14" max="14" width="10.85546875" style="54" customWidth="1"/>
    <col min="15" max="17" width="5.85546875" style="54" customWidth="1"/>
    <col min="18" max="18" width="10.85546875" style="54" customWidth="1"/>
    <col min="19" max="24" width="5.85546875" style="54" customWidth="1"/>
    <col min="25" max="25" width="10.85546875" style="54" customWidth="1"/>
    <col min="26" max="26" width="5.85546875" style="54" customWidth="1"/>
    <col min="27" max="28" width="10.85546875" style="38" customWidth="1"/>
    <col min="29" max="16384" width="11.42578125" style="38"/>
  </cols>
  <sheetData>
    <row r="1" spans="1:28">
      <c r="A1" s="57" t="s">
        <v>228</v>
      </c>
      <c r="B1" s="59" t="s">
        <v>192</v>
      </c>
      <c r="C1" s="459" t="s">
        <v>190</v>
      </c>
      <c r="D1" s="1357">
        <v>2010</v>
      </c>
      <c r="E1" s="1357"/>
      <c r="F1" s="1357"/>
      <c r="G1" s="1357"/>
      <c r="H1" s="1358">
        <v>2011</v>
      </c>
      <c r="I1" s="1358"/>
      <c r="J1" s="1358"/>
      <c r="K1" s="1358"/>
      <c r="L1" s="1353">
        <v>2012</v>
      </c>
      <c r="M1" s="1354"/>
      <c r="N1" s="1355"/>
      <c r="O1" s="1359">
        <v>2013</v>
      </c>
      <c r="P1" s="1360"/>
      <c r="Q1" s="1360"/>
      <c r="R1" s="1361"/>
      <c r="S1" s="1353">
        <v>2014</v>
      </c>
      <c r="T1" s="1354"/>
      <c r="U1" s="1354"/>
      <c r="V1" s="1355"/>
      <c r="W1" s="1351">
        <v>2015</v>
      </c>
      <c r="X1" s="1352"/>
      <c r="Y1" s="1352"/>
      <c r="Z1" s="1352"/>
    </row>
    <row r="2" spans="1:28" s="39" customFormat="1" ht="42.75">
      <c r="A2" s="58" t="s">
        <v>193</v>
      </c>
      <c r="B2" s="59" t="s">
        <v>191</v>
      </c>
      <c r="C2" s="418" t="s">
        <v>722</v>
      </c>
      <c r="D2" s="56" t="s">
        <v>141</v>
      </c>
      <c r="E2" s="56" t="s">
        <v>142</v>
      </c>
      <c r="F2" s="56" t="s">
        <v>143</v>
      </c>
      <c r="G2" s="56" t="s">
        <v>144</v>
      </c>
      <c r="H2" s="56" t="s">
        <v>141</v>
      </c>
      <c r="I2" s="418" t="s">
        <v>723</v>
      </c>
      <c r="J2" s="56" t="s">
        <v>143</v>
      </c>
      <c r="K2" s="56" t="s">
        <v>144</v>
      </c>
      <c r="L2" s="56" t="s">
        <v>141</v>
      </c>
      <c r="M2" s="56" t="s">
        <v>142</v>
      </c>
      <c r="N2" s="418" t="s">
        <v>724</v>
      </c>
      <c r="O2" s="56" t="s">
        <v>141</v>
      </c>
      <c r="P2" s="56" t="s">
        <v>142</v>
      </c>
      <c r="Q2" s="56" t="s">
        <v>143</v>
      </c>
      <c r="R2" s="418" t="s">
        <v>725</v>
      </c>
      <c r="S2" s="56" t="s">
        <v>141</v>
      </c>
      <c r="T2" s="56" t="s">
        <v>142</v>
      </c>
      <c r="U2" s="56" t="s">
        <v>143</v>
      </c>
      <c r="V2" s="56" t="s">
        <v>144</v>
      </c>
      <c r="W2" s="56" t="s">
        <v>141</v>
      </c>
      <c r="X2" s="56" t="s">
        <v>142</v>
      </c>
      <c r="Y2" s="418" t="s">
        <v>726</v>
      </c>
      <c r="Z2" s="56" t="s">
        <v>144</v>
      </c>
      <c r="AA2" s="419" t="s">
        <v>814</v>
      </c>
      <c r="AB2" s="419" t="s">
        <v>815</v>
      </c>
    </row>
    <row r="3" spans="1:28" s="39" customFormat="1">
      <c r="B3" s="38"/>
      <c r="C3" s="40"/>
      <c r="D3" s="40"/>
      <c r="E3" s="40"/>
      <c r="F3" s="40"/>
      <c r="G3" s="40"/>
      <c r="H3" s="40"/>
      <c r="I3" s="40"/>
      <c r="J3" s="40"/>
      <c r="K3" s="40"/>
      <c r="L3" s="40"/>
      <c r="M3" s="40"/>
      <c r="N3" s="40"/>
      <c r="O3" s="40"/>
      <c r="P3" s="40"/>
      <c r="Q3" s="40"/>
      <c r="R3" s="40"/>
      <c r="S3" s="40"/>
      <c r="T3" s="40"/>
      <c r="U3" s="40"/>
      <c r="V3" s="40"/>
      <c r="W3" s="40"/>
      <c r="X3" s="40"/>
      <c r="Y3" s="40"/>
      <c r="Z3" s="40"/>
    </row>
    <row r="4" spans="1:28" ht="15.75" thickBot="1">
      <c r="A4" s="41" t="s">
        <v>24</v>
      </c>
      <c r="B4" s="42" t="s">
        <v>139</v>
      </c>
      <c r="C4" s="43">
        <v>2</v>
      </c>
      <c r="D4" s="81">
        <v>2</v>
      </c>
      <c r="E4" s="81">
        <v>2</v>
      </c>
      <c r="F4" s="81">
        <v>2</v>
      </c>
      <c r="G4" s="81">
        <v>2</v>
      </c>
      <c r="H4" s="81">
        <v>2</v>
      </c>
      <c r="I4" s="82">
        <v>2</v>
      </c>
      <c r="J4" s="81">
        <v>2.1666666666666665</v>
      </c>
      <c r="K4" s="81">
        <v>2.333333333333333</v>
      </c>
      <c r="L4" s="44">
        <v>2.4999999999999996</v>
      </c>
      <c r="M4" s="44">
        <v>2.6666666666666661</v>
      </c>
      <c r="N4" s="43">
        <v>3</v>
      </c>
      <c r="O4" s="44">
        <v>2.95</v>
      </c>
      <c r="P4" s="44">
        <v>2.9000000000000004</v>
      </c>
      <c r="Q4" s="44">
        <v>2.8500000000000005</v>
      </c>
      <c r="R4" s="43">
        <v>2.8</v>
      </c>
      <c r="S4" s="44">
        <v>2.833333333333333</v>
      </c>
      <c r="T4" s="44">
        <v>2.8666666666666663</v>
      </c>
      <c r="U4" s="44">
        <v>2.8999999999999995</v>
      </c>
      <c r="V4" s="44">
        <v>2.9333333333333327</v>
      </c>
      <c r="W4" s="44">
        <v>2.9666666666666659</v>
      </c>
      <c r="X4" s="44">
        <v>2.9999999999999991</v>
      </c>
      <c r="Y4" s="43">
        <v>3</v>
      </c>
      <c r="Z4" s="44">
        <v>3</v>
      </c>
      <c r="AA4" s="38">
        <v>5</v>
      </c>
      <c r="AB4" s="420">
        <v>0.16</v>
      </c>
    </row>
    <row r="5" spans="1:28" s="49" customFormat="1" ht="15.75" thickBot="1">
      <c r="A5" s="45"/>
      <c r="B5" s="46" t="s">
        <v>140</v>
      </c>
      <c r="C5" s="79">
        <v>2</v>
      </c>
      <c r="D5" s="84">
        <v>2</v>
      </c>
      <c r="E5" s="85">
        <v>2</v>
      </c>
      <c r="F5" s="85">
        <v>2</v>
      </c>
      <c r="G5" s="85">
        <v>2</v>
      </c>
      <c r="H5" s="85">
        <v>2</v>
      </c>
      <c r="I5" s="85">
        <v>2</v>
      </c>
      <c r="J5" s="85">
        <v>2.5</v>
      </c>
      <c r="K5" s="85">
        <v>2.5</v>
      </c>
      <c r="L5" s="85">
        <v>2</v>
      </c>
      <c r="M5" s="85">
        <v>2</v>
      </c>
      <c r="N5" s="85">
        <v>2.7</v>
      </c>
      <c r="O5" s="85">
        <v>2.7</v>
      </c>
      <c r="P5" s="85">
        <v>2.9</v>
      </c>
      <c r="Q5" s="85">
        <v>3.1</v>
      </c>
      <c r="R5" s="85">
        <v>2.8</v>
      </c>
      <c r="S5" s="85">
        <v>2.8</v>
      </c>
      <c r="T5" s="85">
        <v>2.7</v>
      </c>
      <c r="U5" s="85">
        <v>2.7</v>
      </c>
      <c r="V5" s="86">
        <v>2.6</v>
      </c>
      <c r="W5" s="80">
        <v>2.6</v>
      </c>
      <c r="X5" s="69">
        <v>3</v>
      </c>
      <c r="Y5" s="69">
        <v>0</v>
      </c>
      <c r="Z5" s="69">
        <v>0</v>
      </c>
      <c r="AB5" s="421"/>
    </row>
    <row r="6" spans="1:28" s="49" customFormat="1">
      <c r="A6" s="45"/>
      <c r="B6" s="46"/>
      <c r="C6" s="48"/>
      <c r="D6" s="422"/>
      <c r="E6" s="422"/>
      <c r="F6" s="422"/>
      <c r="G6" s="83"/>
      <c r="H6" s="83"/>
      <c r="I6" s="83"/>
      <c r="J6" s="83"/>
      <c r="K6" s="83"/>
      <c r="L6" s="48"/>
      <c r="M6" s="48"/>
      <c r="N6" s="48"/>
      <c r="O6" s="48"/>
      <c r="P6" s="48"/>
      <c r="Q6" s="48"/>
      <c r="R6" s="48"/>
      <c r="S6" s="48"/>
      <c r="T6" s="48"/>
      <c r="U6" s="48"/>
      <c r="V6" s="48"/>
      <c r="W6" s="48"/>
      <c r="X6" s="48"/>
      <c r="Y6" s="48"/>
      <c r="Z6" s="48"/>
      <c r="AB6" s="421"/>
    </row>
    <row r="7" spans="1:28" ht="15.75" thickBot="1">
      <c r="A7" s="41" t="s">
        <v>25</v>
      </c>
      <c r="B7" s="42" t="s">
        <v>139</v>
      </c>
      <c r="C7" s="43">
        <v>1</v>
      </c>
      <c r="D7" s="81">
        <v>1</v>
      </c>
      <c r="E7" s="81">
        <v>1</v>
      </c>
      <c r="F7" s="81">
        <v>1</v>
      </c>
      <c r="G7" s="81">
        <v>1</v>
      </c>
      <c r="H7" s="81">
        <v>1</v>
      </c>
      <c r="I7" s="82">
        <v>1</v>
      </c>
      <c r="J7" s="81">
        <v>1.125</v>
      </c>
      <c r="K7" s="81">
        <v>1.25</v>
      </c>
      <c r="L7" s="44">
        <v>1.375</v>
      </c>
      <c r="M7" s="44">
        <v>1.5</v>
      </c>
      <c r="N7" s="43">
        <v>1.75</v>
      </c>
      <c r="O7" s="44">
        <v>1.875</v>
      </c>
      <c r="P7" s="44">
        <v>2</v>
      </c>
      <c r="Q7" s="44">
        <v>2.125</v>
      </c>
      <c r="R7" s="43">
        <v>2.25</v>
      </c>
      <c r="S7" s="44">
        <v>2.2916666666666665</v>
      </c>
      <c r="T7" s="44">
        <v>2.333333333333333</v>
      </c>
      <c r="U7" s="44">
        <v>2.3749999999999996</v>
      </c>
      <c r="V7" s="44">
        <v>2.4166666666666661</v>
      </c>
      <c r="W7" s="44">
        <v>2.2083333333333335</v>
      </c>
      <c r="X7" s="44">
        <v>2.2000000000000002</v>
      </c>
      <c r="Y7" s="43">
        <v>2.2000000000000002</v>
      </c>
      <c r="Z7" s="44">
        <v>2.2000000000000002</v>
      </c>
      <c r="AA7" s="38">
        <v>5</v>
      </c>
      <c r="AB7" s="420">
        <v>0.16</v>
      </c>
    </row>
    <row r="8" spans="1:28" s="49" customFormat="1" ht="15.75" thickBot="1">
      <c r="A8" s="45"/>
      <c r="B8" s="46" t="s">
        <v>140</v>
      </c>
      <c r="C8" s="79">
        <v>1</v>
      </c>
      <c r="D8" s="84">
        <v>1</v>
      </c>
      <c r="E8" s="85">
        <v>1</v>
      </c>
      <c r="F8" s="85">
        <v>1</v>
      </c>
      <c r="G8" s="85">
        <v>1</v>
      </c>
      <c r="H8" s="85">
        <v>1</v>
      </c>
      <c r="I8" s="85">
        <v>1.5</v>
      </c>
      <c r="J8" s="85">
        <v>1</v>
      </c>
      <c r="K8" s="85">
        <v>1.3</v>
      </c>
      <c r="L8" s="85">
        <v>2</v>
      </c>
      <c r="M8" s="85">
        <v>2</v>
      </c>
      <c r="N8" s="423">
        <v>2</v>
      </c>
      <c r="O8" s="424">
        <v>2</v>
      </c>
      <c r="P8" s="424">
        <v>2.2000000000000002</v>
      </c>
      <c r="Q8" s="424">
        <v>2.5</v>
      </c>
      <c r="R8" s="85">
        <v>2.5</v>
      </c>
      <c r="S8" s="85">
        <v>2.5</v>
      </c>
      <c r="T8" s="85">
        <v>2.5</v>
      </c>
      <c r="U8" s="85">
        <v>2</v>
      </c>
      <c r="V8" s="86">
        <v>2.2000000000000002</v>
      </c>
      <c r="W8" s="80">
        <v>2.2000000000000002</v>
      </c>
      <c r="X8" s="69">
        <v>2.2000000000000002</v>
      </c>
      <c r="Y8" s="69">
        <v>0</v>
      </c>
      <c r="Z8" s="69">
        <v>0</v>
      </c>
      <c r="AB8" s="421"/>
    </row>
    <row r="9" spans="1:28" s="49" customFormat="1">
      <c r="A9" s="45"/>
      <c r="B9" s="46"/>
      <c r="C9" s="48"/>
      <c r="D9" s="83"/>
      <c r="E9" s="83"/>
      <c r="F9" s="83"/>
      <c r="G9" s="83"/>
      <c r="H9" s="83"/>
      <c r="I9" s="83"/>
      <c r="J9" s="83"/>
      <c r="K9" s="83"/>
      <c r="L9" s="48"/>
      <c r="M9" s="48"/>
      <c r="N9" s="48"/>
      <c r="O9" s="48"/>
      <c r="P9" s="48"/>
      <c r="Q9" s="48"/>
      <c r="R9" s="48"/>
      <c r="S9" s="48"/>
      <c r="T9" s="48"/>
      <c r="U9" s="48"/>
      <c r="V9" s="48"/>
      <c r="W9" s="48"/>
      <c r="X9" s="48"/>
      <c r="Y9" s="48"/>
      <c r="Z9" s="48"/>
      <c r="AB9" s="421"/>
    </row>
    <row r="10" spans="1:28" ht="15.75" thickBot="1">
      <c r="A10" s="41" t="s">
        <v>186</v>
      </c>
      <c r="B10" s="42" t="s">
        <v>214</v>
      </c>
      <c r="C10" s="50">
        <v>1</v>
      </c>
      <c r="D10" s="73">
        <v>1.6666666666666665</v>
      </c>
      <c r="E10" s="73">
        <v>2.333333333333333</v>
      </c>
      <c r="F10" s="73">
        <v>2.9999999999999996</v>
      </c>
      <c r="G10" s="73">
        <v>3.6666666666666661</v>
      </c>
      <c r="H10" s="73">
        <v>4.333333333333333</v>
      </c>
      <c r="I10" s="74">
        <v>5</v>
      </c>
      <c r="J10" s="73">
        <v>5.833333333333333</v>
      </c>
      <c r="K10" s="73">
        <v>6.6666666666666661</v>
      </c>
      <c r="L10" s="51">
        <v>7.4999999999999991</v>
      </c>
      <c r="M10" s="51">
        <v>8.3333333333333321</v>
      </c>
      <c r="N10" s="50">
        <v>10</v>
      </c>
      <c r="O10" s="51">
        <v>11.25</v>
      </c>
      <c r="P10" s="51">
        <v>12.5</v>
      </c>
      <c r="Q10" s="51">
        <v>13.75</v>
      </c>
      <c r="R10" s="50">
        <v>15</v>
      </c>
      <c r="S10" s="51">
        <v>15</v>
      </c>
      <c r="T10" s="51">
        <v>15</v>
      </c>
      <c r="U10" s="51">
        <v>15</v>
      </c>
      <c r="V10" s="51">
        <v>15</v>
      </c>
      <c r="W10" s="51">
        <v>15</v>
      </c>
      <c r="X10" s="51">
        <v>15</v>
      </c>
      <c r="Y10" s="50">
        <v>15</v>
      </c>
      <c r="Z10" s="51">
        <v>15</v>
      </c>
      <c r="AA10" s="38">
        <v>15</v>
      </c>
      <c r="AB10" s="420">
        <v>0.6</v>
      </c>
    </row>
    <row r="11" spans="1:28" s="49" customFormat="1" ht="15.75" thickBot="1">
      <c r="A11" s="45"/>
      <c r="B11" s="46" t="s">
        <v>215</v>
      </c>
      <c r="C11" s="71">
        <v>1</v>
      </c>
      <c r="D11" s="76">
        <v>1</v>
      </c>
      <c r="E11" s="77">
        <v>1</v>
      </c>
      <c r="F11" s="77">
        <v>1</v>
      </c>
      <c r="G11" s="77">
        <v>1</v>
      </c>
      <c r="H11" s="77">
        <v>1</v>
      </c>
      <c r="I11" s="77">
        <v>7</v>
      </c>
      <c r="J11" s="77">
        <v>10</v>
      </c>
      <c r="K11" s="77">
        <v>10</v>
      </c>
      <c r="L11" s="77">
        <v>12</v>
      </c>
      <c r="M11" s="77">
        <v>2</v>
      </c>
      <c r="N11" s="425">
        <v>13</v>
      </c>
      <c r="O11" s="426">
        <v>13</v>
      </c>
      <c r="P11" s="426">
        <v>13</v>
      </c>
      <c r="Q11" s="426">
        <v>13</v>
      </c>
      <c r="R11" s="77">
        <v>15</v>
      </c>
      <c r="S11" s="77">
        <v>15</v>
      </c>
      <c r="T11" s="77">
        <v>15</v>
      </c>
      <c r="U11" s="77">
        <v>15</v>
      </c>
      <c r="V11" s="78">
        <v>15</v>
      </c>
      <c r="W11" s="72">
        <v>15</v>
      </c>
      <c r="X11" s="70">
        <v>15</v>
      </c>
      <c r="Y11" s="70">
        <v>0</v>
      </c>
      <c r="Z11" s="70">
        <v>0</v>
      </c>
      <c r="AA11" s="38"/>
      <c r="AB11" s="420"/>
    </row>
    <row r="12" spans="1:28" s="49" customFormat="1">
      <c r="A12" s="45"/>
      <c r="B12" s="46"/>
      <c r="C12" s="53"/>
      <c r="D12" s="75"/>
      <c r="E12" s="75"/>
      <c r="F12" s="75"/>
      <c r="G12" s="75"/>
      <c r="H12" s="75"/>
      <c r="I12" s="75"/>
      <c r="J12" s="75"/>
      <c r="K12" s="75"/>
      <c r="L12" s="53"/>
      <c r="M12" s="53"/>
      <c r="N12" s="53"/>
      <c r="O12" s="53"/>
      <c r="P12" s="53"/>
      <c r="Q12" s="53"/>
      <c r="R12" s="53"/>
      <c r="S12" s="53"/>
      <c r="T12" s="53"/>
      <c r="U12" s="53"/>
      <c r="V12" s="53"/>
      <c r="W12" s="53"/>
      <c r="X12" s="53"/>
      <c r="Y12" s="53"/>
      <c r="Z12" s="53"/>
      <c r="AB12" s="421"/>
    </row>
    <row r="13" spans="1:28" ht="15.75" thickBot="1">
      <c r="A13" s="41" t="s">
        <v>187</v>
      </c>
      <c r="B13" s="42" t="s">
        <v>216</v>
      </c>
      <c r="C13" s="50">
        <v>1</v>
      </c>
      <c r="D13" s="73">
        <v>2.333333333333333</v>
      </c>
      <c r="E13" s="73">
        <v>3.6666666666666661</v>
      </c>
      <c r="F13" s="73">
        <v>4.9999999999999991</v>
      </c>
      <c r="G13" s="73">
        <v>6.3333333333333321</v>
      </c>
      <c r="H13" s="73">
        <v>7.6666666666666652</v>
      </c>
      <c r="I13" s="74">
        <v>9</v>
      </c>
      <c r="J13" s="73">
        <v>9.6666666666666661</v>
      </c>
      <c r="K13" s="73">
        <v>10.333333333333332</v>
      </c>
      <c r="L13" s="51">
        <v>10.999999999999998</v>
      </c>
      <c r="M13" s="51">
        <v>11.666666666666664</v>
      </c>
      <c r="N13" s="50">
        <v>13</v>
      </c>
      <c r="O13" s="51">
        <v>13.5</v>
      </c>
      <c r="P13" s="51">
        <v>14</v>
      </c>
      <c r="Q13" s="51">
        <v>14.5</v>
      </c>
      <c r="R13" s="50">
        <v>15</v>
      </c>
      <c r="S13" s="51">
        <v>15</v>
      </c>
      <c r="T13" s="51">
        <v>15</v>
      </c>
      <c r="U13" s="51">
        <v>15</v>
      </c>
      <c r="V13" s="51">
        <v>15</v>
      </c>
      <c r="W13" s="51">
        <v>15</v>
      </c>
      <c r="X13" s="51">
        <v>15</v>
      </c>
      <c r="Y13" s="50">
        <v>15</v>
      </c>
      <c r="Z13" s="51">
        <v>15</v>
      </c>
      <c r="AA13" s="38">
        <v>15</v>
      </c>
      <c r="AB13" s="420">
        <v>0.6</v>
      </c>
    </row>
    <row r="14" spans="1:28" s="49" customFormat="1" ht="15.75" thickBot="1">
      <c r="A14" s="45"/>
      <c r="B14" s="46" t="s">
        <v>217</v>
      </c>
      <c r="C14" s="71">
        <v>1</v>
      </c>
      <c r="D14" s="76">
        <v>1</v>
      </c>
      <c r="E14" s="77">
        <v>1</v>
      </c>
      <c r="F14" s="77">
        <v>1</v>
      </c>
      <c r="G14" s="77">
        <v>1</v>
      </c>
      <c r="H14" s="77">
        <v>1</v>
      </c>
      <c r="I14" s="77">
        <v>7</v>
      </c>
      <c r="J14" s="77">
        <v>7</v>
      </c>
      <c r="K14" s="77">
        <v>7</v>
      </c>
      <c r="L14" s="77">
        <v>2</v>
      </c>
      <c r="M14" s="77">
        <v>12</v>
      </c>
      <c r="N14" s="425">
        <v>14</v>
      </c>
      <c r="O14" s="426">
        <v>14</v>
      </c>
      <c r="P14" s="426">
        <v>14</v>
      </c>
      <c r="Q14" s="426">
        <v>14</v>
      </c>
      <c r="R14" s="77">
        <v>15</v>
      </c>
      <c r="S14" s="77">
        <v>15</v>
      </c>
      <c r="T14" s="77">
        <v>15</v>
      </c>
      <c r="U14" s="77">
        <v>15</v>
      </c>
      <c r="V14" s="78">
        <v>15</v>
      </c>
      <c r="W14" s="72">
        <v>15</v>
      </c>
      <c r="X14" s="70">
        <v>15</v>
      </c>
      <c r="Y14" s="70">
        <v>0</v>
      </c>
      <c r="Z14" s="70">
        <v>0</v>
      </c>
      <c r="AB14" s="421"/>
    </row>
    <row r="15" spans="1:28" s="49" customFormat="1">
      <c r="A15" s="45"/>
      <c r="B15" s="46"/>
      <c r="C15" s="53"/>
      <c r="D15" s="427"/>
      <c r="E15" s="427"/>
      <c r="F15" s="427"/>
      <c r="G15" s="75"/>
      <c r="H15" s="75"/>
      <c r="I15" s="75"/>
      <c r="J15" s="75"/>
      <c r="K15" s="75"/>
      <c r="L15" s="53"/>
      <c r="M15" s="53"/>
      <c r="N15" s="53"/>
      <c r="O15" s="53"/>
      <c r="P15" s="53"/>
      <c r="Q15" s="53"/>
      <c r="R15" s="53"/>
      <c r="S15" s="53"/>
      <c r="T15" s="53"/>
      <c r="U15" s="53"/>
      <c r="V15" s="53"/>
      <c r="W15" s="53"/>
      <c r="X15" s="53"/>
      <c r="Y15" s="53"/>
      <c r="Z15" s="53"/>
      <c r="AB15" s="421"/>
    </row>
    <row r="16" spans="1:28" ht="15.75" thickBot="1">
      <c r="A16" s="41" t="s">
        <v>188</v>
      </c>
      <c r="B16" s="42" t="s">
        <v>218</v>
      </c>
      <c r="C16" s="50">
        <v>1</v>
      </c>
      <c r="D16" s="73">
        <v>1.3333333333333333</v>
      </c>
      <c r="E16" s="73">
        <v>1.6666666666666665</v>
      </c>
      <c r="F16" s="73">
        <v>1.9999999999999998</v>
      </c>
      <c r="G16" s="73">
        <v>2.333333333333333</v>
      </c>
      <c r="H16" s="73">
        <v>2.6666666666666665</v>
      </c>
      <c r="I16" s="74">
        <v>3</v>
      </c>
      <c r="J16" s="73">
        <v>4</v>
      </c>
      <c r="K16" s="73">
        <v>5</v>
      </c>
      <c r="L16" s="51">
        <v>6</v>
      </c>
      <c r="M16" s="51">
        <v>7</v>
      </c>
      <c r="N16" s="50">
        <v>9</v>
      </c>
      <c r="O16" s="51">
        <v>9</v>
      </c>
      <c r="P16" s="51">
        <v>9</v>
      </c>
      <c r="Q16" s="51">
        <v>9</v>
      </c>
      <c r="R16" s="50">
        <v>9</v>
      </c>
      <c r="S16" s="51">
        <v>9.5</v>
      </c>
      <c r="T16" s="51">
        <v>10</v>
      </c>
      <c r="U16" s="51">
        <v>10.5</v>
      </c>
      <c r="V16" s="51">
        <v>11</v>
      </c>
      <c r="W16" s="51">
        <v>11.5</v>
      </c>
      <c r="X16" s="51">
        <v>12</v>
      </c>
      <c r="Y16" s="50">
        <v>12</v>
      </c>
      <c r="Z16" s="51">
        <v>12</v>
      </c>
      <c r="AA16" s="38">
        <v>15</v>
      </c>
      <c r="AB16" s="420">
        <v>0.6</v>
      </c>
    </row>
    <row r="17" spans="1:28" s="49" customFormat="1" ht="15.75" thickBot="1">
      <c r="A17" s="45"/>
      <c r="B17" s="46" t="s">
        <v>219</v>
      </c>
      <c r="C17" s="71">
        <v>1</v>
      </c>
      <c r="D17" s="76">
        <v>1</v>
      </c>
      <c r="E17" s="77">
        <v>1</v>
      </c>
      <c r="F17" s="77">
        <v>1</v>
      </c>
      <c r="G17" s="77">
        <v>1</v>
      </c>
      <c r="H17" s="77">
        <v>1</v>
      </c>
      <c r="I17" s="77">
        <v>4</v>
      </c>
      <c r="J17" s="77">
        <v>5</v>
      </c>
      <c r="K17" s="77">
        <v>5</v>
      </c>
      <c r="L17" s="77">
        <v>2</v>
      </c>
      <c r="M17" s="77">
        <v>6</v>
      </c>
      <c r="N17" s="425">
        <v>7</v>
      </c>
      <c r="O17" s="426">
        <v>8</v>
      </c>
      <c r="P17" s="426">
        <v>8</v>
      </c>
      <c r="Q17" s="426">
        <v>8</v>
      </c>
      <c r="R17" s="77">
        <v>7</v>
      </c>
      <c r="S17" s="77">
        <v>7</v>
      </c>
      <c r="T17" s="77">
        <v>8</v>
      </c>
      <c r="U17" s="77">
        <v>8</v>
      </c>
      <c r="V17" s="78">
        <v>12</v>
      </c>
      <c r="W17" s="72">
        <v>12</v>
      </c>
      <c r="X17" s="70">
        <v>12</v>
      </c>
      <c r="Y17" s="70">
        <v>0</v>
      </c>
      <c r="Z17" s="70">
        <v>0</v>
      </c>
      <c r="AB17" s="421"/>
    </row>
    <row r="18" spans="1:28" s="49" customFormat="1">
      <c r="A18" s="45"/>
      <c r="B18" s="46"/>
      <c r="C18" s="53"/>
      <c r="D18" s="427"/>
      <c r="E18" s="427"/>
      <c r="F18" s="427"/>
      <c r="G18" s="75"/>
      <c r="H18" s="75"/>
      <c r="I18" s="75"/>
      <c r="J18" s="75"/>
      <c r="K18" s="75"/>
      <c r="L18" s="53"/>
      <c r="M18" s="53"/>
      <c r="N18" s="53"/>
      <c r="O18" s="53"/>
      <c r="P18" s="53"/>
      <c r="Q18" s="53"/>
      <c r="R18" s="53"/>
      <c r="S18" s="53"/>
      <c r="T18" s="53"/>
      <c r="U18" s="53"/>
      <c r="V18" s="53"/>
      <c r="W18" s="53"/>
      <c r="X18" s="53"/>
      <c r="Y18" s="53"/>
      <c r="Z18" s="53"/>
      <c r="AB18" s="421"/>
    </row>
    <row r="19" spans="1:28" ht="15.75" thickBot="1">
      <c r="A19" s="41" t="s">
        <v>189</v>
      </c>
      <c r="B19" s="42" t="s">
        <v>221</v>
      </c>
      <c r="C19" s="50">
        <v>12</v>
      </c>
      <c r="D19" s="73">
        <v>12.166666666666666</v>
      </c>
      <c r="E19" s="73">
        <v>12.333333333333332</v>
      </c>
      <c r="F19" s="73">
        <v>12.499999999999998</v>
      </c>
      <c r="G19" s="73">
        <v>12.666666666666664</v>
      </c>
      <c r="H19" s="73">
        <v>12.83333333333333</v>
      </c>
      <c r="I19" s="74">
        <v>13</v>
      </c>
      <c r="J19" s="73">
        <v>13.166666666666666</v>
      </c>
      <c r="K19" s="73">
        <v>13.333333333333332</v>
      </c>
      <c r="L19" s="51">
        <v>13.499999999999998</v>
      </c>
      <c r="M19" s="51">
        <v>13.666666666666664</v>
      </c>
      <c r="N19" s="50">
        <v>14</v>
      </c>
      <c r="O19" s="51">
        <v>14</v>
      </c>
      <c r="P19" s="51">
        <v>14</v>
      </c>
      <c r="Q19" s="51">
        <v>14</v>
      </c>
      <c r="R19" s="50">
        <v>14</v>
      </c>
      <c r="S19" s="51">
        <v>14.166666666666666</v>
      </c>
      <c r="T19" s="51">
        <v>14.333333333333332</v>
      </c>
      <c r="U19" s="51">
        <v>14.499999999999998</v>
      </c>
      <c r="V19" s="51">
        <v>14.666666666666664</v>
      </c>
      <c r="W19" s="51">
        <v>14.83333333333333</v>
      </c>
      <c r="X19" s="51">
        <v>14.999999999999996</v>
      </c>
      <c r="Y19" s="50">
        <v>15</v>
      </c>
      <c r="Z19" s="51">
        <v>15</v>
      </c>
      <c r="AA19" s="38">
        <v>15</v>
      </c>
      <c r="AB19" s="420">
        <v>0.6</v>
      </c>
    </row>
    <row r="20" spans="1:28" s="49" customFormat="1" ht="15.75" thickBot="1">
      <c r="A20" s="45"/>
      <c r="B20" s="46" t="s">
        <v>220</v>
      </c>
      <c r="C20" s="71">
        <v>12</v>
      </c>
      <c r="D20" s="76">
        <v>12</v>
      </c>
      <c r="E20" s="77">
        <v>12</v>
      </c>
      <c r="F20" s="77">
        <v>12</v>
      </c>
      <c r="G20" s="77">
        <v>12</v>
      </c>
      <c r="H20" s="77">
        <v>12</v>
      </c>
      <c r="I20" s="77">
        <v>9</v>
      </c>
      <c r="J20" s="77">
        <v>9</v>
      </c>
      <c r="K20" s="77">
        <v>9</v>
      </c>
      <c r="L20" s="77">
        <v>2</v>
      </c>
      <c r="M20" s="77">
        <v>2</v>
      </c>
      <c r="N20" s="425">
        <v>14</v>
      </c>
      <c r="O20" s="426">
        <v>14</v>
      </c>
      <c r="P20" s="426">
        <v>15</v>
      </c>
      <c r="Q20" s="426">
        <v>15</v>
      </c>
      <c r="R20" s="77">
        <v>15</v>
      </c>
      <c r="S20" s="77">
        <v>15</v>
      </c>
      <c r="T20" s="77">
        <v>15</v>
      </c>
      <c r="U20" s="77">
        <v>15</v>
      </c>
      <c r="V20" s="78">
        <v>15</v>
      </c>
      <c r="W20" s="72">
        <v>15</v>
      </c>
      <c r="X20" s="70">
        <v>15</v>
      </c>
      <c r="Y20" s="70">
        <v>0</v>
      </c>
      <c r="Z20" s="70">
        <v>0</v>
      </c>
      <c r="AB20" s="421"/>
    </row>
    <row r="21" spans="1:28" s="49" customFormat="1">
      <c r="A21" s="45"/>
      <c r="B21" s="46"/>
      <c r="C21" s="48"/>
      <c r="D21" s="422"/>
      <c r="E21" s="422"/>
      <c r="F21" s="422"/>
      <c r="G21" s="83"/>
      <c r="H21" s="83"/>
      <c r="I21" s="83"/>
      <c r="J21" s="83"/>
      <c r="K21" s="83"/>
      <c r="L21" s="48"/>
      <c r="M21" s="48"/>
      <c r="N21" s="48"/>
      <c r="O21" s="48"/>
      <c r="P21" s="48"/>
      <c r="Q21" s="48"/>
      <c r="R21" s="48"/>
      <c r="S21" s="48"/>
      <c r="T21" s="48"/>
      <c r="U21" s="48"/>
      <c r="V21" s="48"/>
      <c r="W21" s="48"/>
      <c r="X21" s="48"/>
      <c r="Y21" s="48"/>
      <c r="Z21" s="48"/>
      <c r="AB21" s="421"/>
    </row>
    <row r="22" spans="1:28" ht="15.75" thickBot="1">
      <c r="A22" s="41" t="s">
        <v>22</v>
      </c>
      <c r="B22" s="42" t="s">
        <v>139</v>
      </c>
      <c r="C22" s="43">
        <v>2.6</v>
      </c>
      <c r="D22" s="81">
        <v>2.666666666666667</v>
      </c>
      <c r="E22" s="81">
        <v>2.7333333333333334</v>
      </c>
      <c r="F22" s="81">
        <v>2.8</v>
      </c>
      <c r="G22" s="81">
        <v>2.8666666666666663</v>
      </c>
      <c r="H22" s="81">
        <v>2.9333333333333327</v>
      </c>
      <c r="I22" s="82">
        <v>3</v>
      </c>
      <c r="J22" s="81">
        <v>3.0833333333333335</v>
      </c>
      <c r="K22" s="81">
        <v>3.166666666666667</v>
      </c>
      <c r="L22" s="44">
        <v>3.2500000000000004</v>
      </c>
      <c r="M22" s="44">
        <v>3.3333333333333339</v>
      </c>
      <c r="N22" s="43">
        <v>3.5</v>
      </c>
      <c r="O22" s="44">
        <v>3.4249999999999998</v>
      </c>
      <c r="P22" s="44">
        <v>3.3499999999999996</v>
      </c>
      <c r="Q22" s="44">
        <v>3.2749999999999995</v>
      </c>
      <c r="R22" s="43">
        <v>3.2</v>
      </c>
      <c r="S22" s="44">
        <v>3.3333333333333335</v>
      </c>
      <c r="T22" s="44">
        <v>3.4666666666666668</v>
      </c>
      <c r="U22" s="44">
        <v>3.6</v>
      </c>
      <c r="V22" s="44">
        <v>3.7333333333333334</v>
      </c>
      <c r="W22" s="44">
        <v>3.4499999999999993</v>
      </c>
      <c r="X22" s="44">
        <v>3.4999999999999991</v>
      </c>
      <c r="Y22" s="43">
        <v>3.5</v>
      </c>
      <c r="Z22" s="44">
        <v>3.5</v>
      </c>
      <c r="AA22" s="38">
        <v>5</v>
      </c>
      <c r="AB22" s="420">
        <v>0.16</v>
      </c>
    </row>
    <row r="23" spans="1:28" s="49" customFormat="1" ht="15.75" thickBot="1">
      <c r="A23" s="45"/>
      <c r="B23" s="46" t="s">
        <v>140</v>
      </c>
      <c r="C23" s="79">
        <v>2.6</v>
      </c>
      <c r="D23" s="84">
        <v>2.6</v>
      </c>
      <c r="E23" s="85">
        <v>2.6</v>
      </c>
      <c r="F23" s="85">
        <v>2.6</v>
      </c>
      <c r="G23" s="85">
        <v>2.6</v>
      </c>
      <c r="H23" s="85">
        <v>2.6</v>
      </c>
      <c r="I23" s="85">
        <v>3</v>
      </c>
      <c r="J23" s="85">
        <v>2.8</v>
      </c>
      <c r="K23" s="85">
        <v>2.8</v>
      </c>
      <c r="L23" s="85">
        <v>2</v>
      </c>
      <c r="M23" s="85">
        <v>2</v>
      </c>
      <c r="N23" s="423">
        <v>3</v>
      </c>
      <c r="O23" s="424">
        <v>3</v>
      </c>
      <c r="P23" s="424">
        <v>2.6</v>
      </c>
      <c r="Q23" s="424">
        <v>3</v>
      </c>
      <c r="R23" s="85">
        <v>3.5</v>
      </c>
      <c r="S23" s="85">
        <v>3.5</v>
      </c>
      <c r="T23" s="85">
        <v>3.5</v>
      </c>
      <c r="U23" s="85">
        <v>3.5</v>
      </c>
      <c r="V23" s="86">
        <v>3.5</v>
      </c>
      <c r="W23" s="80">
        <v>3.5</v>
      </c>
      <c r="X23" s="69">
        <v>3.5</v>
      </c>
      <c r="Y23" s="69">
        <v>0</v>
      </c>
      <c r="Z23" s="69">
        <v>0</v>
      </c>
      <c r="AB23" s="421"/>
    </row>
    <row r="24" spans="1:28" s="49" customFormat="1">
      <c r="A24" s="45"/>
      <c r="B24" s="46"/>
      <c r="C24" s="48"/>
      <c r="D24" s="422"/>
      <c r="E24" s="422"/>
      <c r="F24" s="422"/>
      <c r="G24" s="83"/>
      <c r="H24" s="83"/>
      <c r="I24" s="83"/>
      <c r="J24" s="83"/>
      <c r="K24" s="83"/>
      <c r="L24" s="48"/>
      <c r="M24" s="48"/>
      <c r="N24" s="48"/>
      <c r="O24" s="48"/>
      <c r="P24" s="48"/>
      <c r="Q24" s="48"/>
      <c r="R24" s="48"/>
      <c r="S24" s="48"/>
      <c r="T24" s="48"/>
      <c r="U24" s="48"/>
      <c r="V24" s="48"/>
      <c r="W24" s="48"/>
      <c r="X24" s="48"/>
      <c r="Y24" s="48"/>
      <c r="Z24" s="48"/>
      <c r="AB24" s="421"/>
    </row>
    <row r="25" spans="1:28" ht="15.75" thickBot="1">
      <c r="A25" s="41" t="s">
        <v>23</v>
      </c>
      <c r="B25" s="42" t="s">
        <v>139</v>
      </c>
      <c r="C25" s="43">
        <v>2.2999999999999998</v>
      </c>
      <c r="D25" s="81">
        <v>2.4166666666666665</v>
      </c>
      <c r="E25" s="81">
        <v>2.5333333333333332</v>
      </c>
      <c r="F25" s="81">
        <v>2.65</v>
      </c>
      <c r="G25" s="81">
        <v>2.7666666666666666</v>
      </c>
      <c r="H25" s="81">
        <v>2.8833333333333333</v>
      </c>
      <c r="I25" s="82">
        <v>3</v>
      </c>
      <c r="J25" s="81">
        <v>3.0833333333333335</v>
      </c>
      <c r="K25" s="81">
        <v>3.166666666666667</v>
      </c>
      <c r="L25" s="44">
        <v>3.2500000000000004</v>
      </c>
      <c r="M25" s="44">
        <v>3.3333333333333339</v>
      </c>
      <c r="N25" s="43">
        <v>3.5</v>
      </c>
      <c r="O25" s="44">
        <v>3.5</v>
      </c>
      <c r="P25" s="44">
        <v>3.5</v>
      </c>
      <c r="Q25" s="44">
        <v>3.5</v>
      </c>
      <c r="R25" s="43">
        <v>3.5</v>
      </c>
      <c r="S25" s="44">
        <v>3.5833333333333335</v>
      </c>
      <c r="T25" s="44">
        <v>3.666666666666667</v>
      </c>
      <c r="U25" s="44">
        <v>3.7500000000000004</v>
      </c>
      <c r="V25" s="44">
        <v>3.8333333333333339</v>
      </c>
      <c r="W25" s="44">
        <v>3.9166666666666674</v>
      </c>
      <c r="X25" s="44">
        <v>4.0000000000000009</v>
      </c>
      <c r="Y25" s="43">
        <v>4</v>
      </c>
      <c r="Z25" s="44">
        <v>4</v>
      </c>
      <c r="AA25" s="38">
        <v>5</v>
      </c>
      <c r="AB25" s="420">
        <v>0.16</v>
      </c>
    </row>
    <row r="26" spans="1:28" s="49" customFormat="1" ht="15.75" thickBot="1">
      <c r="A26" s="45"/>
      <c r="B26" s="46" t="s">
        <v>140</v>
      </c>
      <c r="C26" s="79">
        <v>2.2999999999999998</v>
      </c>
      <c r="D26" s="84">
        <v>2.2999999999999998</v>
      </c>
      <c r="E26" s="85">
        <v>2.2999999999999998</v>
      </c>
      <c r="F26" s="85">
        <v>2.2999999999999998</v>
      </c>
      <c r="G26" s="85">
        <v>2.2999999999999998</v>
      </c>
      <c r="H26" s="85">
        <v>2.2999999999999998</v>
      </c>
      <c r="I26" s="85">
        <v>3</v>
      </c>
      <c r="J26" s="85">
        <v>3.2</v>
      </c>
      <c r="K26" s="85">
        <v>3.2</v>
      </c>
      <c r="L26" s="85">
        <v>2</v>
      </c>
      <c r="M26" s="85">
        <v>2</v>
      </c>
      <c r="N26" s="423">
        <v>2.9</v>
      </c>
      <c r="O26" s="424">
        <v>2.9</v>
      </c>
      <c r="P26" s="424">
        <v>3.8</v>
      </c>
      <c r="Q26" s="424">
        <v>2.6</v>
      </c>
      <c r="R26" s="85">
        <v>3.1</v>
      </c>
      <c r="S26" s="85">
        <v>3.1</v>
      </c>
      <c r="T26" s="85">
        <v>4.0999999999999996</v>
      </c>
      <c r="U26" s="85">
        <v>4.0999999999999996</v>
      </c>
      <c r="V26" s="86">
        <v>4.0999999999999996</v>
      </c>
      <c r="W26" s="80">
        <v>4.0999999999999996</v>
      </c>
      <c r="X26" s="69">
        <v>4.3</v>
      </c>
      <c r="Y26" s="69">
        <v>0</v>
      </c>
      <c r="Z26" s="69">
        <v>0</v>
      </c>
      <c r="AB26" s="421"/>
    </row>
    <row r="27" spans="1:28" s="49" customFormat="1">
      <c r="A27" s="45"/>
      <c r="B27" s="46"/>
      <c r="C27" s="48"/>
      <c r="D27" s="422"/>
      <c r="E27" s="422"/>
      <c r="F27" s="422"/>
      <c r="G27" s="83"/>
      <c r="H27" s="83"/>
      <c r="I27" s="83"/>
      <c r="J27" s="83"/>
      <c r="K27" s="83"/>
      <c r="L27" s="48"/>
      <c r="M27" s="48"/>
      <c r="N27" s="48"/>
      <c r="O27" s="48"/>
      <c r="P27" s="48"/>
      <c r="Q27" s="48"/>
      <c r="R27" s="48"/>
      <c r="S27" s="48"/>
      <c r="T27" s="48"/>
      <c r="U27" s="48"/>
      <c r="V27" s="48"/>
      <c r="W27" s="48"/>
      <c r="X27" s="48"/>
      <c r="Y27" s="48"/>
      <c r="Z27" s="48"/>
      <c r="AB27" s="421"/>
    </row>
    <row r="28" spans="1:28" ht="15.75" thickBot="1">
      <c r="A28" s="41" t="s">
        <v>38</v>
      </c>
      <c r="B28" s="42" t="s">
        <v>139</v>
      </c>
      <c r="C28" s="47"/>
      <c r="D28" s="47"/>
      <c r="E28" s="47"/>
      <c r="F28" s="47"/>
      <c r="G28" s="47"/>
      <c r="H28" s="47"/>
      <c r="I28" s="47"/>
      <c r="J28" s="47"/>
      <c r="K28" s="47"/>
      <c r="L28" s="47"/>
      <c r="M28" s="47"/>
      <c r="N28" s="43">
        <v>2.5</v>
      </c>
      <c r="O28" s="44">
        <v>2.5625</v>
      </c>
      <c r="P28" s="44">
        <v>2.625</v>
      </c>
      <c r="Q28" s="44">
        <v>2.6875</v>
      </c>
      <c r="R28" s="43">
        <v>2.75</v>
      </c>
      <c r="S28" s="44">
        <v>2.7916666666666665</v>
      </c>
      <c r="T28" s="44">
        <v>2.833333333333333</v>
      </c>
      <c r="U28" s="44">
        <v>2.8749999999999996</v>
      </c>
      <c r="V28" s="44">
        <v>2.9166666666666661</v>
      </c>
      <c r="W28" s="44">
        <v>3.2083333333333339</v>
      </c>
      <c r="X28" s="44">
        <v>3.3000000000000007</v>
      </c>
      <c r="Y28" s="43">
        <v>3.3</v>
      </c>
      <c r="Z28" s="44">
        <v>3.3</v>
      </c>
      <c r="AA28" s="38">
        <v>5</v>
      </c>
      <c r="AB28" s="420">
        <v>0.16</v>
      </c>
    </row>
    <row r="29" spans="1:28" s="49" customFormat="1" ht="15.75" thickBot="1">
      <c r="A29" s="45"/>
      <c r="B29" s="46" t="s">
        <v>140</v>
      </c>
      <c r="C29" s="47"/>
      <c r="D29" s="47"/>
      <c r="E29" s="47"/>
      <c r="F29" s="47"/>
      <c r="G29" s="47"/>
      <c r="H29" s="47"/>
      <c r="I29" s="47"/>
      <c r="J29" s="47"/>
      <c r="K29" s="47"/>
      <c r="L29" s="47"/>
      <c r="M29" s="47"/>
      <c r="N29" s="47">
        <v>2.5</v>
      </c>
      <c r="O29" s="84">
        <v>2.5</v>
      </c>
      <c r="P29" s="424">
        <v>3.4</v>
      </c>
      <c r="Q29" s="424">
        <v>3.2</v>
      </c>
      <c r="R29" s="85">
        <v>3.3</v>
      </c>
      <c r="S29" s="85">
        <v>3.3</v>
      </c>
      <c r="T29" s="85">
        <v>3.3</v>
      </c>
      <c r="U29" s="85">
        <v>3.3</v>
      </c>
      <c r="V29" s="86">
        <v>3.3</v>
      </c>
      <c r="W29" s="80">
        <v>3.3</v>
      </c>
      <c r="X29" s="69">
        <v>3.9</v>
      </c>
      <c r="Y29" s="69">
        <v>0</v>
      </c>
      <c r="Z29" s="69">
        <v>0</v>
      </c>
      <c r="AB29" s="421"/>
    </row>
    <row r="30" spans="1:28" s="49" customFormat="1">
      <c r="A30" s="45"/>
      <c r="B30" s="46"/>
      <c r="C30" s="48"/>
      <c r="D30" s="48"/>
      <c r="E30" s="48"/>
      <c r="F30" s="48"/>
      <c r="G30" s="48"/>
      <c r="H30" s="48"/>
      <c r="I30" s="48"/>
      <c r="J30" s="48"/>
      <c r="K30" s="48"/>
      <c r="L30" s="48"/>
      <c r="M30" s="48"/>
      <c r="N30" s="48"/>
      <c r="O30" s="48"/>
      <c r="P30" s="48"/>
      <c r="Q30" s="48"/>
      <c r="R30" s="48"/>
      <c r="S30" s="48"/>
      <c r="T30" s="48"/>
      <c r="U30" s="48"/>
      <c r="V30" s="48"/>
      <c r="W30" s="48"/>
      <c r="X30" s="48"/>
      <c r="Y30" s="48"/>
      <c r="Z30" s="48"/>
      <c r="AB30" s="421"/>
    </row>
    <row r="31" spans="1:28" ht="15.75" thickBot="1">
      <c r="A31" s="41" t="s">
        <v>39</v>
      </c>
      <c r="B31" s="42" t="s">
        <v>139</v>
      </c>
      <c r="C31" s="50">
        <v>0</v>
      </c>
      <c r="D31" s="73">
        <v>0.33333333333333331</v>
      </c>
      <c r="E31" s="73">
        <v>0.66666666666666663</v>
      </c>
      <c r="F31" s="73">
        <v>1</v>
      </c>
      <c r="G31" s="73">
        <v>1.3333333333333333</v>
      </c>
      <c r="H31" s="73">
        <v>1.6666666666666665</v>
      </c>
      <c r="I31" s="74">
        <v>2</v>
      </c>
      <c r="J31" s="73">
        <v>2.3333333333333335</v>
      </c>
      <c r="K31" s="73">
        <v>2.666666666666667</v>
      </c>
      <c r="L31" s="51">
        <v>3.0000000000000004</v>
      </c>
      <c r="M31" s="51">
        <v>3.3333333333333339</v>
      </c>
      <c r="N31" s="50">
        <v>4</v>
      </c>
      <c r="O31" s="51">
        <v>4.75</v>
      </c>
      <c r="P31" s="51">
        <v>5.5</v>
      </c>
      <c r="Q31" s="51">
        <v>6.25</v>
      </c>
      <c r="R31" s="50">
        <v>7</v>
      </c>
      <c r="S31" s="51">
        <v>7.166666666666667</v>
      </c>
      <c r="T31" s="51">
        <v>7.3333333333333339</v>
      </c>
      <c r="U31" s="51">
        <v>7.5000000000000009</v>
      </c>
      <c r="V31" s="51">
        <v>7.6666666666666679</v>
      </c>
      <c r="W31" s="51">
        <v>9.5</v>
      </c>
      <c r="X31" s="51">
        <v>10</v>
      </c>
      <c r="Y31" s="50">
        <v>10</v>
      </c>
      <c r="Z31" s="51">
        <v>10</v>
      </c>
      <c r="AA31" s="38">
        <v>20</v>
      </c>
      <c r="AB31" s="420">
        <v>0.8</v>
      </c>
    </row>
    <row r="32" spans="1:28" s="49" customFormat="1" ht="15.75" thickBot="1">
      <c r="A32" s="45"/>
      <c r="B32" s="46" t="s">
        <v>140</v>
      </c>
      <c r="C32" s="71">
        <v>0</v>
      </c>
      <c r="D32" s="76">
        <v>0</v>
      </c>
      <c r="E32" s="77">
        <v>0</v>
      </c>
      <c r="F32" s="77">
        <v>0</v>
      </c>
      <c r="G32" s="77">
        <v>0</v>
      </c>
      <c r="H32" s="77">
        <v>0</v>
      </c>
      <c r="I32" s="77">
        <v>5</v>
      </c>
      <c r="J32" s="77">
        <v>3</v>
      </c>
      <c r="K32" s="77">
        <v>3</v>
      </c>
      <c r="L32" s="77">
        <v>4</v>
      </c>
      <c r="M32" s="77">
        <v>4</v>
      </c>
      <c r="N32" s="425">
        <v>5</v>
      </c>
      <c r="O32" s="426">
        <v>5</v>
      </c>
      <c r="P32" s="426">
        <v>6</v>
      </c>
      <c r="Q32" s="426">
        <v>9</v>
      </c>
      <c r="R32" s="77">
        <v>11</v>
      </c>
      <c r="S32" s="77">
        <v>14</v>
      </c>
      <c r="T32" s="77">
        <v>16</v>
      </c>
      <c r="U32" s="77">
        <v>17</v>
      </c>
      <c r="V32" s="78">
        <v>13</v>
      </c>
      <c r="W32" s="72">
        <v>13</v>
      </c>
      <c r="X32" s="70">
        <v>13</v>
      </c>
      <c r="Y32" s="70">
        <v>0</v>
      </c>
      <c r="Z32" s="70">
        <v>0</v>
      </c>
      <c r="AB32" s="421"/>
    </row>
    <row r="33" spans="1:28" s="49" customFormat="1">
      <c r="A33" s="45"/>
      <c r="B33" s="46"/>
      <c r="C33" s="53"/>
      <c r="D33" s="75"/>
      <c r="E33" s="75"/>
      <c r="F33" s="75"/>
      <c r="G33" s="75"/>
      <c r="H33" s="75"/>
      <c r="I33" s="75"/>
      <c r="J33" s="75"/>
      <c r="K33" s="75"/>
      <c r="L33" s="53"/>
      <c r="M33" s="53"/>
      <c r="N33" s="53"/>
      <c r="O33" s="53"/>
      <c r="P33" s="53"/>
      <c r="Q33" s="53"/>
      <c r="R33" s="53"/>
      <c r="S33" s="53"/>
      <c r="T33" s="53"/>
      <c r="U33" s="53"/>
      <c r="V33" s="53"/>
      <c r="W33" s="53"/>
      <c r="X33" s="53"/>
      <c r="Y33" s="53"/>
      <c r="Z33" s="53"/>
      <c r="AB33" s="421"/>
    </row>
    <row r="34" spans="1:28" ht="15.75" thickBot="1">
      <c r="A34" s="41" t="s">
        <v>185</v>
      </c>
      <c r="B34" s="42" t="s">
        <v>222</v>
      </c>
      <c r="C34" s="50">
        <v>0</v>
      </c>
      <c r="D34" s="73">
        <v>0.16666666666666666</v>
      </c>
      <c r="E34" s="73">
        <v>0.33333333333333331</v>
      </c>
      <c r="F34" s="73">
        <v>0.5</v>
      </c>
      <c r="G34" s="73">
        <v>0.66666666666666663</v>
      </c>
      <c r="H34" s="73">
        <v>0.83333333333333326</v>
      </c>
      <c r="I34" s="74">
        <v>1</v>
      </c>
      <c r="J34" s="73">
        <v>1.1666666666666667</v>
      </c>
      <c r="K34" s="73">
        <v>1.3333333333333335</v>
      </c>
      <c r="L34" s="51">
        <v>1.5000000000000002</v>
      </c>
      <c r="M34" s="51">
        <v>1.666666666666667</v>
      </c>
      <c r="N34" s="50">
        <v>2</v>
      </c>
      <c r="O34" s="51">
        <v>2.25</v>
      </c>
      <c r="P34" s="51">
        <v>2.5</v>
      </c>
      <c r="Q34" s="51">
        <v>2.75</v>
      </c>
      <c r="R34" s="50">
        <v>3</v>
      </c>
      <c r="S34" s="51">
        <v>3.1666666666666665</v>
      </c>
      <c r="T34" s="51">
        <v>3.333333333333333</v>
      </c>
      <c r="U34" s="51">
        <v>3.4999999999999996</v>
      </c>
      <c r="V34" s="51">
        <v>3.6666666666666661</v>
      </c>
      <c r="W34" s="51">
        <v>6.3333333333333339</v>
      </c>
      <c r="X34" s="51">
        <v>7.0000000000000009</v>
      </c>
      <c r="Y34" s="50">
        <v>7</v>
      </c>
      <c r="Z34" s="51">
        <v>7</v>
      </c>
      <c r="AA34" s="38">
        <v>15</v>
      </c>
      <c r="AB34" s="420">
        <v>0.6</v>
      </c>
    </row>
    <row r="35" spans="1:28" s="49" customFormat="1" ht="15.75" thickBot="1">
      <c r="A35" s="45"/>
      <c r="B35" s="46" t="s">
        <v>223</v>
      </c>
      <c r="C35" s="71">
        <v>0</v>
      </c>
      <c r="D35" s="76">
        <v>0</v>
      </c>
      <c r="E35" s="77">
        <v>0</v>
      </c>
      <c r="F35" s="77">
        <v>0</v>
      </c>
      <c r="G35" s="77">
        <v>0</v>
      </c>
      <c r="H35" s="77">
        <v>0</v>
      </c>
      <c r="I35" s="77">
        <v>0</v>
      </c>
      <c r="J35" s="77">
        <v>0</v>
      </c>
      <c r="K35" s="77">
        <v>1</v>
      </c>
      <c r="L35" s="77">
        <v>1</v>
      </c>
      <c r="M35" s="77">
        <v>1</v>
      </c>
      <c r="N35" s="425">
        <v>2</v>
      </c>
      <c r="O35" s="426">
        <v>2</v>
      </c>
      <c r="P35" s="426">
        <v>3</v>
      </c>
      <c r="Q35" s="426">
        <v>4</v>
      </c>
      <c r="R35" s="77">
        <v>5</v>
      </c>
      <c r="S35" s="77">
        <v>7</v>
      </c>
      <c r="T35" s="77">
        <v>8</v>
      </c>
      <c r="U35" s="77">
        <v>9</v>
      </c>
      <c r="V35" s="78">
        <v>7</v>
      </c>
      <c r="W35" s="72">
        <v>7</v>
      </c>
      <c r="X35" s="70">
        <v>6</v>
      </c>
      <c r="Y35" s="70">
        <v>0</v>
      </c>
      <c r="Z35" s="70">
        <v>0</v>
      </c>
      <c r="AB35" s="421"/>
    </row>
    <row r="36" spans="1:28" s="49" customFormat="1">
      <c r="A36" s="45"/>
      <c r="B36" s="46"/>
      <c r="C36" s="53"/>
      <c r="D36" s="75"/>
      <c r="E36" s="75"/>
      <c r="F36" s="75"/>
      <c r="G36" s="75"/>
      <c r="H36" s="75"/>
      <c r="I36" s="75"/>
      <c r="J36" s="75"/>
      <c r="K36" s="75"/>
      <c r="L36" s="53"/>
      <c r="M36" s="53"/>
      <c r="N36" s="53"/>
      <c r="O36" s="53"/>
      <c r="P36" s="53"/>
      <c r="Q36" s="53"/>
      <c r="R36" s="53"/>
      <c r="S36" s="53"/>
      <c r="T36" s="53"/>
      <c r="U36" s="53"/>
      <c r="V36" s="53"/>
      <c r="W36" s="53"/>
      <c r="X36" s="53"/>
      <c r="Y36" s="53"/>
      <c r="Z36" s="53"/>
      <c r="AB36" s="421"/>
    </row>
    <row r="37" spans="1:28" ht="15.75" thickBot="1">
      <c r="A37" s="41" t="s">
        <v>184</v>
      </c>
      <c r="B37" s="42" t="s">
        <v>226</v>
      </c>
      <c r="C37" s="50">
        <v>0</v>
      </c>
      <c r="D37" s="73">
        <v>0</v>
      </c>
      <c r="E37" s="73">
        <v>0</v>
      </c>
      <c r="F37" s="73">
        <v>0</v>
      </c>
      <c r="G37" s="73">
        <v>0</v>
      </c>
      <c r="H37" s="73">
        <v>0</v>
      </c>
      <c r="I37" s="74">
        <v>0</v>
      </c>
      <c r="J37" s="73">
        <v>0.16666666666666666</v>
      </c>
      <c r="K37" s="73">
        <v>0.33333333333333331</v>
      </c>
      <c r="L37" s="51">
        <v>0.5</v>
      </c>
      <c r="M37" s="51">
        <v>0.66666666666666663</v>
      </c>
      <c r="N37" s="50">
        <v>1</v>
      </c>
      <c r="O37" s="51">
        <v>1.25</v>
      </c>
      <c r="P37" s="51">
        <v>1.5</v>
      </c>
      <c r="Q37" s="51">
        <v>1.75</v>
      </c>
      <c r="R37" s="50">
        <v>2</v>
      </c>
      <c r="S37" s="51">
        <v>2.1666666666666665</v>
      </c>
      <c r="T37" s="51">
        <v>2.333333333333333</v>
      </c>
      <c r="U37" s="51">
        <v>2.4999999999999996</v>
      </c>
      <c r="V37" s="51">
        <v>2.6666666666666661</v>
      </c>
      <c r="W37" s="51">
        <v>2.8333333333333326</v>
      </c>
      <c r="X37" s="51">
        <v>2.9999999999999991</v>
      </c>
      <c r="Y37" s="50">
        <v>3</v>
      </c>
      <c r="Z37" s="51">
        <v>3</v>
      </c>
      <c r="AA37" s="38">
        <v>10</v>
      </c>
      <c r="AB37" s="420">
        <v>0.4</v>
      </c>
    </row>
    <row r="38" spans="1:28" s="49" customFormat="1" ht="15.75" thickBot="1">
      <c r="A38" s="45"/>
      <c r="B38" s="46" t="s">
        <v>227</v>
      </c>
      <c r="C38" s="71">
        <v>0</v>
      </c>
      <c r="D38" s="76">
        <v>0</v>
      </c>
      <c r="E38" s="77">
        <v>0</v>
      </c>
      <c r="F38" s="77">
        <v>0</v>
      </c>
      <c r="G38" s="77">
        <v>0</v>
      </c>
      <c r="H38" s="77">
        <v>0</v>
      </c>
      <c r="I38" s="77">
        <v>0</v>
      </c>
      <c r="J38" s="77">
        <v>0</v>
      </c>
      <c r="K38" s="77">
        <v>0</v>
      </c>
      <c r="L38" s="77">
        <v>0</v>
      </c>
      <c r="M38" s="77">
        <v>1</v>
      </c>
      <c r="N38" s="425">
        <v>1</v>
      </c>
      <c r="O38" s="426">
        <v>1</v>
      </c>
      <c r="P38" s="426">
        <v>1</v>
      </c>
      <c r="Q38" s="426">
        <v>1</v>
      </c>
      <c r="R38" s="77">
        <v>3</v>
      </c>
      <c r="S38" s="77">
        <v>3</v>
      </c>
      <c r="T38" s="77">
        <v>3</v>
      </c>
      <c r="U38" s="77">
        <v>3</v>
      </c>
      <c r="V38" s="78">
        <v>3</v>
      </c>
      <c r="W38" s="72">
        <v>2</v>
      </c>
      <c r="X38" s="70">
        <v>2</v>
      </c>
      <c r="Y38" s="70">
        <v>0</v>
      </c>
      <c r="Z38" s="70">
        <v>0</v>
      </c>
      <c r="AB38" s="421"/>
    </row>
    <row r="39" spans="1:28" s="49" customFormat="1">
      <c r="A39" s="45"/>
      <c r="B39" s="46"/>
      <c r="C39" s="53"/>
      <c r="D39" s="75"/>
      <c r="E39" s="75"/>
      <c r="F39" s="75"/>
      <c r="G39" s="75"/>
      <c r="H39" s="75"/>
      <c r="I39" s="75"/>
      <c r="J39" s="75"/>
      <c r="K39" s="75"/>
      <c r="L39" s="53"/>
      <c r="M39" s="53"/>
      <c r="N39" s="53"/>
      <c r="O39" s="53"/>
      <c r="P39" s="53"/>
      <c r="Q39" s="53"/>
      <c r="R39" s="53"/>
      <c r="S39" s="53"/>
      <c r="T39" s="53"/>
      <c r="U39" s="53"/>
      <c r="V39" s="53"/>
      <c r="W39" s="53"/>
      <c r="X39" s="53"/>
      <c r="Y39" s="53"/>
      <c r="Z39" s="53"/>
      <c r="AB39" s="421"/>
    </row>
    <row r="40" spans="1:28" ht="15.75" thickBot="1">
      <c r="A40" s="41" t="s">
        <v>183</v>
      </c>
      <c r="B40" s="42" t="s">
        <v>224</v>
      </c>
      <c r="C40" s="50">
        <v>0</v>
      </c>
      <c r="D40" s="73">
        <v>0</v>
      </c>
      <c r="E40" s="73">
        <v>0</v>
      </c>
      <c r="F40" s="73">
        <v>0</v>
      </c>
      <c r="G40" s="73">
        <v>0</v>
      </c>
      <c r="H40" s="73">
        <v>0</v>
      </c>
      <c r="I40" s="74">
        <v>0</v>
      </c>
      <c r="J40" s="73">
        <v>0.16666666666666666</v>
      </c>
      <c r="K40" s="73">
        <v>0.33333333333333331</v>
      </c>
      <c r="L40" s="51">
        <v>0.5</v>
      </c>
      <c r="M40" s="51">
        <v>0.66666666666666663</v>
      </c>
      <c r="N40" s="50">
        <v>1</v>
      </c>
      <c r="O40" s="51">
        <v>1.25</v>
      </c>
      <c r="P40" s="51">
        <v>1.5</v>
      </c>
      <c r="Q40" s="51">
        <v>1.75</v>
      </c>
      <c r="R40" s="50">
        <v>2</v>
      </c>
      <c r="S40" s="51">
        <v>2</v>
      </c>
      <c r="T40" s="51">
        <v>2</v>
      </c>
      <c r="U40" s="51">
        <v>2</v>
      </c>
      <c r="V40" s="51">
        <v>2</v>
      </c>
      <c r="W40" s="51">
        <v>1.1666666666666663</v>
      </c>
      <c r="X40" s="51">
        <v>0.99999999999999967</v>
      </c>
      <c r="Y40" s="50">
        <v>1</v>
      </c>
      <c r="Z40" s="51">
        <v>1</v>
      </c>
      <c r="AA40" s="38">
        <v>5</v>
      </c>
      <c r="AB40" s="420">
        <v>0.2</v>
      </c>
    </row>
    <row r="41" spans="1:28" s="49" customFormat="1" ht="15.75" thickBot="1">
      <c r="A41" s="45"/>
      <c r="B41" s="46" t="s">
        <v>225</v>
      </c>
      <c r="C41" s="71">
        <v>0</v>
      </c>
      <c r="D41" s="76">
        <v>0</v>
      </c>
      <c r="E41" s="77">
        <v>0</v>
      </c>
      <c r="F41" s="77">
        <v>0</v>
      </c>
      <c r="G41" s="77">
        <v>0</v>
      </c>
      <c r="H41" s="77">
        <v>0</v>
      </c>
      <c r="I41" s="77">
        <v>0</v>
      </c>
      <c r="J41" s="77">
        <v>0</v>
      </c>
      <c r="K41" s="77">
        <v>0</v>
      </c>
      <c r="L41" s="77">
        <v>0</v>
      </c>
      <c r="M41" s="77">
        <v>0</v>
      </c>
      <c r="N41" s="425">
        <v>0</v>
      </c>
      <c r="O41" s="426">
        <v>0</v>
      </c>
      <c r="P41" s="426">
        <v>0</v>
      </c>
      <c r="Q41" s="426">
        <v>1</v>
      </c>
      <c r="R41" s="77">
        <v>3</v>
      </c>
      <c r="S41" s="77">
        <v>4</v>
      </c>
      <c r="T41" s="77">
        <v>5</v>
      </c>
      <c r="U41" s="77">
        <v>6</v>
      </c>
      <c r="V41" s="78">
        <v>1</v>
      </c>
      <c r="W41" s="72">
        <v>1</v>
      </c>
      <c r="X41" s="70">
        <v>1</v>
      </c>
      <c r="Y41" s="70">
        <v>0</v>
      </c>
      <c r="Z41" s="70">
        <v>0</v>
      </c>
      <c r="AB41" s="421"/>
    </row>
    <row r="42" spans="1:28" s="49" customFormat="1">
      <c r="A42" s="45"/>
      <c r="B42" s="46"/>
      <c r="C42" s="48"/>
      <c r="D42" s="83"/>
      <c r="E42" s="83"/>
      <c r="F42" s="83"/>
      <c r="G42" s="83"/>
      <c r="H42" s="83"/>
      <c r="I42" s="83"/>
      <c r="J42" s="83"/>
      <c r="K42" s="83"/>
      <c r="L42" s="48"/>
      <c r="M42" s="48"/>
      <c r="N42" s="48"/>
      <c r="O42" s="48"/>
      <c r="P42" s="48"/>
      <c r="Q42" s="48"/>
      <c r="R42" s="48"/>
      <c r="S42" s="48"/>
      <c r="T42" s="48"/>
      <c r="U42" s="48"/>
      <c r="V42" s="48"/>
      <c r="W42" s="48"/>
      <c r="X42" s="48"/>
      <c r="Y42" s="48"/>
      <c r="Z42" s="48"/>
      <c r="AB42" s="421"/>
    </row>
    <row r="43" spans="1:28" ht="15.75" thickBot="1">
      <c r="A43" s="41" t="s">
        <v>16</v>
      </c>
      <c r="B43" s="42" t="s">
        <v>139</v>
      </c>
      <c r="C43" s="43">
        <v>1</v>
      </c>
      <c r="D43" s="81">
        <v>1.3333333333333333</v>
      </c>
      <c r="E43" s="81">
        <v>1.6666666666666665</v>
      </c>
      <c r="F43" s="81">
        <v>1.9999999999999998</v>
      </c>
      <c r="G43" s="81">
        <v>2.333333333333333</v>
      </c>
      <c r="H43" s="81">
        <v>2.6666666666666665</v>
      </c>
      <c r="I43" s="82">
        <v>3</v>
      </c>
      <c r="J43" s="81">
        <v>3</v>
      </c>
      <c r="K43" s="81">
        <v>3</v>
      </c>
      <c r="L43" s="44">
        <v>3</v>
      </c>
      <c r="M43" s="44">
        <v>3</v>
      </c>
      <c r="N43" s="43">
        <v>3</v>
      </c>
      <c r="O43" s="44">
        <v>3.25</v>
      </c>
      <c r="P43" s="44">
        <v>3.5</v>
      </c>
      <c r="Q43" s="44">
        <v>3.75</v>
      </c>
      <c r="R43" s="43">
        <v>4</v>
      </c>
      <c r="S43" s="44">
        <v>4.083333333333333</v>
      </c>
      <c r="T43" s="44">
        <v>4.1666666666666661</v>
      </c>
      <c r="U43" s="44">
        <v>4.2499999999999991</v>
      </c>
      <c r="V43" s="44">
        <v>4.3333333333333321</v>
      </c>
      <c r="W43" s="44">
        <v>4.4166666666666652</v>
      </c>
      <c r="X43" s="44">
        <v>4.4999999999999982</v>
      </c>
      <c r="Y43" s="43">
        <v>4.5</v>
      </c>
      <c r="Z43" s="44">
        <v>4.5</v>
      </c>
      <c r="AA43" s="38">
        <v>5</v>
      </c>
      <c r="AB43" s="420">
        <v>0.16</v>
      </c>
    </row>
    <row r="44" spans="1:28" s="49" customFormat="1" ht="15.75" thickBot="1">
      <c r="A44" s="45"/>
      <c r="B44" s="46" t="s">
        <v>140</v>
      </c>
      <c r="C44" s="79">
        <v>1</v>
      </c>
      <c r="D44" s="84">
        <v>1</v>
      </c>
      <c r="E44" s="85">
        <v>1</v>
      </c>
      <c r="F44" s="85">
        <v>1</v>
      </c>
      <c r="G44" s="85">
        <v>1</v>
      </c>
      <c r="H44" s="85">
        <v>1</v>
      </c>
      <c r="I44" s="85">
        <v>3</v>
      </c>
      <c r="J44" s="85">
        <v>3.2</v>
      </c>
      <c r="K44" s="85">
        <v>3.2</v>
      </c>
      <c r="L44" s="85">
        <v>2</v>
      </c>
      <c r="M44" s="85">
        <v>2.5</v>
      </c>
      <c r="N44" s="423">
        <v>3.1</v>
      </c>
      <c r="O44" s="424">
        <v>3.4</v>
      </c>
      <c r="P44" s="424">
        <v>3.7</v>
      </c>
      <c r="Q44" s="424">
        <v>3.9</v>
      </c>
      <c r="R44" s="85">
        <v>3.9</v>
      </c>
      <c r="S44" s="85">
        <v>4</v>
      </c>
      <c r="T44" s="85">
        <v>4</v>
      </c>
      <c r="U44" s="85">
        <v>4.3</v>
      </c>
      <c r="V44" s="86">
        <v>4.5</v>
      </c>
      <c r="W44" s="80">
        <v>4.5</v>
      </c>
      <c r="X44" s="69">
        <v>4.5999999999999996</v>
      </c>
      <c r="Y44" s="69">
        <v>0</v>
      </c>
      <c r="Z44" s="69">
        <v>0</v>
      </c>
      <c r="AB44" s="421"/>
    </row>
    <row r="45" spans="1:28" s="49" customFormat="1">
      <c r="A45" s="45"/>
      <c r="B45" s="46"/>
      <c r="C45" s="48"/>
      <c r="D45" s="83"/>
      <c r="E45" s="83"/>
      <c r="F45" s="83"/>
      <c r="G45" s="83"/>
      <c r="H45" s="83"/>
      <c r="I45" s="83"/>
      <c r="J45" s="83"/>
      <c r="K45" s="83"/>
      <c r="L45" s="48"/>
      <c r="M45" s="48"/>
      <c r="N45" s="48"/>
      <c r="O45" s="48"/>
      <c r="P45" s="48"/>
      <c r="Q45" s="48"/>
      <c r="R45" s="48"/>
      <c r="S45" s="48"/>
      <c r="T45" s="48"/>
      <c r="U45" s="48"/>
      <c r="V45" s="48"/>
      <c r="W45" s="48"/>
      <c r="X45" s="48"/>
      <c r="Y45" s="48"/>
      <c r="Z45" s="48"/>
      <c r="AB45" s="421"/>
    </row>
    <row r="46" spans="1:28" ht="15.75" thickBot="1">
      <c r="A46" s="41" t="s">
        <v>17</v>
      </c>
      <c r="B46" s="42" t="s">
        <v>139</v>
      </c>
      <c r="C46" s="43">
        <v>1</v>
      </c>
      <c r="D46" s="81">
        <v>1.1666666666666667</v>
      </c>
      <c r="E46" s="81">
        <v>1.3333333333333335</v>
      </c>
      <c r="F46" s="81">
        <v>1.5000000000000002</v>
      </c>
      <c r="G46" s="81">
        <v>1.666666666666667</v>
      </c>
      <c r="H46" s="81">
        <v>1.8333333333333337</v>
      </c>
      <c r="I46" s="82">
        <v>2</v>
      </c>
      <c r="J46" s="81">
        <v>2.1666666666666665</v>
      </c>
      <c r="K46" s="81">
        <v>2.333333333333333</v>
      </c>
      <c r="L46" s="44">
        <v>2.4999999999999996</v>
      </c>
      <c r="M46" s="44">
        <v>2.6666666666666661</v>
      </c>
      <c r="N46" s="43">
        <v>3</v>
      </c>
      <c r="O46" s="44">
        <v>3.125</v>
      </c>
      <c r="P46" s="44">
        <v>3.25</v>
      </c>
      <c r="Q46" s="44">
        <v>3.375</v>
      </c>
      <c r="R46" s="43">
        <v>3.5</v>
      </c>
      <c r="S46" s="44">
        <v>3.6666666666666665</v>
      </c>
      <c r="T46" s="44">
        <v>3.833333333333333</v>
      </c>
      <c r="U46" s="44">
        <v>3.9999999999999996</v>
      </c>
      <c r="V46" s="44">
        <v>4.1666666666666661</v>
      </c>
      <c r="W46" s="44">
        <v>4</v>
      </c>
      <c r="X46" s="44">
        <v>4.0999999999999996</v>
      </c>
      <c r="Y46" s="43">
        <v>4.0999999999999996</v>
      </c>
      <c r="Z46" s="44">
        <v>4.0999999999999996</v>
      </c>
      <c r="AA46" s="38">
        <v>5</v>
      </c>
      <c r="AB46" s="420">
        <v>0.16</v>
      </c>
    </row>
    <row r="47" spans="1:28" s="49" customFormat="1" ht="15.75" thickBot="1">
      <c r="A47" s="45"/>
      <c r="B47" s="46" t="s">
        <v>140</v>
      </c>
      <c r="C47" s="79">
        <v>1</v>
      </c>
      <c r="D47" s="84">
        <v>1</v>
      </c>
      <c r="E47" s="85">
        <v>1</v>
      </c>
      <c r="F47" s="85">
        <v>1</v>
      </c>
      <c r="G47" s="85">
        <v>1</v>
      </c>
      <c r="H47" s="85">
        <v>1</v>
      </c>
      <c r="I47" s="85">
        <v>2</v>
      </c>
      <c r="J47" s="85">
        <v>2.2000000000000002</v>
      </c>
      <c r="K47" s="85">
        <v>2.2000000000000002</v>
      </c>
      <c r="L47" s="85">
        <v>2</v>
      </c>
      <c r="M47" s="85">
        <v>2.5</v>
      </c>
      <c r="N47" s="423">
        <v>2.9</v>
      </c>
      <c r="O47" s="424">
        <v>3.1</v>
      </c>
      <c r="P47" s="424">
        <v>3.8</v>
      </c>
      <c r="Q47" s="424">
        <v>3.9</v>
      </c>
      <c r="R47" s="85">
        <v>2.7</v>
      </c>
      <c r="S47" s="85">
        <v>3.8</v>
      </c>
      <c r="T47" s="85">
        <v>4.0999999999999996</v>
      </c>
      <c r="U47" s="85">
        <v>4.0999999999999996</v>
      </c>
      <c r="V47" s="86">
        <v>4.0999999999999996</v>
      </c>
      <c r="W47" s="80">
        <v>4.2</v>
      </c>
      <c r="X47" s="69">
        <v>4.2</v>
      </c>
      <c r="Y47" s="69">
        <v>0</v>
      </c>
      <c r="Z47" s="69">
        <v>0</v>
      </c>
      <c r="AB47" s="421"/>
    </row>
    <row r="48" spans="1:28" s="49" customFormat="1">
      <c r="A48" s="45"/>
      <c r="B48" s="46"/>
      <c r="C48" s="48"/>
      <c r="D48" s="83"/>
      <c r="E48" s="83"/>
      <c r="F48" s="83"/>
      <c r="G48" s="83"/>
      <c r="H48" s="83"/>
      <c r="I48" s="83"/>
      <c r="J48" s="83"/>
      <c r="K48" s="83"/>
      <c r="L48" s="48"/>
      <c r="M48" s="48"/>
      <c r="N48" s="48"/>
      <c r="O48" s="48"/>
      <c r="P48" s="48"/>
      <c r="Q48" s="48"/>
      <c r="R48" s="48"/>
      <c r="S48" s="48"/>
      <c r="T48" s="48"/>
      <c r="U48" s="48"/>
      <c r="V48" s="48"/>
      <c r="W48" s="48"/>
      <c r="X48" s="48"/>
      <c r="Y48" s="48"/>
      <c r="Z48" s="48"/>
      <c r="AB48" s="421"/>
    </row>
    <row r="49" spans="1:28" ht="15.75" thickBot="1">
      <c r="A49" s="41" t="s">
        <v>18</v>
      </c>
      <c r="B49" s="42" t="s">
        <v>139</v>
      </c>
      <c r="C49" s="50">
        <v>0</v>
      </c>
      <c r="D49" s="73">
        <v>0</v>
      </c>
      <c r="E49" s="73">
        <v>0</v>
      </c>
      <c r="F49" s="73">
        <v>0</v>
      </c>
      <c r="G49" s="73">
        <v>0</v>
      </c>
      <c r="H49" s="73">
        <v>0</v>
      </c>
      <c r="I49" s="74">
        <v>0</v>
      </c>
      <c r="J49" s="73">
        <v>0.16666666666666666</v>
      </c>
      <c r="K49" s="73">
        <v>0.33333333333333331</v>
      </c>
      <c r="L49" s="51">
        <v>0.5</v>
      </c>
      <c r="M49" s="51">
        <v>0.66666666666666663</v>
      </c>
      <c r="N49" s="50">
        <v>1</v>
      </c>
      <c r="O49" s="51">
        <v>1.5</v>
      </c>
      <c r="P49" s="51">
        <v>2</v>
      </c>
      <c r="Q49" s="51">
        <v>2.5</v>
      </c>
      <c r="R49" s="50">
        <v>3</v>
      </c>
      <c r="S49" s="51">
        <v>3.3333333333333335</v>
      </c>
      <c r="T49" s="51">
        <v>3.666666666666667</v>
      </c>
      <c r="U49" s="51">
        <v>4</v>
      </c>
      <c r="V49" s="51">
        <v>4.333333333333333</v>
      </c>
      <c r="W49" s="51">
        <v>8.8333333333333339</v>
      </c>
      <c r="X49" s="51">
        <v>10</v>
      </c>
      <c r="Y49" s="50">
        <v>10</v>
      </c>
      <c r="Z49" s="51">
        <v>10</v>
      </c>
      <c r="AA49" s="38">
        <v>10</v>
      </c>
      <c r="AB49" s="420">
        <v>0.4</v>
      </c>
    </row>
    <row r="50" spans="1:28" s="49" customFormat="1" ht="15.75" thickBot="1">
      <c r="A50" s="45"/>
      <c r="B50" s="46" t="s">
        <v>140</v>
      </c>
      <c r="C50" s="71">
        <v>0</v>
      </c>
      <c r="D50" s="76">
        <v>0</v>
      </c>
      <c r="E50" s="77">
        <v>0</v>
      </c>
      <c r="F50" s="77">
        <v>0</v>
      </c>
      <c r="G50" s="77">
        <v>0</v>
      </c>
      <c r="H50" s="77">
        <v>0</v>
      </c>
      <c r="I50" s="77">
        <v>0</v>
      </c>
      <c r="J50" s="77">
        <v>0</v>
      </c>
      <c r="K50" s="77">
        <v>0</v>
      </c>
      <c r="L50" s="77">
        <v>1</v>
      </c>
      <c r="M50" s="77">
        <v>1</v>
      </c>
      <c r="N50" s="425">
        <v>1</v>
      </c>
      <c r="O50" s="426">
        <v>3</v>
      </c>
      <c r="P50" s="426">
        <v>3</v>
      </c>
      <c r="Q50" s="426">
        <v>3</v>
      </c>
      <c r="R50" s="85">
        <v>6</v>
      </c>
      <c r="S50" s="85">
        <v>7</v>
      </c>
      <c r="T50" s="85">
        <v>7</v>
      </c>
      <c r="U50" s="85">
        <v>7</v>
      </c>
      <c r="V50" s="86">
        <v>10</v>
      </c>
      <c r="W50" s="80">
        <v>10</v>
      </c>
      <c r="X50" s="69">
        <v>10</v>
      </c>
      <c r="Y50" s="69">
        <v>0</v>
      </c>
      <c r="Z50" s="69">
        <v>0</v>
      </c>
      <c r="AB50" s="421"/>
    </row>
    <row r="51" spans="1:28" s="49" customFormat="1">
      <c r="A51" s="45"/>
      <c r="B51" s="46"/>
      <c r="C51" s="48"/>
      <c r="D51" s="83"/>
      <c r="E51" s="83"/>
      <c r="F51" s="83"/>
      <c r="G51" s="83"/>
      <c r="H51" s="83"/>
      <c r="I51" s="83"/>
      <c r="J51" s="83"/>
      <c r="K51" s="83"/>
      <c r="L51" s="48"/>
      <c r="M51" s="48"/>
      <c r="N51" s="48"/>
      <c r="O51" s="48"/>
      <c r="P51" s="48"/>
      <c r="Q51" s="48"/>
      <c r="R51" s="48"/>
      <c r="S51" s="48"/>
      <c r="T51" s="48"/>
      <c r="U51" s="48"/>
      <c r="V51" s="48"/>
      <c r="W51" s="48"/>
      <c r="X51" s="48"/>
      <c r="Y51" s="48"/>
      <c r="Z51" s="48"/>
      <c r="AB51" s="421"/>
    </row>
    <row r="52" spans="1:28" ht="15.75" thickBot="1">
      <c r="A52" s="41" t="s">
        <v>19</v>
      </c>
      <c r="B52" s="42" t="s">
        <v>139</v>
      </c>
      <c r="C52" s="43">
        <v>1</v>
      </c>
      <c r="D52" s="81">
        <v>1.1666666666666667</v>
      </c>
      <c r="E52" s="81">
        <v>1.3333333333333335</v>
      </c>
      <c r="F52" s="81">
        <v>1.5000000000000002</v>
      </c>
      <c r="G52" s="81">
        <v>1.666666666666667</v>
      </c>
      <c r="H52" s="81">
        <v>1.8333333333333337</v>
      </c>
      <c r="I52" s="82">
        <v>2</v>
      </c>
      <c r="J52" s="81">
        <v>2.1666666666666665</v>
      </c>
      <c r="K52" s="81">
        <v>2.333333333333333</v>
      </c>
      <c r="L52" s="44">
        <v>2.4999999999999996</v>
      </c>
      <c r="M52" s="44">
        <v>2.6666666666666661</v>
      </c>
      <c r="N52" s="43">
        <v>3</v>
      </c>
      <c r="O52" s="44">
        <v>3.125</v>
      </c>
      <c r="P52" s="44">
        <v>3.25</v>
      </c>
      <c r="Q52" s="44">
        <v>3.375</v>
      </c>
      <c r="R52" s="43">
        <v>3.5</v>
      </c>
      <c r="S52" s="44">
        <v>3.6666666666666665</v>
      </c>
      <c r="T52" s="44">
        <v>3.833333333333333</v>
      </c>
      <c r="U52" s="44">
        <v>3.9999999999999996</v>
      </c>
      <c r="V52" s="44">
        <v>4.1666666666666661</v>
      </c>
      <c r="W52" s="44">
        <v>4</v>
      </c>
      <c r="X52" s="44">
        <v>4.0999999999999996</v>
      </c>
      <c r="Y52" s="43">
        <v>4.0999999999999996</v>
      </c>
      <c r="Z52" s="44">
        <v>4.0999999999999996</v>
      </c>
      <c r="AA52" s="38">
        <v>5</v>
      </c>
      <c r="AB52" s="420">
        <v>0.16</v>
      </c>
    </row>
    <row r="53" spans="1:28" s="49" customFormat="1" ht="15.75" thickBot="1">
      <c r="A53" s="45"/>
      <c r="B53" s="46" t="s">
        <v>140</v>
      </c>
      <c r="C53" s="79">
        <v>1</v>
      </c>
      <c r="D53" s="84">
        <v>1</v>
      </c>
      <c r="E53" s="85">
        <v>1</v>
      </c>
      <c r="F53" s="85">
        <v>1</v>
      </c>
      <c r="G53" s="85">
        <v>1</v>
      </c>
      <c r="H53" s="85">
        <v>1</v>
      </c>
      <c r="I53" s="85">
        <v>1</v>
      </c>
      <c r="J53" s="85">
        <v>2.2000000000000002</v>
      </c>
      <c r="K53" s="85">
        <v>2.2000000000000002</v>
      </c>
      <c r="L53" s="85">
        <v>2</v>
      </c>
      <c r="M53" s="85">
        <v>2</v>
      </c>
      <c r="N53" s="423">
        <v>2.9</v>
      </c>
      <c r="O53" s="424">
        <v>3</v>
      </c>
      <c r="P53" s="424">
        <v>3.5</v>
      </c>
      <c r="Q53" s="424">
        <v>3.6</v>
      </c>
      <c r="R53" s="85">
        <v>3.1</v>
      </c>
      <c r="S53" s="85">
        <v>3.7</v>
      </c>
      <c r="T53" s="85">
        <v>4</v>
      </c>
      <c r="U53" s="85">
        <v>4.0999999999999996</v>
      </c>
      <c r="V53" s="86">
        <v>4.0999999999999996</v>
      </c>
      <c r="W53" s="80">
        <v>4.0999999999999996</v>
      </c>
      <c r="X53" s="69">
        <v>4.0999999999999996</v>
      </c>
      <c r="Y53" s="69">
        <v>0</v>
      </c>
      <c r="Z53" s="69">
        <v>0</v>
      </c>
      <c r="AB53" s="421"/>
    </row>
    <row r="54" spans="1:28" s="49" customFormat="1">
      <c r="A54" s="45"/>
      <c r="B54" s="46"/>
      <c r="C54" s="48"/>
      <c r="D54" s="83"/>
      <c r="E54" s="83"/>
      <c r="F54" s="83"/>
      <c r="G54" s="83"/>
      <c r="H54" s="83"/>
      <c r="I54" s="83"/>
      <c r="J54" s="83"/>
      <c r="K54" s="83"/>
      <c r="L54" s="48"/>
      <c r="M54" s="48"/>
      <c r="N54" s="48"/>
      <c r="O54" s="48"/>
      <c r="P54" s="48"/>
      <c r="Q54" s="48"/>
      <c r="R54" s="48"/>
      <c r="S54" s="48"/>
      <c r="T54" s="48"/>
      <c r="U54" s="48"/>
      <c r="V54" s="48"/>
      <c r="W54" s="48"/>
      <c r="X54" s="48"/>
      <c r="Y54" s="48"/>
      <c r="Z54" s="48"/>
      <c r="AB54" s="421"/>
    </row>
    <row r="55" spans="1:28" ht="15.75" thickBot="1">
      <c r="A55" s="41" t="s">
        <v>20</v>
      </c>
      <c r="B55" s="42" t="s">
        <v>139</v>
      </c>
      <c r="C55" s="43">
        <v>1</v>
      </c>
      <c r="D55" s="81">
        <v>1.1666666666666667</v>
      </c>
      <c r="E55" s="81">
        <v>1.3333333333333335</v>
      </c>
      <c r="F55" s="81">
        <v>1.5000000000000002</v>
      </c>
      <c r="G55" s="81">
        <v>1.666666666666667</v>
      </c>
      <c r="H55" s="81">
        <v>1.8333333333333337</v>
      </c>
      <c r="I55" s="82">
        <v>2</v>
      </c>
      <c r="J55" s="81">
        <v>2.1666666666666665</v>
      </c>
      <c r="K55" s="81">
        <v>2.333333333333333</v>
      </c>
      <c r="L55" s="44">
        <v>2.4999999999999996</v>
      </c>
      <c r="M55" s="44">
        <v>2.6666666666666661</v>
      </c>
      <c r="N55" s="43">
        <v>3</v>
      </c>
      <c r="O55" s="44">
        <v>3.125</v>
      </c>
      <c r="P55" s="44">
        <v>3.25</v>
      </c>
      <c r="Q55" s="44">
        <v>3.375</v>
      </c>
      <c r="R55" s="43">
        <v>3.5</v>
      </c>
      <c r="S55" s="44">
        <v>3.6666666666666665</v>
      </c>
      <c r="T55" s="44">
        <v>3.833333333333333</v>
      </c>
      <c r="U55" s="44">
        <v>3.9999999999999996</v>
      </c>
      <c r="V55" s="44">
        <v>4.1666666666666661</v>
      </c>
      <c r="W55" s="44">
        <v>4.1666666666666661</v>
      </c>
      <c r="X55" s="44">
        <v>4.2999999999999989</v>
      </c>
      <c r="Y55" s="43">
        <v>4.3</v>
      </c>
      <c r="Z55" s="44">
        <v>4.3</v>
      </c>
      <c r="AA55" s="38">
        <v>5</v>
      </c>
      <c r="AB55" s="420">
        <v>0.16</v>
      </c>
    </row>
    <row r="56" spans="1:28" s="49" customFormat="1" ht="15.75" thickBot="1">
      <c r="A56" s="45"/>
      <c r="B56" s="46" t="s">
        <v>140</v>
      </c>
      <c r="C56" s="79">
        <v>1</v>
      </c>
      <c r="D56" s="84">
        <v>1</v>
      </c>
      <c r="E56" s="85">
        <v>1</v>
      </c>
      <c r="F56" s="85">
        <v>1</v>
      </c>
      <c r="G56" s="85">
        <v>1</v>
      </c>
      <c r="H56" s="85">
        <v>1</v>
      </c>
      <c r="I56" s="85">
        <v>1</v>
      </c>
      <c r="J56" s="85">
        <v>1.5</v>
      </c>
      <c r="K56" s="85">
        <v>1.5</v>
      </c>
      <c r="L56" s="85">
        <v>2</v>
      </c>
      <c r="M56" s="85">
        <v>2.5</v>
      </c>
      <c r="N56" s="423">
        <v>2.9</v>
      </c>
      <c r="O56" s="424">
        <v>2.9</v>
      </c>
      <c r="P56" s="424">
        <v>3.5</v>
      </c>
      <c r="Q56" s="424">
        <v>3.9</v>
      </c>
      <c r="R56" s="85">
        <v>3.5</v>
      </c>
      <c r="S56" s="85">
        <v>3.5</v>
      </c>
      <c r="T56" s="85">
        <v>3.6</v>
      </c>
      <c r="U56" s="85">
        <v>3.7</v>
      </c>
      <c r="V56" s="86">
        <v>4.2</v>
      </c>
      <c r="W56" s="80">
        <v>4.2</v>
      </c>
      <c r="X56" s="69">
        <v>4.0999999999999996</v>
      </c>
      <c r="Y56" s="69">
        <v>0</v>
      </c>
      <c r="Z56" s="69">
        <v>0</v>
      </c>
      <c r="AB56" s="421"/>
    </row>
    <row r="57" spans="1:28" s="49" customFormat="1">
      <c r="A57" s="45"/>
      <c r="B57" s="46"/>
      <c r="C57" s="48"/>
      <c r="D57" s="83"/>
      <c r="E57" s="83"/>
      <c r="F57" s="83"/>
      <c r="G57" s="83"/>
      <c r="H57" s="83"/>
      <c r="I57" s="83"/>
      <c r="J57" s="83"/>
      <c r="K57" s="83"/>
      <c r="L57" s="48"/>
      <c r="M57" s="48"/>
      <c r="N57" s="48"/>
      <c r="O57" s="48"/>
      <c r="P57" s="48"/>
      <c r="Q57" s="48"/>
      <c r="R57" s="48"/>
      <c r="S57" s="48"/>
      <c r="T57" s="48"/>
      <c r="U57" s="48"/>
      <c r="V57" s="48"/>
      <c r="W57" s="48"/>
      <c r="X57" s="48"/>
      <c r="Y57" s="48"/>
      <c r="Z57" s="48"/>
      <c r="AB57" s="421"/>
    </row>
    <row r="58" spans="1:28" ht="15.75" thickBot="1">
      <c r="A58" s="41" t="s">
        <v>21</v>
      </c>
      <c r="B58" s="42" t="s">
        <v>139</v>
      </c>
      <c r="C58" s="50">
        <v>0</v>
      </c>
      <c r="D58" s="73">
        <v>0.16666666666666666</v>
      </c>
      <c r="E58" s="73">
        <v>0.33333333333333331</v>
      </c>
      <c r="F58" s="73">
        <v>0.5</v>
      </c>
      <c r="G58" s="73">
        <v>0.66666666666666663</v>
      </c>
      <c r="H58" s="73">
        <v>0.83333333333333326</v>
      </c>
      <c r="I58" s="74">
        <v>1</v>
      </c>
      <c r="J58" s="73">
        <v>1.1666666666666667</v>
      </c>
      <c r="K58" s="73">
        <v>1.3333333333333335</v>
      </c>
      <c r="L58" s="51">
        <v>1.5000000000000002</v>
      </c>
      <c r="M58" s="51">
        <v>1.666666666666667</v>
      </c>
      <c r="N58" s="50">
        <v>2</v>
      </c>
      <c r="O58" s="51">
        <v>2.25</v>
      </c>
      <c r="P58" s="51">
        <v>2.5</v>
      </c>
      <c r="Q58" s="51">
        <v>2.75</v>
      </c>
      <c r="R58" s="50">
        <v>3</v>
      </c>
      <c r="S58" s="51">
        <v>3.3333333333333335</v>
      </c>
      <c r="T58" s="51">
        <v>3.666666666666667</v>
      </c>
      <c r="U58" s="51">
        <v>4</v>
      </c>
      <c r="V58" s="51">
        <v>4.333333333333333</v>
      </c>
      <c r="W58" s="51">
        <v>10.5</v>
      </c>
      <c r="X58" s="51">
        <v>12</v>
      </c>
      <c r="Y58" s="50">
        <v>12</v>
      </c>
      <c r="Z58" s="51">
        <v>12</v>
      </c>
      <c r="AA58" s="38">
        <v>10</v>
      </c>
      <c r="AB58" s="420">
        <v>0.4</v>
      </c>
    </row>
    <row r="59" spans="1:28" s="49" customFormat="1" ht="15.75" thickBot="1">
      <c r="A59" s="45"/>
      <c r="B59" s="46" t="s">
        <v>140</v>
      </c>
      <c r="C59" s="71">
        <v>0</v>
      </c>
      <c r="D59" s="76">
        <v>0</v>
      </c>
      <c r="E59" s="77">
        <v>0</v>
      </c>
      <c r="F59" s="77">
        <v>0</v>
      </c>
      <c r="G59" s="77">
        <v>0</v>
      </c>
      <c r="H59" s="77">
        <v>0</v>
      </c>
      <c r="I59" s="77">
        <v>0</v>
      </c>
      <c r="J59" s="77">
        <v>0</v>
      </c>
      <c r="K59" s="77">
        <v>0</v>
      </c>
      <c r="L59" s="77">
        <v>2</v>
      </c>
      <c r="M59" s="77">
        <v>2</v>
      </c>
      <c r="N59" s="425">
        <v>2</v>
      </c>
      <c r="O59" s="426">
        <v>2</v>
      </c>
      <c r="P59" s="426">
        <v>2</v>
      </c>
      <c r="Q59" s="426">
        <v>2</v>
      </c>
      <c r="R59" s="77">
        <v>7</v>
      </c>
      <c r="S59" s="77">
        <v>8</v>
      </c>
      <c r="T59" s="77">
        <v>8</v>
      </c>
      <c r="U59" s="77">
        <v>11</v>
      </c>
      <c r="V59" s="78">
        <v>12</v>
      </c>
      <c r="W59" s="72">
        <v>12</v>
      </c>
      <c r="X59" s="70">
        <v>13</v>
      </c>
      <c r="Y59" s="70">
        <v>0</v>
      </c>
      <c r="Z59" s="70">
        <v>0</v>
      </c>
      <c r="AB59" s="421"/>
    </row>
    <row r="60" spans="1:28" s="49" customFormat="1">
      <c r="A60" s="45"/>
      <c r="B60" s="46"/>
      <c r="C60" s="53"/>
      <c r="D60" s="83"/>
      <c r="E60" s="83"/>
      <c r="F60" s="83"/>
      <c r="G60" s="83"/>
      <c r="H60" s="83"/>
      <c r="I60" s="83"/>
      <c r="J60" s="83"/>
      <c r="K60" s="83"/>
      <c r="L60" s="53"/>
      <c r="M60" s="53"/>
      <c r="N60" s="53"/>
      <c r="O60" s="53"/>
      <c r="P60" s="53"/>
      <c r="Q60" s="53"/>
      <c r="R60" s="53"/>
      <c r="S60" s="53"/>
      <c r="T60" s="53"/>
      <c r="U60" s="53"/>
      <c r="V60" s="53"/>
      <c r="W60" s="53"/>
      <c r="X60" s="53"/>
      <c r="Y60" s="53"/>
      <c r="Z60" s="53"/>
      <c r="AB60" s="421"/>
    </row>
    <row r="61" spans="1:28" ht="15.75" thickBot="1">
      <c r="A61" s="41" t="s">
        <v>166</v>
      </c>
      <c r="B61" s="42" t="s">
        <v>202</v>
      </c>
      <c r="C61" s="50">
        <v>0</v>
      </c>
      <c r="D61" s="73">
        <v>0.5</v>
      </c>
      <c r="E61" s="73">
        <v>1</v>
      </c>
      <c r="F61" s="73">
        <v>1.5</v>
      </c>
      <c r="G61" s="73">
        <v>2</v>
      </c>
      <c r="H61" s="73">
        <v>2.5</v>
      </c>
      <c r="I61" s="74">
        <v>3</v>
      </c>
      <c r="J61" s="73">
        <v>3.3333333333333335</v>
      </c>
      <c r="K61" s="73">
        <v>3.666666666666667</v>
      </c>
      <c r="L61" s="51">
        <v>4</v>
      </c>
      <c r="M61" s="51">
        <v>4.333333333333333</v>
      </c>
      <c r="N61" s="50">
        <v>5</v>
      </c>
      <c r="O61" s="51">
        <v>5.25</v>
      </c>
      <c r="P61" s="51">
        <v>5.5</v>
      </c>
      <c r="Q61" s="51">
        <v>5.75</v>
      </c>
      <c r="R61" s="50">
        <v>6</v>
      </c>
      <c r="S61" s="51">
        <v>6.5</v>
      </c>
      <c r="T61" s="51">
        <v>7</v>
      </c>
      <c r="U61" s="51">
        <v>7.5</v>
      </c>
      <c r="V61" s="51">
        <v>8</v>
      </c>
      <c r="W61" s="51">
        <v>6.8333333333333348</v>
      </c>
      <c r="X61" s="51">
        <v>7.0000000000000018</v>
      </c>
      <c r="Y61" s="50">
        <v>7</v>
      </c>
      <c r="Z61" s="51">
        <v>7</v>
      </c>
      <c r="AA61" s="38">
        <v>20</v>
      </c>
      <c r="AB61" s="420">
        <v>0.8</v>
      </c>
    </row>
    <row r="62" spans="1:28" s="49" customFormat="1" ht="15.75" thickBot="1">
      <c r="A62" s="45"/>
      <c r="B62" s="46" t="s">
        <v>203</v>
      </c>
      <c r="C62" s="71">
        <v>0</v>
      </c>
      <c r="D62" s="76">
        <v>0</v>
      </c>
      <c r="E62" s="77">
        <v>0</v>
      </c>
      <c r="F62" s="77">
        <v>0</v>
      </c>
      <c r="G62" s="77">
        <v>0</v>
      </c>
      <c r="H62" s="77">
        <v>0</v>
      </c>
      <c r="I62" s="77">
        <v>3</v>
      </c>
      <c r="J62" s="77">
        <v>3</v>
      </c>
      <c r="K62" s="77">
        <v>3</v>
      </c>
      <c r="L62" s="77">
        <v>2</v>
      </c>
      <c r="M62" s="77">
        <v>3</v>
      </c>
      <c r="N62" s="425">
        <v>5</v>
      </c>
      <c r="O62" s="426">
        <v>5</v>
      </c>
      <c r="P62" s="426">
        <v>6</v>
      </c>
      <c r="Q62" s="426">
        <v>7</v>
      </c>
      <c r="R62" s="77">
        <v>7</v>
      </c>
      <c r="S62" s="77">
        <v>8</v>
      </c>
      <c r="T62" s="77">
        <v>9</v>
      </c>
      <c r="U62" s="77">
        <v>9</v>
      </c>
      <c r="V62" s="78">
        <v>7</v>
      </c>
      <c r="W62" s="72">
        <v>7</v>
      </c>
      <c r="X62" s="70">
        <v>8</v>
      </c>
      <c r="Y62" s="70">
        <v>0</v>
      </c>
      <c r="Z62" s="70">
        <v>0</v>
      </c>
      <c r="AB62" s="421"/>
    </row>
    <row r="63" spans="1:28" s="49" customFormat="1">
      <c r="A63" s="45"/>
      <c r="B63" s="46"/>
      <c r="C63" s="53"/>
      <c r="D63" s="427"/>
      <c r="E63" s="427"/>
      <c r="F63" s="427"/>
      <c r="G63" s="75"/>
      <c r="H63" s="75"/>
      <c r="I63" s="75"/>
      <c r="J63" s="75"/>
      <c r="K63" s="75"/>
      <c r="L63" s="53"/>
      <c r="M63" s="53"/>
      <c r="N63" s="53"/>
      <c r="O63" s="53"/>
      <c r="P63" s="53"/>
      <c r="Q63" s="53"/>
      <c r="R63" s="53"/>
      <c r="S63" s="53"/>
      <c r="T63" s="53"/>
      <c r="U63" s="53"/>
      <c r="V63" s="53"/>
      <c r="W63" s="53"/>
      <c r="X63" s="53"/>
      <c r="Y63" s="53"/>
      <c r="Z63" s="53"/>
      <c r="AB63" s="421"/>
    </row>
    <row r="64" spans="1:28" ht="15.75" thickBot="1">
      <c r="A64" s="41" t="s">
        <v>167</v>
      </c>
      <c r="B64" s="42" t="s">
        <v>213</v>
      </c>
      <c r="C64" s="50">
        <v>0</v>
      </c>
      <c r="D64" s="73">
        <v>0.33333333333333331</v>
      </c>
      <c r="E64" s="73">
        <v>0.66666666666666663</v>
      </c>
      <c r="F64" s="73">
        <v>1</v>
      </c>
      <c r="G64" s="73">
        <v>1.3333333333333333</v>
      </c>
      <c r="H64" s="73">
        <v>1.6666666666666665</v>
      </c>
      <c r="I64" s="74">
        <v>2</v>
      </c>
      <c r="J64" s="73">
        <v>2.3333333333333335</v>
      </c>
      <c r="K64" s="73">
        <v>2.666666666666667</v>
      </c>
      <c r="L64" s="51">
        <v>3.0000000000000004</v>
      </c>
      <c r="M64" s="51">
        <v>3.3333333333333339</v>
      </c>
      <c r="N64" s="50">
        <v>4</v>
      </c>
      <c r="O64" s="51">
        <v>4.25</v>
      </c>
      <c r="P64" s="51">
        <v>4.5</v>
      </c>
      <c r="Q64" s="51">
        <v>4.75</v>
      </c>
      <c r="R64" s="50">
        <v>5</v>
      </c>
      <c r="S64" s="51">
        <v>5.333333333333333</v>
      </c>
      <c r="T64" s="51">
        <v>5.6666666666666661</v>
      </c>
      <c r="U64" s="51">
        <v>5.9999999999999991</v>
      </c>
      <c r="V64" s="51">
        <v>6.3333333333333321</v>
      </c>
      <c r="W64" s="51">
        <v>6.6666666666666652</v>
      </c>
      <c r="X64" s="51">
        <v>6.9999999999999982</v>
      </c>
      <c r="Y64" s="50">
        <v>7</v>
      </c>
      <c r="Z64" s="51">
        <v>7</v>
      </c>
      <c r="AA64" s="38">
        <v>20</v>
      </c>
      <c r="AB64" s="420">
        <v>0.8</v>
      </c>
    </row>
    <row r="65" spans="1:28" s="49" customFormat="1" ht="15.75" thickBot="1">
      <c r="A65" s="45"/>
      <c r="B65" s="46" t="s">
        <v>212</v>
      </c>
      <c r="C65" s="71">
        <v>0</v>
      </c>
      <c r="D65" s="76">
        <v>0</v>
      </c>
      <c r="E65" s="77">
        <v>0</v>
      </c>
      <c r="F65" s="77">
        <v>0</v>
      </c>
      <c r="G65" s="77">
        <v>0</v>
      </c>
      <c r="H65" s="77">
        <v>0</v>
      </c>
      <c r="I65" s="77">
        <v>1</v>
      </c>
      <c r="J65" s="77">
        <v>2</v>
      </c>
      <c r="K65" s="77">
        <v>3</v>
      </c>
      <c r="L65" s="77">
        <v>2</v>
      </c>
      <c r="M65" s="77">
        <v>2</v>
      </c>
      <c r="N65" s="425">
        <v>5</v>
      </c>
      <c r="O65" s="426">
        <v>5</v>
      </c>
      <c r="P65" s="426">
        <v>6</v>
      </c>
      <c r="Q65" s="426">
        <v>6</v>
      </c>
      <c r="R65" s="77">
        <v>5</v>
      </c>
      <c r="S65" s="77">
        <v>7</v>
      </c>
      <c r="T65" s="77">
        <v>8</v>
      </c>
      <c r="U65" s="77">
        <v>8</v>
      </c>
      <c r="V65" s="78">
        <v>7</v>
      </c>
      <c r="W65" s="72">
        <v>7</v>
      </c>
      <c r="X65" s="70">
        <v>8</v>
      </c>
      <c r="Y65" s="70">
        <v>0</v>
      </c>
      <c r="Z65" s="70">
        <v>0</v>
      </c>
      <c r="AB65" s="421"/>
    </row>
    <row r="66" spans="1:28" s="49" customFormat="1">
      <c r="A66" s="45"/>
      <c r="B66" s="46"/>
      <c r="C66" s="53"/>
      <c r="D66" s="427"/>
      <c r="E66" s="427"/>
      <c r="F66" s="427"/>
      <c r="G66" s="75"/>
      <c r="H66" s="75"/>
      <c r="I66" s="75"/>
      <c r="J66" s="75"/>
      <c r="K66" s="75"/>
      <c r="L66" s="53"/>
      <c r="M66" s="53"/>
      <c r="N66" s="53"/>
      <c r="O66" s="53"/>
      <c r="P66" s="53"/>
      <c r="Q66" s="53"/>
      <c r="R66" s="53"/>
      <c r="S66" s="53"/>
      <c r="T66" s="53"/>
      <c r="U66" s="53"/>
      <c r="V66" s="53"/>
      <c r="W66" s="53"/>
      <c r="X66" s="53"/>
      <c r="Y66" s="53"/>
      <c r="Z66" s="53"/>
      <c r="AB66" s="421"/>
    </row>
    <row r="67" spans="1:28" ht="15.75" thickBot="1">
      <c r="A67" s="41" t="s">
        <v>168</v>
      </c>
      <c r="B67" s="42" t="s">
        <v>211</v>
      </c>
      <c r="C67" s="50">
        <v>0</v>
      </c>
      <c r="D67" s="73">
        <v>0.16666666666666666</v>
      </c>
      <c r="E67" s="73">
        <v>0.33333333333333331</v>
      </c>
      <c r="F67" s="73">
        <v>0.5</v>
      </c>
      <c r="G67" s="73">
        <v>0.66666666666666663</v>
      </c>
      <c r="H67" s="73">
        <v>0.83333333333333326</v>
      </c>
      <c r="I67" s="74">
        <v>1</v>
      </c>
      <c r="J67" s="73">
        <v>1.3333333333333333</v>
      </c>
      <c r="K67" s="73">
        <v>1.6666666666666665</v>
      </c>
      <c r="L67" s="51">
        <v>1.9999999999999998</v>
      </c>
      <c r="M67" s="51">
        <v>2.333333333333333</v>
      </c>
      <c r="N67" s="50">
        <v>3</v>
      </c>
      <c r="O67" s="51">
        <v>3.25</v>
      </c>
      <c r="P67" s="51">
        <v>3.5</v>
      </c>
      <c r="Q67" s="51">
        <v>3.75</v>
      </c>
      <c r="R67" s="50">
        <v>4</v>
      </c>
      <c r="S67" s="51">
        <v>4.166666666666667</v>
      </c>
      <c r="T67" s="51">
        <v>4.3333333333333339</v>
      </c>
      <c r="U67" s="51">
        <v>4.5000000000000009</v>
      </c>
      <c r="V67" s="51">
        <v>4.6666666666666679</v>
      </c>
      <c r="W67" s="51">
        <v>6.5</v>
      </c>
      <c r="X67" s="51">
        <v>7</v>
      </c>
      <c r="Y67" s="50">
        <v>7</v>
      </c>
      <c r="Z67" s="51">
        <v>7</v>
      </c>
      <c r="AA67" s="38">
        <v>20</v>
      </c>
      <c r="AB67" s="420">
        <v>0.8</v>
      </c>
    </row>
    <row r="68" spans="1:28" s="49" customFormat="1" ht="15.75" thickBot="1">
      <c r="A68" s="45"/>
      <c r="B68" s="46" t="s">
        <v>210</v>
      </c>
      <c r="C68" s="71">
        <v>0</v>
      </c>
      <c r="D68" s="76">
        <v>0</v>
      </c>
      <c r="E68" s="77">
        <v>0</v>
      </c>
      <c r="F68" s="77">
        <v>0</v>
      </c>
      <c r="G68" s="77">
        <v>0</v>
      </c>
      <c r="H68" s="77">
        <v>0</v>
      </c>
      <c r="I68" s="77">
        <v>1</v>
      </c>
      <c r="J68" s="77">
        <v>1</v>
      </c>
      <c r="K68" s="77">
        <v>2</v>
      </c>
      <c r="L68" s="77">
        <v>2</v>
      </c>
      <c r="M68" s="77">
        <v>2</v>
      </c>
      <c r="N68" s="425">
        <v>3</v>
      </c>
      <c r="O68" s="426">
        <v>3</v>
      </c>
      <c r="P68" s="426">
        <v>4</v>
      </c>
      <c r="Q68" s="426">
        <v>5</v>
      </c>
      <c r="R68" s="77">
        <v>4</v>
      </c>
      <c r="S68" s="77">
        <v>6</v>
      </c>
      <c r="T68" s="77">
        <v>7</v>
      </c>
      <c r="U68" s="77">
        <v>8</v>
      </c>
      <c r="V68" s="78">
        <v>7</v>
      </c>
      <c r="W68" s="72">
        <v>6</v>
      </c>
      <c r="X68" s="70">
        <v>7</v>
      </c>
      <c r="Y68" s="70">
        <v>0</v>
      </c>
      <c r="Z68" s="70">
        <v>0</v>
      </c>
      <c r="AB68" s="421"/>
    </row>
    <row r="69" spans="1:28" s="49" customFormat="1">
      <c r="A69" s="45"/>
      <c r="B69" s="46"/>
      <c r="C69" s="53"/>
      <c r="D69" s="427"/>
      <c r="E69" s="427"/>
      <c r="F69" s="427"/>
      <c r="G69" s="75"/>
      <c r="H69" s="75"/>
      <c r="I69" s="75"/>
      <c r="J69" s="75"/>
      <c r="K69" s="75"/>
      <c r="L69" s="53"/>
      <c r="M69" s="53"/>
      <c r="N69" s="53"/>
      <c r="O69" s="53"/>
      <c r="P69" s="53"/>
      <c r="Q69" s="53"/>
      <c r="R69" s="53"/>
      <c r="S69" s="53"/>
      <c r="T69" s="53"/>
      <c r="U69" s="53"/>
      <c r="V69" s="53"/>
      <c r="W69" s="53"/>
      <c r="X69" s="53"/>
      <c r="Y69" s="53"/>
      <c r="Z69" s="53"/>
      <c r="AB69" s="421"/>
    </row>
    <row r="70" spans="1:28" ht="15.75" thickBot="1">
      <c r="A70" s="41" t="s">
        <v>169</v>
      </c>
      <c r="B70" s="42" t="s">
        <v>209</v>
      </c>
      <c r="C70" s="50">
        <v>0</v>
      </c>
      <c r="D70" s="73">
        <v>0.16666666666666666</v>
      </c>
      <c r="E70" s="73">
        <v>0.33333333333333331</v>
      </c>
      <c r="F70" s="73">
        <v>0.5</v>
      </c>
      <c r="G70" s="73">
        <v>0.66666666666666663</v>
      </c>
      <c r="H70" s="73">
        <v>0.83333333333333326</v>
      </c>
      <c r="I70" s="74">
        <v>1</v>
      </c>
      <c r="J70" s="73">
        <v>1.3333333333333333</v>
      </c>
      <c r="K70" s="73">
        <v>1.6666666666666665</v>
      </c>
      <c r="L70" s="51">
        <v>1.9999999999999998</v>
      </c>
      <c r="M70" s="51">
        <v>2.333333333333333</v>
      </c>
      <c r="N70" s="50">
        <v>3</v>
      </c>
      <c r="O70" s="51">
        <v>3.25</v>
      </c>
      <c r="P70" s="51">
        <v>3.5</v>
      </c>
      <c r="Q70" s="51">
        <v>3.75</v>
      </c>
      <c r="R70" s="50">
        <v>4</v>
      </c>
      <c r="S70" s="51">
        <v>4.166666666666667</v>
      </c>
      <c r="T70" s="51">
        <v>4.3333333333333339</v>
      </c>
      <c r="U70" s="51">
        <v>4.5000000000000009</v>
      </c>
      <c r="V70" s="51">
        <v>4.6666666666666679</v>
      </c>
      <c r="W70" s="51">
        <v>3.1666666666666674</v>
      </c>
      <c r="X70" s="51">
        <v>3.0000000000000009</v>
      </c>
      <c r="Y70" s="50">
        <v>3</v>
      </c>
      <c r="Z70" s="51">
        <v>3</v>
      </c>
      <c r="AA70" s="38">
        <v>20</v>
      </c>
      <c r="AB70" s="420">
        <v>0.8</v>
      </c>
    </row>
    <row r="71" spans="1:28" s="49" customFormat="1" ht="15.75" thickBot="1">
      <c r="A71" s="45"/>
      <c r="B71" s="46" t="s">
        <v>208</v>
      </c>
      <c r="C71" s="71">
        <v>0</v>
      </c>
      <c r="D71" s="76">
        <v>0</v>
      </c>
      <c r="E71" s="77">
        <v>0</v>
      </c>
      <c r="F71" s="77">
        <v>0</v>
      </c>
      <c r="G71" s="77">
        <v>0</v>
      </c>
      <c r="H71" s="77">
        <v>0</v>
      </c>
      <c r="I71" s="77">
        <v>1</v>
      </c>
      <c r="J71" s="77">
        <v>1</v>
      </c>
      <c r="K71" s="77">
        <v>2</v>
      </c>
      <c r="L71" s="77">
        <v>2</v>
      </c>
      <c r="M71" s="77">
        <v>2</v>
      </c>
      <c r="N71" s="425">
        <v>3</v>
      </c>
      <c r="O71" s="426">
        <v>3</v>
      </c>
      <c r="P71" s="426">
        <v>4</v>
      </c>
      <c r="Q71" s="426">
        <v>4</v>
      </c>
      <c r="R71" s="77">
        <v>0</v>
      </c>
      <c r="S71" s="77">
        <v>6</v>
      </c>
      <c r="T71" s="77">
        <v>6</v>
      </c>
      <c r="U71" s="77">
        <v>7</v>
      </c>
      <c r="V71" s="78">
        <v>2</v>
      </c>
      <c r="W71" s="72">
        <v>3</v>
      </c>
      <c r="X71" s="70">
        <v>3</v>
      </c>
      <c r="Y71" s="70">
        <v>0</v>
      </c>
      <c r="Z71" s="70">
        <v>0</v>
      </c>
      <c r="AB71" s="421"/>
    </row>
    <row r="72" spans="1:28" s="49" customFormat="1">
      <c r="A72" s="45"/>
      <c r="B72" s="46"/>
      <c r="C72" s="53"/>
      <c r="D72" s="427"/>
      <c r="E72" s="427"/>
      <c r="F72" s="427"/>
      <c r="G72" s="75"/>
      <c r="H72" s="75"/>
      <c r="I72" s="75"/>
      <c r="J72" s="75"/>
      <c r="K72" s="75"/>
      <c r="L72" s="53"/>
      <c r="M72" s="53"/>
      <c r="N72" s="53"/>
      <c r="O72" s="53"/>
      <c r="P72" s="53"/>
      <c r="Q72" s="53"/>
      <c r="R72" s="53"/>
      <c r="S72" s="53"/>
      <c r="T72" s="53"/>
      <c r="U72" s="53"/>
      <c r="V72" s="53"/>
      <c r="W72" s="53"/>
      <c r="X72" s="53"/>
      <c r="Y72" s="53"/>
      <c r="Z72" s="53"/>
      <c r="AB72" s="421"/>
    </row>
    <row r="73" spans="1:28" ht="15.75" thickBot="1">
      <c r="A73" s="41" t="s">
        <v>162</v>
      </c>
      <c r="B73" s="42" t="s">
        <v>202</v>
      </c>
      <c r="C73" s="50">
        <v>0</v>
      </c>
      <c r="D73" s="73">
        <v>0.5</v>
      </c>
      <c r="E73" s="73">
        <v>1</v>
      </c>
      <c r="F73" s="73">
        <v>1.5</v>
      </c>
      <c r="G73" s="73">
        <v>2</v>
      </c>
      <c r="H73" s="73">
        <v>2.5</v>
      </c>
      <c r="I73" s="74">
        <v>3</v>
      </c>
      <c r="J73" s="73">
        <v>3.3333333333333335</v>
      </c>
      <c r="K73" s="73">
        <v>3.666666666666667</v>
      </c>
      <c r="L73" s="51">
        <v>4</v>
      </c>
      <c r="M73" s="51">
        <v>4.333333333333333</v>
      </c>
      <c r="N73" s="50">
        <v>5</v>
      </c>
      <c r="O73" s="51">
        <v>5.5</v>
      </c>
      <c r="P73" s="51">
        <v>6</v>
      </c>
      <c r="Q73" s="51">
        <v>6.5</v>
      </c>
      <c r="R73" s="50">
        <v>7</v>
      </c>
      <c r="S73" s="51">
        <v>7.333333333333333</v>
      </c>
      <c r="T73" s="51">
        <v>7.6666666666666661</v>
      </c>
      <c r="U73" s="51">
        <v>7.9999999999999991</v>
      </c>
      <c r="V73" s="51">
        <v>8.3333333333333321</v>
      </c>
      <c r="W73" s="51">
        <v>7.8333333333333348</v>
      </c>
      <c r="X73" s="51">
        <v>8.0000000000000018</v>
      </c>
      <c r="Y73" s="50">
        <v>8</v>
      </c>
      <c r="Z73" s="51">
        <v>8</v>
      </c>
      <c r="AA73" s="38">
        <v>20</v>
      </c>
      <c r="AB73" s="420">
        <v>0.8</v>
      </c>
    </row>
    <row r="74" spans="1:28" s="49" customFormat="1" ht="15.75" thickBot="1">
      <c r="A74" s="45"/>
      <c r="B74" s="46" t="s">
        <v>203</v>
      </c>
      <c r="C74" s="71">
        <v>0</v>
      </c>
      <c r="D74" s="76">
        <v>0</v>
      </c>
      <c r="E74" s="77">
        <v>0</v>
      </c>
      <c r="F74" s="77">
        <v>0</v>
      </c>
      <c r="G74" s="77">
        <v>0</v>
      </c>
      <c r="H74" s="77">
        <v>0</v>
      </c>
      <c r="I74" s="77">
        <v>0</v>
      </c>
      <c r="J74" s="77">
        <v>0</v>
      </c>
      <c r="K74" s="77">
        <v>0</v>
      </c>
      <c r="L74" s="77">
        <v>0</v>
      </c>
      <c r="M74" s="77">
        <v>0</v>
      </c>
      <c r="N74" s="425">
        <v>0</v>
      </c>
      <c r="O74" s="426">
        <v>0</v>
      </c>
      <c r="P74" s="426">
        <v>0</v>
      </c>
      <c r="Q74" s="426">
        <v>0</v>
      </c>
      <c r="R74" s="77">
        <v>0</v>
      </c>
      <c r="S74" s="77">
        <v>0</v>
      </c>
      <c r="T74" s="77">
        <v>0</v>
      </c>
      <c r="U74" s="77">
        <v>0</v>
      </c>
      <c r="V74" s="78">
        <v>0</v>
      </c>
      <c r="W74" s="72">
        <v>8</v>
      </c>
      <c r="X74" s="70">
        <v>8</v>
      </c>
      <c r="Y74" s="70">
        <v>0</v>
      </c>
      <c r="Z74" s="70">
        <v>0</v>
      </c>
      <c r="AB74" s="421"/>
    </row>
    <row r="75" spans="1:28" s="49" customFormat="1">
      <c r="A75" s="45"/>
      <c r="B75" s="46"/>
      <c r="C75" s="53"/>
      <c r="D75" s="428"/>
      <c r="E75" s="428"/>
      <c r="F75" s="428"/>
      <c r="G75" s="53"/>
      <c r="H75" s="53"/>
      <c r="I75" s="53"/>
      <c r="J75" s="53"/>
      <c r="K75" s="53"/>
      <c r="L75" s="53"/>
      <c r="M75" s="53"/>
      <c r="N75" s="53"/>
      <c r="O75" s="53"/>
      <c r="P75" s="53"/>
      <c r="Q75" s="53"/>
      <c r="R75" s="53"/>
      <c r="S75" s="53"/>
      <c r="T75" s="53"/>
      <c r="U75" s="53"/>
      <c r="V75" s="53"/>
      <c r="W75" s="53"/>
      <c r="X75" s="53"/>
      <c r="Y75" s="53"/>
      <c r="Z75" s="53"/>
      <c r="AB75" s="421"/>
    </row>
    <row r="76" spans="1:28" ht="15.75" thickBot="1">
      <c r="A76" s="41" t="s">
        <v>163</v>
      </c>
      <c r="B76" s="42" t="s">
        <v>213</v>
      </c>
      <c r="C76" s="50">
        <v>0</v>
      </c>
      <c r="D76" s="73">
        <v>0.33333333333333331</v>
      </c>
      <c r="E76" s="73">
        <v>0.66666666666666663</v>
      </c>
      <c r="F76" s="73">
        <v>1</v>
      </c>
      <c r="G76" s="73">
        <v>1.3333333333333333</v>
      </c>
      <c r="H76" s="73">
        <v>1.6666666666666665</v>
      </c>
      <c r="I76" s="74">
        <v>2</v>
      </c>
      <c r="J76" s="73">
        <v>2.3333333333333335</v>
      </c>
      <c r="K76" s="73">
        <v>2.666666666666667</v>
      </c>
      <c r="L76" s="51">
        <v>3.0000000000000004</v>
      </c>
      <c r="M76" s="51">
        <v>3.3333333333333339</v>
      </c>
      <c r="N76" s="50">
        <v>4</v>
      </c>
      <c r="O76" s="51">
        <v>4.25</v>
      </c>
      <c r="P76" s="51">
        <v>4.5</v>
      </c>
      <c r="Q76" s="51">
        <v>4.75</v>
      </c>
      <c r="R76" s="50">
        <v>5</v>
      </c>
      <c r="S76" s="51">
        <v>5.333333333333333</v>
      </c>
      <c r="T76" s="51">
        <v>5.6666666666666661</v>
      </c>
      <c r="U76" s="51">
        <v>5.9999999999999991</v>
      </c>
      <c r="V76" s="51">
        <v>6.3333333333333321</v>
      </c>
      <c r="W76" s="51">
        <v>6.6666666666666652</v>
      </c>
      <c r="X76" s="51">
        <v>6.9999999999999982</v>
      </c>
      <c r="Y76" s="50">
        <v>7</v>
      </c>
      <c r="Z76" s="51">
        <v>7</v>
      </c>
      <c r="AA76" s="38">
        <v>20</v>
      </c>
      <c r="AB76" s="420">
        <v>0.8</v>
      </c>
    </row>
    <row r="77" spans="1:28" s="49" customFormat="1" ht="15.75" thickBot="1">
      <c r="A77" s="45"/>
      <c r="B77" s="46" t="s">
        <v>212</v>
      </c>
      <c r="C77" s="71">
        <v>0</v>
      </c>
      <c r="D77" s="76">
        <v>0</v>
      </c>
      <c r="E77" s="77">
        <v>0</v>
      </c>
      <c r="F77" s="77">
        <v>0</v>
      </c>
      <c r="G77" s="77">
        <v>0</v>
      </c>
      <c r="H77" s="77">
        <v>0</v>
      </c>
      <c r="I77" s="77">
        <v>1</v>
      </c>
      <c r="J77" s="77">
        <v>2</v>
      </c>
      <c r="K77" s="77">
        <v>3</v>
      </c>
      <c r="L77" s="77">
        <v>2</v>
      </c>
      <c r="M77" s="77">
        <v>2</v>
      </c>
      <c r="N77" s="425">
        <v>5</v>
      </c>
      <c r="O77" s="426">
        <v>5</v>
      </c>
      <c r="P77" s="426">
        <v>6</v>
      </c>
      <c r="Q77" s="426">
        <v>6</v>
      </c>
      <c r="R77" s="77">
        <v>5</v>
      </c>
      <c r="S77" s="77">
        <v>7</v>
      </c>
      <c r="T77" s="77">
        <v>8</v>
      </c>
      <c r="U77" s="77">
        <v>8</v>
      </c>
      <c r="V77" s="78">
        <v>7</v>
      </c>
      <c r="W77" s="72">
        <v>8</v>
      </c>
      <c r="X77" s="70">
        <v>8</v>
      </c>
      <c r="Y77" s="70">
        <v>0</v>
      </c>
      <c r="Z77" s="70">
        <v>0</v>
      </c>
      <c r="AB77" s="421"/>
    </row>
    <row r="78" spans="1:28" s="49" customFormat="1">
      <c r="A78" s="45"/>
      <c r="B78" s="46"/>
      <c r="C78" s="53"/>
      <c r="D78" s="428"/>
      <c r="E78" s="428"/>
      <c r="F78" s="428"/>
      <c r="G78" s="53"/>
      <c r="H78" s="53"/>
      <c r="I78" s="53"/>
      <c r="J78" s="53"/>
      <c r="K78" s="53"/>
      <c r="L78" s="53"/>
      <c r="M78" s="53"/>
      <c r="N78" s="53"/>
      <c r="O78" s="53"/>
      <c r="P78" s="53"/>
      <c r="Q78" s="53"/>
      <c r="R78" s="53"/>
      <c r="S78" s="53"/>
      <c r="T78" s="53"/>
      <c r="U78" s="53"/>
      <c r="V78" s="53"/>
      <c r="W78" s="53"/>
      <c r="X78" s="53"/>
      <c r="Y78" s="53"/>
      <c r="Z78" s="53"/>
      <c r="AB78" s="421"/>
    </row>
    <row r="79" spans="1:28" ht="15.75" thickBot="1">
      <c r="A79" s="41" t="s">
        <v>164</v>
      </c>
      <c r="B79" s="42" t="s">
        <v>211</v>
      </c>
      <c r="C79" s="50">
        <v>0</v>
      </c>
      <c r="D79" s="73">
        <v>0.16666666666666666</v>
      </c>
      <c r="E79" s="73">
        <v>0.33333333333333331</v>
      </c>
      <c r="F79" s="73">
        <v>0.5</v>
      </c>
      <c r="G79" s="73">
        <v>0.66666666666666663</v>
      </c>
      <c r="H79" s="73">
        <v>0.83333333333333326</v>
      </c>
      <c r="I79" s="74">
        <v>1</v>
      </c>
      <c r="J79" s="73">
        <v>1.3333333333333333</v>
      </c>
      <c r="K79" s="73">
        <v>1.6666666666666665</v>
      </c>
      <c r="L79" s="51">
        <v>1.9999999999999998</v>
      </c>
      <c r="M79" s="51">
        <v>2.333333333333333</v>
      </c>
      <c r="N79" s="50">
        <v>3</v>
      </c>
      <c r="O79" s="51">
        <v>3.25</v>
      </c>
      <c r="P79" s="51">
        <v>3.5</v>
      </c>
      <c r="Q79" s="51">
        <v>3.75</v>
      </c>
      <c r="R79" s="50">
        <v>4</v>
      </c>
      <c r="S79" s="51">
        <v>4.333333333333333</v>
      </c>
      <c r="T79" s="51">
        <v>4.6666666666666661</v>
      </c>
      <c r="U79" s="51">
        <v>4.9999999999999991</v>
      </c>
      <c r="V79" s="51">
        <v>5.3333333333333321</v>
      </c>
      <c r="W79" s="51">
        <v>5.6666666666666652</v>
      </c>
      <c r="X79" s="51">
        <v>5.9999999999999982</v>
      </c>
      <c r="Y79" s="50">
        <v>6</v>
      </c>
      <c r="Z79" s="51">
        <v>6</v>
      </c>
      <c r="AA79" s="38">
        <v>20</v>
      </c>
      <c r="AB79" s="420">
        <v>0.8</v>
      </c>
    </row>
    <row r="80" spans="1:28" s="49" customFormat="1" ht="15.75" thickBot="1">
      <c r="A80" s="45"/>
      <c r="B80" s="46" t="s">
        <v>210</v>
      </c>
      <c r="C80" s="71">
        <v>0</v>
      </c>
      <c r="D80" s="76">
        <v>0</v>
      </c>
      <c r="E80" s="77">
        <v>0</v>
      </c>
      <c r="F80" s="77">
        <v>0</v>
      </c>
      <c r="G80" s="77">
        <v>0</v>
      </c>
      <c r="H80" s="77">
        <v>0</v>
      </c>
      <c r="I80" s="77">
        <v>1</v>
      </c>
      <c r="J80" s="77">
        <v>1</v>
      </c>
      <c r="K80" s="77">
        <v>2</v>
      </c>
      <c r="L80" s="77">
        <v>2</v>
      </c>
      <c r="M80" s="77">
        <v>2</v>
      </c>
      <c r="N80" s="425">
        <v>3</v>
      </c>
      <c r="O80" s="426">
        <v>3</v>
      </c>
      <c r="P80" s="426">
        <v>4</v>
      </c>
      <c r="Q80" s="426">
        <v>5</v>
      </c>
      <c r="R80" s="77">
        <v>4</v>
      </c>
      <c r="S80" s="77">
        <v>6</v>
      </c>
      <c r="T80" s="77">
        <v>7</v>
      </c>
      <c r="U80" s="77">
        <v>8</v>
      </c>
      <c r="V80" s="78">
        <v>7</v>
      </c>
      <c r="W80" s="72">
        <v>6</v>
      </c>
      <c r="X80" s="70">
        <v>6</v>
      </c>
      <c r="Y80" s="70">
        <v>0</v>
      </c>
      <c r="Z80" s="70">
        <v>0</v>
      </c>
      <c r="AB80" s="421"/>
    </row>
    <row r="81" spans="1:28" s="49" customFormat="1">
      <c r="A81" s="45"/>
      <c r="B81" s="46"/>
      <c r="C81" s="53"/>
      <c r="D81" s="428"/>
      <c r="E81" s="428"/>
      <c r="F81" s="428"/>
      <c r="G81" s="53"/>
      <c r="H81" s="53"/>
      <c r="I81" s="53"/>
      <c r="J81" s="53"/>
      <c r="K81" s="53"/>
      <c r="L81" s="53"/>
      <c r="M81" s="53"/>
      <c r="N81" s="53"/>
      <c r="O81" s="53"/>
      <c r="P81" s="53"/>
      <c r="Q81" s="53"/>
      <c r="R81" s="53"/>
      <c r="S81" s="53"/>
      <c r="T81" s="53"/>
      <c r="U81" s="53"/>
      <c r="V81" s="53"/>
      <c r="W81" s="53"/>
      <c r="X81" s="53"/>
      <c r="Y81" s="53"/>
      <c r="Z81" s="53"/>
      <c r="AB81" s="421"/>
    </row>
    <row r="82" spans="1:28" ht="15.75" thickBot="1">
      <c r="A82" s="41" t="s">
        <v>165</v>
      </c>
      <c r="B82" s="42" t="s">
        <v>209</v>
      </c>
      <c r="C82" s="50">
        <v>0</v>
      </c>
      <c r="D82" s="73">
        <v>0.16666666666666666</v>
      </c>
      <c r="E82" s="73">
        <v>0.33333333333333331</v>
      </c>
      <c r="F82" s="73">
        <v>0.5</v>
      </c>
      <c r="G82" s="73">
        <v>0.66666666666666663</v>
      </c>
      <c r="H82" s="73">
        <v>0.83333333333333326</v>
      </c>
      <c r="I82" s="74">
        <v>1</v>
      </c>
      <c r="J82" s="73">
        <v>1.1666666666666667</v>
      </c>
      <c r="K82" s="73">
        <v>1.3333333333333335</v>
      </c>
      <c r="L82" s="51">
        <v>1.5000000000000002</v>
      </c>
      <c r="M82" s="51">
        <v>1.666666666666667</v>
      </c>
      <c r="N82" s="50">
        <v>2</v>
      </c>
      <c r="O82" s="51">
        <v>2.25</v>
      </c>
      <c r="P82" s="51">
        <v>2.5</v>
      </c>
      <c r="Q82" s="51">
        <v>2.75</v>
      </c>
      <c r="R82" s="50">
        <v>3</v>
      </c>
      <c r="S82" s="51">
        <v>3.1666666666666665</v>
      </c>
      <c r="T82" s="51">
        <v>3.333333333333333</v>
      </c>
      <c r="U82" s="51">
        <v>3.4999999999999996</v>
      </c>
      <c r="V82" s="51">
        <v>3.6666666666666661</v>
      </c>
      <c r="W82" s="51">
        <v>3.8333333333333326</v>
      </c>
      <c r="X82" s="51">
        <v>3.9999999999999991</v>
      </c>
      <c r="Y82" s="50">
        <v>4</v>
      </c>
      <c r="Z82" s="51">
        <v>4</v>
      </c>
      <c r="AA82" s="38">
        <v>20</v>
      </c>
      <c r="AB82" s="420">
        <v>0.8</v>
      </c>
    </row>
    <row r="83" spans="1:28" s="49" customFormat="1" ht="15.75" thickBot="1">
      <c r="A83" s="45"/>
      <c r="B83" s="46" t="s">
        <v>208</v>
      </c>
      <c r="C83" s="71">
        <v>0</v>
      </c>
      <c r="D83" s="76">
        <v>0</v>
      </c>
      <c r="E83" s="77">
        <v>0</v>
      </c>
      <c r="F83" s="77">
        <v>0</v>
      </c>
      <c r="G83" s="77">
        <v>0</v>
      </c>
      <c r="H83" s="77">
        <v>0</v>
      </c>
      <c r="I83" s="77">
        <v>0</v>
      </c>
      <c r="J83" s="77">
        <v>0</v>
      </c>
      <c r="K83" s="77">
        <v>0</v>
      </c>
      <c r="L83" s="77">
        <v>2</v>
      </c>
      <c r="M83" s="77">
        <v>2</v>
      </c>
      <c r="N83" s="425">
        <v>3</v>
      </c>
      <c r="O83" s="426">
        <v>3</v>
      </c>
      <c r="P83" s="426">
        <v>4</v>
      </c>
      <c r="Q83" s="426">
        <v>4</v>
      </c>
      <c r="R83" s="77">
        <v>0</v>
      </c>
      <c r="S83" s="77">
        <v>4</v>
      </c>
      <c r="T83" s="77">
        <v>4</v>
      </c>
      <c r="U83" s="77">
        <v>5</v>
      </c>
      <c r="V83" s="78">
        <v>2</v>
      </c>
      <c r="W83" s="72">
        <v>2</v>
      </c>
      <c r="X83" s="70">
        <v>2</v>
      </c>
      <c r="Y83" s="70">
        <v>0</v>
      </c>
      <c r="Z83" s="70">
        <v>0</v>
      </c>
      <c r="AB83" s="421"/>
    </row>
    <row r="84" spans="1:28" s="49" customFormat="1">
      <c r="A84" s="45"/>
      <c r="B84" s="46"/>
      <c r="C84" s="53"/>
      <c r="D84" s="428"/>
      <c r="E84" s="428"/>
      <c r="F84" s="428"/>
      <c r="G84" s="53"/>
      <c r="H84" s="53"/>
      <c r="I84" s="53"/>
      <c r="J84" s="53"/>
      <c r="K84" s="53"/>
      <c r="L84" s="53"/>
      <c r="M84" s="53"/>
      <c r="N84" s="53"/>
      <c r="O84" s="53"/>
      <c r="P84" s="53"/>
      <c r="Q84" s="53"/>
      <c r="R84" s="53"/>
      <c r="S84" s="53"/>
      <c r="T84" s="53"/>
      <c r="U84" s="53"/>
      <c r="V84" s="53"/>
      <c r="W84" s="53"/>
      <c r="X84" s="53"/>
      <c r="Y84" s="53"/>
      <c r="Z84" s="53"/>
      <c r="AB84" s="421"/>
    </row>
    <row r="85" spans="1:28" ht="15.75" thickBot="1">
      <c r="A85" s="41" t="s">
        <v>160</v>
      </c>
      <c r="B85" s="42" t="s">
        <v>201</v>
      </c>
      <c r="C85" s="52"/>
      <c r="D85" s="52"/>
      <c r="E85" s="52"/>
      <c r="F85" s="52"/>
      <c r="G85" s="52"/>
      <c r="H85" s="52"/>
      <c r="I85" s="52"/>
      <c r="J85" s="52"/>
      <c r="K85" s="52"/>
      <c r="L85" s="52"/>
      <c r="M85" s="52"/>
      <c r="N85" s="50">
        <v>20</v>
      </c>
      <c r="O85" s="51">
        <v>22.5</v>
      </c>
      <c r="P85" s="51">
        <v>25</v>
      </c>
      <c r="Q85" s="51">
        <v>27.5</v>
      </c>
      <c r="R85" s="50">
        <v>30</v>
      </c>
      <c r="S85" s="51">
        <v>31.666666666666668</v>
      </c>
      <c r="T85" s="51">
        <v>33.333333333333336</v>
      </c>
      <c r="U85" s="51">
        <v>35</v>
      </c>
      <c r="V85" s="51">
        <v>36.666666666666664</v>
      </c>
      <c r="W85" s="51">
        <v>71.666666666666671</v>
      </c>
      <c r="X85" s="51">
        <v>80</v>
      </c>
      <c r="Y85" s="50">
        <v>80</v>
      </c>
      <c r="Z85" s="51">
        <v>80</v>
      </c>
      <c r="AA85" s="38">
        <v>100</v>
      </c>
      <c r="AB85" s="420">
        <v>4</v>
      </c>
    </row>
    <row r="86" spans="1:28" s="49" customFormat="1" ht="15.75" thickBot="1">
      <c r="A86" s="45"/>
      <c r="B86" s="46" t="s">
        <v>200</v>
      </c>
      <c r="C86" s="52"/>
      <c r="D86" s="52"/>
      <c r="E86" s="52"/>
      <c r="F86" s="52"/>
      <c r="G86" s="52"/>
      <c r="H86" s="52"/>
      <c r="I86" s="52"/>
      <c r="J86" s="52"/>
      <c r="K86" s="52"/>
      <c r="L86" s="52"/>
      <c r="M86" s="52"/>
      <c r="N86" s="52">
        <v>20</v>
      </c>
      <c r="O86" s="76">
        <v>30</v>
      </c>
      <c r="P86" s="426">
        <v>30</v>
      </c>
      <c r="Q86" s="426">
        <v>30</v>
      </c>
      <c r="R86" s="77">
        <v>70</v>
      </c>
      <c r="S86" s="77">
        <v>70</v>
      </c>
      <c r="T86" s="77">
        <v>86</v>
      </c>
      <c r="U86" s="77">
        <v>86</v>
      </c>
      <c r="V86" s="78">
        <v>80</v>
      </c>
      <c r="W86" s="72">
        <v>80</v>
      </c>
      <c r="X86" s="70">
        <v>80</v>
      </c>
      <c r="Y86" s="70">
        <v>0</v>
      </c>
      <c r="Z86" s="70">
        <v>0</v>
      </c>
      <c r="AB86" s="421"/>
    </row>
    <row r="87" spans="1:28" s="49" customFormat="1">
      <c r="A87" s="45"/>
      <c r="B87" s="46"/>
      <c r="C87" s="53"/>
      <c r="D87" s="428"/>
      <c r="E87" s="428"/>
      <c r="F87" s="428"/>
      <c r="G87" s="53"/>
      <c r="H87" s="53"/>
      <c r="I87" s="53"/>
      <c r="J87" s="53"/>
      <c r="K87" s="53"/>
      <c r="L87" s="53"/>
      <c r="M87" s="53"/>
      <c r="N87" s="53"/>
      <c r="O87" s="53"/>
      <c r="P87" s="53"/>
      <c r="Q87" s="53"/>
      <c r="R87" s="53"/>
      <c r="S87" s="53"/>
      <c r="T87" s="53"/>
      <c r="U87" s="53"/>
      <c r="V87" s="53"/>
      <c r="W87" s="53"/>
      <c r="X87" s="53"/>
      <c r="Y87" s="53"/>
      <c r="Z87" s="53"/>
      <c r="AB87" s="421"/>
    </row>
    <row r="88" spans="1:28" ht="15.75" thickBot="1">
      <c r="A88" s="41" t="s">
        <v>161</v>
      </c>
      <c r="B88" s="42" t="s">
        <v>198</v>
      </c>
      <c r="C88" s="52"/>
      <c r="D88" s="52"/>
      <c r="E88" s="52"/>
      <c r="F88" s="52"/>
      <c r="G88" s="52"/>
      <c r="H88" s="52"/>
      <c r="I88" s="52"/>
      <c r="J88" s="52"/>
      <c r="K88" s="52"/>
      <c r="L88" s="52"/>
      <c r="M88" s="52"/>
      <c r="N88" s="50">
        <v>20</v>
      </c>
      <c r="O88" s="51">
        <v>20</v>
      </c>
      <c r="P88" s="51">
        <v>20</v>
      </c>
      <c r="Q88" s="51">
        <v>20</v>
      </c>
      <c r="R88" s="50">
        <v>20</v>
      </c>
      <c r="S88" s="51">
        <v>20</v>
      </c>
      <c r="T88" s="51">
        <v>20</v>
      </c>
      <c r="U88" s="51">
        <v>20</v>
      </c>
      <c r="V88" s="51">
        <v>20</v>
      </c>
      <c r="W88" s="51">
        <v>57.5</v>
      </c>
      <c r="X88" s="51">
        <v>65</v>
      </c>
      <c r="Y88" s="50">
        <v>65</v>
      </c>
      <c r="Z88" s="51">
        <v>65</v>
      </c>
      <c r="AA88" s="38">
        <v>100</v>
      </c>
      <c r="AB88" s="420">
        <v>4</v>
      </c>
    </row>
    <row r="89" spans="1:28" s="49" customFormat="1" ht="15.75" thickBot="1">
      <c r="A89" s="45"/>
      <c r="B89" s="46" t="s">
        <v>199</v>
      </c>
      <c r="C89" s="52"/>
      <c r="D89" s="52"/>
      <c r="E89" s="52"/>
      <c r="F89" s="52"/>
      <c r="G89" s="52"/>
      <c r="H89" s="52"/>
      <c r="I89" s="52"/>
      <c r="J89" s="52"/>
      <c r="K89" s="52"/>
      <c r="L89" s="52"/>
      <c r="M89" s="52"/>
      <c r="N89" s="52">
        <v>20</v>
      </c>
      <c r="O89" s="76">
        <v>20</v>
      </c>
      <c r="P89" s="426">
        <v>20</v>
      </c>
      <c r="Q89" s="426">
        <v>68</v>
      </c>
      <c r="R89" s="77">
        <v>59</v>
      </c>
      <c r="S89" s="77">
        <v>59</v>
      </c>
      <c r="T89" s="77">
        <v>79</v>
      </c>
      <c r="U89" s="77">
        <v>79</v>
      </c>
      <c r="V89" s="78">
        <v>66</v>
      </c>
      <c r="W89" s="72">
        <v>66</v>
      </c>
      <c r="X89" s="70">
        <v>66</v>
      </c>
      <c r="Y89" s="70">
        <v>0</v>
      </c>
      <c r="Z89" s="70">
        <v>0</v>
      </c>
      <c r="AB89" s="421"/>
    </row>
    <row r="90" spans="1:28" s="49" customFormat="1">
      <c r="A90" s="45"/>
      <c r="B90" s="46"/>
      <c r="C90" s="53"/>
      <c r="D90" s="428"/>
      <c r="E90" s="428"/>
      <c r="F90" s="428"/>
      <c r="G90" s="53"/>
      <c r="H90" s="53"/>
      <c r="I90" s="53"/>
      <c r="J90" s="53"/>
      <c r="K90" s="53"/>
      <c r="L90" s="53"/>
      <c r="M90" s="53"/>
      <c r="N90" s="53"/>
      <c r="O90" s="53"/>
      <c r="P90" s="53"/>
      <c r="Q90" s="53"/>
      <c r="R90" s="53"/>
      <c r="S90" s="53"/>
      <c r="T90" s="53"/>
      <c r="U90" s="53"/>
      <c r="V90" s="53"/>
      <c r="W90" s="53"/>
      <c r="X90" s="53"/>
      <c r="Y90" s="53"/>
      <c r="Z90" s="53"/>
      <c r="AB90" s="421"/>
    </row>
    <row r="91" spans="1:28" ht="15.75" thickBot="1">
      <c r="A91" s="41" t="s">
        <v>40</v>
      </c>
      <c r="B91" s="42" t="s">
        <v>139</v>
      </c>
      <c r="C91" s="52"/>
      <c r="D91" s="52"/>
      <c r="E91" s="52"/>
      <c r="F91" s="52"/>
      <c r="G91" s="52"/>
      <c r="H91" s="52"/>
      <c r="I91" s="52"/>
      <c r="J91" s="52"/>
      <c r="K91" s="52"/>
      <c r="L91" s="52"/>
      <c r="M91" s="52"/>
      <c r="N91" s="43">
        <v>3.4</v>
      </c>
      <c r="O91" s="44">
        <v>3.5</v>
      </c>
      <c r="P91" s="44">
        <v>3.6</v>
      </c>
      <c r="Q91" s="44">
        <v>3.7</v>
      </c>
      <c r="R91" s="43">
        <v>3.8</v>
      </c>
      <c r="S91" s="44">
        <v>3.8666666666666667</v>
      </c>
      <c r="T91" s="44">
        <v>3.9333333333333336</v>
      </c>
      <c r="U91" s="44">
        <v>4</v>
      </c>
      <c r="V91" s="44">
        <v>4.0666666666666664</v>
      </c>
      <c r="W91" s="44">
        <v>4.2999999999999989</v>
      </c>
      <c r="X91" s="44">
        <v>4.3999999999999986</v>
      </c>
      <c r="Y91" s="43">
        <v>4.4000000000000004</v>
      </c>
      <c r="Z91" s="44">
        <v>4.4000000000000004</v>
      </c>
      <c r="AA91" s="38">
        <v>5</v>
      </c>
      <c r="AB91" s="420">
        <v>0.16</v>
      </c>
    </row>
    <row r="92" spans="1:28" s="49" customFormat="1" ht="15.75" thickBot="1">
      <c r="A92" s="45"/>
      <c r="B92" s="46" t="s">
        <v>140</v>
      </c>
      <c r="C92" s="52"/>
      <c r="D92" s="52"/>
      <c r="E92" s="52"/>
      <c r="F92" s="52"/>
      <c r="G92" s="52"/>
      <c r="H92" s="52"/>
      <c r="I92" s="52"/>
      <c r="J92" s="52"/>
      <c r="K92" s="52"/>
      <c r="L92" s="52"/>
      <c r="M92" s="52"/>
      <c r="N92" s="47">
        <v>3.4</v>
      </c>
      <c r="O92" s="84">
        <v>3.4</v>
      </c>
      <c r="P92" s="424">
        <v>3.4</v>
      </c>
      <c r="Q92" s="424">
        <v>3.8</v>
      </c>
      <c r="R92" s="85">
        <v>3.8</v>
      </c>
      <c r="S92" s="85">
        <v>3.8</v>
      </c>
      <c r="T92" s="85">
        <v>3.8</v>
      </c>
      <c r="U92" s="85">
        <v>4.4000000000000004</v>
      </c>
      <c r="V92" s="86">
        <v>4.4000000000000004</v>
      </c>
      <c r="W92" s="80">
        <v>4.4000000000000004</v>
      </c>
      <c r="X92" s="69">
        <v>3.7</v>
      </c>
      <c r="Y92" s="69">
        <v>0</v>
      </c>
      <c r="Z92" s="69">
        <v>0</v>
      </c>
      <c r="AB92" s="421"/>
    </row>
    <row r="93" spans="1:28" s="49" customFormat="1">
      <c r="A93" s="45"/>
      <c r="B93" s="46"/>
      <c r="C93" s="48"/>
      <c r="D93" s="48"/>
      <c r="E93" s="48"/>
      <c r="F93" s="48"/>
      <c r="G93" s="48"/>
      <c r="H93" s="48"/>
      <c r="I93" s="48"/>
      <c r="J93" s="48"/>
      <c r="K93" s="48"/>
      <c r="L93" s="48"/>
      <c r="M93" s="48"/>
      <c r="N93" s="48"/>
      <c r="O93" s="48"/>
      <c r="P93" s="48"/>
      <c r="Q93" s="48"/>
      <c r="R93" s="48"/>
      <c r="S93" s="48"/>
      <c r="T93" s="48"/>
      <c r="U93" s="48"/>
      <c r="V93" s="48"/>
      <c r="W93" s="48"/>
      <c r="X93" s="48"/>
      <c r="Y93" s="48"/>
      <c r="Z93" s="48"/>
      <c r="AB93" s="421"/>
    </row>
    <row r="94" spans="1:28" ht="15.75" thickBot="1">
      <c r="A94" s="41" t="s">
        <v>32</v>
      </c>
      <c r="B94" s="42" t="s">
        <v>139</v>
      </c>
      <c r="C94" s="43">
        <v>1</v>
      </c>
      <c r="D94" s="81">
        <v>1.3333333333333333</v>
      </c>
      <c r="E94" s="81">
        <v>1.6666666666666665</v>
      </c>
      <c r="F94" s="81">
        <v>1.9999999999999998</v>
      </c>
      <c r="G94" s="81">
        <v>2.333333333333333</v>
      </c>
      <c r="H94" s="81">
        <v>2.6666666666666665</v>
      </c>
      <c r="I94" s="82">
        <v>3</v>
      </c>
      <c r="J94" s="81">
        <v>3.0833333333333335</v>
      </c>
      <c r="K94" s="81">
        <v>3.166666666666667</v>
      </c>
      <c r="L94" s="44">
        <v>3.2500000000000004</v>
      </c>
      <c r="M94" s="44">
        <v>3.3333333333333339</v>
      </c>
      <c r="N94" s="43">
        <v>3.5</v>
      </c>
      <c r="O94" s="44">
        <v>3.5</v>
      </c>
      <c r="P94" s="44">
        <v>3.5</v>
      </c>
      <c r="Q94" s="44">
        <v>3.5</v>
      </c>
      <c r="R94" s="43">
        <v>3.5</v>
      </c>
      <c r="S94" s="44">
        <v>3.6666666666666665</v>
      </c>
      <c r="T94" s="44">
        <v>3.833333333333333</v>
      </c>
      <c r="U94" s="44">
        <v>3.9999999999999996</v>
      </c>
      <c r="V94" s="44">
        <v>4.1666666666666661</v>
      </c>
      <c r="W94" s="44">
        <v>3.9166666666666674</v>
      </c>
      <c r="X94" s="44">
        <v>4.0000000000000009</v>
      </c>
      <c r="Y94" s="43">
        <v>4</v>
      </c>
      <c r="Z94" s="44">
        <v>4</v>
      </c>
      <c r="AA94" s="38">
        <v>5</v>
      </c>
      <c r="AB94" s="420">
        <v>0.16</v>
      </c>
    </row>
    <row r="95" spans="1:28" s="49" customFormat="1" ht="15.75" thickBot="1">
      <c r="A95" s="45"/>
      <c r="B95" s="46" t="s">
        <v>140</v>
      </c>
      <c r="C95" s="79">
        <v>1</v>
      </c>
      <c r="D95" s="84">
        <v>1</v>
      </c>
      <c r="E95" s="85">
        <v>1</v>
      </c>
      <c r="F95" s="85">
        <v>1</v>
      </c>
      <c r="G95" s="85">
        <v>1</v>
      </c>
      <c r="H95" s="85">
        <v>1</v>
      </c>
      <c r="I95" s="85">
        <v>3</v>
      </c>
      <c r="J95" s="85">
        <v>3</v>
      </c>
      <c r="K95" s="85">
        <v>3</v>
      </c>
      <c r="L95" s="85">
        <v>2</v>
      </c>
      <c r="M95" s="85">
        <v>2</v>
      </c>
      <c r="N95" s="423">
        <v>3</v>
      </c>
      <c r="O95" s="424">
        <v>3.7</v>
      </c>
      <c r="P95" s="424">
        <v>3.3</v>
      </c>
      <c r="Q95" s="424">
        <v>3.5</v>
      </c>
      <c r="R95" s="85">
        <v>4</v>
      </c>
      <c r="S95" s="85">
        <v>4</v>
      </c>
      <c r="T95" s="85">
        <v>4.5</v>
      </c>
      <c r="U95" s="85">
        <v>4.5</v>
      </c>
      <c r="V95" s="86">
        <v>4</v>
      </c>
      <c r="W95" s="80">
        <v>4.3</v>
      </c>
      <c r="X95" s="69">
        <v>4.3</v>
      </c>
      <c r="Y95" s="69">
        <v>0</v>
      </c>
      <c r="Z95" s="69">
        <v>0</v>
      </c>
      <c r="AB95" s="421"/>
    </row>
    <row r="96" spans="1:28" s="49" customFormat="1">
      <c r="A96" s="45"/>
      <c r="B96" s="46"/>
      <c r="C96" s="48"/>
      <c r="D96" s="83"/>
      <c r="E96" s="83"/>
      <c r="F96" s="83"/>
      <c r="G96" s="83"/>
      <c r="H96" s="83"/>
      <c r="I96" s="83"/>
      <c r="J96" s="83"/>
      <c r="K96" s="83"/>
      <c r="L96" s="48"/>
      <c r="M96" s="48"/>
      <c r="N96" s="48"/>
      <c r="O96" s="48"/>
      <c r="P96" s="48"/>
      <c r="Q96" s="48"/>
      <c r="R96" s="48"/>
      <c r="S96" s="48"/>
      <c r="T96" s="48"/>
      <c r="U96" s="48"/>
      <c r="V96" s="48"/>
      <c r="W96" s="48"/>
      <c r="X96" s="48"/>
      <c r="Y96" s="48"/>
      <c r="Z96" s="48"/>
      <c r="AB96" s="421"/>
    </row>
    <row r="97" spans="1:28" ht="15.75" thickBot="1">
      <c r="A97" s="41" t="s">
        <v>33</v>
      </c>
      <c r="B97" s="42" t="s">
        <v>139</v>
      </c>
      <c r="C97" s="43">
        <v>1</v>
      </c>
      <c r="D97" s="81">
        <v>1.1666666666666667</v>
      </c>
      <c r="E97" s="81">
        <v>1.3333333333333335</v>
      </c>
      <c r="F97" s="81">
        <v>1.5000000000000002</v>
      </c>
      <c r="G97" s="81">
        <v>1.666666666666667</v>
      </c>
      <c r="H97" s="81">
        <v>1.8333333333333337</v>
      </c>
      <c r="I97" s="82">
        <v>2</v>
      </c>
      <c r="J97" s="81">
        <v>2.1666666666666665</v>
      </c>
      <c r="K97" s="81">
        <v>2.333333333333333</v>
      </c>
      <c r="L97" s="44">
        <v>2.4999999999999996</v>
      </c>
      <c r="M97" s="44">
        <v>2.6666666666666661</v>
      </c>
      <c r="N97" s="43">
        <v>3</v>
      </c>
      <c r="O97" s="44">
        <v>3.2</v>
      </c>
      <c r="P97" s="44">
        <v>3.4000000000000004</v>
      </c>
      <c r="Q97" s="44">
        <v>3.6000000000000005</v>
      </c>
      <c r="R97" s="43">
        <v>3.8</v>
      </c>
      <c r="S97" s="44">
        <v>3.8666666666666667</v>
      </c>
      <c r="T97" s="44">
        <v>3.9333333333333336</v>
      </c>
      <c r="U97" s="44">
        <v>4</v>
      </c>
      <c r="V97" s="44">
        <v>4.0666666666666664</v>
      </c>
      <c r="W97" s="44">
        <v>3.5500000000000007</v>
      </c>
      <c r="X97" s="44">
        <v>3.5000000000000009</v>
      </c>
      <c r="Y97" s="43">
        <v>3.5</v>
      </c>
      <c r="Z97" s="44">
        <v>3.5</v>
      </c>
      <c r="AA97" s="38">
        <v>5</v>
      </c>
      <c r="AB97" s="420">
        <v>0.16</v>
      </c>
    </row>
    <row r="98" spans="1:28" s="49" customFormat="1" ht="15.75" thickBot="1">
      <c r="A98" s="45"/>
      <c r="B98" s="46" t="s">
        <v>140</v>
      </c>
      <c r="C98" s="79">
        <v>1</v>
      </c>
      <c r="D98" s="84">
        <v>1</v>
      </c>
      <c r="E98" s="85">
        <v>1</v>
      </c>
      <c r="F98" s="85">
        <v>1</v>
      </c>
      <c r="G98" s="85">
        <v>1</v>
      </c>
      <c r="H98" s="85">
        <v>1</v>
      </c>
      <c r="I98" s="85">
        <v>3</v>
      </c>
      <c r="J98" s="85">
        <v>3</v>
      </c>
      <c r="K98" s="85">
        <v>3</v>
      </c>
      <c r="L98" s="85">
        <v>2</v>
      </c>
      <c r="M98" s="85">
        <v>2</v>
      </c>
      <c r="N98" s="423">
        <v>3.3</v>
      </c>
      <c r="O98" s="424">
        <v>2.7</v>
      </c>
      <c r="P98" s="424">
        <v>3.5</v>
      </c>
      <c r="Q98" s="424">
        <v>4.3</v>
      </c>
      <c r="R98" s="85">
        <v>3.3</v>
      </c>
      <c r="S98" s="85">
        <v>3.3</v>
      </c>
      <c r="T98" s="85">
        <v>3.8</v>
      </c>
      <c r="U98" s="85">
        <v>4</v>
      </c>
      <c r="V98" s="86">
        <v>3.5</v>
      </c>
      <c r="W98" s="80">
        <v>4.3</v>
      </c>
      <c r="X98" s="69">
        <v>4.3</v>
      </c>
      <c r="Y98" s="69">
        <v>0</v>
      </c>
      <c r="Z98" s="69">
        <v>0</v>
      </c>
      <c r="AB98" s="421"/>
    </row>
    <row r="99" spans="1:28" s="49" customFormat="1">
      <c r="A99" s="45"/>
      <c r="B99" s="46"/>
      <c r="C99" s="48"/>
      <c r="D99" s="83"/>
      <c r="E99" s="83"/>
      <c r="F99" s="83"/>
      <c r="G99" s="83"/>
      <c r="H99" s="83"/>
      <c r="I99" s="83"/>
      <c r="J99" s="83"/>
      <c r="K99" s="83"/>
      <c r="L99" s="48"/>
      <c r="M99" s="48"/>
      <c r="N99" s="48"/>
      <c r="O99" s="48"/>
      <c r="P99" s="48"/>
      <c r="Q99" s="48"/>
      <c r="R99" s="48"/>
      <c r="S99" s="48"/>
      <c r="T99" s="48"/>
      <c r="U99" s="48"/>
      <c r="V99" s="48"/>
      <c r="W99" s="48"/>
      <c r="X99" s="48"/>
      <c r="Y99" s="48"/>
      <c r="Z99" s="48"/>
      <c r="AB99" s="421"/>
    </row>
    <row r="100" spans="1:28" ht="15.75" thickBot="1">
      <c r="A100" s="41" t="s">
        <v>34</v>
      </c>
      <c r="B100" s="42" t="s">
        <v>139</v>
      </c>
      <c r="C100" s="43">
        <v>2</v>
      </c>
      <c r="D100" s="81">
        <v>2</v>
      </c>
      <c r="E100" s="81">
        <v>2</v>
      </c>
      <c r="F100" s="81">
        <v>2</v>
      </c>
      <c r="G100" s="81">
        <v>2</v>
      </c>
      <c r="H100" s="81">
        <v>2</v>
      </c>
      <c r="I100" s="82">
        <v>2</v>
      </c>
      <c r="J100" s="81">
        <v>2.1666666666666665</v>
      </c>
      <c r="K100" s="81">
        <v>2.333333333333333</v>
      </c>
      <c r="L100" s="44">
        <v>2.4999999999999996</v>
      </c>
      <c r="M100" s="44">
        <v>2.6666666666666661</v>
      </c>
      <c r="N100" s="43">
        <v>3</v>
      </c>
      <c r="O100" s="44">
        <v>3.05</v>
      </c>
      <c r="P100" s="44">
        <v>3.0999999999999996</v>
      </c>
      <c r="Q100" s="44">
        <v>3.1499999999999995</v>
      </c>
      <c r="R100" s="43">
        <v>3.2</v>
      </c>
      <c r="S100" s="44">
        <v>3.3333333333333335</v>
      </c>
      <c r="T100" s="44">
        <v>3.4666666666666668</v>
      </c>
      <c r="U100" s="44">
        <v>3.6</v>
      </c>
      <c r="V100" s="44">
        <v>3.7333333333333334</v>
      </c>
      <c r="W100" s="44">
        <v>3.2833333333333332</v>
      </c>
      <c r="X100" s="44">
        <v>3.3</v>
      </c>
      <c r="Y100" s="43">
        <v>3.3</v>
      </c>
      <c r="Z100" s="44">
        <v>3.3</v>
      </c>
      <c r="AA100" s="38">
        <v>5</v>
      </c>
      <c r="AB100" s="420">
        <v>0.16</v>
      </c>
    </row>
    <row r="101" spans="1:28" s="49" customFormat="1" ht="15.75" thickBot="1">
      <c r="A101" s="45"/>
      <c r="B101" s="46" t="s">
        <v>140</v>
      </c>
      <c r="C101" s="79">
        <v>2</v>
      </c>
      <c r="D101" s="84">
        <v>2</v>
      </c>
      <c r="E101" s="85">
        <v>2</v>
      </c>
      <c r="F101" s="85">
        <v>2</v>
      </c>
      <c r="G101" s="85">
        <v>2</v>
      </c>
      <c r="H101" s="85">
        <v>2</v>
      </c>
      <c r="I101" s="85">
        <v>3</v>
      </c>
      <c r="J101" s="85">
        <v>3</v>
      </c>
      <c r="K101" s="85">
        <v>3</v>
      </c>
      <c r="L101" s="85">
        <v>2</v>
      </c>
      <c r="M101" s="85">
        <v>2</v>
      </c>
      <c r="N101" s="423">
        <v>2.7</v>
      </c>
      <c r="O101" s="424">
        <v>2.2000000000000002</v>
      </c>
      <c r="P101" s="424">
        <v>3</v>
      </c>
      <c r="Q101" s="424">
        <v>3.1</v>
      </c>
      <c r="R101" s="85">
        <v>3</v>
      </c>
      <c r="S101" s="85">
        <v>3.3</v>
      </c>
      <c r="T101" s="85">
        <v>3.6</v>
      </c>
      <c r="U101" s="85">
        <v>3.7</v>
      </c>
      <c r="V101" s="86">
        <v>3.3</v>
      </c>
      <c r="W101" s="80">
        <v>3.6</v>
      </c>
      <c r="X101" s="69">
        <v>3.6</v>
      </c>
      <c r="Y101" s="69">
        <v>0</v>
      </c>
      <c r="Z101" s="69">
        <v>0</v>
      </c>
      <c r="AB101" s="421"/>
    </row>
    <row r="102" spans="1:28" s="49" customFormat="1">
      <c r="A102" s="45"/>
      <c r="B102" s="46"/>
      <c r="C102" s="48"/>
      <c r="D102" s="83"/>
      <c r="E102" s="83"/>
      <c r="F102" s="83"/>
      <c r="G102" s="83"/>
      <c r="H102" s="83"/>
      <c r="I102" s="83"/>
      <c r="J102" s="83"/>
      <c r="K102" s="83"/>
      <c r="L102" s="48"/>
      <c r="M102" s="48"/>
      <c r="N102" s="48"/>
      <c r="O102" s="48"/>
      <c r="P102" s="48"/>
      <c r="Q102" s="48"/>
      <c r="R102" s="48"/>
      <c r="S102" s="48"/>
      <c r="T102" s="48"/>
      <c r="U102" s="48"/>
      <c r="V102" s="48"/>
      <c r="W102" s="48"/>
      <c r="X102" s="48"/>
      <c r="Y102" s="48"/>
      <c r="Z102" s="48"/>
      <c r="AB102" s="421"/>
    </row>
    <row r="103" spans="1:28" ht="15.75" thickBot="1">
      <c r="A103" s="41" t="s">
        <v>41</v>
      </c>
      <c r="B103" s="42" t="s">
        <v>139</v>
      </c>
      <c r="C103" s="43">
        <v>2</v>
      </c>
      <c r="D103" s="81">
        <v>2</v>
      </c>
      <c r="E103" s="81">
        <v>2</v>
      </c>
      <c r="F103" s="81">
        <v>2</v>
      </c>
      <c r="G103" s="81">
        <v>2</v>
      </c>
      <c r="H103" s="81">
        <v>2</v>
      </c>
      <c r="I103" s="82">
        <v>2</v>
      </c>
      <c r="J103" s="81">
        <v>2.1666666666666665</v>
      </c>
      <c r="K103" s="81">
        <v>2.333333333333333</v>
      </c>
      <c r="L103" s="44">
        <v>2.4999999999999996</v>
      </c>
      <c r="M103" s="44">
        <v>2.6666666666666661</v>
      </c>
      <c r="N103" s="43">
        <v>3</v>
      </c>
      <c r="O103" s="44">
        <v>3</v>
      </c>
      <c r="P103" s="44">
        <v>3</v>
      </c>
      <c r="Q103" s="44">
        <v>3</v>
      </c>
      <c r="R103" s="43">
        <v>3</v>
      </c>
      <c r="S103" s="44">
        <v>3.0833333333333335</v>
      </c>
      <c r="T103" s="44">
        <v>3.166666666666667</v>
      </c>
      <c r="U103" s="44">
        <v>3.2500000000000004</v>
      </c>
      <c r="V103" s="44">
        <v>3.3333333333333339</v>
      </c>
      <c r="W103" s="44">
        <v>3.2499999999999991</v>
      </c>
      <c r="X103" s="44">
        <v>3.2999999999999989</v>
      </c>
      <c r="Y103" s="43">
        <v>3.3</v>
      </c>
      <c r="Z103" s="44">
        <v>3.3</v>
      </c>
      <c r="AA103" s="38">
        <v>5</v>
      </c>
      <c r="AB103" s="420">
        <v>0.16</v>
      </c>
    </row>
    <row r="104" spans="1:28" s="49" customFormat="1" ht="15.75" thickBot="1">
      <c r="A104" s="45"/>
      <c r="B104" s="46" t="s">
        <v>140</v>
      </c>
      <c r="C104" s="79">
        <v>2</v>
      </c>
      <c r="D104" s="84">
        <v>2</v>
      </c>
      <c r="E104" s="85">
        <v>2</v>
      </c>
      <c r="F104" s="85">
        <v>2</v>
      </c>
      <c r="G104" s="85">
        <v>2</v>
      </c>
      <c r="H104" s="85">
        <v>2</v>
      </c>
      <c r="I104" s="85">
        <v>2</v>
      </c>
      <c r="J104" s="85">
        <v>2</v>
      </c>
      <c r="K104" s="85">
        <v>2</v>
      </c>
      <c r="L104" s="85">
        <v>2</v>
      </c>
      <c r="M104" s="85">
        <v>2</v>
      </c>
      <c r="N104" s="423">
        <v>2.6</v>
      </c>
      <c r="O104" s="424">
        <v>2.8</v>
      </c>
      <c r="P104" s="424">
        <v>2.7</v>
      </c>
      <c r="Q104" s="424">
        <v>2.8</v>
      </c>
      <c r="R104" s="85">
        <v>2.9</v>
      </c>
      <c r="S104" s="85">
        <v>3</v>
      </c>
      <c r="T104" s="85">
        <v>3.5</v>
      </c>
      <c r="U104" s="85">
        <v>3.7</v>
      </c>
      <c r="V104" s="86">
        <v>3.3</v>
      </c>
      <c r="W104" s="80">
        <v>3.4</v>
      </c>
      <c r="X104" s="69">
        <v>3.4</v>
      </c>
      <c r="Y104" s="69">
        <v>0</v>
      </c>
      <c r="Z104" s="69">
        <v>0</v>
      </c>
      <c r="AB104" s="421"/>
    </row>
    <row r="105" spans="1:28" s="49" customFormat="1">
      <c r="A105" s="45"/>
      <c r="B105" s="46"/>
      <c r="C105" s="48"/>
      <c r="D105" s="83"/>
      <c r="E105" s="83"/>
      <c r="F105" s="83"/>
      <c r="G105" s="83"/>
      <c r="H105" s="83"/>
      <c r="I105" s="83"/>
      <c r="J105" s="83"/>
      <c r="K105" s="83"/>
      <c r="L105" s="48"/>
      <c r="M105" s="48"/>
      <c r="N105" s="48"/>
      <c r="O105" s="48"/>
      <c r="P105" s="48"/>
      <c r="Q105" s="48"/>
      <c r="R105" s="48"/>
      <c r="S105" s="48"/>
      <c r="T105" s="48"/>
      <c r="U105" s="48"/>
      <c r="V105" s="48"/>
      <c r="W105" s="48"/>
      <c r="X105" s="48"/>
      <c r="Y105" s="48"/>
      <c r="Z105" s="48"/>
      <c r="AB105" s="421"/>
    </row>
    <row r="106" spans="1:28" ht="15.75" thickBot="1">
      <c r="A106" s="41" t="s">
        <v>181</v>
      </c>
      <c r="B106" s="42" t="s">
        <v>204</v>
      </c>
      <c r="C106" s="50">
        <v>0</v>
      </c>
      <c r="D106" s="73">
        <v>0.33333333333333331</v>
      </c>
      <c r="E106" s="73">
        <v>0.66666666666666663</v>
      </c>
      <c r="F106" s="73">
        <v>1</v>
      </c>
      <c r="G106" s="73">
        <v>1.3333333333333333</v>
      </c>
      <c r="H106" s="73">
        <v>1.6666666666666665</v>
      </c>
      <c r="I106" s="74">
        <v>2</v>
      </c>
      <c r="J106" s="73">
        <v>2.1666666666666665</v>
      </c>
      <c r="K106" s="73">
        <v>2.333333333333333</v>
      </c>
      <c r="L106" s="51">
        <v>2.4999999999999996</v>
      </c>
      <c r="M106" s="51">
        <v>2.6666666666666661</v>
      </c>
      <c r="N106" s="50">
        <v>3</v>
      </c>
      <c r="O106" s="51">
        <v>3.75</v>
      </c>
      <c r="P106" s="51">
        <v>4.5</v>
      </c>
      <c r="Q106" s="51">
        <v>5.25</v>
      </c>
      <c r="R106" s="50">
        <v>6</v>
      </c>
      <c r="S106" s="51">
        <v>6.5</v>
      </c>
      <c r="T106" s="51">
        <v>7</v>
      </c>
      <c r="U106" s="51">
        <v>7.5</v>
      </c>
      <c r="V106" s="51">
        <v>8</v>
      </c>
      <c r="W106" s="51">
        <v>7.6666666666666652</v>
      </c>
      <c r="X106" s="51">
        <v>7.9999999999999982</v>
      </c>
      <c r="Y106" s="50">
        <v>8</v>
      </c>
      <c r="Z106" s="51">
        <v>8</v>
      </c>
      <c r="AA106" s="38">
        <v>20</v>
      </c>
      <c r="AB106" s="420">
        <v>0.8</v>
      </c>
    </row>
    <row r="107" spans="1:28" s="49" customFormat="1" ht="15.75" thickBot="1">
      <c r="A107" s="45"/>
      <c r="B107" s="46" t="s">
        <v>205</v>
      </c>
      <c r="C107" s="71">
        <v>0</v>
      </c>
      <c r="D107" s="76">
        <v>0</v>
      </c>
      <c r="E107" s="77">
        <v>0</v>
      </c>
      <c r="F107" s="77">
        <v>0</v>
      </c>
      <c r="G107" s="77">
        <v>0</v>
      </c>
      <c r="H107" s="77">
        <v>0</v>
      </c>
      <c r="I107" s="77">
        <v>0</v>
      </c>
      <c r="J107" s="77">
        <v>0</v>
      </c>
      <c r="K107" s="77">
        <v>0</v>
      </c>
      <c r="L107" s="77">
        <v>4</v>
      </c>
      <c r="M107" s="77">
        <v>1</v>
      </c>
      <c r="N107" s="425">
        <v>4</v>
      </c>
      <c r="O107" s="426">
        <v>5</v>
      </c>
      <c r="P107" s="426">
        <v>7</v>
      </c>
      <c r="Q107" s="426">
        <v>7</v>
      </c>
      <c r="R107" s="77">
        <v>8</v>
      </c>
      <c r="S107" s="77">
        <v>7</v>
      </c>
      <c r="T107" s="77">
        <v>7</v>
      </c>
      <c r="U107" s="77">
        <v>8</v>
      </c>
      <c r="V107" s="78">
        <v>8</v>
      </c>
      <c r="W107" s="72">
        <v>8</v>
      </c>
      <c r="X107" s="70">
        <v>8</v>
      </c>
      <c r="Y107" s="70">
        <v>0</v>
      </c>
      <c r="Z107" s="70">
        <v>0</v>
      </c>
      <c r="AB107" s="421"/>
    </row>
    <row r="108" spans="1:28" s="49" customFormat="1">
      <c r="A108" s="45"/>
      <c r="B108" s="46"/>
      <c r="C108" s="53"/>
      <c r="D108" s="75"/>
      <c r="E108" s="75"/>
      <c r="F108" s="75"/>
      <c r="G108" s="75"/>
      <c r="H108" s="75"/>
      <c r="I108" s="75"/>
      <c r="J108" s="75"/>
      <c r="K108" s="75"/>
      <c r="L108" s="53"/>
      <c r="M108" s="53"/>
      <c r="N108" s="53"/>
      <c r="O108" s="53"/>
      <c r="P108" s="53"/>
      <c r="Q108" s="53"/>
      <c r="R108" s="53"/>
      <c r="S108" s="53"/>
      <c r="T108" s="53"/>
      <c r="U108" s="53"/>
      <c r="V108" s="53"/>
      <c r="W108" s="53"/>
      <c r="X108" s="53"/>
      <c r="Y108" s="53"/>
      <c r="Z108" s="53"/>
      <c r="AB108" s="421"/>
    </row>
    <row r="109" spans="1:28" ht="15.75" thickBot="1">
      <c r="A109" s="41" t="s">
        <v>182</v>
      </c>
      <c r="B109" s="42" t="s">
        <v>206</v>
      </c>
      <c r="C109" s="50">
        <v>0</v>
      </c>
      <c r="D109" s="73">
        <v>0.5</v>
      </c>
      <c r="E109" s="73">
        <v>1</v>
      </c>
      <c r="F109" s="73">
        <v>1.5</v>
      </c>
      <c r="G109" s="73">
        <v>2</v>
      </c>
      <c r="H109" s="73">
        <v>2.5</v>
      </c>
      <c r="I109" s="74">
        <v>3</v>
      </c>
      <c r="J109" s="73">
        <v>3.1666666666666665</v>
      </c>
      <c r="K109" s="73">
        <v>3.333333333333333</v>
      </c>
      <c r="L109" s="51">
        <v>3.4999999999999996</v>
      </c>
      <c r="M109" s="51">
        <v>3.6666666666666661</v>
      </c>
      <c r="N109" s="50">
        <v>4</v>
      </c>
      <c r="O109" s="51">
        <v>4.5</v>
      </c>
      <c r="P109" s="51">
        <v>5</v>
      </c>
      <c r="Q109" s="51">
        <v>5.5</v>
      </c>
      <c r="R109" s="50">
        <v>6</v>
      </c>
      <c r="S109" s="51">
        <v>6.333333333333333</v>
      </c>
      <c r="T109" s="51">
        <v>6.6666666666666661</v>
      </c>
      <c r="U109" s="51">
        <v>6.9999999999999991</v>
      </c>
      <c r="V109" s="51">
        <v>7.3333333333333321</v>
      </c>
      <c r="W109" s="51">
        <v>10.166666666666668</v>
      </c>
      <c r="X109" s="51">
        <v>11.000000000000002</v>
      </c>
      <c r="Y109" s="50">
        <v>11</v>
      </c>
      <c r="Z109" s="51">
        <v>11</v>
      </c>
      <c r="AA109" s="38">
        <v>10</v>
      </c>
      <c r="AB109" s="420">
        <v>0.4</v>
      </c>
    </row>
    <row r="110" spans="1:28" s="49" customFormat="1" ht="15.75" thickBot="1">
      <c r="A110" s="45"/>
      <c r="B110" s="46" t="s">
        <v>207</v>
      </c>
      <c r="C110" s="71">
        <v>0</v>
      </c>
      <c r="D110" s="76">
        <v>0</v>
      </c>
      <c r="E110" s="77">
        <v>0</v>
      </c>
      <c r="F110" s="77">
        <v>0</v>
      </c>
      <c r="G110" s="77">
        <v>0</v>
      </c>
      <c r="H110" s="77">
        <v>0</v>
      </c>
      <c r="I110" s="77">
        <v>0</v>
      </c>
      <c r="J110" s="77">
        <v>0</v>
      </c>
      <c r="K110" s="77">
        <v>0</v>
      </c>
      <c r="L110" s="77">
        <v>4</v>
      </c>
      <c r="M110" s="77">
        <v>2</v>
      </c>
      <c r="N110" s="425">
        <v>6</v>
      </c>
      <c r="O110" s="426">
        <v>6</v>
      </c>
      <c r="P110" s="426">
        <v>6</v>
      </c>
      <c r="Q110" s="426">
        <v>7</v>
      </c>
      <c r="R110" s="77">
        <v>10</v>
      </c>
      <c r="S110" s="77">
        <v>7</v>
      </c>
      <c r="T110" s="77">
        <v>9</v>
      </c>
      <c r="U110" s="77">
        <v>9</v>
      </c>
      <c r="V110" s="78">
        <v>11</v>
      </c>
      <c r="W110" s="72">
        <v>11</v>
      </c>
      <c r="X110" s="70">
        <v>12</v>
      </c>
      <c r="Y110" s="70">
        <v>0</v>
      </c>
      <c r="Z110" s="70">
        <v>0</v>
      </c>
      <c r="AB110" s="421"/>
    </row>
    <row r="111" spans="1:28" s="49" customFormat="1">
      <c r="A111" s="45"/>
      <c r="B111" s="46"/>
      <c r="C111" s="53"/>
      <c r="D111" s="75"/>
      <c r="E111" s="75"/>
      <c r="F111" s="75"/>
      <c r="G111" s="75"/>
      <c r="H111" s="75"/>
      <c r="I111" s="75"/>
      <c r="J111" s="75"/>
      <c r="K111" s="75"/>
      <c r="L111" s="53"/>
      <c r="M111" s="53"/>
      <c r="N111" s="53"/>
      <c r="O111" s="53"/>
      <c r="P111" s="53"/>
      <c r="Q111" s="53"/>
      <c r="R111" s="53"/>
      <c r="S111" s="53"/>
      <c r="T111" s="53"/>
      <c r="U111" s="53"/>
      <c r="V111" s="53"/>
      <c r="W111" s="53"/>
      <c r="X111" s="53"/>
      <c r="Y111" s="53"/>
      <c r="Z111" s="53"/>
      <c r="AB111" s="421"/>
    </row>
    <row r="112" spans="1:28" ht="15.75" thickBot="1">
      <c r="A112" s="41" t="s">
        <v>695</v>
      </c>
      <c r="B112" s="42" t="s">
        <v>816</v>
      </c>
      <c r="C112" s="50">
        <v>0</v>
      </c>
      <c r="D112" s="73">
        <v>0</v>
      </c>
      <c r="E112" s="73">
        <v>0</v>
      </c>
      <c r="F112" s="73">
        <v>0</v>
      </c>
      <c r="G112" s="73">
        <v>0</v>
      </c>
      <c r="H112" s="73">
        <v>0</v>
      </c>
      <c r="I112" s="74">
        <v>0</v>
      </c>
      <c r="J112" s="73">
        <v>0</v>
      </c>
      <c r="K112" s="73">
        <v>0</v>
      </c>
      <c r="L112" s="51">
        <v>0</v>
      </c>
      <c r="M112" s="51">
        <v>0</v>
      </c>
      <c r="N112" s="50">
        <v>0</v>
      </c>
      <c r="O112" s="51">
        <v>2.75</v>
      </c>
      <c r="P112" s="51">
        <v>5.5</v>
      </c>
      <c r="Q112" s="51">
        <v>8.25</v>
      </c>
      <c r="R112" s="50">
        <v>11</v>
      </c>
      <c r="S112" s="51">
        <v>12.166666666666666</v>
      </c>
      <c r="T112" s="51">
        <v>13.333333333333332</v>
      </c>
      <c r="U112" s="51">
        <v>14.499999999999998</v>
      </c>
      <c r="V112" s="51">
        <v>15.666666666666664</v>
      </c>
      <c r="W112" s="51">
        <v>9.3333333333333304</v>
      </c>
      <c r="X112" s="51">
        <v>8.9999999999999964</v>
      </c>
      <c r="Y112" s="50">
        <v>9</v>
      </c>
      <c r="Z112" s="51">
        <v>9</v>
      </c>
      <c r="AA112" s="38">
        <v>20</v>
      </c>
      <c r="AB112" s="420">
        <v>0.8</v>
      </c>
    </row>
    <row r="113" spans="1:28" s="49" customFormat="1" ht="15.75" thickBot="1">
      <c r="A113" s="45"/>
      <c r="B113" s="46" t="s">
        <v>817</v>
      </c>
      <c r="C113" s="71">
        <v>0</v>
      </c>
      <c r="D113" s="76">
        <v>2</v>
      </c>
      <c r="E113" s="77">
        <v>2</v>
      </c>
      <c r="F113" s="77">
        <v>2</v>
      </c>
      <c r="G113" s="77">
        <v>2</v>
      </c>
      <c r="H113" s="77">
        <v>2</v>
      </c>
      <c r="I113" s="77">
        <v>5</v>
      </c>
      <c r="J113" s="77">
        <v>3</v>
      </c>
      <c r="K113" s="77">
        <v>3</v>
      </c>
      <c r="L113" s="77">
        <v>8</v>
      </c>
      <c r="M113" s="77">
        <v>10</v>
      </c>
      <c r="N113" s="425">
        <v>8</v>
      </c>
      <c r="O113" s="426">
        <v>10</v>
      </c>
      <c r="P113" s="426">
        <v>10</v>
      </c>
      <c r="Q113" s="426">
        <v>15</v>
      </c>
      <c r="R113" s="77">
        <v>9</v>
      </c>
      <c r="S113" s="77">
        <v>9</v>
      </c>
      <c r="T113" s="77">
        <v>12</v>
      </c>
      <c r="U113" s="77">
        <v>12</v>
      </c>
      <c r="V113" s="78">
        <v>9</v>
      </c>
      <c r="W113" s="72">
        <v>9</v>
      </c>
      <c r="X113" s="70">
        <v>9</v>
      </c>
      <c r="Y113" s="70">
        <v>0</v>
      </c>
      <c r="Z113" s="70">
        <v>0</v>
      </c>
      <c r="AA113" s="429"/>
      <c r="AB113" s="430"/>
    </row>
    <row r="114" spans="1:28" s="49" customFormat="1">
      <c r="A114" s="45"/>
      <c r="B114" s="46"/>
      <c r="C114" s="53"/>
      <c r="D114" s="75"/>
      <c r="E114" s="75"/>
      <c r="F114" s="75"/>
      <c r="G114" s="75"/>
      <c r="H114" s="75"/>
      <c r="I114" s="75"/>
      <c r="J114" s="75"/>
      <c r="K114" s="75"/>
      <c r="L114" s="53"/>
      <c r="M114" s="53"/>
      <c r="N114" s="53"/>
      <c r="O114" s="53"/>
      <c r="P114" s="53"/>
      <c r="Q114" s="53"/>
      <c r="R114" s="53"/>
      <c r="S114" s="53"/>
      <c r="T114" s="53"/>
      <c r="U114" s="53"/>
      <c r="V114" s="53"/>
      <c r="W114" s="53"/>
      <c r="X114" s="53"/>
      <c r="Y114" s="53"/>
      <c r="Z114" s="53"/>
      <c r="AA114" s="429"/>
      <c r="AB114" s="430"/>
    </row>
    <row r="115" spans="1:28" ht="15.75" thickBot="1">
      <c r="A115" s="41" t="s">
        <v>696</v>
      </c>
      <c r="B115" s="42" t="s">
        <v>818</v>
      </c>
      <c r="C115" s="52"/>
      <c r="D115" s="52"/>
      <c r="E115" s="52"/>
      <c r="F115" s="52"/>
      <c r="G115" s="52"/>
      <c r="H115" s="52"/>
      <c r="I115" s="52"/>
      <c r="J115" s="52"/>
      <c r="K115" s="52"/>
      <c r="L115" s="52"/>
      <c r="M115" s="52"/>
      <c r="N115" s="52"/>
      <c r="O115" s="52"/>
      <c r="P115" s="52"/>
      <c r="Q115" s="52"/>
      <c r="R115" s="50">
        <v>0</v>
      </c>
      <c r="S115" s="51">
        <v>1.3333333333333333</v>
      </c>
      <c r="T115" s="51">
        <v>2.6666666666666665</v>
      </c>
      <c r="U115" s="51">
        <v>4</v>
      </c>
      <c r="V115" s="51">
        <v>5.333333333333333</v>
      </c>
      <c r="W115" s="51">
        <v>6.6666666666666661</v>
      </c>
      <c r="X115" s="51">
        <v>7.9999999999999991</v>
      </c>
      <c r="Y115" s="50">
        <v>8</v>
      </c>
      <c r="Z115" s="51">
        <v>8</v>
      </c>
      <c r="AA115" s="38">
        <v>20</v>
      </c>
      <c r="AB115" s="420">
        <v>0.8</v>
      </c>
    </row>
    <row r="116" spans="1:28" s="49" customFormat="1" ht="15.75" thickBot="1">
      <c r="A116" s="45"/>
      <c r="B116" s="46" t="s">
        <v>819</v>
      </c>
      <c r="C116" s="52"/>
      <c r="D116" s="52"/>
      <c r="E116" s="52"/>
      <c r="F116" s="52"/>
      <c r="G116" s="52"/>
      <c r="H116" s="52"/>
      <c r="I116" s="52"/>
      <c r="J116" s="52"/>
      <c r="K116" s="52"/>
      <c r="L116" s="52"/>
      <c r="M116" s="52"/>
      <c r="N116" s="52"/>
      <c r="O116" s="52"/>
      <c r="P116" s="52"/>
      <c r="Q116" s="52"/>
      <c r="R116" s="52">
        <v>0</v>
      </c>
      <c r="S116" s="77">
        <v>6</v>
      </c>
      <c r="T116" s="77">
        <v>7</v>
      </c>
      <c r="U116" s="77">
        <v>7</v>
      </c>
      <c r="V116" s="78">
        <v>8</v>
      </c>
      <c r="W116" s="72">
        <v>8</v>
      </c>
      <c r="X116" s="70">
        <v>8</v>
      </c>
      <c r="Y116" s="70">
        <v>0</v>
      </c>
      <c r="Z116" s="70">
        <v>0</v>
      </c>
      <c r="AB116" s="421"/>
    </row>
    <row r="117" spans="1:28" s="49" customFormat="1">
      <c r="A117" s="45"/>
      <c r="B117" s="46"/>
      <c r="C117" s="53"/>
      <c r="D117" s="75"/>
      <c r="E117" s="75"/>
      <c r="F117" s="75"/>
      <c r="G117" s="75"/>
      <c r="H117" s="75"/>
      <c r="I117" s="75"/>
      <c r="J117" s="75"/>
      <c r="K117" s="75"/>
      <c r="L117" s="53"/>
      <c r="M117" s="53"/>
      <c r="N117" s="53"/>
      <c r="O117" s="53"/>
      <c r="P117" s="53"/>
      <c r="Q117" s="53"/>
      <c r="R117" s="53"/>
      <c r="S117" s="53"/>
      <c r="T117" s="53"/>
      <c r="U117" s="53"/>
      <c r="V117" s="53"/>
      <c r="W117" s="53"/>
      <c r="X117" s="53"/>
      <c r="Y117" s="53"/>
      <c r="Z117" s="53"/>
      <c r="AB117" s="421"/>
    </row>
    <row r="118" spans="1:28" ht="15.75" thickBot="1">
      <c r="A118" s="41" t="s">
        <v>697</v>
      </c>
      <c r="B118" s="42" t="s">
        <v>820</v>
      </c>
      <c r="C118" s="52"/>
      <c r="D118" s="52"/>
      <c r="E118" s="52"/>
      <c r="F118" s="52"/>
      <c r="G118" s="52"/>
      <c r="H118" s="52"/>
      <c r="I118" s="52"/>
      <c r="J118" s="52"/>
      <c r="K118" s="52"/>
      <c r="L118" s="52"/>
      <c r="M118" s="52"/>
      <c r="N118" s="52"/>
      <c r="O118" s="52"/>
      <c r="P118" s="52"/>
      <c r="Q118" s="52"/>
      <c r="R118" s="50">
        <v>0</v>
      </c>
      <c r="S118" s="51">
        <v>1.3333333333333333</v>
      </c>
      <c r="T118" s="51">
        <v>2.6666666666666665</v>
      </c>
      <c r="U118" s="51">
        <v>4</v>
      </c>
      <c r="V118" s="51">
        <v>5.333333333333333</v>
      </c>
      <c r="W118" s="51">
        <v>6.6666666666666661</v>
      </c>
      <c r="X118" s="51">
        <v>7.9999999999999991</v>
      </c>
      <c r="Y118" s="50">
        <v>8</v>
      </c>
      <c r="Z118" s="51">
        <v>8</v>
      </c>
      <c r="AA118" s="38">
        <v>10</v>
      </c>
      <c r="AB118" s="420">
        <v>0.4</v>
      </c>
    </row>
    <row r="119" spans="1:28" s="49" customFormat="1" ht="15.75" thickBot="1">
      <c r="A119" s="45"/>
      <c r="B119" s="46" t="s">
        <v>821</v>
      </c>
      <c r="C119" s="52"/>
      <c r="D119" s="52"/>
      <c r="E119" s="52"/>
      <c r="F119" s="52"/>
      <c r="G119" s="52"/>
      <c r="H119" s="52"/>
      <c r="I119" s="52"/>
      <c r="J119" s="52"/>
      <c r="K119" s="52"/>
      <c r="L119" s="52"/>
      <c r="M119" s="52"/>
      <c r="N119" s="52"/>
      <c r="O119" s="52"/>
      <c r="P119" s="52"/>
      <c r="Q119" s="52"/>
      <c r="R119" s="52">
        <v>0</v>
      </c>
      <c r="S119" s="77">
        <v>7</v>
      </c>
      <c r="T119" s="77">
        <v>7</v>
      </c>
      <c r="U119" s="77">
        <v>8</v>
      </c>
      <c r="V119" s="78">
        <v>8</v>
      </c>
      <c r="W119" s="72">
        <v>8</v>
      </c>
      <c r="X119" s="70">
        <v>8</v>
      </c>
      <c r="Y119" s="70">
        <v>0</v>
      </c>
      <c r="Z119" s="70">
        <v>0</v>
      </c>
      <c r="AB119" s="421"/>
    </row>
    <row r="120" spans="1:28" s="49" customFormat="1">
      <c r="A120" s="45"/>
      <c r="B120" s="46"/>
      <c r="C120" s="53"/>
      <c r="D120" s="75"/>
      <c r="E120" s="75"/>
      <c r="F120" s="75"/>
      <c r="G120" s="75"/>
      <c r="H120" s="75"/>
      <c r="I120" s="75"/>
      <c r="J120" s="75"/>
      <c r="K120" s="75"/>
      <c r="L120" s="53"/>
      <c r="M120" s="53"/>
      <c r="N120" s="53"/>
      <c r="O120" s="53"/>
      <c r="P120" s="53"/>
      <c r="Q120" s="53"/>
      <c r="R120" s="53"/>
      <c r="S120" s="53"/>
      <c r="T120" s="53"/>
      <c r="U120" s="53"/>
      <c r="V120" s="53"/>
      <c r="W120" s="53"/>
      <c r="X120" s="53"/>
      <c r="Y120" s="53"/>
      <c r="Z120" s="53"/>
      <c r="AB120" s="421"/>
    </row>
    <row r="121" spans="1:28" ht="15.75" thickBot="1">
      <c r="A121" s="41" t="s">
        <v>698</v>
      </c>
      <c r="B121" s="42" t="s">
        <v>822</v>
      </c>
      <c r="C121" s="52"/>
      <c r="D121" s="52"/>
      <c r="E121" s="52"/>
      <c r="F121" s="52"/>
      <c r="G121" s="52"/>
      <c r="H121" s="52"/>
      <c r="I121" s="52"/>
      <c r="J121" s="52"/>
      <c r="K121" s="52"/>
      <c r="L121" s="52"/>
      <c r="M121" s="52"/>
      <c r="N121" s="52"/>
      <c r="O121" s="52"/>
      <c r="P121" s="52"/>
      <c r="Q121" s="52"/>
      <c r="R121" s="50">
        <v>0</v>
      </c>
      <c r="S121" s="51">
        <v>1.3333333333333333</v>
      </c>
      <c r="T121" s="51">
        <v>2.6666666666666665</v>
      </c>
      <c r="U121" s="51">
        <v>4</v>
      </c>
      <c r="V121" s="51">
        <v>5.333333333333333</v>
      </c>
      <c r="W121" s="51">
        <v>5.8333333333333339</v>
      </c>
      <c r="X121" s="51">
        <v>7.0000000000000009</v>
      </c>
      <c r="Y121" s="50">
        <v>7</v>
      </c>
      <c r="Z121" s="51">
        <v>7</v>
      </c>
      <c r="AA121" s="38">
        <v>10</v>
      </c>
      <c r="AB121" s="420">
        <v>0.4</v>
      </c>
    </row>
    <row r="122" spans="1:28" s="49" customFormat="1" ht="15.75" thickBot="1">
      <c r="A122" s="45"/>
      <c r="B122" s="46" t="s">
        <v>823</v>
      </c>
      <c r="C122" s="52"/>
      <c r="D122" s="52"/>
      <c r="E122" s="52"/>
      <c r="F122" s="52"/>
      <c r="G122" s="52"/>
      <c r="H122" s="52"/>
      <c r="I122" s="52"/>
      <c r="J122" s="52"/>
      <c r="K122" s="52"/>
      <c r="L122" s="52"/>
      <c r="M122" s="52"/>
      <c r="N122" s="52"/>
      <c r="O122" s="52"/>
      <c r="P122" s="52"/>
      <c r="Q122" s="52"/>
      <c r="R122" s="52">
        <v>0</v>
      </c>
      <c r="S122" s="77">
        <v>6</v>
      </c>
      <c r="T122" s="77">
        <v>6</v>
      </c>
      <c r="U122" s="77">
        <v>7</v>
      </c>
      <c r="V122" s="78">
        <v>7</v>
      </c>
      <c r="W122" s="72">
        <v>7</v>
      </c>
      <c r="X122" s="70">
        <v>7</v>
      </c>
      <c r="Y122" s="70">
        <v>0</v>
      </c>
      <c r="Z122" s="70">
        <v>0</v>
      </c>
      <c r="AB122" s="421"/>
    </row>
    <row r="123" spans="1:28" s="49" customFormat="1">
      <c r="A123" s="45"/>
      <c r="B123" s="46"/>
      <c r="C123" s="53"/>
      <c r="D123" s="75"/>
      <c r="E123" s="75"/>
      <c r="F123" s="75"/>
      <c r="G123" s="75"/>
      <c r="H123" s="75"/>
      <c r="I123" s="75"/>
      <c r="J123" s="75"/>
      <c r="K123" s="75"/>
      <c r="L123" s="53"/>
      <c r="M123" s="53"/>
      <c r="N123" s="53"/>
      <c r="O123" s="53"/>
      <c r="P123" s="53"/>
      <c r="Q123" s="53"/>
      <c r="R123" s="53"/>
      <c r="S123" s="53"/>
      <c r="T123" s="53"/>
      <c r="U123" s="53"/>
      <c r="V123" s="53"/>
      <c r="W123" s="53"/>
      <c r="X123" s="53"/>
      <c r="Y123" s="53"/>
      <c r="Z123" s="53"/>
      <c r="AB123" s="421"/>
    </row>
    <row r="124" spans="1:28" ht="15.75" thickBot="1">
      <c r="A124" s="41" t="s">
        <v>699</v>
      </c>
      <c r="B124" s="42" t="s">
        <v>202</v>
      </c>
      <c r="C124" s="50">
        <v>2</v>
      </c>
      <c r="D124" s="73">
        <v>2.5</v>
      </c>
      <c r="E124" s="73">
        <v>3</v>
      </c>
      <c r="F124" s="73">
        <v>3.5</v>
      </c>
      <c r="G124" s="73">
        <v>4</v>
      </c>
      <c r="H124" s="73">
        <v>4.5</v>
      </c>
      <c r="I124" s="74">
        <v>5</v>
      </c>
      <c r="J124" s="73">
        <v>5.5</v>
      </c>
      <c r="K124" s="73">
        <v>6</v>
      </c>
      <c r="L124" s="51">
        <v>6.5</v>
      </c>
      <c r="M124" s="51">
        <v>7</v>
      </c>
      <c r="N124" s="50">
        <v>8</v>
      </c>
      <c r="O124" s="51">
        <v>7</v>
      </c>
      <c r="P124" s="51">
        <v>6</v>
      </c>
      <c r="Q124" s="51">
        <v>5</v>
      </c>
      <c r="R124" s="50">
        <v>4</v>
      </c>
      <c r="S124" s="51">
        <v>4.833333333333333</v>
      </c>
      <c r="T124" s="51">
        <v>5.6666666666666661</v>
      </c>
      <c r="U124" s="51">
        <v>6.4999999999999991</v>
      </c>
      <c r="V124" s="51">
        <v>7.3333333333333321</v>
      </c>
      <c r="W124" s="51">
        <v>8.1666666666666661</v>
      </c>
      <c r="X124" s="51">
        <v>9</v>
      </c>
      <c r="Y124" s="50">
        <v>9</v>
      </c>
      <c r="Z124" s="51">
        <v>9</v>
      </c>
      <c r="AA124" s="38">
        <v>10</v>
      </c>
      <c r="AB124" s="420">
        <v>0.4</v>
      </c>
    </row>
    <row r="125" spans="1:28" s="49" customFormat="1" ht="15.75" thickBot="1">
      <c r="A125" s="45"/>
      <c r="B125" s="46" t="s">
        <v>203</v>
      </c>
      <c r="C125" s="71">
        <v>2</v>
      </c>
      <c r="D125" s="76">
        <v>2</v>
      </c>
      <c r="E125" s="77">
        <v>2</v>
      </c>
      <c r="F125" s="77">
        <v>2</v>
      </c>
      <c r="G125" s="77">
        <v>2</v>
      </c>
      <c r="H125" s="77">
        <v>2</v>
      </c>
      <c r="I125" s="77">
        <v>0</v>
      </c>
      <c r="J125" s="77">
        <v>0</v>
      </c>
      <c r="K125" s="77">
        <v>0</v>
      </c>
      <c r="L125" s="77">
        <v>4</v>
      </c>
      <c r="M125" s="77">
        <v>5</v>
      </c>
      <c r="N125" s="77">
        <v>2</v>
      </c>
      <c r="O125" s="77">
        <v>2</v>
      </c>
      <c r="P125" s="77">
        <v>2</v>
      </c>
      <c r="Q125" s="77">
        <v>4</v>
      </c>
      <c r="R125" s="77">
        <v>6</v>
      </c>
      <c r="S125" s="77">
        <v>7</v>
      </c>
      <c r="T125" s="77">
        <v>8</v>
      </c>
      <c r="U125" s="77">
        <v>9</v>
      </c>
      <c r="V125" s="78">
        <v>9</v>
      </c>
      <c r="W125" s="72">
        <v>9</v>
      </c>
      <c r="X125" s="70">
        <v>9</v>
      </c>
      <c r="Y125" s="70">
        <v>0</v>
      </c>
      <c r="Z125" s="70">
        <v>0</v>
      </c>
      <c r="AB125" s="421"/>
    </row>
    <row r="126" spans="1:28">
      <c r="B126" s="46"/>
      <c r="AB126" s="420"/>
    </row>
    <row r="127" spans="1:28" ht="15.75" thickBot="1">
      <c r="A127" s="41" t="s">
        <v>700</v>
      </c>
      <c r="B127" s="42" t="s">
        <v>213</v>
      </c>
      <c r="C127" s="52"/>
      <c r="D127" s="52"/>
      <c r="E127" s="52"/>
      <c r="F127" s="52"/>
      <c r="G127" s="52"/>
      <c r="H127" s="52"/>
      <c r="I127" s="52"/>
      <c r="J127" s="52"/>
      <c r="K127" s="52"/>
      <c r="L127" s="52"/>
      <c r="M127" s="52"/>
      <c r="N127" s="52"/>
      <c r="O127" s="52"/>
      <c r="P127" s="52"/>
      <c r="Q127" s="52"/>
      <c r="R127" s="50">
        <v>0</v>
      </c>
      <c r="S127" s="51">
        <v>1</v>
      </c>
      <c r="T127" s="51">
        <v>2</v>
      </c>
      <c r="U127" s="51">
        <v>3</v>
      </c>
      <c r="V127" s="51">
        <v>4</v>
      </c>
      <c r="W127" s="51">
        <v>6.6666666666666661</v>
      </c>
      <c r="X127" s="51">
        <v>7.9999999999999991</v>
      </c>
      <c r="Y127" s="50">
        <v>8</v>
      </c>
      <c r="Z127" s="51">
        <v>8</v>
      </c>
      <c r="AA127" s="38">
        <v>10</v>
      </c>
      <c r="AB127" s="420">
        <v>0.4</v>
      </c>
    </row>
    <row r="128" spans="1:28" s="49" customFormat="1" ht="15.75" thickBot="1">
      <c r="A128" s="45"/>
      <c r="B128" s="46" t="s">
        <v>212</v>
      </c>
      <c r="C128" s="52"/>
      <c r="D128" s="52"/>
      <c r="E128" s="52"/>
      <c r="F128" s="52"/>
      <c r="G128" s="52"/>
      <c r="H128" s="52"/>
      <c r="I128" s="52"/>
      <c r="J128" s="52"/>
      <c r="K128" s="52"/>
      <c r="L128" s="52"/>
      <c r="M128" s="52"/>
      <c r="N128" s="52"/>
      <c r="O128" s="52"/>
      <c r="P128" s="52"/>
      <c r="Q128" s="52"/>
      <c r="R128" s="52">
        <v>0</v>
      </c>
      <c r="S128" s="77">
        <v>6</v>
      </c>
      <c r="T128" s="77">
        <v>6</v>
      </c>
      <c r="U128" s="77">
        <v>7</v>
      </c>
      <c r="V128" s="78">
        <v>8</v>
      </c>
      <c r="W128" s="72">
        <v>8</v>
      </c>
      <c r="X128" s="70">
        <v>8</v>
      </c>
      <c r="Y128" s="70">
        <v>0</v>
      </c>
      <c r="Z128" s="70">
        <v>0</v>
      </c>
      <c r="AB128" s="421"/>
    </row>
    <row r="129" spans="1:28" s="49" customFormat="1">
      <c r="A129" s="45"/>
      <c r="B129" s="46"/>
      <c r="C129" s="53"/>
      <c r="D129" s="75"/>
      <c r="E129" s="75"/>
      <c r="F129" s="75"/>
      <c r="G129" s="75"/>
      <c r="H129" s="75"/>
      <c r="I129" s="75"/>
      <c r="J129" s="75"/>
      <c r="K129" s="75"/>
      <c r="L129" s="53"/>
      <c r="M129" s="53"/>
      <c r="N129" s="53"/>
      <c r="O129" s="53"/>
      <c r="P129" s="53"/>
      <c r="Q129" s="53"/>
      <c r="R129" s="53"/>
      <c r="S129" s="53"/>
      <c r="T129" s="53"/>
      <c r="U129" s="53"/>
      <c r="V129" s="53"/>
      <c r="W129" s="53"/>
      <c r="X129" s="53"/>
      <c r="Y129" s="53"/>
      <c r="Z129" s="53"/>
      <c r="AB129" s="421"/>
    </row>
    <row r="130" spans="1:28" ht="15.75" thickBot="1">
      <c r="A130" s="41" t="s">
        <v>701</v>
      </c>
      <c r="B130" s="42" t="s">
        <v>211</v>
      </c>
      <c r="C130" s="52"/>
      <c r="D130" s="52"/>
      <c r="E130" s="52"/>
      <c r="F130" s="52"/>
      <c r="G130" s="52"/>
      <c r="H130" s="52"/>
      <c r="I130" s="52"/>
      <c r="J130" s="52"/>
      <c r="K130" s="52"/>
      <c r="L130" s="52"/>
      <c r="M130" s="52"/>
      <c r="N130" s="52"/>
      <c r="O130" s="52"/>
      <c r="P130" s="52"/>
      <c r="Q130" s="52"/>
      <c r="R130" s="50">
        <v>0</v>
      </c>
      <c r="S130" s="51">
        <v>0.83333333333333337</v>
      </c>
      <c r="T130" s="51">
        <v>1.6666666666666667</v>
      </c>
      <c r="U130" s="51">
        <v>2.5</v>
      </c>
      <c r="V130" s="51">
        <v>3.3333333333333335</v>
      </c>
      <c r="W130" s="51">
        <v>5</v>
      </c>
      <c r="X130" s="51">
        <v>6</v>
      </c>
      <c r="Y130" s="50">
        <v>6</v>
      </c>
      <c r="Z130" s="51">
        <v>6</v>
      </c>
      <c r="AA130" s="38">
        <v>5</v>
      </c>
      <c r="AB130" s="420">
        <v>0.2</v>
      </c>
    </row>
    <row r="131" spans="1:28" s="49" customFormat="1" ht="15.75" thickBot="1">
      <c r="A131" s="45"/>
      <c r="B131" s="46" t="s">
        <v>210</v>
      </c>
      <c r="C131" s="52"/>
      <c r="D131" s="52"/>
      <c r="E131" s="52"/>
      <c r="F131" s="52"/>
      <c r="G131" s="52"/>
      <c r="H131" s="52"/>
      <c r="I131" s="52"/>
      <c r="J131" s="52"/>
      <c r="K131" s="52"/>
      <c r="L131" s="52"/>
      <c r="M131" s="52"/>
      <c r="N131" s="52"/>
      <c r="O131" s="52"/>
      <c r="P131" s="52"/>
      <c r="Q131" s="52"/>
      <c r="R131" s="52">
        <v>0</v>
      </c>
      <c r="S131" s="77">
        <v>5</v>
      </c>
      <c r="T131" s="77">
        <v>5</v>
      </c>
      <c r="U131" s="77">
        <v>6</v>
      </c>
      <c r="V131" s="78">
        <v>6</v>
      </c>
      <c r="W131" s="72">
        <v>6</v>
      </c>
      <c r="X131" s="70">
        <v>6</v>
      </c>
      <c r="Y131" s="70">
        <v>0</v>
      </c>
      <c r="Z131" s="70">
        <v>0</v>
      </c>
      <c r="AB131" s="421"/>
    </row>
    <row r="132" spans="1:28" s="49" customFormat="1">
      <c r="A132" s="45"/>
      <c r="B132" s="46"/>
      <c r="C132" s="53"/>
      <c r="D132" s="75"/>
      <c r="E132" s="75"/>
      <c r="F132" s="75"/>
      <c r="G132" s="75"/>
      <c r="H132" s="75"/>
      <c r="I132" s="75"/>
      <c r="J132" s="75"/>
      <c r="K132" s="75"/>
      <c r="L132" s="53"/>
      <c r="M132" s="53"/>
      <c r="N132" s="53"/>
      <c r="O132" s="53"/>
      <c r="P132" s="53"/>
      <c r="Q132" s="53"/>
      <c r="R132" s="53"/>
      <c r="S132" s="53"/>
      <c r="T132" s="53"/>
      <c r="U132" s="53"/>
      <c r="V132" s="53"/>
      <c r="W132" s="53"/>
      <c r="X132" s="53"/>
      <c r="Y132" s="53"/>
      <c r="Z132" s="53"/>
      <c r="AB132" s="421"/>
    </row>
    <row r="133" spans="1:28" ht="15.75" thickBot="1">
      <c r="A133" s="41" t="s">
        <v>702</v>
      </c>
      <c r="B133" s="42" t="s">
        <v>209</v>
      </c>
      <c r="C133" s="52"/>
      <c r="D133" s="52"/>
      <c r="E133" s="52"/>
      <c r="F133" s="52"/>
      <c r="G133" s="52"/>
      <c r="H133" s="52"/>
      <c r="I133" s="52"/>
      <c r="J133" s="52"/>
      <c r="K133" s="52"/>
      <c r="L133" s="52"/>
      <c r="M133" s="52"/>
      <c r="N133" s="52"/>
      <c r="O133" s="52"/>
      <c r="P133" s="52"/>
      <c r="Q133" s="52"/>
      <c r="R133" s="50">
        <v>0</v>
      </c>
      <c r="S133" s="51">
        <v>0.33333333333333331</v>
      </c>
      <c r="T133" s="51">
        <v>0.66666666666666663</v>
      </c>
      <c r="U133" s="51">
        <v>1</v>
      </c>
      <c r="V133" s="51">
        <v>1.3333333333333333</v>
      </c>
      <c r="W133" s="51">
        <v>1.6666666666666665</v>
      </c>
      <c r="X133" s="51">
        <v>1.9999999999999998</v>
      </c>
      <c r="Y133" s="50">
        <v>2</v>
      </c>
      <c r="Z133" s="51">
        <v>2</v>
      </c>
      <c r="AA133" s="38">
        <v>5</v>
      </c>
      <c r="AB133" s="420">
        <v>0.2</v>
      </c>
    </row>
    <row r="134" spans="1:28" s="49" customFormat="1" ht="15.75" thickBot="1">
      <c r="A134" s="45"/>
      <c r="B134" s="46" t="s">
        <v>208</v>
      </c>
      <c r="C134" s="52"/>
      <c r="D134" s="52"/>
      <c r="E134" s="52"/>
      <c r="F134" s="52"/>
      <c r="G134" s="52"/>
      <c r="H134" s="52"/>
      <c r="I134" s="52"/>
      <c r="J134" s="52"/>
      <c r="K134" s="52"/>
      <c r="L134" s="52"/>
      <c r="M134" s="52"/>
      <c r="N134" s="52"/>
      <c r="O134" s="52"/>
      <c r="P134" s="52"/>
      <c r="Q134" s="52"/>
      <c r="R134" s="52">
        <v>0</v>
      </c>
      <c r="S134" s="77">
        <v>2</v>
      </c>
      <c r="T134" s="77">
        <v>2</v>
      </c>
      <c r="U134" s="77">
        <v>2</v>
      </c>
      <c r="V134" s="78">
        <v>2</v>
      </c>
      <c r="W134" s="72">
        <v>2</v>
      </c>
      <c r="X134" s="70">
        <v>2</v>
      </c>
      <c r="Y134" s="70">
        <v>0</v>
      </c>
      <c r="Z134" s="70">
        <v>0</v>
      </c>
      <c r="AB134" s="421"/>
    </row>
    <row r="135" spans="1:28" s="49" customFormat="1">
      <c r="A135" s="45"/>
      <c r="B135" s="46"/>
      <c r="C135" s="53"/>
      <c r="D135" s="75"/>
      <c r="E135" s="75"/>
      <c r="F135" s="75"/>
      <c r="G135" s="75"/>
      <c r="H135" s="75"/>
      <c r="I135" s="75"/>
      <c r="J135" s="75"/>
      <c r="K135" s="75"/>
      <c r="L135" s="53"/>
      <c r="M135" s="53"/>
      <c r="N135" s="53"/>
      <c r="O135" s="53"/>
      <c r="P135" s="53"/>
      <c r="Q135" s="53"/>
      <c r="R135" s="53"/>
      <c r="S135" s="53"/>
      <c r="T135" s="53"/>
      <c r="U135" s="53"/>
      <c r="V135" s="53"/>
      <c r="W135" s="53"/>
      <c r="X135" s="53"/>
      <c r="Y135" s="53"/>
      <c r="Z135" s="53"/>
      <c r="AB135" s="421"/>
    </row>
    <row r="136" spans="1:28" ht="15.75" thickBot="1">
      <c r="A136" s="41" t="s">
        <v>703</v>
      </c>
      <c r="B136" s="42" t="s">
        <v>824</v>
      </c>
      <c r="C136" s="52"/>
      <c r="D136" s="52"/>
      <c r="E136" s="52"/>
      <c r="F136" s="52"/>
      <c r="G136" s="52"/>
      <c r="H136" s="52"/>
      <c r="I136" s="52"/>
      <c r="J136" s="52"/>
      <c r="K136" s="52"/>
      <c r="L136" s="52"/>
      <c r="M136" s="52"/>
      <c r="N136" s="52"/>
      <c r="O136" s="52"/>
      <c r="P136" s="52"/>
      <c r="Q136" s="52"/>
      <c r="R136" s="50">
        <v>3</v>
      </c>
      <c r="S136" s="51">
        <v>3</v>
      </c>
      <c r="T136" s="51">
        <v>3</v>
      </c>
      <c r="U136" s="51">
        <v>3</v>
      </c>
      <c r="V136" s="51">
        <v>3</v>
      </c>
      <c r="W136" s="51">
        <v>8</v>
      </c>
      <c r="X136" s="51">
        <v>9</v>
      </c>
      <c r="Y136" s="50">
        <v>9</v>
      </c>
      <c r="Z136" s="51">
        <v>9</v>
      </c>
      <c r="AA136" s="38">
        <v>10</v>
      </c>
      <c r="AB136" s="420">
        <v>0.4</v>
      </c>
    </row>
    <row r="137" spans="1:28" s="49" customFormat="1" ht="15.75" thickBot="1">
      <c r="A137" s="45"/>
      <c r="B137" s="46" t="s">
        <v>825</v>
      </c>
      <c r="C137" s="52"/>
      <c r="D137" s="52"/>
      <c r="E137" s="52"/>
      <c r="F137" s="52"/>
      <c r="G137" s="52"/>
      <c r="H137" s="52"/>
      <c r="I137" s="52"/>
      <c r="J137" s="52"/>
      <c r="K137" s="52"/>
      <c r="L137" s="52"/>
      <c r="M137" s="52"/>
      <c r="N137" s="52"/>
      <c r="O137" s="52"/>
      <c r="P137" s="52"/>
      <c r="Q137" s="52"/>
      <c r="R137" s="52">
        <v>3</v>
      </c>
      <c r="S137" s="77">
        <v>7</v>
      </c>
      <c r="T137" s="77">
        <v>8</v>
      </c>
      <c r="U137" s="77">
        <v>9</v>
      </c>
      <c r="V137" s="78">
        <v>9</v>
      </c>
      <c r="W137" s="72">
        <v>9</v>
      </c>
      <c r="X137" s="70">
        <v>9</v>
      </c>
      <c r="Y137" s="70">
        <v>0</v>
      </c>
      <c r="Z137" s="70">
        <v>0</v>
      </c>
      <c r="AB137" s="421"/>
    </row>
    <row r="138" spans="1:28">
      <c r="AB138" s="420"/>
    </row>
    <row r="139" spans="1:28" ht="15.75" thickBot="1">
      <c r="A139" s="41" t="s">
        <v>704</v>
      </c>
      <c r="B139" s="42" t="s">
        <v>826</v>
      </c>
      <c r="C139" s="52"/>
      <c r="D139" s="52"/>
      <c r="E139" s="52"/>
      <c r="F139" s="52"/>
      <c r="G139" s="52"/>
      <c r="H139" s="52"/>
      <c r="I139" s="52"/>
      <c r="J139" s="52"/>
      <c r="K139" s="52"/>
      <c r="L139" s="52"/>
      <c r="M139" s="52"/>
      <c r="N139" s="52"/>
      <c r="O139" s="52"/>
      <c r="P139" s="52"/>
      <c r="Q139" s="52"/>
      <c r="R139" s="50">
        <v>2</v>
      </c>
      <c r="S139" s="51">
        <v>2.1666666666666665</v>
      </c>
      <c r="T139" s="51">
        <v>2.333333333333333</v>
      </c>
      <c r="U139" s="51">
        <v>2.4999999999999996</v>
      </c>
      <c r="V139" s="51">
        <v>2.6666666666666661</v>
      </c>
      <c r="W139" s="51">
        <v>4.5</v>
      </c>
      <c r="X139" s="51">
        <v>5</v>
      </c>
      <c r="Y139" s="50">
        <v>5</v>
      </c>
      <c r="Z139" s="51">
        <v>5</v>
      </c>
      <c r="AA139" s="38">
        <v>10</v>
      </c>
      <c r="AB139" s="420">
        <v>0.4</v>
      </c>
    </row>
    <row r="140" spans="1:28" s="49" customFormat="1" ht="15.75" thickBot="1">
      <c r="A140" s="45"/>
      <c r="B140" s="46" t="s">
        <v>827</v>
      </c>
      <c r="C140" s="52"/>
      <c r="D140" s="52"/>
      <c r="E140" s="52"/>
      <c r="F140" s="52"/>
      <c r="G140" s="52"/>
      <c r="H140" s="52"/>
      <c r="I140" s="52"/>
      <c r="J140" s="52"/>
      <c r="K140" s="52"/>
      <c r="L140" s="52"/>
      <c r="M140" s="52"/>
      <c r="N140" s="52"/>
      <c r="O140" s="52"/>
      <c r="P140" s="52"/>
      <c r="Q140" s="52"/>
      <c r="R140" s="52">
        <v>2</v>
      </c>
      <c r="S140" s="77">
        <v>4</v>
      </c>
      <c r="T140" s="77">
        <v>4</v>
      </c>
      <c r="U140" s="77">
        <v>5</v>
      </c>
      <c r="V140" s="78">
        <v>5</v>
      </c>
      <c r="W140" s="72">
        <v>5</v>
      </c>
      <c r="X140" s="70">
        <v>5</v>
      </c>
      <c r="Y140" s="70">
        <v>0</v>
      </c>
      <c r="Z140" s="70">
        <v>0</v>
      </c>
      <c r="AB140" s="421"/>
    </row>
    <row r="141" spans="1:28" s="49" customFormat="1">
      <c r="A141" s="45"/>
      <c r="B141" s="46"/>
      <c r="C141" s="53"/>
      <c r="D141" s="75"/>
      <c r="E141" s="75"/>
      <c r="F141" s="75"/>
      <c r="G141" s="75"/>
      <c r="H141" s="75"/>
      <c r="I141" s="75"/>
      <c r="J141" s="75"/>
      <c r="K141" s="75"/>
      <c r="L141" s="53"/>
      <c r="M141" s="53"/>
      <c r="N141" s="53"/>
      <c r="O141" s="53"/>
      <c r="P141" s="53"/>
      <c r="Q141" s="53"/>
      <c r="R141" s="53"/>
      <c r="S141" s="53"/>
      <c r="T141" s="53"/>
      <c r="U141" s="53"/>
      <c r="V141" s="53"/>
      <c r="W141" s="53"/>
      <c r="X141" s="53"/>
      <c r="Y141" s="53"/>
      <c r="Z141" s="53"/>
      <c r="AB141" s="421"/>
    </row>
    <row r="142" spans="1:28" ht="15.75" thickBot="1">
      <c r="A142" s="41" t="s">
        <v>705</v>
      </c>
      <c r="B142" s="42" t="s">
        <v>828</v>
      </c>
      <c r="C142" s="52"/>
      <c r="D142" s="52"/>
      <c r="E142" s="52"/>
      <c r="F142" s="52"/>
      <c r="G142" s="52"/>
      <c r="H142" s="52"/>
      <c r="I142" s="52"/>
      <c r="J142" s="52"/>
      <c r="K142" s="52"/>
      <c r="L142" s="52"/>
      <c r="M142" s="52"/>
      <c r="N142" s="52"/>
      <c r="O142" s="52"/>
      <c r="P142" s="52"/>
      <c r="Q142" s="52"/>
      <c r="R142" s="50">
        <v>1</v>
      </c>
      <c r="S142" s="51">
        <v>1.1666666666666667</v>
      </c>
      <c r="T142" s="51">
        <v>1.3333333333333335</v>
      </c>
      <c r="U142" s="51">
        <v>1.5000000000000002</v>
      </c>
      <c r="V142" s="51">
        <v>1.666666666666667</v>
      </c>
      <c r="W142" s="51">
        <v>1.8333333333333337</v>
      </c>
      <c r="X142" s="51">
        <v>2.0000000000000004</v>
      </c>
      <c r="Y142" s="50">
        <v>2</v>
      </c>
      <c r="Z142" s="51">
        <v>2</v>
      </c>
      <c r="AA142" s="38">
        <v>5</v>
      </c>
      <c r="AB142" s="420">
        <v>0.2</v>
      </c>
    </row>
    <row r="143" spans="1:28" s="49" customFormat="1" ht="15.75" thickBot="1">
      <c r="A143" s="45"/>
      <c r="B143" s="46" t="s">
        <v>829</v>
      </c>
      <c r="C143" s="52"/>
      <c r="D143" s="52"/>
      <c r="E143" s="52"/>
      <c r="F143" s="52"/>
      <c r="G143" s="52"/>
      <c r="H143" s="52"/>
      <c r="I143" s="52"/>
      <c r="J143" s="52"/>
      <c r="K143" s="52"/>
      <c r="L143" s="52"/>
      <c r="M143" s="52"/>
      <c r="N143" s="52"/>
      <c r="O143" s="52"/>
      <c r="P143" s="52"/>
      <c r="Q143" s="52"/>
      <c r="R143" s="52">
        <v>1</v>
      </c>
      <c r="S143" s="77">
        <v>2</v>
      </c>
      <c r="T143" s="77">
        <v>2</v>
      </c>
      <c r="U143" s="77">
        <v>2</v>
      </c>
      <c r="V143" s="78">
        <v>2</v>
      </c>
      <c r="W143" s="72">
        <v>2</v>
      </c>
      <c r="X143" s="70">
        <v>2</v>
      </c>
      <c r="Y143" s="70">
        <v>0</v>
      </c>
      <c r="Z143" s="70">
        <v>0</v>
      </c>
      <c r="AB143" s="421"/>
    </row>
    <row r="144" spans="1:28" s="49" customFormat="1">
      <c r="A144" s="45"/>
      <c r="B144" s="46"/>
      <c r="C144" s="53"/>
      <c r="D144" s="75"/>
      <c r="E144" s="75"/>
      <c r="F144" s="75"/>
      <c r="G144" s="75"/>
      <c r="H144" s="75"/>
      <c r="I144" s="75"/>
      <c r="J144" s="75"/>
      <c r="K144" s="75"/>
      <c r="L144" s="53"/>
      <c r="M144" s="53"/>
      <c r="N144" s="53"/>
      <c r="O144" s="53"/>
      <c r="P144" s="53"/>
      <c r="Q144" s="53"/>
      <c r="R144" s="53"/>
      <c r="S144" s="53"/>
      <c r="T144" s="53"/>
      <c r="U144" s="53"/>
      <c r="V144" s="53"/>
      <c r="W144" s="53"/>
      <c r="X144" s="53"/>
      <c r="Y144" s="53"/>
      <c r="Z144" s="53"/>
      <c r="AB144" s="421"/>
    </row>
    <row r="145" spans="1:28" ht="15.75" thickBot="1">
      <c r="A145" s="41" t="s">
        <v>706</v>
      </c>
      <c r="B145" s="42" t="s">
        <v>830</v>
      </c>
      <c r="C145" s="52"/>
      <c r="D145" s="52"/>
      <c r="E145" s="52"/>
      <c r="F145" s="52"/>
      <c r="G145" s="52"/>
      <c r="H145" s="52"/>
      <c r="I145" s="52"/>
      <c r="J145" s="52"/>
      <c r="K145" s="52"/>
      <c r="L145" s="52"/>
      <c r="M145" s="52"/>
      <c r="N145" s="52"/>
      <c r="O145" s="52"/>
      <c r="P145" s="52"/>
      <c r="Q145" s="52"/>
      <c r="R145" s="50">
        <v>0</v>
      </c>
      <c r="S145" s="51">
        <v>0.16666666666666666</v>
      </c>
      <c r="T145" s="51">
        <v>0.33333333333333331</v>
      </c>
      <c r="U145" s="51">
        <v>0.5</v>
      </c>
      <c r="V145" s="51">
        <v>0.66666666666666663</v>
      </c>
      <c r="W145" s="51">
        <v>0</v>
      </c>
      <c r="X145" s="51">
        <v>0</v>
      </c>
      <c r="Y145" s="50">
        <v>0</v>
      </c>
      <c r="Z145" s="51">
        <v>0</v>
      </c>
      <c r="AA145" s="38">
        <v>5</v>
      </c>
      <c r="AB145" s="420">
        <v>0.2</v>
      </c>
    </row>
    <row r="146" spans="1:28" s="49" customFormat="1" ht="15.75" thickBot="1">
      <c r="A146" s="45"/>
      <c r="B146" s="46" t="s">
        <v>831</v>
      </c>
      <c r="C146" s="52"/>
      <c r="D146" s="52"/>
      <c r="E146" s="52"/>
      <c r="F146" s="52"/>
      <c r="G146" s="52"/>
      <c r="H146" s="52"/>
      <c r="I146" s="52"/>
      <c r="J146" s="52"/>
      <c r="K146" s="52"/>
      <c r="L146" s="52"/>
      <c r="M146" s="52"/>
      <c r="N146" s="52"/>
      <c r="O146" s="52"/>
      <c r="P146" s="52"/>
      <c r="Q146" s="52"/>
      <c r="R146" s="52">
        <v>0</v>
      </c>
      <c r="S146" s="77">
        <v>0</v>
      </c>
      <c r="T146" s="77">
        <v>0</v>
      </c>
      <c r="U146" s="77">
        <v>0</v>
      </c>
      <c r="V146" s="78">
        <v>0</v>
      </c>
      <c r="W146" s="72">
        <v>0</v>
      </c>
      <c r="X146" s="70">
        <v>0</v>
      </c>
      <c r="Y146" s="70">
        <v>0</v>
      </c>
      <c r="Z146" s="70">
        <v>0</v>
      </c>
      <c r="AB146" s="421"/>
    </row>
    <row r="147" spans="1:28" s="49" customFormat="1">
      <c r="A147" s="45"/>
      <c r="B147" s="46"/>
      <c r="C147" s="53"/>
      <c r="D147" s="75"/>
      <c r="E147" s="75"/>
      <c r="F147" s="75"/>
      <c r="G147" s="75"/>
      <c r="H147" s="75"/>
      <c r="I147" s="75"/>
      <c r="J147" s="75"/>
      <c r="K147" s="75"/>
      <c r="L147" s="53"/>
      <c r="M147" s="53"/>
      <c r="N147" s="53"/>
      <c r="O147" s="53"/>
      <c r="P147" s="53"/>
      <c r="Q147" s="53"/>
      <c r="R147" s="53"/>
      <c r="S147" s="53"/>
      <c r="T147" s="53"/>
      <c r="U147" s="53"/>
      <c r="V147" s="53"/>
      <c r="W147" s="53"/>
      <c r="X147" s="53"/>
      <c r="Y147" s="53"/>
      <c r="Z147" s="53"/>
      <c r="AB147" s="421"/>
    </row>
    <row r="148" spans="1:28" ht="14.25">
      <c r="A148" s="38"/>
    </row>
    <row r="149" spans="1:28">
      <c r="C149" s="55" t="s">
        <v>194</v>
      </c>
      <c r="D149" s="431"/>
      <c r="E149" s="432"/>
      <c r="F149" s="433"/>
    </row>
    <row r="150" spans="1:28">
      <c r="C150" s="55" t="s">
        <v>195</v>
      </c>
      <c r="D150" s="434" t="s">
        <v>196</v>
      </c>
      <c r="E150" s="435" t="s">
        <v>153</v>
      </c>
      <c r="F150" s="435" t="s">
        <v>154</v>
      </c>
      <c r="G150" s="435" t="s">
        <v>158</v>
      </c>
      <c r="H150" s="434" t="s">
        <v>197</v>
      </c>
    </row>
    <row r="151" spans="1:28">
      <c r="C151" s="55"/>
      <c r="D151" s="434"/>
      <c r="E151" s="435"/>
      <c r="F151" s="435"/>
      <c r="G151" s="435"/>
      <c r="H151" s="434"/>
    </row>
    <row r="153" spans="1:28" ht="14.25">
      <c r="A153" s="1356" t="s">
        <v>727</v>
      </c>
      <c r="B153" s="1356"/>
    </row>
    <row r="154" spans="1:28" ht="14.25">
      <c r="A154" s="1356"/>
      <c r="B154" s="1356"/>
    </row>
    <row r="155" spans="1:28" ht="14.25">
      <c r="A155" s="1356"/>
      <c r="B155" s="1356"/>
    </row>
    <row r="156" spans="1:28" ht="14.25">
      <c r="A156" s="1356"/>
      <c r="B156" s="1356"/>
    </row>
    <row r="157" spans="1:28" ht="14.25">
      <c r="A157" s="1356"/>
      <c r="B157" s="1356"/>
    </row>
  </sheetData>
  <sheetProtection password="CF55" sheet="1" objects="1" scenarios="1" selectLockedCells="1" selectUnlockedCells="1"/>
  <mergeCells count="7">
    <mergeCell ref="W1:Z1"/>
    <mergeCell ref="S1:V1"/>
    <mergeCell ref="A153:B157"/>
    <mergeCell ref="D1:G1"/>
    <mergeCell ref="H1:K1"/>
    <mergeCell ref="L1:N1"/>
    <mergeCell ref="O1:R1"/>
  </mergeCell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tint="-0.249977111117893"/>
  </sheetPr>
  <dimension ref="A1:AI157"/>
  <sheetViews>
    <sheetView workbookViewId="0">
      <pane xSplit="2" ySplit="3" topLeftCell="U54" activePane="bottomRight" state="frozen"/>
      <selection activeCell="L92" sqref="L92:O92"/>
      <selection pane="topRight" activeCell="L92" sqref="L92:O92"/>
      <selection pane="bottomLeft" activeCell="L92" sqref="L92:O92"/>
      <selection pane="bottomRight" activeCell="L92" sqref="L92:O92"/>
    </sheetView>
  </sheetViews>
  <sheetFormatPr defaultColWidth="11.42578125" defaultRowHeight="15"/>
  <cols>
    <col min="1" max="1" width="20.85546875" style="39" customWidth="1"/>
    <col min="2" max="2" width="20.85546875" style="38" customWidth="1"/>
    <col min="3" max="3" width="10.85546875" style="54" customWidth="1"/>
    <col min="4" max="8" width="5.85546875" style="54" customWidth="1"/>
    <col min="9" max="9" width="10.85546875" style="54" customWidth="1"/>
    <col min="10" max="13" width="5.85546875" style="54" customWidth="1"/>
    <col min="14" max="14" width="10.85546875" style="54" customWidth="1"/>
    <col min="15" max="17" width="5.85546875" style="54" customWidth="1"/>
    <col min="18" max="18" width="10.85546875" style="54" customWidth="1"/>
    <col min="19" max="24" width="5.85546875" style="54" customWidth="1"/>
    <col min="25" max="25" width="10.85546875" style="54" customWidth="1"/>
    <col min="26" max="26" width="5.85546875" style="54" customWidth="1"/>
    <col min="27" max="28" width="10.85546875" style="38" customWidth="1"/>
    <col min="29" max="30" width="11.42578125" style="335"/>
    <col min="31" max="31" width="5.85546875" style="335" customWidth="1"/>
    <col min="32" max="33" width="11.42578125" style="335"/>
    <col min="34" max="34" width="5.85546875" style="335" customWidth="1"/>
    <col min="35" max="16384" width="11.42578125" style="335"/>
  </cols>
  <sheetData>
    <row r="1" spans="1:35" ht="12.95" customHeight="1" thickBot="1">
      <c r="A1" s="57" t="s">
        <v>833</v>
      </c>
      <c r="B1" s="59" t="s">
        <v>192</v>
      </c>
      <c r="C1" s="463" t="s">
        <v>190</v>
      </c>
      <c r="D1" s="1357">
        <v>2010</v>
      </c>
      <c r="E1" s="1357"/>
      <c r="F1" s="1357"/>
      <c r="G1" s="1357"/>
      <c r="H1" s="1358">
        <v>2011</v>
      </c>
      <c r="I1" s="1358"/>
      <c r="J1" s="1358"/>
      <c r="K1" s="1358"/>
      <c r="L1" s="1353">
        <v>2012</v>
      </c>
      <c r="M1" s="1354"/>
      <c r="N1" s="1355"/>
      <c r="O1" s="1359">
        <v>2013</v>
      </c>
      <c r="P1" s="1360"/>
      <c r="Q1" s="1360"/>
      <c r="R1" s="1361"/>
      <c r="S1" s="1353">
        <v>2014</v>
      </c>
      <c r="T1" s="1354"/>
      <c r="U1" s="1354"/>
      <c r="V1" s="1355"/>
      <c r="W1" s="1351">
        <v>2015</v>
      </c>
      <c r="X1" s="1352"/>
      <c r="Y1" s="1352"/>
      <c r="Z1" s="1352"/>
      <c r="AG1" s="464">
        <v>21</v>
      </c>
      <c r="AH1" s="482" t="s">
        <v>844</v>
      </c>
    </row>
    <row r="2" spans="1:35" s="338" customFormat="1" ht="42.75">
      <c r="A2" s="58" t="s">
        <v>193</v>
      </c>
      <c r="B2" s="59" t="s">
        <v>191</v>
      </c>
      <c r="C2" s="418" t="s">
        <v>722</v>
      </c>
      <c r="D2" s="56" t="s">
        <v>141</v>
      </c>
      <c r="E2" s="56" t="s">
        <v>142</v>
      </c>
      <c r="F2" s="56" t="s">
        <v>143</v>
      </c>
      <c r="G2" s="56" t="s">
        <v>144</v>
      </c>
      <c r="H2" s="56" t="s">
        <v>141</v>
      </c>
      <c r="I2" s="418" t="s">
        <v>723</v>
      </c>
      <c r="J2" s="56" t="s">
        <v>143</v>
      </c>
      <c r="K2" s="56" t="s">
        <v>144</v>
      </c>
      <c r="L2" s="56" t="s">
        <v>141</v>
      </c>
      <c r="M2" s="56" t="s">
        <v>142</v>
      </c>
      <c r="N2" s="418" t="s">
        <v>724</v>
      </c>
      <c r="O2" s="56" t="s">
        <v>141</v>
      </c>
      <c r="P2" s="56" t="s">
        <v>142</v>
      </c>
      <c r="Q2" s="56" t="s">
        <v>143</v>
      </c>
      <c r="R2" s="418" t="s">
        <v>725</v>
      </c>
      <c r="S2" s="56" t="s">
        <v>141</v>
      </c>
      <c r="T2" s="56" t="s">
        <v>142</v>
      </c>
      <c r="U2" s="56" t="s">
        <v>143</v>
      </c>
      <c r="V2" s="56" t="s">
        <v>144</v>
      </c>
      <c r="W2" s="56" t="s">
        <v>141</v>
      </c>
      <c r="X2" s="56" t="s">
        <v>142</v>
      </c>
      <c r="Y2" s="418" t="s">
        <v>726</v>
      </c>
      <c r="Z2" s="56" t="s">
        <v>144</v>
      </c>
      <c r="AA2" s="419" t="s">
        <v>814</v>
      </c>
      <c r="AB2" s="419" t="s">
        <v>815</v>
      </c>
      <c r="AD2" s="418" t="s">
        <v>1126</v>
      </c>
      <c r="AE2" s="335"/>
      <c r="AF2" s="337" t="str">
        <f>IF($AG$1=16,R2,IF($AG$1=17,S2,IF($AG$1=18,T2,IF($AG$1=19,U2,IF($AG$1=20,V2,IF($AG$1=21,W2,IF($AG$1=22,X2,0)))))))</f>
        <v>Q1</v>
      </c>
      <c r="AG2" s="446" t="str">
        <f>IF($AG$1=16,S2,IF($AG$1=17,T2,IF($AG$1=18,U2,IF($AG$1=19,V2,IF($AG$1=20,W2,IF($AG$1=21,X2,IF($AG$1=22,Y2,0)))))))</f>
        <v>Q2</v>
      </c>
      <c r="AH2" s="447" t="s">
        <v>843</v>
      </c>
      <c r="AI2" s="447" t="s">
        <v>832</v>
      </c>
    </row>
    <row r="3" spans="1:35" s="338" customFormat="1">
      <c r="A3" s="39"/>
      <c r="B3" s="38"/>
      <c r="C3" s="456">
        <v>0</v>
      </c>
      <c r="D3" s="456">
        <v>1</v>
      </c>
      <c r="E3" s="456">
        <v>2</v>
      </c>
      <c r="F3" s="456">
        <v>3</v>
      </c>
      <c r="G3" s="456">
        <v>4</v>
      </c>
      <c r="H3" s="456">
        <v>5</v>
      </c>
      <c r="I3" s="456">
        <v>6</v>
      </c>
      <c r="J3" s="456">
        <v>7</v>
      </c>
      <c r="K3" s="456">
        <v>8</v>
      </c>
      <c r="L3" s="456">
        <v>9</v>
      </c>
      <c r="M3" s="456">
        <v>10</v>
      </c>
      <c r="N3" s="456">
        <v>11</v>
      </c>
      <c r="O3" s="456">
        <v>12</v>
      </c>
      <c r="P3" s="456">
        <v>13</v>
      </c>
      <c r="Q3" s="456">
        <v>14</v>
      </c>
      <c r="R3" s="456">
        <v>15</v>
      </c>
      <c r="S3" s="456">
        <v>16</v>
      </c>
      <c r="T3" s="456">
        <v>17</v>
      </c>
      <c r="U3" s="456">
        <v>18</v>
      </c>
      <c r="V3" s="456">
        <v>19</v>
      </c>
      <c r="W3" s="456">
        <v>20</v>
      </c>
      <c r="X3" s="456">
        <v>21</v>
      </c>
      <c r="Y3" s="456">
        <v>22</v>
      </c>
      <c r="Z3" s="456">
        <v>23</v>
      </c>
      <c r="AA3" s="39"/>
      <c r="AB3" s="39"/>
      <c r="AD3" s="448">
        <f>V3</f>
        <v>19</v>
      </c>
      <c r="AE3" s="449"/>
      <c r="AF3" s="448">
        <f t="shared" ref="AF3:AG5" si="0">IF($AG$1=16,R3,IF($AG$1=17,S3,IF($AG$1=18,T3,IF($AG$1=19,U3,IF($AG$1=20,V3,IF($AG$1=21,W3,IF($AG$1=22,X3,0)))))))</f>
        <v>20</v>
      </c>
      <c r="AG3" s="448">
        <f t="shared" si="0"/>
        <v>21</v>
      </c>
    </row>
    <row r="4" spans="1:35" ht="15.75" thickBot="1">
      <c r="A4" s="41" t="s">
        <v>24</v>
      </c>
      <c r="B4" s="42" t="s">
        <v>139</v>
      </c>
      <c r="C4" s="43">
        <f>('Enugu Workings'!C4+'Jigawa Workings'!C4+'Kaduna Workings'!C4+'Kano Workings'!C4+'Lagos Workings'!C4)/5</f>
        <v>2.1</v>
      </c>
      <c r="D4" s="81">
        <f>('Enugu Workings'!D4+'Jigawa Workings'!D4+'Kaduna Workings'!D4+'Kano Workings'!D4+'Lagos Workings'!D4)/5</f>
        <v>2.1</v>
      </c>
      <c r="E4" s="81">
        <f>('Enugu Workings'!E4+'Jigawa Workings'!E4+'Kaduna Workings'!E4+'Kano Workings'!E4+'Lagos Workings'!E4)/5</f>
        <v>2.1</v>
      </c>
      <c r="F4" s="81">
        <f>('Enugu Workings'!F4+'Jigawa Workings'!F4+'Kaduna Workings'!F4+'Kano Workings'!F4+'Lagos Workings'!F4)/5</f>
        <v>2.1</v>
      </c>
      <c r="G4" s="81">
        <f>('Enugu Workings'!G4+'Jigawa Workings'!G4+'Kaduna Workings'!G4+'Kano Workings'!G4+'Lagos Workings'!G4)/5</f>
        <v>2.1</v>
      </c>
      <c r="H4" s="81">
        <f>('Enugu Workings'!H4+'Jigawa Workings'!H4+'Kaduna Workings'!H4+'Kano Workings'!H4+'Lagos Workings'!H4)/5</f>
        <v>2.1</v>
      </c>
      <c r="I4" s="82">
        <f>('Enugu Workings'!I4+'Jigawa Workings'!I4+'Kaduna Workings'!I4+'Kano Workings'!I4+'Lagos Workings'!I4)/5</f>
        <v>2.1</v>
      </c>
      <c r="J4" s="81">
        <f>('Enugu Workings'!J4+'Jigawa Workings'!J4+'Kaduna Workings'!J4+'Kano Workings'!J4+'Lagos Workings'!J4)/5</f>
        <v>2.2333333333333334</v>
      </c>
      <c r="K4" s="81">
        <f>('Enugu Workings'!K4+'Jigawa Workings'!K4+'Kaduna Workings'!K4+'Kano Workings'!K4+'Lagos Workings'!K4)/5</f>
        <v>2.3666666666666663</v>
      </c>
      <c r="L4" s="44">
        <f>('Enugu Workings'!L4+'Jigawa Workings'!L4+'Kaduna Workings'!L4+'Kano Workings'!L4+'Lagos Workings'!L4)/5</f>
        <v>2.5</v>
      </c>
      <c r="M4" s="44">
        <f>('Enugu Workings'!M4+'Jigawa Workings'!M4+'Kaduna Workings'!M4+'Kano Workings'!M4+'Lagos Workings'!M4)/5</f>
        <v>2.6333333333333333</v>
      </c>
      <c r="N4" s="43">
        <f>('Enugu Workings'!N4+'Jigawa Workings'!N4+'Kaduna Workings'!N4+'Kano Workings'!N4+'Lagos Workings'!N4)/5</f>
        <v>2.9</v>
      </c>
      <c r="O4" s="44">
        <f>('Enugu Workings'!O4+'Jigawa Workings'!O4+'Kaduna Workings'!O4+'Kano Workings'!O4+'Lagos Workings'!O4)/5</f>
        <v>2.94</v>
      </c>
      <c r="P4" s="44">
        <f>('Enugu Workings'!P4+'Jigawa Workings'!P4+'Kaduna Workings'!P4+'Kano Workings'!P4+'Lagos Workings'!P4)/5</f>
        <v>2.98</v>
      </c>
      <c r="Q4" s="44">
        <f>('Enugu Workings'!Q4+'Jigawa Workings'!Q4+'Kaduna Workings'!Q4+'Kano Workings'!Q4+'Lagos Workings'!Q4)/5</f>
        <v>3.0200000000000005</v>
      </c>
      <c r="R4" s="43">
        <f>('Enugu Workings'!R4+'Jigawa Workings'!R4+'Kaduna Workings'!R4+'Kano Workings'!R4+'Lagos Workings'!R4)/5</f>
        <v>3.06</v>
      </c>
      <c r="S4" s="44">
        <f>('Enugu Workings'!S4+'Jigawa Workings'!S4+'Kaduna Workings'!S4+'Kano Workings'!S4+'Lagos Workings'!S4)/5</f>
        <v>3.0833333333333335</v>
      </c>
      <c r="T4" s="44">
        <f>('Enugu Workings'!T4+'Jigawa Workings'!T4+'Kaduna Workings'!T4+'Kano Workings'!T4+'Lagos Workings'!T4)/5</f>
        <v>3.1066666666666669</v>
      </c>
      <c r="U4" s="44">
        <f>('Enugu Workings'!U4+'Jigawa Workings'!U4+'Kaduna Workings'!U4+'Kano Workings'!U4+'Lagos Workings'!U4)/5</f>
        <v>3.13</v>
      </c>
      <c r="V4" s="44">
        <f>('Enugu Workings'!V4+'Jigawa Workings'!V4+'Kaduna Workings'!V4+'Kano Workings'!V4+'Lagos Workings'!V4)/5</f>
        <v>3.1533333333333333</v>
      </c>
      <c r="W4" s="44">
        <f>('Enugu Workings'!W4+'Jigawa Workings'!W4+'Kaduna Workings'!W4+'Kano Workings'!W4+'Lagos Workings'!W4)/5</f>
        <v>3.2266666666666666</v>
      </c>
      <c r="X4" s="44">
        <f>('Enugu Workings'!X4+'Jigawa Workings'!X4+'Kaduna Workings'!X4+'Kano Workings'!X4+'Lagos Workings'!X4)/5</f>
        <v>3.2600000000000002</v>
      </c>
      <c r="Y4" s="43">
        <f>('Enugu Workings'!Y4+'Jigawa Workings'!Y4+'Kaduna Workings'!Y4+'Kano Workings'!Y4+'Lagos Workings'!Y4)/5</f>
        <v>3.2600000000000002</v>
      </c>
      <c r="Z4" s="44">
        <f>('Enugu Workings'!Z4+'Jigawa Workings'!Z4+'Kaduna Workings'!Z4+'Kano Workings'!Z4+'Lagos Workings'!Z4)/5</f>
        <v>3.2600000000000002</v>
      </c>
      <c r="AA4" s="38">
        <v>5</v>
      </c>
      <c r="AB4" s="420">
        <f>AA4/22</f>
        <v>0.22727272727272727</v>
      </c>
      <c r="AD4" s="450">
        <f>V4</f>
        <v>3.1533333333333333</v>
      </c>
      <c r="AF4" s="339">
        <f t="shared" si="0"/>
        <v>3.2266666666666666</v>
      </c>
      <c r="AG4" s="339">
        <f t="shared" si="0"/>
        <v>3.2600000000000002</v>
      </c>
      <c r="AI4" s="338"/>
    </row>
    <row r="5" spans="1:35" s="340" customFormat="1" ht="15.75" thickBot="1">
      <c r="A5" s="45"/>
      <c r="B5" s="46" t="s">
        <v>140</v>
      </c>
      <c r="C5" s="79">
        <f>('Enugu Workings'!C5+'Jigawa Workings'!C5+'Kaduna Workings'!C5+'Kano Workings'!C5+'Lagos Workings'!C5)/5</f>
        <v>2.1</v>
      </c>
      <c r="D5" s="436">
        <f>('Enugu Workings'!D5+'Jigawa Workings'!D5+'Kaduna Workings'!D5+'Kano Workings'!D5+'Lagos Workings'!D5)/5</f>
        <v>2.1</v>
      </c>
      <c r="E5" s="437">
        <f>('Enugu Workings'!E5+'Jigawa Workings'!E5+'Kaduna Workings'!E5+'Kano Workings'!E5+'Lagos Workings'!E5)/5</f>
        <v>2.1</v>
      </c>
      <c r="F5" s="437">
        <f>('Enugu Workings'!F5+'Jigawa Workings'!F5+'Kaduna Workings'!F5+'Kano Workings'!F5+'Lagos Workings'!F5)/5</f>
        <v>2.1</v>
      </c>
      <c r="G5" s="437">
        <f>('Enugu Workings'!G5+'Jigawa Workings'!G5+'Kaduna Workings'!G5+'Kano Workings'!G5+'Lagos Workings'!G5)/5</f>
        <v>2.1</v>
      </c>
      <c r="H5" s="437">
        <f>('Enugu Workings'!H5+'Jigawa Workings'!H5+'Kaduna Workings'!H5+'Kano Workings'!H5+'Lagos Workings'!H5)/5</f>
        <v>1.44</v>
      </c>
      <c r="I5" s="437">
        <f>('Enugu Workings'!I5+'Jigawa Workings'!I5+'Kaduna Workings'!I5+'Kano Workings'!I5+'Lagos Workings'!I5)/5</f>
        <v>2.5</v>
      </c>
      <c r="J5" s="437">
        <f>('Enugu Workings'!J5+'Jigawa Workings'!J5+'Kaduna Workings'!J5+'Kano Workings'!J5+'Lagos Workings'!J5)/5</f>
        <v>2.66</v>
      </c>
      <c r="K5" s="437">
        <f>('Enugu Workings'!K5+'Jigawa Workings'!K5+'Kaduna Workings'!K5+'Kano Workings'!K5+'Lagos Workings'!K5)/5</f>
        <v>2.52</v>
      </c>
      <c r="L5" s="437">
        <f>('Enugu Workings'!L5+'Jigawa Workings'!L5+'Kaduna Workings'!L5+'Kano Workings'!L5+'Lagos Workings'!L5)/5</f>
        <v>2.4</v>
      </c>
      <c r="M5" s="437">
        <f>('Enugu Workings'!M5+'Jigawa Workings'!M5+'Kaduna Workings'!M5+'Kano Workings'!M5+'Lagos Workings'!M5)/5</f>
        <v>2.38</v>
      </c>
      <c r="N5" s="437">
        <f>('Enugu Workings'!N5+'Jigawa Workings'!N5+'Kaduna Workings'!N5+'Kano Workings'!N5+'Lagos Workings'!N5)/5</f>
        <v>2.84</v>
      </c>
      <c r="O5" s="437">
        <f>('Enugu Workings'!O5+'Jigawa Workings'!O5+'Kaduna Workings'!O5+'Kano Workings'!O5+'Lagos Workings'!O5)/5</f>
        <v>3.0199999999999996</v>
      </c>
      <c r="P5" s="437">
        <f>('Enugu Workings'!P5+'Jigawa Workings'!P5+'Kaduna Workings'!P5+'Kano Workings'!P5+'Lagos Workings'!P5)/5</f>
        <v>3.1000000000000005</v>
      </c>
      <c r="Q5" s="437">
        <f>('Enugu Workings'!Q5+'Jigawa Workings'!Q5+'Kaduna Workings'!Q5+'Kano Workings'!Q5+'Lagos Workings'!Q5)/5</f>
        <v>3.08</v>
      </c>
      <c r="R5" s="437">
        <f>('Enugu Workings'!R5+'Jigawa Workings'!R5+'Kaduna Workings'!R5+'Kano Workings'!R5+'Lagos Workings'!R5)/5</f>
        <v>3.1800000000000006</v>
      </c>
      <c r="S5" s="437">
        <f>('Enugu Workings'!S5+'Jigawa Workings'!S5+'Kaduna Workings'!S5+'Kano Workings'!S5+'Lagos Workings'!S5)/5</f>
        <v>3.1800000000000006</v>
      </c>
      <c r="T5" s="437">
        <f>('Enugu Workings'!T5+'Jigawa Workings'!T5+'Kaduna Workings'!T5+'Kano Workings'!T5+'Lagos Workings'!T5)/5</f>
        <v>3.2399999999999998</v>
      </c>
      <c r="U5" s="437">
        <f>('Enugu Workings'!U5+'Jigawa Workings'!U5+'Kaduna Workings'!U5+'Kano Workings'!U5+'Lagos Workings'!U5)/5</f>
        <v>3.2399999999999998</v>
      </c>
      <c r="V5" s="438">
        <f>('Enugu Workings'!V5+'Jigawa Workings'!V5+'Kaduna Workings'!V5+'Kano Workings'!V5+'Lagos Workings'!V5)/5</f>
        <v>3.3200000000000003</v>
      </c>
      <c r="W5" s="80">
        <f>('Enugu Workings'!W5+'Jigawa Workings'!W5+'Kaduna Workings'!W5+'Kano Workings'!W5+'Lagos Workings'!W5)/5</f>
        <v>3.4200000000000004</v>
      </c>
      <c r="X5" s="69">
        <f>('Enugu Workings'!X5+'Jigawa Workings'!X5+'Kaduna Workings'!X5+'Kano Workings'!X5+'Lagos Workings'!X5)/5</f>
        <v>3.6400000000000006</v>
      </c>
      <c r="Y5" s="69">
        <f>('Enugu Workings'!Y5+'Jigawa Workings'!Y5+'Kaduna Workings'!Y5+'Kano Workings'!Y5+'Lagos Workings'!Y5)/5</f>
        <v>0</v>
      </c>
      <c r="Z5" s="69">
        <f>('Enugu Workings'!Z5+'Jigawa Workings'!Z5+'Kaduna Workings'!Z5+'Kano Workings'!Z5+'Lagos Workings'!Z5)/5</f>
        <v>0</v>
      </c>
      <c r="AA5" s="49"/>
      <c r="AB5" s="421"/>
      <c r="AD5" s="341">
        <f>V5</f>
        <v>3.3200000000000003</v>
      </c>
      <c r="AE5" s="335"/>
      <c r="AF5" s="341">
        <f t="shared" si="0"/>
        <v>3.4200000000000004</v>
      </c>
      <c r="AG5" s="341">
        <f t="shared" si="0"/>
        <v>3.6400000000000006</v>
      </c>
      <c r="AH5" s="342">
        <f>AG5</f>
        <v>3.6400000000000006</v>
      </c>
      <c r="AI5" s="342">
        <f>AG5</f>
        <v>3.6400000000000006</v>
      </c>
    </row>
    <row r="6" spans="1:35" s="340" customFormat="1">
      <c r="A6" s="45"/>
      <c r="B6" s="46"/>
      <c r="C6" s="48"/>
      <c r="D6" s="422"/>
      <c r="E6" s="422"/>
      <c r="F6" s="422"/>
      <c r="G6" s="83"/>
      <c r="H6" s="83"/>
      <c r="I6" s="83"/>
      <c r="J6" s="83"/>
      <c r="K6" s="83"/>
      <c r="L6" s="48"/>
      <c r="M6" s="48"/>
      <c r="N6" s="48"/>
      <c r="O6" s="48"/>
      <c r="P6" s="48"/>
      <c r="Q6" s="48"/>
      <c r="R6" s="48"/>
      <c r="S6" s="48"/>
      <c r="T6" s="48"/>
      <c r="U6" s="48"/>
      <c r="V6" s="48"/>
      <c r="W6" s="48"/>
      <c r="X6" s="48"/>
      <c r="Y6" s="48"/>
      <c r="Z6" s="48"/>
      <c r="AA6" s="49"/>
      <c r="AB6" s="421"/>
      <c r="AE6" s="335"/>
      <c r="AF6" s="343"/>
      <c r="AG6" s="343"/>
      <c r="AI6" s="338"/>
    </row>
    <row r="7" spans="1:35" ht="15.75" thickBot="1">
      <c r="A7" s="41" t="s">
        <v>25</v>
      </c>
      <c r="B7" s="42" t="s">
        <v>139</v>
      </c>
      <c r="C7" s="43">
        <f>('Enugu Workings'!C7+'Jigawa Workings'!C7+'Kaduna Workings'!C7+'Kano Workings'!C7+'Lagos Workings'!C7)/5</f>
        <v>1</v>
      </c>
      <c r="D7" s="81">
        <f>('Enugu Workings'!D7+'Jigawa Workings'!D7+'Kaduna Workings'!D7+'Kano Workings'!D7+'Lagos Workings'!D7)/5</f>
        <v>1</v>
      </c>
      <c r="E7" s="81">
        <f>('Enugu Workings'!E7+'Jigawa Workings'!E7+'Kaduna Workings'!E7+'Kano Workings'!E7+'Lagos Workings'!E7)/5</f>
        <v>1</v>
      </c>
      <c r="F7" s="81">
        <f>('Enugu Workings'!F7+'Jigawa Workings'!F7+'Kaduna Workings'!F7+'Kano Workings'!F7+'Lagos Workings'!F7)/5</f>
        <v>1</v>
      </c>
      <c r="G7" s="81">
        <f>('Enugu Workings'!G7+'Jigawa Workings'!G7+'Kaduna Workings'!G7+'Kano Workings'!G7+'Lagos Workings'!G7)/5</f>
        <v>1</v>
      </c>
      <c r="H7" s="81">
        <f>('Enugu Workings'!H7+'Jigawa Workings'!H7+'Kaduna Workings'!H7+'Kano Workings'!H7+'Lagos Workings'!H7)/5</f>
        <v>1</v>
      </c>
      <c r="I7" s="82">
        <f>('Enugu Workings'!I7+'Jigawa Workings'!I7+'Kaduna Workings'!I7+'Kano Workings'!I7+'Lagos Workings'!I7)/5</f>
        <v>1</v>
      </c>
      <c r="J7" s="81">
        <f>('Enugu Workings'!J7+'Jigawa Workings'!J7+'Kaduna Workings'!J7+'Kano Workings'!J7+'Lagos Workings'!J7)/5</f>
        <v>1.0833333333333335</v>
      </c>
      <c r="K7" s="81">
        <f>('Enugu Workings'!K7+'Jigawa Workings'!K7+'Kaduna Workings'!K7+'Kano Workings'!K7+'Lagos Workings'!K7)/5</f>
        <v>1.1666666666666667</v>
      </c>
      <c r="L7" s="44">
        <f>('Enugu Workings'!L7+'Jigawa Workings'!L7+'Kaduna Workings'!L7+'Kano Workings'!L7+'Lagos Workings'!L7)/5</f>
        <v>1.2500000000000002</v>
      </c>
      <c r="M7" s="44">
        <f>('Enugu Workings'!M7+'Jigawa Workings'!M7+'Kaduna Workings'!M7+'Kano Workings'!M7+'Lagos Workings'!M7)/5</f>
        <v>1.3333333333333335</v>
      </c>
      <c r="N7" s="43">
        <f>('Enugu Workings'!N7+'Jigawa Workings'!N7+'Kaduna Workings'!N7+'Kano Workings'!N7+'Lagos Workings'!N7)/5</f>
        <v>1.5</v>
      </c>
      <c r="O7" s="44">
        <f>('Enugu Workings'!O7+'Jigawa Workings'!O7+'Kaduna Workings'!O7+'Kano Workings'!O7+'Lagos Workings'!O7)/5</f>
        <v>1.6274999999999999</v>
      </c>
      <c r="P7" s="44">
        <f>('Enugu Workings'!P7+'Jigawa Workings'!P7+'Kaduna Workings'!P7+'Kano Workings'!P7+'Lagos Workings'!P7)/5</f>
        <v>1.7549999999999997</v>
      </c>
      <c r="Q7" s="44">
        <f>('Enugu Workings'!Q7+'Jigawa Workings'!Q7+'Kaduna Workings'!Q7+'Kano Workings'!Q7+'Lagos Workings'!Q7)/5</f>
        <v>1.8824999999999996</v>
      </c>
      <c r="R7" s="43">
        <f>('Enugu Workings'!R7+'Jigawa Workings'!R7+'Kaduna Workings'!R7+'Kano Workings'!R7+'Lagos Workings'!R7)/5</f>
        <v>2.0100000000000002</v>
      </c>
      <c r="S7" s="44">
        <f>('Enugu Workings'!S7+'Jigawa Workings'!S7+'Kaduna Workings'!S7+'Kano Workings'!S7+'Lagos Workings'!S7)/5</f>
        <v>2.0616666666666665</v>
      </c>
      <c r="T7" s="44">
        <f>('Enugu Workings'!T7+'Jigawa Workings'!T7+'Kaduna Workings'!T7+'Kano Workings'!T7+'Lagos Workings'!T7)/5</f>
        <v>2.1133333333333333</v>
      </c>
      <c r="U7" s="44">
        <f>('Enugu Workings'!U7+'Jigawa Workings'!U7+'Kaduna Workings'!U7+'Kano Workings'!U7+'Lagos Workings'!U7)/5</f>
        <v>2.165</v>
      </c>
      <c r="V7" s="44">
        <f>('Enugu Workings'!V7+'Jigawa Workings'!V7+'Kaduna Workings'!V7+'Kano Workings'!V7+'Lagos Workings'!V7)/5</f>
        <v>2.2166666666666659</v>
      </c>
      <c r="W7" s="44">
        <f>('Enugu Workings'!W7+'Jigawa Workings'!W7+'Kaduna Workings'!W7+'Kano Workings'!W7+'Lagos Workings'!W7)/5</f>
        <v>2.6349999999999998</v>
      </c>
      <c r="X7" s="44">
        <f>('Enugu Workings'!X7+'Jigawa Workings'!X7+'Kaduna Workings'!X7+'Kano Workings'!X7+'Lagos Workings'!X7)/5</f>
        <v>2.7599999999999993</v>
      </c>
      <c r="Y7" s="43">
        <f>('Enugu Workings'!Y7+'Jigawa Workings'!Y7+'Kaduna Workings'!Y7+'Kano Workings'!Y7+'Lagos Workings'!Y7)/5</f>
        <v>2.7600000000000002</v>
      </c>
      <c r="Z7" s="44">
        <f>('Enugu Workings'!Z7+'Jigawa Workings'!Z7+'Kaduna Workings'!Z7+'Kano Workings'!Z7+'Lagos Workings'!Z7)/5</f>
        <v>2.7600000000000002</v>
      </c>
      <c r="AA7" s="38">
        <v>5</v>
      </c>
      <c r="AB7" s="420">
        <f>AA7/22</f>
        <v>0.22727272727272727</v>
      </c>
      <c r="AD7" s="450">
        <f>V7</f>
        <v>2.2166666666666659</v>
      </c>
      <c r="AF7" s="339">
        <f t="shared" ref="AF7:AG8" si="1">IF($AG$1=16,R7,IF($AG$1=17,S7,IF($AG$1=18,T7,IF($AG$1=19,U7,IF($AG$1=20,V7,IF($AG$1=21,W7,IF($AG$1=22,X7,0)))))))</f>
        <v>2.6349999999999998</v>
      </c>
      <c r="AG7" s="339">
        <f t="shared" si="1"/>
        <v>2.7599999999999993</v>
      </c>
      <c r="AI7" s="338"/>
    </row>
    <row r="8" spans="1:35" s="340" customFormat="1" ht="15.75" thickBot="1">
      <c r="A8" s="45"/>
      <c r="B8" s="46" t="s">
        <v>140</v>
      </c>
      <c r="C8" s="79">
        <f>('Enugu Workings'!C8+'Jigawa Workings'!C8+'Kaduna Workings'!C8+'Kano Workings'!C8+'Lagos Workings'!C8)/5</f>
        <v>1</v>
      </c>
      <c r="D8" s="436">
        <f>('Enugu Workings'!D8+'Jigawa Workings'!D8+'Kaduna Workings'!D8+'Kano Workings'!D8+'Lagos Workings'!D8)/5</f>
        <v>1</v>
      </c>
      <c r="E8" s="437">
        <f>('Enugu Workings'!E8+'Jigawa Workings'!E8+'Kaduna Workings'!E8+'Kano Workings'!E8+'Lagos Workings'!E8)/5</f>
        <v>1</v>
      </c>
      <c r="F8" s="437">
        <f>('Enugu Workings'!F8+'Jigawa Workings'!F8+'Kaduna Workings'!F8+'Kano Workings'!F8+'Lagos Workings'!F8)/5</f>
        <v>0.8</v>
      </c>
      <c r="G8" s="437">
        <f>('Enugu Workings'!G8+'Jigawa Workings'!G8+'Kaduna Workings'!G8+'Kano Workings'!G8+'Lagos Workings'!G8)/5</f>
        <v>0.8</v>
      </c>
      <c r="H8" s="437">
        <f>('Enugu Workings'!H8+'Jigawa Workings'!H8+'Kaduna Workings'!H8+'Kano Workings'!H8+'Lagos Workings'!H8)/5</f>
        <v>0.84000000000000008</v>
      </c>
      <c r="I8" s="437">
        <f>('Enugu Workings'!I8+'Jigawa Workings'!I8+'Kaduna Workings'!I8+'Kano Workings'!I8+'Lagos Workings'!I8)/5</f>
        <v>1.6</v>
      </c>
      <c r="J8" s="437">
        <f>('Enugu Workings'!J8+'Jigawa Workings'!J8+'Kaduna Workings'!J8+'Kano Workings'!J8+'Lagos Workings'!J8)/5</f>
        <v>1.5</v>
      </c>
      <c r="K8" s="437">
        <f>('Enugu Workings'!K8+'Jigawa Workings'!K8+'Kaduna Workings'!K8+'Kano Workings'!K8+'Lagos Workings'!K8)/5</f>
        <v>1.3599999999999999</v>
      </c>
      <c r="L8" s="437">
        <f>('Enugu Workings'!L8+'Jigawa Workings'!L8+'Kaduna Workings'!L8+'Kano Workings'!L8+'Lagos Workings'!L8)/5</f>
        <v>1.6</v>
      </c>
      <c r="M8" s="437">
        <f>('Enugu Workings'!M8+'Jigawa Workings'!M8+'Kaduna Workings'!M8+'Kano Workings'!M8+'Lagos Workings'!M8)/5</f>
        <v>2</v>
      </c>
      <c r="N8" s="439">
        <f>('Enugu Workings'!N8+'Jigawa Workings'!N8+'Kaduna Workings'!N8+'Kano Workings'!N8+'Lagos Workings'!N8)/5</f>
        <v>2.2000000000000002</v>
      </c>
      <c r="O8" s="440">
        <f>('Enugu Workings'!O8+'Jigawa Workings'!O8+'Kaduna Workings'!O8+'Kano Workings'!O8+'Lagos Workings'!O8)/5</f>
        <v>2.2000000000000002</v>
      </c>
      <c r="P8" s="440">
        <f>('Enugu Workings'!P8+'Jigawa Workings'!P8+'Kaduna Workings'!P8+'Kano Workings'!P8+'Lagos Workings'!P8)/5</f>
        <v>2.6599999999999993</v>
      </c>
      <c r="Q8" s="440">
        <f>('Enugu Workings'!Q8+'Jigawa Workings'!Q8+'Kaduna Workings'!Q8+'Kano Workings'!Q8+'Lagos Workings'!Q8)/5</f>
        <v>2.6</v>
      </c>
      <c r="R8" s="437">
        <f>('Enugu Workings'!R8+'Jigawa Workings'!R8+'Kaduna Workings'!R8+'Kano Workings'!R8+'Lagos Workings'!R8)/5</f>
        <v>2.6</v>
      </c>
      <c r="S8" s="437">
        <f>('Enugu Workings'!S8+'Jigawa Workings'!S8+'Kaduna Workings'!S8+'Kano Workings'!S8+'Lagos Workings'!S8)/5</f>
        <v>2.6</v>
      </c>
      <c r="T8" s="437">
        <f>('Enugu Workings'!T8+'Jigawa Workings'!T8+'Kaduna Workings'!T8+'Kano Workings'!T8+'Lagos Workings'!T8)/5</f>
        <v>2.6700000000000004</v>
      </c>
      <c r="U8" s="437">
        <f>('Enugu Workings'!U8+'Jigawa Workings'!U8+'Kaduna Workings'!U8+'Kano Workings'!U8+'Lagos Workings'!U8)/5</f>
        <v>2.79</v>
      </c>
      <c r="V8" s="438">
        <f>('Enugu Workings'!V8+'Jigawa Workings'!V8+'Kaduna Workings'!V8+'Kano Workings'!V8+'Lagos Workings'!V8)/5</f>
        <v>2.8519999999999994</v>
      </c>
      <c r="W8" s="80">
        <f>('Enugu Workings'!W8+'Jigawa Workings'!W8+'Kaduna Workings'!W8+'Kano Workings'!W8+'Lagos Workings'!W8)/5</f>
        <v>2.7320000000000002</v>
      </c>
      <c r="X8" s="69">
        <f>('Enugu Workings'!X8+'Jigawa Workings'!X8+'Kaduna Workings'!X8+'Kano Workings'!X8+'Lagos Workings'!X8)/5</f>
        <v>2.78</v>
      </c>
      <c r="Y8" s="69">
        <f>('Enugu Workings'!Y8+'Jigawa Workings'!Y8+'Kaduna Workings'!Y8+'Kano Workings'!Y8+'Lagos Workings'!Y8)/5</f>
        <v>0</v>
      </c>
      <c r="Z8" s="69">
        <f>('Enugu Workings'!Z8+'Jigawa Workings'!Z8+'Kaduna Workings'!Z8+'Kano Workings'!Z8+'Lagos Workings'!Z8)/5</f>
        <v>0</v>
      </c>
      <c r="AA8" s="49"/>
      <c r="AB8" s="421"/>
      <c r="AD8" s="341">
        <f>V8</f>
        <v>2.8519999999999994</v>
      </c>
      <c r="AE8" s="335"/>
      <c r="AF8" s="341">
        <f t="shared" si="1"/>
        <v>2.7320000000000002</v>
      </c>
      <c r="AG8" s="341">
        <f t="shared" si="1"/>
        <v>2.78</v>
      </c>
      <c r="AH8" s="342">
        <f>AG8</f>
        <v>2.78</v>
      </c>
      <c r="AI8" s="342">
        <f>AG8</f>
        <v>2.78</v>
      </c>
    </row>
    <row r="9" spans="1:35" s="340" customFormat="1">
      <c r="A9" s="45"/>
      <c r="B9" s="46"/>
      <c r="C9" s="48"/>
      <c r="D9" s="83"/>
      <c r="E9" s="83"/>
      <c r="F9" s="83"/>
      <c r="G9" s="83"/>
      <c r="H9" s="83"/>
      <c r="I9" s="83"/>
      <c r="J9" s="83"/>
      <c r="K9" s="83"/>
      <c r="L9" s="48"/>
      <c r="M9" s="48"/>
      <c r="N9" s="48"/>
      <c r="O9" s="48"/>
      <c r="P9" s="48"/>
      <c r="Q9" s="48"/>
      <c r="R9" s="48"/>
      <c r="S9" s="48"/>
      <c r="T9" s="48"/>
      <c r="U9" s="48"/>
      <c r="V9" s="48"/>
      <c r="W9" s="48"/>
      <c r="X9" s="48"/>
      <c r="Y9" s="48"/>
      <c r="Z9" s="48"/>
      <c r="AA9" s="49"/>
      <c r="AB9" s="421"/>
      <c r="AE9" s="335"/>
      <c r="AF9" s="343"/>
      <c r="AG9" s="343"/>
      <c r="AH9" s="335"/>
      <c r="AI9" s="338"/>
    </row>
    <row r="10" spans="1:35" ht="15.75" thickBot="1">
      <c r="A10" s="41" t="s">
        <v>186</v>
      </c>
      <c r="B10" s="42" t="s">
        <v>214</v>
      </c>
      <c r="C10" s="43">
        <f>('Enugu Workings'!C10+'Jigawa Workings'!C10+'Kaduna Workings'!C10+'Kano Workings'!C10+'Lagos Workings'!C10)/5</f>
        <v>3.2</v>
      </c>
      <c r="D10" s="81">
        <f>('Enugu Workings'!D10+'Jigawa Workings'!D10+'Kaduna Workings'!D10+'Kano Workings'!D10+'Lagos Workings'!D10)/5</f>
        <v>3.5333333333333328</v>
      </c>
      <c r="E10" s="81">
        <f>('Enugu Workings'!E10+'Jigawa Workings'!E10+'Kaduna Workings'!E10+'Kano Workings'!E10+'Lagos Workings'!E10)/5</f>
        <v>3.8666666666666663</v>
      </c>
      <c r="F10" s="81">
        <f>('Enugu Workings'!F10+'Jigawa Workings'!F10+'Kaduna Workings'!F10+'Kano Workings'!F10+'Lagos Workings'!F10)/5</f>
        <v>4.2</v>
      </c>
      <c r="G10" s="81">
        <f>('Enugu Workings'!G10+'Jigawa Workings'!G10+'Kaduna Workings'!G10+'Kano Workings'!G10+'Lagos Workings'!G10)/5</f>
        <v>4.5333333333333332</v>
      </c>
      <c r="H10" s="81">
        <f>('Enugu Workings'!H10+'Jigawa Workings'!H10+'Kaduna Workings'!H10+'Kano Workings'!H10+'Lagos Workings'!H10)/5</f>
        <v>4.8666666666666663</v>
      </c>
      <c r="I10" s="82">
        <f>('Enugu Workings'!I10+'Jigawa Workings'!I10+'Kaduna Workings'!I10+'Kano Workings'!I10+'Lagos Workings'!I10)/5</f>
        <v>5.2</v>
      </c>
      <c r="J10" s="81">
        <f>('Enugu Workings'!J10+'Jigawa Workings'!J10+'Kaduna Workings'!J10+'Kano Workings'!J10+'Lagos Workings'!J10)/5</f>
        <v>5.333333333333333</v>
      </c>
      <c r="K10" s="81">
        <f>('Enugu Workings'!K10+'Jigawa Workings'!K10+'Kaduna Workings'!K10+'Kano Workings'!K10+'Lagos Workings'!K10)/5</f>
        <v>5.4666666666666659</v>
      </c>
      <c r="L10" s="44">
        <f>('Enugu Workings'!L10+'Jigawa Workings'!L10+'Kaduna Workings'!L10+'Kano Workings'!L10+'Lagos Workings'!L10)/5</f>
        <v>5.6</v>
      </c>
      <c r="M10" s="44">
        <f>('Enugu Workings'!M10+'Jigawa Workings'!M10+'Kaduna Workings'!M10+'Kano Workings'!M10+'Lagos Workings'!M10)/5</f>
        <v>5.7333333333333325</v>
      </c>
      <c r="N10" s="43">
        <f>('Enugu Workings'!N10+'Jigawa Workings'!N10+'Kaduna Workings'!N10+'Kano Workings'!N10+'Lagos Workings'!N10)/5</f>
        <v>6</v>
      </c>
      <c r="O10" s="44">
        <f>('Enugu Workings'!O10+'Jigawa Workings'!O10+'Kaduna Workings'!O10+'Kano Workings'!O10+'Lagos Workings'!O10)/5</f>
        <v>6.75</v>
      </c>
      <c r="P10" s="44">
        <f>('Enugu Workings'!P10+'Jigawa Workings'!P10+'Kaduna Workings'!P10+'Kano Workings'!P10+'Lagos Workings'!P10)/5</f>
        <v>7.5</v>
      </c>
      <c r="Q10" s="44">
        <f>('Enugu Workings'!Q10+'Jigawa Workings'!Q10+'Kaduna Workings'!Q10+'Kano Workings'!Q10+'Lagos Workings'!Q10)/5</f>
        <v>8.25</v>
      </c>
      <c r="R10" s="43">
        <f>('Enugu Workings'!R10+'Jigawa Workings'!R10+'Kaduna Workings'!R10+'Kano Workings'!R10+'Lagos Workings'!R10)/5</f>
        <v>9</v>
      </c>
      <c r="S10" s="44">
        <f>('Enugu Workings'!S10+'Jigawa Workings'!S10+'Kaduna Workings'!S10+'Kano Workings'!S10+'Lagos Workings'!S10)/5</f>
        <v>9.3666666666666654</v>
      </c>
      <c r="T10" s="44">
        <f>('Enugu Workings'!T10+'Jigawa Workings'!T10+'Kaduna Workings'!T10+'Kano Workings'!T10+'Lagos Workings'!T10)/5</f>
        <v>9.7333333333333325</v>
      </c>
      <c r="U10" s="44">
        <f>('Enugu Workings'!U10+'Jigawa Workings'!U10+'Kaduna Workings'!U10+'Kano Workings'!U10+'Lagos Workings'!U10)/5</f>
        <v>10.1</v>
      </c>
      <c r="V10" s="44">
        <f>('Enugu Workings'!V10+'Jigawa Workings'!V10+'Kaduna Workings'!V10+'Kano Workings'!V10+'Lagos Workings'!V10)/5</f>
        <v>10.466666666666665</v>
      </c>
      <c r="W10" s="44">
        <f>('Enugu Workings'!W10+'Jigawa Workings'!W10+'Kaduna Workings'!W10+'Kano Workings'!W10+'Lagos Workings'!W10)/5</f>
        <v>10.333333333333332</v>
      </c>
      <c r="X10" s="44">
        <f>('Enugu Workings'!X10+'Jigawa Workings'!X10+'Kaduna Workings'!X10+'Kano Workings'!X10+'Lagos Workings'!X10)/5</f>
        <v>10.599999999999998</v>
      </c>
      <c r="Y10" s="43">
        <f>('Enugu Workings'!Y10+'Jigawa Workings'!Y10+'Kaduna Workings'!Y10+'Kano Workings'!Y10+'Lagos Workings'!Y10)/5</f>
        <v>10.6</v>
      </c>
      <c r="Z10" s="44">
        <f>('Enugu Workings'!Z10+'Jigawa Workings'!Z10+'Kaduna Workings'!Z10+'Kano Workings'!Z10+'Lagos Workings'!Z10)/5</f>
        <v>10.6</v>
      </c>
      <c r="AA10" s="38">
        <v>15</v>
      </c>
      <c r="AB10" s="457">
        <f>AA10/22</f>
        <v>0.68181818181818177</v>
      </c>
      <c r="AD10" s="450">
        <f>V10</f>
        <v>10.466666666666665</v>
      </c>
      <c r="AF10" s="339">
        <f t="shared" ref="AF10:AG11" si="2">IF($AG$1=16,R10,IF($AG$1=17,S10,IF($AG$1=18,T10,IF($AG$1=19,U10,IF($AG$1=20,V10,IF($AG$1=21,W10,IF($AG$1=22,X10,0)))))))</f>
        <v>10.333333333333332</v>
      </c>
      <c r="AG10" s="339">
        <f t="shared" si="2"/>
        <v>10.599999999999998</v>
      </c>
      <c r="AI10" s="338"/>
    </row>
    <row r="11" spans="1:35" s="340" customFormat="1" ht="15.75" thickBot="1">
      <c r="A11" s="45"/>
      <c r="B11" s="46" t="s">
        <v>215</v>
      </c>
      <c r="C11" s="79">
        <f>('Enugu Workings'!C11+'Jigawa Workings'!C11+'Kaduna Workings'!C11+'Kano Workings'!C11+'Lagos Workings'!C11)/5</f>
        <v>3.2</v>
      </c>
      <c r="D11" s="436">
        <f>('Enugu Workings'!D11+'Jigawa Workings'!D11+'Kaduna Workings'!D11+'Kano Workings'!D11+'Lagos Workings'!D11)/5</f>
        <v>3.4</v>
      </c>
      <c r="E11" s="437">
        <f>('Enugu Workings'!E11+'Jigawa Workings'!E11+'Kaduna Workings'!E11+'Kano Workings'!E11+'Lagos Workings'!E11)/5</f>
        <v>3.4</v>
      </c>
      <c r="F11" s="437">
        <f>('Enugu Workings'!F11+'Jigawa Workings'!F11+'Kaduna Workings'!F11+'Kano Workings'!F11+'Lagos Workings'!F11)/5</f>
        <v>3.4</v>
      </c>
      <c r="G11" s="437">
        <f>('Enugu Workings'!G11+'Jigawa Workings'!G11+'Kaduna Workings'!G11+'Kano Workings'!G11+'Lagos Workings'!G11)/5</f>
        <v>3.4</v>
      </c>
      <c r="H11" s="437">
        <f>('Enugu Workings'!H11+'Jigawa Workings'!H11+'Kaduna Workings'!H11+'Kano Workings'!H11+'Lagos Workings'!H11)/5</f>
        <v>2.8</v>
      </c>
      <c r="I11" s="437">
        <f>('Enugu Workings'!I11+'Jigawa Workings'!I11+'Kaduna Workings'!I11+'Kano Workings'!I11+'Lagos Workings'!I11)/5</f>
        <v>5.5</v>
      </c>
      <c r="J11" s="437">
        <f>('Enugu Workings'!J11+'Jigawa Workings'!J11+'Kaduna Workings'!J11+'Kano Workings'!J11+'Lagos Workings'!J11)/5</f>
        <v>6.2</v>
      </c>
      <c r="K11" s="437">
        <f>('Enugu Workings'!K11+'Jigawa Workings'!K11+'Kaduna Workings'!K11+'Kano Workings'!K11+'Lagos Workings'!K11)/5</f>
        <v>6.2</v>
      </c>
      <c r="L11" s="437">
        <f>('Enugu Workings'!L11+'Jigawa Workings'!L11+'Kaduna Workings'!L11+'Kano Workings'!L11+'Lagos Workings'!L11)/5</f>
        <v>5.3</v>
      </c>
      <c r="M11" s="437">
        <f>('Enugu Workings'!M11+'Jigawa Workings'!M11+'Kaduna Workings'!M11+'Kano Workings'!M11+'Lagos Workings'!M11)/5</f>
        <v>3.3</v>
      </c>
      <c r="N11" s="439">
        <f>('Enugu Workings'!N11+'Jigawa Workings'!N11+'Kaduna Workings'!N11+'Kano Workings'!N11+'Lagos Workings'!N11)/5</f>
        <v>5.8</v>
      </c>
      <c r="O11" s="440">
        <f>('Enugu Workings'!O11+'Jigawa Workings'!O11+'Kaduna Workings'!O11+'Kano Workings'!O11+'Lagos Workings'!O11)/5</f>
        <v>5.8</v>
      </c>
      <c r="P11" s="440">
        <f>('Enugu Workings'!P11+'Jigawa Workings'!P11+'Kaduna Workings'!P11+'Kano Workings'!P11+'Lagos Workings'!P11)/5</f>
        <v>5.8</v>
      </c>
      <c r="Q11" s="440">
        <f>('Enugu Workings'!Q11+'Jigawa Workings'!Q11+'Kaduna Workings'!Q11+'Kano Workings'!Q11+'Lagos Workings'!Q11)/5</f>
        <v>6.4</v>
      </c>
      <c r="R11" s="437">
        <f>('Enugu Workings'!R11+'Jigawa Workings'!R11+'Kaduna Workings'!R11+'Kano Workings'!R11+'Lagos Workings'!R11)/5</f>
        <v>7.3</v>
      </c>
      <c r="S11" s="437">
        <f>('Enugu Workings'!S11+'Jigawa Workings'!S11+'Kaduna Workings'!S11+'Kano Workings'!S11+'Lagos Workings'!S11)/5</f>
        <v>7.4</v>
      </c>
      <c r="T11" s="437">
        <f>('Enugu Workings'!T11+'Jigawa Workings'!T11+'Kaduna Workings'!T11+'Kano Workings'!T11+'Lagos Workings'!T11)/5</f>
        <v>7.4</v>
      </c>
      <c r="U11" s="437">
        <f>('Enugu Workings'!U11+'Jigawa Workings'!U11+'Kaduna Workings'!U11+'Kano Workings'!U11+'Lagos Workings'!U11)/5</f>
        <v>7.4</v>
      </c>
      <c r="V11" s="438">
        <f>('Enugu Workings'!V11+'Jigawa Workings'!V11+'Kaduna Workings'!V11+'Kano Workings'!V11+'Lagos Workings'!V11)/5</f>
        <v>7.4</v>
      </c>
      <c r="W11" s="80">
        <f>('Enugu Workings'!W11+'Jigawa Workings'!W11+'Kaduna Workings'!W11+'Kano Workings'!W11+'Lagos Workings'!W11)/5</f>
        <v>7.4</v>
      </c>
      <c r="X11" s="69">
        <f>('Enugu Workings'!X11+'Jigawa Workings'!X11+'Kaduna Workings'!X11+'Kano Workings'!X11+'Lagos Workings'!X11)/5</f>
        <v>7.4</v>
      </c>
      <c r="Y11" s="69">
        <f>('Enugu Workings'!Y11+'Jigawa Workings'!Y11+'Kaduna Workings'!Y11+'Kano Workings'!Y11+'Lagos Workings'!Y11)/5</f>
        <v>0</v>
      </c>
      <c r="Z11" s="69">
        <f>('Enugu Workings'!Z11+'Jigawa Workings'!Z11+'Kaduna Workings'!Z11+'Kano Workings'!Z11+'Lagos Workings'!Z11)/5</f>
        <v>0</v>
      </c>
      <c r="AA11" s="38"/>
      <c r="AB11" s="420"/>
      <c r="AD11" s="341">
        <f>V11</f>
        <v>7.4</v>
      </c>
      <c r="AE11" s="335"/>
      <c r="AF11" s="341">
        <f t="shared" si="2"/>
        <v>7.4</v>
      </c>
      <c r="AG11" s="341">
        <f t="shared" si="2"/>
        <v>7.4</v>
      </c>
      <c r="AH11" s="342">
        <f>AG11</f>
        <v>7.4</v>
      </c>
      <c r="AI11" s="342">
        <f>AG11</f>
        <v>7.4</v>
      </c>
    </row>
    <row r="12" spans="1:35" s="340" customFormat="1">
      <c r="A12" s="45"/>
      <c r="B12" s="46"/>
      <c r="C12" s="48"/>
      <c r="D12" s="83"/>
      <c r="E12" s="83"/>
      <c r="F12" s="83"/>
      <c r="G12" s="83"/>
      <c r="H12" s="83"/>
      <c r="I12" s="83"/>
      <c r="J12" s="83"/>
      <c r="K12" s="83"/>
      <c r="L12" s="48"/>
      <c r="M12" s="48"/>
      <c r="N12" s="48"/>
      <c r="O12" s="48"/>
      <c r="P12" s="48"/>
      <c r="Q12" s="48"/>
      <c r="R12" s="48"/>
      <c r="S12" s="48"/>
      <c r="T12" s="48"/>
      <c r="U12" s="48"/>
      <c r="V12" s="48"/>
      <c r="W12" s="48"/>
      <c r="X12" s="48"/>
      <c r="Y12" s="48"/>
      <c r="Z12" s="48"/>
      <c r="AA12" s="49"/>
      <c r="AB12" s="421"/>
      <c r="AE12" s="335"/>
      <c r="AF12" s="344"/>
      <c r="AG12" s="344"/>
      <c r="AH12" s="335"/>
      <c r="AI12" s="338"/>
    </row>
    <row r="13" spans="1:35" ht="15.75" thickBot="1">
      <c r="A13" s="41" t="s">
        <v>187</v>
      </c>
      <c r="B13" s="42" t="s">
        <v>216</v>
      </c>
      <c r="C13" s="43">
        <f>('Enugu Workings'!C13+'Jigawa Workings'!C13+'Kaduna Workings'!C13+'Kano Workings'!C13+'Lagos Workings'!C13)/5</f>
        <v>3.8</v>
      </c>
      <c r="D13" s="81">
        <f>('Enugu Workings'!D13+'Jigawa Workings'!D13+'Kaduna Workings'!D13+'Kano Workings'!D13+'Lagos Workings'!D13)/5</f>
        <v>4.3666666666666671</v>
      </c>
      <c r="E13" s="81">
        <f>('Enugu Workings'!E13+'Jigawa Workings'!E13+'Kaduna Workings'!E13+'Kano Workings'!E13+'Lagos Workings'!E13)/5</f>
        <v>4.9333333333333327</v>
      </c>
      <c r="F13" s="81">
        <f>('Enugu Workings'!F13+'Jigawa Workings'!F13+'Kaduna Workings'!F13+'Kano Workings'!F13+'Lagos Workings'!F13)/5</f>
        <v>5.5</v>
      </c>
      <c r="G13" s="81">
        <f>('Enugu Workings'!G13+'Jigawa Workings'!G13+'Kaduna Workings'!G13+'Kano Workings'!G13+'Lagos Workings'!G13)/5</f>
        <v>6.0666666666666673</v>
      </c>
      <c r="H13" s="81">
        <f>('Enugu Workings'!H13+'Jigawa Workings'!H13+'Kaduna Workings'!H13+'Kano Workings'!H13+'Lagos Workings'!H13)/5</f>
        <v>6.6333333333333329</v>
      </c>
      <c r="I13" s="82">
        <f>('Enugu Workings'!I13+'Jigawa Workings'!I13+'Kaduna Workings'!I13+'Kano Workings'!I13+'Lagos Workings'!I13)/5</f>
        <v>7.2</v>
      </c>
      <c r="J13" s="81">
        <f>('Enugu Workings'!J13+'Jigawa Workings'!J13+'Kaduna Workings'!J13+'Kano Workings'!J13+'Lagos Workings'!J13)/5</f>
        <v>7.5333333333333332</v>
      </c>
      <c r="K13" s="81">
        <f>('Enugu Workings'!K13+'Jigawa Workings'!K13+'Kaduna Workings'!K13+'Kano Workings'!K13+'Lagos Workings'!K13)/5</f>
        <v>7.8666666666666654</v>
      </c>
      <c r="L13" s="44">
        <f>('Enugu Workings'!L13+'Jigawa Workings'!L13+'Kaduna Workings'!L13+'Kano Workings'!L13+'Lagos Workings'!L13)/5</f>
        <v>8.1999999999999993</v>
      </c>
      <c r="M13" s="44">
        <f>('Enugu Workings'!M13+'Jigawa Workings'!M13+'Kaduna Workings'!M13+'Kano Workings'!M13+'Lagos Workings'!M13)/5</f>
        <v>8.5333333333333332</v>
      </c>
      <c r="N13" s="43">
        <f>('Enugu Workings'!N13+'Jigawa Workings'!N13+'Kaduna Workings'!N13+'Kano Workings'!N13+'Lagos Workings'!N13)/5</f>
        <v>9.1999999999999993</v>
      </c>
      <c r="O13" s="44">
        <f>('Enugu Workings'!O13+'Jigawa Workings'!O13+'Kaduna Workings'!O13+'Kano Workings'!O13+'Lagos Workings'!O13)/5</f>
        <v>9.8000000000000007</v>
      </c>
      <c r="P13" s="44">
        <f>('Enugu Workings'!P13+'Jigawa Workings'!P13+'Kaduna Workings'!P13+'Kano Workings'!P13+'Lagos Workings'!P13)/5</f>
        <v>10.4</v>
      </c>
      <c r="Q13" s="44">
        <f>('Enugu Workings'!Q13+'Jigawa Workings'!Q13+'Kaduna Workings'!Q13+'Kano Workings'!Q13+'Lagos Workings'!Q13)/5</f>
        <v>11</v>
      </c>
      <c r="R13" s="43">
        <f>('Enugu Workings'!R13+'Jigawa Workings'!R13+'Kaduna Workings'!R13+'Kano Workings'!R13+'Lagos Workings'!R13)/5</f>
        <v>11.6</v>
      </c>
      <c r="S13" s="44">
        <f>('Enugu Workings'!S13+'Jigawa Workings'!S13+'Kaduna Workings'!S13+'Kano Workings'!S13+'Lagos Workings'!S13)/5</f>
        <v>11.899999999999999</v>
      </c>
      <c r="T13" s="44">
        <f>('Enugu Workings'!T13+'Jigawa Workings'!T13+'Kaduna Workings'!T13+'Kano Workings'!T13+'Lagos Workings'!T13)/5</f>
        <v>12.2</v>
      </c>
      <c r="U13" s="44">
        <f>('Enugu Workings'!U13+'Jigawa Workings'!U13+'Kaduna Workings'!U13+'Kano Workings'!U13+'Lagos Workings'!U13)/5</f>
        <v>12.5</v>
      </c>
      <c r="V13" s="44">
        <f>('Enugu Workings'!V13+'Jigawa Workings'!V13+'Kaduna Workings'!V13+'Kano Workings'!V13+'Lagos Workings'!V13)/5</f>
        <v>12.799999999999999</v>
      </c>
      <c r="W13" s="44">
        <f>('Enugu Workings'!W13+'Jigawa Workings'!W13+'Kaduna Workings'!W13+'Kano Workings'!W13+'Lagos Workings'!W13)/5</f>
        <v>13.1</v>
      </c>
      <c r="X13" s="44">
        <f>('Enugu Workings'!X13+'Jigawa Workings'!X13+'Kaduna Workings'!X13+'Kano Workings'!X13+'Lagos Workings'!X13)/5</f>
        <v>13.4</v>
      </c>
      <c r="Y13" s="43">
        <f>('Enugu Workings'!Y13+'Jigawa Workings'!Y13+'Kaduna Workings'!Y13+'Kano Workings'!Y13+'Lagos Workings'!Y13)/5</f>
        <v>13.4</v>
      </c>
      <c r="Z13" s="44">
        <f>('Enugu Workings'!Z13+'Jigawa Workings'!Z13+'Kaduna Workings'!Z13+'Kano Workings'!Z13+'Lagos Workings'!Z13)/5</f>
        <v>13.4</v>
      </c>
      <c r="AA13" s="38">
        <v>15</v>
      </c>
      <c r="AB13" s="457">
        <f>AA13/22</f>
        <v>0.68181818181818177</v>
      </c>
      <c r="AD13" s="450">
        <f>V13</f>
        <v>12.799999999999999</v>
      </c>
      <c r="AF13" s="339">
        <f t="shared" ref="AF13:AG14" si="3">IF($AG$1=16,R13,IF($AG$1=17,S13,IF($AG$1=18,T13,IF($AG$1=19,U13,IF($AG$1=20,V13,IF($AG$1=21,W13,IF($AG$1=22,X13,0)))))))</f>
        <v>13.1</v>
      </c>
      <c r="AG13" s="339">
        <f t="shared" si="3"/>
        <v>13.4</v>
      </c>
      <c r="AI13" s="338"/>
    </row>
    <row r="14" spans="1:35" s="340" customFormat="1" ht="15.75" thickBot="1">
      <c r="A14" s="45"/>
      <c r="B14" s="46" t="s">
        <v>217</v>
      </c>
      <c r="C14" s="79">
        <f>('Enugu Workings'!C14+'Jigawa Workings'!C14+'Kaduna Workings'!C14+'Kano Workings'!C14+'Lagos Workings'!C14)/5</f>
        <v>3.8</v>
      </c>
      <c r="D14" s="436">
        <f>('Enugu Workings'!D14+'Jigawa Workings'!D14+'Kaduna Workings'!D14+'Kano Workings'!D14+'Lagos Workings'!D14)/5</f>
        <v>4.4000000000000004</v>
      </c>
      <c r="E14" s="437">
        <f>('Enugu Workings'!E14+'Jigawa Workings'!E14+'Kaduna Workings'!E14+'Kano Workings'!E14+'Lagos Workings'!E14)/5</f>
        <v>3.8</v>
      </c>
      <c r="F14" s="437">
        <f>('Enugu Workings'!F14+'Jigawa Workings'!F14+'Kaduna Workings'!F14+'Kano Workings'!F14+'Lagos Workings'!F14)/5</f>
        <v>4</v>
      </c>
      <c r="G14" s="437">
        <f>('Enugu Workings'!G14+'Jigawa Workings'!G14+'Kaduna Workings'!G14+'Kano Workings'!G14+'Lagos Workings'!G14)/5</f>
        <v>2.6</v>
      </c>
      <c r="H14" s="437">
        <f>('Enugu Workings'!H14+'Jigawa Workings'!H14+'Kaduna Workings'!H14+'Kano Workings'!H14+'Lagos Workings'!H14)/5</f>
        <v>2.6</v>
      </c>
      <c r="I14" s="437">
        <f>('Enugu Workings'!I14+'Jigawa Workings'!I14+'Kaduna Workings'!I14+'Kano Workings'!I14+'Lagos Workings'!I14)/5</f>
        <v>5.8</v>
      </c>
      <c r="J14" s="437">
        <f>('Enugu Workings'!J14+'Jigawa Workings'!J14+'Kaduna Workings'!J14+'Kano Workings'!J14+'Lagos Workings'!J14)/5</f>
        <v>5.8</v>
      </c>
      <c r="K14" s="437">
        <f>('Enugu Workings'!K14+'Jigawa Workings'!K14+'Kaduna Workings'!K14+'Kano Workings'!K14+'Lagos Workings'!K14)/5</f>
        <v>5.8</v>
      </c>
      <c r="L14" s="437">
        <f>('Enugu Workings'!L14+'Jigawa Workings'!L14+'Kaduna Workings'!L14+'Kano Workings'!L14+'Lagos Workings'!L14)/5</f>
        <v>5.4</v>
      </c>
      <c r="M14" s="437">
        <f>('Enugu Workings'!M14+'Jigawa Workings'!M14+'Kaduna Workings'!M14+'Kano Workings'!M14+'Lagos Workings'!M14)/5</f>
        <v>7.6</v>
      </c>
      <c r="N14" s="439">
        <f>('Enugu Workings'!N14+'Jigawa Workings'!N14+'Kaduna Workings'!N14+'Kano Workings'!N14+'Lagos Workings'!N14)/5</f>
        <v>8.6</v>
      </c>
      <c r="O14" s="440">
        <f>('Enugu Workings'!O14+'Jigawa Workings'!O14+'Kaduna Workings'!O14+'Kano Workings'!O14+'Lagos Workings'!O14)/5</f>
        <v>8.6</v>
      </c>
      <c r="P14" s="440">
        <f>('Enugu Workings'!P14+'Jigawa Workings'!P14+'Kaduna Workings'!P14+'Kano Workings'!P14+'Lagos Workings'!P14)/5</f>
        <v>8.8000000000000007</v>
      </c>
      <c r="Q14" s="440">
        <f>('Enugu Workings'!Q14+'Jigawa Workings'!Q14+'Kaduna Workings'!Q14+'Kano Workings'!Q14+'Lagos Workings'!Q14)/5</f>
        <v>9.6</v>
      </c>
      <c r="R14" s="437">
        <f>('Enugu Workings'!R14+'Jigawa Workings'!R14+'Kaduna Workings'!R14+'Kano Workings'!R14+'Lagos Workings'!R14)/5</f>
        <v>10.4</v>
      </c>
      <c r="S14" s="437">
        <f>('Enugu Workings'!S14+'Jigawa Workings'!S14+'Kaduna Workings'!S14+'Kano Workings'!S14+'Lagos Workings'!S14)/5</f>
        <v>10.4</v>
      </c>
      <c r="T14" s="437">
        <f>('Enugu Workings'!T14+'Jigawa Workings'!T14+'Kaduna Workings'!T14+'Kano Workings'!T14+'Lagos Workings'!T14)/5</f>
        <v>10.6</v>
      </c>
      <c r="U14" s="437">
        <f>('Enugu Workings'!U14+'Jigawa Workings'!U14+'Kaduna Workings'!U14+'Kano Workings'!U14+'Lagos Workings'!U14)/5</f>
        <v>10.6</v>
      </c>
      <c r="V14" s="438">
        <f>('Enugu Workings'!V14+'Jigawa Workings'!V14+'Kaduna Workings'!V14+'Kano Workings'!V14+'Lagos Workings'!V14)/5</f>
        <v>10.6</v>
      </c>
      <c r="W14" s="80">
        <f>('Enugu Workings'!W14+'Jigawa Workings'!W14+'Kaduna Workings'!W14+'Kano Workings'!W14+'Lagos Workings'!W14)/5</f>
        <v>10.6</v>
      </c>
      <c r="X14" s="69">
        <f>('Enugu Workings'!X14+'Jigawa Workings'!X14+'Kaduna Workings'!X14+'Kano Workings'!X14+'Lagos Workings'!X14)/5</f>
        <v>10.6</v>
      </c>
      <c r="Y14" s="69">
        <f>('Enugu Workings'!Y14+'Jigawa Workings'!Y14+'Kaduna Workings'!Y14+'Kano Workings'!Y14+'Lagos Workings'!Y14)/5</f>
        <v>0</v>
      </c>
      <c r="Z14" s="69">
        <f>('Enugu Workings'!Z14+'Jigawa Workings'!Z14+'Kaduna Workings'!Z14+'Kano Workings'!Z14+'Lagos Workings'!Z14)/5</f>
        <v>0</v>
      </c>
      <c r="AA14" s="49"/>
      <c r="AB14" s="421"/>
      <c r="AD14" s="341">
        <f>V14</f>
        <v>10.6</v>
      </c>
      <c r="AE14" s="335"/>
      <c r="AF14" s="341">
        <f t="shared" si="3"/>
        <v>10.6</v>
      </c>
      <c r="AG14" s="341">
        <f t="shared" si="3"/>
        <v>10.6</v>
      </c>
      <c r="AH14" s="342">
        <f>AG14</f>
        <v>10.6</v>
      </c>
      <c r="AI14" s="342">
        <f>AG14</f>
        <v>10.6</v>
      </c>
    </row>
    <row r="15" spans="1:35" s="340" customFormat="1">
      <c r="A15" s="45"/>
      <c r="B15" s="46"/>
      <c r="C15" s="48"/>
      <c r="D15" s="422"/>
      <c r="E15" s="422"/>
      <c r="F15" s="422"/>
      <c r="G15" s="83"/>
      <c r="H15" s="83"/>
      <c r="I15" s="83"/>
      <c r="J15" s="83"/>
      <c r="K15" s="83"/>
      <c r="L15" s="48"/>
      <c r="M15" s="48"/>
      <c r="N15" s="48"/>
      <c r="O15" s="48"/>
      <c r="P15" s="48"/>
      <c r="Q15" s="48"/>
      <c r="R15" s="48"/>
      <c r="S15" s="48"/>
      <c r="T15" s="48"/>
      <c r="U15" s="48"/>
      <c r="V15" s="48"/>
      <c r="W15" s="48"/>
      <c r="X15" s="48"/>
      <c r="Y15" s="48"/>
      <c r="Z15" s="48"/>
      <c r="AA15" s="49"/>
      <c r="AB15" s="421"/>
      <c r="AE15" s="335"/>
      <c r="AF15" s="344"/>
      <c r="AG15" s="344"/>
      <c r="AH15" s="335"/>
      <c r="AI15" s="338"/>
    </row>
    <row r="16" spans="1:35" ht="15.75" thickBot="1">
      <c r="A16" s="41" t="s">
        <v>188</v>
      </c>
      <c r="B16" s="42" t="s">
        <v>218</v>
      </c>
      <c r="C16" s="43">
        <f>('Enugu Workings'!C16+'Jigawa Workings'!C16+'Kaduna Workings'!C16+'Kano Workings'!C16+'Lagos Workings'!C16)/5</f>
        <v>0.2</v>
      </c>
      <c r="D16" s="81">
        <f>('Enugu Workings'!D16+'Jigawa Workings'!D16+'Kaduna Workings'!D16+'Kano Workings'!D16+'Lagos Workings'!D16)/5</f>
        <v>0.3</v>
      </c>
      <c r="E16" s="81">
        <f>('Enugu Workings'!E16+'Jigawa Workings'!E16+'Kaduna Workings'!E16+'Kano Workings'!E16+'Lagos Workings'!E16)/5</f>
        <v>0.39999999999999997</v>
      </c>
      <c r="F16" s="81">
        <f>('Enugu Workings'!F16+'Jigawa Workings'!F16+'Kaduna Workings'!F16+'Kano Workings'!F16+'Lagos Workings'!F16)/5</f>
        <v>0.5</v>
      </c>
      <c r="G16" s="81">
        <f>('Enugu Workings'!G16+'Jigawa Workings'!G16+'Kaduna Workings'!G16+'Kano Workings'!G16+'Lagos Workings'!G16)/5</f>
        <v>0.59999999999999987</v>
      </c>
      <c r="H16" s="81">
        <f>('Enugu Workings'!H16+'Jigawa Workings'!H16+'Kaduna Workings'!H16+'Kano Workings'!H16+'Lagos Workings'!H16)/5</f>
        <v>0.7</v>
      </c>
      <c r="I16" s="82">
        <f>('Enugu Workings'!I16+'Jigawa Workings'!I16+'Kaduna Workings'!I16+'Kano Workings'!I16+'Lagos Workings'!I16)/5</f>
        <v>0.8</v>
      </c>
      <c r="J16" s="81">
        <f>('Enugu Workings'!J16+'Jigawa Workings'!J16+'Kaduna Workings'!J16+'Kano Workings'!J16+'Lagos Workings'!J16)/5</f>
        <v>1.1000000000000001</v>
      </c>
      <c r="K16" s="81">
        <f>('Enugu Workings'!K16+'Jigawa Workings'!K16+'Kaduna Workings'!K16+'Kano Workings'!K16+'Lagos Workings'!K16)/5</f>
        <v>1.4</v>
      </c>
      <c r="L16" s="44">
        <f>('Enugu Workings'!L16+'Jigawa Workings'!L16+'Kaduna Workings'!L16+'Kano Workings'!L16+'Lagos Workings'!L16)/5</f>
        <v>1.7</v>
      </c>
      <c r="M16" s="44">
        <f>('Enugu Workings'!M16+'Jigawa Workings'!M16+'Kaduna Workings'!M16+'Kano Workings'!M16+'Lagos Workings'!M16)/5</f>
        <v>2</v>
      </c>
      <c r="N16" s="43">
        <f>('Enugu Workings'!N16+'Jigawa Workings'!N16+'Kaduna Workings'!N16+'Kano Workings'!N16+'Lagos Workings'!N16)/5</f>
        <v>2.6</v>
      </c>
      <c r="O16" s="44">
        <f>('Enugu Workings'!O16+'Jigawa Workings'!O16+'Kaduna Workings'!O16+'Kano Workings'!O16+'Lagos Workings'!O16)/5</f>
        <v>2.8</v>
      </c>
      <c r="P16" s="44">
        <f>('Enugu Workings'!P16+'Jigawa Workings'!P16+'Kaduna Workings'!P16+'Kano Workings'!P16+'Lagos Workings'!P16)/5</f>
        <v>3</v>
      </c>
      <c r="Q16" s="44">
        <f>('Enugu Workings'!Q16+'Jigawa Workings'!Q16+'Kaduna Workings'!Q16+'Kano Workings'!Q16+'Lagos Workings'!Q16)/5</f>
        <v>3.2</v>
      </c>
      <c r="R16" s="43">
        <f>('Enugu Workings'!R16+'Jigawa Workings'!R16+'Kaduna Workings'!R16+'Kano Workings'!R16+'Lagos Workings'!R16)/5</f>
        <v>3.4</v>
      </c>
      <c r="S16" s="44">
        <f>('Enugu Workings'!S16+'Jigawa Workings'!S16+'Kaduna Workings'!S16+'Kano Workings'!S16+'Lagos Workings'!S16)/5</f>
        <v>3.8666666666666663</v>
      </c>
      <c r="T16" s="44">
        <f>('Enugu Workings'!T16+'Jigawa Workings'!T16+'Kaduna Workings'!T16+'Kano Workings'!T16+'Lagos Workings'!T16)/5</f>
        <v>4.333333333333333</v>
      </c>
      <c r="U16" s="44">
        <f>('Enugu Workings'!U16+'Jigawa Workings'!U16+'Kaduna Workings'!U16+'Kano Workings'!U16+'Lagos Workings'!U16)/5</f>
        <v>4.8</v>
      </c>
      <c r="V16" s="44">
        <f>('Enugu Workings'!V16+'Jigawa Workings'!V16+'Kaduna Workings'!V16+'Kano Workings'!V16+'Lagos Workings'!V16)/5</f>
        <v>5.2666666666666666</v>
      </c>
      <c r="W16" s="44">
        <f>('Enugu Workings'!W16+'Jigawa Workings'!W16+'Kaduna Workings'!W16+'Kano Workings'!W16+'Lagos Workings'!W16)/5</f>
        <v>7.9</v>
      </c>
      <c r="X16" s="44">
        <f>('Enugu Workings'!X16+'Jigawa Workings'!X16+'Kaduna Workings'!X16+'Kano Workings'!X16+'Lagos Workings'!X16)/5</f>
        <v>8.8000000000000007</v>
      </c>
      <c r="Y16" s="43">
        <f>('Enugu Workings'!Y16+'Jigawa Workings'!Y16+'Kaduna Workings'!Y16+'Kano Workings'!Y16+'Lagos Workings'!Y16)/5</f>
        <v>8.8000000000000007</v>
      </c>
      <c r="Z16" s="44">
        <f>('Enugu Workings'!Z16+'Jigawa Workings'!Z16+'Kaduna Workings'!Z16+'Kano Workings'!Z16+'Lagos Workings'!Z16)/5</f>
        <v>8.8000000000000007</v>
      </c>
      <c r="AA16" s="38">
        <v>15</v>
      </c>
      <c r="AB16" s="457">
        <f>AA16/22</f>
        <v>0.68181818181818177</v>
      </c>
      <c r="AD16" s="450">
        <f>V16</f>
        <v>5.2666666666666666</v>
      </c>
      <c r="AF16" s="339">
        <f t="shared" ref="AF16:AG17" si="4">IF($AG$1=16,R16,IF($AG$1=17,S16,IF($AG$1=18,T16,IF($AG$1=19,U16,IF($AG$1=20,V16,IF($AG$1=21,W16,IF($AG$1=22,X16,0)))))))</f>
        <v>7.9</v>
      </c>
      <c r="AG16" s="339">
        <f t="shared" si="4"/>
        <v>8.8000000000000007</v>
      </c>
      <c r="AI16" s="338"/>
    </row>
    <row r="17" spans="1:35" s="340" customFormat="1" ht="15.75" thickBot="1">
      <c r="A17" s="45"/>
      <c r="B17" s="46" t="s">
        <v>219</v>
      </c>
      <c r="C17" s="79">
        <f>('Enugu Workings'!C17+'Jigawa Workings'!C17+'Kaduna Workings'!C17+'Kano Workings'!C17+'Lagos Workings'!C17)/5</f>
        <v>0.2</v>
      </c>
      <c r="D17" s="436">
        <f>('Enugu Workings'!D17+'Jigawa Workings'!D17+'Kaduna Workings'!D17+'Kano Workings'!D17+'Lagos Workings'!D17)/5</f>
        <v>0.2</v>
      </c>
      <c r="E17" s="437">
        <f>('Enugu Workings'!E17+'Jigawa Workings'!E17+'Kaduna Workings'!E17+'Kano Workings'!E17+'Lagos Workings'!E17)/5</f>
        <v>0.2</v>
      </c>
      <c r="F17" s="437">
        <f>('Enugu Workings'!F17+'Jigawa Workings'!F17+'Kaduna Workings'!F17+'Kano Workings'!F17+'Lagos Workings'!F17)/5</f>
        <v>0.2</v>
      </c>
      <c r="G17" s="437">
        <f>('Enugu Workings'!G17+'Jigawa Workings'!G17+'Kaduna Workings'!G17+'Kano Workings'!G17+'Lagos Workings'!G17)/5</f>
        <v>0.2</v>
      </c>
      <c r="H17" s="437">
        <f>('Enugu Workings'!H17+'Jigawa Workings'!H17+'Kaduna Workings'!H17+'Kano Workings'!H17+'Lagos Workings'!H17)/5</f>
        <v>0.2</v>
      </c>
      <c r="I17" s="437">
        <f>('Enugu Workings'!I17+'Jigawa Workings'!I17+'Kaduna Workings'!I17+'Kano Workings'!I17+'Lagos Workings'!I17)/5</f>
        <v>2.6</v>
      </c>
      <c r="J17" s="437">
        <f>('Enugu Workings'!J17+'Jigawa Workings'!J17+'Kaduna Workings'!J17+'Kano Workings'!J17+'Lagos Workings'!J17)/5</f>
        <v>2.8</v>
      </c>
      <c r="K17" s="437">
        <f>('Enugu Workings'!K17+'Jigawa Workings'!K17+'Kaduna Workings'!K17+'Kano Workings'!K17+'Lagos Workings'!K17)/5</f>
        <v>2.8</v>
      </c>
      <c r="L17" s="437">
        <f>('Enugu Workings'!L17+'Jigawa Workings'!L17+'Kaduna Workings'!L17+'Kano Workings'!L17+'Lagos Workings'!L17)/5</f>
        <v>1.2</v>
      </c>
      <c r="M17" s="437">
        <f>('Enugu Workings'!M17+'Jigawa Workings'!M17+'Kaduna Workings'!M17+'Kano Workings'!M17+'Lagos Workings'!M17)/5</f>
        <v>2</v>
      </c>
      <c r="N17" s="439">
        <f>('Enugu Workings'!N17+'Jigawa Workings'!N17+'Kaduna Workings'!N17+'Kano Workings'!N17+'Lagos Workings'!N17)/5</f>
        <v>2.2000000000000002</v>
      </c>
      <c r="O17" s="440">
        <f>('Enugu Workings'!O17+'Jigawa Workings'!O17+'Kaduna Workings'!O17+'Kano Workings'!O17+'Lagos Workings'!O17)/5</f>
        <v>2.4</v>
      </c>
      <c r="P17" s="440">
        <f>('Enugu Workings'!P17+'Jigawa Workings'!P17+'Kaduna Workings'!P17+'Kano Workings'!P17+'Lagos Workings'!P17)/5</f>
        <v>2.4</v>
      </c>
      <c r="Q17" s="440">
        <f>('Enugu Workings'!Q17+'Jigawa Workings'!Q17+'Kaduna Workings'!Q17+'Kano Workings'!Q17+'Lagos Workings'!Q17)/5</f>
        <v>2.4</v>
      </c>
      <c r="R17" s="437">
        <f>('Enugu Workings'!R17+'Jigawa Workings'!R17+'Kaduna Workings'!R17+'Kano Workings'!R17+'Lagos Workings'!R17)/5</f>
        <v>2.2000000000000002</v>
      </c>
      <c r="S17" s="437">
        <f>('Enugu Workings'!S17+'Jigawa Workings'!S17+'Kaduna Workings'!S17+'Kano Workings'!S17+'Lagos Workings'!S17)/5</f>
        <v>2.2000000000000002</v>
      </c>
      <c r="T17" s="437">
        <f>('Enugu Workings'!T17+'Jigawa Workings'!T17+'Kaduna Workings'!T17+'Kano Workings'!T17+'Lagos Workings'!T17)/5</f>
        <v>5.6</v>
      </c>
      <c r="U17" s="437">
        <f>('Enugu Workings'!U17+'Jigawa Workings'!U17+'Kaduna Workings'!U17+'Kano Workings'!U17+'Lagos Workings'!U17)/5</f>
        <v>5.6</v>
      </c>
      <c r="V17" s="438">
        <f>('Enugu Workings'!V17+'Jigawa Workings'!V17+'Kaduna Workings'!V17+'Kano Workings'!V17+'Lagos Workings'!V17)/5</f>
        <v>12.6</v>
      </c>
      <c r="W17" s="80">
        <f>('Enugu Workings'!W17+'Jigawa Workings'!W17+'Kaduna Workings'!W17+'Kano Workings'!W17+'Lagos Workings'!W17)/5</f>
        <v>12.6</v>
      </c>
      <c r="X17" s="69">
        <f>('Enugu Workings'!X17+'Jigawa Workings'!X17+'Kaduna Workings'!X17+'Kano Workings'!X17+'Lagos Workings'!X17)/5</f>
        <v>12.6</v>
      </c>
      <c r="Y17" s="69">
        <f>('Enugu Workings'!Y17+'Jigawa Workings'!Y17+'Kaduna Workings'!Y17+'Kano Workings'!Y17+'Lagos Workings'!Y17)/5</f>
        <v>0</v>
      </c>
      <c r="Z17" s="69">
        <f>('Enugu Workings'!Z17+'Jigawa Workings'!Z17+'Kaduna Workings'!Z17+'Kano Workings'!Z17+'Lagos Workings'!Z17)/5</f>
        <v>0</v>
      </c>
      <c r="AA17" s="49"/>
      <c r="AB17" s="421"/>
      <c r="AD17" s="341">
        <f>V17</f>
        <v>12.6</v>
      </c>
      <c r="AE17" s="335"/>
      <c r="AF17" s="341">
        <f t="shared" si="4"/>
        <v>12.6</v>
      </c>
      <c r="AG17" s="341">
        <f t="shared" si="4"/>
        <v>12.6</v>
      </c>
      <c r="AH17" s="342">
        <f>AG17</f>
        <v>12.6</v>
      </c>
      <c r="AI17" s="342">
        <f>AG17</f>
        <v>12.6</v>
      </c>
    </row>
    <row r="18" spans="1:35" s="340" customFormat="1">
      <c r="A18" s="45"/>
      <c r="B18" s="46"/>
      <c r="C18" s="48"/>
      <c r="D18" s="422"/>
      <c r="E18" s="422"/>
      <c r="F18" s="422"/>
      <c r="G18" s="83"/>
      <c r="H18" s="83"/>
      <c r="I18" s="83"/>
      <c r="J18" s="83"/>
      <c r="K18" s="83"/>
      <c r="L18" s="48"/>
      <c r="M18" s="48"/>
      <c r="N18" s="48"/>
      <c r="O18" s="48"/>
      <c r="P18" s="48"/>
      <c r="Q18" s="48"/>
      <c r="R18" s="48"/>
      <c r="S18" s="48"/>
      <c r="T18" s="48"/>
      <c r="U18" s="48"/>
      <c r="V18" s="48"/>
      <c r="W18" s="48"/>
      <c r="X18" s="48"/>
      <c r="Y18" s="48"/>
      <c r="Z18" s="48"/>
      <c r="AA18" s="49"/>
      <c r="AB18" s="421"/>
      <c r="AE18" s="335"/>
      <c r="AF18" s="344"/>
      <c r="AG18" s="344"/>
      <c r="AH18" s="335"/>
      <c r="AI18" s="338"/>
    </row>
    <row r="19" spans="1:35" ht="15.75" thickBot="1">
      <c r="A19" s="41" t="s">
        <v>189</v>
      </c>
      <c r="B19" s="42" t="s">
        <v>221</v>
      </c>
      <c r="C19" s="43">
        <f>('Enugu Workings'!C19+'Jigawa Workings'!C19+'Kaduna Workings'!C19+'Kano Workings'!C19+'Lagos Workings'!C19)/5</f>
        <v>7.8</v>
      </c>
      <c r="D19" s="81">
        <f>('Enugu Workings'!D19+'Jigawa Workings'!D19+'Kaduna Workings'!D19+'Kano Workings'!D19+'Lagos Workings'!D19)/5</f>
        <v>8.1</v>
      </c>
      <c r="E19" s="81">
        <f>('Enugu Workings'!E19+'Jigawa Workings'!E19+'Kaduna Workings'!E19+'Kano Workings'!E19+'Lagos Workings'!E19)/5</f>
        <v>8.4</v>
      </c>
      <c r="F19" s="81">
        <f>('Enugu Workings'!F19+'Jigawa Workings'!F19+'Kaduna Workings'!F19+'Kano Workings'!F19+'Lagos Workings'!F19)/5</f>
        <v>8.6999999999999993</v>
      </c>
      <c r="G19" s="81">
        <f>('Enugu Workings'!G19+'Jigawa Workings'!G19+'Kaduna Workings'!G19+'Kano Workings'!G19+'Lagos Workings'!G19)/5</f>
        <v>9</v>
      </c>
      <c r="H19" s="81">
        <f>('Enugu Workings'!H19+'Jigawa Workings'!H19+'Kaduna Workings'!H19+'Kano Workings'!H19+'Lagos Workings'!H19)/5</f>
        <v>9.2999999999999989</v>
      </c>
      <c r="I19" s="82">
        <f>('Enugu Workings'!I19+'Jigawa Workings'!I19+'Kaduna Workings'!I19+'Kano Workings'!I19+'Lagos Workings'!I19)/5</f>
        <v>9.6</v>
      </c>
      <c r="J19" s="81">
        <f>('Enugu Workings'!J19+'Jigawa Workings'!J19+'Kaduna Workings'!J19+'Kano Workings'!J19+'Lagos Workings'!J19)/5</f>
        <v>10.333333333333332</v>
      </c>
      <c r="K19" s="81">
        <f>('Enugu Workings'!K19+'Jigawa Workings'!K19+'Kaduna Workings'!K19+'Kano Workings'!K19+'Lagos Workings'!K19)/5</f>
        <v>11.066666666666666</v>
      </c>
      <c r="L19" s="44">
        <f>('Enugu Workings'!L19+'Jigawa Workings'!L19+'Kaduna Workings'!L19+'Kano Workings'!L19+'Lagos Workings'!L19)/5</f>
        <v>11.8</v>
      </c>
      <c r="M19" s="44">
        <f>('Enugu Workings'!M19+'Jigawa Workings'!M19+'Kaduna Workings'!M19+'Kano Workings'!M19+'Lagos Workings'!M19)/5</f>
        <v>12.533333333333331</v>
      </c>
      <c r="N19" s="43">
        <f>('Enugu Workings'!N19+'Jigawa Workings'!N19+'Kaduna Workings'!N19+'Kano Workings'!N19+'Lagos Workings'!N19)/5</f>
        <v>14</v>
      </c>
      <c r="O19" s="44">
        <f>('Enugu Workings'!O19+'Jigawa Workings'!O19+'Kaduna Workings'!O19+'Kano Workings'!O19+'Lagos Workings'!O19)/5</f>
        <v>14</v>
      </c>
      <c r="P19" s="44">
        <f>('Enugu Workings'!P19+'Jigawa Workings'!P19+'Kaduna Workings'!P19+'Kano Workings'!P19+'Lagos Workings'!P19)/5</f>
        <v>14</v>
      </c>
      <c r="Q19" s="44">
        <f>('Enugu Workings'!Q19+'Jigawa Workings'!Q19+'Kaduna Workings'!Q19+'Kano Workings'!Q19+'Lagos Workings'!Q19)/5</f>
        <v>14</v>
      </c>
      <c r="R19" s="43">
        <f>('Enugu Workings'!R19+'Jigawa Workings'!R19+'Kaduna Workings'!R19+'Kano Workings'!R19+'Lagos Workings'!R19)/5</f>
        <v>14</v>
      </c>
      <c r="S19" s="44">
        <f>('Enugu Workings'!S19+'Jigawa Workings'!S19+'Kaduna Workings'!S19+'Kano Workings'!S19+'Lagos Workings'!S19)/5</f>
        <v>14.1</v>
      </c>
      <c r="T19" s="44">
        <f>('Enugu Workings'!T19+'Jigawa Workings'!T19+'Kaduna Workings'!T19+'Kano Workings'!T19+'Lagos Workings'!T19)/5</f>
        <v>14.199999999999998</v>
      </c>
      <c r="U19" s="44">
        <f>('Enugu Workings'!U19+'Jigawa Workings'!U19+'Kaduna Workings'!U19+'Kano Workings'!U19+'Lagos Workings'!U19)/5</f>
        <v>14.3</v>
      </c>
      <c r="V19" s="44">
        <f>('Enugu Workings'!V19+'Jigawa Workings'!V19+'Kaduna Workings'!V19+'Kano Workings'!V19+'Lagos Workings'!V19)/5</f>
        <v>14.4</v>
      </c>
      <c r="W19" s="44">
        <f>('Enugu Workings'!W19+'Jigawa Workings'!W19+'Kaduna Workings'!W19+'Kano Workings'!W19+'Lagos Workings'!W19)/5</f>
        <v>14.499999999999996</v>
      </c>
      <c r="X19" s="44">
        <f>('Enugu Workings'!X19+'Jigawa Workings'!X19+'Kaduna Workings'!X19+'Kano Workings'!X19+'Lagos Workings'!X19)/5</f>
        <v>14.6</v>
      </c>
      <c r="Y19" s="43">
        <f>('Enugu Workings'!Y19+'Jigawa Workings'!Y19+'Kaduna Workings'!Y19+'Kano Workings'!Y19+'Lagos Workings'!Y19)/5</f>
        <v>14.6</v>
      </c>
      <c r="Z19" s="44">
        <f>('Enugu Workings'!Z19+'Jigawa Workings'!Z19+'Kaduna Workings'!Z19+'Kano Workings'!Z19+'Lagos Workings'!Z19)/5</f>
        <v>14.6</v>
      </c>
      <c r="AA19" s="38">
        <v>15</v>
      </c>
      <c r="AB19" s="457">
        <f>AA19/22</f>
        <v>0.68181818181818177</v>
      </c>
      <c r="AD19" s="450">
        <f>V19</f>
        <v>14.4</v>
      </c>
      <c r="AF19" s="339">
        <f t="shared" ref="AF19:AG20" si="5">IF($AG$1=16,R19,IF($AG$1=17,S19,IF($AG$1=18,T19,IF($AG$1=19,U19,IF($AG$1=20,V19,IF($AG$1=21,W19,IF($AG$1=22,X19,0)))))))</f>
        <v>14.499999999999996</v>
      </c>
      <c r="AG19" s="339">
        <f t="shared" si="5"/>
        <v>14.6</v>
      </c>
      <c r="AI19" s="338"/>
    </row>
    <row r="20" spans="1:35" s="340" customFormat="1" ht="15.75" thickBot="1">
      <c r="A20" s="45"/>
      <c r="B20" s="46" t="s">
        <v>220</v>
      </c>
      <c r="C20" s="79">
        <f>('Enugu Workings'!C20+'Jigawa Workings'!C20+'Kaduna Workings'!C20+'Kano Workings'!C20+'Lagos Workings'!C20)/5</f>
        <v>7.8</v>
      </c>
      <c r="D20" s="436">
        <f>('Enugu Workings'!D20+'Jigawa Workings'!D20+'Kaduna Workings'!D20+'Kano Workings'!D20+'Lagos Workings'!D20)/5</f>
        <v>5.2</v>
      </c>
      <c r="E20" s="437">
        <f>('Enugu Workings'!E20+'Jigawa Workings'!E20+'Kaduna Workings'!E20+'Kano Workings'!E20+'Lagos Workings'!E20)/5</f>
        <v>5.2</v>
      </c>
      <c r="F20" s="437">
        <f>('Enugu Workings'!F20+'Jigawa Workings'!F20+'Kaduna Workings'!F20+'Kano Workings'!F20+'Lagos Workings'!F20)/5</f>
        <v>5.2</v>
      </c>
      <c r="G20" s="437">
        <f>('Enugu Workings'!G20+'Jigawa Workings'!G20+'Kaduna Workings'!G20+'Kano Workings'!G20+'Lagos Workings'!G20)/5</f>
        <v>5.2</v>
      </c>
      <c r="H20" s="437">
        <f>('Enugu Workings'!H20+'Jigawa Workings'!H20+'Kaduna Workings'!H20+'Kano Workings'!H20+'Lagos Workings'!H20)/5</f>
        <v>4.5999999999999996</v>
      </c>
      <c r="I20" s="437">
        <f>('Enugu Workings'!I20+'Jigawa Workings'!I20+'Kaduna Workings'!I20+'Kano Workings'!I20+'Lagos Workings'!I20)/5</f>
        <v>8.9</v>
      </c>
      <c r="J20" s="437">
        <f>('Enugu Workings'!J20+'Jigawa Workings'!J20+'Kaduna Workings'!J20+'Kano Workings'!J20+'Lagos Workings'!J20)/5</f>
        <v>9</v>
      </c>
      <c r="K20" s="437">
        <f>('Enugu Workings'!K20+'Jigawa Workings'!K20+'Kaduna Workings'!K20+'Kano Workings'!K20+'Lagos Workings'!K20)/5</f>
        <v>9</v>
      </c>
      <c r="L20" s="437">
        <f>('Enugu Workings'!L20+'Jigawa Workings'!L20+'Kaduna Workings'!L20+'Kano Workings'!L20+'Lagos Workings'!L20)/5</f>
        <v>6.5</v>
      </c>
      <c r="M20" s="437">
        <f>('Enugu Workings'!M20+'Jigawa Workings'!M20+'Kaduna Workings'!M20+'Kano Workings'!M20+'Lagos Workings'!M20)/5</f>
        <v>10.3</v>
      </c>
      <c r="N20" s="439">
        <f>('Enugu Workings'!N20+'Jigawa Workings'!N20+'Kaduna Workings'!N20+'Kano Workings'!N20+'Lagos Workings'!N20)/5</f>
        <v>13.8</v>
      </c>
      <c r="O20" s="440">
        <f>('Enugu Workings'!O20+'Jigawa Workings'!O20+'Kaduna Workings'!O20+'Kano Workings'!O20+'Lagos Workings'!O20)/5</f>
        <v>13.8</v>
      </c>
      <c r="P20" s="440">
        <f>('Enugu Workings'!P20+'Jigawa Workings'!P20+'Kaduna Workings'!P20+'Kano Workings'!P20+'Lagos Workings'!P20)/5</f>
        <v>14</v>
      </c>
      <c r="Q20" s="440">
        <f>('Enugu Workings'!Q20+'Jigawa Workings'!Q20+'Kaduna Workings'!Q20+'Kano Workings'!Q20+'Lagos Workings'!Q20)/5</f>
        <v>14</v>
      </c>
      <c r="R20" s="437">
        <f>('Enugu Workings'!R20+'Jigawa Workings'!R20+'Kaduna Workings'!R20+'Kano Workings'!R20+'Lagos Workings'!R20)/5</f>
        <v>14.419999999999998</v>
      </c>
      <c r="S20" s="437">
        <f>('Enugu Workings'!S20+'Jigawa Workings'!S20+'Kaduna Workings'!S20+'Kano Workings'!S20+'Lagos Workings'!S20)/5</f>
        <v>14.419999999999998</v>
      </c>
      <c r="T20" s="437">
        <f>('Enugu Workings'!T20+'Jigawa Workings'!T20+'Kaduna Workings'!T20+'Kano Workings'!T20+'Lagos Workings'!T20)/5</f>
        <v>14.419999999999998</v>
      </c>
      <c r="U20" s="437">
        <f>('Enugu Workings'!U20+'Jigawa Workings'!U20+'Kaduna Workings'!U20+'Kano Workings'!U20+'Lagos Workings'!U20)/5</f>
        <v>14.419999999999998</v>
      </c>
      <c r="V20" s="438">
        <f>('Enugu Workings'!V20+'Jigawa Workings'!V20+'Kaduna Workings'!V20+'Kano Workings'!V20+'Lagos Workings'!V20)/5</f>
        <v>14.419999999999998</v>
      </c>
      <c r="W20" s="80">
        <f>('Enugu Workings'!W20+'Jigawa Workings'!W20+'Kaduna Workings'!W20+'Kano Workings'!W20+'Lagos Workings'!W20)/5</f>
        <v>14.219999999999999</v>
      </c>
      <c r="X20" s="69">
        <f>('Enugu Workings'!X20+'Jigawa Workings'!X20+'Kaduna Workings'!X20+'Kano Workings'!X20+'Lagos Workings'!X20)/5</f>
        <v>14.219999999999999</v>
      </c>
      <c r="Y20" s="69">
        <f>('Enugu Workings'!Y20+'Jigawa Workings'!Y20+'Kaduna Workings'!Y20+'Kano Workings'!Y20+'Lagos Workings'!Y20)/5</f>
        <v>0</v>
      </c>
      <c r="Z20" s="69">
        <f>('Enugu Workings'!Z20+'Jigawa Workings'!Z20+'Kaduna Workings'!Z20+'Kano Workings'!Z20+'Lagos Workings'!Z20)/5</f>
        <v>0</v>
      </c>
      <c r="AA20" s="49"/>
      <c r="AB20" s="421"/>
      <c r="AD20" s="341">
        <f>V20</f>
        <v>14.419999999999998</v>
      </c>
      <c r="AE20" s="335"/>
      <c r="AF20" s="341">
        <f t="shared" si="5"/>
        <v>14.219999999999999</v>
      </c>
      <c r="AG20" s="341">
        <f t="shared" si="5"/>
        <v>14.219999999999999</v>
      </c>
      <c r="AH20" s="342">
        <f>AG20</f>
        <v>14.219999999999999</v>
      </c>
      <c r="AI20" s="342">
        <f>AG20</f>
        <v>14.219999999999999</v>
      </c>
    </row>
    <row r="21" spans="1:35" s="340" customFormat="1">
      <c r="A21" s="45"/>
      <c r="B21" s="46"/>
      <c r="C21" s="48"/>
      <c r="D21" s="422"/>
      <c r="E21" s="422"/>
      <c r="F21" s="422"/>
      <c r="G21" s="83"/>
      <c r="H21" s="83"/>
      <c r="I21" s="83"/>
      <c r="J21" s="83"/>
      <c r="K21" s="83"/>
      <c r="L21" s="48"/>
      <c r="M21" s="48"/>
      <c r="N21" s="48"/>
      <c r="O21" s="48"/>
      <c r="P21" s="48"/>
      <c r="Q21" s="48"/>
      <c r="R21" s="48"/>
      <c r="S21" s="48"/>
      <c r="T21" s="48"/>
      <c r="U21" s="48"/>
      <c r="V21" s="48"/>
      <c r="W21" s="48"/>
      <c r="X21" s="48"/>
      <c r="Y21" s="48"/>
      <c r="Z21" s="48"/>
      <c r="AA21" s="49"/>
      <c r="AB21" s="421"/>
      <c r="AE21" s="335"/>
      <c r="AF21" s="343"/>
      <c r="AG21" s="343"/>
      <c r="AH21" s="335"/>
      <c r="AI21" s="338"/>
    </row>
    <row r="22" spans="1:35" ht="15.75" thickBot="1">
      <c r="A22" s="41" t="s">
        <v>22</v>
      </c>
      <c r="B22" s="42" t="s">
        <v>139</v>
      </c>
      <c r="C22" s="43">
        <f>('Enugu Workings'!C22+'Jigawa Workings'!C22+'Kaduna Workings'!C22+'Kano Workings'!C22+'Lagos Workings'!C22)/5</f>
        <v>2.16</v>
      </c>
      <c r="D22" s="81">
        <f>('Enugu Workings'!D22+'Jigawa Workings'!D22+'Kaduna Workings'!D22+'Kano Workings'!D22+'Lagos Workings'!D22)/5</f>
        <v>2.1766666666666667</v>
      </c>
      <c r="E22" s="81">
        <f>('Enugu Workings'!E22+'Jigawa Workings'!E22+'Kaduna Workings'!E22+'Kano Workings'!E22+'Lagos Workings'!E22)/5</f>
        <v>2.1933333333333338</v>
      </c>
      <c r="F22" s="81">
        <f>('Enugu Workings'!F22+'Jigawa Workings'!F22+'Kaduna Workings'!F22+'Kano Workings'!F22+'Lagos Workings'!F22)/5</f>
        <v>2.21</v>
      </c>
      <c r="G22" s="81">
        <f>('Enugu Workings'!G22+'Jigawa Workings'!G22+'Kaduna Workings'!G22+'Kano Workings'!G22+'Lagos Workings'!G22)/5</f>
        <v>2.2266666666666666</v>
      </c>
      <c r="H22" s="81">
        <f>('Enugu Workings'!H22+'Jigawa Workings'!H22+'Kaduna Workings'!H22+'Kano Workings'!H22+'Lagos Workings'!H22)/5</f>
        <v>2.2433333333333332</v>
      </c>
      <c r="I22" s="82">
        <f>('Enugu Workings'!I22+'Jigawa Workings'!I22+'Kaduna Workings'!I22+'Kano Workings'!I22+'Lagos Workings'!I22)/5</f>
        <v>2.2600000000000002</v>
      </c>
      <c r="J22" s="81">
        <f>('Enugu Workings'!J22+'Jigawa Workings'!J22+'Kaduna Workings'!J22+'Kano Workings'!J22+'Lagos Workings'!J22)/5</f>
        <v>2.3633333333333333</v>
      </c>
      <c r="K22" s="81">
        <f>('Enugu Workings'!K22+'Jigawa Workings'!K22+'Kaduna Workings'!K22+'Kano Workings'!K22+'Lagos Workings'!K22)/5</f>
        <v>2.4666666666666672</v>
      </c>
      <c r="L22" s="44">
        <f>('Enugu Workings'!L22+'Jigawa Workings'!L22+'Kaduna Workings'!L22+'Kano Workings'!L22+'Lagos Workings'!L22)/5</f>
        <v>2.57</v>
      </c>
      <c r="M22" s="44">
        <f>('Enugu Workings'!M22+'Jigawa Workings'!M22+'Kaduna Workings'!M22+'Kano Workings'!M22+'Lagos Workings'!M22)/5</f>
        <v>2.6733333333333333</v>
      </c>
      <c r="N22" s="43">
        <f>('Enugu Workings'!N22+'Jigawa Workings'!N22+'Kaduna Workings'!N22+'Kano Workings'!N22+'Lagos Workings'!N22)/5</f>
        <v>2.88</v>
      </c>
      <c r="O22" s="44">
        <f>('Enugu Workings'!O22+'Jigawa Workings'!O22+'Kaduna Workings'!O22+'Kano Workings'!O22+'Lagos Workings'!O22)/5</f>
        <v>2.95</v>
      </c>
      <c r="P22" s="44">
        <f>('Enugu Workings'!P22+'Jigawa Workings'!P22+'Kaduna Workings'!P22+'Kano Workings'!P22+'Lagos Workings'!P22)/5</f>
        <v>3.02</v>
      </c>
      <c r="Q22" s="44">
        <f>('Enugu Workings'!Q22+'Jigawa Workings'!Q22+'Kaduna Workings'!Q22+'Kano Workings'!Q22+'Lagos Workings'!Q22)/5</f>
        <v>3.09</v>
      </c>
      <c r="R22" s="43">
        <f>('Enugu Workings'!R22+'Jigawa Workings'!R22+'Kaduna Workings'!R22+'Kano Workings'!R22+'Lagos Workings'!R22)/5</f>
        <v>3.16</v>
      </c>
      <c r="S22" s="44">
        <f>('Enugu Workings'!S22+'Jigawa Workings'!S22+'Kaduna Workings'!S22+'Kano Workings'!S22+'Lagos Workings'!S22)/5</f>
        <v>3.2399999999999998</v>
      </c>
      <c r="T22" s="44">
        <f>('Enugu Workings'!T22+'Jigawa Workings'!T22+'Kaduna Workings'!T22+'Kano Workings'!T22+'Lagos Workings'!T22)/5</f>
        <v>3.3200000000000003</v>
      </c>
      <c r="U22" s="44">
        <f>('Enugu Workings'!U22+'Jigawa Workings'!U22+'Kaduna Workings'!U22+'Kano Workings'!U22+'Lagos Workings'!U22)/5</f>
        <v>3.4</v>
      </c>
      <c r="V22" s="44">
        <f>('Enugu Workings'!V22+'Jigawa Workings'!V22+'Kaduna Workings'!V22+'Kano Workings'!V22+'Lagos Workings'!V22)/5</f>
        <v>3.4799999999999995</v>
      </c>
      <c r="W22" s="44">
        <f>('Enugu Workings'!W22+'Jigawa Workings'!W22+'Kaduna Workings'!W22+'Kano Workings'!W22+'Lagos Workings'!W22)/5</f>
        <v>3.543333333333333</v>
      </c>
      <c r="X22" s="44">
        <f>('Enugu Workings'!X22+'Jigawa Workings'!X22+'Kaduna Workings'!X22+'Kano Workings'!X22+'Lagos Workings'!X22)/5</f>
        <v>3.6199999999999997</v>
      </c>
      <c r="Y22" s="43">
        <f>('Enugu Workings'!Y22+'Jigawa Workings'!Y22+'Kaduna Workings'!Y22+'Kano Workings'!Y22+'Lagos Workings'!Y22)/5</f>
        <v>3.62</v>
      </c>
      <c r="Z22" s="44">
        <f>('Enugu Workings'!Z22+'Jigawa Workings'!Z22+'Kaduna Workings'!Z22+'Kano Workings'!Z22+'Lagos Workings'!Z22)/5</f>
        <v>3.62</v>
      </c>
      <c r="AA22" s="38">
        <v>5</v>
      </c>
      <c r="AB22" s="420">
        <f>AA22/22</f>
        <v>0.22727272727272727</v>
      </c>
      <c r="AD22" s="450">
        <f>V22</f>
        <v>3.4799999999999995</v>
      </c>
      <c r="AF22" s="339">
        <f t="shared" ref="AF22:AG23" si="6">IF($AG$1=16,R22,IF($AG$1=17,S22,IF($AG$1=18,T22,IF($AG$1=19,U22,IF($AG$1=20,V22,IF($AG$1=21,W22,IF($AG$1=22,X22,0)))))))</f>
        <v>3.543333333333333</v>
      </c>
      <c r="AG22" s="339">
        <f t="shared" si="6"/>
        <v>3.6199999999999997</v>
      </c>
      <c r="AI22" s="338"/>
    </row>
    <row r="23" spans="1:35" s="340" customFormat="1" ht="15.75" thickBot="1">
      <c r="A23" s="45"/>
      <c r="B23" s="46" t="s">
        <v>140</v>
      </c>
      <c r="C23" s="79">
        <f>('Enugu Workings'!C23+'Jigawa Workings'!C23+'Kaduna Workings'!C23+'Kano Workings'!C23+'Lagos Workings'!C23)/5</f>
        <v>2.16</v>
      </c>
      <c r="D23" s="436">
        <f>('Enugu Workings'!D23+'Jigawa Workings'!D23+'Kaduna Workings'!D23+'Kano Workings'!D23+'Lagos Workings'!D23)/5</f>
        <v>2.16</v>
      </c>
      <c r="E23" s="437">
        <f>('Enugu Workings'!E23+'Jigawa Workings'!E23+'Kaduna Workings'!E23+'Kano Workings'!E23+'Lagos Workings'!E23)/5</f>
        <v>2.16</v>
      </c>
      <c r="F23" s="437">
        <f>('Enugu Workings'!F23+'Jigawa Workings'!F23+'Kaduna Workings'!F23+'Kano Workings'!F23+'Lagos Workings'!F23)/5</f>
        <v>2.1399999999999997</v>
      </c>
      <c r="G23" s="437">
        <f>('Enugu Workings'!G23+'Jigawa Workings'!G23+'Kaduna Workings'!G23+'Kano Workings'!G23+'Lagos Workings'!G23)/5</f>
        <v>2.1399999999999997</v>
      </c>
      <c r="H23" s="437">
        <f>('Enugu Workings'!H23+'Jigawa Workings'!H23+'Kaduna Workings'!H23+'Kano Workings'!H23+'Lagos Workings'!H23)/5</f>
        <v>1.94</v>
      </c>
      <c r="I23" s="437">
        <f>('Enugu Workings'!I23+'Jigawa Workings'!I23+'Kaduna Workings'!I23+'Kano Workings'!I23+'Lagos Workings'!I23)/5</f>
        <v>2.42</v>
      </c>
      <c r="J23" s="437">
        <f>('Enugu Workings'!J23+'Jigawa Workings'!J23+'Kaduna Workings'!J23+'Kano Workings'!J23+'Lagos Workings'!J23)/5</f>
        <v>2.4200000000000004</v>
      </c>
      <c r="K23" s="437">
        <f>('Enugu Workings'!K23+'Jigawa Workings'!K23+'Kaduna Workings'!K23+'Kano Workings'!K23+'Lagos Workings'!K23)/5</f>
        <v>2.44</v>
      </c>
      <c r="L23" s="437">
        <f>('Enugu Workings'!L23+'Jigawa Workings'!L23+'Kaduna Workings'!L23+'Kano Workings'!L23+'Lagos Workings'!L23)/5</f>
        <v>2.3199999999999998</v>
      </c>
      <c r="M23" s="437">
        <f>('Enugu Workings'!M23+'Jigawa Workings'!M23+'Kaduna Workings'!M23+'Kano Workings'!M23+'Lagos Workings'!M23)/5</f>
        <v>2.54</v>
      </c>
      <c r="N23" s="439">
        <f>('Enugu Workings'!N23+'Jigawa Workings'!N23+'Kaduna Workings'!N23+'Kano Workings'!N23+'Lagos Workings'!N23)/5</f>
        <v>2.88</v>
      </c>
      <c r="O23" s="440">
        <f>('Enugu Workings'!O23+'Jigawa Workings'!O23+'Kaduna Workings'!O23+'Kano Workings'!O23+'Lagos Workings'!O23)/5</f>
        <v>3.1</v>
      </c>
      <c r="P23" s="440">
        <f>('Enugu Workings'!P23+'Jigawa Workings'!P23+'Kaduna Workings'!P23+'Kano Workings'!P23+'Lagos Workings'!P23)/5</f>
        <v>2.8600000000000003</v>
      </c>
      <c r="Q23" s="440">
        <f>('Enugu Workings'!Q23+'Jigawa Workings'!Q23+'Kaduna Workings'!Q23+'Kano Workings'!Q23+'Lagos Workings'!Q23)/5</f>
        <v>2.88</v>
      </c>
      <c r="R23" s="437">
        <f>('Enugu Workings'!R23+'Jigawa Workings'!R23+'Kaduna Workings'!R23+'Kano Workings'!R23+'Lagos Workings'!R23)/5</f>
        <v>3.3200000000000003</v>
      </c>
      <c r="S23" s="437">
        <f>('Enugu Workings'!S23+'Jigawa Workings'!S23+'Kaduna Workings'!S23+'Kano Workings'!S23+'Lagos Workings'!S23)/5</f>
        <v>3.3200000000000003</v>
      </c>
      <c r="T23" s="437">
        <f>('Enugu Workings'!T23+'Jigawa Workings'!T23+'Kaduna Workings'!T23+'Kano Workings'!T23+'Lagos Workings'!T23)/5</f>
        <v>3.38</v>
      </c>
      <c r="U23" s="437">
        <f>('Enugu Workings'!U23+'Jigawa Workings'!U23+'Kaduna Workings'!U23+'Kano Workings'!U23+'Lagos Workings'!U23)/5</f>
        <v>3.4200000000000004</v>
      </c>
      <c r="V23" s="438">
        <f>('Enugu Workings'!V23+'Jigawa Workings'!V23+'Kaduna Workings'!V23+'Kano Workings'!V23+'Lagos Workings'!V23)/5</f>
        <v>3.5200000000000005</v>
      </c>
      <c r="W23" s="80">
        <f>('Enugu Workings'!W23+'Jigawa Workings'!W23+'Kaduna Workings'!W23+'Kano Workings'!W23+'Lagos Workings'!W23)/5</f>
        <v>3.7</v>
      </c>
      <c r="X23" s="69">
        <f>('Enugu Workings'!X23+'Jigawa Workings'!X23+'Kaduna Workings'!X23+'Kano Workings'!X23+'Lagos Workings'!X23)/5</f>
        <v>3.7599999999999993</v>
      </c>
      <c r="Y23" s="69">
        <f>('Enugu Workings'!Y23+'Jigawa Workings'!Y23+'Kaduna Workings'!Y23+'Kano Workings'!Y23+'Lagos Workings'!Y23)/5</f>
        <v>0</v>
      </c>
      <c r="Z23" s="69">
        <f>('Enugu Workings'!Z23+'Jigawa Workings'!Z23+'Kaduna Workings'!Z23+'Kano Workings'!Z23+'Lagos Workings'!Z23)/5</f>
        <v>0</v>
      </c>
      <c r="AA23" s="49"/>
      <c r="AB23" s="421"/>
      <c r="AD23" s="341">
        <f>V23</f>
        <v>3.5200000000000005</v>
      </c>
      <c r="AE23" s="335"/>
      <c r="AF23" s="341">
        <f t="shared" si="6"/>
        <v>3.7</v>
      </c>
      <c r="AG23" s="341">
        <f t="shared" si="6"/>
        <v>3.7599999999999993</v>
      </c>
      <c r="AH23" s="342">
        <f>AG23</f>
        <v>3.7599999999999993</v>
      </c>
      <c r="AI23" s="342">
        <f>AG23</f>
        <v>3.7599999999999993</v>
      </c>
    </row>
    <row r="24" spans="1:35" s="340" customFormat="1">
      <c r="A24" s="45"/>
      <c r="B24" s="46"/>
      <c r="C24" s="48"/>
      <c r="D24" s="422"/>
      <c r="E24" s="422"/>
      <c r="F24" s="422"/>
      <c r="G24" s="83"/>
      <c r="H24" s="83"/>
      <c r="I24" s="83"/>
      <c r="J24" s="83"/>
      <c r="K24" s="83"/>
      <c r="L24" s="48"/>
      <c r="M24" s="48"/>
      <c r="N24" s="48"/>
      <c r="O24" s="48"/>
      <c r="P24" s="48"/>
      <c r="Q24" s="48"/>
      <c r="R24" s="48"/>
      <c r="S24" s="48"/>
      <c r="T24" s="48"/>
      <c r="U24" s="48"/>
      <c r="V24" s="48"/>
      <c r="W24" s="48"/>
      <c r="X24" s="48"/>
      <c r="Y24" s="48"/>
      <c r="Z24" s="48"/>
      <c r="AA24" s="49"/>
      <c r="AB24" s="421"/>
      <c r="AE24" s="335"/>
      <c r="AF24" s="343"/>
      <c r="AG24" s="343"/>
      <c r="AH24" s="335"/>
      <c r="AI24" s="338"/>
    </row>
    <row r="25" spans="1:35" ht="15.75" thickBot="1">
      <c r="A25" s="41" t="s">
        <v>23</v>
      </c>
      <c r="B25" s="42" t="s">
        <v>139</v>
      </c>
      <c r="C25" s="43">
        <f>('Enugu Workings'!C25+'Jigawa Workings'!C25+'Kaduna Workings'!C25+'Kano Workings'!C25+'Lagos Workings'!C25)/5</f>
        <v>1.9799999999999998</v>
      </c>
      <c r="D25" s="81">
        <f>('Enugu Workings'!D25+'Jigawa Workings'!D25+'Kaduna Workings'!D25+'Kano Workings'!D25+'Lagos Workings'!D25)/5</f>
        <v>2.0233333333333334</v>
      </c>
      <c r="E25" s="81">
        <f>('Enugu Workings'!E25+'Jigawa Workings'!E25+'Kaduna Workings'!E25+'Kano Workings'!E25+'Lagos Workings'!E25)/5</f>
        <v>2.0666666666666664</v>
      </c>
      <c r="F25" s="81">
        <f>('Enugu Workings'!F25+'Jigawa Workings'!F25+'Kaduna Workings'!F25+'Kano Workings'!F25+'Lagos Workings'!F25)/5</f>
        <v>2.11</v>
      </c>
      <c r="G25" s="81">
        <f>('Enugu Workings'!G25+'Jigawa Workings'!G25+'Kaduna Workings'!G25+'Kano Workings'!G25+'Lagos Workings'!G25)/5</f>
        <v>2.1533333333333333</v>
      </c>
      <c r="H25" s="81">
        <f>('Enugu Workings'!H25+'Jigawa Workings'!H25+'Kaduna Workings'!H25+'Kano Workings'!H25+'Lagos Workings'!H25)/5</f>
        <v>2.1966666666666663</v>
      </c>
      <c r="I25" s="82">
        <f>('Enugu Workings'!I25+'Jigawa Workings'!I25+'Kaduna Workings'!I25+'Kano Workings'!I25+'Lagos Workings'!I25)/5</f>
        <v>2.2399999999999998</v>
      </c>
      <c r="J25" s="81">
        <f>('Enugu Workings'!J25+'Jigawa Workings'!J25+'Kaduna Workings'!J25+'Kano Workings'!J25+'Lagos Workings'!J25)/5</f>
        <v>2.3383333333333338</v>
      </c>
      <c r="K25" s="81">
        <f>('Enugu Workings'!K25+'Jigawa Workings'!K25+'Kaduna Workings'!K25+'Kano Workings'!K25+'Lagos Workings'!K25)/5</f>
        <v>2.4366666666666665</v>
      </c>
      <c r="L25" s="44">
        <f>('Enugu Workings'!L25+'Jigawa Workings'!L25+'Kaduna Workings'!L25+'Kano Workings'!L25+'Lagos Workings'!L25)/5</f>
        <v>2.5349999999999997</v>
      </c>
      <c r="M25" s="44">
        <f>('Enugu Workings'!M25+'Jigawa Workings'!M25+'Kaduna Workings'!M25+'Kano Workings'!M25+'Lagos Workings'!M25)/5</f>
        <v>2.6333333333333333</v>
      </c>
      <c r="N25" s="43">
        <f>('Enugu Workings'!N25+'Jigawa Workings'!N25+'Kaduna Workings'!N25+'Kano Workings'!N25+'Lagos Workings'!N25)/5</f>
        <v>2.83</v>
      </c>
      <c r="O25" s="44">
        <f>('Enugu Workings'!O25+'Jigawa Workings'!O25+'Kaduna Workings'!O25+'Kano Workings'!O25+'Lagos Workings'!O25)/5</f>
        <v>2.9699999999999998</v>
      </c>
      <c r="P25" s="44">
        <f>('Enugu Workings'!P25+'Jigawa Workings'!P25+'Kaduna Workings'!P25+'Kano Workings'!P25+'Lagos Workings'!P25)/5</f>
        <v>3.1100000000000003</v>
      </c>
      <c r="Q25" s="44">
        <f>('Enugu Workings'!Q25+'Jigawa Workings'!Q25+'Kaduna Workings'!Q25+'Kano Workings'!Q25+'Lagos Workings'!Q25)/5</f>
        <v>3.25</v>
      </c>
      <c r="R25" s="43">
        <f>('Enugu Workings'!R25+'Jigawa Workings'!R25+'Kaduna Workings'!R25+'Kano Workings'!R25+'Lagos Workings'!R25)/5</f>
        <v>3.3899999999999997</v>
      </c>
      <c r="S25" s="44">
        <f>('Enugu Workings'!S25+'Jigawa Workings'!S25+'Kaduna Workings'!S25+'Kano Workings'!S25+'Lagos Workings'!S25)/5</f>
        <v>3.4483333333333333</v>
      </c>
      <c r="T25" s="44">
        <f>('Enugu Workings'!T25+'Jigawa Workings'!T25+'Kaduna Workings'!T25+'Kano Workings'!T25+'Lagos Workings'!T25)/5</f>
        <v>3.5066666666666668</v>
      </c>
      <c r="U25" s="44">
        <f>('Enugu Workings'!U25+'Jigawa Workings'!U25+'Kaduna Workings'!U25+'Kano Workings'!U25+'Lagos Workings'!U25)/5</f>
        <v>3.5649999999999999</v>
      </c>
      <c r="V25" s="44">
        <f>('Enugu Workings'!V25+'Jigawa Workings'!V25+'Kaduna Workings'!V25+'Kano Workings'!V25+'Lagos Workings'!V25)/5</f>
        <v>3.6233333333333335</v>
      </c>
      <c r="W25" s="44">
        <f>('Enugu Workings'!W25+'Jigawa Workings'!W25+'Kaduna Workings'!W25+'Kano Workings'!W25+'Lagos Workings'!W25)/5</f>
        <v>4.0316666666666672</v>
      </c>
      <c r="X25" s="44">
        <f>('Enugu Workings'!X25+'Jigawa Workings'!X25+'Kaduna Workings'!X25+'Kano Workings'!X25+'Lagos Workings'!X25)/5</f>
        <v>4.1599999999999993</v>
      </c>
      <c r="Y25" s="43">
        <f>('Enugu Workings'!Y25+'Jigawa Workings'!Y25+'Kaduna Workings'!Y25+'Kano Workings'!Y25+'Lagos Workings'!Y25)/5</f>
        <v>4.16</v>
      </c>
      <c r="Z25" s="44">
        <f>('Enugu Workings'!Z25+'Jigawa Workings'!Z25+'Kaduna Workings'!Z25+'Kano Workings'!Z25+'Lagos Workings'!Z25)/5</f>
        <v>4.16</v>
      </c>
      <c r="AA25" s="38">
        <v>5</v>
      </c>
      <c r="AB25" s="420">
        <f>AA25/22</f>
        <v>0.22727272727272727</v>
      </c>
      <c r="AD25" s="450">
        <f>V25</f>
        <v>3.6233333333333335</v>
      </c>
      <c r="AF25" s="339">
        <f t="shared" ref="AF25:AG26" si="7">IF($AG$1=16,R25,IF($AG$1=17,S25,IF($AG$1=18,T25,IF($AG$1=19,U25,IF($AG$1=20,V25,IF($AG$1=21,W25,IF($AG$1=22,X25,0)))))))</f>
        <v>4.0316666666666672</v>
      </c>
      <c r="AG25" s="339">
        <f t="shared" si="7"/>
        <v>4.1599999999999993</v>
      </c>
      <c r="AI25" s="338"/>
    </row>
    <row r="26" spans="1:35" s="340" customFormat="1" ht="15.75" thickBot="1">
      <c r="A26" s="45"/>
      <c r="B26" s="46" t="s">
        <v>140</v>
      </c>
      <c r="C26" s="79">
        <f>('Enugu Workings'!C26+'Jigawa Workings'!C26+'Kaduna Workings'!C26+'Kano Workings'!C26+'Lagos Workings'!C26)/5</f>
        <v>1.9799999999999998</v>
      </c>
      <c r="D26" s="436">
        <f>('Enugu Workings'!D26+'Jigawa Workings'!D26+'Kaduna Workings'!D26+'Kano Workings'!D26+'Lagos Workings'!D26)/5</f>
        <v>1.9799999999999998</v>
      </c>
      <c r="E26" s="437">
        <f>('Enugu Workings'!E26+'Jigawa Workings'!E26+'Kaduna Workings'!E26+'Kano Workings'!E26+'Lagos Workings'!E26)/5</f>
        <v>2</v>
      </c>
      <c r="F26" s="437">
        <f>('Enugu Workings'!F26+'Jigawa Workings'!F26+'Kaduna Workings'!F26+'Kano Workings'!F26+'Lagos Workings'!F26)/5</f>
        <v>2.0200000000000005</v>
      </c>
      <c r="G26" s="437">
        <f>('Enugu Workings'!G26+'Jigawa Workings'!G26+'Kaduna Workings'!G26+'Kano Workings'!G26+'Lagos Workings'!G26)/5</f>
        <v>2.0200000000000005</v>
      </c>
      <c r="H26" s="437">
        <f>('Enugu Workings'!H26+'Jigawa Workings'!H26+'Kaduna Workings'!H26+'Kano Workings'!H26+'Lagos Workings'!H26)/5</f>
        <v>2.02</v>
      </c>
      <c r="I26" s="437">
        <f>('Enugu Workings'!I26+'Jigawa Workings'!I26+'Kaduna Workings'!I26+'Kano Workings'!I26+'Lagos Workings'!I26)/5</f>
        <v>2.7600000000000002</v>
      </c>
      <c r="J26" s="437">
        <f>('Enugu Workings'!J26+'Jigawa Workings'!J26+'Kaduna Workings'!J26+'Kano Workings'!J26+'Lagos Workings'!J26)/5</f>
        <v>2.96</v>
      </c>
      <c r="K26" s="437">
        <f>('Enugu Workings'!K26+'Jigawa Workings'!K26+'Kaduna Workings'!K26+'Kano Workings'!K26+'Lagos Workings'!K26)/5</f>
        <v>3.0199999999999996</v>
      </c>
      <c r="L26" s="437">
        <f>('Enugu Workings'!L26+'Jigawa Workings'!L26+'Kaduna Workings'!L26+'Kano Workings'!L26+'Lagos Workings'!L26)/5</f>
        <v>2.4</v>
      </c>
      <c r="M26" s="437">
        <f>('Enugu Workings'!M26+'Jigawa Workings'!M26+'Kaduna Workings'!M26+'Kano Workings'!M26+'Lagos Workings'!M26)/5</f>
        <v>2.98</v>
      </c>
      <c r="N26" s="439">
        <f>('Enugu Workings'!N26+'Jigawa Workings'!N26+'Kaduna Workings'!N26+'Kano Workings'!N26+'Lagos Workings'!N26)/5</f>
        <v>2.96</v>
      </c>
      <c r="O26" s="440">
        <f>('Enugu Workings'!O26+'Jigawa Workings'!O26+'Kaduna Workings'!O26+'Kano Workings'!O26+'Lagos Workings'!O26)/5</f>
        <v>3.14</v>
      </c>
      <c r="P26" s="440">
        <f>('Enugu Workings'!P26+'Jigawa Workings'!P26+'Kaduna Workings'!P26+'Kano Workings'!P26+'Lagos Workings'!P26)/5</f>
        <v>3.38</v>
      </c>
      <c r="Q26" s="440">
        <f>('Enugu Workings'!Q26+'Jigawa Workings'!Q26+'Kaduna Workings'!Q26+'Kano Workings'!Q26+'Lagos Workings'!Q26)/5</f>
        <v>3.22</v>
      </c>
      <c r="R26" s="437">
        <f>('Enugu Workings'!R26+'Jigawa Workings'!R26+'Kaduna Workings'!R26+'Kano Workings'!R26+'Lagos Workings'!R26)/5</f>
        <v>3.46</v>
      </c>
      <c r="S26" s="437">
        <f>('Enugu Workings'!S26+'Jigawa Workings'!S26+'Kaduna Workings'!S26+'Kano Workings'!S26+'Lagos Workings'!S26)/5</f>
        <v>3.5</v>
      </c>
      <c r="T26" s="437">
        <f>('Enugu Workings'!T26+'Jigawa Workings'!T26+'Kaduna Workings'!T26+'Kano Workings'!T26+'Lagos Workings'!T26)/5</f>
        <v>3.9200000000000004</v>
      </c>
      <c r="U26" s="437">
        <f>('Enugu Workings'!U26+'Jigawa Workings'!U26+'Kaduna Workings'!U26+'Kano Workings'!U26+'Lagos Workings'!U26)/5</f>
        <v>3.94</v>
      </c>
      <c r="V26" s="438">
        <f>('Enugu Workings'!V26+'Jigawa Workings'!V26+'Kaduna Workings'!V26+'Kano Workings'!V26+'Lagos Workings'!V26)/5</f>
        <v>4.0599999999999996</v>
      </c>
      <c r="W26" s="80">
        <f>('Enugu Workings'!W26+'Jigawa Workings'!W26+'Kaduna Workings'!W26+'Kano Workings'!W26+'Lagos Workings'!W26)/5</f>
        <v>4.2</v>
      </c>
      <c r="X26" s="69">
        <f>('Enugu Workings'!X26+'Jigawa Workings'!X26+'Kaduna Workings'!X26+'Kano Workings'!X26+'Lagos Workings'!X26)/5</f>
        <v>4.3800000000000008</v>
      </c>
      <c r="Y26" s="69">
        <f>('Enugu Workings'!Y26+'Jigawa Workings'!Y26+'Kaduna Workings'!Y26+'Kano Workings'!Y26+'Lagos Workings'!Y26)/5</f>
        <v>0</v>
      </c>
      <c r="Z26" s="69">
        <f>('Enugu Workings'!Z26+'Jigawa Workings'!Z26+'Kaduna Workings'!Z26+'Kano Workings'!Z26+'Lagos Workings'!Z26)/5</f>
        <v>0</v>
      </c>
      <c r="AA26" s="49"/>
      <c r="AB26" s="421"/>
      <c r="AD26" s="341">
        <f>V26</f>
        <v>4.0599999999999996</v>
      </c>
      <c r="AE26" s="335"/>
      <c r="AF26" s="341">
        <f t="shared" si="7"/>
        <v>4.2</v>
      </c>
      <c r="AG26" s="341">
        <f t="shared" si="7"/>
        <v>4.3800000000000008</v>
      </c>
      <c r="AH26" s="342">
        <f>AG26</f>
        <v>4.3800000000000008</v>
      </c>
      <c r="AI26" s="342">
        <f>AG26</f>
        <v>4.3800000000000008</v>
      </c>
    </row>
    <row r="27" spans="1:35" s="340" customFormat="1">
      <c r="A27" s="45"/>
      <c r="B27" s="46"/>
      <c r="C27" s="48"/>
      <c r="D27" s="422"/>
      <c r="E27" s="422"/>
      <c r="F27" s="422"/>
      <c r="G27" s="83"/>
      <c r="H27" s="83"/>
      <c r="I27" s="83"/>
      <c r="J27" s="83"/>
      <c r="K27" s="83"/>
      <c r="L27" s="48"/>
      <c r="M27" s="48"/>
      <c r="N27" s="48"/>
      <c r="O27" s="48"/>
      <c r="P27" s="48"/>
      <c r="Q27" s="48"/>
      <c r="R27" s="48"/>
      <c r="S27" s="48"/>
      <c r="T27" s="48"/>
      <c r="U27" s="48"/>
      <c r="V27" s="48"/>
      <c r="W27" s="48"/>
      <c r="X27" s="48"/>
      <c r="Y27" s="48"/>
      <c r="Z27" s="48"/>
      <c r="AA27" s="49"/>
      <c r="AB27" s="421"/>
      <c r="AE27" s="335"/>
      <c r="AH27" s="335"/>
      <c r="AI27" s="338"/>
    </row>
    <row r="28" spans="1:35" ht="15.75" thickBot="1">
      <c r="A28" s="41" t="s">
        <v>38</v>
      </c>
      <c r="B28" s="42" t="s">
        <v>139</v>
      </c>
      <c r="C28" s="47"/>
      <c r="D28" s="47"/>
      <c r="E28" s="47"/>
      <c r="F28" s="47"/>
      <c r="G28" s="47"/>
      <c r="H28" s="47"/>
      <c r="I28" s="47"/>
      <c r="J28" s="47"/>
      <c r="K28" s="47"/>
      <c r="L28" s="47"/>
      <c r="M28" s="47"/>
      <c r="N28" s="43">
        <f>('Enugu Workings'!N28+'Jigawa Workings'!N28+'Kaduna Workings'!N28+'Kano Workings'!N28+'Lagos Workings'!N28)/5</f>
        <v>2.9799999999999995</v>
      </c>
      <c r="O28" s="44">
        <f>('Enugu Workings'!O28+'Jigawa Workings'!O28+'Kaduna Workings'!O28+'Kano Workings'!O28+'Lagos Workings'!O28)/5</f>
        <v>3.0375000000000001</v>
      </c>
      <c r="P28" s="44">
        <f>('Enugu Workings'!P28+'Jigawa Workings'!P28+'Kaduna Workings'!P28+'Kano Workings'!P28+'Lagos Workings'!P28)/5</f>
        <v>3.0949999999999998</v>
      </c>
      <c r="Q28" s="44">
        <f>('Enugu Workings'!Q28+'Jigawa Workings'!Q28+'Kaduna Workings'!Q28+'Kano Workings'!Q28+'Lagos Workings'!Q28)/5</f>
        <v>3.1524999999999994</v>
      </c>
      <c r="R28" s="43">
        <f>('Enugu Workings'!R28+'Jigawa Workings'!R28+'Kaduna Workings'!R28+'Kano Workings'!R28+'Lagos Workings'!R28)/5</f>
        <v>3.21</v>
      </c>
      <c r="S28" s="44">
        <f>('Enugu Workings'!S28+'Jigawa Workings'!S28+'Kaduna Workings'!S28+'Kano Workings'!S28+'Lagos Workings'!S28)/5</f>
        <v>3.2749999999999999</v>
      </c>
      <c r="T28" s="44">
        <f>('Enugu Workings'!T28+'Jigawa Workings'!T28+'Kaduna Workings'!T28+'Kano Workings'!T28+'Lagos Workings'!T28)/5</f>
        <v>3.34</v>
      </c>
      <c r="U28" s="44">
        <f>('Enugu Workings'!U28+'Jigawa Workings'!U28+'Kaduna Workings'!U28+'Kano Workings'!U28+'Lagos Workings'!U28)/5</f>
        <v>3.4049999999999998</v>
      </c>
      <c r="V28" s="44">
        <f>('Enugu Workings'!V28+'Jigawa Workings'!V28+'Kaduna Workings'!V28+'Kano Workings'!V28+'Lagos Workings'!V28)/5</f>
        <v>3.47</v>
      </c>
      <c r="W28" s="44">
        <f>('Enugu Workings'!W28+'Jigawa Workings'!W28+'Kaduna Workings'!W28+'Kano Workings'!W28+'Lagos Workings'!W28)/5</f>
        <v>3.6849999999999996</v>
      </c>
      <c r="X28" s="44">
        <f>('Enugu Workings'!X28+'Jigawa Workings'!X28+'Kaduna Workings'!X28+'Kano Workings'!X28+'Lagos Workings'!X28)/5</f>
        <v>3.78</v>
      </c>
      <c r="Y28" s="43">
        <f>('Enugu Workings'!Y28+'Jigawa Workings'!Y28+'Kaduna Workings'!Y28+'Kano Workings'!Y28+'Lagos Workings'!Y28)/5</f>
        <v>3.78</v>
      </c>
      <c r="Z28" s="44">
        <f>('Enugu Workings'!Z28+'Jigawa Workings'!Z28+'Kaduna Workings'!Z28+'Kano Workings'!Z28+'Lagos Workings'!Z28)/5</f>
        <v>3.78</v>
      </c>
      <c r="AA28" s="38">
        <v>5</v>
      </c>
      <c r="AB28" s="420">
        <f>AA28/22</f>
        <v>0.22727272727272727</v>
      </c>
      <c r="AD28" s="450">
        <f>V28</f>
        <v>3.47</v>
      </c>
      <c r="AF28" s="339">
        <f t="shared" ref="AF28:AG29" si="8">IF($AG$1=16,R28,IF($AG$1=17,S28,IF($AG$1=18,T28,IF($AG$1=19,U28,IF($AG$1=20,V28,IF($AG$1=21,W28,IF($AG$1=22,X28,0)))))))</f>
        <v>3.6849999999999996</v>
      </c>
      <c r="AG28" s="339">
        <f t="shared" si="8"/>
        <v>3.78</v>
      </c>
      <c r="AI28" s="338"/>
    </row>
    <row r="29" spans="1:35" s="340" customFormat="1" ht="15.75" thickBot="1">
      <c r="A29" s="45"/>
      <c r="B29" s="46" t="s">
        <v>140</v>
      </c>
      <c r="C29" s="47"/>
      <c r="D29" s="47"/>
      <c r="E29" s="47"/>
      <c r="F29" s="47"/>
      <c r="G29" s="47"/>
      <c r="H29" s="47"/>
      <c r="I29" s="47"/>
      <c r="J29" s="47"/>
      <c r="K29" s="47"/>
      <c r="L29" s="47"/>
      <c r="M29" s="47"/>
      <c r="N29" s="47">
        <f>('Enugu Workings'!N29+'Jigawa Workings'!N29+'Kaduna Workings'!N29+'Kano Workings'!N29+'Lagos Workings'!N29)/5</f>
        <v>2.9799999999999995</v>
      </c>
      <c r="O29" s="436">
        <f>('Enugu Workings'!O29+'Jigawa Workings'!O29+'Kaduna Workings'!O29+'Kano Workings'!O29+'Lagos Workings'!O29)/5</f>
        <v>2.4799999999999995</v>
      </c>
      <c r="P29" s="440">
        <f>('Enugu Workings'!P29+'Jigawa Workings'!P29+'Kaduna Workings'!P29+'Kano Workings'!P29+'Lagos Workings'!P29)/5</f>
        <v>3.12</v>
      </c>
      <c r="Q29" s="440">
        <f>('Enugu Workings'!Q29+'Jigawa Workings'!Q29+'Kaduna Workings'!Q29+'Kano Workings'!Q29+'Lagos Workings'!Q29)/5</f>
        <v>3.2</v>
      </c>
      <c r="R29" s="437">
        <f>('Enugu Workings'!R29+'Jigawa Workings'!R29+'Kaduna Workings'!R29+'Kano Workings'!R29+'Lagos Workings'!R29)/5</f>
        <v>3.46</v>
      </c>
      <c r="S29" s="437">
        <f>('Enugu Workings'!S29+'Jigawa Workings'!S29+'Kaduna Workings'!S29+'Kano Workings'!S29+'Lagos Workings'!S29)/5</f>
        <v>3.4800000000000004</v>
      </c>
      <c r="T29" s="437">
        <f>('Enugu Workings'!T29+'Jigawa Workings'!T29+'Kaduna Workings'!T29+'Kano Workings'!T29+'Lagos Workings'!T29)/5</f>
        <v>3.6399999999999997</v>
      </c>
      <c r="U29" s="437">
        <f>('Enugu Workings'!U29+'Jigawa Workings'!U29+'Kaduna Workings'!U29+'Kano Workings'!U29+'Lagos Workings'!U29)/5</f>
        <v>3.66</v>
      </c>
      <c r="V29" s="438">
        <f>('Enugu Workings'!V29+'Jigawa Workings'!V29+'Kaduna Workings'!V29+'Kano Workings'!V29+'Lagos Workings'!V29)/5</f>
        <v>3.72</v>
      </c>
      <c r="W29" s="80">
        <f>('Enugu Workings'!W29+'Jigawa Workings'!W29+'Kaduna Workings'!W29+'Kano Workings'!W29+'Lagos Workings'!W29)/5</f>
        <v>3.8599999999999994</v>
      </c>
      <c r="X29" s="69">
        <f>('Enugu Workings'!X29+'Jigawa Workings'!X29+'Kaduna Workings'!X29+'Kano Workings'!X29+'Lagos Workings'!X29)/5</f>
        <v>4.0399999999999991</v>
      </c>
      <c r="Y29" s="69">
        <f>('Enugu Workings'!Y29+'Jigawa Workings'!Y29+'Kaduna Workings'!Y29+'Kano Workings'!Y29+'Lagos Workings'!Y29)/5</f>
        <v>0</v>
      </c>
      <c r="Z29" s="69">
        <f>('Enugu Workings'!Z29+'Jigawa Workings'!Z29+'Kaduna Workings'!Z29+'Kano Workings'!Z29+'Lagos Workings'!Z29)/5</f>
        <v>0</v>
      </c>
      <c r="AA29" s="49"/>
      <c r="AB29" s="421"/>
      <c r="AD29" s="341">
        <f>V29</f>
        <v>3.72</v>
      </c>
      <c r="AE29" s="335"/>
      <c r="AF29" s="341">
        <f t="shared" si="8"/>
        <v>3.8599999999999994</v>
      </c>
      <c r="AG29" s="341">
        <f t="shared" si="8"/>
        <v>4.0399999999999991</v>
      </c>
      <c r="AH29" s="342">
        <f>AG29</f>
        <v>4.0399999999999991</v>
      </c>
      <c r="AI29" s="342">
        <f>AG29</f>
        <v>4.0399999999999991</v>
      </c>
    </row>
    <row r="30" spans="1:35" s="340" customFormat="1">
      <c r="A30" s="45"/>
      <c r="B30" s="46"/>
      <c r="C30" s="48"/>
      <c r="D30" s="48"/>
      <c r="E30" s="48"/>
      <c r="F30" s="48"/>
      <c r="G30" s="48"/>
      <c r="H30" s="48"/>
      <c r="I30" s="48"/>
      <c r="J30" s="48"/>
      <c r="K30" s="48"/>
      <c r="L30" s="48"/>
      <c r="M30" s="48"/>
      <c r="N30" s="48"/>
      <c r="O30" s="48"/>
      <c r="P30" s="48"/>
      <c r="Q30" s="48"/>
      <c r="R30" s="48"/>
      <c r="S30" s="48"/>
      <c r="T30" s="48"/>
      <c r="U30" s="48"/>
      <c r="V30" s="48"/>
      <c r="W30" s="48"/>
      <c r="X30" s="48"/>
      <c r="Y30" s="48"/>
      <c r="Z30" s="48"/>
      <c r="AA30" s="49"/>
      <c r="AB30" s="421"/>
      <c r="AE30" s="335"/>
      <c r="AF30" s="343"/>
      <c r="AG30" s="343"/>
      <c r="AH30" s="335"/>
      <c r="AI30" s="338"/>
    </row>
    <row r="31" spans="1:35" ht="15.75" thickBot="1">
      <c r="A31" s="41" t="s">
        <v>39</v>
      </c>
      <c r="B31" s="42" t="s">
        <v>139</v>
      </c>
      <c r="C31" s="43">
        <f>('Enugu Workings'!C31+'Jigawa Workings'!C31+'Kaduna Workings'!C31+'Kano Workings'!C31+'Lagos Workings'!C31)</f>
        <v>0</v>
      </c>
      <c r="D31" s="73">
        <f>('Enugu Workings'!D31+'Jigawa Workings'!D31+'Kaduna Workings'!D31+'Kano Workings'!D31+'Lagos Workings'!D31)</f>
        <v>1.833333333333333</v>
      </c>
      <c r="E31" s="73">
        <f>('Enugu Workings'!E31+'Jigawa Workings'!E31+'Kaduna Workings'!E31+'Kano Workings'!E31+'Lagos Workings'!E31)</f>
        <v>3.6666666666666661</v>
      </c>
      <c r="F31" s="73">
        <f>('Enugu Workings'!F31+'Jigawa Workings'!F31+'Kaduna Workings'!F31+'Kano Workings'!F31+'Lagos Workings'!F31)</f>
        <v>5.5</v>
      </c>
      <c r="G31" s="73">
        <f>('Enugu Workings'!G31+'Jigawa Workings'!G31+'Kaduna Workings'!G31+'Kano Workings'!G31+'Lagos Workings'!G31)</f>
        <v>7.3333333333333321</v>
      </c>
      <c r="H31" s="73">
        <f>('Enugu Workings'!H31+'Jigawa Workings'!H31+'Kaduna Workings'!H31+'Kano Workings'!H31+'Lagos Workings'!H31)</f>
        <v>9.1666666666666643</v>
      </c>
      <c r="I31" s="74">
        <f>('Enugu Workings'!I31+'Jigawa Workings'!I31+'Kaduna Workings'!I31+'Kano Workings'!I31+'Lagos Workings'!I31)</f>
        <v>11</v>
      </c>
      <c r="J31" s="73">
        <f>('Enugu Workings'!J31+'Jigawa Workings'!J31+'Kaduna Workings'!J31+'Kano Workings'!J31+'Lagos Workings'!J31)</f>
        <v>12.833333333333336</v>
      </c>
      <c r="K31" s="73">
        <f>('Enugu Workings'!K31+'Jigawa Workings'!K31+'Kaduna Workings'!K31+'Kano Workings'!K31+'Lagos Workings'!K31)</f>
        <v>14.666666666666668</v>
      </c>
      <c r="L31" s="51">
        <f>('Enugu Workings'!L31+'Jigawa Workings'!L31+'Kaduna Workings'!L31+'Kano Workings'!L31+'Lagos Workings'!L31)</f>
        <v>16.5</v>
      </c>
      <c r="M31" s="51">
        <f>('Enugu Workings'!M31+'Jigawa Workings'!M31+'Kaduna Workings'!M31+'Kano Workings'!M31+'Lagos Workings'!M31)</f>
        <v>18.333333333333336</v>
      </c>
      <c r="N31" s="50">
        <f>('Enugu Workings'!N31+'Jigawa Workings'!N31+'Kaduna Workings'!N31+'Kano Workings'!N31+'Lagos Workings'!N31)</f>
        <v>22</v>
      </c>
      <c r="O31" s="51">
        <f>('Enugu Workings'!O31+'Jigawa Workings'!O31+'Kaduna Workings'!O31+'Kano Workings'!O31+'Lagos Workings'!O31)</f>
        <v>26</v>
      </c>
      <c r="P31" s="51">
        <f>('Enugu Workings'!P31+'Jigawa Workings'!P31+'Kaduna Workings'!P31+'Kano Workings'!P31+'Lagos Workings'!P31)</f>
        <v>30</v>
      </c>
      <c r="Q31" s="51">
        <f>('Enugu Workings'!Q31+'Jigawa Workings'!Q31+'Kaduna Workings'!Q31+'Kano Workings'!Q31+'Lagos Workings'!Q31)</f>
        <v>34</v>
      </c>
      <c r="R31" s="50">
        <f>('Enugu Workings'!R31+'Jigawa Workings'!R31+'Kaduna Workings'!R31+'Kano Workings'!R31+'Lagos Workings'!R31)</f>
        <v>38</v>
      </c>
      <c r="S31" s="51">
        <f>('Enugu Workings'!S31+'Jigawa Workings'!S31+'Kaduna Workings'!S31+'Kano Workings'!S31+'Lagos Workings'!S31)</f>
        <v>39.333333333333336</v>
      </c>
      <c r="T31" s="51">
        <f>('Enugu Workings'!T31+'Jigawa Workings'!T31+'Kaduna Workings'!T31+'Kano Workings'!T31+'Lagos Workings'!T31)</f>
        <v>40.666666666666671</v>
      </c>
      <c r="U31" s="51">
        <f>('Enugu Workings'!U31+'Jigawa Workings'!U31+'Kaduna Workings'!U31+'Kano Workings'!U31+'Lagos Workings'!U31)</f>
        <v>42</v>
      </c>
      <c r="V31" s="51">
        <f>('Enugu Workings'!V31+'Jigawa Workings'!V31+'Kaduna Workings'!V31+'Kano Workings'!V31+'Lagos Workings'!V31)</f>
        <v>43.333333333333343</v>
      </c>
      <c r="W31" s="51">
        <f>('Enugu Workings'!W31+'Jigawa Workings'!W31+'Kaduna Workings'!W31+'Kano Workings'!W31+'Lagos Workings'!W31)</f>
        <v>66.333333333333329</v>
      </c>
      <c r="X31" s="51">
        <f>('Enugu Workings'!X31+'Jigawa Workings'!X31+'Kaduna Workings'!X31+'Kano Workings'!X31+'Lagos Workings'!X31)</f>
        <v>72</v>
      </c>
      <c r="Y31" s="50">
        <f>('Enugu Workings'!Y31+'Jigawa Workings'!Y31+'Kaduna Workings'!Y31+'Kano Workings'!Y31+'Lagos Workings'!Y31)</f>
        <v>72</v>
      </c>
      <c r="Z31" s="51">
        <f>('Enugu Workings'!Z31+'Jigawa Workings'!Z31+'Kaduna Workings'!Z31+'Kano Workings'!Z31+'Lagos Workings'!Z31)</f>
        <v>72</v>
      </c>
      <c r="AA31" s="38">
        <f>'Lagos Workings'!AA31*5</f>
        <v>100</v>
      </c>
      <c r="AB31" s="457">
        <f>AA31/22</f>
        <v>4.5454545454545459</v>
      </c>
      <c r="AD31" s="451">
        <f>V31</f>
        <v>43.333333333333343</v>
      </c>
      <c r="AE31" s="346"/>
      <c r="AF31" s="453">
        <f t="shared" ref="AF31:AG32" si="9">IF($AG$1=16,R31,IF($AG$1=17,S31,IF($AG$1=18,T31,IF($AG$1=19,U31,IF($AG$1=20,V31,IF($AG$1=21,W31,IF($AG$1=22,X31,0)))))))</f>
        <v>66.333333333333329</v>
      </c>
      <c r="AG31" s="453">
        <f t="shared" si="9"/>
        <v>72</v>
      </c>
      <c r="AI31" s="338"/>
    </row>
    <row r="32" spans="1:35" s="340" customFormat="1" ht="15.75" thickBot="1">
      <c r="A32" s="45"/>
      <c r="B32" s="46" t="s">
        <v>140</v>
      </c>
      <c r="C32" s="79">
        <f>('Enugu Workings'!C32+'Jigawa Workings'!C32+'Kaduna Workings'!C32+'Kano Workings'!C32+'Lagos Workings'!C32)</f>
        <v>0</v>
      </c>
      <c r="D32" s="441">
        <f>('Enugu Workings'!D32+'Jigawa Workings'!D32+'Kaduna Workings'!D32+'Kano Workings'!D32+'Lagos Workings'!D32)</f>
        <v>1</v>
      </c>
      <c r="E32" s="442">
        <f>('Enugu Workings'!E32+'Jigawa Workings'!E32+'Kaduna Workings'!E32+'Kano Workings'!E32+'Lagos Workings'!E32)</f>
        <v>2</v>
      </c>
      <c r="F32" s="442">
        <f>('Enugu Workings'!F32+'Jigawa Workings'!F32+'Kaduna Workings'!F32+'Kano Workings'!F32+'Lagos Workings'!F32)</f>
        <v>2</v>
      </c>
      <c r="G32" s="442">
        <f>('Enugu Workings'!G32+'Jigawa Workings'!G32+'Kaduna Workings'!G32+'Kano Workings'!G32+'Lagos Workings'!G32)</f>
        <v>2</v>
      </c>
      <c r="H32" s="442">
        <f>('Enugu Workings'!H32+'Jigawa Workings'!H32+'Kaduna Workings'!H32+'Kano Workings'!H32+'Lagos Workings'!H32)</f>
        <v>3</v>
      </c>
      <c r="I32" s="442">
        <f>('Enugu Workings'!I32+'Jigawa Workings'!I32+'Kaduna Workings'!I32+'Kano Workings'!I32+'Lagos Workings'!I32)</f>
        <v>10</v>
      </c>
      <c r="J32" s="442">
        <f>('Enugu Workings'!J32+'Jigawa Workings'!J32+'Kaduna Workings'!J32+'Kano Workings'!J32+'Lagos Workings'!J32)</f>
        <v>9</v>
      </c>
      <c r="K32" s="442">
        <f>('Enugu Workings'!K32+'Jigawa Workings'!K32+'Kaduna Workings'!K32+'Kano Workings'!K32+'Lagos Workings'!K32)</f>
        <v>9</v>
      </c>
      <c r="L32" s="442">
        <f>('Enugu Workings'!L32+'Jigawa Workings'!L32+'Kaduna Workings'!L32+'Kano Workings'!L32+'Lagos Workings'!L32)</f>
        <v>21</v>
      </c>
      <c r="M32" s="442">
        <f>('Enugu Workings'!M32+'Jigawa Workings'!M32+'Kaduna Workings'!M32+'Kano Workings'!M32+'Lagos Workings'!M32)</f>
        <v>27</v>
      </c>
      <c r="N32" s="443">
        <f>('Enugu Workings'!N32+'Jigawa Workings'!N32+'Kaduna Workings'!N32+'Kano Workings'!N32+'Lagos Workings'!N32)</f>
        <v>29</v>
      </c>
      <c r="O32" s="444">
        <f>('Enugu Workings'!O32+'Jigawa Workings'!O32+'Kaduna Workings'!O32+'Kano Workings'!O32+'Lagos Workings'!O32)</f>
        <v>33</v>
      </c>
      <c r="P32" s="444">
        <f>('Enugu Workings'!P32+'Jigawa Workings'!P32+'Kaduna Workings'!P32+'Kano Workings'!P32+'Lagos Workings'!P32)</f>
        <v>38</v>
      </c>
      <c r="Q32" s="444">
        <f>('Enugu Workings'!Q32+'Jigawa Workings'!Q32+'Kaduna Workings'!Q32+'Kano Workings'!Q32+'Lagos Workings'!Q32)</f>
        <v>48</v>
      </c>
      <c r="R32" s="442">
        <f>('Enugu Workings'!R32+'Jigawa Workings'!R32+'Kaduna Workings'!R32+'Kano Workings'!R32+'Lagos Workings'!R32)</f>
        <v>60</v>
      </c>
      <c r="S32" s="442">
        <f>('Enugu Workings'!S32+'Jigawa Workings'!S32+'Kaduna Workings'!S32+'Kano Workings'!S32+'Lagos Workings'!S32)</f>
        <v>69</v>
      </c>
      <c r="T32" s="442">
        <f>('Enugu Workings'!T32+'Jigawa Workings'!T32+'Kaduna Workings'!T32+'Kano Workings'!T32+'Lagos Workings'!T32)</f>
        <v>76</v>
      </c>
      <c r="U32" s="442">
        <f>('Enugu Workings'!U32+'Jigawa Workings'!U32+'Kaduna Workings'!U32+'Kano Workings'!U32+'Lagos Workings'!U32)</f>
        <v>83</v>
      </c>
      <c r="V32" s="445">
        <f>('Enugu Workings'!V32+'Jigawa Workings'!V32+'Kaduna Workings'!V32+'Kano Workings'!V32+'Lagos Workings'!V32)</f>
        <v>71</v>
      </c>
      <c r="W32" s="72">
        <f>('Enugu Workings'!W32+'Jigawa Workings'!W32+'Kaduna Workings'!W32+'Kano Workings'!W32+'Lagos Workings'!W32)</f>
        <v>70</v>
      </c>
      <c r="X32" s="70">
        <f>('Enugu Workings'!X32+'Jigawa Workings'!X32+'Kaduna Workings'!X32+'Kano Workings'!X32+'Lagos Workings'!X32)</f>
        <v>72</v>
      </c>
      <c r="Y32" s="70">
        <f>('Enugu Workings'!Y32+'Jigawa Workings'!Y32+'Kaduna Workings'!Y32+'Kano Workings'!Y32+'Lagos Workings'!Y32)</f>
        <v>0</v>
      </c>
      <c r="Z32" s="70">
        <f>('Enugu Workings'!Z32+'Jigawa Workings'!Z32+'Kaduna Workings'!Z32+'Kano Workings'!Z32+'Lagos Workings'!Z32)</f>
        <v>0</v>
      </c>
      <c r="AA32" s="49"/>
      <c r="AB32" s="421"/>
      <c r="AD32" s="452">
        <f>V32</f>
        <v>71</v>
      </c>
      <c r="AE32" s="346"/>
      <c r="AF32" s="452">
        <f t="shared" si="9"/>
        <v>70</v>
      </c>
      <c r="AG32" s="452">
        <f t="shared" si="9"/>
        <v>72</v>
      </c>
      <c r="AH32" s="342">
        <f>AG32</f>
        <v>72</v>
      </c>
      <c r="AI32" s="342">
        <f>AG32</f>
        <v>72</v>
      </c>
    </row>
    <row r="33" spans="1:35" s="340" customFormat="1">
      <c r="A33" s="45"/>
      <c r="B33" s="46"/>
      <c r="C33" s="53"/>
      <c r="D33" s="75"/>
      <c r="E33" s="75"/>
      <c r="F33" s="75"/>
      <c r="G33" s="75"/>
      <c r="H33" s="75"/>
      <c r="I33" s="75"/>
      <c r="J33" s="75"/>
      <c r="K33" s="75"/>
      <c r="L33" s="53"/>
      <c r="M33" s="53"/>
      <c r="N33" s="53"/>
      <c r="O33" s="53"/>
      <c r="P33" s="53"/>
      <c r="Q33" s="53"/>
      <c r="R33" s="53"/>
      <c r="S33" s="53"/>
      <c r="T33" s="53"/>
      <c r="U33" s="53"/>
      <c r="V33" s="53"/>
      <c r="W33" s="53"/>
      <c r="X33" s="53"/>
      <c r="Y33" s="53"/>
      <c r="Z33" s="53"/>
      <c r="AA33" s="49"/>
      <c r="AB33" s="421"/>
      <c r="AD33" s="345"/>
      <c r="AE33" s="346"/>
      <c r="AF33" s="454"/>
      <c r="AG33" s="454"/>
      <c r="AH33" s="335"/>
      <c r="AI33" s="338"/>
    </row>
    <row r="34" spans="1:35" ht="15.75" thickBot="1">
      <c r="A34" s="41" t="s">
        <v>185</v>
      </c>
      <c r="B34" s="42" t="s">
        <v>222</v>
      </c>
      <c r="C34" s="43">
        <f>('Enugu Workings'!C34+'Jigawa Workings'!C34+'Kaduna Workings'!C34+'Kano Workings'!C34+'Lagos Workings'!C34)</f>
        <v>0</v>
      </c>
      <c r="D34" s="73">
        <f>('Enugu Workings'!D34+'Jigawa Workings'!D34+'Kaduna Workings'!D34+'Kano Workings'!D34+'Lagos Workings'!D34)</f>
        <v>0.66666666666666663</v>
      </c>
      <c r="E34" s="73">
        <f>('Enugu Workings'!E34+'Jigawa Workings'!E34+'Kaduna Workings'!E34+'Kano Workings'!E34+'Lagos Workings'!E34)</f>
        <v>1.3333333333333333</v>
      </c>
      <c r="F34" s="73">
        <f>('Enugu Workings'!F34+'Jigawa Workings'!F34+'Kaduna Workings'!F34+'Kano Workings'!F34+'Lagos Workings'!F34)</f>
        <v>2</v>
      </c>
      <c r="G34" s="73">
        <f>('Enugu Workings'!G34+'Jigawa Workings'!G34+'Kaduna Workings'!G34+'Kano Workings'!G34+'Lagos Workings'!G34)</f>
        <v>2.6666666666666665</v>
      </c>
      <c r="H34" s="73">
        <f>('Enugu Workings'!H34+'Jigawa Workings'!H34+'Kaduna Workings'!H34+'Kano Workings'!H34+'Lagos Workings'!H34)</f>
        <v>3.333333333333333</v>
      </c>
      <c r="I34" s="74">
        <f>('Enugu Workings'!I34+'Jigawa Workings'!I34+'Kaduna Workings'!I34+'Kano Workings'!I34+'Lagos Workings'!I34)</f>
        <v>4</v>
      </c>
      <c r="J34" s="73">
        <f>('Enugu Workings'!J34+'Jigawa Workings'!J34+'Kaduna Workings'!J34+'Kano Workings'!J34+'Lagos Workings'!J34)</f>
        <v>5.166666666666667</v>
      </c>
      <c r="K34" s="73">
        <f>('Enugu Workings'!K34+'Jigawa Workings'!K34+'Kaduna Workings'!K34+'Kano Workings'!K34+'Lagos Workings'!K34)</f>
        <v>6.3333333333333339</v>
      </c>
      <c r="L34" s="51">
        <f>('Enugu Workings'!L34+'Jigawa Workings'!L34+'Kaduna Workings'!L34+'Kano Workings'!L34+'Lagos Workings'!L34)</f>
        <v>7.5</v>
      </c>
      <c r="M34" s="51">
        <f>('Enugu Workings'!M34+'Jigawa Workings'!M34+'Kaduna Workings'!M34+'Kano Workings'!M34+'Lagos Workings'!M34)</f>
        <v>8.6666666666666679</v>
      </c>
      <c r="N34" s="50">
        <f>('Enugu Workings'!N34+'Jigawa Workings'!N34+'Kaduna Workings'!N34+'Kano Workings'!N34+'Lagos Workings'!N34)</f>
        <v>11</v>
      </c>
      <c r="O34" s="51">
        <f>('Enugu Workings'!O34+'Jigawa Workings'!O34+'Kaduna Workings'!O34+'Kano Workings'!O34+'Lagos Workings'!O34)</f>
        <v>13.25</v>
      </c>
      <c r="P34" s="51">
        <f>('Enugu Workings'!P34+'Jigawa Workings'!P34+'Kaduna Workings'!P34+'Kano Workings'!P34+'Lagos Workings'!P34)</f>
        <v>15.5</v>
      </c>
      <c r="Q34" s="51">
        <f>('Enugu Workings'!Q34+'Jigawa Workings'!Q34+'Kaduna Workings'!Q34+'Kano Workings'!Q34+'Lagos Workings'!Q34)</f>
        <v>17.75</v>
      </c>
      <c r="R34" s="50">
        <f>('Enugu Workings'!R34+'Jigawa Workings'!R34+'Kaduna Workings'!R34+'Kano Workings'!R34+'Lagos Workings'!R34)</f>
        <v>20</v>
      </c>
      <c r="S34" s="51">
        <f>('Enugu Workings'!S34+'Jigawa Workings'!S34+'Kaduna Workings'!S34+'Kano Workings'!S34+'Lagos Workings'!S34)</f>
        <v>21</v>
      </c>
      <c r="T34" s="51">
        <f>('Enugu Workings'!T34+'Jigawa Workings'!T34+'Kaduna Workings'!T34+'Kano Workings'!T34+'Lagos Workings'!T34)</f>
        <v>21.999999999999996</v>
      </c>
      <c r="U34" s="51">
        <f>('Enugu Workings'!U34+'Jigawa Workings'!U34+'Kaduna Workings'!U34+'Kano Workings'!U34+'Lagos Workings'!U34)</f>
        <v>23</v>
      </c>
      <c r="V34" s="51">
        <f>('Enugu Workings'!V34+'Jigawa Workings'!V34+'Kaduna Workings'!V34+'Kano Workings'!V34+'Lagos Workings'!V34)</f>
        <v>23.999999999999993</v>
      </c>
      <c r="W34" s="51">
        <f>('Enugu Workings'!W34+'Jigawa Workings'!W34+'Kaduna Workings'!W34+'Kano Workings'!W34+'Lagos Workings'!W34)</f>
        <v>31.666666666666664</v>
      </c>
      <c r="X34" s="51">
        <f>('Enugu Workings'!X34+'Jigawa Workings'!X34+'Kaduna Workings'!X34+'Kano Workings'!X34+'Lagos Workings'!X34)</f>
        <v>34</v>
      </c>
      <c r="Y34" s="50">
        <f>('Enugu Workings'!Y34+'Jigawa Workings'!Y34+'Kaduna Workings'!Y34+'Kano Workings'!Y34+'Lagos Workings'!Y34)</f>
        <v>34</v>
      </c>
      <c r="Z34" s="51">
        <f>('Enugu Workings'!Z34+'Jigawa Workings'!Z34+'Kaduna Workings'!Z34+'Kano Workings'!Z34+'Lagos Workings'!Z34)</f>
        <v>34</v>
      </c>
      <c r="AA34" s="38">
        <f>'Lagos Workings'!AA34*5</f>
        <v>75</v>
      </c>
      <c r="AB34" s="457">
        <f>AA34/22</f>
        <v>3.4090909090909092</v>
      </c>
      <c r="AD34" s="451">
        <f>V34</f>
        <v>23.999999999999993</v>
      </c>
      <c r="AE34" s="346"/>
      <c r="AF34" s="453">
        <f t="shared" ref="AF34:AG35" si="10">IF($AG$1=16,R34,IF($AG$1=17,S34,IF($AG$1=18,T34,IF($AG$1=19,U34,IF($AG$1=20,V34,IF($AG$1=21,W34,IF($AG$1=22,X34,0)))))))</f>
        <v>31.666666666666664</v>
      </c>
      <c r="AG34" s="453">
        <f t="shared" si="10"/>
        <v>34</v>
      </c>
      <c r="AI34" s="338"/>
    </row>
    <row r="35" spans="1:35" s="340" customFormat="1" ht="15.75" thickBot="1">
      <c r="A35" s="45"/>
      <c r="B35" s="46" t="s">
        <v>223</v>
      </c>
      <c r="C35" s="79">
        <f>('Enugu Workings'!C35+'Jigawa Workings'!C35+'Kaduna Workings'!C35+'Kano Workings'!C35+'Lagos Workings'!C35)</f>
        <v>0</v>
      </c>
      <c r="D35" s="441">
        <f>('Enugu Workings'!D35+'Jigawa Workings'!D35+'Kaduna Workings'!D35+'Kano Workings'!D35+'Lagos Workings'!D35)</f>
        <v>0</v>
      </c>
      <c r="E35" s="442">
        <f>('Enugu Workings'!E35+'Jigawa Workings'!E35+'Kaduna Workings'!E35+'Kano Workings'!E35+'Lagos Workings'!E35)</f>
        <v>0</v>
      </c>
      <c r="F35" s="442">
        <f>('Enugu Workings'!F35+'Jigawa Workings'!F35+'Kaduna Workings'!F35+'Kano Workings'!F35+'Lagos Workings'!F35)</f>
        <v>0</v>
      </c>
      <c r="G35" s="442">
        <f>('Enugu Workings'!G35+'Jigawa Workings'!G35+'Kaduna Workings'!G35+'Kano Workings'!G35+'Lagos Workings'!G35)</f>
        <v>0</v>
      </c>
      <c r="H35" s="442">
        <f>('Enugu Workings'!H35+'Jigawa Workings'!H35+'Kaduna Workings'!H35+'Kano Workings'!H35+'Lagos Workings'!H35)</f>
        <v>1</v>
      </c>
      <c r="I35" s="442">
        <f>('Enugu Workings'!I35+'Jigawa Workings'!I35+'Kaduna Workings'!I35+'Kano Workings'!I35+'Lagos Workings'!I35)</f>
        <v>2</v>
      </c>
      <c r="J35" s="442">
        <f>('Enugu Workings'!J35+'Jigawa Workings'!J35+'Kaduna Workings'!J35+'Kano Workings'!J35+'Lagos Workings'!J35)</f>
        <v>2</v>
      </c>
      <c r="K35" s="442">
        <f>('Enugu Workings'!K35+'Jigawa Workings'!K35+'Kaduna Workings'!K35+'Kano Workings'!K35+'Lagos Workings'!K35)</f>
        <v>4</v>
      </c>
      <c r="L35" s="442">
        <f>('Enugu Workings'!L35+'Jigawa Workings'!L35+'Kaduna Workings'!L35+'Kano Workings'!L35+'Lagos Workings'!L35)</f>
        <v>8</v>
      </c>
      <c r="M35" s="442">
        <f>('Enugu Workings'!M35+'Jigawa Workings'!M35+'Kaduna Workings'!M35+'Kano Workings'!M35+'Lagos Workings'!M35)</f>
        <v>12</v>
      </c>
      <c r="N35" s="443">
        <f>('Enugu Workings'!N35+'Jigawa Workings'!N35+'Kaduna Workings'!N35+'Kano Workings'!N35+'Lagos Workings'!N35)</f>
        <v>16</v>
      </c>
      <c r="O35" s="444">
        <f>('Enugu Workings'!O35+'Jigawa Workings'!O35+'Kaduna Workings'!O35+'Kano Workings'!O35+'Lagos Workings'!O35)</f>
        <v>18</v>
      </c>
      <c r="P35" s="444">
        <f>('Enugu Workings'!P35+'Jigawa Workings'!P35+'Kaduna Workings'!P35+'Kano Workings'!P35+'Lagos Workings'!P35)</f>
        <v>24</v>
      </c>
      <c r="Q35" s="444">
        <f>('Enugu Workings'!Q35+'Jigawa Workings'!Q35+'Kaduna Workings'!Q35+'Kano Workings'!Q35+'Lagos Workings'!Q35)</f>
        <v>28</v>
      </c>
      <c r="R35" s="442">
        <f>('Enugu Workings'!R35+'Jigawa Workings'!R35+'Kaduna Workings'!R35+'Kano Workings'!R35+'Lagos Workings'!R35)</f>
        <v>35</v>
      </c>
      <c r="S35" s="442">
        <f>('Enugu Workings'!S35+'Jigawa Workings'!S35+'Kaduna Workings'!S35+'Kano Workings'!S35+'Lagos Workings'!S35)</f>
        <v>29</v>
      </c>
      <c r="T35" s="442">
        <f>('Enugu Workings'!T35+'Jigawa Workings'!T35+'Kaduna Workings'!T35+'Kano Workings'!T35+'Lagos Workings'!T35)</f>
        <v>33</v>
      </c>
      <c r="U35" s="442">
        <f>('Enugu Workings'!U35+'Jigawa Workings'!U35+'Kaduna Workings'!U35+'Kano Workings'!U35+'Lagos Workings'!U35)</f>
        <v>38</v>
      </c>
      <c r="V35" s="445">
        <f>('Enugu Workings'!V35+'Jigawa Workings'!V35+'Kaduna Workings'!V35+'Kano Workings'!V35+'Lagos Workings'!V35)</f>
        <v>31</v>
      </c>
      <c r="W35" s="72">
        <f>('Enugu Workings'!W35+'Jigawa Workings'!W35+'Kaduna Workings'!W35+'Kano Workings'!W35+'Lagos Workings'!W35)</f>
        <v>40</v>
      </c>
      <c r="X35" s="70">
        <f>('Enugu Workings'!X35+'Jigawa Workings'!X35+'Kaduna Workings'!X35+'Kano Workings'!X35+'Lagos Workings'!X35)</f>
        <v>41</v>
      </c>
      <c r="Y35" s="70">
        <f>('Enugu Workings'!Y35+'Jigawa Workings'!Y35+'Kaduna Workings'!Y35+'Kano Workings'!Y35+'Lagos Workings'!Y35)</f>
        <v>0</v>
      </c>
      <c r="Z35" s="70">
        <f>('Enugu Workings'!Z35+'Jigawa Workings'!Z35+'Kaduna Workings'!Z35+'Kano Workings'!Z35+'Lagos Workings'!Z35)</f>
        <v>0</v>
      </c>
      <c r="AA35" s="49"/>
      <c r="AB35" s="421"/>
      <c r="AD35" s="452">
        <f>V35</f>
        <v>31</v>
      </c>
      <c r="AE35" s="346"/>
      <c r="AF35" s="452">
        <f t="shared" si="10"/>
        <v>40</v>
      </c>
      <c r="AG35" s="452">
        <f t="shared" si="10"/>
        <v>41</v>
      </c>
      <c r="AH35" s="342">
        <f>AG35</f>
        <v>41</v>
      </c>
      <c r="AI35" s="342">
        <f>AG35</f>
        <v>41</v>
      </c>
    </row>
    <row r="36" spans="1:35" s="340" customFormat="1">
      <c r="A36" s="45"/>
      <c r="B36" s="46"/>
      <c r="C36" s="53"/>
      <c r="D36" s="75"/>
      <c r="E36" s="75"/>
      <c r="F36" s="75"/>
      <c r="G36" s="75"/>
      <c r="H36" s="75"/>
      <c r="I36" s="75"/>
      <c r="J36" s="75"/>
      <c r="K36" s="75"/>
      <c r="L36" s="53"/>
      <c r="M36" s="53"/>
      <c r="N36" s="53"/>
      <c r="O36" s="53"/>
      <c r="P36" s="53"/>
      <c r="Q36" s="53"/>
      <c r="R36" s="53"/>
      <c r="S36" s="53"/>
      <c r="T36" s="53"/>
      <c r="U36" s="53"/>
      <c r="V36" s="53"/>
      <c r="W36" s="53"/>
      <c r="X36" s="53"/>
      <c r="Y36" s="53"/>
      <c r="Z36" s="53"/>
      <c r="AA36" s="49"/>
      <c r="AB36" s="421"/>
      <c r="AD36" s="345"/>
      <c r="AE36" s="346"/>
      <c r="AF36" s="454"/>
      <c r="AG36" s="454"/>
      <c r="AH36" s="335"/>
      <c r="AI36" s="338"/>
    </row>
    <row r="37" spans="1:35" ht="15.75" thickBot="1">
      <c r="A37" s="41" t="s">
        <v>184</v>
      </c>
      <c r="B37" s="42" t="s">
        <v>226</v>
      </c>
      <c r="C37" s="43">
        <f>('Enugu Workings'!C37+'Jigawa Workings'!C37+'Kaduna Workings'!C37+'Kano Workings'!C37+'Lagos Workings'!C37)</f>
        <v>0</v>
      </c>
      <c r="D37" s="73">
        <f>('Enugu Workings'!D37+'Jigawa Workings'!D37+'Kaduna Workings'!D37+'Kano Workings'!D37+'Lagos Workings'!D37)</f>
        <v>0.16666666666666666</v>
      </c>
      <c r="E37" s="73">
        <f>('Enugu Workings'!E37+'Jigawa Workings'!E37+'Kaduna Workings'!E37+'Kano Workings'!E37+'Lagos Workings'!E37)</f>
        <v>0.33333333333333331</v>
      </c>
      <c r="F37" s="73">
        <f>('Enugu Workings'!F37+'Jigawa Workings'!F37+'Kaduna Workings'!F37+'Kano Workings'!F37+'Lagos Workings'!F37)</f>
        <v>0.5</v>
      </c>
      <c r="G37" s="73">
        <f>('Enugu Workings'!G37+'Jigawa Workings'!G37+'Kaduna Workings'!G37+'Kano Workings'!G37+'Lagos Workings'!G37)</f>
        <v>0.66666666666666663</v>
      </c>
      <c r="H37" s="73">
        <f>('Enugu Workings'!H37+'Jigawa Workings'!H37+'Kaduna Workings'!H37+'Kano Workings'!H37+'Lagos Workings'!H37)</f>
        <v>0.83333333333333326</v>
      </c>
      <c r="I37" s="74">
        <f>('Enugu Workings'!I37+'Jigawa Workings'!I37+'Kaduna Workings'!I37+'Kano Workings'!I37+'Lagos Workings'!I37)</f>
        <v>1</v>
      </c>
      <c r="J37" s="73">
        <f>('Enugu Workings'!J37+'Jigawa Workings'!J37+'Kaduna Workings'!J37+'Kano Workings'!J37+'Lagos Workings'!J37)</f>
        <v>1.8333333333333335</v>
      </c>
      <c r="K37" s="73">
        <f>('Enugu Workings'!K37+'Jigawa Workings'!K37+'Kaduna Workings'!K37+'Kano Workings'!K37+'Lagos Workings'!K37)</f>
        <v>2.666666666666667</v>
      </c>
      <c r="L37" s="51">
        <f>('Enugu Workings'!L37+'Jigawa Workings'!L37+'Kaduna Workings'!L37+'Kano Workings'!L37+'Lagos Workings'!L37)</f>
        <v>3.5</v>
      </c>
      <c r="M37" s="51">
        <f>('Enugu Workings'!M37+'Jigawa Workings'!M37+'Kaduna Workings'!M37+'Kano Workings'!M37+'Lagos Workings'!M37)</f>
        <v>4.333333333333333</v>
      </c>
      <c r="N37" s="50">
        <f>('Enugu Workings'!N37+'Jigawa Workings'!N37+'Kaduna Workings'!N37+'Kano Workings'!N37+'Lagos Workings'!N37)</f>
        <v>6</v>
      </c>
      <c r="O37" s="51">
        <f>('Enugu Workings'!O37+'Jigawa Workings'!O37+'Kaduna Workings'!O37+'Kano Workings'!O37+'Lagos Workings'!O37)</f>
        <v>7.5</v>
      </c>
      <c r="P37" s="51">
        <f>('Enugu Workings'!P37+'Jigawa Workings'!P37+'Kaduna Workings'!P37+'Kano Workings'!P37+'Lagos Workings'!P37)</f>
        <v>9</v>
      </c>
      <c r="Q37" s="51">
        <f>('Enugu Workings'!Q37+'Jigawa Workings'!Q37+'Kaduna Workings'!Q37+'Kano Workings'!Q37+'Lagos Workings'!Q37)</f>
        <v>10.5</v>
      </c>
      <c r="R37" s="50">
        <f>('Enugu Workings'!R37+'Jigawa Workings'!R37+'Kaduna Workings'!R37+'Kano Workings'!R37+'Lagos Workings'!R37)</f>
        <v>12</v>
      </c>
      <c r="S37" s="51">
        <f>('Enugu Workings'!S37+'Jigawa Workings'!S37+'Kaduna Workings'!S37+'Kano Workings'!S37+'Lagos Workings'!S37)</f>
        <v>12.999999999999998</v>
      </c>
      <c r="T37" s="51">
        <f>('Enugu Workings'!T37+'Jigawa Workings'!T37+'Kaduna Workings'!T37+'Kano Workings'!T37+'Lagos Workings'!T37)</f>
        <v>13.999999999999996</v>
      </c>
      <c r="U37" s="51">
        <f>('Enugu Workings'!U37+'Jigawa Workings'!U37+'Kaduna Workings'!U37+'Kano Workings'!U37+'Lagos Workings'!U37)</f>
        <v>15</v>
      </c>
      <c r="V37" s="51">
        <f>('Enugu Workings'!V37+'Jigawa Workings'!V37+'Kaduna Workings'!V37+'Kano Workings'!V37+'Lagos Workings'!V37)</f>
        <v>15.999999999999996</v>
      </c>
      <c r="W37" s="51">
        <f>('Enugu Workings'!W37+'Jigawa Workings'!W37+'Kaduna Workings'!W37+'Kano Workings'!W37+'Lagos Workings'!W37)</f>
        <v>24.5</v>
      </c>
      <c r="X37" s="51">
        <f>('Enugu Workings'!X37+'Jigawa Workings'!X37+'Kaduna Workings'!X37+'Kano Workings'!X37+'Lagos Workings'!X37)</f>
        <v>27</v>
      </c>
      <c r="Y37" s="50">
        <f>('Enugu Workings'!Y37+'Jigawa Workings'!Y37+'Kaduna Workings'!Y37+'Kano Workings'!Y37+'Lagos Workings'!Y37)</f>
        <v>27</v>
      </c>
      <c r="Z37" s="51">
        <f>('Enugu Workings'!Z37+'Jigawa Workings'!Z37+'Kaduna Workings'!Z37+'Kano Workings'!Z37+'Lagos Workings'!Z37)</f>
        <v>27</v>
      </c>
      <c r="AA37" s="38">
        <f>'Lagos Workings'!AA37*5</f>
        <v>50</v>
      </c>
      <c r="AB37" s="457">
        <f>AA37/22</f>
        <v>2.2727272727272729</v>
      </c>
      <c r="AD37" s="451">
        <f>V37</f>
        <v>15.999999999999996</v>
      </c>
      <c r="AE37" s="346"/>
      <c r="AF37" s="453">
        <f t="shared" ref="AF37:AG38" si="11">IF($AG$1=16,R37,IF($AG$1=17,S37,IF($AG$1=18,T37,IF($AG$1=19,U37,IF($AG$1=20,V37,IF($AG$1=21,W37,IF($AG$1=22,X37,0)))))))</f>
        <v>24.5</v>
      </c>
      <c r="AG37" s="453">
        <f t="shared" si="11"/>
        <v>27</v>
      </c>
      <c r="AI37" s="338"/>
    </row>
    <row r="38" spans="1:35" s="340" customFormat="1" ht="15.75" thickBot="1">
      <c r="A38" s="45"/>
      <c r="B38" s="46" t="s">
        <v>227</v>
      </c>
      <c r="C38" s="79">
        <f>('Enugu Workings'!C38+'Jigawa Workings'!C38+'Kaduna Workings'!C38+'Kano Workings'!C38+'Lagos Workings'!C38)</f>
        <v>0</v>
      </c>
      <c r="D38" s="441">
        <f>('Enugu Workings'!D38+'Jigawa Workings'!D38+'Kaduna Workings'!D38+'Kano Workings'!D38+'Lagos Workings'!D38)</f>
        <v>0</v>
      </c>
      <c r="E38" s="442">
        <f>('Enugu Workings'!E38+'Jigawa Workings'!E38+'Kaduna Workings'!E38+'Kano Workings'!E38+'Lagos Workings'!E38)</f>
        <v>0</v>
      </c>
      <c r="F38" s="442">
        <f>('Enugu Workings'!F38+'Jigawa Workings'!F38+'Kaduna Workings'!F38+'Kano Workings'!F38+'Lagos Workings'!F38)</f>
        <v>0</v>
      </c>
      <c r="G38" s="442">
        <f>('Enugu Workings'!G38+'Jigawa Workings'!G38+'Kaduna Workings'!G38+'Kano Workings'!G38+'Lagos Workings'!G38)</f>
        <v>0</v>
      </c>
      <c r="H38" s="442">
        <f>('Enugu Workings'!H38+'Jigawa Workings'!H38+'Kaduna Workings'!H38+'Kano Workings'!H38+'Lagos Workings'!H38)</f>
        <v>0</v>
      </c>
      <c r="I38" s="442">
        <f>('Enugu Workings'!I38+'Jigawa Workings'!I38+'Kaduna Workings'!I38+'Kano Workings'!I38+'Lagos Workings'!I38)</f>
        <v>0</v>
      </c>
      <c r="J38" s="442">
        <f>('Enugu Workings'!J38+'Jigawa Workings'!J38+'Kaduna Workings'!J38+'Kano Workings'!J38+'Lagos Workings'!J38)</f>
        <v>0</v>
      </c>
      <c r="K38" s="442">
        <f>('Enugu Workings'!K38+'Jigawa Workings'!K38+'Kaduna Workings'!K38+'Kano Workings'!K38+'Lagos Workings'!K38)</f>
        <v>0</v>
      </c>
      <c r="L38" s="442">
        <f>('Enugu Workings'!L38+'Jigawa Workings'!L38+'Kaduna Workings'!L38+'Kano Workings'!L38+'Lagos Workings'!L38)</f>
        <v>0</v>
      </c>
      <c r="M38" s="442">
        <f>('Enugu Workings'!M38+'Jigawa Workings'!M38+'Kaduna Workings'!M38+'Kano Workings'!M38+'Lagos Workings'!M38)</f>
        <v>5</v>
      </c>
      <c r="N38" s="443">
        <f>('Enugu Workings'!N38+'Jigawa Workings'!N38+'Kaduna Workings'!N38+'Kano Workings'!N38+'Lagos Workings'!N38)</f>
        <v>6</v>
      </c>
      <c r="O38" s="444">
        <f>('Enugu Workings'!O38+'Jigawa Workings'!O38+'Kaduna Workings'!O38+'Kano Workings'!O38+'Lagos Workings'!O38)</f>
        <v>6</v>
      </c>
      <c r="P38" s="444">
        <f>('Enugu Workings'!P38+'Jigawa Workings'!P38+'Kaduna Workings'!P38+'Kano Workings'!P38+'Lagos Workings'!P38)</f>
        <v>9</v>
      </c>
      <c r="Q38" s="444">
        <f>('Enugu Workings'!Q38+'Jigawa Workings'!Q38+'Kaduna Workings'!Q38+'Kano Workings'!Q38+'Lagos Workings'!Q38)</f>
        <v>14</v>
      </c>
      <c r="R38" s="442">
        <f>('Enugu Workings'!R38+'Jigawa Workings'!R38+'Kaduna Workings'!R38+'Kano Workings'!R38+'Lagos Workings'!R38)</f>
        <v>21</v>
      </c>
      <c r="S38" s="442">
        <f>('Enugu Workings'!S38+'Jigawa Workings'!S38+'Kaduna Workings'!S38+'Kano Workings'!S38+'Lagos Workings'!S38)</f>
        <v>15</v>
      </c>
      <c r="T38" s="442">
        <f>('Enugu Workings'!T38+'Jigawa Workings'!T38+'Kaduna Workings'!T38+'Kano Workings'!T38+'Lagos Workings'!T38)</f>
        <v>19</v>
      </c>
      <c r="U38" s="442">
        <f>('Enugu Workings'!U38+'Jigawa Workings'!U38+'Kaduna Workings'!U38+'Kano Workings'!U38+'Lagos Workings'!U38)</f>
        <v>21</v>
      </c>
      <c r="V38" s="445">
        <f>('Enugu Workings'!V38+'Jigawa Workings'!V38+'Kaduna Workings'!V38+'Kano Workings'!V38+'Lagos Workings'!V38)</f>
        <v>21</v>
      </c>
      <c r="W38" s="72">
        <f>('Enugu Workings'!W38+'Jigawa Workings'!W38+'Kaduna Workings'!W38+'Kano Workings'!W38+'Lagos Workings'!W38)</f>
        <v>36</v>
      </c>
      <c r="X38" s="70">
        <f>('Enugu Workings'!X38+'Jigawa Workings'!X38+'Kaduna Workings'!X38+'Kano Workings'!X38+'Lagos Workings'!X38)</f>
        <v>37</v>
      </c>
      <c r="Y38" s="70">
        <f>('Enugu Workings'!Y38+'Jigawa Workings'!Y38+'Kaduna Workings'!Y38+'Kano Workings'!Y38+'Lagos Workings'!Y38)</f>
        <v>0</v>
      </c>
      <c r="Z38" s="70">
        <f>('Enugu Workings'!Z38+'Jigawa Workings'!Z38+'Kaduna Workings'!Z38+'Kano Workings'!Z38+'Lagos Workings'!Z38)</f>
        <v>0</v>
      </c>
      <c r="AA38" s="49"/>
      <c r="AB38" s="421"/>
      <c r="AD38" s="452">
        <f>V38</f>
        <v>21</v>
      </c>
      <c r="AE38" s="346"/>
      <c r="AF38" s="452">
        <f t="shared" si="11"/>
        <v>36</v>
      </c>
      <c r="AG38" s="452">
        <f t="shared" si="11"/>
        <v>37</v>
      </c>
      <c r="AH38" s="342">
        <f>AG38</f>
        <v>37</v>
      </c>
      <c r="AI38" s="342">
        <f>AG38</f>
        <v>37</v>
      </c>
    </row>
    <row r="39" spans="1:35" s="340" customFormat="1">
      <c r="A39" s="45"/>
      <c r="B39" s="46"/>
      <c r="C39" s="53"/>
      <c r="D39" s="75"/>
      <c r="E39" s="75"/>
      <c r="F39" s="75"/>
      <c r="G39" s="75"/>
      <c r="H39" s="75"/>
      <c r="I39" s="75"/>
      <c r="J39" s="75"/>
      <c r="K39" s="75"/>
      <c r="L39" s="53"/>
      <c r="M39" s="53"/>
      <c r="N39" s="53"/>
      <c r="O39" s="53"/>
      <c r="P39" s="53"/>
      <c r="Q39" s="53"/>
      <c r="R39" s="53"/>
      <c r="S39" s="53"/>
      <c r="T39" s="53"/>
      <c r="U39" s="53"/>
      <c r="V39" s="53"/>
      <c r="W39" s="53"/>
      <c r="X39" s="53"/>
      <c r="Y39" s="53"/>
      <c r="Z39" s="53"/>
      <c r="AA39" s="49"/>
      <c r="AB39" s="421"/>
      <c r="AD39" s="345"/>
      <c r="AE39" s="346"/>
      <c r="AF39" s="454"/>
      <c r="AG39" s="454"/>
      <c r="AH39" s="335"/>
      <c r="AI39" s="338"/>
    </row>
    <row r="40" spans="1:35" ht="15.75" thickBot="1">
      <c r="A40" s="41" t="s">
        <v>183</v>
      </c>
      <c r="B40" s="42" t="s">
        <v>224</v>
      </c>
      <c r="C40" s="43">
        <f>('Enugu Workings'!C40+'Jigawa Workings'!C40+'Kaduna Workings'!C40+'Kano Workings'!C40+'Lagos Workings'!C40)</f>
        <v>0</v>
      </c>
      <c r="D40" s="73">
        <f>('Enugu Workings'!D40+'Jigawa Workings'!D40+'Kaduna Workings'!D40+'Kano Workings'!D40+'Lagos Workings'!D40)</f>
        <v>0</v>
      </c>
      <c r="E40" s="73">
        <f>('Enugu Workings'!E40+'Jigawa Workings'!E40+'Kaduna Workings'!E40+'Kano Workings'!E40+'Lagos Workings'!E40)</f>
        <v>0</v>
      </c>
      <c r="F40" s="73">
        <f>('Enugu Workings'!F40+'Jigawa Workings'!F40+'Kaduna Workings'!F40+'Kano Workings'!F40+'Lagos Workings'!F40)</f>
        <v>0</v>
      </c>
      <c r="G40" s="73">
        <f>('Enugu Workings'!G40+'Jigawa Workings'!G40+'Kaduna Workings'!G40+'Kano Workings'!G40+'Lagos Workings'!G40)</f>
        <v>0</v>
      </c>
      <c r="H40" s="73">
        <f>('Enugu Workings'!H40+'Jigawa Workings'!H40+'Kaduna Workings'!H40+'Kano Workings'!H40+'Lagos Workings'!H40)</f>
        <v>0</v>
      </c>
      <c r="I40" s="74">
        <f>('Enugu Workings'!I40+'Jigawa Workings'!I40+'Kaduna Workings'!I40+'Kano Workings'!I40+'Lagos Workings'!I40)</f>
        <v>0</v>
      </c>
      <c r="J40" s="73">
        <f>('Enugu Workings'!J40+'Jigawa Workings'!J40+'Kaduna Workings'!J40+'Kano Workings'!J40+'Lagos Workings'!J40)</f>
        <v>0.16666666666666666</v>
      </c>
      <c r="K40" s="73">
        <f>('Enugu Workings'!K40+'Jigawa Workings'!K40+'Kaduna Workings'!K40+'Kano Workings'!K40+'Lagos Workings'!K40)</f>
        <v>0.33333333333333331</v>
      </c>
      <c r="L40" s="51">
        <f>('Enugu Workings'!L40+'Jigawa Workings'!L40+'Kaduna Workings'!L40+'Kano Workings'!L40+'Lagos Workings'!L40)</f>
        <v>0.5</v>
      </c>
      <c r="M40" s="51">
        <f>('Enugu Workings'!M40+'Jigawa Workings'!M40+'Kaduna Workings'!M40+'Kano Workings'!M40+'Lagos Workings'!M40)</f>
        <v>0.66666666666666663</v>
      </c>
      <c r="N40" s="50">
        <f>('Enugu Workings'!N40+'Jigawa Workings'!N40+'Kaduna Workings'!N40+'Kano Workings'!N40+'Lagos Workings'!N40)</f>
        <v>1</v>
      </c>
      <c r="O40" s="51">
        <f>('Enugu Workings'!O40+'Jigawa Workings'!O40+'Kaduna Workings'!O40+'Kano Workings'!O40+'Lagos Workings'!O40)</f>
        <v>1.75</v>
      </c>
      <c r="P40" s="51">
        <f>('Enugu Workings'!P40+'Jigawa Workings'!P40+'Kaduna Workings'!P40+'Kano Workings'!P40+'Lagos Workings'!P40)</f>
        <v>2.5</v>
      </c>
      <c r="Q40" s="51">
        <f>('Enugu Workings'!Q40+'Jigawa Workings'!Q40+'Kaduna Workings'!Q40+'Kano Workings'!Q40+'Lagos Workings'!Q40)</f>
        <v>3.25</v>
      </c>
      <c r="R40" s="50">
        <f>('Enugu Workings'!R40+'Jigawa Workings'!R40+'Kaduna Workings'!R40+'Kano Workings'!R40+'Lagos Workings'!R40)</f>
        <v>4</v>
      </c>
      <c r="S40" s="51">
        <f>('Enugu Workings'!S40+'Jigawa Workings'!S40+'Kaduna Workings'!S40+'Kano Workings'!S40+'Lagos Workings'!S40)</f>
        <v>4.6666666666666661</v>
      </c>
      <c r="T40" s="51">
        <f>('Enugu Workings'!T40+'Jigawa Workings'!T40+'Kaduna Workings'!T40+'Kano Workings'!T40+'Lagos Workings'!T40)</f>
        <v>5.3333333333333339</v>
      </c>
      <c r="U40" s="51">
        <f>('Enugu Workings'!U40+'Jigawa Workings'!U40+'Kaduna Workings'!U40+'Kano Workings'!U40+'Lagos Workings'!U40)</f>
        <v>6</v>
      </c>
      <c r="V40" s="51">
        <f>('Enugu Workings'!V40+'Jigawa Workings'!V40+'Kaduna Workings'!V40+'Kano Workings'!V40+'Lagos Workings'!V40)</f>
        <v>6.666666666666667</v>
      </c>
      <c r="W40" s="51">
        <f>('Enugu Workings'!W40+'Jigawa Workings'!W40+'Kaduna Workings'!W40+'Kano Workings'!W40+'Lagos Workings'!W40)</f>
        <v>6.5</v>
      </c>
      <c r="X40" s="51">
        <f>('Enugu Workings'!X40+'Jigawa Workings'!X40+'Kaduna Workings'!X40+'Kano Workings'!X40+'Lagos Workings'!X40)</f>
        <v>7.0000000000000009</v>
      </c>
      <c r="Y40" s="50">
        <f>('Enugu Workings'!Y40+'Jigawa Workings'!Y40+'Kaduna Workings'!Y40+'Kano Workings'!Y40+'Lagos Workings'!Y40)</f>
        <v>7</v>
      </c>
      <c r="Z40" s="51">
        <f>('Enugu Workings'!Z40+'Jigawa Workings'!Z40+'Kaduna Workings'!Z40+'Kano Workings'!Z40+'Lagos Workings'!Z40)</f>
        <v>7</v>
      </c>
      <c r="AA40" s="38">
        <f>'Lagos Workings'!AA40*5</f>
        <v>25</v>
      </c>
      <c r="AB40" s="457">
        <f>AA40/22</f>
        <v>1.1363636363636365</v>
      </c>
      <c r="AD40" s="451">
        <f>V40</f>
        <v>6.666666666666667</v>
      </c>
      <c r="AE40" s="346"/>
      <c r="AF40" s="453">
        <f t="shared" ref="AF40:AG41" si="12">IF($AG$1=16,R40,IF($AG$1=17,S40,IF($AG$1=18,T40,IF($AG$1=19,U40,IF($AG$1=20,V40,IF($AG$1=21,W40,IF($AG$1=22,X40,0)))))))</f>
        <v>6.5</v>
      </c>
      <c r="AG40" s="453">
        <f t="shared" si="12"/>
        <v>7.0000000000000009</v>
      </c>
      <c r="AI40" s="338"/>
    </row>
    <row r="41" spans="1:35" s="340" customFormat="1" ht="15.75" thickBot="1">
      <c r="A41" s="45"/>
      <c r="B41" s="46" t="s">
        <v>225</v>
      </c>
      <c r="C41" s="79">
        <f>('Enugu Workings'!C41+'Jigawa Workings'!C41+'Kaduna Workings'!C41+'Kano Workings'!C41+'Lagos Workings'!C41)</f>
        <v>0</v>
      </c>
      <c r="D41" s="441">
        <f>('Enugu Workings'!D41+'Jigawa Workings'!D41+'Kaduna Workings'!D41+'Kano Workings'!D41+'Lagos Workings'!D41)</f>
        <v>0</v>
      </c>
      <c r="E41" s="442">
        <f>('Enugu Workings'!E41+'Jigawa Workings'!E41+'Kaduna Workings'!E41+'Kano Workings'!E41+'Lagos Workings'!E41)</f>
        <v>0</v>
      </c>
      <c r="F41" s="442">
        <f>('Enugu Workings'!F41+'Jigawa Workings'!F41+'Kaduna Workings'!F41+'Kano Workings'!F41+'Lagos Workings'!F41)</f>
        <v>0</v>
      </c>
      <c r="G41" s="442">
        <f>('Enugu Workings'!G41+'Jigawa Workings'!G41+'Kaduna Workings'!G41+'Kano Workings'!G41+'Lagos Workings'!G41)</f>
        <v>0</v>
      </c>
      <c r="H41" s="442">
        <f>('Enugu Workings'!H41+'Jigawa Workings'!H41+'Kaduna Workings'!H41+'Kano Workings'!H41+'Lagos Workings'!H41)</f>
        <v>0</v>
      </c>
      <c r="I41" s="442">
        <f>('Enugu Workings'!I41+'Jigawa Workings'!I41+'Kaduna Workings'!I41+'Kano Workings'!I41+'Lagos Workings'!I41)</f>
        <v>0</v>
      </c>
      <c r="J41" s="442">
        <f>('Enugu Workings'!J41+'Jigawa Workings'!J41+'Kaduna Workings'!J41+'Kano Workings'!J41+'Lagos Workings'!J41)</f>
        <v>0</v>
      </c>
      <c r="K41" s="442">
        <f>('Enugu Workings'!K41+'Jigawa Workings'!K41+'Kaduna Workings'!K41+'Kano Workings'!K41+'Lagos Workings'!K41)</f>
        <v>0</v>
      </c>
      <c r="L41" s="442">
        <f>('Enugu Workings'!L41+'Jigawa Workings'!L41+'Kaduna Workings'!L41+'Kano Workings'!L41+'Lagos Workings'!L41)</f>
        <v>0</v>
      </c>
      <c r="M41" s="442">
        <f>('Enugu Workings'!M41+'Jigawa Workings'!M41+'Kaduna Workings'!M41+'Kano Workings'!M41+'Lagos Workings'!M41)</f>
        <v>0</v>
      </c>
      <c r="N41" s="443">
        <f>('Enugu Workings'!N41+'Jigawa Workings'!N41+'Kaduna Workings'!N41+'Kano Workings'!N41+'Lagos Workings'!N41)</f>
        <v>0</v>
      </c>
      <c r="O41" s="444">
        <f>('Enugu Workings'!O41+'Jigawa Workings'!O41+'Kaduna Workings'!O41+'Kano Workings'!O41+'Lagos Workings'!O41)</f>
        <v>0</v>
      </c>
      <c r="P41" s="444">
        <f>('Enugu Workings'!P41+'Jigawa Workings'!P41+'Kaduna Workings'!P41+'Kano Workings'!P41+'Lagos Workings'!P41)</f>
        <v>0</v>
      </c>
      <c r="Q41" s="444">
        <f>('Enugu Workings'!Q41+'Jigawa Workings'!Q41+'Kaduna Workings'!Q41+'Kano Workings'!Q41+'Lagos Workings'!Q41)</f>
        <v>1</v>
      </c>
      <c r="R41" s="442">
        <f>('Enugu Workings'!R41+'Jigawa Workings'!R41+'Kaduna Workings'!R41+'Kano Workings'!R41+'Lagos Workings'!R41)</f>
        <v>4</v>
      </c>
      <c r="S41" s="442">
        <f>('Enugu Workings'!S41+'Jigawa Workings'!S41+'Kaduna Workings'!S41+'Kano Workings'!S41+'Lagos Workings'!S41)</f>
        <v>5</v>
      </c>
      <c r="T41" s="442">
        <f>('Enugu Workings'!T41+'Jigawa Workings'!T41+'Kaduna Workings'!T41+'Kano Workings'!T41+'Lagos Workings'!T41)</f>
        <v>6</v>
      </c>
      <c r="U41" s="442">
        <f>('Enugu Workings'!U41+'Jigawa Workings'!U41+'Kaduna Workings'!U41+'Kano Workings'!U41+'Lagos Workings'!U41)</f>
        <v>9</v>
      </c>
      <c r="V41" s="445">
        <f>('Enugu Workings'!V41+'Jigawa Workings'!V41+'Kaduna Workings'!V41+'Kano Workings'!V41+'Lagos Workings'!V41)</f>
        <v>3</v>
      </c>
      <c r="W41" s="72">
        <f>('Enugu Workings'!W41+'Jigawa Workings'!W41+'Kaduna Workings'!W41+'Kano Workings'!W41+'Lagos Workings'!W41)</f>
        <v>3</v>
      </c>
      <c r="X41" s="70">
        <f>('Enugu Workings'!X41+'Jigawa Workings'!X41+'Kaduna Workings'!X41+'Kano Workings'!X41+'Lagos Workings'!X41)</f>
        <v>3</v>
      </c>
      <c r="Y41" s="70">
        <f>('Enugu Workings'!Y41+'Jigawa Workings'!Y41+'Kaduna Workings'!Y41+'Kano Workings'!Y41+'Lagos Workings'!Y41)</f>
        <v>0</v>
      </c>
      <c r="Z41" s="70">
        <f>('Enugu Workings'!Z41+'Jigawa Workings'!Z41+'Kaduna Workings'!Z41+'Kano Workings'!Z41+'Lagos Workings'!Z41)</f>
        <v>0</v>
      </c>
      <c r="AA41" s="49"/>
      <c r="AB41" s="421"/>
      <c r="AD41" s="452">
        <f>V41</f>
        <v>3</v>
      </c>
      <c r="AE41" s="346"/>
      <c r="AF41" s="452">
        <f t="shared" si="12"/>
        <v>3</v>
      </c>
      <c r="AG41" s="452">
        <f t="shared" si="12"/>
        <v>3</v>
      </c>
      <c r="AH41" s="342">
        <f>AG41</f>
        <v>3</v>
      </c>
      <c r="AI41" s="342">
        <f>AG41</f>
        <v>3</v>
      </c>
    </row>
    <row r="42" spans="1:35" s="340" customFormat="1">
      <c r="A42" s="45"/>
      <c r="B42" s="46"/>
      <c r="C42" s="48"/>
      <c r="D42" s="83"/>
      <c r="E42" s="83"/>
      <c r="F42" s="83"/>
      <c r="G42" s="83"/>
      <c r="H42" s="83"/>
      <c r="I42" s="83"/>
      <c r="J42" s="83"/>
      <c r="K42" s="83"/>
      <c r="L42" s="48"/>
      <c r="M42" s="48"/>
      <c r="N42" s="48"/>
      <c r="O42" s="48"/>
      <c r="P42" s="48"/>
      <c r="Q42" s="48"/>
      <c r="R42" s="48"/>
      <c r="S42" s="48"/>
      <c r="T42" s="48"/>
      <c r="U42" s="48"/>
      <c r="V42" s="48"/>
      <c r="W42" s="48"/>
      <c r="X42" s="48"/>
      <c r="Y42" s="48"/>
      <c r="Z42" s="48"/>
      <c r="AA42" s="49"/>
      <c r="AB42" s="421"/>
      <c r="AE42" s="335"/>
      <c r="AH42" s="335"/>
      <c r="AI42" s="338"/>
    </row>
    <row r="43" spans="1:35" ht="15.75" thickBot="1">
      <c r="A43" s="41" t="s">
        <v>16</v>
      </c>
      <c r="B43" s="42" t="s">
        <v>139</v>
      </c>
      <c r="C43" s="43">
        <f>('Enugu Workings'!C43+'Jigawa Workings'!C43+'Kaduna Workings'!C43+'Kano Workings'!C43+'Lagos Workings'!C43)/5</f>
        <v>1</v>
      </c>
      <c r="D43" s="81">
        <f>('Enugu Workings'!D43+'Jigawa Workings'!D43+'Kaduna Workings'!D43+'Kano Workings'!D43+'Lagos Workings'!D43)/5</f>
        <v>1.1666666666666665</v>
      </c>
      <c r="E43" s="81">
        <f>('Enugu Workings'!E43+'Jigawa Workings'!E43+'Kaduna Workings'!E43+'Kano Workings'!E43+'Lagos Workings'!E43)/5</f>
        <v>1.3333333333333333</v>
      </c>
      <c r="F43" s="81">
        <f>('Enugu Workings'!F43+'Jigawa Workings'!F43+'Kaduna Workings'!F43+'Kano Workings'!F43+'Lagos Workings'!F43)/5</f>
        <v>1.5</v>
      </c>
      <c r="G43" s="81">
        <f>('Enugu Workings'!G43+'Jigawa Workings'!G43+'Kaduna Workings'!G43+'Kano Workings'!G43+'Lagos Workings'!G43)/5</f>
        <v>1.6666666666666665</v>
      </c>
      <c r="H43" s="81">
        <f>('Enugu Workings'!H43+'Jigawa Workings'!H43+'Kaduna Workings'!H43+'Kano Workings'!H43+'Lagos Workings'!H43)/5</f>
        <v>1.8333333333333333</v>
      </c>
      <c r="I43" s="82">
        <f>('Enugu Workings'!I43+'Jigawa Workings'!I43+'Kaduna Workings'!I43+'Kano Workings'!I43+'Lagos Workings'!I43)/5</f>
        <v>2</v>
      </c>
      <c r="J43" s="81">
        <f>('Enugu Workings'!J43+'Jigawa Workings'!J43+'Kaduna Workings'!J43+'Kano Workings'!J43+'Lagos Workings'!J43)/5</f>
        <v>2.1166666666666663</v>
      </c>
      <c r="K43" s="81">
        <f>('Enugu Workings'!K43+'Jigawa Workings'!K43+'Kaduna Workings'!K43+'Kano Workings'!K43+'Lagos Workings'!K43)/5</f>
        <v>2.2333333333333334</v>
      </c>
      <c r="L43" s="44">
        <f>('Enugu Workings'!L43+'Jigawa Workings'!L43+'Kaduna Workings'!L43+'Kano Workings'!L43+'Lagos Workings'!L43)/5</f>
        <v>2.35</v>
      </c>
      <c r="M43" s="44">
        <f>('Enugu Workings'!M43+'Jigawa Workings'!M43+'Kaduna Workings'!M43+'Kano Workings'!M43+'Lagos Workings'!M43)/5</f>
        <v>2.4666666666666663</v>
      </c>
      <c r="N43" s="43">
        <f>('Enugu Workings'!N43+'Jigawa Workings'!N43+'Kaduna Workings'!N43+'Kano Workings'!N43+'Lagos Workings'!N43)/5</f>
        <v>2.7</v>
      </c>
      <c r="O43" s="44">
        <f>('Enugu Workings'!O43+'Jigawa Workings'!O43+'Kaduna Workings'!O43+'Kano Workings'!O43+'Lagos Workings'!O43)/5</f>
        <v>2.83</v>
      </c>
      <c r="P43" s="44">
        <f>('Enugu Workings'!P43+'Jigawa Workings'!P43+'Kaduna Workings'!P43+'Kano Workings'!P43+'Lagos Workings'!P43)/5</f>
        <v>2.96</v>
      </c>
      <c r="Q43" s="44">
        <f>('Enugu Workings'!Q43+'Jigawa Workings'!Q43+'Kaduna Workings'!Q43+'Kano Workings'!Q43+'Lagos Workings'!Q43)/5</f>
        <v>3.09</v>
      </c>
      <c r="R43" s="43">
        <f>('Enugu Workings'!R43+'Jigawa Workings'!R43+'Kaduna Workings'!R43+'Kano Workings'!R43+'Lagos Workings'!R43)/5</f>
        <v>3.22</v>
      </c>
      <c r="S43" s="44">
        <f>('Enugu Workings'!S43+'Jigawa Workings'!S43+'Kaduna Workings'!S43+'Kano Workings'!S43+'Lagos Workings'!S43)/5</f>
        <v>3.3</v>
      </c>
      <c r="T43" s="44">
        <f>('Enugu Workings'!T43+'Jigawa Workings'!T43+'Kaduna Workings'!T43+'Kano Workings'!T43+'Lagos Workings'!T43)/5</f>
        <v>3.38</v>
      </c>
      <c r="U43" s="44">
        <f>('Enugu Workings'!U43+'Jigawa Workings'!U43+'Kaduna Workings'!U43+'Kano Workings'!U43+'Lagos Workings'!U43)/5</f>
        <v>3.46</v>
      </c>
      <c r="V43" s="44">
        <f>('Enugu Workings'!V43+'Jigawa Workings'!V43+'Kaduna Workings'!V43+'Kano Workings'!V43+'Lagos Workings'!V43)/5</f>
        <v>3.54</v>
      </c>
      <c r="W43" s="44">
        <f>('Enugu Workings'!W43+'Jigawa Workings'!W43+'Kaduna Workings'!W43+'Kano Workings'!W43+'Lagos Workings'!W43)/5</f>
        <v>3.9366666666666665</v>
      </c>
      <c r="X43" s="44">
        <f>('Enugu Workings'!X43+'Jigawa Workings'!X43+'Kaduna Workings'!X43+'Kano Workings'!X43+'Lagos Workings'!X43)/5</f>
        <v>4.08</v>
      </c>
      <c r="Y43" s="43">
        <f>('Enugu Workings'!Y43+'Jigawa Workings'!Y43+'Kaduna Workings'!Y43+'Kano Workings'!Y43+'Lagos Workings'!Y43)/5</f>
        <v>4.08</v>
      </c>
      <c r="Z43" s="44">
        <f>('Enugu Workings'!Z43+'Jigawa Workings'!Z43+'Kaduna Workings'!Z43+'Kano Workings'!Z43+'Lagos Workings'!Z43)/5</f>
        <v>4.08</v>
      </c>
      <c r="AA43" s="38">
        <v>5</v>
      </c>
      <c r="AB43" s="420">
        <f>AA43/22</f>
        <v>0.22727272727272727</v>
      </c>
      <c r="AD43" s="450">
        <f>V43</f>
        <v>3.54</v>
      </c>
      <c r="AF43" s="339">
        <f t="shared" ref="AF43:AG44" si="13">IF($AG$1=16,R43,IF($AG$1=17,S43,IF($AG$1=18,T43,IF($AG$1=19,U43,IF($AG$1=20,V43,IF($AG$1=21,W43,IF($AG$1=22,X43,0)))))))</f>
        <v>3.9366666666666665</v>
      </c>
      <c r="AG43" s="339">
        <f t="shared" si="13"/>
        <v>4.08</v>
      </c>
      <c r="AI43" s="338"/>
    </row>
    <row r="44" spans="1:35" s="340" customFormat="1" ht="15.75" thickBot="1">
      <c r="A44" s="45"/>
      <c r="B44" s="46" t="s">
        <v>140</v>
      </c>
      <c r="C44" s="79">
        <f>('Enugu Workings'!C44+'Jigawa Workings'!C44+'Kaduna Workings'!C44+'Kano Workings'!C44+'Lagos Workings'!C44)/5</f>
        <v>1</v>
      </c>
      <c r="D44" s="436">
        <f>('Enugu Workings'!D44+'Jigawa Workings'!D44+'Kaduna Workings'!D44+'Kano Workings'!D44+'Lagos Workings'!D44)/5</f>
        <v>1.08</v>
      </c>
      <c r="E44" s="437">
        <f>('Enugu Workings'!E44+'Jigawa Workings'!E44+'Kaduna Workings'!E44+'Kano Workings'!E44+'Lagos Workings'!E44)/5</f>
        <v>1.1000000000000001</v>
      </c>
      <c r="F44" s="437">
        <f>('Enugu Workings'!F44+'Jigawa Workings'!F44+'Kaduna Workings'!F44+'Kano Workings'!F44+'Lagos Workings'!F44)/5</f>
        <v>1.1400000000000001</v>
      </c>
      <c r="G44" s="437">
        <f>('Enugu Workings'!G44+'Jigawa Workings'!G44+'Kaduna Workings'!G44+'Kano Workings'!G44+'Lagos Workings'!G44)/5</f>
        <v>1.1800000000000002</v>
      </c>
      <c r="H44" s="437">
        <f>('Enugu Workings'!H44+'Jigawa Workings'!H44+'Kaduna Workings'!H44+'Kano Workings'!H44+'Lagos Workings'!H44)/5</f>
        <v>1.2</v>
      </c>
      <c r="I44" s="437">
        <f>('Enugu Workings'!I44+'Jigawa Workings'!I44+'Kaduna Workings'!I44+'Kano Workings'!I44+'Lagos Workings'!I44)/5</f>
        <v>2.08</v>
      </c>
      <c r="J44" s="437">
        <f>('Enugu Workings'!J44+'Jigawa Workings'!J44+'Kaduna Workings'!J44+'Kano Workings'!J44+'Lagos Workings'!J44)/5</f>
        <v>2.2399999999999998</v>
      </c>
      <c r="K44" s="437">
        <f>('Enugu Workings'!K44+'Jigawa Workings'!K44+'Kaduna Workings'!K44+'Kano Workings'!K44+'Lagos Workings'!K44)/5</f>
        <v>2.2399999999999998</v>
      </c>
      <c r="L44" s="437">
        <f>('Enugu Workings'!L44+'Jigawa Workings'!L44+'Kaduna Workings'!L44+'Kano Workings'!L44+'Lagos Workings'!L44)/5</f>
        <v>2.1</v>
      </c>
      <c r="M44" s="437">
        <f>('Enugu Workings'!M44+'Jigawa Workings'!M44+'Kaduna Workings'!M44+'Kano Workings'!M44+'Lagos Workings'!M44)/5</f>
        <v>2.5</v>
      </c>
      <c r="N44" s="439">
        <f>('Enugu Workings'!N44+'Jigawa Workings'!N44+'Kaduna Workings'!N44+'Kano Workings'!N44+'Lagos Workings'!N44)/5</f>
        <v>2.52</v>
      </c>
      <c r="O44" s="440">
        <f>('Enugu Workings'!O44+'Jigawa Workings'!O44+'Kaduna Workings'!O44+'Kano Workings'!O44+'Lagos Workings'!O44)/5</f>
        <v>2.76</v>
      </c>
      <c r="P44" s="440">
        <f>('Enugu Workings'!P44+'Jigawa Workings'!P44+'Kaduna Workings'!P44+'Kano Workings'!P44+'Lagos Workings'!P44)/5</f>
        <v>2.95</v>
      </c>
      <c r="Q44" s="440">
        <f>('Enugu Workings'!Q44+'Jigawa Workings'!Q44+'Kaduna Workings'!Q44+'Kano Workings'!Q44+'Lagos Workings'!Q44)/5</f>
        <v>3.3199999999999994</v>
      </c>
      <c r="R44" s="437">
        <f>('Enugu Workings'!R44+'Jigawa Workings'!R44+'Kaduna Workings'!R44+'Kano Workings'!R44+'Lagos Workings'!R44)/5</f>
        <v>3.2600000000000002</v>
      </c>
      <c r="S44" s="437">
        <f>('Enugu Workings'!S44+'Jigawa Workings'!S44+'Kaduna Workings'!S44+'Kano Workings'!S44+'Lagos Workings'!S44)/5</f>
        <v>2.82</v>
      </c>
      <c r="T44" s="437">
        <f>('Enugu Workings'!T44+'Jigawa Workings'!T44+'Kaduna Workings'!T44+'Kano Workings'!T44+'Lagos Workings'!T44)/5</f>
        <v>3.2600000000000002</v>
      </c>
      <c r="U44" s="437">
        <f>('Enugu Workings'!U44+'Jigawa Workings'!U44+'Kaduna Workings'!U44+'Kano Workings'!U44+'Lagos Workings'!U44)/5</f>
        <v>3.746</v>
      </c>
      <c r="V44" s="438">
        <f>('Enugu Workings'!V44+'Jigawa Workings'!V44+'Kaduna Workings'!V44+'Kano Workings'!V44+'Lagos Workings'!V44)/5</f>
        <v>4.0999999999999996</v>
      </c>
      <c r="W44" s="80">
        <f>('Enugu Workings'!W44+'Jigawa Workings'!W44+'Kaduna Workings'!W44+'Kano Workings'!W44+'Lagos Workings'!W44)/5</f>
        <v>4.1599999999999993</v>
      </c>
      <c r="X44" s="69">
        <f>('Enugu Workings'!X44+'Jigawa Workings'!X44+'Kaduna Workings'!X44+'Kano Workings'!X44+'Lagos Workings'!X44)/5</f>
        <v>4.4400000000000004</v>
      </c>
      <c r="Y44" s="69">
        <f>('Enugu Workings'!Y44+'Jigawa Workings'!Y44+'Kaduna Workings'!Y44+'Kano Workings'!Y44+'Lagos Workings'!Y44)/5</f>
        <v>0</v>
      </c>
      <c r="Z44" s="69">
        <f>('Enugu Workings'!Z44+'Jigawa Workings'!Z44+'Kaduna Workings'!Z44+'Kano Workings'!Z44+'Lagos Workings'!Z44)/5</f>
        <v>0</v>
      </c>
      <c r="AA44" s="49"/>
      <c r="AB44" s="421"/>
      <c r="AD44" s="341">
        <f>V44</f>
        <v>4.0999999999999996</v>
      </c>
      <c r="AE44" s="335"/>
      <c r="AF44" s="341">
        <f t="shared" si="13"/>
        <v>4.1599999999999993</v>
      </c>
      <c r="AG44" s="341">
        <f t="shared" si="13"/>
        <v>4.4400000000000004</v>
      </c>
      <c r="AH44" s="342">
        <f>AG44</f>
        <v>4.4400000000000004</v>
      </c>
      <c r="AI44" s="342">
        <f>AG44</f>
        <v>4.4400000000000004</v>
      </c>
    </row>
    <row r="45" spans="1:35" s="340" customFormat="1">
      <c r="A45" s="45"/>
      <c r="B45" s="46"/>
      <c r="C45" s="48"/>
      <c r="D45" s="83"/>
      <c r="E45" s="83"/>
      <c r="F45" s="83"/>
      <c r="G45" s="83"/>
      <c r="H45" s="83"/>
      <c r="I45" s="83"/>
      <c r="J45" s="83"/>
      <c r="K45" s="83"/>
      <c r="L45" s="48"/>
      <c r="M45" s="48"/>
      <c r="N45" s="48"/>
      <c r="O45" s="48"/>
      <c r="P45" s="48"/>
      <c r="Q45" s="48"/>
      <c r="R45" s="48"/>
      <c r="S45" s="48"/>
      <c r="T45" s="48"/>
      <c r="U45" s="48"/>
      <c r="V45" s="48"/>
      <c r="W45" s="48"/>
      <c r="X45" s="48"/>
      <c r="Y45" s="48"/>
      <c r="Z45" s="48"/>
      <c r="AA45" s="49"/>
      <c r="AB45" s="421"/>
      <c r="AE45" s="335"/>
      <c r="AH45" s="335"/>
      <c r="AI45" s="338"/>
    </row>
    <row r="46" spans="1:35" ht="15.75" thickBot="1">
      <c r="A46" s="41" t="s">
        <v>17</v>
      </c>
      <c r="B46" s="42" t="s">
        <v>139</v>
      </c>
      <c r="C46" s="43">
        <f>('Enugu Workings'!C46+'Jigawa Workings'!C46+'Kaduna Workings'!C46+'Kano Workings'!C46+'Lagos Workings'!C46)/5</f>
        <v>1.1000000000000001</v>
      </c>
      <c r="D46" s="81">
        <f>('Enugu Workings'!D46+'Jigawa Workings'!D46+'Kaduna Workings'!D46+'Kano Workings'!D46+'Lagos Workings'!D46)/5</f>
        <v>1.1833333333333333</v>
      </c>
      <c r="E46" s="81">
        <f>('Enugu Workings'!E46+'Jigawa Workings'!E46+'Kaduna Workings'!E46+'Kano Workings'!E46+'Lagos Workings'!E46)/5</f>
        <v>1.2666666666666668</v>
      </c>
      <c r="F46" s="81">
        <f>('Enugu Workings'!F46+'Jigawa Workings'!F46+'Kaduna Workings'!F46+'Kano Workings'!F46+'Lagos Workings'!F46)/5</f>
        <v>1.35</v>
      </c>
      <c r="G46" s="81">
        <f>('Enugu Workings'!G46+'Jigawa Workings'!G46+'Kaduna Workings'!G46+'Kano Workings'!G46+'Lagos Workings'!G46)/5</f>
        <v>1.4333333333333333</v>
      </c>
      <c r="H46" s="81">
        <f>('Enugu Workings'!H46+'Jigawa Workings'!H46+'Kaduna Workings'!H46+'Kano Workings'!H46+'Lagos Workings'!H46)/5</f>
        <v>1.5166666666666668</v>
      </c>
      <c r="I46" s="82">
        <f>('Enugu Workings'!I46+'Jigawa Workings'!I46+'Kaduna Workings'!I46+'Kano Workings'!I46+'Lagos Workings'!I46)/5</f>
        <v>1.6</v>
      </c>
      <c r="J46" s="81">
        <f>('Enugu Workings'!J46+'Jigawa Workings'!J46+'Kaduna Workings'!J46+'Kano Workings'!J46+'Lagos Workings'!J46)/5</f>
        <v>1.7833333333333332</v>
      </c>
      <c r="K46" s="81">
        <f>('Enugu Workings'!K46+'Jigawa Workings'!K46+'Kaduna Workings'!K46+'Kano Workings'!K46+'Lagos Workings'!K46)/5</f>
        <v>1.9666666666666663</v>
      </c>
      <c r="L46" s="44">
        <f>('Enugu Workings'!L46+'Jigawa Workings'!L46+'Kaduna Workings'!L46+'Kano Workings'!L46+'Lagos Workings'!L46)/5</f>
        <v>2.15</v>
      </c>
      <c r="M46" s="44">
        <f>('Enugu Workings'!M46+'Jigawa Workings'!M46+'Kaduna Workings'!M46+'Kano Workings'!M46+'Lagos Workings'!M46)/5</f>
        <v>2.333333333333333</v>
      </c>
      <c r="N46" s="43">
        <f>('Enugu Workings'!N46+'Jigawa Workings'!N46+'Kaduna Workings'!N46+'Kano Workings'!N46+'Lagos Workings'!N46)/5</f>
        <v>2.7</v>
      </c>
      <c r="O46" s="44">
        <f>('Enugu Workings'!O46+'Jigawa Workings'!O46+'Kaduna Workings'!O46+'Kano Workings'!O46+'Lagos Workings'!O46)/5</f>
        <v>2.85</v>
      </c>
      <c r="P46" s="44">
        <f>('Enugu Workings'!P46+'Jigawa Workings'!P46+'Kaduna Workings'!P46+'Kano Workings'!P46+'Lagos Workings'!P46)/5</f>
        <v>3</v>
      </c>
      <c r="Q46" s="44">
        <f>('Enugu Workings'!Q46+'Jigawa Workings'!Q46+'Kaduna Workings'!Q46+'Kano Workings'!Q46+'Lagos Workings'!Q46)/5</f>
        <v>3.15</v>
      </c>
      <c r="R46" s="43">
        <f>('Enugu Workings'!R46+'Jigawa Workings'!R46+'Kaduna Workings'!R46+'Kano Workings'!R46+'Lagos Workings'!R46)/5</f>
        <v>3.3</v>
      </c>
      <c r="S46" s="44">
        <f>('Enugu Workings'!S46+'Jigawa Workings'!S46+'Kaduna Workings'!S46+'Kano Workings'!S46+'Lagos Workings'!S46)/5</f>
        <v>3.3933333333333335</v>
      </c>
      <c r="T46" s="44">
        <f>('Enugu Workings'!T46+'Jigawa Workings'!T46+'Kaduna Workings'!T46+'Kano Workings'!T46+'Lagos Workings'!T46)/5</f>
        <v>3.4866666666666668</v>
      </c>
      <c r="U46" s="44">
        <f>('Enugu Workings'!U46+'Jigawa Workings'!U46+'Kaduna Workings'!U46+'Kano Workings'!U46+'Lagos Workings'!U46)/5</f>
        <v>3.5799999999999996</v>
      </c>
      <c r="V46" s="44">
        <f>('Enugu Workings'!V46+'Jigawa Workings'!V46+'Kaduna Workings'!V46+'Kano Workings'!V46+'Lagos Workings'!V46)/5</f>
        <v>3.6733333333333333</v>
      </c>
      <c r="W46" s="44">
        <f>('Enugu Workings'!W46+'Jigawa Workings'!W46+'Kaduna Workings'!W46+'Kano Workings'!W46+'Lagos Workings'!W46)/5</f>
        <v>3.9666666666666659</v>
      </c>
      <c r="X46" s="44">
        <f>('Enugu Workings'!X46+'Jigawa Workings'!X46+'Kaduna Workings'!X46+'Kano Workings'!X46+'Lagos Workings'!X46)/5</f>
        <v>4.0999999999999996</v>
      </c>
      <c r="Y46" s="43">
        <f>('Enugu Workings'!Y46+'Jigawa Workings'!Y46+'Kaduna Workings'!Y46+'Kano Workings'!Y46+'Lagos Workings'!Y46)/5</f>
        <v>4.0999999999999996</v>
      </c>
      <c r="Z46" s="44">
        <f>('Enugu Workings'!Z46+'Jigawa Workings'!Z46+'Kaduna Workings'!Z46+'Kano Workings'!Z46+'Lagos Workings'!Z46)/5</f>
        <v>4.0999999999999996</v>
      </c>
      <c r="AA46" s="38">
        <v>5</v>
      </c>
      <c r="AB46" s="420">
        <f>AA46/22</f>
        <v>0.22727272727272727</v>
      </c>
      <c r="AD46" s="450">
        <f>V46</f>
        <v>3.6733333333333333</v>
      </c>
      <c r="AF46" s="339">
        <f t="shared" ref="AF46:AG47" si="14">IF($AG$1=16,R46,IF($AG$1=17,S46,IF($AG$1=18,T46,IF($AG$1=19,U46,IF($AG$1=20,V46,IF($AG$1=21,W46,IF($AG$1=22,X46,0)))))))</f>
        <v>3.9666666666666659</v>
      </c>
      <c r="AG46" s="339">
        <f t="shared" si="14"/>
        <v>4.0999999999999996</v>
      </c>
      <c r="AI46" s="338"/>
    </row>
    <row r="47" spans="1:35" s="340" customFormat="1" ht="15.75" thickBot="1">
      <c r="A47" s="45"/>
      <c r="B47" s="46" t="s">
        <v>140</v>
      </c>
      <c r="C47" s="79">
        <f>('Enugu Workings'!C47+'Jigawa Workings'!C47+'Kaduna Workings'!C47+'Kano Workings'!C47+'Lagos Workings'!C47)/5</f>
        <v>1.1000000000000001</v>
      </c>
      <c r="D47" s="436">
        <f>('Enugu Workings'!D47+'Jigawa Workings'!D47+'Kaduna Workings'!D47+'Kano Workings'!D47+'Lagos Workings'!D47)/5</f>
        <v>0.86</v>
      </c>
      <c r="E47" s="437">
        <f>('Enugu Workings'!E47+'Jigawa Workings'!E47+'Kaduna Workings'!E47+'Kano Workings'!E47+'Lagos Workings'!E47)/5</f>
        <v>0.88000000000000012</v>
      </c>
      <c r="F47" s="437">
        <f>('Enugu Workings'!F47+'Jigawa Workings'!F47+'Kaduna Workings'!F47+'Kano Workings'!F47+'Lagos Workings'!F47)/5</f>
        <v>0.9</v>
      </c>
      <c r="G47" s="437">
        <f>('Enugu Workings'!G47+'Jigawa Workings'!G47+'Kaduna Workings'!G47+'Kano Workings'!G47+'Lagos Workings'!G47)/5</f>
        <v>0.94000000000000006</v>
      </c>
      <c r="H47" s="437">
        <f>('Enugu Workings'!H47+'Jigawa Workings'!H47+'Kaduna Workings'!H47+'Kano Workings'!H47+'Lagos Workings'!H47)/5</f>
        <v>0.91999999999999993</v>
      </c>
      <c r="I47" s="437">
        <f>('Enugu Workings'!I47+'Jigawa Workings'!I47+'Kaduna Workings'!I47+'Kano Workings'!I47+'Lagos Workings'!I47)/5</f>
        <v>1.48</v>
      </c>
      <c r="J47" s="437">
        <f>('Enugu Workings'!J47+'Jigawa Workings'!J47+'Kaduna Workings'!J47+'Kano Workings'!J47+'Lagos Workings'!J47)/5</f>
        <v>1.44</v>
      </c>
      <c r="K47" s="437">
        <f>('Enugu Workings'!K47+'Jigawa Workings'!K47+'Kaduna Workings'!K47+'Kano Workings'!K47+'Lagos Workings'!K47)/5</f>
        <v>1.44</v>
      </c>
      <c r="L47" s="437">
        <f>('Enugu Workings'!L47+'Jigawa Workings'!L47+'Kaduna Workings'!L47+'Kano Workings'!L47+'Lagos Workings'!L47)/5</f>
        <v>2</v>
      </c>
      <c r="M47" s="437">
        <f>('Enugu Workings'!M47+'Jigawa Workings'!M47+'Kaduna Workings'!M47+'Kano Workings'!M47+'Lagos Workings'!M47)/5</f>
        <v>2.2000000000000002</v>
      </c>
      <c r="N47" s="439">
        <f>('Enugu Workings'!N47+'Jigawa Workings'!N47+'Kaduna Workings'!N47+'Kano Workings'!N47+'Lagos Workings'!N47)/5</f>
        <v>2.8400000000000003</v>
      </c>
      <c r="O47" s="440">
        <f>('Enugu Workings'!O47+'Jigawa Workings'!O47+'Kaduna Workings'!O47+'Kano Workings'!O47+'Lagos Workings'!O47)/5</f>
        <v>3</v>
      </c>
      <c r="P47" s="440">
        <f>('Enugu Workings'!P47+'Jigawa Workings'!P47+'Kaduna Workings'!P47+'Kano Workings'!P47+'Lagos Workings'!P47)/5</f>
        <v>3.2</v>
      </c>
      <c r="Q47" s="440">
        <f>('Enugu Workings'!Q47+'Jigawa Workings'!Q47+'Kaduna Workings'!Q47+'Kano Workings'!Q47+'Lagos Workings'!Q47)/5</f>
        <v>3.56</v>
      </c>
      <c r="R47" s="437">
        <f>('Enugu Workings'!R47+'Jigawa Workings'!R47+'Kaduna Workings'!R47+'Kano Workings'!R47+'Lagos Workings'!R47)/5</f>
        <v>3.3600000000000003</v>
      </c>
      <c r="S47" s="437">
        <f>('Enugu Workings'!S47+'Jigawa Workings'!S47+'Kaduna Workings'!S47+'Kano Workings'!S47+'Lagos Workings'!S47)/5</f>
        <v>3.44</v>
      </c>
      <c r="T47" s="437">
        <f>('Enugu Workings'!T47+'Jigawa Workings'!T47+'Kaduna Workings'!T47+'Kano Workings'!T47+'Lagos Workings'!T47)/5</f>
        <v>3.4799999999999995</v>
      </c>
      <c r="U47" s="437">
        <f>('Enugu Workings'!U47+'Jigawa Workings'!U47+'Kaduna Workings'!U47+'Kano Workings'!U47+'Lagos Workings'!U47)/5</f>
        <v>3.9939999999999998</v>
      </c>
      <c r="V47" s="438">
        <f>('Enugu Workings'!V47+'Jigawa Workings'!V47+'Kaduna Workings'!V47+'Kano Workings'!V47+'Lagos Workings'!V47)/5</f>
        <v>4.0459999999999994</v>
      </c>
      <c r="W47" s="80">
        <f>('Enugu Workings'!W47+'Jigawa Workings'!W47+'Kaduna Workings'!W47+'Kano Workings'!W47+'Lagos Workings'!W47)/5</f>
        <v>4.1399999999999997</v>
      </c>
      <c r="X47" s="69">
        <f>('Enugu Workings'!X47+'Jigawa Workings'!X47+'Kaduna Workings'!X47+'Kano Workings'!X47+'Lagos Workings'!X47)/5</f>
        <v>4.3199999999999994</v>
      </c>
      <c r="Y47" s="69">
        <f>('Enugu Workings'!Y47+'Jigawa Workings'!Y47+'Kaduna Workings'!Y47+'Kano Workings'!Y47+'Lagos Workings'!Y47)/5</f>
        <v>0</v>
      </c>
      <c r="Z47" s="69">
        <f>('Enugu Workings'!Z47+'Jigawa Workings'!Z47+'Kaduna Workings'!Z47+'Kano Workings'!Z47+'Lagos Workings'!Z47)/5</f>
        <v>0</v>
      </c>
      <c r="AA47" s="49"/>
      <c r="AB47" s="421"/>
      <c r="AD47" s="341">
        <f>V47</f>
        <v>4.0459999999999994</v>
      </c>
      <c r="AE47" s="335"/>
      <c r="AF47" s="341">
        <f t="shared" si="14"/>
        <v>4.1399999999999997</v>
      </c>
      <c r="AG47" s="341">
        <f t="shared" si="14"/>
        <v>4.3199999999999994</v>
      </c>
      <c r="AH47" s="342">
        <f>AG47</f>
        <v>4.3199999999999994</v>
      </c>
      <c r="AI47" s="342">
        <f>AG47</f>
        <v>4.3199999999999994</v>
      </c>
    </row>
    <row r="48" spans="1:35" s="340" customFormat="1">
      <c r="A48" s="45"/>
      <c r="B48" s="46"/>
      <c r="C48" s="48"/>
      <c r="D48" s="83"/>
      <c r="E48" s="83"/>
      <c r="F48" s="83"/>
      <c r="G48" s="83"/>
      <c r="H48" s="83"/>
      <c r="I48" s="83"/>
      <c r="J48" s="83"/>
      <c r="K48" s="83"/>
      <c r="L48" s="48"/>
      <c r="M48" s="48"/>
      <c r="N48" s="48"/>
      <c r="O48" s="48"/>
      <c r="P48" s="48"/>
      <c r="Q48" s="48"/>
      <c r="R48" s="48"/>
      <c r="S48" s="48"/>
      <c r="T48" s="48"/>
      <c r="U48" s="48"/>
      <c r="V48" s="48"/>
      <c r="W48" s="48"/>
      <c r="X48" s="48"/>
      <c r="Y48" s="48"/>
      <c r="Z48" s="48"/>
      <c r="AA48" s="49"/>
      <c r="AB48" s="421"/>
      <c r="AE48" s="335"/>
      <c r="AH48" s="335"/>
      <c r="AI48" s="338"/>
    </row>
    <row r="49" spans="1:35" ht="15.75" thickBot="1">
      <c r="A49" s="41" t="s">
        <v>18</v>
      </c>
      <c r="B49" s="42" t="s">
        <v>139</v>
      </c>
      <c r="C49" s="43">
        <f>('Enugu Workings'!C49+'Jigawa Workings'!C49+'Kaduna Workings'!C49+'Kano Workings'!C49+'Lagos Workings'!C49)</f>
        <v>1</v>
      </c>
      <c r="D49" s="73">
        <f>('Enugu Workings'!D49+'Jigawa Workings'!D49+'Kaduna Workings'!D49+'Kano Workings'!D49+'Lagos Workings'!D49)</f>
        <v>2.166666666666667</v>
      </c>
      <c r="E49" s="73">
        <f>('Enugu Workings'!E49+'Jigawa Workings'!E49+'Kaduna Workings'!E49+'Kano Workings'!E49+'Lagos Workings'!E49)</f>
        <v>3.3333333333333335</v>
      </c>
      <c r="F49" s="73">
        <f>('Enugu Workings'!F49+'Jigawa Workings'!F49+'Kaduna Workings'!F49+'Kano Workings'!F49+'Lagos Workings'!F49)</f>
        <v>4.5</v>
      </c>
      <c r="G49" s="73">
        <f>('Enugu Workings'!G49+'Jigawa Workings'!G49+'Kaduna Workings'!G49+'Kano Workings'!G49+'Lagos Workings'!G49)</f>
        <v>5.666666666666667</v>
      </c>
      <c r="H49" s="73">
        <f>('Enugu Workings'!H49+'Jigawa Workings'!H49+'Kaduna Workings'!H49+'Kano Workings'!H49+'Lagos Workings'!H49)</f>
        <v>6.8333333333333339</v>
      </c>
      <c r="I49" s="74">
        <f>('Enugu Workings'!I49+'Jigawa Workings'!I49+'Kaduna Workings'!I49+'Kano Workings'!I49+'Lagos Workings'!I49)</f>
        <v>8</v>
      </c>
      <c r="J49" s="73">
        <f>('Enugu Workings'!J49+'Jigawa Workings'!J49+'Kaduna Workings'!J49+'Kano Workings'!J49+'Lagos Workings'!J49)</f>
        <v>9.5</v>
      </c>
      <c r="K49" s="73">
        <f>('Enugu Workings'!K49+'Jigawa Workings'!K49+'Kaduna Workings'!K49+'Kano Workings'!K49+'Lagos Workings'!K49)</f>
        <v>11</v>
      </c>
      <c r="L49" s="51">
        <f>('Enugu Workings'!L49+'Jigawa Workings'!L49+'Kaduna Workings'!L49+'Kano Workings'!L49+'Lagos Workings'!L49)</f>
        <v>12.5</v>
      </c>
      <c r="M49" s="51">
        <f>('Enugu Workings'!M49+'Jigawa Workings'!M49+'Kaduna Workings'!M49+'Kano Workings'!M49+'Lagos Workings'!M49)</f>
        <v>13.999999999999998</v>
      </c>
      <c r="N49" s="50">
        <f>('Enugu Workings'!N49+'Jigawa Workings'!N49+'Kaduna Workings'!N49+'Kano Workings'!N49+'Lagos Workings'!N49)</f>
        <v>17</v>
      </c>
      <c r="O49" s="51">
        <f>('Enugu Workings'!O49+'Jigawa Workings'!O49+'Kaduna Workings'!O49+'Kano Workings'!O49+'Lagos Workings'!O49)</f>
        <v>16.75</v>
      </c>
      <c r="P49" s="51">
        <f>('Enugu Workings'!P49+'Jigawa Workings'!P49+'Kaduna Workings'!P49+'Kano Workings'!P49+'Lagos Workings'!P49)</f>
        <v>16.5</v>
      </c>
      <c r="Q49" s="51">
        <f>('Enugu Workings'!Q49+'Jigawa Workings'!Q49+'Kaduna Workings'!Q49+'Kano Workings'!Q49+'Lagos Workings'!Q49)</f>
        <v>16.25</v>
      </c>
      <c r="R49" s="50">
        <f>('Enugu Workings'!R49+'Jigawa Workings'!R49+'Kaduna Workings'!R49+'Kano Workings'!R49+'Lagos Workings'!R49)</f>
        <v>16</v>
      </c>
      <c r="S49" s="51">
        <f>('Enugu Workings'!S49+'Jigawa Workings'!S49+'Kaduna Workings'!S49+'Kano Workings'!S49+'Lagos Workings'!S49)</f>
        <v>17.5</v>
      </c>
      <c r="T49" s="51">
        <f>('Enugu Workings'!T49+'Jigawa Workings'!T49+'Kaduna Workings'!T49+'Kano Workings'!T49+'Lagos Workings'!T49)</f>
        <v>19</v>
      </c>
      <c r="U49" s="51">
        <f>('Enugu Workings'!U49+'Jigawa Workings'!U49+'Kaduna Workings'!U49+'Kano Workings'!U49+'Lagos Workings'!U49)</f>
        <v>20.499999999999996</v>
      </c>
      <c r="V49" s="51">
        <f>('Enugu Workings'!V49+'Jigawa Workings'!V49+'Kaduna Workings'!V49+'Kano Workings'!V49+'Lagos Workings'!V49)</f>
        <v>21.999999999999996</v>
      </c>
      <c r="W49" s="51">
        <f>('Enugu Workings'!W49+'Jigawa Workings'!W49+'Kaduna Workings'!W49+'Kano Workings'!W49+'Lagos Workings'!W49)</f>
        <v>41.833333333333336</v>
      </c>
      <c r="X49" s="51">
        <f>('Enugu Workings'!X49+'Jigawa Workings'!X49+'Kaduna Workings'!X49+'Kano Workings'!X49+'Lagos Workings'!X49)</f>
        <v>47</v>
      </c>
      <c r="Y49" s="50">
        <f>('Enugu Workings'!Y49+'Jigawa Workings'!Y49+'Kaduna Workings'!Y49+'Kano Workings'!Y49+'Lagos Workings'!Y49)</f>
        <v>47</v>
      </c>
      <c r="Z49" s="51">
        <f>('Enugu Workings'!Z49+'Jigawa Workings'!Z49+'Kaduna Workings'!Z49+'Kano Workings'!Z49+'Lagos Workings'!Z49)</f>
        <v>47</v>
      </c>
      <c r="AA49" s="38">
        <f>'Lagos Workings'!AA49*5</f>
        <v>50</v>
      </c>
      <c r="AB49" s="457">
        <f>AA49/22</f>
        <v>2.2727272727272729</v>
      </c>
      <c r="AD49" s="451">
        <f>V49</f>
        <v>21.999999999999996</v>
      </c>
      <c r="AE49" s="346"/>
      <c r="AF49" s="453">
        <f t="shared" ref="AF49:AG50" si="15">IF($AG$1=16,R49,IF($AG$1=17,S49,IF($AG$1=18,T49,IF($AG$1=19,U49,IF($AG$1=20,V49,IF($AG$1=21,W49,IF($AG$1=22,X49,0)))))))</f>
        <v>41.833333333333336</v>
      </c>
      <c r="AG49" s="453">
        <f t="shared" si="15"/>
        <v>47</v>
      </c>
      <c r="AI49" s="338"/>
    </row>
    <row r="50" spans="1:35" s="340" customFormat="1" ht="15.75" thickBot="1">
      <c r="A50" s="45"/>
      <c r="B50" s="46" t="s">
        <v>140</v>
      </c>
      <c r="C50" s="79">
        <f>('Enugu Workings'!C50+'Jigawa Workings'!C50+'Kaduna Workings'!C50+'Kano Workings'!C50+'Lagos Workings'!C50)</f>
        <v>1</v>
      </c>
      <c r="D50" s="441">
        <f>('Enugu Workings'!D50+'Jigawa Workings'!D50+'Kaduna Workings'!D50+'Kano Workings'!D50+'Lagos Workings'!D50)</f>
        <v>1</v>
      </c>
      <c r="E50" s="442">
        <f>('Enugu Workings'!E50+'Jigawa Workings'!E50+'Kaduna Workings'!E50+'Kano Workings'!E50+'Lagos Workings'!E50)</f>
        <v>1</v>
      </c>
      <c r="F50" s="442">
        <f>('Enugu Workings'!F50+'Jigawa Workings'!F50+'Kaduna Workings'!F50+'Kano Workings'!F50+'Lagos Workings'!F50)</f>
        <v>1</v>
      </c>
      <c r="G50" s="442">
        <f>('Enugu Workings'!G50+'Jigawa Workings'!G50+'Kaduna Workings'!G50+'Kano Workings'!G50+'Lagos Workings'!G50)</f>
        <v>1</v>
      </c>
      <c r="H50" s="442">
        <f>('Enugu Workings'!H50+'Jigawa Workings'!H50+'Kaduna Workings'!H50+'Kano Workings'!H50+'Lagos Workings'!H50)</f>
        <v>1</v>
      </c>
      <c r="I50" s="442">
        <f>('Enugu Workings'!I50+'Jigawa Workings'!I50+'Kaduna Workings'!I50+'Kano Workings'!I50+'Lagos Workings'!I50)</f>
        <v>1</v>
      </c>
      <c r="J50" s="442">
        <f>('Enugu Workings'!J50+'Jigawa Workings'!J50+'Kaduna Workings'!J50+'Kano Workings'!J50+'Lagos Workings'!J50)</f>
        <v>1</v>
      </c>
      <c r="K50" s="442">
        <f>('Enugu Workings'!K50+'Jigawa Workings'!K50+'Kaduna Workings'!K50+'Kano Workings'!K50+'Lagos Workings'!K50)</f>
        <v>1</v>
      </c>
      <c r="L50" s="442">
        <f>('Enugu Workings'!L50+'Jigawa Workings'!L50+'Kaduna Workings'!L50+'Kano Workings'!L50+'Lagos Workings'!L50)</f>
        <v>11</v>
      </c>
      <c r="M50" s="442">
        <f>('Enugu Workings'!M50+'Jigawa Workings'!M50+'Kaduna Workings'!M50+'Kano Workings'!M50+'Lagos Workings'!M50)</f>
        <v>9</v>
      </c>
      <c r="N50" s="443">
        <f>('Enugu Workings'!N50+'Jigawa Workings'!N50+'Kaduna Workings'!N50+'Kano Workings'!N50+'Lagos Workings'!N50)</f>
        <v>11</v>
      </c>
      <c r="O50" s="444">
        <f>('Enugu Workings'!O50+'Jigawa Workings'!O50+'Kaduna Workings'!O50+'Kano Workings'!O50+'Lagos Workings'!O50)</f>
        <v>18</v>
      </c>
      <c r="P50" s="444">
        <f>('Enugu Workings'!P50+'Jigawa Workings'!P50+'Kaduna Workings'!P50+'Kano Workings'!P50+'Lagos Workings'!P50)</f>
        <v>25</v>
      </c>
      <c r="Q50" s="444">
        <f>('Enugu Workings'!Q50+'Jigawa Workings'!Q50+'Kaduna Workings'!Q50+'Kano Workings'!Q50+'Lagos Workings'!Q50)</f>
        <v>29</v>
      </c>
      <c r="R50" s="442">
        <f>('Enugu Workings'!R50+'Jigawa Workings'!R50+'Kaduna Workings'!R50+'Kano Workings'!R50+'Lagos Workings'!R50)</f>
        <v>34</v>
      </c>
      <c r="S50" s="442">
        <f>('Enugu Workings'!S50+'Jigawa Workings'!S50+'Kaduna Workings'!S50+'Kano Workings'!S50+'Lagos Workings'!S50)</f>
        <v>30</v>
      </c>
      <c r="T50" s="442">
        <f>('Enugu Workings'!T50+'Jigawa Workings'!T50+'Kaduna Workings'!T50+'Kano Workings'!T50+'Lagos Workings'!T50)</f>
        <v>44</v>
      </c>
      <c r="U50" s="442">
        <f>('Enugu Workings'!U50+'Jigawa Workings'!U50+'Kaduna Workings'!U50+'Kano Workings'!U50+'Lagos Workings'!U50)</f>
        <v>49</v>
      </c>
      <c r="V50" s="445">
        <f>('Enugu Workings'!V50+'Jigawa Workings'!V50+'Kaduna Workings'!V50+'Kano Workings'!V50+'Lagos Workings'!V50)</f>
        <v>52</v>
      </c>
      <c r="W50" s="72">
        <f>('Enugu Workings'!W50+'Jigawa Workings'!W50+'Kaduna Workings'!W50+'Kano Workings'!W50+'Lagos Workings'!W50)</f>
        <v>58</v>
      </c>
      <c r="X50" s="70">
        <f>('Enugu Workings'!X50+'Jigawa Workings'!X50+'Kaduna Workings'!X50+'Kano Workings'!X50+'Lagos Workings'!X50)</f>
        <v>65</v>
      </c>
      <c r="Y50" s="70">
        <f>('Enugu Workings'!Y50+'Jigawa Workings'!Y50+'Kaduna Workings'!Y50+'Kano Workings'!Y50+'Lagos Workings'!Y50)</f>
        <v>0</v>
      </c>
      <c r="Z50" s="70">
        <f>('Enugu Workings'!Z50+'Jigawa Workings'!Z50+'Kaduna Workings'!Z50+'Kano Workings'!Z50+'Lagos Workings'!Z50)</f>
        <v>0</v>
      </c>
      <c r="AA50" s="49"/>
      <c r="AB50" s="421"/>
      <c r="AD50" s="452">
        <f>V50</f>
        <v>52</v>
      </c>
      <c r="AE50" s="346"/>
      <c r="AF50" s="452">
        <f t="shared" si="15"/>
        <v>58</v>
      </c>
      <c r="AG50" s="452">
        <f t="shared" si="15"/>
        <v>65</v>
      </c>
      <c r="AH50" s="342">
        <f>AG50</f>
        <v>65</v>
      </c>
      <c r="AI50" s="342">
        <f>AG50</f>
        <v>65</v>
      </c>
    </row>
    <row r="51" spans="1:35" s="340" customFormat="1">
      <c r="A51" s="45"/>
      <c r="B51" s="46"/>
      <c r="C51" s="48"/>
      <c r="D51" s="83"/>
      <c r="E51" s="83"/>
      <c r="F51" s="83"/>
      <c r="G51" s="83"/>
      <c r="H51" s="83"/>
      <c r="I51" s="83"/>
      <c r="J51" s="83"/>
      <c r="K51" s="83"/>
      <c r="L51" s="48"/>
      <c r="M51" s="48"/>
      <c r="N51" s="48"/>
      <c r="O51" s="48"/>
      <c r="P51" s="48"/>
      <c r="Q51" s="48"/>
      <c r="R51" s="48"/>
      <c r="S51" s="48"/>
      <c r="T51" s="48"/>
      <c r="U51" s="48"/>
      <c r="V51" s="48"/>
      <c r="W51" s="48"/>
      <c r="X51" s="48"/>
      <c r="Y51" s="48"/>
      <c r="Z51" s="48"/>
      <c r="AA51" s="49"/>
      <c r="AB51" s="421"/>
      <c r="AE51" s="335"/>
      <c r="AH51" s="335"/>
      <c r="AI51" s="338"/>
    </row>
    <row r="52" spans="1:35" ht="15.75" thickBot="1">
      <c r="A52" s="41" t="s">
        <v>19</v>
      </c>
      <c r="B52" s="42" t="s">
        <v>139</v>
      </c>
      <c r="C52" s="43">
        <f>('Enugu Workings'!C52+'Jigawa Workings'!C52+'Kaduna Workings'!C52+'Kano Workings'!C52+'Lagos Workings'!C52)/5</f>
        <v>1</v>
      </c>
      <c r="D52" s="81">
        <f>('Enugu Workings'!D52+'Jigawa Workings'!D52+'Kaduna Workings'!D52+'Kano Workings'!D52+'Lagos Workings'!D52)/5</f>
        <v>1.1166666666666667</v>
      </c>
      <c r="E52" s="81">
        <f>('Enugu Workings'!E52+'Jigawa Workings'!E52+'Kaduna Workings'!E52+'Kano Workings'!E52+'Lagos Workings'!E52)/5</f>
        <v>1.2333333333333332</v>
      </c>
      <c r="F52" s="81">
        <f>('Enugu Workings'!F52+'Jigawa Workings'!F52+'Kaduna Workings'!F52+'Kano Workings'!F52+'Lagos Workings'!F52)/5</f>
        <v>1.3499999999999999</v>
      </c>
      <c r="G52" s="81">
        <f>('Enugu Workings'!G52+'Jigawa Workings'!G52+'Kaduna Workings'!G52+'Kano Workings'!G52+'Lagos Workings'!G52)/5</f>
        <v>1.4666666666666666</v>
      </c>
      <c r="H52" s="81">
        <f>('Enugu Workings'!H52+'Jigawa Workings'!H52+'Kaduna Workings'!H52+'Kano Workings'!H52+'Lagos Workings'!H52)/5</f>
        <v>1.5833333333333335</v>
      </c>
      <c r="I52" s="82">
        <f>('Enugu Workings'!I52+'Jigawa Workings'!I52+'Kaduna Workings'!I52+'Kano Workings'!I52+'Lagos Workings'!I52)/5</f>
        <v>1.7</v>
      </c>
      <c r="J52" s="81">
        <f>('Enugu Workings'!J52+'Jigawa Workings'!J52+'Kaduna Workings'!J52+'Kano Workings'!J52+'Lagos Workings'!J52)/5</f>
        <v>1.8166666666666664</v>
      </c>
      <c r="K52" s="81">
        <f>('Enugu Workings'!K52+'Jigawa Workings'!K52+'Kaduna Workings'!K52+'Kano Workings'!K52+'Lagos Workings'!K52)/5</f>
        <v>1.9333333333333331</v>
      </c>
      <c r="L52" s="44">
        <f>('Enugu Workings'!L52+'Jigawa Workings'!L52+'Kaduna Workings'!L52+'Kano Workings'!L52+'Lagos Workings'!L52)/5</f>
        <v>2.0499999999999998</v>
      </c>
      <c r="M52" s="44">
        <f>('Enugu Workings'!M52+'Jigawa Workings'!M52+'Kaduna Workings'!M52+'Kano Workings'!M52+'Lagos Workings'!M52)/5</f>
        <v>2.1666666666666665</v>
      </c>
      <c r="N52" s="43">
        <f>('Enugu Workings'!N52+'Jigawa Workings'!N52+'Kaduna Workings'!N52+'Kano Workings'!N52+'Lagos Workings'!N52)/5</f>
        <v>2.4</v>
      </c>
      <c r="O52" s="44">
        <f>('Enugu Workings'!O52+'Jigawa Workings'!O52+'Kaduna Workings'!O52+'Kano Workings'!O52+'Lagos Workings'!O52)/5</f>
        <v>2.585</v>
      </c>
      <c r="P52" s="44">
        <f>('Enugu Workings'!P52+'Jigawa Workings'!P52+'Kaduna Workings'!P52+'Kano Workings'!P52+'Lagos Workings'!P52)/5</f>
        <v>2.77</v>
      </c>
      <c r="Q52" s="44">
        <f>('Enugu Workings'!Q52+'Jigawa Workings'!Q52+'Kaduna Workings'!Q52+'Kano Workings'!Q52+'Lagos Workings'!Q52)/5</f>
        <v>2.9549999999999996</v>
      </c>
      <c r="R52" s="43">
        <f>('Enugu Workings'!R52+'Jigawa Workings'!R52+'Kaduna Workings'!R52+'Kano Workings'!R52+'Lagos Workings'!R52)/5</f>
        <v>3.1399999999999997</v>
      </c>
      <c r="S52" s="44">
        <f>('Enugu Workings'!S52+'Jigawa Workings'!S52+'Kaduna Workings'!S52+'Kano Workings'!S52+'Lagos Workings'!S52)/5</f>
        <v>3.2266666666666666</v>
      </c>
      <c r="T52" s="44">
        <f>('Enugu Workings'!T52+'Jigawa Workings'!T52+'Kaduna Workings'!T52+'Kano Workings'!T52+'Lagos Workings'!T52)/5</f>
        <v>3.3133333333333335</v>
      </c>
      <c r="U52" s="44">
        <f>('Enugu Workings'!U52+'Jigawa Workings'!U52+'Kaduna Workings'!U52+'Kano Workings'!U52+'Lagos Workings'!U52)/5</f>
        <v>3.4</v>
      </c>
      <c r="V52" s="44">
        <f>('Enugu Workings'!V52+'Jigawa Workings'!V52+'Kaduna Workings'!V52+'Kano Workings'!V52+'Lagos Workings'!V52)/5</f>
        <v>3.4866666666666668</v>
      </c>
      <c r="W52" s="44">
        <f>('Enugu Workings'!W52+'Jigawa Workings'!W52+'Kaduna Workings'!W52+'Kano Workings'!W52+'Lagos Workings'!W52)/5</f>
        <v>3.6400000000000006</v>
      </c>
      <c r="X52" s="44">
        <f>('Enugu Workings'!X52+'Jigawa Workings'!X52+'Kaduna Workings'!X52+'Kano Workings'!X52+'Lagos Workings'!X52)/5</f>
        <v>3.7400000000000007</v>
      </c>
      <c r="Y52" s="43">
        <f>('Enugu Workings'!Y52+'Jigawa Workings'!Y52+'Kaduna Workings'!Y52+'Kano Workings'!Y52+'Lagos Workings'!Y52)/5</f>
        <v>3.7399999999999998</v>
      </c>
      <c r="Z52" s="44">
        <f>('Enugu Workings'!Z52+'Jigawa Workings'!Z52+'Kaduna Workings'!Z52+'Kano Workings'!Z52+'Lagos Workings'!Z52)/5</f>
        <v>3.7399999999999998</v>
      </c>
      <c r="AA52" s="38">
        <v>5</v>
      </c>
      <c r="AB52" s="420">
        <f>AA52/22</f>
        <v>0.22727272727272727</v>
      </c>
      <c r="AD52" s="450">
        <f>V52</f>
        <v>3.4866666666666668</v>
      </c>
      <c r="AF52" s="339">
        <f t="shared" ref="AF52:AG53" si="16">IF($AG$1=16,R52,IF($AG$1=17,S52,IF($AG$1=18,T52,IF($AG$1=19,U52,IF($AG$1=20,V52,IF($AG$1=21,W52,IF($AG$1=22,X52,0)))))))</f>
        <v>3.6400000000000006</v>
      </c>
      <c r="AG52" s="339">
        <f t="shared" si="16"/>
        <v>3.7400000000000007</v>
      </c>
      <c r="AI52" s="338"/>
    </row>
    <row r="53" spans="1:35" s="340" customFormat="1" ht="15.75" thickBot="1">
      <c r="A53" s="45"/>
      <c r="B53" s="46" t="s">
        <v>140</v>
      </c>
      <c r="C53" s="79">
        <f>('Enugu Workings'!C53+'Jigawa Workings'!C53+'Kaduna Workings'!C53+'Kano Workings'!C53+'Lagos Workings'!C53)/5</f>
        <v>1</v>
      </c>
      <c r="D53" s="436">
        <f>('Enugu Workings'!D53+'Jigawa Workings'!D53+'Kaduna Workings'!D53+'Kano Workings'!D53+'Lagos Workings'!D53)/5</f>
        <v>1.04</v>
      </c>
      <c r="E53" s="437">
        <f>('Enugu Workings'!E53+'Jigawa Workings'!E53+'Kaduna Workings'!E53+'Kano Workings'!E53+'Lagos Workings'!E53)/5</f>
        <v>1.04</v>
      </c>
      <c r="F53" s="437">
        <f>('Enugu Workings'!F53+'Jigawa Workings'!F53+'Kaduna Workings'!F53+'Kano Workings'!F53+'Lagos Workings'!F53)/5</f>
        <v>1.06</v>
      </c>
      <c r="G53" s="437">
        <f>('Enugu Workings'!G53+'Jigawa Workings'!G53+'Kaduna Workings'!G53+'Kano Workings'!G53+'Lagos Workings'!G53)/5</f>
        <v>1.06</v>
      </c>
      <c r="H53" s="437">
        <f>('Enugu Workings'!H53+'Jigawa Workings'!H53+'Kaduna Workings'!H53+'Kano Workings'!H53+'Lagos Workings'!H53)/5</f>
        <v>1.08</v>
      </c>
      <c r="I53" s="437">
        <f>('Enugu Workings'!I53+'Jigawa Workings'!I53+'Kaduna Workings'!I53+'Kano Workings'!I53+'Lagos Workings'!I53)/5</f>
        <v>1.2</v>
      </c>
      <c r="J53" s="437">
        <f>('Enugu Workings'!J53+'Jigawa Workings'!J53+'Kaduna Workings'!J53+'Kano Workings'!J53+'Lagos Workings'!J53)/5</f>
        <v>1.54</v>
      </c>
      <c r="K53" s="437">
        <f>('Enugu Workings'!K53+'Jigawa Workings'!K53+'Kaduna Workings'!K53+'Kano Workings'!K53+'Lagos Workings'!K53)/5</f>
        <v>1.54</v>
      </c>
      <c r="L53" s="437">
        <f>('Enugu Workings'!L53+'Jigawa Workings'!L53+'Kaduna Workings'!L53+'Kano Workings'!L53+'Lagos Workings'!L53)/5</f>
        <v>2</v>
      </c>
      <c r="M53" s="437">
        <f>('Enugu Workings'!M53+'Jigawa Workings'!M53+'Kaduna Workings'!M53+'Kano Workings'!M53+'Lagos Workings'!M53)/5</f>
        <v>2.02</v>
      </c>
      <c r="N53" s="439">
        <f>('Enugu Workings'!N53+'Jigawa Workings'!N53+'Kaduna Workings'!N53+'Kano Workings'!N53+'Lagos Workings'!N53)/5</f>
        <v>2.5</v>
      </c>
      <c r="O53" s="440">
        <f>('Enugu Workings'!O53+'Jigawa Workings'!O53+'Kaduna Workings'!O53+'Kano Workings'!O53+'Lagos Workings'!O53)/5</f>
        <v>2.7600000000000002</v>
      </c>
      <c r="P53" s="440">
        <f>('Enugu Workings'!P53+'Jigawa Workings'!P53+'Kaduna Workings'!P53+'Kano Workings'!P53+'Lagos Workings'!P53)/5</f>
        <v>2.88</v>
      </c>
      <c r="Q53" s="440">
        <f>('Enugu Workings'!Q53+'Jigawa Workings'!Q53+'Kaduna Workings'!Q53+'Kano Workings'!Q53+'Lagos Workings'!Q53)/5</f>
        <v>3.1799999999999997</v>
      </c>
      <c r="R53" s="437">
        <f>('Enugu Workings'!R53+'Jigawa Workings'!R53+'Kaduna Workings'!R53+'Kano Workings'!R53+'Lagos Workings'!R53)/5</f>
        <v>3.2400000000000007</v>
      </c>
      <c r="S53" s="437">
        <f>('Enugu Workings'!S53+'Jigawa Workings'!S53+'Kaduna Workings'!S53+'Kano Workings'!S53+'Lagos Workings'!S53)/5</f>
        <v>3.4599999999999995</v>
      </c>
      <c r="T53" s="437">
        <f>('Enugu Workings'!T53+'Jigawa Workings'!T53+'Kaduna Workings'!T53+'Kano Workings'!T53+'Lagos Workings'!T53)/5</f>
        <v>2.94</v>
      </c>
      <c r="U53" s="437">
        <f>('Enugu Workings'!U53+'Jigawa Workings'!U53+'Kaduna Workings'!U53+'Kano Workings'!U53+'Lagos Workings'!U53)/5</f>
        <v>3.6239999999999997</v>
      </c>
      <c r="V53" s="438">
        <f>('Enugu Workings'!V53+'Jigawa Workings'!V53+'Kaduna Workings'!V53+'Kano Workings'!V53+'Lagos Workings'!V53)/5</f>
        <v>3.85</v>
      </c>
      <c r="W53" s="80">
        <f>('Enugu Workings'!W53+'Jigawa Workings'!W53+'Kaduna Workings'!W53+'Kano Workings'!W53+'Lagos Workings'!W53)/5</f>
        <v>3.9900000000000007</v>
      </c>
      <c r="X53" s="69">
        <f>('Enugu Workings'!X53+'Jigawa Workings'!X53+'Kaduna Workings'!X53+'Kano Workings'!X53+'Lagos Workings'!X53)/5</f>
        <v>4.08</v>
      </c>
      <c r="Y53" s="69">
        <f>('Enugu Workings'!Y53+'Jigawa Workings'!Y53+'Kaduna Workings'!Y53+'Kano Workings'!Y53+'Lagos Workings'!Y53)/5</f>
        <v>0</v>
      </c>
      <c r="Z53" s="69">
        <f>('Enugu Workings'!Z53+'Jigawa Workings'!Z53+'Kaduna Workings'!Z53+'Kano Workings'!Z53+'Lagos Workings'!Z53)/5</f>
        <v>0</v>
      </c>
      <c r="AA53" s="49"/>
      <c r="AB53" s="421"/>
      <c r="AD53" s="341">
        <f>V53</f>
        <v>3.85</v>
      </c>
      <c r="AE53" s="335"/>
      <c r="AF53" s="341">
        <f t="shared" si="16"/>
        <v>3.9900000000000007</v>
      </c>
      <c r="AG53" s="341">
        <f t="shared" si="16"/>
        <v>4.08</v>
      </c>
      <c r="AH53" s="342">
        <f>AG53</f>
        <v>4.08</v>
      </c>
      <c r="AI53" s="342">
        <f>AG53</f>
        <v>4.08</v>
      </c>
    </row>
    <row r="54" spans="1:35" s="340" customFormat="1">
      <c r="A54" s="45"/>
      <c r="B54" s="46"/>
      <c r="C54" s="48"/>
      <c r="D54" s="83"/>
      <c r="E54" s="83"/>
      <c r="F54" s="83"/>
      <c r="G54" s="83"/>
      <c r="H54" s="83"/>
      <c r="I54" s="83"/>
      <c r="J54" s="83"/>
      <c r="K54" s="83"/>
      <c r="L54" s="48"/>
      <c r="M54" s="48"/>
      <c r="N54" s="48"/>
      <c r="O54" s="48"/>
      <c r="P54" s="48"/>
      <c r="Q54" s="48"/>
      <c r="R54" s="48"/>
      <c r="S54" s="48"/>
      <c r="T54" s="48"/>
      <c r="U54" s="48"/>
      <c r="V54" s="48"/>
      <c r="W54" s="48"/>
      <c r="X54" s="48"/>
      <c r="Y54" s="48"/>
      <c r="Z54" s="48"/>
      <c r="AA54" s="49"/>
      <c r="AB54" s="421"/>
      <c r="AE54" s="335"/>
      <c r="AH54" s="335"/>
      <c r="AI54" s="338"/>
    </row>
    <row r="55" spans="1:35" ht="15.75" thickBot="1">
      <c r="A55" s="41" t="s">
        <v>20</v>
      </c>
      <c r="B55" s="42" t="s">
        <v>139</v>
      </c>
      <c r="C55" s="43">
        <f>('Enugu Workings'!C55+'Jigawa Workings'!C55+'Kaduna Workings'!C55+'Kano Workings'!C55+'Lagos Workings'!C55)/5</f>
        <v>1</v>
      </c>
      <c r="D55" s="81">
        <f>('Enugu Workings'!D55+'Jigawa Workings'!D55+'Kaduna Workings'!D55+'Kano Workings'!D55+'Lagos Workings'!D55)/5</f>
        <v>1.1066666666666667</v>
      </c>
      <c r="E55" s="81">
        <f>('Enugu Workings'!E55+'Jigawa Workings'!E55+'Kaduna Workings'!E55+'Kano Workings'!E55+'Lagos Workings'!E55)/5</f>
        <v>1.2133333333333334</v>
      </c>
      <c r="F55" s="81">
        <f>('Enugu Workings'!F55+'Jigawa Workings'!F55+'Kaduna Workings'!F55+'Kano Workings'!F55+'Lagos Workings'!F55)/5</f>
        <v>1.3199999999999998</v>
      </c>
      <c r="G55" s="81">
        <f>('Enugu Workings'!G55+'Jigawa Workings'!G55+'Kaduna Workings'!G55+'Kano Workings'!G55+'Lagos Workings'!G55)/5</f>
        <v>1.4266666666666665</v>
      </c>
      <c r="H55" s="81">
        <f>('Enugu Workings'!H55+'Jigawa Workings'!H55+'Kaduna Workings'!H55+'Kano Workings'!H55+'Lagos Workings'!H55)/5</f>
        <v>1.5333333333333332</v>
      </c>
      <c r="I55" s="82">
        <f>('Enugu Workings'!I55+'Jigawa Workings'!I55+'Kaduna Workings'!I55+'Kano Workings'!I55+'Lagos Workings'!I55)/5</f>
        <v>1.64</v>
      </c>
      <c r="J55" s="81">
        <f>('Enugu Workings'!J55+'Jigawa Workings'!J55+'Kaduna Workings'!J55+'Kano Workings'!J55+'Lagos Workings'!J55)/5</f>
        <v>1.7833333333333332</v>
      </c>
      <c r="K55" s="81">
        <f>('Enugu Workings'!K55+'Jigawa Workings'!K55+'Kaduna Workings'!K55+'Kano Workings'!K55+'Lagos Workings'!K55)/5</f>
        <v>1.9266666666666665</v>
      </c>
      <c r="L55" s="44">
        <f>('Enugu Workings'!L55+'Jigawa Workings'!L55+'Kaduna Workings'!L55+'Kano Workings'!L55+'Lagos Workings'!L55)/5</f>
        <v>2.0699999999999998</v>
      </c>
      <c r="M55" s="44">
        <f>('Enugu Workings'!M55+'Jigawa Workings'!M55+'Kaduna Workings'!M55+'Kano Workings'!M55+'Lagos Workings'!M55)/5</f>
        <v>2.2133333333333329</v>
      </c>
      <c r="N55" s="43">
        <f>('Enugu Workings'!N55+'Jigawa Workings'!N55+'Kaduna Workings'!N55+'Kano Workings'!N55+'Lagos Workings'!N55)/5</f>
        <v>2.5</v>
      </c>
      <c r="O55" s="44">
        <f>('Enugu Workings'!O55+'Jigawa Workings'!O55+'Kaduna Workings'!O55+'Kano Workings'!O55+'Lagos Workings'!O55)/5</f>
        <v>2.6749999999999998</v>
      </c>
      <c r="P55" s="44">
        <f>('Enugu Workings'!P55+'Jigawa Workings'!P55+'Kaduna Workings'!P55+'Kano Workings'!P55+'Lagos Workings'!P55)/5</f>
        <v>2.85</v>
      </c>
      <c r="Q55" s="44">
        <f>('Enugu Workings'!Q55+'Jigawa Workings'!Q55+'Kaduna Workings'!Q55+'Kano Workings'!Q55+'Lagos Workings'!Q55)/5</f>
        <v>3.0249999999999999</v>
      </c>
      <c r="R55" s="43">
        <f>('Enugu Workings'!R55+'Jigawa Workings'!R55+'Kaduna Workings'!R55+'Kano Workings'!R55+'Lagos Workings'!R55)/5</f>
        <v>3.2</v>
      </c>
      <c r="S55" s="44">
        <f>('Enugu Workings'!S55+'Jigawa Workings'!S55+'Kaduna Workings'!S55+'Kano Workings'!S55+'Lagos Workings'!S55)/5</f>
        <v>3.3066666666666671</v>
      </c>
      <c r="T55" s="44">
        <f>('Enugu Workings'!T55+'Jigawa Workings'!T55+'Kaduna Workings'!T55+'Kano Workings'!T55+'Lagos Workings'!T55)/5</f>
        <v>3.4133333333333331</v>
      </c>
      <c r="U55" s="44">
        <f>('Enugu Workings'!U55+'Jigawa Workings'!U55+'Kaduna Workings'!U55+'Kano Workings'!U55+'Lagos Workings'!U55)/5</f>
        <v>3.5199999999999996</v>
      </c>
      <c r="V55" s="44">
        <f>('Enugu Workings'!V55+'Jigawa Workings'!V55+'Kaduna Workings'!V55+'Kano Workings'!V55+'Lagos Workings'!V55)/5</f>
        <v>3.6266666666666665</v>
      </c>
      <c r="W55" s="44">
        <f>('Enugu Workings'!W55+'Jigawa Workings'!W55+'Kaduna Workings'!W55+'Kano Workings'!W55+'Lagos Workings'!W55)/5</f>
        <v>3.833333333333333</v>
      </c>
      <c r="X55" s="44">
        <f>('Enugu Workings'!X55+'Jigawa Workings'!X55+'Kaduna Workings'!X55+'Kano Workings'!X55+'Lagos Workings'!X55)/5</f>
        <v>3.9599999999999995</v>
      </c>
      <c r="Y55" s="43">
        <f>('Enugu Workings'!Y55+'Jigawa Workings'!Y55+'Kaduna Workings'!Y55+'Kano Workings'!Y55+'Lagos Workings'!Y55)/5</f>
        <v>3.96</v>
      </c>
      <c r="Z55" s="44">
        <f>('Enugu Workings'!Z55+'Jigawa Workings'!Z55+'Kaduna Workings'!Z55+'Kano Workings'!Z55+'Lagos Workings'!Z55)/5</f>
        <v>3.96</v>
      </c>
      <c r="AA55" s="38">
        <v>5</v>
      </c>
      <c r="AB55" s="420">
        <f>AA55/22</f>
        <v>0.22727272727272727</v>
      </c>
      <c r="AD55" s="450">
        <f>V55</f>
        <v>3.6266666666666665</v>
      </c>
      <c r="AF55" s="339">
        <f t="shared" ref="AF55:AG56" si="17">IF($AG$1=16,R55,IF($AG$1=17,S55,IF($AG$1=18,T55,IF($AG$1=19,U55,IF($AG$1=20,V55,IF($AG$1=21,W55,IF($AG$1=22,X55,0)))))))</f>
        <v>3.833333333333333</v>
      </c>
      <c r="AG55" s="339">
        <f t="shared" si="17"/>
        <v>3.9599999999999995</v>
      </c>
      <c r="AI55" s="338"/>
    </row>
    <row r="56" spans="1:35" s="340" customFormat="1" ht="15.75" thickBot="1">
      <c r="A56" s="45"/>
      <c r="B56" s="46" t="s">
        <v>140</v>
      </c>
      <c r="C56" s="79">
        <f>('Enugu Workings'!C56+'Jigawa Workings'!C56+'Kaduna Workings'!C56+'Kano Workings'!C56+'Lagos Workings'!C56)/5</f>
        <v>1</v>
      </c>
      <c r="D56" s="436">
        <f>('Enugu Workings'!D56+'Jigawa Workings'!D56+'Kaduna Workings'!D56+'Kano Workings'!D56+'Lagos Workings'!D56)/5</f>
        <v>1.02</v>
      </c>
      <c r="E56" s="437">
        <f>('Enugu Workings'!E56+'Jigawa Workings'!E56+'Kaduna Workings'!E56+'Kano Workings'!E56+'Lagos Workings'!E56)/5</f>
        <v>1.1000000000000001</v>
      </c>
      <c r="F56" s="437">
        <f>('Enugu Workings'!F56+'Jigawa Workings'!F56+'Kaduna Workings'!F56+'Kano Workings'!F56+'Lagos Workings'!F56)/5</f>
        <v>1.06</v>
      </c>
      <c r="G56" s="437">
        <f>('Enugu Workings'!G56+'Jigawa Workings'!G56+'Kaduna Workings'!G56+'Kano Workings'!G56+'Lagos Workings'!G56)/5</f>
        <v>1.08</v>
      </c>
      <c r="H56" s="437">
        <f>('Enugu Workings'!H56+'Jigawa Workings'!H56+'Kaduna Workings'!H56+'Kano Workings'!H56+'Lagos Workings'!H56)/5</f>
        <v>1.1000000000000001</v>
      </c>
      <c r="I56" s="437">
        <f>('Enugu Workings'!I56+'Jigawa Workings'!I56+'Kaduna Workings'!I56+'Kano Workings'!I56+'Lagos Workings'!I56)/5</f>
        <v>0.9</v>
      </c>
      <c r="J56" s="437">
        <f>('Enugu Workings'!J56+'Jigawa Workings'!J56+'Kaduna Workings'!J56+'Kano Workings'!J56+'Lagos Workings'!J56)/5</f>
        <v>1.1000000000000001</v>
      </c>
      <c r="K56" s="437">
        <f>('Enugu Workings'!K56+'Jigawa Workings'!K56+'Kaduna Workings'!K56+'Kano Workings'!K56+'Lagos Workings'!K56)/5</f>
        <v>1.1000000000000001</v>
      </c>
      <c r="L56" s="437">
        <f>('Enugu Workings'!L56+'Jigawa Workings'!L56+'Kaduna Workings'!L56+'Kano Workings'!L56+'Lagos Workings'!L56)/5</f>
        <v>2</v>
      </c>
      <c r="M56" s="437">
        <f>('Enugu Workings'!M56+'Jigawa Workings'!M56+'Kaduna Workings'!M56+'Kano Workings'!M56+'Lagos Workings'!M56)/5</f>
        <v>2.2999999999999998</v>
      </c>
      <c r="N56" s="439">
        <f>('Enugu Workings'!N56+'Jigawa Workings'!N56+'Kaduna Workings'!N56+'Kano Workings'!N56+'Lagos Workings'!N56)/5</f>
        <v>2.9</v>
      </c>
      <c r="O56" s="440">
        <f>('Enugu Workings'!O56+'Jigawa Workings'!O56+'Kaduna Workings'!O56+'Kano Workings'!O56+'Lagos Workings'!O56)/5</f>
        <v>2.82</v>
      </c>
      <c r="P56" s="440">
        <f>('Enugu Workings'!P56+'Jigawa Workings'!P56+'Kaduna Workings'!P56+'Kano Workings'!P56+'Lagos Workings'!P56)/5</f>
        <v>2.92</v>
      </c>
      <c r="Q56" s="440">
        <f>('Enugu Workings'!Q56+'Jigawa Workings'!Q56+'Kaduna Workings'!Q56+'Kano Workings'!Q56+'Lagos Workings'!Q56)/5</f>
        <v>3.1599999999999997</v>
      </c>
      <c r="R56" s="437">
        <f>('Enugu Workings'!R56+'Jigawa Workings'!R56+'Kaduna Workings'!R56+'Kano Workings'!R56+'Lagos Workings'!R56)/5</f>
        <v>3.3599999999999994</v>
      </c>
      <c r="S56" s="437">
        <f>('Enugu Workings'!S56+'Jigawa Workings'!S56+'Kaduna Workings'!S56+'Kano Workings'!S56+'Lagos Workings'!S56)/5</f>
        <v>3.4799999999999995</v>
      </c>
      <c r="T56" s="437">
        <f>('Enugu Workings'!T56+'Jigawa Workings'!T56+'Kaduna Workings'!T56+'Kano Workings'!T56+'Lagos Workings'!T56)/5</f>
        <v>3.09</v>
      </c>
      <c r="U56" s="437">
        <f>('Enugu Workings'!U56+'Jigawa Workings'!U56+'Kaduna Workings'!U56+'Kano Workings'!U56+'Lagos Workings'!U56)/5</f>
        <v>3.44</v>
      </c>
      <c r="V56" s="438">
        <f>('Enugu Workings'!V56+'Jigawa Workings'!V56+'Kaduna Workings'!V56+'Kano Workings'!V56+'Lagos Workings'!V56)/5</f>
        <v>3.8</v>
      </c>
      <c r="W56" s="80">
        <f>('Enugu Workings'!W56+'Jigawa Workings'!W56+'Kaduna Workings'!W56+'Kano Workings'!W56+'Lagos Workings'!W56)/5</f>
        <v>3.9599999999999995</v>
      </c>
      <c r="X56" s="69">
        <f>('Enugu Workings'!X56+'Jigawa Workings'!X56+'Kaduna Workings'!X56+'Kano Workings'!X56+'Lagos Workings'!X56)/5</f>
        <v>4.0400000000000009</v>
      </c>
      <c r="Y56" s="69">
        <f>('Enugu Workings'!Y56+'Jigawa Workings'!Y56+'Kaduna Workings'!Y56+'Kano Workings'!Y56+'Lagos Workings'!Y56)/5</f>
        <v>0</v>
      </c>
      <c r="Z56" s="69">
        <f>('Enugu Workings'!Z56+'Jigawa Workings'!Z56+'Kaduna Workings'!Z56+'Kano Workings'!Z56+'Lagos Workings'!Z56)/5</f>
        <v>0</v>
      </c>
      <c r="AA56" s="49"/>
      <c r="AB56" s="421"/>
      <c r="AD56" s="341">
        <f>V56</f>
        <v>3.8</v>
      </c>
      <c r="AE56" s="335"/>
      <c r="AF56" s="341">
        <f t="shared" si="17"/>
        <v>3.9599999999999995</v>
      </c>
      <c r="AG56" s="341">
        <f t="shared" si="17"/>
        <v>4.0400000000000009</v>
      </c>
      <c r="AH56" s="342">
        <f>AG56</f>
        <v>4.0400000000000009</v>
      </c>
      <c r="AI56" s="342">
        <f>AG56</f>
        <v>4.0400000000000009</v>
      </c>
    </row>
    <row r="57" spans="1:35" s="340" customFormat="1">
      <c r="A57" s="45"/>
      <c r="B57" s="46"/>
      <c r="C57" s="48"/>
      <c r="D57" s="83"/>
      <c r="E57" s="83"/>
      <c r="F57" s="83"/>
      <c r="G57" s="83"/>
      <c r="H57" s="83"/>
      <c r="I57" s="83"/>
      <c r="J57" s="83"/>
      <c r="K57" s="83"/>
      <c r="L57" s="48"/>
      <c r="M57" s="48"/>
      <c r="N57" s="48"/>
      <c r="O57" s="48"/>
      <c r="P57" s="48"/>
      <c r="Q57" s="48"/>
      <c r="R57" s="48"/>
      <c r="S57" s="48"/>
      <c r="T57" s="48"/>
      <c r="U57" s="48"/>
      <c r="V57" s="48"/>
      <c r="W57" s="48"/>
      <c r="X57" s="48"/>
      <c r="Y57" s="48"/>
      <c r="Z57" s="48"/>
      <c r="AA57" s="49"/>
      <c r="AB57" s="421"/>
      <c r="AE57" s="335"/>
      <c r="AH57" s="335"/>
      <c r="AI57" s="338"/>
    </row>
    <row r="58" spans="1:35" ht="15.75" thickBot="1">
      <c r="A58" s="41" t="s">
        <v>21</v>
      </c>
      <c r="B58" s="42" t="s">
        <v>139</v>
      </c>
      <c r="C58" s="43">
        <f>('Enugu Workings'!C58+'Jigawa Workings'!C58+'Kaduna Workings'!C58+'Kano Workings'!C58+'Lagos Workings'!C58)</f>
        <v>0</v>
      </c>
      <c r="D58" s="73">
        <f>('Enugu Workings'!D58+'Jigawa Workings'!D58+'Kaduna Workings'!D58+'Kano Workings'!D58+'Lagos Workings'!D58)</f>
        <v>1.1666666666666667</v>
      </c>
      <c r="E58" s="73">
        <f>('Enugu Workings'!E58+'Jigawa Workings'!E58+'Kaduna Workings'!E58+'Kano Workings'!E58+'Lagos Workings'!E58)</f>
        <v>2.3333333333333335</v>
      </c>
      <c r="F58" s="73">
        <f>('Enugu Workings'!F58+'Jigawa Workings'!F58+'Kaduna Workings'!F58+'Kano Workings'!F58+'Lagos Workings'!F58)</f>
        <v>3.5</v>
      </c>
      <c r="G58" s="73">
        <f>('Enugu Workings'!G58+'Jigawa Workings'!G58+'Kaduna Workings'!G58+'Kano Workings'!G58+'Lagos Workings'!G58)</f>
        <v>4.666666666666667</v>
      </c>
      <c r="H58" s="73">
        <f>('Enugu Workings'!H58+'Jigawa Workings'!H58+'Kaduna Workings'!H58+'Kano Workings'!H58+'Lagos Workings'!H58)</f>
        <v>5.833333333333333</v>
      </c>
      <c r="I58" s="74">
        <f>('Enugu Workings'!I58+'Jigawa Workings'!I58+'Kaduna Workings'!I58+'Kano Workings'!I58+'Lagos Workings'!I58)</f>
        <v>7</v>
      </c>
      <c r="J58" s="73">
        <f>('Enugu Workings'!J58+'Jigawa Workings'!J58+'Kaduna Workings'!J58+'Kano Workings'!J58+'Lagos Workings'!J58)</f>
        <v>8.1666666666666661</v>
      </c>
      <c r="K58" s="73">
        <f>('Enugu Workings'!K58+'Jigawa Workings'!K58+'Kaduna Workings'!K58+'Kano Workings'!K58+'Lagos Workings'!K58)</f>
        <v>9.3333333333333321</v>
      </c>
      <c r="L58" s="51">
        <f>('Enugu Workings'!L58+'Jigawa Workings'!L58+'Kaduna Workings'!L58+'Kano Workings'!L58+'Lagos Workings'!L58)</f>
        <v>10.5</v>
      </c>
      <c r="M58" s="51">
        <f>('Enugu Workings'!M58+'Jigawa Workings'!M58+'Kaduna Workings'!M58+'Kano Workings'!M58+'Lagos Workings'!M58)</f>
        <v>11.666666666666668</v>
      </c>
      <c r="N58" s="50">
        <f>('Enugu Workings'!N58+'Jigawa Workings'!N58+'Kaduna Workings'!N58+'Kano Workings'!N58+'Lagos Workings'!N58)</f>
        <v>14</v>
      </c>
      <c r="O58" s="51">
        <f>('Enugu Workings'!O58+'Jigawa Workings'!O58+'Kaduna Workings'!O58+'Kano Workings'!O58+'Lagos Workings'!O58)</f>
        <v>16.25</v>
      </c>
      <c r="P58" s="51">
        <f>('Enugu Workings'!P58+'Jigawa Workings'!P58+'Kaduna Workings'!P58+'Kano Workings'!P58+'Lagos Workings'!P58)</f>
        <v>18.5</v>
      </c>
      <c r="Q58" s="51">
        <f>('Enugu Workings'!Q58+'Jigawa Workings'!Q58+'Kaduna Workings'!Q58+'Kano Workings'!Q58+'Lagos Workings'!Q58)</f>
        <v>20.75</v>
      </c>
      <c r="R58" s="50">
        <f>('Enugu Workings'!R58+'Jigawa Workings'!R58+'Kaduna Workings'!R58+'Kano Workings'!R58+'Lagos Workings'!R58)</f>
        <v>23</v>
      </c>
      <c r="S58" s="51">
        <f>('Enugu Workings'!S58+'Jigawa Workings'!S58+'Kaduna Workings'!S58+'Kano Workings'!S58+'Lagos Workings'!S58)</f>
        <v>24.833333333333329</v>
      </c>
      <c r="T58" s="51">
        <f>('Enugu Workings'!T58+'Jigawa Workings'!T58+'Kaduna Workings'!T58+'Kano Workings'!T58+'Lagos Workings'!T58)</f>
        <v>26.666666666666668</v>
      </c>
      <c r="U58" s="51">
        <f>('Enugu Workings'!U58+'Jigawa Workings'!U58+'Kaduna Workings'!U58+'Kano Workings'!U58+'Lagos Workings'!U58)</f>
        <v>28.5</v>
      </c>
      <c r="V58" s="51">
        <f>('Enugu Workings'!V58+'Jigawa Workings'!V58+'Kaduna Workings'!V58+'Kano Workings'!V58+'Lagos Workings'!V58)</f>
        <v>30.333333333333329</v>
      </c>
      <c r="W58" s="51">
        <f>('Enugu Workings'!W58+'Jigawa Workings'!W58+'Kaduna Workings'!W58+'Kano Workings'!W58+'Lagos Workings'!W58)</f>
        <v>43.833333333333329</v>
      </c>
      <c r="X58" s="51">
        <f>('Enugu Workings'!X58+'Jigawa Workings'!X58+'Kaduna Workings'!X58+'Kano Workings'!X58+'Lagos Workings'!X58)</f>
        <v>48</v>
      </c>
      <c r="Y58" s="50">
        <f>('Enugu Workings'!Y58+'Jigawa Workings'!Y58+'Kaduna Workings'!Y58+'Kano Workings'!Y58+'Lagos Workings'!Y58)</f>
        <v>48</v>
      </c>
      <c r="Z58" s="51">
        <f>('Enugu Workings'!Z58+'Jigawa Workings'!Z58+'Kaduna Workings'!Z58+'Kano Workings'!Z58+'Lagos Workings'!Z58)</f>
        <v>48</v>
      </c>
      <c r="AA58" s="38">
        <f>'Lagos Workings'!AA58*5</f>
        <v>50</v>
      </c>
      <c r="AB58" s="457">
        <f>AA58/22</f>
        <v>2.2727272727272729</v>
      </c>
      <c r="AD58" s="451">
        <f>V58</f>
        <v>30.333333333333329</v>
      </c>
      <c r="AE58" s="346"/>
      <c r="AF58" s="453">
        <f t="shared" ref="AF58:AG59" si="18">IF($AG$1=16,R58,IF($AG$1=17,S58,IF($AG$1=18,T58,IF($AG$1=19,U58,IF($AG$1=20,V58,IF($AG$1=21,W58,IF($AG$1=22,X58,0)))))))</f>
        <v>43.833333333333329</v>
      </c>
      <c r="AG58" s="453">
        <f t="shared" si="18"/>
        <v>48</v>
      </c>
      <c r="AI58" s="338"/>
    </row>
    <row r="59" spans="1:35" s="340" customFormat="1" ht="15.75" thickBot="1">
      <c r="A59" s="45"/>
      <c r="B59" s="46" t="s">
        <v>140</v>
      </c>
      <c r="C59" s="79">
        <f>('Enugu Workings'!C59+'Jigawa Workings'!C59+'Kaduna Workings'!C59+'Kano Workings'!C59+'Lagos Workings'!C59)</f>
        <v>0</v>
      </c>
      <c r="D59" s="441">
        <f>('Enugu Workings'!D59+'Jigawa Workings'!D59+'Kaduna Workings'!D59+'Kano Workings'!D59+'Lagos Workings'!D59)</f>
        <v>0</v>
      </c>
      <c r="E59" s="442">
        <f>('Enugu Workings'!E59+'Jigawa Workings'!E59+'Kaduna Workings'!E59+'Kano Workings'!E59+'Lagos Workings'!E59)</f>
        <v>0</v>
      </c>
      <c r="F59" s="442">
        <f>('Enugu Workings'!F59+'Jigawa Workings'!F59+'Kaduna Workings'!F59+'Kano Workings'!F59+'Lagos Workings'!F59)</f>
        <v>0</v>
      </c>
      <c r="G59" s="442">
        <f>('Enugu Workings'!G59+'Jigawa Workings'!G59+'Kaduna Workings'!G59+'Kano Workings'!G59+'Lagos Workings'!G59)</f>
        <v>0</v>
      </c>
      <c r="H59" s="442">
        <f>('Enugu Workings'!H59+'Jigawa Workings'!H59+'Kaduna Workings'!H59+'Kano Workings'!H59+'Lagos Workings'!H59)</f>
        <v>0</v>
      </c>
      <c r="I59" s="442">
        <f>('Enugu Workings'!I59+'Jigawa Workings'!I59+'Kaduna Workings'!I59+'Kano Workings'!I59+'Lagos Workings'!I59)</f>
        <v>0</v>
      </c>
      <c r="J59" s="442">
        <f>('Enugu Workings'!J59+'Jigawa Workings'!J59+'Kaduna Workings'!J59+'Kano Workings'!J59+'Lagos Workings'!J59)</f>
        <v>0</v>
      </c>
      <c r="K59" s="442">
        <f>('Enugu Workings'!K59+'Jigawa Workings'!K59+'Kaduna Workings'!K59+'Kano Workings'!K59+'Lagos Workings'!K59)</f>
        <v>0</v>
      </c>
      <c r="L59" s="442">
        <f>('Enugu Workings'!L59+'Jigawa Workings'!L59+'Kaduna Workings'!L59+'Kano Workings'!L59+'Lagos Workings'!L59)</f>
        <v>19</v>
      </c>
      <c r="M59" s="442">
        <f>('Enugu Workings'!M59+'Jigawa Workings'!M59+'Kaduna Workings'!M59+'Kano Workings'!M59+'Lagos Workings'!M59)</f>
        <v>20</v>
      </c>
      <c r="N59" s="443">
        <f>('Enugu Workings'!N59+'Jigawa Workings'!N59+'Kaduna Workings'!N59+'Kano Workings'!N59+'Lagos Workings'!N59)</f>
        <v>16</v>
      </c>
      <c r="O59" s="444">
        <f>('Enugu Workings'!O59+'Jigawa Workings'!O59+'Kaduna Workings'!O59+'Kano Workings'!O59+'Lagos Workings'!O59)</f>
        <v>20</v>
      </c>
      <c r="P59" s="444">
        <f>('Enugu Workings'!P59+'Jigawa Workings'!P59+'Kaduna Workings'!P59+'Kano Workings'!P59+'Lagos Workings'!P59)</f>
        <v>33</v>
      </c>
      <c r="Q59" s="444">
        <f>('Enugu Workings'!Q59+'Jigawa Workings'!Q59+'Kaduna Workings'!Q59+'Kano Workings'!Q59+'Lagos Workings'!Q59)</f>
        <v>27</v>
      </c>
      <c r="R59" s="442">
        <f>('Enugu Workings'!R59+'Jigawa Workings'!R59+'Kaduna Workings'!R59+'Kano Workings'!R59+'Lagos Workings'!R59)</f>
        <v>36</v>
      </c>
      <c r="S59" s="442">
        <f>('Enugu Workings'!S59+'Jigawa Workings'!S59+'Kaduna Workings'!S59+'Kano Workings'!S59+'Lagos Workings'!S59)</f>
        <v>39</v>
      </c>
      <c r="T59" s="442">
        <f>('Enugu Workings'!T59+'Jigawa Workings'!T59+'Kaduna Workings'!T59+'Kano Workings'!T59+'Lagos Workings'!T59)</f>
        <v>44</v>
      </c>
      <c r="U59" s="442">
        <f>('Enugu Workings'!U59+'Jigawa Workings'!U59+'Kaduna Workings'!U59+'Kano Workings'!U59+'Lagos Workings'!U59)</f>
        <v>55</v>
      </c>
      <c r="V59" s="445">
        <f>('Enugu Workings'!V59+'Jigawa Workings'!V59+'Kaduna Workings'!V59+'Kano Workings'!V59+'Lagos Workings'!V59)</f>
        <v>51</v>
      </c>
      <c r="W59" s="72">
        <f>('Enugu Workings'!W59+'Jigawa Workings'!W59+'Kaduna Workings'!W59+'Kano Workings'!W59+'Lagos Workings'!W59)</f>
        <v>51</v>
      </c>
      <c r="X59" s="70">
        <f>('Enugu Workings'!X59+'Jigawa Workings'!X59+'Kaduna Workings'!X59+'Kano Workings'!X59+'Lagos Workings'!X59)</f>
        <v>54</v>
      </c>
      <c r="Y59" s="70">
        <f>('Enugu Workings'!Y59+'Jigawa Workings'!Y59+'Kaduna Workings'!Y59+'Kano Workings'!Y59+'Lagos Workings'!Y59)</f>
        <v>0</v>
      </c>
      <c r="Z59" s="70">
        <f>('Enugu Workings'!Z59+'Jigawa Workings'!Z59+'Kaduna Workings'!Z59+'Kano Workings'!Z59+'Lagos Workings'!Z59)</f>
        <v>0</v>
      </c>
      <c r="AA59" s="49"/>
      <c r="AB59" s="421"/>
      <c r="AD59" s="452">
        <f>V59</f>
        <v>51</v>
      </c>
      <c r="AE59" s="346"/>
      <c r="AF59" s="452">
        <f t="shared" si="18"/>
        <v>51</v>
      </c>
      <c r="AG59" s="452">
        <f t="shared" si="18"/>
        <v>54</v>
      </c>
      <c r="AH59" s="342">
        <f>AG59</f>
        <v>54</v>
      </c>
      <c r="AI59" s="342">
        <f>AG59</f>
        <v>54</v>
      </c>
    </row>
    <row r="60" spans="1:35" s="340" customFormat="1">
      <c r="A60" s="45"/>
      <c r="B60" s="46"/>
      <c r="C60" s="53"/>
      <c r="D60" s="83"/>
      <c r="E60" s="83"/>
      <c r="F60" s="83"/>
      <c r="G60" s="83"/>
      <c r="H60" s="83"/>
      <c r="I60" s="83"/>
      <c r="J60" s="83"/>
      <c r="K60" s="83"/>
      <c r="L60" s="53"/>
      <c r="M60" s="53"/>
      <c r="N60" s="53"/>
      <c r="O60" s="53"/>
      <c r="P60" s="53"/>
      <c r="Q60" s="53"/>
      <c r="R60" s="48"/>
      <c r="S60" s="48"/>
      <c r="T60" s="48"/>
      <c r="U60" s="48"/>
      <c r="V60" s="48"/>
      <c r="W60" s="48"/>
      <c r="X60" s="48"/>
      <c r="Y60" s="48"/>
      <c r="Z60" s="48"/>
      <c r="AA60" s="49"/>
      <c r="AB60" s="421"/>
      <c r="AE60" s="335"/>
      <c r="AH60" s="335"/>
      <c r="AI60" s="338"/>
    </row>
    <row r="61" spans="1:35" ht="15.75" thickBot="1">
      <c r="A61" s="41" t="s">
        <v>166</v>
      </c>
      <c r="B61" s="42" t="s">
        <v>202</v>
      </c>
      <c r="C61" s="43">
        <f>('Enugu Workings'!C61+'Jigawa Workings'!C61+'Kaduna Workings'!C61+'Kano Workings'!C61+'Lagos Workings'!C61)</f>
        <v>2</v>
      </c>
      <c r="D61" s="73">
        <f>('Enugu Workings'!D61+'Jigawa Workings'!D61+'Kaduna Workings'!D61+'Kano Workings'!D61+'Lagos Workings'!D61)</f>
        <v>6.333333333333333</v>
      </c>
      <c r="E61" s="73">
        <f>('Enugu Workings'!E61+'Jigawa Workings'!E61+'Kaduna Workings'!E61+'Kano Workings'!E61+'Lagos Workings'!E61)</f>
        <v>10.666666666666666</v>
      </c>
      <c r="F61" s="73">
        <f>('Enugu Workings'!F61+'Jigawa Workings'!F61+'Kaduna Workings'!F61+'Kano Workings'!F61+'Lagos Workings'!F61)</f>
        <v>15</v>
      </c>
      <c r="G61" s="73">
        <f>('Enugu Workings'!G61+'Jigawa Workings'!G61+'Kaduna Workings'!G61+'Kano Workings'!G61+'Lagos Workings'!G61)</f>
        <v>19.333333333333332</v>
      </c>
      <c r="H61" s="73">
        <f>('Enugu Workings'!H61+'Jigawa Workings'!H61+'Kaduna Workings'!H61+'Kano Workings'!H61+'Lagos Workings'!H61)</f>
        <v>23.666666666666664</v>
      </c>
      <c r="I61" s="74">
        <f>('Enugu Workings'!I61+'Jigawa Workings'!I61+'Kaduna Workings'!I61+'Kano Workings'!I61+'Lagos Workings'!I61)</f>
        <v>28</v>
      </c>
      <c r="J61" s="73">
        <f>('Enugu Workings'!J61+'Jigawa Workings'!J61+'Kaduna Workings'!J61+'Kano Workings'!J61+'Lagos Workings'!J61)</f>
        <v>30.5</v>
      </c>
      <c r="K61" s="73">
        <f>('Enugu Workings'!K61+'Jigawa Workings'!K61+'Kaduna Workings'!K61+'Kano Workings'!K61+'Lagos Workings'!K61)</f>
        <v>33</v>
      </c>
      <c r="L61" s="51">
        <f>('Enugu Workings'!L61+'Jigawa Workings'!L61+'Kaduna Workings'!L61+'Kano Workings'!L61+'Lagos Workings'!L61)</f>
        <v>35.5</v>
      </c>
      <c r="M61" s="51">
        <f>('Enugu Workings'!M61+'Jigawa Workings'!M61+'Kaduna Workings'!M61+'Kano Workings'!M61+'Lagos Workings'!M61)</f>
        <v>38</v>
      </c>
      <c r="N61" s="50">
        <f>('Enugu Workings'!N61+'Jigawa Workings'!N61+'Kaduna Workings'!N61+'Kano Workings'!N61+'Lagos Workings'!N61)</f>
        <v>43</v>
      </c>
      <c r="O61" s="51">
        <f>('Enugu Workings'!O61+'Jigawa Workings'!O61+'Kaduna Workings'!O61+'Kano Workings'!O61+'Lagos Workings'!O61)</f>
        <v>42</v>
      </c>
      <c r="P61" s="51">
        <f>('Enugu Workings'!P61+'Jigawa Workings'!P61+'Kaduna Workings'!P61+'Kano Workings'!P61+'Lagos Workings'!P61)</f>
        <v>41</v>
      </c>
      <c r="Q61" s="51">
        <f>('Enugu Workings'!Q61+'Jigawa Workings'!Q61+'Kaduna Workings'!Q61+'Kano Workings'!Q61+'Lagos Workings'!Q61)</f>
        <v>40</v>
      </c>
      <c r="R61" s="50">
        <f>('Enugu Workings'!R61+'Jigawa Workings'!R61+'Kaduna Workings'!R61+'Kano Workings'!R61+'Lagos Workings'!R61)</f>
        <v>39</v>
      </c>
      <c r="S61" s="51">
        <f>('Enugu Workings'!S61+'Jigawa Workings'!S61+'Kaduna Workings'!S61+'Kano Workings'!S61+'Lagos Workings'!S61)</f>
        <v>41</v>
      </c>
      <c r="T61" s="51">
        <f>('Enugu Workings'!T61+'Jigawa Workings'!T61+'Kaduna Workings'!T61+'Kano Workings'!T61+'Lagos Workings'!T61)</f>
        <v>43</v>
      </c>
      <c r="U61" s="51">
        <f>('Enugu Workings'!U61+'Jigawa Workings'!U61+'Kaduna Workings'!U61+'Kano Workings'!U61+'Lagos Workings'!U61)</f>
        <v>45.000000000000007</v>
      </c>
      <c r="V61" s="51">
        <f>('Enugu Workings'!V61+'Jigawa Workings'!V61+'Kaduna Workings'!V61+'Kano Workings'!V61+'Lagos Workings'!V61)</f>
        <v>47.000000000000007</v>
      </c>
      <c r="W61" s="51">
        <f>('Enugu Workings'!W61+'Jigawa Workings'!W61+'Kaduna Workings'!W61+'Kano Workings'!W61+'Lagos Workings'!W61)</f>
        <v>46.500000000000007</v>
      </c>
      <c r="X61" s="51">
        <f>('Enugu Workings'!X61+'Jigawa Workings'!X61+'Kaduna Workings'!X61+'Kano Workings'!X61+'Lagos Workings'!X61)</f>
        <v>48</v>
      </c>
      <c r="Y61" s="50">
        <f>('Enugu Workings'!Y61+'Jigawa Workings'!Y61+'Kaduna Workings'!Y61+'Kano Workings'!Y61+'Lagos Workings'!Y61)</f>
        <v>48</v>
      </c>
      <c r="Z61" s="51">
        <f>('Enugu Workings'!Z61+'Jigawa Workings'!Z61+'Kaduna Workings'!Z61+'Kano Workings'!Z61+'Lagos Workings'!Z61)</f>
        <v>48</v>
      </c>
      <c r="AA61" s="38">
        <f>'Lagos Workings'!AA61*5</f>
        <v>100</v>
      </c>
      <c r="AB61" s="457">
        <f>AA61/22</f>
        <v>4.5454545454545459</v>
      </c>
      <c r="AD61" s="451">
        <f>V61</f>
        <v>47.000000000000007</v>
      </c>
      <c r="AE61" s="346"/>
      <c r="AF61" s="453">
        <f t="shared" ref="AF61:AG62" si="19">IF($AG$1=16,R61,IF($AG$1=17,S61,IF($AG$1=18,T61,IF($AG$1=19,U61,IF($AG$1=20,V61,IF($AG$1=21,W61,IF($AG$1=22,X61,0)))))))</f>
        <v>46.500000000000007</v>
      </c>
      <c r="AG61" s="453">
        <f t="shared" si="19"/>
        <v>48</v>
      </c>
      <c r="AI61" s="338"/>
    </row>
    <row r="62" spans="1:35" s="340" customFormat="1" ht="15.75" thickBot="1">
      <c r="A62" s="45"/>
      <c r="B62" s="46" t="s">
        <v>203</v>
      </c>
      <c r="C62" s="79">
        <f>('Enugu Workings'!C62+'Jigawa Workings'!C62+'Kaduna Workings'!C62+'Kano Workings'!C62+'Lagos Workings'!C62)</f>
        <v>2</v>
      </c>
      <c r="D62" s="441">
        <f>('Enugu Workings'!D62+'Jigawa Workings'!D62+'Kaduna Workings'!D62+'Kano Workings'!D62+'Lagos Workings'!D62)</f>
        <v>2</v>
      </c>
      <c r="E62" s="442">
        <f>('Enugu Workings'!E62+'Jigawa Workings'!E62+'Kaduna Workings'!E62+'Kano Workings'!E62+'Lagos Workings'!E62)</f>
        <v>2</v>
      </c>
      <c r="F62" s="442">
        <f>('Enugu Workings'!F62+'Jigawa Workings'!F62+'Kaduna Workings'!F62+'Kano Workings'!F62+'Lagos Workings'!F62)</f>
        <v>3</v>
      </c>
      <c r="G62" s="442">
        <f>('Enugu Workings'!G62+'Jigawa Workings'!G62+'Kaduna Workings'!G62+'Kano Workings'!G62+'Lagos Workings'!G62)</f>
        <v>3</v>
      </c>
      <c r="H62" s="442">
        <f>('Enugu Workings'!H62+'Jigawa Workings'!H62+'Kaduna Workings'!H62+'Kano Workings'!H62+'Lagos Workings'!H62)</f>
        <v>3</v>
      </c>
      <c r="I62" s="442">
        <f>('Enugu Workings'!I62+'Jigawa Workings'!I62+'Kaduna Workings'!I62+'Kano Workings'!I62+'Lagos Workings'!I62)</f>
        <v>11</v>
      </c>
      <c r="J62" s="442">
        <f>('Enugu Workings'!J62+'Jigawa Workings'!J62+'Kaduna Workings'!J62+'Kano Workings'!J62+'Lagos Workings'!J62)</f>
        <v>11</v>
      </c>
      <c r="K62" s="442">
        <f>('Enugu Workings'!K62+'Jigawa Workings'!K62+'Kaduna Workings'!K62+'Kano Workings'!K62+'Lagos Workings'!K62)</f>
        <v>11</v>
      </c>
      <c r="L62" s="442">
        <f>('Enugu Workings'!L62+'Jigawa Workings'!L62+'Kaduna Workings'!L62+'Kano Workings'!L62+'Lagos Workings'!L62)</f>
        <v>9</v>
      </c>
      <c r="M62" s="442">
        <f>('Enugu Workings'!M62+'Jigawa Workings'!M62+'Kaduna Workings'!M62+'Kano Workings'!M62+'Lagos Workings'!M62)</f>
        <v>14</v>
      </c>
      <c r="N62" s="443">
        <f>('Enugu Workings'!N62+'Jigawa Workings'!N62+'Kaduna Workings'!N62+'Kano Workings'!N62+'Lagos Workings'!N62)</f>
        <v>27</v>
      </c>
      <c r="O62" s="444">
        <f>('Enugu Workings'!O62+'Jigawa Workings'!O62+'Kaduna Workings'!O62+'Kano Workings'!O62+'Lagos Workings'!O62)</f>
        <v>30</v>
      </c>
      <c r="P62" s="444">
        <f>('Enugu Workings'!P62+'Jigawa Workings'!P62+'Kaduna Workings'!P62+'Kano Workings'!P62+'Lagos Workings'!P62)</f>
        <v>33</v>
      </c>
      <c r="Q62" s="444">
        <f>('Enugu Workings'!Q62+'Jigawa Workings'!Q62+'Kaduna Workings'!Q62+'Kano Workings'!Q62+'Lagos Workings'!Q62)</f>
        <v>43</v>
      </c>
      <c r="R62" s="442">
        <f>('Enugu Workings'!R62+'Jigawa Workings'!R62+'Kaduna Workings'!R62+'Kano Workings'!R62+'Lagos Workings'!R62)</f>
        <v>48</v>
      </c>
      <c r="S62" s="442">
        <f>('Enugu Workings'!S62+'Jigawa Workings'!S62+'Kaduna Workings'!S62+'Kano Workings'!S62+'Lagos Workings'!S62)</f>
        <v>52</v>
      </c>
      <c r="T62" s="442">
        <f>('Enugu Workings'!T62+'Jigawa Workings'!T62+'Kaduna Workings'!T62+'Kano Workings'!T62+'Lagos Workings'!T62)</f>
        <v>62</v>
      </c>
      <c r="U62" s="442">
        <f>('Enugu Workings'!U62+'Jigawa Workings'!U62+'Kaduna Workings'!U62+'Kano Workings'!U62+'Lagos Workings'!U62)</f>
        <v>70</v>
      </c>
      <c r="V62" s="445">
        <f>('Enugu Workings'!V62+'Jigawa Workings'!V62+'Kaduna Workings'!V62+'Kano Workings'!V62+'Lagos Workings'!V62)</f>
        <v>44</v>
      </c>
      <c r="W62" s="72">
        <f>('Enugu Workings'!W62+'Jigawa Workings'!W62+'Kaduna Workings'!W62+'Kano Workings'!W62+'Lagos Workings'!W62)</f>
        <v>50</v>
      </c>
      <c r="X62" s="70">
        <f>('Enugu Workings'!X62+'Jigawa Workings'!X62+'Kaduna Workings'!X62+'Kano Workings'!X62+'Lagos Workings'!X62)</f>
        <v>61</v>
      </c>
      <c r="Y62" s="70">
        <f>('Enugu Workings'!Y62+'Jigawa Workings'!Y62+'Kaduna Workings'!Y62+'Kano Workings'!Y62+'Lagos Workings'!Y62)</f>
        <v>0</v>
      </c>
      <c r="Z62" s="70">
        <f>('Enugu Workings'!Z62+'Jigawa Workings'!Z62+'Kaduna Workings'!Z62+'Kano Workings'!Z62+'Lagos Workings'!Z62)</f>
        <v>0</v>
      </c>
      <c r="AA62" s="49"/>
      <c r="AB62" s="421"/>
      <c r="AD62" s="452">
        <f>V62</f>
        <v>44</v>
      </c>
      <c r="AE62" s="346"/>
      <c r="AF62" s="452">
        <f t="shared" si="19"/>
        <v>50</v>
      </c>
      <c r="AG62" s="452">
        <f t="shared" si="19"/>
        <v>61</v>
      </c>
      <c r="AH62" s="342">
        <f>AG62</f>
        <v>61</v>
      </c>
      <c r="AI62" s="342">
        <f>AG62</f>
        <v>61</v>
      </c>
    </row>
    <row r="63" spans="1:35" s="340" customFormat="1">
      <c r="A63" s="45"/>
      <c r="B63" s="46"/>
      <c r="C63" s="53"/>
      <c r="D63" s="427"/>
      <c r="E63" s="427"/>
      <c r="F63" s="427"/>
      <c r="G63" s="75"/>
      <c r="H63" s="75"/>
      <c r="I63" s="75"/>
      <c r="J63" s="75"/>
      <c r="K63" s="75"/>
      <c r="L63" s="53"/>
      <c r="M63" s="53"/>
      <c r="N63" s="53"/>
      <c r="O63" s="53"/>
      <c r="P63" s="53"/>
      <c r="Q63" s="53"/>
      <c r="R63" s="53"/>
      <c r="S63" s="53"/>
      <c r="T63" s="53"/>
      <c r="U63" s="53"/>
      <c r="V63" s="53"/>
      <c r="W63" s="53"/>
      <c r="X63" s="53"/>
      <c r="Y63" s="53"/>
      <c r="Z63" s="53"/>
      <c r="AA63" s="49"/>
      <c r="AB63" s="421"/>
      <c r="AD63" s="345"/>
      <c r="AE63" s="346"/>
      <c r="AF63" s="345"/>
      <c r="AG63" s="345"/>
      <c r="AH63" s="335"/>
      <c r="AI63" s="338"/>
    </row>
    <row r="64" spans="1:35" ht="15.75" thickBot="1">
      <c r="A64" s="41" t="s">
        <v>167</v>
      </c>
      <c r="B64" s="42" t="s">
        <v>213</v>
      </c>
      <c r="C64" s="43">
        <f>('Enugu Workings'!C64+'Jigawa Workings'!C64+'Kaduna Workings'!C64+'Kano Workings'!C64+'Lagos Workings'!C64)</f>
        <v>0</v>
      </c>
      <c r="D64" s="73">
        <f>('Enugu Workings'!D64+'Jigawa Workings'!D64+'Kaduna Workings'!D64+'Kano Workings'!D64+'Lagos Workings'!D64)</f>
        <v>2.1666666666666665</v>
      </c>
      <c r="E64" s="73">
        <f>('Enugu Workings'!E64+'Jigawa Workings'!E64+'Kaduna Workings'!E64+'Kano Workings'!E64+'Lagos Workings'!E64)</f>
        <v>4.333333333333333</v>
      </c>
      <c r="F64" s="73">
        <f>('Enugu Workings'!F64+'Jigawa Workings'!F64+'Kaduna Workings'!F64+'Kano Workings'!F64+'Lagos Workings'!F64)</f>
        <v>6.5</v>
      </c>
      <c r="G64" s="73">
        <f>('Enugu Workings'!G64+'Jigawa Workings'!G64+'Kaduna Workings'!G64+'Kano Workings'!G64+'Lagos Workings'!G64)</f>
        <v>8.6666666666666661</v>
      </c>
      <c r="H64" s="73">
        <f>('Enugu Workings'!H64+'Jigawa Workings'!H64+'Kaduna Workings'!H64+'Kano Workings'!H64+'Lagos Workings'!H64)</f>
        <v>10.833333333333332</v>
      </c>
      <c r="I64" s="74">
        <f>('Enugu Workings'!I64+'Jigawa Workings'!I64+'Kaduna Workings'!I64+'Kano Workings'!I64+'Lagos Workings'!I64)</f>
        <v>13</v>
      </c>
      <c r="J64" s="73">
        <f>('Enugu Workings'!J64+'Jigawa Workings'!J64+'Kaduna Workings'!J64+'Kano Workings'!J64+'Lagos Workings'!J64)</f>
        <v>14.666666666666668</v>
      </c>
      <c r="K64" s="73">
        <f>('Enugu Workings'!K64+'Jigawa Workings'!K64+'Kaduna Workings'!K64+'Kano Workings'!K64+'Lagos Workings'!K64)</f>
        <v>16.333333333333336</v>
      </c>
      <c r="L64" s="51">
        <f>('Enugu Workings'!L64+'Jigawa Workings'!L64+'Kaduna Workings'!L64+'Kano Workings'!L64+'Lagos Workings'!L64)</f>
        <v>18</v>
      </c>
      <c r="M64" s="51">
        <f>('Enugu Workings'!M64+'Jigawa Workings'!M64+'Kaduna Workings'!M64+'Kano Workings'!M64+'Lagos Workings'!M64)</f>
        <v>19.666666666666671</v>
      </c>
      <c r="N64" s="50">
        <f>('Enugu Workings'!N64+'Jigawa Workings'!N64+'Kaduna Workings'!N64+'Kano Workings'!N64+'Lagos Workings'!N64)</f>
        <v>23</v>
      </c>
      <c r="O64" s="51">
        <f>('Enugu Workings'!O64+'Jigawa Workings'!O64+'Kaduna Workings'!O64+'Kano Workings'!O64+'Lagos Workings'!O64)</f>
        <v>24.25</v>
      </c>
      <c r="P64" s="51">
        <f>('Enugu Workings'!P64+'Jigawa Workings'!P64+'Kaduna Workings'!P64+'Kano Workings'!P64+'Lagos Workings'!P64)</f>
        <v>25.5</v>
      </c>
      <c r="Q64" s="51">
        <f>('Enugu Workings'!Q64+'Jigawa Workings'!Q64+'Kaduna Workings'!Q64+'Kano Workings'!Q64+'Lagos Workings'!Q64)</f>
        <v>26.75</v>
      </c>
      <c r="R64" s="50">
        <f>('Enugu Workings'!R64+'Jigawa Workings'!R64+'Kaduna Workings'!R64+'Kano Workings'!R64+'Lagos Workings'!R64)</f>
        <v>28</v>
      </c>
      <c r="S64" s="51">
        <f>('Enugu Workings'!S64+'Jigawa Workings'!S64+'Kaduna Workings'!S64+'Kano Workings'!S64+'Lagos Workings'!S64)</f>
        <v>29.833333333333332</v>
      </c>
      <c r="T64" s="51">
        <f>('Enugu Workings'!T64+'Jigawa Workings'!T64+'Kaduna Workings'!T64+'Kano Workings'!T64+'Lagos Workings'!T64)</f>
        <v>31.666666666666664</v>
      </c>
      <c r="U64" s="51">
        <f>('Enugu Workings'!U64+'Jigawa Workings'!U64+'Kaduna Workings'!U64+'Kano Workings'!U64+'Lagos Workings'!U64)</f>
        <v>33.499999999999993</v>
      </c>
      <c r="V64" s="51">
        <f>('Enugu Workings'!V64+'Jigawa Workings'!V64+'Kaduna Workings'!V64+'Kano Workings'!V64+'Lagos Workings'!V64)</f>
        <v>35.333333333333329</v>
      </c>
      <c r="W64" s="51">
        <f>('Enugu Workings'!W64+'Jigawa Workings'!W64+'Kaduna Workings'!W64+'Kano Workings'!W64+'Lagos Workings'!W64)</f>
        <v>38.833333333333329</v>
      </c>
      <c r="X64" s="51">
        <f>('Enugu Workings'!X64+'Jigawa Workings'!X64+'Kaduna Workings'!X64+'Kano Workings'!X64+'Lagos Workings'!X64)</f>
        <v>40.999999999999993</v>
      </c>
      <c r="Y64" s="50">
        <f>('Enugu Workings'!Y64+'Jigawa Workings'!Y64+'Kaduna Workings'!Y64+'Kano Workings'!Y64+'Lagos Workings'!Y64)</f>
        <v>41</v>
      </c>
      <c r="Z64" s="51">
        <f>('Enugu Workings'!Z64+'Jigawa Workings'!Z64+'Kaduna Workings'!Z64+'Kano Workings'!Z64+'Lagos Workings'!Z64)</f>
        <v>41</v>
      </c>
      <c r="AA64" s="38">
        <f>'Lagos Workings'!AA64*5</f>
        <v>100</v>
      </c>
      <c r="AB64" s="457">
        <f>AA64/22</f>
        <v>4.5454545454545459</v>
      </c>
      <c r="AD64" s="451">
        <f>V64</f>
        <v>35.333333333333329</v>
      </c>
      <c r="AE64" s="346"/>
      <c r="AF64" s="453">
        <f t="shared" ref="AF64:AG65" si="20">IF($AG$1=16,R64,IF($AG$1=17,S64,IF($AG$1=18,T64,IF($AG$1=19,U64,IF($AG$1=20,V64,IF($AG$1=21,W64,IF($AG$1=22,X64,0)))))))</f>
        <v>38.833333333333329</v>
      </c>
      <c r="AG64" s="453">
        <f t="shared" si="20"/>
        <v>40.999999999999993</v>
      </c>
      <c r="AI64" s="338"/>
    </row>
    <row r="65" spans="1:35" s="340" customFormat="1" ht="15.75" thickBot="1">
      <c r="A65" s="45"/>
      <c r="B65" s="46" t="s">
        <v>212</v>
      </c>
      <c r="C65" s="79">
        <f>('Enugu Workings'!C65+'Jigawa Workings'!C65+'Kaduna Workings'!C65+'Kano Workings'!C65+'Lagos Workings'!C65)</f>
        <v>0</v>
      </c>
      <c r="D65" s="441">
        <f>('Enugu Workings'!D65+'Jigawa Workings'!D65+'Kaduna Workings'!D65+'Kano Workings'!D65+'Lagos Workings'!D65)</f>
        <v>0</v>
      </c>
      <c r="E65" s="442">
        <f>('Enugu Workings'!E65+'Jigawa Workings'!E65+'Kaduna Workings'!E65+'Kano Workings'!E65+'Lagos Workings'!E65)</f>
        <v>1</v>
      </c>
      <c r="F65" s="442">
        <f>('Enugu Workings'!F65+'Jigawa Workings'!F65+'Kaduna Workings'!F65+'Kano Workings'!F65+'Lagos Workings'!F65)</f>
        <v>1</v>
      </c>
      <c r="G65" s="442">
        <f>('Enugu Workings'!G65+'Jigawa Workings'!G65+'Kaduna Workings'!G65+'Kano Workings'!G65+'Lagos Workings'!G65)</f>
        <v>1</v>
      </c>
      <c r="H65" s="442">
        <f>('Enugu Workings'!H65+'Jigawa Workings'!H65+'Kaduna Workings'!H65+'Kano Workings'!H65+'Lagos Workings'!H65)</f>
        <v>2</v>
      </c>
      <c r="I65" s="442">
        <f>('Enugu Workings'!I65+'Jigawa Workings'!I65+'Kaduna Workings'!I65+'Kano Workings'!I65+'Lagos Workings'!I65)</f>
        <v>7</v>
      </c>
      <c r="J65" s="442">
        <f>('Enugu Workings'!J65+'Jigawa Workings'!J65+'Kaduna Workings'!J65+'Kano Workings'!J65+'Lagos Workings'!J65)</f>
        <v>8</v>
      </c>
      <c r="K65" s="442">
        <f>('Enugu Workings'!K65+'Jigawa Workings'!K65+'Kaduna Workings'!K65+'Kano Workings'!K65+'Lagos Workings'!K65)</f>
        <v>10</v>
      </c>
      <c r="L65" s="442">
        <f>('Enugu Workings'!L65+'Jigawa Workings'!L65+'Kaduna Workings'!L65+'Kano Workings'!L65+'Lagos Workings'!L65)</f>
        <v>8</v>
      </c>
      <c r="M65" s="442">
        <f>('Enugu Workings'!M65+'Jigawa Workings'!M65+'Kaduna Workings'!M65+'Kano Workings'!M65+'Lagos Workings'!M65)</f>
        <v>12</v>
      </c>
      <c r="N65" s="443">
        <f>('Enugu Workings'!N65+'Jigawa Workings'!N65+'Kaduna Workings'!N65+'Kano Workings'!N65+'Lagos Workings'!N65)</f>
        <v>22</v>
      </c>
      <c r="O65" s="444">
        <f>('Enugu Workings'!O65+'Jigawa Workings'!O65+'Kaduna Workings'!O65+'Kano Workings'!O65+'Lagos Workings'!O65)</f>
        <v>26</v>
      </c>
      <c r="P65" s="444">
        <f>('Enugu Workings'!P65+'Jigawa Workings'!P65+'Kaduna Workings'!P65+'Kano Workings'!P65+'Lagos Workings'!P65)</f>
        <v>40</v>
      </c>
      <c r="Q65" s="444">
        <f>('Enugu Workings'!Q65+'Jigawa Workings'!Q65+'Kaduna Workings'!Q65+'Kano Workings'!Q65+'Lagos Workings'!Q65)</f>
        <v>35</v>
      </c>
      <c r="R65" s="442">
        <f>('Enugu Workings'!R65+'Jigawa Workings'!R65+'Kaduna Workings'!R65+'Kano Workings'!R65+'Lagos Workings'!R65)</f>
        <v>42</v>
      </c>
      <c r="S65" s="442">
        <f>('Enugu Workings'!S65+'Jigawa Workings'!S65+'Kaduna Workings'!S65+'Kano Workings'!S65+'Lagos Workings'!S65)</f>
        <v>48</v>
      </c>
      <c r="T65" s="442">
        <f>('Enugu Workings'!T65+'Jigawa Workings'!T65+'Kaduna Workings'!T65+'Kano Workings'!T65+'Lagos Workings'!T65)</f>
        <v>54</v>
      </c>
      <c r="U65" s="442">
        <f>('Enugu Workings'!U65+'Jigawa Workings'!U65+'Kaduna Workings'!U65+'Kano Workings'!U65+'Lagos Workings'!U65)</f>
        <v>61</v>
      </c>
      <c r="V65" s="445">
        <f>('Enugu Workings'!V65+'Jigawa Workings'!V65+'Kaduna Workings'!V65+'Kano Workings'!V65+'Lagos Workings'!V65)</f>
        <v>42</v>
      </c>
      <c r="W65" s="72">
        <f>('Enugu Workings'!W65+'Jigawa Workings'!W65+'Kaduna Workings'!W65+'Kano Workings'!W65+'Lagos Workings'!W65)</f>
        <v>49</v>
      </c>
      <c r="X65" s="70">
        <f>('Enugu Workings'!X65+'Jigawa Workings'!X65+'Kaduna Workings'!X65+'Kano Workings'!X65+'Lagos Workings'!X65)</f>
        <v>58</v>
      </c>
      <c r="Y65" s="70">
        <f>('Enugu Workings'!Y65+'Jigawa Workings'!Y65+'Kaduna Workings'!Y65+'Kano Workings'!Y65+'Lagos Workings'!Y65)</f>
        <v>0</v>
      </c>
      <c r="Z65" s="70">
        <f>('Enugu Workings'!Z65+'Jigawa Workings'!Z65+'Kaduna Workings'!Z65+'Kano Workings'!Z65+'Lagos Workings'!Z65)</f>
        <v>0</v>
      </c>
      <c r="AA65" s="49"/>
      <c r="AB65" s="421"/>
      <c r="AD65" s="452">
        <f>V65</f>
        <v>42</v>
      </c>
      <c r="AE65" s="346"/>
      <c r="AF65" s="452">
        <f t="shared" si="20"/>
        <v>49</v>
      </c>
      <c r="AG65" s="452">
        <f t="shared" si="20"/>
        <v>58</v>
      </c>
      <c r="AH65" s="342">
        <f>AG65</f>
        <v>58</v>
      </c>
      <c r="AI65" s="342">
        <f>AG65</f>
        <v>58</v>
      </c>
    </row>
    <row r="66" spans="1:35" s="340" customFormat="1">
      <c r="A66" s="45"/>
      <c r="B66" s="46"/>
      <c r="C66" s="53"/>
      <c r="D66" s="427"/>
      <c r="E66" s="427"/>
      <c r="F66" s="427"/>
      <c r="G66" s="75"/>
      <c r="H66" s="75"/>
      <c r="I66" s="75"/>
      <c r="J66" s="75"/>
      <c r="K66" s="75"/>
      <c r="L66" s="53"/>
      <c r="M66" s="53"/>
      <c r="N66" s="53"/>
      <c r="O66" s="53"/>
      <c r="P66" s="53"/>
      <c r="Q66" s="53"/>
      <c r="R66" s="53"/>
      <c r="S66" s="53"/>
      <c r="T66" s="53"/>
      <c r="U66" s="53"/>
      <c r="V66" s="53"/>
      <c r="W66" s="53"/>
      <c r="X66" s="53"/>
      <c r="Y66" s="53"/>
      <c r="Z66" s="53"/>
      <c r="AA66" s="49"/>
      <c r="AB66" s="421"/>
      <c r="AD66" s="345"/>
      <c r="AE66" s="346"/>
      <c r="AF66" s="345"/>
      <c r="AG66" s="345"/>
      <c r="AH66" s="335"/>
      <c r="AI66" s="338"/>
    </row>
    <row r="67" spans="1:35" ht="15.75" thickBot="1">
      <c r="A67" s="41" t="s">
        <v>168</v>
      </c>
      <c r="B67" s="42" t="s">
        <v>211</v>
      </c>
      <c r="C67" s="43">
        <f>('Enugu Workings'!C67+'Jigawa Workings'!C67+'Kaduna Workings'!C67+'Kano Workings'!C67+'Lagos Workings'!C67)</f>
        <v>0</v>
      </c>
      <c r="D67" s="73">
        <f>('Enugu Workings'!D67+'Jigawa Workings'!D67+'Kaduna Workings'!D67+'Kano Workings'!D67+'Lagos Workings'!D67)</f>
        <v>1.1666666666666667</v>
      </c>
      <c r="E67" s="73">
        <f>('Enugu Workings'!E67+'Jigawa Workings'!E67+'Kaduna Workings'!E67+'Kano Workings'!E67+'Lagos Workings'!E67)</f>
        <v>2.3333333333333335</v>
      </c>
      <c r="F67" s="73">
        <f>('Enugu Workings'!F67+'Jigawa Workings'!F67+'Kaduna Workings'!F67+'Kano Workings'!F67+'Lagos Workings'!F67)</f>
        <v>3.5</v>
      </c>
      <c r="G67" s="73">
        <f>('Enugu Workings'!G67+'Jigawa Workings'!G67+'Kaduna Workings'!G67+'Kano Workings'!G67+'Lagos Workings'!G67)</f>
        <v>4.666666666666667</v>
      </c>
      <c r="H67" s="73">
        <f>('Enugu Workings'!H67+'Jigawa Workings'!H67+'Kaduna Workings'!H67+'Kano Workings'!H67+'Lagos Workings'!H67)</f>
        <v>5.833333333333333</v>
      </c>
      <c r="I67" s="74">
        <f>('Enugu Workings'!I67+'Jigawa Workings'!I67+'Kaduna Workings'!I67+'Kano Workings'!I67+'Lagos Workings'!I67)</f>
        <v>7</v>
      </c>
      <c r="J67" s="73">
        <f>('Enugu Workings'!J67+'Jigawa Workings'!J67+'Kaduna Workings'!J67+'Kano Workings'!J67+'Lagos Workings'!J67)</f>
        <v>8.6666666666666679</v>
      </c>
      <c r="K67" s="73">
        <f>('Enugu Workings'!K67+'Jigawa Workings'!K67+'Kaduna Workings'!K67+'Kano Workings'!K67+'Lagos Workings'!K67)</f>
        <v>10.333333333333334</v>
      </c>
      <c r="L67" s="51">
        <f>('Enugu Workings'!L67+'Jigawa Workings'!L67+'Kaduna Workings'!L67+'Kano Workings'!L67+'Lagos Workings'!L67)</f>
        <v>12</v>
      </c>
      <c r="M67" s="51">
        <f>('Enugu Workings'!M67+'Jigawa Workings'!M67+'Kaduna Workings'!M67+'Kano Workings'!M67+'Lagos Workings'!M67)</f>
        <v>13.666666666666668</v>
      </c>
      <c r="N67" s="50">
        <f>('Enugu Workings'!N67+'Jigawa Workings'!N67+'Kaduna Workings'!N67+'Kano Workings'!N67+'Lagos Workings'!N67)</f>
        <v>17</v>
      </c>
      <c r="O67" s="51">
        <f>('Enugu Workings'!O67+'Jigawa Workings'!O67+'Kaduna Workings'!O67+'Kano Workings'!O67+'Lagos Workings'!O67)</f>
        <v>18.5</v>
      </c>
      <c r="P67" s="51">
        <f>('Enugu Workings'!P67+'Jigawa Workings'!P67+'Kaduna Workings'!P67+'Kano Workings'!P67+'Lagos Workings'!P67)</f>
        <v>20</v>
      </c>
      <c r="Q67" s="51">
        <f>('Enugu Workings'!Q67+'Jigawa Workings'!Q67+'Kaduna Workings'!Q67+'Kano Workings'!Q67+'Lagos Workings'!Q67)</f>
        <v>21.5</v>
      </c>
      <c r="R67" s="50">
        <f>('Enugu Workings'!R67+'Jigawa Workings'!R67+'Kaduna Workings'!R67+'Kano Workings'!R67+'Lagos Workings'!R67)</f>
        <v>23</v>
      </c>
      <c r="S67" s="51">
        <f>('Enugu Workings'!S67+'Jigawa Workings'!S67+'Kaduna Workings'!S67+'Kano Workings'!S67+'Lagos Workings'!S67)</f>
        <v>24.666666666666668</v>
      </c>
      <c r="T67" s="51">
        <f>('Enugu Workings'!T67+'Jigawa Workings'!T67+'Kaduna Workings'!T67+'Kano Workings'!T67+'Lagos Workings'!T67)</f>
        <v>26.333333333333336</v>
      </c>
      <c r="U67" s="51">
        <f>('Enugu Workings'!U67+'Jigawa Workings'!U67+'Kaduna Workings'!U67+'Kano Workings'!U67+'Lagos Workings'!U67)</f>
        <v>27.999999999999996</v>
      </c>
      <c r="V67" s="51">
        <f>('Enugu Workings'!V67+'Jigawa Workings'!V67+'Kaduna Workings'!V67+'Kano Workings'!V67+'Lagos Workings'!V67)</f>
        <v>29.666666666666664</v>
      </c>
      <c r="W67" s="51">
        <f>('Enugu Workings'!W67+'Jigawa Workings'!W67+'Kaduna Workings'!W67+'Kano Workings'!W67+'Lagos Workings'!W67)</f>
        <v>30.5</v>
      </c>
      <c r="X67" s="51">
        <f>('Enugu Workings'!X67+'Jigawa Workings'!X67+'Kaduna Workings'!X67+'Kano Workings'!X67+'Lagos Workings'!X67)</f>
        <v>32</v>
      </c>
      <c r="Y67" s="50">
        <f>('Enugu Workings'!Y67+'Jigawa Workings'!Y67+'Kaduna Workings'!Y67+'Kano Workings'!Y67+'Lagos Workings'!Y67)</f>
        <v>32</v>
      </c>
      <c r="Z67" s="51">
        <f>('Enugu Workings'!Z67+'Jigawa Workings'!Z67+'Kaduna Workings'!Z67+'Kano Workings'!Z67+'Lagos Workings'!Z67)</f>
        <v>32</v>
      </c>
      <c r="AA67" s="38">
        <f>'Lagos Workings'!AA67*5</f>
        <v>100</v>
      </c>
      <c r="AB67" s="457">
        <f>AA67/22</f>
        <v>4.5454545454545459</v>
      </c>
      <c r="AD67" s="451">
        <f>V67</f>
        <v>29.666666666666664</v>
      </c>
      <c r="AE67" s="346"/>
      <c r="AF67" s="453">
        <f t="shared" ref="AF67:AG68" si="21">IF($AG$1=16,R67,IF($AG$1=17,S67,IF($AG$1=18,T67,IF($AG$1=19,U67,IF($AG$1=20,V67,IF($AG$1=21,W67,IF($AG$1=22,X67,0)))))))</f>
        <v>30.5</v>
      </c>
      <c r="AG67" s="453">
        <f t="shared" si="21"/>
        <v>32</v>
      </c>
      <c r="AI67" s="338"/>
    </row>
    <row r="68" spans="1:35" s="340" customFormat="1" ht="15.75" thickBot="1">
      <c r="A68" s="45"/>
      <c r="B68" s="46" t="s">
        <v>210</v>
      </c>
      <c r="C68" s="79">
        <f>('Enugu Workings'!C68+'Jigawa Workings'!C68+'Kaduna Workings'!C68+'Kano Workings'!C68+'Lagos Workings'!C68)</f>
        <v>0</v>
      </c>
      <c r="D68" s="441">
        <f>('Enugu Workings'!D68+'Jigawa Workings'!D68+'Kaduna Workings'!D68+'Kano Workings'!D68+'Lagos Workings'!D68)</f>
        <v>0</v>
      </c>
      <c r="E68" s="442">
        <f>('Enugu Workings'!E68+'Jigawa Workings'!E68+'Kaduna Workings'!E68+'Kano Workings'!E68+'Lagos Workings'!E68)</f>
        <v>0</v>
      </c>
      <c r="F68" s="442">
        <f>('Enugu Workings'!F68+'Jigawa Workings'!F68+'Kaduna Workings'!F68+'Kano Workings'!F68+'Lagos Workings'!F68)</f>
        <v>1</v>
      </c>
      <c r="G68" s="442">
        <f>('Enugu Workings'!G68+'Jigawa Workings'!G68+'Kaduna Workings'!G68+'Kano Workings'!G68+'Lagos Workings'!G68)</f>
        <v>1</v>
      </c>
      <c r="H68" s="442">
        <f>('Enugu Workings'!H68+'Jigawa Workings'!H68+'Kaduna Workings'!H68+'Kano Workings'!H68+'Lagos Workings'!H68)</f>
        <v>1</v>
      </c>
      <c r="I68" s="442">
        <f>('Enugu Workings'!I68+'Jigawa Workings'!I68+'Kaduna Workings'!I68+'Kano Workings'!I68+'Lagos Workings'!I68)</f>
        <v>6</v>
      </c>
      <c r="J68" s="442">
        <f>('Enugu Workings'!J68+'Jigawa Workings'!J68+'Kaduna Workings'!J68+'Kano Workings'!J68+'Lagos Workings'!J68)</f>
        <v>6</v>
      </c>
      <c r="K68" s="442">
        <f>('Enugu Workings'!K68+'Jigawa Workings'!K68+'Kaduna Workings'!K68+'Kano Workings'!K68+'Lagos Workings'!K68)</f>
        <v>8</v>
      </c>
      <c r="L68" s="442">
        <f>('Enugu Workings'!L68+'Jigawa Workings'!L68+'Kaduna Workings'!L68+'Kano Workings'!L68+'Lagos Workings'!L68)</f>
        <v>6</v>
      </c>
      <c r="M68" s="442">
        <f>('Enugu Workings'!M68+'Jigawa Workings'!M68+'Kaduna Workings'!M68+'Kano Workings'!M68+'Lagos Workings'!M68)</f>
        <v>8</v>
      </c>
      <c r="N68" s="443">
        <f>('Enugu Workings'!N68+'Jigawa Workings'!N68+'Kaduna Workings'!N68+'Kano Workings'!N68+'Lagos Workings'!N68)</f>
        <v>16</v>
      </c>
      <c r="O68" s="444">
        <f>('Enugu Workings'!O68+'Jigawa Workings'!O68+'Kaduna Workings'!O68+'Kano Workings'!O68+'Lagos Workings'!O68)</f>
        <v>20</v>
      </c>
      <c r="P68" s="444">
        <f>('Enugu Workings'!P68+'Jigawa Workings'!P68+'Kaduna Workings'!P68+'Kano Workings'!P68+'Lagos Workings'!P68)</f>
        <v>28</v>
      </c>
      <c r="Q68" s="444">
        <f>('Enugu Workings'!Q68+'Jigawa Workings'!Q68+'Kaduna Workings'!Q68+'Kano Workings'!Q68+'Lagos Workings'!Q68)</f>
        <v>35</v>
      </c>
      <c r="R68" s="442">
        <f>('Enugu Workings'!R68+'Jigawa Workings'!R68+'Kaduna Workings'!R68+'Kano Workings'!R68+'Lagos Workings'!R68)</f>
        <v>33</v>
      </c>
      <c r="S68" s="442">
        <f>('Enugu Workings'!S68+'Jigawa Workings'!S68+'Kaduna Workings'!S68+'Kano Workings'!S68+'Lagos Workings'!S68)</f>
        <v>35</v>
      </c>
      <c r="T68" s="442">
        <f>('Enugu Workings'!T68+'Jigawa Workings'!T68+'Kaduna Workings'!T68+'Kano Workings'!T68+'Lagos Workings'!T68)</f>
        <v>41</v>
      </c>
      <c r="U68" s="442">
        <f>('Enugu Workings'!U68+'Jigawa Workings'!U68+'Kaduna Workings'!U68+'Kano Workings'!U68+'Lagos Workings'!U68)</f>
        <v>50</v>
      </c>
      <c r="V68" s="445">
        <f>('Enugu Workings'!V68+'Jigawa Workings'!V68+'Kaduna Workings'!V68+'Kano Workings'!V68+'Lagos Workings'!V68)</f>
        <v>34</v>
      </c>
      <c r="W68" s="72">
        <f>('Enugu Workings'!W68+'Jigawa Workings'!W68+'Kaduna Workings'!W68+'Kano Workings'!W68+'Lagos Workings'!W68)</f>
        <v>34</v>
      </c>
      <c r="X68" s="70">
        <f>('Enugu Workings'!X68+'Jigawa Workings'!X68+'Kaduna Workings'!X68+'Kano Workings'!X68+'Lagos Workings'!X68)</f>
        <v>41</v>
      </c>
      <c r="Y68" s="70">
        <f>('Enugu Workings'!Y68+'Jigawa Workings'!Y68+'Kaduna Workings'!Y68+'Kano Workings'!Y68+'Lagos Workings'!Y68)</f>
        <v>0</v>
      </c>
      <c r="Z68" s="70">
        <f>('Enugu Workings'!Z68+'Jigawa Workings'!Z68+'Kaduna Workings'!Z68+'Kano Workings'!Z68+'Lagos Workings'!Z68)</f>
        <v>0</v>
      </c>
      <c r="AA68" s="49"/>
      <c r="AB68" s="421"/>
      <c r="AD68" s="452">
        <f>V68</f>
        <v>34</v>
      </c>
      <c r="AE68" s="346"/>
      <c r="AF68" s="452">
        <f t="shared" si="21"/>
        <v>34</v>
      </c>
      <c r="AG68" s="452">
        <f t="shared" si="21"/>
        <v>41</v>
      </c>
      <c r="AH68" s="342">
        <f>AG68</f>
        <v>41</v>
      </c>
      <c r="AI68" s="342">
        <f>AG68</f>
        <v>41</v>
      </c>
    </row>
    <row r="69" spans="1:35" s="340" customFormat="1">
      <c r="A69" s="45"/>
      <c r="B69" s="46"/>
      <c r="C69" s="53"/>
      <c r="D69" s="427"/>
      <c r="E69" s="427"/>
      <c r="F69" s="427"/>
      <c r="G69" s="75"/>
      <c r="H69" s="75"/>
      <c r="I69" s="75"/>
      <c r="J69" s="75"/>
      <c r="K69" s="75"/>
      <c r="L69" s="53"/>
      <c r="M69" s="53"/>
      <c r="N69" s="53"/>
      <c r="O69" s="53"/>
      <c r="P69" s="53"/>
      <c r="Q69" s="53"/>
      <c r="R69" s="53"/>
      <c r="S69" s="53"/>
      <c r="T69" s="53"/>
      <c r="U69" s="53"/>
      <c r="V69" s="53"/>
      <c r="W69" s="53"/>
      <c r="X69" s="53"/>
      <c r="Y69" s="53"/>
      <c r="Z69" s="53"/>
      <c r="AA69" s="49"/>
      <c r="AB69" s="421"/>
      <c r="AD69" s="345"/>
      <c r="AE69" s="346"/>
      <c r="AF69" s="345"/>
      <c r="AG69" s="345"/>
      <c r="AH69" s="335"/>
      <c r="AI69" s="338"/>
    </row>
    <row r="70" spans="1:35" ht="15.75" thickBot="1">
      <c r="A70" s="41" t="s">
        <v>169</v>
      </c>
      <c r="B70" s="42" t="s">
        <v>209</v>
      </c>
      <c r="C70" s="43">
        <f>('Enugu Workings'!C70+'Jigawa Workings'!C70+'Kaduna Workings'!C70+'Kano Workings'!C70+'Lagos Workings'!C70)</f>
        <v>0</v>
      </c>
      <c r="D70" s="73">
        <f>('Enugu Workings'!D70+'Jigawa Workings'!D70+'Kaduna Workings'!D70+'Kano Workings'!D70+'Lagos Workings'!D70)</f>
        <v>0.5</v>
      </c>
      <c r="E70" s="73">
        <f>('Enugu Workings'!E70+'Jigawa Workings'!E70+'Kaduna Workings'!E70+'Kano Workings'!E70+'Lagos Workings'!E70)</f>
        <v>1</v>
      </c>
      <c r="F70" s="73">
        <f>('Enugu Workings'!F70+'Jigawa Workings'!F70+'Kaduna Workings'!F70+'Kano Workings'!F70+'Lagos Workings'!F70)</f>
        <v>1.5</v>
      </c>
      <c r="G70" s="73">
        <f>('Enugu Workings'!G70+'Jigawa Workings'!G70+'Kaduna Workings'!G70+'Kano Workings'!G70+'Lagos Workings'!G70)</f>
        <v>2</v>
      </c>
      <c r="H70" s="73">
        <f>('Enugu Workings'!H70+'Jigawa Workings'!H70+'Kaduna Workings'!H70+'Kano Workings'!H70+'Lagos Workings'!H70)</f>
        <v>2.5</v>
      </c>
      <c r="I70" s="74">
        <f>('Enugu Workings'!I70+'Jigawa Workings'!I70+'Kaduna Workings'!I70+'Kano Workings'!I70+'Lagos Workings'!I70)</f>
        <v>3</v>
      </c>
      <c r="J70" s="73">
        <f>('Enugu Workings'!J70+'Jigawa Workings'!J70+'Kaduna Workings'!J70+'Kano Workings'!J70+'Lagos Workings'!J70)</f>
        <v>3.833333333333333</v>
      </c>
      <c r="K70" s="73">
        <f>('Enugu Workings'!K70+'Jigawa Workings'!K70+'Kaduna Workings'!K70+'Kano Workings'!K70+'Lagos Workings'!K70)</f>
        <v>4.6666666666666661</v>
      </c>
      <c r="L70" s="51">
        <f>('Enugu Workings'!L70+'Jigawa Workings'!L70+'Kaduna Workings'!L70+'Kano Workings'!L70+'Lagos Workings'!L70)</f>
        <v>5.5</v>
      </c>
      <c r="M70" s="51">
        <f>('Enugu Workings'!M70+'Jigawa Workings'!M70+'Kaduna Workings'!M70+'Kano Workings'!M70+'Lagos Workings'!M70)</f>
        <v>6.333333333333333</v>
      </c>
      <c r="N70" s="50">
        <f>('Enugu Workings'!N70+'Jigawa Workings'!N70+'Kaduna Workings'!N70+'Kano Workings'!N70+'Lagos Workings'!N70)</f>
        <v>8</v>
      </c>
      <c r="O70" s="51">
        <f>('Enugu Workings'!O70+'Jigawa Workings'!O70+'Kaduna Workings'!O70+'Kano Workings'!O70+'Lagos Workings'!O70)</f>
        <v>9.5</v>
      </c>
      <c r="P70" s="51">
        <f>('Enugu Workings'!P70+'Jigawa Workings'!P70+'Kaduna Workings'!P70+'Kano Workings'!P70+'Lagos Workings'!P70)</f>
        <v>11</v>
      </c>
      <c r="Q70" s="51">
        <f>('Enugu Workings'!Q70+'Jigawa Workings'!Q70+'Kaduna Workings'!Q70+'Kano Workings'!Q70+'Lagos Workings'!Q70)</f>
        <v>12.5</v>
      </c>
      <c r="R70" s="50">
        <f>('Enugu Workings'!R70+'Jigawa Workings'!R70+'Kaduna Workings'!R70+'Kano Workings'!R70+'Lagos Workings'!R70)</f>
        <v>14</v>
      </c>
      <c r="S70" s="51">
        <f>('Enugu Workings'!S70+'Jigawa Workings'!S70+'Kaduna Workings'!S70+'Kano Workings'!S70+'Lagos Workings'!S70)</f>
        <v>15.333333333333336</v>
      </c>
      <c r="T70" s="51">
        <f>('Enugu Workings'!T70+'Jigawa Workings'!T70+'Kaduna Workings'!T70+'Kano Workings'!T70+'Lagos Workings'!T70)</f>
        <v>16.666666666666671</v>
      </c>
      <c r="U70" s="51">
        <f>('Enugu Workings'!U70+'Jigawa Workings'!U70+'Kaduna Workings'!U70+'Kano Workings'!U70+'Lagos Workings'!U70)</f>
        <v>18</v>
      </c>
      <c r="V70" s="51">
        <f>('Enugu Workings'!V70+'Jigawa Workings'!V70+'Kaduna Workings'!V70+'Kano Workings'!V70+'Lagos Workings'!V70)</f>
        <v>19.333333333333332</v>
      </c>
      <c r="W70" s="51">
        <f>('Enugu Workings'!W70+'Jigawa Workings'!W70+'Kaduna Workings'!W70+'Kano Workings'!W70+'Lagos Workings'!W70)</f>
        <v>14.833333333333336</v>
      </c>
      <c r="X70" s="51">
        <f>('Enugu Workings'!X70+'Jigawa Workings'!X70+'Kaduna Workings'!X70+'Kano Workings'!X70+'Lagos Workings'!X70)</f>
        <v>15</v>
      </c>
      <c r="Y70" s="50">
        <f>('Enugu Workings'!Y70+'Jigawa Workings'!Y70+'Kaduna Workings'!Y70+'Kano Workings'!Y70+'Lagos Workings'!Y70)</f>
        <v>15</v>
      </c>
      <c r="Z70" s="51">
        <f>('Enugu Workings'!Z70+'Jigawa Workings'!Z70+'Kaduna Workings'!Z70+'Kano Workings'!Z70+'Lagos Workings'!Z70)</f>
        <v>15</v>
      </c>
      <c r="AA70" s="38">
        <f>'Lagos Workings'!AA70*5</f>
        <v>100</v>
      </c>
      <c r="AB70" s="457">
        <f>AA70/22</f>
        <v>4.5454545454545459</v>
      </c>
      <c r="AD70" s="451">
        <f>V70</f>
        <v>19.333333333333332</v>
      </c>
      <c r="AE70" s="346"/>
      <c r="AF70" s="453">
        <f t="shared" ref="AF70:AG71" si="22">IF($AG$1=16,R70,IF($AG$1=17,S70,IF($AG$1=18,T70,IF($AG$1=19,U70,IF($AG$1=20,V70,IF($AG$1=21,W70,IF($AG$1=22,X70,0)))))))</f>
        <v>14.833333333333336</v>
      </c>
      <c r="AG70" s="453">
        <f t="shared" si="22"/>
        <v>15</v>
      </c>
      <c r="AI70" s="338"/>
    </row>
    <row r="71" spans="1:35" s="340" customFormat="1" ht="15.75" thickBot="1">
      <c r="A71" s="45"/>
      <c r="B71" s="46" t="s">
        <v>208</v>
      </c>
      <c r="C71" s="79">
        <f>('Enugu Workings'!C71+'Jigawa Workings'!C71+'Kaduna Workings'!C71+'Kano Workings'!C71+'Lagos Workings'!C71)</f>
        <v>0</v>
      </c>
      <c r="D71" s="441">
        <f>('Enugu Workings'!D71+'Jigawa Workings'!D71+'Kaduna Workings'!D71+'Kano Workings'!D71+'Lagos Workings'!D71)</f>
        <v>0</v>
      </c>
      <c r="E71" s="442">
        <f>('Enugu Workings'!E71+'Jigawa Workings'!E71+'Kaduna Workings'!E71+'Kano Workings'!E71+'Lagos Workings'!E71)</f>
        <v>0</v>
      </c>
      <c r="F71" s="442">
        <f>('Enugu Workings'!F71+'Jigawa Workings'!F71+'Kaduna Workings'!F71+'Kano Workings'!F71+'Lagos Workings'!F71)</f>
        <v>0</v>
      </c>
      <c r="G71" s="442">
        <f>('Enugu Workings'!G71+'Jigawa Workings'!G71+'Kaduna Workings'!G71+'Kano Workings'!G71+'Lagos Workings'!G71)</f>
        <v>0</v>
      </c>
      <c r="H71" s="442">
        <f>('Enugu Workings'!H71+'Jigawa Workings'!H71+'Kaduna Workings'!H71+'Kano Workings'!H71+'Lagos Workings'!H71)</f>
        <v>0</v>
      </c>
      <c r="I71" s="442">
        <f>('Enugu Workings'!I71+'Jigawa Workings'!I71+'Kaduna Workings'!I71+'Kano Workings'!I71+'Lagos Workings'!I71)</f>
        <v>4</v>
      </c>
      <c r="J71" s="442">
        <f>('Enugu Workings'!J71+'Jigawa Workings'!J71+'Kaduna Workings'!J71+'Kano Workings'!J71+'Lagos Workings'!J71)</f>
        <v>4</v>
      </c>
      <c r="K71" s="442">
        <f>('Enugu Workings'!K71+'Jigawa Workings'!K71+'Kaduna Workings'!K71+'Kano Workings'!K71+'Lagos Workings'!K71)</f>
        <v>5</v>
      </c>
      <c r="L71" s="442">
        <f>('Enugu Workings'!L71+'Jigawa Workings'!L71+'Kaduna Workings'!L71+'Kano Workings'!L71+'Lagos Workings'!L71)</f>
        <v>5</v>
      </c>
      <c r="M71" s="442">
        <f>('Enugu Workings'!M71+'Jigawa Workings'!M71+'Kaduna Workings'!M71+'Kano Workings'!M71+'Lagos Workings'!M71)</f>
        <v>10</v>
      </c>
      <c r="N71" s="443">
        <f>('Enugu Workings'!N71+'Jigawa Workings'!N71+'Kaduna Workings'!N71+'Kano Workings'!N71+'Lagos Workings'!N71)</f>
        <v>10</v>
      </c>
      <c r="O71" s="444">
        <f>('Enugu Workings'!O71+'Jigawa Workings'!O71+'Kaduna Workings'!O71+'Kano Workings'!O71+'Lagos Workings'!O71)</f>
        <v>10</v>
      </c>
      <c r="P71" s="444">
        <f>('Enugu Workings'!P71+'Jigawa Workings'!P71+'Kaduna Workings'!P71+'Kano Workings'!P71+'Lagos Workings'!P71)</f>
        <v>17</v>
      </c>
      <c r="Q71" s="444">
        <f>('Enugu Workings'!Q71+'Jigawa Workings'!Q71+'Kaduna Workings'!Q71+'Kano Workings'!Q71+'Lagos Workings'!Q71)</f>
        <v>13</v>
      </c>
      <c r="R71" s="442">
        <f>('Enugu Workings'!R71+'Jigawa Workings'!R71+'Kaduna Workings'!R71+'Kano Workings'!R71+'Lagos Workings'!R71)</f>
        <v>19</v>
      </c>
      <c r="S71" s="442">
        <f>('Enugu Workings'!S71+'Jigawa Workings'!S71+'Kaduna Workings'!S71+'Kano Workings'!S71+'Lagos Workings'!S71)</f>
        <v>23</v>
      </c>
      <c r="T71" s="442">
        <f>('Enugu Workings'!T71+'Jigawa Workings'!T71+'Kaduna Workings'!T71+'Kano Workings'!T71+'Lagos Workings'!T71)</f>
        <v>28</v>
      </c>
      <c r="U71" s="442">
        <f>('Enugu Workings'!U71+'Jigawa Workings'!U71+'Kaduna Workings'!U71+'Kano Workings'!U71+'Lagos Workings'!U71)</f>
        <v>33</v>
      </c>
      <c r="V71" s="445">
        <f>('Enugu Workings'!V71+'Jigawa Workings'!V71+'Kaduna Workings'!V71+'Kano Workings'!V71+'Lagos Workings'!V71)</f>
        <v>6</v>
      </c>
      <c r="W71" s="72">
        <f>('Enugu Workings'!W71+'Jigawa Workings'!W71+'Kaduna Workings'!W71+'Kano Workings'!W71+'Lagos Workings'!W71)</f>
        <v>9</v>
      </c>
      <c r="X71" s="70">
        <f>('Enugu Workings'!X71+'Jigawa Workings'!X71+'Kaduna Workings'!X71+'Kano Workings'!X71+'Lagos Workings'!X71)</f>
        <v>11</v>
      </c>
      <c r="Y71" s="70">
        <f>('Enugu Workings'!Y71+'Jigawa Workings'!Y71+'Kaduna Workings'!Y71+'Kano Workings'!Y71+'Lagos Workings'!Y71)</f>
        <v>0</v>
      </c>
      <c r="Z71" s="70">
        <f>('Enugu Workings'!Z71+'Jigawa Workings'!Z71+'Kaduna Workings'!Z71+'Kano Workings'!Z71+'Lagos Workings'!Z71)</f>
        <v>0</v>
      </c>
      <c r="AA71" s="49"/>
      <c r="AB71" s="421"/>
      <c r="AD71" s="452">
        <f>V71</f>
        <v>6</v>
      </c>
      <c r="AE71" s="346"/>
      <c r="AF71" s="452">
        <f t="shared" si="22"/>
        <v>9</v>
      </c>
      <c r="AG71" s="452">
        <f t="shared" si="22"/>
        <v>11</v>
      </c>
      <c r="AH71" s="342">
        <f>AG71</f>
        <v>11</v>
      </c>
      <c r="AI71" s="342">
        <f>AG71</f>
        <v>11</v>
      </c>
    </row>
    <row r="72" spans="1:35" s="340" customFormat="1">
      <c r="A72" s="45"/>
      <c r="B72" s="46"/>
      <c r="C72" s="53"/>
      <c r="D72" s="427"/>
      <c r="E72" s="427"/>
      <c r="F72" s="427"/>
      <c r="G72" s="75"/>
      <c r="H72" s="75"/>
      <c r="I72" s="75"/>
      <c r="J72" s="75"/>
      <c r="K72" s="75"/>
      <c r="L72" s="53"/>
      <c r="M72" s="53"/>
      <c r="N72" s="53"/>
      <c r="O72" s="53"/>
      <c r="P72" s="53"/>
      <c r="Q72" s="53"/>
      <c r="R72" s="53"/>
      <c r="S72" s="53"/>
      <c r="T72" s="53"/>
      <c r="U72" s="53"/>
      <c r="V72" s="53"/>
      <c r="W72" s="53"/>
      <c r="X72" s="53"/>
      <c r="Y72" s="53"/>
      <c r="Z72" s="53"/>
      <c r="AA72" s="49"/>
      <c r="AB72" s="421"/>
      <c r="AD72" s="345"/>
      <c r="AE72" s="346"/>
      <c r="AF72" s="345"/>
      <c r="AG72" s="345"/>
      <c r="AH72" s="335"/>
      <c r="AI72" s="338"/>
    </row>
    <row r="73" spans="1:35" ht="15.75" thickBot="1">
      <c r="A73" s="41" t="s">
        <v>162</v>
      </c>
      <c r="B73" s="42" t="s">
        <v>202</v>
      </c>
      <c r="C73" s="43">
        <f>('Enugu Workings'!C73+'Jigawa Workings'!C73+'Kaduna Workings'!C73+'Kano Workings'!C73+'Lagos Workings'!C73)</f>
        <v>2</v>
      </c>
      <c r="D73" s="73">
        <f>('Enugu Workings'!D73+'Jigawa Workings'!D73+'Kaduna Workings'!D73+'Kano Workings'!D73+'Lagos Workings'!D73)</f>
        <v>4</v>
      </c>
      <c r="E73" s="73">
        <f>('Enugu Workings'!E73+'Jigawa Workings'!E73+'Kaduna Workings'!E73+'Kano Workings'!E73+'Lagos Workings'!E73)</f>
        <v>6</v>
      </c>
      <c r="F73" s="73">
        <f>('Enugu Workings'!F73+'Jigawa Workings'!F73+'Kaduna Workings'!F73+'Kano Workings'!F73+'Lagos Workings'!F73)</f>
        <v>8</v>
      </c>
      <c r="G73" s="73">
        <f>('Enugu Workings'!G73+'Jigawa Workings'!G73+'Kaduna Workings'!G73+'Kano Workings'!G73+'Lagos Workings'!G73)</f>
        <v>10</v>
      </c>
      <c r="H73" s="73">
        <f>('Enugu Workings'!H73+'Jigawa Workings'!H73+'Kaduna Workings'!H73+'Kano Workings'!H73+'Lagos Workings'!H73)</f>
        <v>11.999999999999998</v>
      </c>
      <c r="I73" s="74">
        <f>('Enugu Workings'!I73+'Jigawa Workings'!I73+'Kaduna Workings'!I73+'Kano Workings'!I73+'Lagos Workings'!I73)</f>
        <v>14</v>
      </c>
      <c r="J73" s="73">
        <f>('Enugu Workings'!J73+'Jigawa Workings'!J73+'Kaduna Workings'!J73+'Kano Workings'!J73+'Lagos Workings'!J73)</f>
        <v>15.833333333333334</v>
      </c>
      <c r="K73" s="73">
        <f>('Enugu Workings'!K73+'Jigawa Workings'!K73+'Kaduna Workings'!K73+'Kano Workings'!K73+'Lagos Workings'!K73)</f>
        <v>17.666666666666668</v>
      </c>
      <c r="L73" s="51">
        <f>('Enugu Workings'!L73+'Jigawa Workings'!L73+'Kaduna Workings'!L73+'Kano Workings'!L73+'Lagos Workings'!L73)</f>
        <v>19.5</v>
      </c>
      <c r="M73" s="51">
        <f>('Enugu Workings'!M73+'Jigawa Workings'!M73+'Kaduna Workings'!M73+'Kano Workings'!M73+'Lagos Workings'!M73)</f>
        <v>21.333333333333332</v>
      </c>
      <c r="N73" s="50">
        <f>('Enugu Workings'!N73+'Jigawa Workings'!N73+'Kaduna Workings'!N73+'Kano Workings'!N73+'Lagos Workings'!N73)</f>
        <v>25</v>
      </c>
      <c r="O73" s="51">
        <f>('Enugu Workings'!O73+'Jigawa Workings'!O73+'Kaduna Workings'!O73+'Kano Workings'!O73+'Lagos Workings'!O73)</f>
        <v>28.25</v>
      </c>
      <c r="P73" s="51">
        <f>('Enugu Workings'!P73+'Jigawa Workings'!P73+'Kaduna Workings'!P73+'Kano Workings'!P73+'Lagos Workings'!P73)</f>
        <v>31.5</v>
      </c>
      <c r="Q73" s="51">
        <f>('Enugu Workings'!Q73+'Jigawa Workings'!Q73+'Kaduna Workings'!Q73+'Kano Workings'!Q73+'Lagos Workings'!Q73)</f>
        <v>34.75</v>
      </c>
      <c r="R73" s="50">
        <f>('Enugu Workings'!R73+'Jigawa Workings'!R73+'Kaduna Workings'!R73+'Kano Workings'!R73+'Lagos Workings'!R73)</f>
        <v>38</v>
      </c>
      <c r="S73" s="51">
        <f>('Enugu Workings'!S73+'Jigawa Workings'!S73+'Kaduna Workings'!S73+'Kano Workings'!S73+'Lagos Workings'!S73)</f>
        <v>39.5</v>
      </c>
      <c r="T73" s="51">
        <f>('Enugu Workings'!T73+'Jigawa Workings'!T73+'Kaduna Workings'!T73+'Kano Workings'!T73+'Lagos Workings'!T73)</f>
        <v>41</v>
      </c>
      <c r="U73" s="51">
        <f>('Enugu Workings'!U73+'Jigawa Workings'!U73+'Kaduna Workings'!U73+'Kano Workings'!U73+'Lagos Workings'!U73)</f>
        <v>42.500000000000007</v>
      </c>
      <c r="V73" s="51">
        <f>('Enugu Workings'!V73+'Jigawa Workings'!V73+'Kaduna Workings'!V73+'Kano Workings'!V73+'Lagos Workings'!V73)</f>
        <v>44</v>
      </c>
      <c r="W73" s="51">
        <f>('Enugu Workings'!W73+'Jigawa Workings'!W73+'Kaduna Workings'!W73+'Kano Workings'!W73+'Lagos Workings'!W73)</f>
        <v>44.666666666666679</v>
      </c>
      <c r="X73" s="51">
        <f>('Enugu Workings'!X73+'Jigawa Workings'!X73+'Kaduna Workings'!X73+'Kano Workings'!X73+'Lagos Workings'!X73)</f>
        <v>46.000000000000007</v>
      </c>
      <c r="Y73" s="50">
        <f>('Enugu Workings'!Y73+'Jigawa Workings'!Y73+'Kaduna Workings'!Y73+'Kano Workings'!Y73+'Lagos Workings'!Y73)</f>
        <v>46</v>
      </c>
      <c r="Z73" s="51">
        <f>('Enugu Workings'!Z73+'Jigawa Workings'!Z73+'Kaduna Workings'!Z73+'Kano Workings'!Z73+'Lagos Workings'!Z73)</f>
        <v>46</v>
      </c>
      <c r="AA73" s="38">
        <f>'Lagos Workings'!AA73*5</f>
        <v>100</v>
      </c>
      <c r="AB73" s="457">
        <f>AA73/22</f>
        <v>4.5454545454545459</v>
      </c>
      <c r="AD73" s="451">
        <f>V73</f>
        <v>44</v>
      </c>
      <c r="AE73" s="346"/>
      <c r="AF73" s="453">
        <f t="shared" ref="AF73:AG74" si="23">IF($AG$1=16,R73,IF($AG$1=17,S73,IF($AG$1=18,T73,IF($AG$1=19,U73,IF($AG$1=20,V73,IF($AG$1=21,W73,IF($AG$1=22,X73,0)))))))</f>
        <v>44.666666666666679</v>
      </c>
      <c r="AG73" s="453">
        <f t="shared" si="23"/>
        <v>46.000000000000007</v>
      </c>
      <c r="AI73" s="338"/>
    </row>
    <row r="74" spans="1:35" s="340" customFormat="1" ht="15.75" thickBot="1">
      <c r="A74" s="45"/>
      <c r="B74" s="46" t="s">
        <v>203</v>
      </c>
      <c r="C74" s="79">
        <f>('Enugu Workings'!C74+'Jigawa Workings'!C74+'Kaduna Workings'!C74+'Kano Workings'!C74+'Lagos Workings'!C74)</f>
        <v>2</v>
      </c>
      <c r="D74" s="441">
        <f>('Enugu Workings'!D74+'Jigawa Workings'!D74+'Kaduna Workings'!D74+'Kano Workings'!D74+'Lagos Workings'!D74)</f>
        <v>0</v>
      </c>
      <c r="E74" s="442">
        <f>('Enugu Workings'!E74+'Jigawa Workings'!E74+'Kaduna Workings'!E74+'Kano Workings'!E74+'Lagos Workings'!E74)</f>
        <v>0</v>
      </c>
      <c r="F74" s="442">
        <f>('Enugu Workings'!F74+'Jigawa Workings'!F74+'Kaduna Workings'!F74+'Kano Workings'!F74+'Lagos Workings'!F74)</f>
        <v>0</v>
      </c>
      <c r="G74" s="442">
        <f>('Enugu Workings'!G74+'Jigawa Workings'!G74+'Kaduna Workings'!G74+'Kano Workings'!G74+'Lagos Workings'!G74)</f>
        <v>0</v>
      </c>
      <c r="H74" s="442">
        <f>('Enugu Workings'!H74+'Jigawa Workings'!H74+'Kaduna Workings'!H74+'Kano Workings'!H74+'Lagos Workings'!H74)</f>
        <v>0</v>
      </c>
      <c r="I74" s="442">
        <f>('Enugu Workings'!I74+'Jigawa Workings'!I74+'Kaduna Workings'!I74+'Kano Workings'!I74+'Lagos Workings'!I74)</f>
        <v>0</v>
      </c>
      <c r="J74" s="442">
        <f>('Enugu Workings'!J74+'Jigawa Workings'!J74+'Kaduna Workings'!J74+'Kano Workings'!J74+'Lagos Workings'!J74)</f>
        <v>0</v>
      </c>
      <c r="K74" s="442">
        <f>('Enugu Workings'!K74+'Jigawa Workings'!K74+'Kaduna Workings'!K74+'Kano Workings'!K74+'Lagos Workings'!K74)</f>
        <v>0</v>
      </c>
      <c r="L74" s="442">
        <f>('Enugu Workings'!L74+'Jigawa Workings'!L74+'Kaduna Workings'!L74+'Kano Workings'!L74+'Lagos Workings'!L74)</f>
        <v>7</v>
      </c>
      <c r="M74" s="442">
        <f>('Enugu Workings'!M74+'Jigawa Workings'!M74+'Kaduna Workings'!M74+'Kano Workings'!M74+'Lagos Workings'!M74)</f>
        <v>7</v>
      </c>
      <c r="N74" s="443">
        <f>('Enugu Workings'!N74+'Jigawa Workings'!N74+'Kaduna Workings'!N74+'Kano Workings'!N74+'Lagos Workings'!N74)</f>
        <v>19</v>
      </c>
      <c r="O74" s="444">
        <f>('Enugu Workings'!O74+'Jigawa Workings'!O74+'Kaduna Workings'!O74+'Kano Workings'!O74+'Lagos Workings'!O74)</f>
        <v>21</v>
      </c>
      <c r="P74" s="444">
        <f>('Enugu Workings'!P74+'Jigawa Workings'!P74+'Kaduna Workings'!P74+'Kano Workings'!P74+'Lagos Workings'!P74)</f>
        <v>22</v>
      </c>
      <c r="Q74" s="444">
        <f>('Enugu Workings'!Q74+'Jigawa Workings'!Q74+'Kaduna Workings'!Q74+'Kano Workings'!Q74+'Lagos Workings'!Q74)</f>
        <v>33</v>
      </c>
      <c r="R74" s="442">
        <f>('Enugu Workings'!R74+'Jigawa Workings'!R74+'Kaduna Workings'!R74+'Kano Workings'!R74+'Lagos Workings'!R74)</f>
        <v>28</v>
      </c>
      <c r="S74" s="442">
        <f>('Enugu Workings'!S74+'Jigawa Workings'!S74+'Kaduna Workings'!S74+'Kano Workings'!S74+'Lagos Workings'!S74)</f>
        <v>34</v>
      </c>
      <c r="T74" s="442">
        <f>('Enugu Workings'!T74+'Jigawa Workings'!T74+'Kaduna Workings'!T74+'Kano Workings'!T74+'Lagos Workings'!T74)</f>
        <v>43</v>
      </c>
      <c r="U74" s="442">
        <f>('Enugu Workings'!U74+'Jigawa Workings'!U74+'Kaduna Workings'!U74+'Kano Workings'!U74+'Lagos Workings'!U74)</f>
        <v>47</v>
      </c>
      <c r="V74" s="445">
        <f>('Enugu Workings'!V74+'Jigawa Workings'!V74+'Kaduna Workings'!V74+'Kano Workings'!V74+'Lagos Workings'!V74)</f>
        <v>37</v>
      </c>
      <c r="W74" s="72">
        <f>('Enugu Workings'!W74+'Jigawa Workings'!W74+'Kaduna Workings'!W74+'Kano Workings'!W74+'Lagos Workings'!W74)</f>
        <v>52</v>
      </c>
      <c r="X74" s="70">
        <f>('Enugu Workings'!X74+'Jigawa Workings'!X74+'Kaduna Workings'!X74+'Kano Workings'!X74+'Lagos Workings'!X74)</f>
        <v>57</v>
      </c>
      <c r="Y74" s="70">
        <f>('Enugu Workings'!Y74+'Jigawa Workings'!Y74+'Kaduna Workings'!Y74+'Kano Workings'!Y74+'Lagos Workings'!Y74)</f>
        <v>0</v>
      </c>
      <c r="Z74" s="70">
        <f>('Enugu Workings'!Z74+'Jigawa Workings'!Z74+'Kaduna Workings'!Z74+'Kano Workings'!Z74+'Lagos Workings'!Z74)</f>
        <v>0</v>
      </c>
      <c r="AA74" s="49"/>
      <c r="AB74" s="421"/>
      <c r="AD74" s="452">
        <f>V74</f>
        <v>37</v>
      </c>
      <c r="AE74" s="346"/>
      <c r="AF74" s="452">
        <f t="shared" si="23"/>
        <v>52</v>
      </c>
      <c r="AG74" s="452">
        <f t="shared" si="23"/>
        <v>57</v>
      </c>
      <c r="AH74" s="342">
        <f>AG74</f>
        <v>57</v>
      </c>
      <c r="AI74" s="342">
        <f>AG74</f>
        <v>57</v>
      </c>
    </row>
    <row r="75" spans="1:35" s="340" customFormat="1">
      <c r="A75" s="45"/>
      <c r="B75" s="46"/>
      <c r="C75" s="53"/>
      <c r="D75" s="428"/>
      <c r="E75" s="428"/>
      <c r="F75" s="428"/>
      <c r="G75" s="53"/>
      <c r="H75" s="53"/>
      <c r="I75" s="53"/>
      <c r="J75" s="53"/>
      <c r="K75" s="53"/>
      <c r="L75" s="53"/>
      <c r="M75" s="53"/>
      <c r="N75" s="53"/>
      <c r="O75" s="53"/>
      <c r="P75" s="53"/>
      <c r="Q75" s="53"/>
      <c r="R75" s="53"/>
      <c r="S75" s="53"/>
      <c r="T75" s="53"/>
      <c r="U75" s="53"/>
      <c r="V75" s="53"/>
      <c r="W75" s="53"/>
      <c r="X75" s="53"/>
      <c r="Y75" s="53"/>
      <c r="Z75" s="53"/>
      <c r="AA75" s="49"/>
      <c r="AB75" s="421"/>
      <c r="AD75" s="345"/>
      <c r="AE75" s="346"/>
      <c r="AF75" s="345"/>
      <c r="AG75" s="345"/>
      <c r="AH75" s="335"/>
      <c r="AI75" s="338"/>
    </row>
    <row r="76" spans="1:35" ht="15.75" thickBot="1">
      <c r="A76" s="41" t="s">
        <v>163</v>
      </c>
      <c r="B76" s="42" t="s">
        <v>213</v>
      </c>
      <c r="C76" s="43">
        <f>('Enugu Workings'!C76+'Jigawa Workings'!C76+'Kaduna Workings'!C76+'Kano Workings'!C76+'Lagos Workings'!C76)</f>
        <v>0</v>
      </c>
      <c r="D76" s="73">
        <f>('Enugu Workings'!D76+'Jigawa Workings'!D76+'Kaduna Workings'!D76+'Kano Workings'!D76+'Lagos Workings'!D76)</f>
        <v>1.6666666666666665</v>
      </c>
      <c r="E76" s="73">
        <f>('Enugu Workings'!E76+'Jigawa Workings'!E76+'Kaduna Workings'!E76+'Kano Workings'!E76+'Lagos Workings'!E76)</f>
        <v>3.333333333333333</v>
      </c>
      <c r="F76" s="73">
        <f>('Enugu Workings'!F76+'Jigawa Workings'!F76+'Kaduna Workings'!F76+'Kano Workings'!F76+'Lagos Workings'!F76)</f>
        <v>5</v>
      </c>
      <c r="G76" s="73">
        <f>('Enugu Workings'!G76+'Jigawa Workings'!G76+'Kaduna Workings'!G76+'Kano Workings'!G76+'Lagos Workings'!G76)</f>
        <v>6.6666666666666661</v>
      </c>
      <c r="H76" s="73">
        <f>('Enugu Workings'!H76+'Jigawa Workings'!H76+'Kaduna Workings'!H76+'Kano Workings'!H76+'Lagos Workings'!H76)</f>
        <v>8.3333333333333321</v>
      </c>
      <c r="I76" s="74">
        <f>('Enugu Workings'!I76+'Jigawa Workings'!I76+'Kaduna Workings'!I76+'Kano Workings'!I76+'Lagos Workings'!I76)</f>
        <v>10</v>
      </c>
      <c r="J76" s="73">
        <f>('Enugu Workings'!J76+'Jigawa Workings'!J76+'Kaduna Workings'!J76+'Kano Workings'!J76+'Lagos Workings'!J76)</f>
        <v>11.833333333333334</v>
      </c>
      <c r="K76" s="73">
        <f>('Enugu Workings'!K76+'Jigawa Workings'!K76+'Kaduna Workings'!K76+'Kano Workings'!K76+'Lagos Workings'!K76)</f>
        <v>13.666666666666668</v>
      </c>
      <c r="L76" s="51">
        <f>('Enugu Workings'!L76+'Jigawa Workings'!L76+'Kaduna Workings'!L76+'Kano Workings'!L76+'Lagos Workings'!L76)</f>
        <v>15.500000000000002</v>
      </c>
      <c r="M76" s="51">
        <f>('Enugu Workings'!M76+'Jigawa Workings'!M76+'Kaduna Workings'!M76+'Kano Workings'!M76+'Lagos Workings'!M76)</f>
        <v>17.333333333333336</v>
      </c>
      <c r="N76" s="50">
        <f>('Enugu Workings'!N76+'Jigawa Workings'!N76+'Kaduna Workings'!N76+'Kano Workings'!N76+'Lagos Workings'!N76)</f>
        <v>21</v>
      </c>
      <c r="O76" s="51">
        <f>('Enugu Workings'!O76+'Jigawa Workings'!O76+'Kaduna Workings'!O76+'Kano Workings'!O76+'Lagos Workings'!O76)</f>
        <v>23.25</v>
      </c>
      <c r="P76" s="51">
        <f>('Enugu Workings'!P76+'Jigawa Workings'!P76+'Kaduna Workings'!P76+'Kano Workings'!P76+'Lagos Workings'!P76)</f>
        <v>25.5</v>
      </c>
      <c r="Q76" s="51">
        <f>('Enugu Workings'!Q76+'Jigawa Workings'!Q76+'Kaduna Workings'!Q76+'Kano Workings'!Q76+'Lagos Workings'!Q76)</f>
        <v>27.75</v>
      </c>
      <c r="R76" s="50">
        <f>('Enugu Workings'!R76+'Jigawa Workings'!R76+'Kaduna Workings'!R76+'Kano Workings'!R76+'Lagos Workings'!R76)</f>
        <v>30</v>
      </c>
      <c r="S76" s="51">
        <f>('Enugu Workings'!S76+'Jigawa Workings'!S76+'Kaduna Workings'!S76+'Kano Workings'!S76+'Lagos Workings'!S76)</f>
        <v>31.5</v>
      </c>
      <c r="T76" s="51">
        <f>('Enugu Workings'!T76+'Jigawa Workings'!T76+'Kaduna Workings'!T76+'Kano Workings'!T76+'Lagos Workings'!T76)</f>
        <v>33</v>
      </c>
      <c r="U76" s="51">
        <f>('Enugu Workings'!U76+'Jigawa Workings'!U76+'Kaduna Workings'!U76+'Kano Workings'!U76+'Lagos Workings'!U76)</f>
        <v>34.499999999999993</v>
      </c>
      <c r="V76" s="51">
        <f>('Enugu Workings'!V76+'Jigawa Workings'!V76+'Kaduna Workings'!V76+'Kano Workings'!V76+'Lagos Workings'!V76)</f>
        <v>36</v>
      </c>
      <c r="W76" s="51">
        <f>('Enugu Workings'!W76+'Jigawa Workings'!W76+'Kaduna Workings'!W76+'Kano Workings'!W76+'Lagos Workings'!W76)</f>
        <v>37.499999999999993</v>
      </c>
      <c r="X76" s="51">
        <f>('Enugu Workings'!X76+'Jigawa Workings'!X76+'Kaduna Workings'!X76+'Kano Workings'!X76+'Lagos Workings'!X76)</f>
        <v>39</v>
      </c>
      <c r="Y76" s="50">
        <f>('Enugu Workings'!Y76+'Jigawa Workings'!Y76+'Kaduna Workings'!Y76+'Kano Workings'!Y76+'Lagos Workings'!Y76)</f>
        <v>39</v>
      </c>
      <c r="Z76" s="51">
        <f>('Enugu Workings'!Z76+'Jigawa Workings'!Z76+'Kaduna Workings'!Z76+'Kano Workings'!Z76+'Lagos Workings'!Z76)</f>
        <v>39</v>
      </c>
      <c r="AA76" s="38">
        <f>'Lagos Workings'!AA76*5</f>
        <v>100</v>
      </c>
      <c r="AB76" s="457">
        <f>AA76/22</f>
        <v>4.5454545454545459</v>
      </c>
      <c r="AD76" s="451">
        <f>V76</f>
        <v>36</v>
      </c>
      <c r="AE76" s="346"/>
      <c r="AF76" s="453">
        <f t="shared" ref="AF76:AG77" si="24">IF($AG$1=16,R76,IF($AG$1=17,S76,IF($AG$1=18,T76,IF($AG$1=19,U76,IF($AG$1=20,V76,IF($AG$1=21,W76,IF($AG$1=22,X76,0)))))))</f>
        <v>37.499999999999993</v>
      </c>
      <c r="AG76" s="453">
        <f t="shared" si="24"/>
        <v>39</v>
      </c>
      <c r="AI76" s="338"/>
    </row>
    <row r="77" spans="1:35" s="340" customFormat="1" ht="15.75" thickBot="1">
      <c r="A77" s="45"/>
      <c r="B77" s="46" t="s">
        <v>212</v>
      </c>
      <c r="C77" s="79">
        <f>('Enugu Workings'!C77+'Jigawa Workings'!C77+'Kaduna Workings'!C77+'Kano Workings'!C77+'Lagos Workings'!C77)</f>
        <v>0</v>
      </c>
      <c r="D77" s="441">
        <f>('Enugu Workings'!D77+'Jigawa Workings'!D77+'Kaduna Workings'!D77+'Kano Workings'!D77+'Lagos Workings'!D77)</f>
        <v>0</v>
      </c>
      <c r="E77" s="442">
        <f>('Enugu Workings'!E77+'Jigawa Workings'!E77+'Kaduna Workings'!E77+'Kano Workings'!E77+'Lagos Workings'!E77)</f>
        <v>0</v>
      </c>
      <c r="F77" s="442">
        <f>('Enugu Workings'!F77+'Jigawa Workings'!F77+'Kaduna Workings'!F77+'Kano Workings'!F77+'Lagos Workings'!F77)</f>
        <v>0</v>
      </c>
      <c r="G77" s="442">
        <f>('Enugu Workings'!G77+'Jigawa Workings'!G77+'Kaduna Workings'!G77+'Kano Workings'!G77+'Lagos Workings'!G77)</f>
        <v>0</v>
      </c>
      <c r="H77" s="442">
        <f>('Enugu Workings'!H77+'Jigawa Workings'!H77+'Kaduna Workings'!H77+'Kano Workings'!H77+'Lagos Workings'!H77)</f>
        <v>0</v>
      </c>
      <c r="I77" s="442">
        <f>('Enugu Workings'!I77+'Jigawa Workings'!I77+'Kaduna Workings'!I77+'Kano Workings'!I77+'Lagos Workings'!I77)</f>
        <v>1</v>
      </c>
      <c r="J77" s="442">
        <f>('Enugu Workings'!J77+'Jigawa Workings'!J77+'Kaduna Workings'!J77+'Kano Workings'!J77+'Lagos Workings'!J77)</f>
        <v>2</v>
      </c>
      <c r="K77" s="442">
        <f>('Enugu Workings'!K77+'Jigawa Workings'!K77+'Kaduna Workings'!K77+'Kano Workings'!K77+'Lagos Workings'!K77)</f>
        <v>3</v>
      </c>
      <c r="L77" s="442">
        <f>('Enugu Workings'!L77+'Jigawa Workings'!L77+'Kaduna Workings'!L77+'Kano Workings'!L77+'Lagos Workings'!L77)</f>
        <v>6</v>
      </c>
      <c r="M77" s="442">
        <f>('Enugu Workings'!M77+'Jigawa Workings'!M77+'Kaduna Workings'!M77+'Kano Workings'!M77+'Lagos Workings'!M77)</f>
        <v>9</v>
      </c>
      <c r="N77" s="443">
        <f>('Enugu Workings'!N77+'Jigawa Workings'!N77+'Kaduna Workings'!N77+'Kano Workings'!N77+'Lagos Workings'!N77)</f>
        <v>22</v>
      </c>
      <c r="O77" s="444">
        <f>('Enugu Workings'!O77+'Jigawa Workings'!O77+'Kaduna Workings'!O77+'Kano Workings'!O77+'Lagos Workings'!O77)</f>
        <v>24</v>
      </c>
      <c r="P77" s="444">
        <f>('Enugu Workings'!P77+'Jigawa Workings'!P77+'Kaduna Workings'!P77+'Kano Workings'!P77+'Lagos Workings'!P77)</f>
        <v>24</v>
      </c>
      <c r="Q77" s="444">
        <f>('Enugu Workings'!Q77+'Jigawa Workings'!Q77+'Kaduna Workings'!Q77+'Kano Workings'!Q77+'Lagos Workings'!Q77)</f>
        <v>29</v>
      </c>
      <c r="R77" s="442">
        <f>('Enugu Workings'!R77+'Jigawa Workings'!R77+'Kaduna Workings'!R77+'Kano Workings'!R77+'Lagos Workings'!R77)</f>
        <v>22</v>
      </c>
      <c r="S77" s="442">
        <f>('Enugu Workings'!S77+'Jigawa Workings'!S77+'Kaduna Workings'!S77+'Kano Workings'!S77+'Lagos Workings'!S77)</f>
        <v>37</v>
      </c>
      <c r="T77" s="442">
        <f>('Enugu Workings'!T77+'Jigawa Workings'!T77+'Kaduna Workings'!T77+'Kano Workings'!T77+'Lagos Workings'!T77)</f>
        <v>43</v>
      </c>
      <c r="U77" s="442">
        <f>('Enugu Workings'!U77+'Jigawa Workings'!U77+'Kaduna Workings'!U77+'Kano Workings'!U77+'Lagos Workings'!U77)</f>
        <v>50</v>
      </c>
      <c r="V77" s="445">
        <f>('Enugu Workings'!V77+'Jigawa Workings'!V77+'Kaduna Workings'!V77+'Kano Workings'!V77+'Lagos Workings'!V77)</f>
        <v>38</v>
      </c>
      <c r="W77" s="72">
        <f>('Enugu Workings'!W77+'Jigawa Workings'!W77+'Kaduna Workings'!W77+'Kano Workings'!W77+'Lagos Workings'!W77)</f>
        <v>48</v>
      </c>
      <c r="X77" s="70">
        <f>('Enugu Workings'!X77+'Jigawa Workings'!X77+'Kaduna Workings'!X77+'Kano Workings'!X77+'Lagos Workings'!X77)</f>
        <v>54</v>
      </c>
      <c r="Y77" s="70">
        <f>('Enugu Workings'!Y77+'Jigawa Workings'!Y77+'Kaduna Workings'!Y77+'Kano Workings'!Y77+'Lagos Workings'!Y77)</f>
        <v>0</v>
      </c>
      <c r="Z77" s="70">
        <f>('Enugu Workings'!Z77+'Jigawa Workings'!Z77+'Kaduna Workings'!Z77+'Kano Workings'!Z77+'Lagos Workings'!Z77)</f>
        <v>0</v>
      </c>
      <c r="AA77" s="49"/>
      <c r="AB77" s="421"/>
      <c r="AD77" s="452">
        <f>V77</f>
        <v>38</v>
      </c>
      <c r="AE77" s="346"/>
      <c r="AF77" s="452">
        <f t="shared" si="24"/>
        <v>48</v>
      </c>
      <c r="AG77" s="452">
        <f t="shared" si="24"/>
        <v>54</v>
      </c>
      <c r="AH77" s="342">
        <f>AG77</f>
        <v>54</v>
      </c>
      <c r="AI77" s="342">
        <f>AG77</f>
        <v>54</v>
      </c>
    </row>
    <row r="78" spans="1:35" s="340" customFormat="1">
      <c r="A78" s="45"/>
      <c r="B78" s="46"/>
      <c r="C78" s="53"/>
      <c r="D78" s="428"/>
      <c r="E78" s="428"/>
      <c r="F78" s="428"/>
      <c r="G78" s="53"/>
      <c r="H78" s="53"/>
      <c r="I78" s="53"/>
      <c r="J78" s="53"/>
      <c r="K78" s="53"/>
      <c r="L78" s="53"/>
      <c r="M78" s="53"/>
      <c r="N78" s="53"/>
      <c r="O78" s="53"/>
      <c r="P78" s="53"/>
      <c r="Q78" s="53"/>
      <c r="R78" s="53"/>
      <c r="S78" s="53"/>
      <c r="T78" s="53"/>
      <c r="U78" s="53"/>
      <c r="V78" s="53"/>
      <c r="W78" s="53"/>
      <c r="X78" s="53"/>
      <c r="Y78" s="53"/>
      <c r="Z78" s="53"/>
      <c r="AA78" s="49"/>
      <c r="AB78" s="421"/>
      <c r="AD78" s="345"/>
      <c r="AE78" s="346"/>
      <c r="AF78" s="345"/>
      <c r="AG78" s="345"/>
      <c r="AH78" s="335"/>
      <c r="AI78" s="338"/>
    </row>
    <row r="79" spans="1:35" ht="15.75" thickBot="1">
      <c r="A79" s="41" t="s">
        <v>164</v>
      </c>
      <c r="B79" s="42" t="s">
        <v>211</v>
      </c>
      <c r="C79" s="43">
        <f>('Enugu Workings'!C79+'Jigawa Workings'!C79+'Kaduna Workings'!C79+'Kano Workings'!C79+'Lagos Workings'!C79)</f>
        <v>0</v>
      </c>
      <c r="D79" s="73">
        <f>('Enugu Workings'!D79+'Jigawa Workings'!D79+'Kaduna Workings'!D79+'Kano Workings'!D79+'Lagos Workings'!D79)</f>
        <v>1.1666666666666667</v>
      </c>
      <c r="E79" s="73">
        <f>('Enugu Workings'!E79+'Jigawa Workings'!E79+'Kaduna Workings'!E79+'Kano Workings'!E79+'Lagos Workings'!E79)</f>
        <v>2.3333333333333335</v>
      </c>
      <c r="F79" s="73">
        <f>('Enugu Workings'!F79+'Jigawa Workings'!F79+'Kaduna Workings'!F79+'Kano Workings'!F79+'Lagos Workings'!F79)</f>
        <v>3.5</v>
      </c>
      <c r="G79" s="73">
        <f>('Enugu Workings'!G79+'Jigawa Workings'!G79+'Kaduna Workings'!G79+'Kano Workings'!G79+'Lagos Workings'!G79)</f>
        <v>4.666666666666667</v>
      </c>
      <c r="H79" s="73">
        <f>('Enugu Workings'!H79+'Jigawa Workings'!H79+'Kaduna Workings'!H79+'Kano Workings'!H79+'Lagos Workings'!H79)</f>
        <v>5.833333333333333</v>
      </c>
      <c r="I79" s="74">
        <f>('Enugu Workings'!I79+'Jigawa Workings'!I79+'Kaduna Workings'!I79+'Kano Workings'!I79+'Lagos Workings'!I79)</f>
        <v>7</v>
      </c>
      <c r="J79" s="73">
        <f>('Enugu Workings'!J79+'Jigawa Workings'!J79+'Kaduna Workings'!J79+'Kano Workings'!J79+'Lagos Workings'!J79)</f>
        <v>8.3333333333333339</v>
      </c>
      <c r="K79" s="73">
        <f>('Enugu Workings'!K79+'Jigawa Workings'!K79+'Kaduna Workings'!K79+'Kano Workings'!K79+'Lagos Workings'!K79)</f>
        <v>9.6666666666666661</v>
      </c>
      <c r="L79" s="51">
        <f>('Enugu Workings'!L79+'Jigawa Workings'!L79+'Kaduna Workings'!L79+'Kano Workings'!L79+'Lagos Workings'!L79)</f>
        <v>10.999999999999998</v>
      </c>
      <c r="M79" s="51">
        <f>('Enugu Workings'!M79+'Jigawa Workings'!M79+'Kaduna Workings'!M79+'Kano Workings'!M79+'Lagos Workings'!M79)</f>
        <v>12.333333333333332</v>
      </c>
      <c r="N79" s="50">
        <f>('Enugu Workings'!N79+'Jigawa Workings'!N79+'Kaduna Workings'!N79+'Kano Workings'!N79+'Lagos Workings'!N79)</f>
        <v>15</v>
      </c>
      <c r="O79" s="51">
        <f>('Enugu Workings'!O79+'Jigawa Workings'!O79+'Kaduna Workings'!O79+'Kano Workings'!O79+'Lagos Workings'!O79)</f>
        <v>17.25</v>
      </c>
      <c r="P79" s="51">
        <f>('Enugu Workings'!P79+'Jigawa Workings'!P79+'Kaduna Workings'!P79+'Kano Workings'!P79+'Lagos Workings'!P79)</f>
        <v>19.5</v>
      </c>
      <c r="Q79" s="51">
        <f>('Enugu Workings'!Q79+'Jigawa Workings'!Q79+'Kaduna Workings'!Q79+'Kano Workings'!Q79+'Lagos Workings'!Q79)</f>
        <v>21.75</v>
      </c>
      <c r="R79" s="50">
        <f>('Enugu Workings'!R79+'Jigawa Workings'!R79+'Kaduna Workings'!R79+'Kano Workings'!R79+'Lagos Workings'!R79)</f>
        <v>24</v>
      </c>
      <c r="S79" s="51">
        <f>('Enugu Workings'!S79+'Jigawa Workings'!S79+'Kaduna Workings'!S79+'Kano Workings'!S79+'Lagos Workings'!S79)</f>
        <v>25.5</v>
      </c>
      <c r="T79" s="51">
        <f>('Enugu Workings'!T79+'Jigawa Workings'!T79+'Kaduna Workings'!T79+'Kano Workings'!T79+'Lagos Workings'!T79)</f>
        <v>27</v>
      </c>
      <c r="U79" s="51">
        <f>('Enugu Workings'!U79+'Jigawa Workings'!U79+'Kaduna Workings'!U79+'Kano Workings'!U79+'Lagos Workings'!U79)</f>
        <v>28.499999999999996</v>
      </c>
      <c r="V79" s="51">
        <f>('Enugu Workings'!V79+'Jigawa Workings'!V79+'Kaduna Workings'!V79+'Kano Workings'!V79+'Lagos Workings'!V79)</f>
        <v>29.999999999999996</v>
      </c>
      <c r="W79" s="51">
        <f>('Enugu Workings'!W79+'Jigawa Workings'!W79+'Kaduna Workings'!W79+'Kano Workings'!W79+'Lagos Workings'!W79)</f>
        <v>29</v>
      </c>
      <c r="X79" s="51">
        <f>('Enugu Workings'!X79+'Jigawa Workings'!X79+'Kaduna Workings'!X79+'Kano Workings'!X79+'Lagos Workings'!X79)</f>
        <v>30</v>
      </c>
      <c r="Y79" s="50">
        <f>('Enugu Workings'!Y79+'Jigawa Workings'!Y79+'Kaduna Workings'!Y79+'Kano Workings'!Y79+'Lagos Workings'!Y79)</f>
        <v>30</v>
      </c>
      <c r="Z79" s="51">
        <f>('Enugu Workings'!Z79+'Jigawa Workings'!Z79+'Kaduna Workings'!Z79+'Kano Workings'!Z79+'Lagos Workings'!Z79)</f>
        <v>30</v>
      </c>
      <c r="AA79" s="38">
        <f>'Lagos Workings'!AA79*5</f>
        <v>100</v>
      </c>
      <c r="AB79" s="457">
        <f>AA79/22</f>
        <v>4.5454545454545459</v>
      </c>
      <c r="AD79" s="451">
        <f>V79</f>
        <v>29.999999999999996</v>
      </c>
      <c r="AE79" s="346"/>
      <c r="AF79" s="453">
        <f t="shared" ref="AF79:AG80" si="25">IF($AG$1=16,R79,IF($AG$1=17,S79,IF($AG$1=18,T79,IF($AG$1=19,U79,IF($AG$1=20,V79,IF($AG$1=21,W79,IF($AG$1=22,X79,0)))))))</f>
        <v>29</v>
      </c>
      <c r="AG79" s="453">
        <f t="shared" si="25"/>
        <v>30</v>
      </c>
      <c r="AI79" s="338"/>
    </row>
    <row r="80" spans="1:35" s="340" customFormat="1" ht="15.75" thickBot="1">
      <c r="A80" s="45"/>
      <c r="B80" s="46" t="s">
        <v>210</v>
      </c>
      <c r="C80" s="79">
        <f>('Enugu Workings'!C80+'Jigawa Workings'!C80+'Kaduna Workings'!C80+'Kano Workings'!C80+'Lagos Workings'!C80)</f>
        <v>0</v>
      </c>
      <c r="D80" s="441">
        <f>('Enugu Workings'!D80+'Jigawa Workings'!D80+'Kaduna Workings'!D80+'Kano Workings'!D80+'Lagos Workings'!D80)</f>
        <v>0</v>
      </c>
      <c r="E80" s="442">
        <f>('Enugu Workings'!E80+'Jigawa Workings'!E80+'Kaduna Workings'!E80+'Kano Workings'!E80+'Lagos Workings'!E80)</f>
        <v>0</v>
      </c>
      <c r="F80" s="442">
        <f>('Enugu Workings'!F80+'Jigawa Workings'!F80+'Kaduna Workings'!F80+'Kano Workings'!F80+'Lagos Workings'!F80)</f>
        <v>0</v>
      </c>
      <c r="G80" s="442">
        <f>('Enugu Workings'!G80+'Jigawa Workings'!G80+'Kaduna Workings'!G80+'Kano Workings'!G80+'Lagos Workings'!G80)</f>
        <v>0</v>
      </c>
      <c r="H80" s="442">
        <f>('Enugu Workings'!H80+'Jigawa Workings'!H80+'Kaduna Workings'!H80+'Kano Workings'!H80+'Lagos Workings'!H80)</f>
        <v>0</v>
      </c>
      <c r="I80" s="442">
        <f>('Enugu Workings'!I80+'Jigawa Workings'!I80+'Kaduna Workings'!I80+'Kano Workings'!I80+'Lagos Workings'!I80)</f>
        <v>1</v>
      </c>
      <c r="J80" s="442">
        <f>('Enugu Workings'!J80+'Jigawa Workings'!J80+'Kaduna Workings'!J80+'Kano Workings'!J80+'Lagos Workings'!J80)</f>
        <v>1</v>
      </c>
      <c r="K80" s="442">
        <f>('Enugu Workings'!K80+'Jigawa Workings'!K80+'Kaduna Workings'!K80+'Kano Workings'!K80+'Lagos Workings'!K80)</f>
        <v>2</v>
      </c>
      <c r="L80" s="442">
        <f>('Enugu Workings'!L80+'Jigawa Workings'!L80+'Kaduna Workings'!L80+'Kano Workings'!L80+'Lagos Workings'!L80)</f>
        <v>6</v>
      </c>
      <c r="M80" s="442">
        <f>('Enugu Workings'!M80+'Jigawa Workings'!M80+'Kaduna Workings'!M80+'Kano Workings'!M80+'Lagos Workings'!M80)</f>
        <v>9</v>
      </c>
      <c r="N80" s="443">
        <f>('Enugu Workings'!N80+'Jigawa Workings'!N80+'Kaduna Workings'!N80+'Kano Workings'!N80+'Lagos Workings'!N80)</f>
        <v>17</v>
      </c>
      <c r="O80" s="444">
        <f>('Enugu Workings'!O80+'Jigawa Workings'!O80+'Kaduna Workings'!O80+'Kano Workings'!O80+'Lagos Workings'!O80)</f>
        <v>18</v>
      </c>
      <c r="P80" s="444">
        <f>('Enugu Workings'!P80+'Jigawa Workings'!P80+'Kaduna Workings'!P80+'Kano Workings'!P80+'Lagos Workings'!P80)</f>
        <v>17</v>
      </c>
      <c r="Q80" s="444">
        <f>('Enugu Workings'!Q80+'Jigawa Workings'!Q80+'Kaduna Workings'!Q80+'Kano Workings'!Q80+'Lagos Workings'!Q80)</f>
        <v>24</v>
      </c>
      <c r="R80" s="442">
        <f>('Enugu Workings'!R80+'Jigawa Workings'!R80+'Kaduna Workings'!R80+'Kano Workings'!R80+'Lagos Workings'!R80)</f>
        <v>17</v>
      </c>
      <c r="S80" s="442">
        <f>('Enugu Workings'!S80+'Jigawa Workings'!S80+'Kaduna Workings'!S80+'Kano Workings'!S80+'Lagos Workings'!S80)</f>
        <v>31</v>
      </c>
      <c r="T80" s="442">
        <f>('Enugu Workings'!T80+'Jigawa Workings'!T80+'Kaduna Workings'!T80+'Kano Workings'!T80+'Lagos Workings'!T80)</f>
        <v>34</v>
      </c>
      <c r="U80" s="442">
        <f>('Enugu Workings'!U80+'Jigawa Workings'!U80+'Kaduna Workings'!U80+'Kano Workings'!U80+'Lagos Workings'!U80)</f>
        <v>40</v>
      </c>
      <c r="V80" s="445">
        <f>('Enugu Workings'!V80+'Jigawa Workings'!V80+'Kaduna Workings'!V80+'Kano Workings'!V80+'Lagos Workings'!V80)</f>
        <v>30</v>
      </c>
      <c r="W80" s="72">
        <f>('Enugu Workings'!W80+'Jigawa Workings'!W80+'Kaduna Workings'!W80+'Kano Workings'!W80+'Lagos Workings'!W80)</f>
        <v>34</v>
      </c>
      <c r="X80" s="70">
        <f>('Enugu Workings'!X80+'Jigawa Workings'!X80+'Kaduna Workings'!X80+'Kano Workings'!X80+'Lagos Workings'!X80)</f>
        <v>37</v>
      </c>
      <c r="Y80" s="70">
        <f>('Enugu Workings'!Y80+'Jigawa Workings'!Y80+'Kaduna Workings'!Y80+'Kano Workings'!Y80+'Lagos Workings'!Y80)</f>
        <v>0</v>
      </c>
      <c r="Z80" s="70">
        <f>('Enugu Workings'!Z80+'Jigawa Workings'!Z80+'Kaduna Workings'!Z80+'Kano Workings'!Z80+'Lagos Workings'!Z80)</f>
        <v>0</v>
      </c>
      <c r="AA80" s="49"/>
      <c r="AB80" s="421"/>
      <c r="AD80" s="452">
        <f>V80</f>
        <v>30</v>
      </c>
      <c r="AE80" s="346"/>
      <c r="AF80" s="452">
        <f t="shared" si="25"/>
        <v>34</v>
      </c>
      <c r="AG80" s="452">
        <f t="shared" si="25"/>
        <v>37</v>
      </c>
      <c r="AH80" s="342">
        <f>AG80</f>
        <v>37</v>
      </c>
      <c r="AI80" s="342">
        <f>AG80</f>
        <v>37</v>
      </c>
    </row>
    <row r="81" spans="1:35" s="340" customFormat="1">
      <c r="A81" s="45"/>
      <c r="B81" s="46"/>
      <c r="C81" s="53"/>
      <c r="D81" s="428"/>
      <c r="E81" s="428"/>
      <c r="F81" s="428"/>
      <c r="G81" s="53"/>
      <c r="H81" s="53"/>
      <c r="I81" s="53"/>
      <c r="J81" s="53"/>
      <c r="K81" s="53"/>
      <c r="L81" s="53"/>
      <c r="M81" s="53"/>
      <c r="N81" s="53"/>
      <c r="O81" s="53"/>
      <c r="P81" s="53"/>
      <c r="Q81" s="53"/>
      <c r="R81" s="53"/>
      <c r="S81" s="53"/>
      <c r="T81" s="53"/>
      <c r="U81" s="53"/>
      <c r="V81" s="53"/>
      <c r="W81" s="53"/>
      <c r="X81" s="53"/>
      <c r="Y81" s="53"/>
      <c r="Z81" s="53"/>
      <c r="AA81" s="49"/>
      <c r="AB81" s="421"/>
      <c r="AD81" s="345"/>
      <c r="AE81" s="346"/>
      <c r="AF81" s="345"/>
      <c r="AG81" s="345"/>
      <c r="AH81" s="335"/>
      <c r="AI81" s="338"/>
    </row>
    <row r="82" spans="1:35" ht="15.75" thickBot="1">
      <c r="A82" s="41" t="s">
        <v>165</v>
      </c>
      <c r="B82" s="42" t="s">
        <v>209</v>
      </c>
      <c r="C82" s="43">
        <f>('Enugu Workings'!C82+'Jigawa Workings'!C82+'Kaduna Workings'!C82+'Kano Workings'!C82+'Lagos Workings'!C82)</f>
        <v>0</v>
      </c>
      <c r="D82" s="73">
        <f>('Enugu Workings'!D82+'Jigawa Workings'!D82+'Kaduna Workings'!D82+'Kano Workings'!D82+'Lagos Workings'!D82)</f>
        <v>0.33333333333333331</v>
      </c>
      <c r="E82" s="73">
        <f>('Enugu Workings'!E82+'Jigawa Workings'!E82+'Kaduna Workings'!E82+'Kano Workings'!E82+'Lagos Workings'!E82)</f>
        <v>0.66666666666666663</v>
      </c>
      <c r="F82" s="73">
        <f>('Enugu Workings'!F82+'Jigawa Workings'!F82+'Kaduna Workings'!F82+'Kano Workings'!F82+'Lagos Workings'!F82)</f>
        <v>1</v>
      </c>
      <c r="G82" s="73">
        <f>('Enugu Workings'!G82+'Jigawa Workings'!G82+'Kaduna Workings'!G82+'Kano Workings'!G82+'Lagos Workings'!G82)</f>
        <v>1.3333333333333333</v>
      </c>
      <c r="H82" s="73">
        <f>('Enugu Workings'!H82+'Jigawa Workings'!H82+'Kaduna Workings'!H82+'Kano Workings'!H82+'Lagos Workings'!H82)</f>
        <v>1.6666666666666665</v>
      </c>
      <c r="I82" s="74">
        <f>('Enugu Workings'!I82+'Jigawa Workings'!I82+'Kaduna Workings'!I82+'Kano Workings'!I82+'Lagos Workings'!I82)</f>
        <v>2</v>
      </c>
      <c r="J82" s="73">
        <f>('Enugu Workings'!J82+'Jigawa Workings'!J82+'Kaduna Workings'!J82+'Kano Workings'!J82+'Lagos Workings'!J82)</f>
        <v>3</v>
      </c>
      <c r="K82" s="73">
        <f>('Enugu Workings'!K82+'Jigawa Workings'!K82+'Kaduna Workings'!K82+'Kano Workings'!K82+'Lagos Workings'!K82)</f>
        <v>4</v>
      </c>
      <c r="L82" s="51">
        <f>('Enugu Workings'!L82+'Jigawa Workings'!L82+'Kaduna Workings'!L82+'Kano Workings'!L82+'Lagos Workings'!L82)</f>
        <v>5</v>
      </c>
      <c r="M82" s="51">
        <f>('Enugu Workings'!M82+'Jigawa Workings'!M82+'Kaduna Workings'!M82+'Kano Workings'!M82+'Lagos Workings'!M82)</f>
        <v>6</v>
      </c>
      <c r="N82" s="50">
        <f>('Enugu Workings'!N82+'Jigawa Workings'!N82+'Kaduna Workings'!N82+'Kano Workings'!N82+'Lagos Workings'!N82)</f>
        <v>8</v>
      </c>
      <c r="O82" s="51">
        <f>('Enugu Workings'!O82+'Jigawa Workings'!O82+'Kaduna Workings'!O82+'Kano Workings'!O82+'Lagos Workings'!O82)</f>
        <v>9.75</v>
      </c>
      <c r="P82" s="51">
        <f>('Enugu Workings'!P82+'Jigawa Workings'!P82+'Kaduna Workings'!P82+'Kano Workings'!P82+'Lagos Workings'!P82)</f>
        <v>11.5</v>
      </c>
      <c r="Q82" s="51">
        <f>('Enugu Workings'!Q82+'Jigawa Workings'!Q82+'Kaduna Workings'!Q82+'Kano Workings'!Q82+'Lagos Workings'!Q82)</f>
        <v>13.25</v>
      </c>
      <c r="R82" s="50">
        <f>('Enugu Workings'!R82+'Jigawa Workings'!R82+'Kaduna Workings'!R82+'Kano Workings'!R82+'Lagos Workings'!R82)</f>
        <v>15</v>
      </c>
      <c r="S82" s="51">
        <f>('Enugu Workings'!S82+'Jigawa Workings'!S82+'Kaduna Workings'!S82+'Kano Workings'!S82+'Lagos Workings'!S82)</f>
        <v>16.166666666666668</v>
      </c>
      <c r="T82" s="51">
        <f>('Enugu Workings'!T82+'Jigawa Workings'!T82+'Kaduna Workings'!T82+'Kano Workings'!T82+'Lagos Workings'!T82)</f>
        <v>17.333333333333332</v>
      </c>
      <c r="U82" s="51">
        <f>('Enugu Workings'!U82+'Jigawa Workings'!U82+'Kaduna Workings'!U82+'Kano Workings'!U82+'Lagos Workings'!U82)</f>
        <v>18.5</v>
      </c>
      <c r="V82" s="51">
        <f>('Enugu Workings'!V82+'Jigawa Workings'!V82+'Kaduna Workings'!V82+'Kano Workings'!V82+'Lagos Workings'!V82)</f>
        <v>19.666666666666664</v>
      </c>
      <c r="W82" s="51">
        <f>('Enugu Workings'!W82+'Jigawa Workings'!W82+'Kaduna Workings'!W82+'Kano Workings'!W82+'Lagos Workings'!W82)</f>
        <v>20.833333333333332</v>
      </c>
      <c r="X82" s="51">
        <f>('Enugu Workings'!X82+'Jigawa Workings'!X82+'Kaduna Workings'!X82+'Kano Workings'!X82+'Lagos Workings'!X82)</f>
        <v>22</v>
      </c>
      <c r="Y82" s="50">
        <f>('Enugu Workings'!Y82+'Jigawa Workings'!Y82+'Kaduna Workings'!Y82+'Kano Workings'!Y82+'Lagos Workings'!Y82)</f>
        <v>22</v>
      </c>
      <c r="Z82" s="51">
        <f>('Enugu Workings'!Z82+'Jigawa Workings'!Z82+'Kaduna Workings'!Z82+'Kano Workings'!Z82+'Lagos Workings'!Z82)</f>
        <v>22</v>
      </c>
      <c r="AA82" s="38">
        <f>'Lagos Workings'!AA82*5</f>
        <v>100</v>
      </c>
      <c r="AB82" s="457">
        <f>AA82/22</f>
        <v>4.5454545454545459</v>
      </c>
      <c r="AD82" s="451">
        <f>V82</f>
        <v>19.666666666666664</v>
      </c>
      <c r="AE82" s="346"/>
      <c r="AF82" s="453">
        <f t="shared" ref="AF82:AG83" si="26">IF($AG$1=16,R82,IF($AG$1=17,S82,IF($AG$1=18,T82,IF($AG$1=19,U82,IF($AG$1=20,V82,IF($AG$1=21,W82,IF($AG$1=22,X82,0)))))))</f>
        <v>20.833333333333332</v>
      </c>
      <c r="AG82" s="453">
        <f t="shared" si="26"/>
        <v>22</v>
      </c>
      <c r="AI82" s="338"/>
    </row>
    <row r="83" spans="1:35" s="340" customFormat="1" ht="15.75" thickBot="1">
      <c r="A83" s="45"/>
      <c r="B83" s="46" t="s">
        <v>208</v>
      </c>
      <c r="C83" s="79">
        <f>('Enugu Workings'!C83+'Jigawa Workings'!C83+'Kaduna Workings'!C83+'Kano Workings'!C83+'Lagos Workings'!C83)</f>
        <v>0</v>
      </c>
      <c r="D83" s="441">
        <f>('Enugu Workings'!D83+'Jigawa Workings'!D83+'Kaduna Workings'!D83+'Kano Workings'!D83+'Lagos Workings'!D83)</f>
        <v>0</v>
      </c>
      <c r="E83" s="442">
        <f>('Enugu Workings'!E83+'Jigawa Workings'!E83+'Kaduna Workings'!E83+'Kano Workings'!E83+'Lagos Workings'!E83)</f>
        <v>0</v>
      </c>
      <c r="F83" s="442">
        <f>('Enugu Workings'!F83+'Jigawa Workings'!F83+'Kaduna Workings'!F83+'Kano Workings'!F83+'Lagos Workings'!F83)</f>
        <v>0</v>
      </c>
      <c r="G83" s="442">
        <f>('Enugu Workings'!G83+'Jigawa Workings'!G83+'Kaduna Workings'!G83+'Kano Workings'!G83+'Lagos Workings'!G83)</f>
        <v>0</v>
      </c>
      <c r="H83" s="442">
        <f>('Enugu Workings'!H83+'Jigawa Workings'!H83+'Kaduna Workings'!H83+'Kano Workings'!H83+'Lagos Workings'!H83)</f>
        <v>0</v>
      </c>
      <c r="I83" s="442">
        <f>('Enugu Workings'!I83+'Jigawa Workings'!I83+'Kaduna Workings'!I83+'Kano Workings'!I83+'Lagos Workings'!I83)</f>
        <v>0</v>
      </c>
      <c r="J83" s="442">
        <f>('Enugu Workings'!J83+'Jigawa Workings'!J83+'Kaduna Workings'!J83+'Kano Workings'!J83+'Lagos Workings'!J83)</f>
        <v>0</v>
      </c>
      <c r="K83" s="442">
        <f>('Enugu Workings'!K83+'Jigawa Workings'!K83+'Kaduna Workings'!K83+'Kano Workings'!K83+'Lagos Workings'!K83)</f>
        <v>0</v>
      </c>
      <c r="L83" s="442">
        <f>('Enugu Workings'!L83+'Jigawa Workings'!L83+'Kaduna Workings'!L83+'Kano Workings'!L83+'Lagos Workings'!L83)</f>
        <v>6</v>
      </c>
      <c r="M83" s="442">
        <f>('Enugu Workings'!M83+'Jigawa Workings'!M83+'Kaduna Workings'!M83+'Kano Workings'!M83+'Lagos Workings'!M83)</f>
        <v>9</v>
      </c>
      <c r="N83" s="443">
        <f>('Enugu Workings'!N83+'Jigawa Workings'!N83+'Kaduna Workings'!N83+'Kano Workings'!N83+'Lagos Workings'!N83)</f>
        <v>7</v>
      </c>
      <c r="O83" s="444">
        <f>('Enugu Workings'!O83+'Jigawa Workings'!O83+'Kaduna Workings'!O83+'Kano Workings'!O83+'Lagos Workings'!O83)</f>
        <v>9</v>
      </c>
      <c r="P83" s="444">
        <f>('Enugu Workings'!P83+'Jigawa Workings'!P83+'Kaduna Workings'!P83+'Kano Workings'!P83+'Lagos Workings'!P83)</f>
        <v>15</v>
      </c>
      <c r="Q83" s="444">
        <f>('Enugu Workings'!Q83+'Jigawa Workings'!Q83+'Kaduna Workings'!Q83+'Kano Workings'!Q83+'Lagos Workings'!Q83)</f>
        <v>20</v>
      </c>
      <c r="R83" s="442">
        <f>('Enugu Workings'!R83+'Jigawa Workings'!R83+'Kaduna Workings'!R83+'Kano Workings'!R83+'Lagos Workings'!R83)</f>
        <v>8</v>
      </c>
      <c r="S83" s="442">
        <f>('Enugu Workings'!S83+'Jigawa Workings'!S83+'Kaduna Workings'!S83+'Kano Workings'!S83+'Lagos Workings'!S83)</f>
        <v>19</v>
      </c>
      <c r="T83" s="442">
        <f>('Enugu Workings'!T83+'Jigawa Workings'!T83+'Kaduna Workings'!T83+'Kano Workings'!T83+'Lagos Workings'!T83)</f>
        <v>24</v>
      </c>
      <c r="U83" s="442">
        <f>('Enugu Workings'!U83+'Jigawa Workings'!U83+'Kaduna Workings'!U83+'Kano Workings'!U83+'Lagos Workings'!U83)</f>
        <v>27</v>
      </c>
      <c r="V83" s="445">
        <f>('Enugu Workings'!V83+'Jigawa Workings'!V83+'Kaduna Workings'!V83+'Kano Workings'!V83+'Lagos Workings'!V83)</f>
        <v>5</v>
      </c>
      <c r="W83" s="72">
        <f>('Enugu Workings'!W83+'Jigawa Workings'!W83+'Kaduna Workings'!W83+'Kano Workings'!W83+'Lagos Workings'!W83)</f>
        <v>7</v>
      </c>
      <c r="X83" s="70">
        <f>('Enugu Workings'!X83+'Jigawa Workings'!X83+'Kaduna Workings'!X83+'Kano Workings'!X83+'Lagos Workings'!X83)</f>
        <v>8</v>
      </c>
      <c r="Y83" s="70">
        <f>('Enugu Workings'!Y83+'Jigawa Workings'!Y83+'Kaduna Workings'!Y83+'Kano Workings'!Y83+'Lagos Workings'!Y83)</f>
        <v>0</v>
      </c>
      <c r="Z83" s="70">
        <f>('Enugu Workings'!Z83+'Jigawa Workings'!Z83+'Kaduna Workings'!Z83+'Kano Workings'!Z83+'Lagos Workings'!Z83)</f>
        <v>0</v>
      </c>
      <c r="AA83" s="49"/>
      <c r="AB83" s="421"/>
      <c r="AD83" s="452">
        <f>V83</f>
        <v>5</v>
      </c>
      <c r="AE83" s="346"/>
      <c r="AF83" s="452">
        <f t="shared" si="26"/>
        <v>7</v>
      </c>
      <c r="AG83" s="452">
        <f t="shared" si="26"/>
        <v>8</v>
      </c>
      <c r="AH83" s="342">
        <f>AG83</f>
        <v>8</v>
      </c>
      <c r="AI83" s="342">
        <f>AG83</f>
        <v>8</v>
      </c>
    </row>
    <row r="84" spans="1:35" s="340" customFormat="1">
      <c r="A84" s="45"/>
      <c r="B84" s="46"/>
      <c r="C84" s="53"/>
      <c r="D84" s="428"/>
      <c r="E84" s="428"/>
      <c r="F84" s="428"/>
      <c r="G84" s="53"/>
      <c r="H84" s="53"/>
      <c r="I84" s="53"/>
      <c r="J84" s="53"/>
      <c r="K84" s="53"/>
      <c r="L84" s="53"/>
      <c r="M84" s="53"/>
      <c r="N84" s="53"/>
      <c r="O84" s="53"/>
      <c r="P84" s="53"/>
      <c r="Q84" s="53"/>
      <c r="R84" s="53"/>
      <c r="S84" s="53"/>
      <c r="T84" s="53"/>
      <c r="U84" s="53"/>
      <c r="V84" s="53"/>
      <c r="W84" s="53"/>
      <c r="X84" s="53"/>
      <c r="Y84" s="53"/>
      <c r="Z84" s="53"/>
      <c r="AA84" s="49"/>
      <c r="AB84" s="421"/>
      <c r="AD84" s="345"/>
      <c r="AE84" s="346"/>
      <c r="AF84" s="345"/>
      <c r="AG84" s="345"/>
      <c r="AH84" s="335"/>
      <c r="AI84" s="338"/>
    </row>
    <row r="85" spans="1:35" ht="15.75" thickBot="1">
      <c r="A85" s="41" t="s">
        <v>160</v>
      </c>
      <c r="B85" s="42" t="s">
        <v>201</v>
      </c>
      <c r="C85" s="52"/>
      <c r="D85" s="52"/>
      <c r="E85" s="52"/>
      <c r="F85" s="52"/>
      <c r="G85" s="52"/>
      <c r="H85" s="52"/>
      <c r="I85" s="52"/>
      <c r="J85" s="52"/>
      <c r="K85" s="52"/>
      <c r="L85" s="52"/>
      <c r="M85" s="52"/>
      <c r="N85" s="50">
        <f>('Enugu Workings'!N85+'Jigawa Workings'!N85+'Kaduna Workings'!N85+'Kano Workings'!N85+'Lagos Workings'!N85)/5</f>
        <v>49.8</v>
      </c>
      <c r="O85" s="51">
        <f>('Enugu Workings'!O85+'Jigawa Workings'!O85+'Kaduna Workings'!O85+'Kano Workings'!O85+'Lagos Workings'!O85)/5</f>
        <v>53.1</v>
      </c>
      <c r="P85" s="51">
        <f>('Enugu Workings'!P85+'Jigawa Workings'!P85+'Kaduna Workings'!P85+'Kano Workings'!P85+'Lagos Workings'!P85)/5</f>
        <v>56.4</v>
      </c>
      <c r="Q85" s="51">
        <f>('Enugu Workings'!Q85+'Jigawa Workings'!Q85+'Kaduna Workings'!Q85+'Kano Workings'!Q85+'Lagos Workings'!Q85)/5</f>
        <v>59.7</v>
      </c>
      <c r="R85" s="50">
        <f>('Enugu Workings'!R85+'Jigawa Workings'!R85+'Kaduna Workings'!R85+'Kano Workings'!R85+'Lagos Workings'!R85)/5</f>
        <v>63</v>
      </c>
      <c r="S85" s="51">
        <f>('Enugu Workings'!S85+'Jigawa Workings'!S85+'Kaduna Workings'!S85+'Kano Workings'!S85+'Lagos Workings'!S85)/5</f>
        <v>65.166666666666671</v>
      </c>
      <c r="T85" s="51">
        <f>('Enugu Workings'!T85+'Jigawa Workings'!T85+'Kaduna Workings'!T85+'Kano Workings'!T85+'Lagos Workings'!T85)/5</f>
        <v>67.333333333333343</v>
      </c>
      <c r="U85" s="51">
        <f>('Enugu Workings'!U85+'Jigawa Workings'!U85+'Kaduna Workings'!U85+'Kano Workings'!U85+'Lagos Workings'!U85)/5</f>
        <v>69.5</v>
      </c>
      <c r="V85" s="51">
        <f>('Enugu Workings'!V85+'Jigawa Workings'!V85+'Kaduna Workings'!V85+'Kano Workings'!V85+'Lagos Workings'!V85)/5</f>
        <v>71.666666666666671</v>
      </c>
      <c r="W85" s="51">
        <f>('Enugu Workings'!W85+'Jigawa Workings'!W85+'Kaduna Workings'!W85+'Kano Workings'!W85+'Lagos Workings'!W85)/5</f>
        <v>74.666666666666686</v>
      </c>
      <c r="X85" s="51">
        <f>('Enugu Workings'!X85+'Jigawa Workings'!X85+'Kaduna Workings'!X85+'Kano Workings'!X85+'Lagos Workings'!X85)/5</f>
        <v>77.000000000000014</v>
      </c>
      <c r="Y85" s="50">
        <f>('Enugu Workings'!Y85+'Jigawa Workings'!Y85+'Kaduna Workings'!Y85+'Kano Workings'!Y85+'Lagos Workings'!Y85)/5</f>
        <v>77</v>
      </c>
      <c r="Z85" s="51">
        <f>('Enugu Workings'!Z85+'Jigawa Workings'!Z85+'Kaduna Workings'!Z85+'Kano Workings'!Z85+'Lagos Workings'!Z85)/5</f>
        <v>77</v>
      </c>
      <c r="AA85" s="38">
        <v>100</v>
      </c>
      <c r="AB85" s="457">
        <f>AA85/22</f>
        <v>4.5454545454545459</v>
      </c>
      <c r="AD85" s="451">
        <f>V85</f>
        <v>71.666666666666671</v>
      </c>
      <c r="AE85" s="346"/>
      <c r="AF85" s="453">
        <f t="shared" ref="AF85:AG86" si="27">IF($AG$1=16,R85,IF($AG$1=17,S85,IF($AG$1=18,T85,IF($AG$1=19,U85,IF($AG$1=20,V85,IF($AG$1=21,W85,IF($AG$1=22,X85,0)))))))</f>
        <v>74.666666666666686</v>
      </c>
      <c r="AG85" s="453">
        <f t="shared" si="27"/>
        <v>77.000000000000014</v>
      </c>
      <c r="AI85" s="338"/>
    </row>
    <row r="86" spans="1:35" s="340" customFormat="1" ht="15.75" thickBot="1">
      <c r="A86" s="45"/>
      <c r="B86" s="46" t="s">
        <v>200</v>
      </c>
      <c r="C86" s="52"/>
      <c r="D86" s="52"/>
      <c r="E86" s="52"/>
      <c r="F86" s="52"/>
      <c r="G86" s="52"/>
      <c r="H86" s="52"/>
      <c r="I86" s="52"/>
      <c r="J86" s="52"/>
      <c r="K86" s="52"/>
      <c r="L86" s="52"/>
      <c r="M86" s="52"/>
      <c r="N86" s="52">
        <f>('Enugu Workings'!N86+'Jigawa Workings'!N86+'Kaduna Workings'!N86+'Kano Workings'!N86+'Lagos Workings'!N86)/5</f>
        <v>49.8</v>
      </c>
      <c r="O86" s="441">
        <f>('Enugu Workings'!O86+'Jigawa Workings'!O86+'Kaduna Workings'!O86+'Kano Workings'!O86+'Lagos Workings'!O86)/5</f>
        <v>55.6</v>
      </c>
      <c r="P86" s="444">
        <f>('Enugu Workings'!P86+'Jigawa Workings'!P86+'Kaduna Workings'!P86+'Kano Workings'!P86+'Lagos Workings'!P86)/5</f>
        <v>59.8</v>
      </c>
      <c r="Q86" s="444">
        <f>('Enugu Workings'!Q86+'Jigawa Workings'!Q86+'Kaduna Workings'!Q86+'Kano Workings'!Q86+'Lagos Workings'!Q86)/5</f>
        <v>63.2</v>
      </c>
      <c r="R86" s="442">
        <f>('Enugu Workings'!R86+'Jigawa Workings'!R86+'Kaduna Workings'!R86+'Kano Workings'!R86+'Lagos Workings'!R86)/5</f>
        <v>76</v>
      </c>
      <c r="S86" s="442">
        <f>('Enugu Workings'!S86+'Jigawa Workings'!S86+'Kaduna Workings'!S86+'Kano Workings'!S86+'Lagos Workings'!S86)/5</f>
        <v>78.2</v>
      </c>
      <c r="T86" s="442">
        <f>('Enugu Workings'!T86+'Jigawa Workings'!T86+'Kaduna Workings'!T86+'Kano Workings'!T86+'Lagos Workings'!T86)/5</f>
        <v>81.400000000000006</v>
      </c>
      <c r="U86" s="442">
        <f>('Enugu Workings'!U86+'Jigawa Workings'!U86+'Kaduna Workings'!U86+'Kano Workings'!U86+'Lagos Workings'!U86)/5</f>
        <v>84.8</v>
      </c>
      <c r="V86" s="445">
        <f>('Enugu Workings'!V86+'Jigawa Workings'!V86+'Kaduna Workings'!V86+'Kano Workings'!V86+'Lagos Workings'!V86)/5</f>
        <v>75.8</v>
      </c>
      <c r="W86" s="72">
        <f>('Enugu Workings'!W86+'Jigawa Workings'!W86+'Kaduna Workings'!W86+'Kano Workings'!W86+'Lagos Workings'!W86)/5</f>
        <v>77.833333333333343</v>
      </c>
      <c r="X86" s="70">
        <f>('Enugu Workings'!X86+'Jigawa Workings'!X86+'Kaduna Workings'!X86+'Kano Workings'!X86+'Lagos Workings'!X86)/5</f>
        <v>80.3</v>
      </c>
      <c r="Y86" s="70">
        <f>('Enugu Workings'!Y86+'Jigawa Workings'!Y86+'Kaduna Workings'!Y86+'Kano Workings'!Y86+'Lagos Workings'!Y86)/5</f>
        <v>0</v>
      </c>
      <c r="Z86" s="70">
        <f>('Enugu Workings'!Z86+'Jigawa Workings'!Z86+'Kaduna Workings'!Z86+'Kano Workings'!Z86+'Lagos Workings'!Z86)/5</f>
        <v>0</v>
      </c>
      <c r="AA86" s="49"/>
      <c r="AB86" s="421"/>
      <c r="AD86" s="452">
        <f>V86</f>
        <v>75.8</v>
      </c>
      <c r="AE86" s="346"/>
      <c r="AF86" s="452">
        <f t="shared" si="27"/>
        <v>77.833333333333343</v>
      </c>
      <c r="AG86" s="452">
        <f t="shared" si="27"/>
        <v>80.3</v>
      </c>
      <c r="AH86" s="342">
        <f>AG86</f>
        <v>80.3</v>
      </c>
      <c r="AI86" s="342">
        <f>AG86</f>
        <v>80.3</v>
      </c>
    </row>
    <row r="87" spans="1:35" s="340" customFormat="1">
      <c r="A87" s="45"/>
      <c r="B87" s="46"/>
      <c r="C87" s="53"/>
      <c r="D87" s="428"/>
      <c r="E87" s="428"/>
      <c r="F87" s="428"/>
      <c r="G87" s="53"/>
      <c r="H87" s="53"/>
      <c r="I87" s="53"/>
      <c r="J87" s="53"/>
      <c r="K87" s="53"/>
      <c r="L87" s="53"/>
      <c r="M87" s="53"/>
      <c r="N87" s="53"/>
      <c r="O87" s="53"/>
      <c r="P87" s="53"/>
      <c r="Q87" s="53"/>
      <c r="R87" s="53"/>
      <c r="S87" s="53"/>
      <c r="T87" s="53"/>
      <c r="U87" s="53"/>
      <c r="V87" s="53"/>
      <c r="W87" s="53"/>
      <c r="X87" s="53"/>
      <c r="Y87" s="53"/>
      <c r="Z87" s="53"/>
      <c r="AA87" s="49"/>
      <c r="AB87" s="421"/>
      <c r="AD87" s="345"/>
      <c r="AE87" s="346"/>
      <c r="AF87" s="454"/>
      <c r="AG87" s="454"/>
      <c r="AH87" s="335"/>
      <c r="AI87" s="338"/>
    </row>
    <row r="88" spans="1:35" ht="15.75" thickBot="1">
      <c r="A88" s="41" t="s">
        <v>161</v>
      </c>
      <c r="B88" s="42" t="s">
        <v>198</v>
      </c>
      <c r="C88" s="52"/>
      <c r="D88" s="52"/>
      <c r="E88" s="52"/>
      <c r="F88" s="52"/>
      <c r="G88" s="52"/>
      <c r="H88" s="52"/>
      <c r="I88" s="52"/>
      <c r="J88" s="52"/>
      <c r="K88" s="52"/>
      <c r="L88" s="52"/>
      <c r="M88" s="52"/>
      <c r="N88" s="50">
        <f>('Enugu Workings'!N88+'Jigawa Workings'!N88+'Kaduna Workings'!N88+'Kano Workings'!N88+'Lagos Workings'!N88)/5</f>
        <v>36.6</v>
      </c>
      <c r="O88" s="51">
        <f>('Enugu Workings'!O88+'Jigawa Workings'!O88+'Kaduna Workings'!O88+'Kano Workings'!O88+'Lagos Workings'!O88)/5</f>
        <v>37.4</v>
      </c>
      <c r="P88" s="51">
        <f>('Enugu Workings'!P88+'Jigawa Workings'!P88+'Kaduna Workings'!P88+'Kano Workings'!P88+'Lagos Workings'!P88)/5</f>
        <v>38.200000000000003</v>
      </c>
      <c r="Q88" s="51">
        <f>('Enugu Workings'!Q88+'Jigawa Workings'!Q88+'Kaduna Workings'!Q88+'Kano Workings'!Q88+'Lagos Workings'!Q88)/5</f>
        <v>39</v>
      </c>
      <c r="R88" s="50">
        <f>('Enugu Workings'!R88+'Jigawa Workings'!R88+'Kaduna Workings'!R88+'Kano Workings'!R88+'Lagos Workings'!R88)/5</f>
        <v>39.799999999999997</v>
      </c>
      <c r="S88" s="51">
        <f>('Enugu Workings'!S88+'Jigawa Workings'!S88+'Kaduna Workings'!S88+'Kano Workings'!S88+'Lagos Workings'!S88)/5</f>
        <v>40.5</v>
      </c>
      <c r="T88" s="51">
        <f>('Enugu Workings'!T88+'Jigawa Workings'!T88+'Kaduna Workings'!T88+'Kano Workings'!T88+'Lagos Workings'!T88)/5</f>
        <v>41.2</v>
      </c>
      <c r="U88" s="51">
        <f>('Enugu Workings'!U88+'Jigawa Workings'!U88+'Kaduna Workings'!U88+'Kano Workings'!U88+'Lagos Workings'!U88)/5</f>
        <v>41.9</v>
      </c>
      <c r="V88" s="51">
        <f>('Enugu Workings'!V88+'Jigawa Workings'!V88+'Kaduna Workings'!V88+'Kano Workings'!V88+'Lagos Workings'!V88)/5</f>
        <v>42.6</v>
      </c>
      <c r="W88" s="51">
        <f>('Enugu Workings'!W88+'Jigawa Workings'!W88+'Kaduna Workings'!W88+'Kano Workings'!W88+'Lagos Workings'!W88)/5</f>
        <v>64.13333333333334</v>
      </c>
      <c r="X88" s="51">
        <f>('Enugu Workings'!X88+'Jigawa Workings'!X88+'Kaduna Workings'!X88+'Kano Workings'!X88+'Lagos Workings'!X88)/5</f>
        <v>69</v>
      </c>
      <c r="Y88" s="50">
        <f>('Enugu Workings'!Y88+'Jigawa Workings'!Y88+'Kaduna Workings'!Y88+'Kano Workings'!Y88+'Lagos Workings'!Y88)/5</f>
        <v>69</v>
      </c>
      <c r="Z88" s="51">
        <f>('Enugu Workings'!Z88+'Jigawa Workings'!Z88+'Kaduna Workings'!Z88+'Kano Workings'!Z88+'Lagos Workings'!Z88)/5</f>
        <v>69</v>
      </c>
      <c r="AA88" s="38">
        <v>100</v>
      </c>
      <c r="AB88" s="457">
        <f>AA88/22</f>
        <v>4.5454545454545459</v>
      </c>
      <c r="AD88" s="451">
        <f>V88</f>
        <v>42.6</v>
      </c>
      <c r="AE88" s="346"/>
      <c r="AF88" s="453">
        <f t="shared" ref="AF88:AG89" si="28">IF($AG$1=16,R88,IF($AG$1=17,S88,IF($AG$1=18,T88,IF($AG$1=19,U88,IF($AG$1=20,V88,IF($AG$1=21,W88,IF($AG$1=22,X88,0)))))))</f>
        <v>64.13333333333334</v>
      </c>
      <c r="AG88" s="453">
        <f t="shared" si="28"/>
        <v>69</v>
      </c>
      <c r="AI88" s="338"/>
    </row>
    <row r="89" spans="1:35" s="340" customFormat="1" ht="15.75" thickBot="1">
      <c r="A89" s="45"/>
      <c r="B89" s="46" t="s">
        <v>199</v>
      </c>
      <c r="C89" s="52"/>
      <c r="D89" s="52"/>
      <c r="E89" s="52"/>
      <c r="F89" s="52"/>
      <c r="G89" s="52"/>
      <c r="H89" s="52"/>
      <c r="I89" s="52"/>
      <c r="J89" s="52"/>
      <c r="K89" s="52"/>
      <c r="L89" s="52"/>
      <c r="M89" s="52"/>
      <c r="N89" s="52">
        <f>('Enugu Workings'!N89+'Jigawa Workings'!N89+'Kaduna Workings'!N89+'Kano Workings'!N89+'Lagos Workings'!N89)/5</f>
        <v>36.6</v>
      </c>
      <c r="O89" s="441">
        <f>('Enugu Workings'!O89+'Jigawa Workings'!O89+'Kaduna Workings'!O89+'Kano Workings'!O89+'Lagos Workings'!O89)/5</f>
        <v>44.6</v>
      </c>
      <c r="P89" s="444">
        <f>('Enugu Workings'!P89+'Jigawa Workings'!P89+'Kaduna Workings'!P89+'Kano Workings'!P89+'Lagos Workings'!P89)/5</f>
        <v>45.4</v>
      </c>
      <c r="Q89" s="444">
        <f>('Enugu Workings'!Q89+'Jigawa Workings'!Q89+'Kaduna Workings'!Q89+'Kano Workings'!Q89+'Lagos Workings'!Q89)/5</f>
        <v>58.6</v>
      </c>
      <c r="R89" s="442">
        <f>('Enugu Workings'!R89+'Jigawa Workings'!R89+'Kaduna Workings'!R89+'Kano Workings'!R89+'Lagos Workings'!R89)/5</f>
        <v>59.46</v>
      </c>
      <c r="S89" s="442">
        <f>('Enugu Workings'!S89+'Jigawa Workings'!S89+'Kaduna Workings'!S89+'Kano Workings'!S89+'Lagos Workings'!S89)/5</f>
        <v>56.6</v>
      </c>
      <c r="T89" s="442">
        <f>('Enugu Workings'!T89+'Jigawa Workings'!T89+'Kaduna Workings'!T89+'Kano Workings'!T89+'Lagos Workings'!T89)/5</f>
        <v>60.6</v>
      </c>
      <c r="U89" s="442">
        <f>('Enugu Workings'!U89+'Jigawa Workings'!U89+'Kaduna Workings'!U89+'Kano Workings'!U89+'Lagos Workings'!U89)/5</f>
        <v>63</v>
      </c>
      <c r="V89" s="445">
        <f>('Enugu Workings'!V89+'Jigawa Workings'!V89+'Kaduna Workings'!V89+'Kano Workings'!V89+'Lagos Workings'!V89)/5</f>
        <v>73.2</v>
      </c>
      <c r="W89" s="72">
        <f>('Enugu Workings'!W89+'Jigawa Workings'!W89+'Kaduna Workings'!W89+'Kano Workings'!W89+'Lagos Workings'!W89)/5</f>
        <v>67.8</v>
      </c>
      <c r="X89" s="70">
        <f>('Enugu Workings'!X89+'Jigawa Workings'!X89+'Kaduna Workings'!X89+'Kano Workings'!X89+'Lagos Workings'!X89)/5</f>
        <v>78.400000000000006</v>
      </c>
      <c r="Y89" s="70">
        <f>('Enugu Workings'!Y89+'Jigawa Workings'!Y89+'Kaduna Workings'!Y89+'Kano Workings'!Y89+'Lagos Workings'!Y89)/5</f>
        <v>0</v>
      </c>
      <c r="Z89" s="70">
        <f>('Enugu Workings'!Z89+'Jigawa Workings'!Z89+'Kaduna Workings'!Z89+'Kano Workings'!Z89+'Lagos Workings'!Z89)/5</f>
        <v>0</v>
      </c>
      <c r="AA89" s="49"/>
      <c r="AB89" s="421"/>
      <c r="AD89" s="452">
        <f>V89</f>
        <v>73.2</v>
      </c>
      <c r="AE89" s="346"/>
      <c r="AF89" s="452">
        <f t="shared" si="28"/>
        <v>67.8</v>
      </c>
      <c r="AG89" s="452">
        <f t="shared" si="28"/>
        <v>78.400000000000006</v>
      </c>
      <c r="AH89" s="342">
        <f>AG89</f>
        <v>78.400000000000006</v>
      </c>
      <c r="AI89" s="342">
        <f>AG89</f>
        <v>78.400000000000006</v>
      </c>
    </row>
    <row r="90" spans="1:35" s="340" customFormat="1">
      <c r="A90" s="45"/>
      <c r="B90" s="46"/>
      <c r="C90" s="53"/>
      <c r="D90" s="428"/>
      <c r="E90" s="428"/>
      <c r="F90" s="428"/>
      <c r="G90" s="53"/>
      <c r="H90" s="53"/>
      <c r="I90" s="53"/>
      <c r="J90" s="53"/>
      <c r="K90" s="53"/>
      <c r="L90" s="53"/>
      <c r="M90" s="53"/>
      <c r="N90" s="53"/>
      <c r="O90" s="53"/>
      <c r="P90" s="53"/>
      <c r="Q90" s="53"/>
      <c r="R90" s="48"/>
      <c r="S90" s="48"/>
      <c r="T90" s="48"/>
      <c r="U90" s="48"/>
      <c r="V90" s="48"/>
      <c r="W90" s="48"/>
      <c r="X90" s="48"/>
      <c r="Y90" s="48"/>
      <c r="Z90" s="48"/>
      <c r="AA90" s="49"/>
      <c r="AB90" s="421"/>
      <c r="AE90" s="335"/>
      <c r="AF90" s="343"/>
      <c r="AG90" s="343"/>
      <c r="AH90" s="335"/>
      <c r="AI90" s="338"/>
    </row>
    <row r="91" spans="1:35" ht="15.75" thickBot="1">
      <c r="A91" s="41" t="s">
        <v>40</v>
      </c>
      <c r="B91" s="42" t="s">
        <v>139</v>
      </c>
      <c r="C91" s="52"/>
      <c r="D91" s="52"/>
      <c r="E91" s="52"/>
      <c r="F91" s="52"/>
      <c r="G91" s="52"/>
      <c r="H91" s="52"/>
      <c r="I91" s="52"/>
      <c r="J91" s="52"/>
      <c r="K91" s="52"/>
      <c r="L91" s="52"/>
      <c r="M91" s="52"/>
      <c r="N91" s="43">
        <f>('Enugu Workings'!N91+'Jigawa Workings'!N91+'Kaduna Workings'!N91+'Kano Workings'!N91+'Lagos Workings'!N91)/5</f>
        <v>3.4799999999999995</v>
      </c>
      <c r="O91" s="44">
        <f>('Enugu Workings'!O91+'Jigawa Workings'!O91+'Kaduna Workings'!O91+'Kano Workings'!O91+'Lagos Workings'!O91)/5</f>
        <v>3.5549999999999997</v>
      </c>
      <c r="P91" s="44">
        <f>('Enugu Workings'!P91+'Jigawa Workings'!P91+'Kaduna Workings'!P91+'Kano Workings'!P91+'Lagos Workings'!P91)/5</f>
        <v>3.6300000000000003</v>
      </c>
      <c r="Q91" s="44">
        <f>('Enugu Workings'!Q91+'Jigawa Workings'!Q91+'Kaduna Workings'!Q91+'Kano Workings'!Q91+'Lagos Workings'!Q91)/5</f>
        <v>3.7049999999999996</v>
      </c>
      <c r="R91" s="43">
        <f>('Enugu Workings'!R91+'Jigawa Workings'!R91+'Kaduna Workings'!R91+'Kano Workings'!R91+'Lagos Workings'!R91)/5</f>
        <v>3.78</v>
      </c>
      <c r="S91" s="44">
        <f>('Enugu Workings'!S91+'Jigawa Workings'!S91+'Kaduna Workings'!S91+'Kano Workings'!S91+'Lagos Workings'!S91)/5</f>
        <v>3.84</v>
      </c>
      <c r="T91" s="44">
        <f>('Enugu Workings'!T91+'Jigawa Workings'!T91+'Kaduna Workings'!T91+'Kano Workings'!T91+'Lagos Workings'!T91)/5</f>
        <v>3.9</v>
      </c>
      <c r="U91" s="44">
        <f>('Enugu Workings'!U91+'Jigawa Workings'!U91+'Kaduna Workings'!U91+'Kano Workings'!U91+'Lagos Workings'!U91)/5</f>
        <v>3.96</v>
      </c>
      <c r="V91" s="44">
        <f>('Enugu Workings'!V91+'Jigawa Workings'!V91+'Kaduna Workings'!V91+'Kano Workings'!V91+'Lagos Workings'!V91)/5</f>
        <v>4.0199999999999996</v>
      </c>
      <c r="W91" s="44">
        <f>('Enugu Workings'!W91+'Jigawa Workings'!W91+'Kaduna Workings'!W91+'Kano Workings'!W91+'Lagos Workings'!W91)/5</f>
        <v>4.0466666666666669</v>
      </c>
      <c r="X91" s="44">
        <f>('Enugu Workings'!X91+'Jigawa Workings'!X91+'Kaduna Workings'!X91+'Kano Workings'!X91+'Lagos Workings'!X91)/5</f>
        <v>4.0999999999999996</v>
      </c>
      <c r="Y91" s="43">
        <f>('Enugu Workings'!Y91+'Jigawa Workings'!Y91+'Kaduna Workings'!Y91+'Kano Workings'!Y91+'Lagos Workings'!Y91)/5</f>
        <v>4.0999999999999996</v>
      </c>
      <c r="Z91" s="44">
        <f>('Enugu Workings'!Z91+'Jigawa Workings'!Z91+'Kaduna Workings'!Z91+'Kano Workings'!Z91+'Lagos Workings'!Z91)/5</f>
        <v>4.0999999999999996</v>
      </c>
      <c r="AA91" s="38">
        <v>5</v>
      </c>
      <c r="AB91" s="420">
        <f>AA91/22</f>
        <v>0.22727272727272727</v>
      </c>
      <c r="AD91" s="450">
        <f>V91</f>
        <v>4.0199999999999996</v>
      </c>
      <c r="AF91" s="339">
        <f t="shared" ref="AF91:AG92" si="29">IF($AG$1=16,R91,IF($AG$1=17,S91,IF($AG$1=18,T91,IF($AG$1=19,U91,IF($AG$1=20,V91,IF($AG$1=21,W91,IF($AG$1=22,X91,0)))))))</f>
        <v>4.0466666666666669</v>
      </c>
      <c r="AG91" s="339">
        <f t="shared" si="29"/>
        <v>4.0999999999999996</v>
      </c>
      <c r="AI91" s="338"/>
    </row>
    <row r="92" spans="1:35" s="340" customFormat="1" ht="15.75" thickBot="1">
      <c r="A92" s="45"/>
      <c r="B92" s="46" t="s">
        <v>140</v>
      </c>
      <c r="C92" s="52"/>
      <c r="D92" s="52"/>
      <c r="E92" s="52"/>
      <c r="F92" s="52"/>
      <c r="G92" s="52"/>
      <c r="H92" s="52"/>
      <c r="I92" s="52"/>
      <c r="J92" s="52"/>
      <c r="K92" s="52"/>
      <c r="L92" s="52"/>
      <c r="M92" s="52"/>
      <c r="N92" s="47">
        <f>('Enugu Workings'!N92+'Jigawa Workings'!N92+'Kaduna Workings'!N92+'Kano Workings'!N92+'Lagos Workings'!N92)/5</f>
        <v>3.4799999999999995</v>
      </c>
      <c r="O92" s="436">
        <f>('Enugu Workings'!O92+'Jigawa Workings'!O92+'Kaduna Workings'!O92+'Kano Workings'!O92+'Lagos Workings'!O92)/5</f>
        <v>3.6</v>
      </c>
      <c r="P92" s="440">
        <f>('Enugu Workings'!P92+'Jigawa Workings'!P92+'Kaduna Workings'!P92+'Kano Workings'!P92+'Lagos Workings'!P92)/5</f>
        <v>3.4899999999999998</v>
      </c>
      <c r="Q92" s="440">
        <f>('Enugu Workings'!Q92+'Jigawa Workings'!Q92+'Kaduna Workings'!Q92+'Kano Workings'!Q92+'Lagos Workings'!Q92)/5</f>
        <v>3.7399999999999998</v>
      </c>
      <c r="R92" s="437">
        <f>('Enugu Workings'!R92+'Jigawa Workings'!R92+'Kaduna Workings'!R92+'Kano Workings'!R92+'Lagos Workings'!R92)/5</f>
        <v>3.7199999999999998</v>
      </c>
      <c r="S92" s="437">
        <f>('Enugu Workings'!S92+'Jigawa Workings'!S92+'Kaduna Workings'!S92+'Kano Workings'!S92+'Lagos Workings'!S92)/5</f>
        <v>3.62</v>
      </c>
      <c r="T92" s="437">
        <f>('Enugu Workings'!T92+'Jigawa Workings'!T92+'Kaduna Workings'!T92+'Kano Workings'!T92+'Lagos Workings'!T92)/5</f>
        <v>3.9</v>
      </c>
      <c r="U92" s="437">
        <f>('Enugu Workings'!U92+'Jigawa Workings'!U92+'Kaduna Workings'!U92+'Kano Workings'!U92+'Lagos Workings'!U92)/5</f>
        <v>3.8560000000000003</v>
      </c>
      <c r="V92" s="438">
        <f>('Enugu Workings'!V92+'Jigawa Workings'!V92+'Kaduna Workings'!V92+'Kano Workings'!V92+'Lagos Workings'!V92)/5</f>
        <v>4.0400000000000009</v>
      </c>
      <c r="W92" s="80">
        <f>('Enugu Workings'!W92+'Jigawa Workings'!W92+'Kaduna Workings'!W92+'Kano Workings'!W92+'Lagos Workings'!W92)/5</f>
        <v>4.0600000000000005</v>
      </c>
      <c r="X92" s="69">
        <f>('Enugu Workings'!X92+'Jigawa Workings'!X92+'Kaduna Workings'!X92+'Kano Workings'!X92+'Lagos Workings'!X92)/5</f>
        <v>4.01</v>
      </c>
      <c r="Y92" s="69">
        <f>('Enugu Workings'!Y92+'Jigawa Workings'!Y92+'Kaduna Workings'!Y92+'Kano Workings'!Y92+'Lagos Workings'!Y92)/5</f>
        <v>0</v>
      </c>
      <c r="Z92" s="69">
        <f>('Enugu Workings'!Z92+'Jigawa Workings'!Z92+'Kaduna Workings'!Z92+'Kano Workings'!Z92+'Lagos Workings'!Z92)/5</f>
        <v>0</v>
      </c>
      <c r="AA92" s="49"/>
      <c r="AB92" s="421"/>
      <c r="AD92" s="341">
        <f>V92</f>
        <v>4.0400000000000009</v>
      </c>
      <c r="AE92" s="335"/>
      <c r="AF92" s="341">
        <f t="shared" si="29"/>
        <v>4.0600000000000005</v>
      </c>
      <c r="AG92" s="341">
        <f t="shared" si="29"/>
        <v>4.01</v>
      </c>
      <c r="AH92" s="342">
        <f>AG92</f>
        <v>4.01</v>
      </c>
      <c r="AI92" s="342">
        <f>AG92</f>
        <v>4.01</v>
      </c>
    </row>
    <row r="93" spans="1:35" s="340" customFormat="1">
      <c r="A93" s="45"/>
      <c r="B93" s="46"/>
      <c r="C93" s="48"/>
      <c r="D93" s="48"/>
      <c r="E93" s="48"/>
      <c r="F93" s="48"/>
      <c r="G93" s="48"/>
      <c r="H93" s="48"/>
      <c r="I93" s="48"/>
      <c r="J93" s="48"/>
      <c r="K93" s="48"/>
      <c r="L93" s="48"/>
      <c r="M93" s="48"/>
      <c r="N93" s="48"/>
      <c r="O93" s="48"/>
      <c r="P93" s="48"/>
      <c r="Q93" s="48"/>
      <c r="R93" s="48"/>
      <c r="S93" s="48"/>
      <c r="T93" s="48"/>
      <c r="U93" s="48"/>
      <c r="V93" s="48"/>
      <c r="W93" s="48"/>
      <c r="X93" s="48"/>
      <c r="Y93" s="48"/>
      <c r="Z93" s="48"/>
      <c r="AA93" s="49"/>
      <c r="AB93" s="421"/>
      <c r="AE93" s="335"/>
      <c r="AF93" s="343"/>
      <c r="AG93" s="343"/>
      <c r="AH93" s="335"/>
      <c r="AI93" s="338"/>
    </row>
    <row r="94" spans="1:35" ht="15.75" thickBot="1">
      <c r="A94" s="41" t="s">
        <v>32</v>
      </c>
      <c r="B94" s="42" t="s">
        <v>139</v>
      </c>
      <c r="C94" s="43">
        <f>('Enugu Workings'!C94+'Jigawa Workings'!C94+'Kaduna Workings'!C94+'Kano Workings'!C94+'Lagos Workings'!C94)/5</f>
        <v>1.2</v>
      </c>
      <c r="D94" s="81">
        <f>('Enugu Workings'!D94+'Jigawa Workings'!D94+'Kaduna Workings'!D94+'Kano Workings'!D94+'Lagos Workings'!D94)/5</f>
        <v>1.3166666666666667</v>
      </c>
      <c r="E94" s="81">
        <f>('Enugu Workings'!E94+'Jigawa Workings'!E94+'Kaduna Workings'!E94+'Kano Workings'!E94+'Lagos Workings'!E94)/5</f>
        <v>1.4333333333333331</v>
      </c>
      <c r="F94" s="81">
        <f>('Enugu Workings'!F94+'Jigawa Workings'!F94+'Kaduna Workings'!F94+'Kano Workings'!F94+'Lagos Workings'!F94)/5</f>
        <v>1.55</v>
      </c>
      <c r="G94" s="81">
        <f>('Enugu Workings'!G94+'Jigawa Workings'!G94+'Kaduna Workings'!G94+'Kano Workings'!G94+'Lagos Workings'!G94)/5</f>
        <v>1.6666666666666665</v>
      </c>
      <c r="H94" s="81">
        <f>('Enugu Workings'!H94+'Jigawa Workings'!H94+'Kaduna Workings'!H94+'Kano Workings'!H94+'Lagos Workings'!H94)/5</f>
        <v>1.7833333333333332</v>
      </c>
      <c r="I94" s="82">
        <f>('Enugu Workings'!I94+'Jigawa Workings'!I94+'Kaduna Workings'!I94+'Kano Workings'!I94+'Lagos Workings'!I94)/5</f>
        <v>1.9</v>
      </c>
      <c r="J94" s="81">
        <f>('Enugu Workings'!J94+'Jigawa Workings'!J94+'Kaduna Workings'!J94+'Kano Workings'!J94+'Lagos Workings'!J94)/5</f>
        <v>2.0000000000000004</v>
      </c>
      <c r="K94" s="81">
        <f>('Enugu Workings'!K94+'Jigawa Workings'!K94+'Kaduna Workings'!K94+'Kano Workings'!K94+'Lagos Workings'!K94)/5</f>
        <v>2.1</v>
      </c>
      <c r="L94" s="44">
        <f>('Enugu Workings'!L94+'Jigawa Workings'!L94+'Kaduna Workings'!L94+'Kano Workings'!L94+'Lagos Workings'!L94)/5</f>
        <v>2.2000000000000002</v>
      </c>
      <c r="M94" s="44">
        <f>('Enugu Workings'!M94+'Jigawa Workings'!M94+'Kaduna Workings'!M94+'Kano Workings'!M94+'Lagos Workings'!M94)/5</f>
        <v>2.3000000000000003</v>
      </c>
      <c r="N94" s="43">
        <f>('Enugu Workings'!N94+'Jigawa Workings'!N94+'Kaduna Workings'!N94+'Kano Workings'!N94+'Lagos Workings'!N94)/5</f>
        <v>2.5</v>
      </c>
      <c r="O94" s="44">
        <f>('Enugu Workings'!O94+'Jigawa Workings'!O94+'Kaduna Workings'!O94+'Kano Workings'!O94+'Lagos Workings'!O94)/5</f>
        <v>2.57</v>
      </c>
      <c r="P94" s="44">
        <f>('Enugu Workings'!P94+'Jigawa Workings'!P94+'Kaduna Workings'!P94+'Kano Workings'!P94+'Lagos Workings'!P94)/5</f>
        <v>2.6399999999999997</v>
      </c>
      <c r="Q94" s="44">
        <f>('Enugu Workings'!Q94+'Jigawa Workings'!Q94+'Kaduna Workings'!Q94+'Kano Workings'!Q94+'Lagos Workings'!Q94)/5</f>
        <v>2.71</v>
      </c>
      <c r="R94" s="43">
        <f>('Enugu Workings'!R94+'Jigawa Workings'!R94+'Kaduna Workings'!R94+'Kano Workings'!R94+'Lagos Workings'!R94)/5</f>
        <v>2.7800000000000002</v>
      </c>
      <c r="S94" s="44">
        <f>('Enugu Workings'!S94+'Jigawa Workings'!S94+'Kaduna Workings'!S94+'Kano Workings'!S94+'Lagos Workings'!S94)/5</f>
        <v>2.87</v>
      </c>
      <c r="T94" s="44">
        <f>('Enugu Workings'!T94+'Jigawa Workings'!T94+'Kaduna Workings'!T94+'Kano Workings'!T94+'Lagos Workings'!T94)/5</f>
        <v>2.96</v>
      </c>
      <c r="U94" s="44">
        <f>('Enugu Workings'!U94+'Jigawa Workings'!U94+'Kaduna Workings'!U94+'Kano Workings'!U94+'Lagos Workings'!U94)/5</f>
        <v>3.05</v>
      </c>
      <c r="V94" s="44">
        <f>('Enugu Workings'!V94+'Jigawa Workings'!V94+'Kaduna Workings'!V94+'Kano Workings'!V94+'Lagos Workings'!V94)/5</f>
        <v>3.14</v>
      </c>
      <c r="W94" s="44">
        <f>('Enugu Workings'!W94+'Jigawa Workings'!W94+'Kaduna Workings'!W94+'Kano Workings'!W94+'Lagos Workings'!W94)/5</f>
        <v>3.3966666666666669</v>
      </c>
      <c r="X94" s="44">
        <f>('Enugu Workings'!X94+'Jigawa Workings'!X94+'Kaduna Workings'!X94+'Kano Workings'!X94+'Lagos Workings'!X94)/5</f>
        <v>3.5200000000000005</v>
      </c>
      <c r="Y94" s="43">
        <f>('Enugu Workings'!Y94+'Jigawa Workings'!Y94+'Kaduna Workings'!Y94+'Kano Workings'!Y94+'Lagos Workings'!Y94)/5</f>
        <v>3.5200000000000005</v>
      </c>
      <c r="Z94" s="44">
        <f>('Enugu Workings'!Z94+'Jigawa Workings'!Z94+'Kaduna Workings'!Z94+'Kano Workings'!Z94+'Lagos Workings'!Z94)/5</f>
        <v>3.5200000000000005</v>
      </c>
      <c r="AA94" s="38">
        <v>5</v>
      </c>
      <c r="AB94" s="420">
        <f>AA94/22</f>
        <v>0.22727272727272727</v>
      </c>
      <c r="AD94" s="450">
        <f>V94</f>
        <v>3.14</v>
      </c>
      <c r="AF94" s="339">
        <f t="shared" ref="AF94:AG95" si="30">IF($AG$1=16,R94,IF($AG$1=17,S94,IF($AG$1=18,T94,IF($AG$1=19,U94,IF($AG$1=20,V94,IF($AG$1=21,W94,IF($AG$1=22,X94,0)))))))</f>
        <v>3.3966666666666669</v>
      </c>
      <c r="AG94" s="339">
        <f t="shared" si="30"/>
        <v>3.5200000000000005</v>
      </c>
      <c r="AI94" s="338"/>
    </row>
    <row r="95" spans="1:35" s="340" customFormat="1" ht="15.75" thickBot="1">
      <c r="A95" s="45"/>
      <c r="B95" s="46" t="s">
        <v>140</v>
      </c>
      <c r="C95" s="79">
        <f>('Enugu Workings'!C95+'Jigawa Workings'!C95+'Kaduna Workings'!C95+'Kano Workings'!C95+'Lagos Workings'!C95)/5</f>
        <v>1.2</v>
      </c>
      <c r="D95" s="436">
        <f>('Enugu Workings'!D95+'Jigawa Workings'!D95+'Kaduna Workings'!D95+'Kano Workings'!D95+'Lagos Workings'!D95)/5</f>
        <v>1.24</v>
      </c>
      <c r="E95" s="437">
        <f>('Enugu Workings'!E95+'Jigawa Workings'!E95+'Kaduna Workings'!E95+'Kano Workings'!E95+'Lagos Workings'!E95)/5</f>
        <v>1.26</v>
      </c>
      <c r="F95" s="437">
        <f>('Enugu Workings'!F95+'Jigawa Workings'!F95+'Kaduna Workings'!F95+'Kano Workings'!F95+'Lagos Workings'!F95)/5</f>
        <v>1.3199999999999998</v>
      </c>
      <c r="G95" s="437">
        <f>('Enugu Workings'!G95+'Jigawa Workings'!G95+'Kaduna Workings'!G95+'Kano Workings'!G95+'Lagos Workings'!G95)/5</f>
        <v>1.3599999999999999</v>
      </c>
      <c r="H95" s="437">
        <f>('Enugu Workings'!H95+'Jigawa Workings'!H95+'Kaduna Workings'!H95+'Kano Workings'!H95+'Lagos Workings'!H95)/5</f>
        <v>1.3599999999999999</v>
      </c>
      <c r="I95" s="437">
        <f>('Enugu Workings'!I95+'Jigawa Workings'!I95+'Kaduna Workings'!I95+'Kano Workings'!I95+'Lagos Workings'!I95)/5</f>
        <v>1.92</v>
      </c>
      <c r="J95" s="437">
        <f>('Enugu Workings'!J95+'Jigawa Workings'!J95+'Kaduna Workings'!J95+'Kano Workings'!J95+'Lagos Workings'!J95)/5</f>
        <v>1.6199999999999999</v>
      </c>
      <c r="K95" s="437">
        <f>('Enugu Workings'!K95+'Jigawa Workings'!K95+'Kaduna Workings'!K95+'Kano Workings'!K95+'Lagos Workings'!K95)/5</f>
        <v>1.6199999999999999</v>
      </c>
      <c r="L95" s="437">
        <f>('Enugu Workings'!L95+'Jigawa Workings'!L95+'Kaduna Workings'!L95+'Kano Workings'!L95+'Lagos Workings'!L95)/5</f>
        <v>2.2000000000000002</v>
      </c>
      <c r="M95" s="437">
        <f>('Enugu Workings'!M95+'Jigawa Workings'!M95+'Kaduna Workings'!M95+'Kano Workings'!M95+'Lagos Workings'!M95)/5</f>
        <v>2.2000000000000002</v>
      </c>
      <c r="N95" s="439">
        <f>('Enugu Workings'!N95+'Jigawa Workings'!N95+'Kaduna Workings'!N95+'Kano Workings'!N95+'Lagos Workings'!N95)/5</f>
        <v>2.66</v>
      </c>
      <c r="O95" s="440">
        <f>('Enugu Workings'!O95+'Jigawa Workings'!O95+'Kaduna Workings'!O95+'Kano Workings'!O95+'Lagos Workings'!O95)/5</f>
        <v>2.6</v>
      </c>
      <c r="P95" s="440">
        <f>('Enugu Workings'!P95+'Jigawa Workings'!P95+'Kaduna Workings'!P95+'Kano Workings'!P95+'Lagos Workings'!P95)/5</f>
        <v>2.6800000000000006</v>
      </c>
      <c r="Q95" s="440">
        <f>('Enugu Workings'!Q95+'Jigawa Workings'!Q95+'Kaduna Workings'!Q95+'Kano Workings'!Q95+'Lagos Workings'!Q95)/5</f>
        <v>2.88</v>
      </c>
      <c r="R95" s="437">
        <f>('Enugu Workings'!R95+'Jigawa Workings'!R95+'Kaduna Workings'!R95+'Kano Workings'!R95+'Lagos Workings'!R95)/5</f>
        <v>3.04</v>
      </c>
      <c r="S95" s="437">
        <f>('Enugu Workings'!S95+'Jigawa Workings'!S95+'Kaduna Workings'!S95+'Kano Workings'!S95+'Lagos Workings'!S95)/5</f>
        <v>3.0999999999999996</v>
      </c>
      <c r="T95" s="437">
        <f>('Enugu Workings'!T95+'Jigawa Workings'!T95+'Kaduna Workings'!T95+'Kano Workings'!T95+'Lagos Workings'!T95)/5</f>
        <v>3.3599999999999994</v>
      </c>
      <c r="U95" s="437">
        <f>('Enugu Workings'!U95+'Jigawa Workings'!U95+'Kaduna Workings'!U95+'Kano Workings'!U95+'Lagos Workings'!U95)/5</f>
        <v>3.54</v>
      </c>
      <c r="V95" s="438">
        <f>('Enugu Workings'!V95+'Jigawa Workings'!V95+'Kaduna Workings'!V95+'Kano Workings'!V95+'Lagos Workings'!V95)/5</f>
        <v>3.28</v>
      </c>
      <c r="W95" s="80">
        <f>('Enugu Workings'!W95+'Jigawa Workings'!W95+'Kaduna Workings'!W95+'Kano Workings'!W95+'Lagos Workings'!W95)/5</f>
        <v>3.34</v>
      </c>
      <c r="X95" s="69">
        <f>('Enugu Workings'!X95+'Jigawa Workings'!X95+'Kaduna Workings'!X95+'Kano Workings'!X95+'Lagos Workings'!X95)/5</f>
        <v>3.44</v>
      </c>
      <c r="Y95" s="69">
        <f>('Enugu Workings'!Y95+'Jigawa Workings'!Y95+'Kaduna Workings'!Y95+'Kano Workings'!Y95+'Lagos Workings'!Y95)/5</f>
        <v>0</v>
      </c>
      <c r="Z95" s="69">
        <f>('Enugu Workings'!Z95+'Jigawa Workings'!Z95+'Kaduna Workings'!Z95+'Kano Workings'!Z95+'Lagos Workings'!Z95)/5</f>
        <v>0</v>
      </c>
      <c r="AA95" s="49"/>
      <c r="AB95" s="421"/>
      <c r="AD95" s="341">
        <f>V95</f>
        <v>3.28</v>
      </c>
      <c r="AE95" s="335"/>
      <c r="AF95" s="341">
        <f t="shared" si="30"/>
        <v>3.34</v>
      </c>
      <c r="AG95" s="341">
        <f t="shared" si="30"/>
        <v>3.44</v>
      </c>
      <c r="AH95" s="342">
        <f>AG95</f>
        <v>3.44</v>
      </c>
      <c r="AI95" s="342">
        <f>AG95</f>
        <v>3.44</v>
      </c>
    </row>
    <row r="96" spans="1:35" s="340" customFormat="1">
      <c r="A96" s="45"/>
      <c r="B96" s="46"/>
      <c r="C96" s="48"/>
      <c r="D96" s="83"/>
      <c r="E96" s="83"/>
      <c r="F96" s="83"/>
      <c r="G96" s="83"/>
      <c r="H96" s="83"/>
      <c r="I96" s="83"/>
      <c r="J96" s="83"/>
      <c r="K96" s="83"/>
      <c r="L96" s="48"/>
      <c r="M96" s="48"/>
      <c r="N96" s="48"/>
      <c r="O96" s="48"/>
      <c r="P96" s="48"/>
      <c r="Q96" s="48"/>
      <c r="R96" s="48"/>
      <c r="S96" s="48"/>
      <c r="T96" s="48"/>
      <c r="U96" s="48"/>
      <c r="V96" s="48"/>
      <c r="W96" s="48"/>
      <c r="X96" s="48"/>
      <c r="Y96" s="48"/>
      <c r="Z96" s="48"/>
      <c r="AA96" s="49"/>
      <c r="AB96" s="421"/>
      <c r="AE96" s="335"/>
      <c r="AF96" s="343"/>
      <c r="AG96" s="343"/>
      <c r="AH96" s="335"/>
      <c r="AI96" s="338"/>
    </row>
    <row r="97" spans="1:35" ht="15.75" thickBot="1">
      <c r="A97" s="41" t="s">
        <v>33</v>
      </c>
      <c r="B97" s="42" t="s">
        <v>139</v>
      </c>
      <c r="C97" s="43">
        <f>('Enugu Workings'!C97+'Jigawa Workings'!C97+'Kaduna Workings'!C97+'Kano Workings'!C97+'Lagos Workings'!C97)/5</f>
        <v>1.2</v>
      </c>
      <c r="D97" s="81">
        <f>('Enugu Workings'!D97+'Jigawa Workings'!D97+'Kaduna Workings'!D97+'Kano Workings'!D97+'Lagos Workings'!D97)/5</f>
        <v>1.3000000000000003</v>
      </c>
      <c r="E97" s="81">
        <f>('Enugu Workings'!E97+'Jigawa Workings'!E97+'Kaduna Workings'!E97+'Kano Workings'!E97+'Lagos Workings'!E97)/5</f>
        <v>1.4</v>
      </c>
      <c r="F97" s="81">
        <f>('Enugu Workings'!F97+'Jigawa Workings'!F97+'Kaduna Workings'!F97+'Kano Workings'!F97+'Lagos Workings'!F97)/5</f>
        <v>1.5</v>
      </c>
      <c r="G97" s="81">
        <f>('Enugu Workings'!G97+'Jigawa Workings'!G97+'Kaduna Workings'!G97+'Kano Workings'!G97+'Lagos Workings'!G97)/5</f>
        <v>1.6</v>
      </c>
      <c r="H97" s="81">
        <f>('Enugu Workings'!H97+'Jigawa Workings'!H97+'Kaduna Workings'!H97+'Kano Workings'!H97+'Lagos Workings'!H97)/5</f>
        <v>1.7000000000000004</v>
      </c>
      <c r="I97" s="82">
        <f>('Enugu Workings'!I97+'Jigawa Workings'!I97+'Kaduna Workings'!I97+'Kano Workings'!I97+'Lagos Workings'!I97)/5</f>
        <v>1.8</v>
      </c>
      <c r="J97" s="81">
        <f>('Enugu Workings'!J97+'Jigawa Workings'!J97+'Kaduna Workings'!J97+'Kano Workings'!J97+'Lagos Workings'!J97)/5</f>
        <v>1.95</v>
      </c>
      <c r="K97" s="81">
        <f>('Enugu Workings'!K97+'Jigawa Workings'!K97+'Kaduna Workings'!K97+'Kano Workings'!K97+'Lagos Workings'!K97)/5</f>
        <v>2.1</v>
      </c>
      <c r="L97" s="44">
        <f>('Enugu Workings'!L97+'Jigawa Workings'!L97+'Kaduna Workings'!L97+'Kano Workings'!L97+'Lagos Workings'!L97)/5</f>
        <v>2.25</v>
      </c>
      <c r="M97" s="44">
        <f>('Enugu Workings'!M97+'Jigawa Workings'!M97+'Kaduna Workings'!M97+'Kano Workings'!M97+'Lagos Workings'!M97)/5</f>
        <v>2.3999999999999995</v>
      </c>
      <c r="N97" s="43">
        <f>('Enugu Workings'!N97+'Jigawa Workings'!N97+'Kaduna Workings'!N97+'Kano Workings'!N97+'Lagos Workings'!N97)/5</f>
        <v>2.7</v>
      </c>
      <c r="O97" s="44">
        <f>('Enugu Workings'!O97+'Jigawa Workings'!O97+'Kaduna Workings'!O97+'Kano Workings'!O97+'Lagos Workings'!O97)/5</f>
        <v>2.8049999999999997</v>
      </c>
      <c r="P97" s="44">
        <f>('Enugu Workings'!P97+'Jigawa Workings'!P97+'Kaduna Workings'!P97+'Kano Workings'!P97+'Lagos Workings'!P97)/5</f>
        <v>2.9099999999999997</v>
      </c>
      <c r="Q97" s="44">
        <f>('Enugu Workings'!Q97+'Jigawa Workings'!Q97+'Kaduna Workings'!Q97+'Kano Workings'!Q97+'Lagos Workings'!Q97)/5</f>
        <v>3.0149999999999997</v>
      </c>
      <c r="R97" s="43">
        <f>('Enugu Workings'!R97+'Jigawa Workings'!R97+'Kaduna Workings'!R97+'Kano Workings'!R97+'Lagos Workings'!R97)/5</f>
        <v>3.12</v>
      </c>
      <c r="S97" s="44">
        <f>('Enugu Workings'!S97+'Jigawa Workings'!S97+'Kaduna Workings'!S97+'Kano Workings'!S97+'Lagos Workings'!S97)/5</f>
        <v>3.18</v>
      </c>
      <c r="T97" s="44">
        <f>('Enugu Workings'!T97+'Jigawa Workings'!T97+'Kaduna Workings'!T97+'Kano Workings'!T97+'Lagos Workings'!T97)/5</f>
        <v>3.2399999999999998</v>
      </c>
      <c r="U97" s="44">
        <f>('Enugu Workings'!U97+'Jigawa Workings'!U97+'Kaduna Workings'!U97+'Kano Workings'!U97+'Lagos Workings'!U97)/5</f>
        <v>3.3</v>
      </c>
      <c r="V97" s="44">
        <f>('Enugu Workings'!V97+'Jigawa Workings'!V97+'Kaduna Workings'!V97+'Kano Workings'!V97+'Lagos Workings'!V97)/5</f>
        <v>3.3599999999999994</v>
      </c>
      <c r="W97" s="44">
        <f>('Enugu Workings'!W97+'Jigawa Workings'!W97+'Kaduna Workings'!W97+'Kano Workings'!W97+'Lagos Workings'!W97)/5</f>
        <v>4.0200000000000005</v>
      </c>
      <c r="X97" s="44">
        <f>('Enugu Workings'!X97+'Jigawa Workings'!X97+'Kaduna Workings'!X97+'Kano Workings'!X97+'Lagos Workings'!X97)/5</f>
        <v>4.2</v>
      </c>
      <c r="Y97" s="43">
        <f>('Enugu Workings'!Y97+'Jigawa Workings'!Y97+'Kaduna Workings'!Y97+'Kano Workings'!Y97+'Lagos Workings'!Y97)/5</f>
        <v>4.2</v>
      </c>
      <c r="Z97" s="44">
        <f>('Enugu Workings'!Z97+'Jigawa Workings'!Z97+'Kaduna Workings'!Z97+'Kano Workings'!Z97+'Lagos Workings'!Z97)/5</f>
        <v>4.2</v>
      </c>
      <c r="AA97" s="38">
        <v>5</v>
      </c>
      <c r="AB97" s="420">
        <f>AA97/22</f>
        <v>0.22727272727272727</v>
      </c>
      <c r="AD97" s="450">
        <f>V97</f>
        <v>3.3599999999999994</v>
      </c>
      <c r="AF97" s="339">
        <f t="shared" ref="AF97:AG98" si="31">IF($AG$1=16,R97,IF($AG$1=17,S97,IF($AG$1=18,T97,IF($AG$1=19,U97,IF($AG$1=20,V97,IF($AG$1=21,W97,IF($AG$1=22,X97,0)))))))</f>
        <v>4.0200000000000005</v>
      </c>
      <c r="AG97" s="339">
        <f t="shared" si="31"/>
        <v>4.2</v>
      </c>
      <c r="AI97" s="338"/>
    </row>
    <row r="98" spans="1:35" s="340" customFormat="1" ht="15.75" thickBot="1">
      <c r="A98" s="45"/>
      <c r="B98" s="46" t="s">
        <v>140</v>
      </c>
      <c r="C98" s="79">
        <f>('Enugu Workings'!C98+'Jigawa Workings'!C98+'Kaduna Workings'!C98+'Kano Workings'!C98+'Lagos Workings'!C98)/5</f>
        <v>1.2</v>
      </c>
      <c r="D98" s="436">
        <f>('Enugu Workings'!D98+'Jigawa Workings'!D98+'Kaduna Workings'!D98+'Kano Workings'!D98+'Lagos Workings'!D98)/5</f>
        <v>1.06</v>
      </c>
      <c r="E98" s="437">
        <f>('Enugu Workings'!E98+'Jigawa Workings'!E98+'Kaduna Workings'!E98+'Kano Workings'!E98+'Lagos Workings'!E98)/5</f>
        <v>1.1000000000000001</v>
      </c>
      <c r="F98" s="437">
        <f>('Enugu Workings'!F98+'Jigawa Workings'!F98+'Kaduna Workings'!F98+'Kano Workings'!F98+'Lagos Workings'!F98)/5</f>
        <v>1.1000000000000001</v>
      </c>
      <c r="G98" s="437">
        <f>('Enugu Workings'!G98+'Jigawa Workings'!G98+'Kaduna Workings'!G98+'Kano Workings'!G98+'Lagos Workings'!G98)/5</f>
        <v>1.1400000000000001</v>
      </c>
      <c r="H98" s="437">
        <f>('Enugu Workings'!H98+'Jigawa Workings'!H98+'Kaduna Workings'!H98+'Kano Workings'!H98+'Lagos Workings'!H98)/5</f>
        <v>1.1599999999999999</v>
      </c>
      <c r="I98" s="437">
        <f>('Enugu Workings'!I98+'Jigawa Workings'!I98+'Kaduna Workings'!I98+'Kano Workings'!I98+'Lagos Workings'!I98)/5</f>
        <v>1.86</v>
      </c>
      <c r="J98" s="437">
        <f>('Enugu Workings'!J98+'Jigawa Workings'!J98+'Kaduna Workings'!J98+'Kano Workings'!J98+'Lagos Workings'!J98)/5</f>
        <v>1.72</v>
      </c>
      <c r="K98" s="437">
        <f>('Enugu Workings'!K98+'Jigawa Workings'!K98+'Kaduna Workings'!K98+'Kano Workings'!K98+'Lagos Workings'!K98)/5</f>
        <v>1.72</v>
      </c>
      <c r="L98" s="437">
        <f>('Enugu Workings'!L98+'Jigawa Workings'!L98+'Kaduna Workings'!L98+'Kano Workings'!L98+'Lagos Workings'!L98)/5</f>
        <v>2.2000000000000002</v>
      </c>
      <c r="M98" s="437">
        <f>('Enugu Workings'!M98+'Jigawa Workings'!M98+'Kaduna Workings'!M98+'Kano Workings'!M98+'Lagos Workings'!M98)/5</f>
        <v>2.2000000000000002</v>
      </c>
      <c r="N98" s="439">
        <f>('Enugu Workings'!N98+'Jigawa Workings'!N98+'Kaduna Workings'!N98+'Kano Workings'!N98+'Lagos Workings'!N98)/5</f>
        <v>2.66</v>
      </c>
      <c r="O98" s="440">
        <f>('Enugu Workings'!O98+'Jigawa Workings'!O98+'Kaduna Workings'!O98+'Kano Workings'!O98+'Lagos Workings'!O98)/5</f>
        <v>2.78</v>
      </c>
      <c r="P98" s="440">
        <f>('Enugu Workings'!P98+'Jigawa Workings'!P98+'Kaduna Workings'!P98+'Kano Workings'!P98+'Lagos Workings'!P98)/5</f>
        <v>3</v>
      </c>
      <c r="Q98" s="440">
        <f>('Enugu Workings'!Q98+'Jigawa Workings'!Q98+'Kaduna Workings'!Q98+'Kano Workings'!Q98+'Lagos Workings'!Q98)/5</f>
        <v>3.5200000000000005</v>
      </c>
      <c r="R98" s="437">
        <f>('Enugu Workings'!R98+'Jigawa Workings'!R98+'Kaduna Workings'!R98+'Kano Workings'!R98+'Lagos Workings'!R98)/5</f>
        <v>4.1400000000000006</v>
      </c>
      <c r="S98" s="437">
        <f>('Enugu Workings'!S98+'Jigawa Workings'!S98+'Kaduna Workings'!S98+'Kano Workings'!S98+'Lagos Workings'!S98)/5</f>
        <v>3.8</v>
      </c>
      <c r="T98" s="437">
        <f>('Enugu Workings'!T98+'Jigawa Workings'!T98+'Kaduna Workings'!T98+'Kano Workings'!T98+'Lagos Workings'!T98)/5</f>
        <v>3.84</v>
      </c>
      <c r="U98" s="437">
        <f>('Enugu Workings'!U98+'Jigawa Workings'!U98+'Kaduna Workings'!U98+'Kano Workings'!U98+'Lagos Workings'!U98)/5</f>
        <v>4.0600000000000005</v>
      </c>
      <c r="V98" s="438">
        <f>('Enugu Workings'!V98+'Jigawa Workings'!V98+'Kaduna Workings'!V98+'Kano Workings'!V98+'Lagos Workings'!V98)/5</f>
        <v>4.2799999999999994</v>
      </c>
      <c r="W98" s="80">
        <f>('Enugu Workings'!W98+'Jigawa Workings'!W98+'Kaduna Workings'!W98+'Kano Workings'!W98+'Lagos Workings'!W98)/5</f>
        <v>4.4399999999999995</v>
      </c>
      <c r="X98" s="69">
        <f>('Enugu Workings'!X98+'Jigawa Workings'!X98+'Kaduna Workings'!X98+'Kano Workings'!X98+'Lagos Workings'!X98)/5</f>
        <v>4.4399999999999995</v>
      </c>
      <c r="Y98" s="69">
        <f>('Enugu Workings'!Y98+'Jigawa Workings'!Y98+'Kaduna Workings'!Y98+'Kano Workings'!Y98+'Lagos Workings'!Y98)/5</f>
        <v>0</v>
      </c>
      <c r="Z98" s="69">
        <f>('Enugu Workings'!Z98+'Jigawa Workings'!Z98+'Kaduna Workings'!Z98+'Kano Workings'!Z98+'Lagos Workings'!Z98)/5</f>
        <v>0</v>
      </c>
      <c r="AA98" s="49"/>
      <c r="AB98" s="421"/>
      <c r="AD98" s="341">
        <f>V98</f>
        <v>4.2799999999999994</v>
      </c>
      <c r="AE98" s="335"/>
      <c r="AF98" s="341">
        <f t="shared" si="31"/>
        <v>4.4399999999999995</v>
      </c>
      <c r="AG98" s="341">
        <f t="shared" si="31"/>
        <v>4.4399999999999995</v>
      </c>
      <c r="AH98" s="342">
        <f>AG98</f>
        <v>4.4399999999999995</v>
      </c>
      <c r="AI98" s="342">
        <f>AG98</f>
        <v>4.4399999999999995</v>
      </c>
    </row>
    <row r="99" spans="1:35" s="340" customFormat="1">
      <c r="A99" s="45"/>
      <c r="B99" s="46"/>
      <c r="C99" s="48"/>
      <c r="D99" s="83"/>
      <c r="E99" s="83"/>
      <c r="F99" s="83"/>
      <c r="G99" s="83"/>
      <c r="H99" s="83"/>
      <c r="I99" s="83"/>
      <c r="J99" s="83"/>
      <c r="K99" s="83"/>
      <c r="L99" s="48"/>
      <c r="M99" s="48"/>
      <c r="N99" s="48"/>
      <c r="O99" s="48"/>
      <c r="P99" s="48"/>
      <c r="Q99" s="48"/>
      <c r="R99" s="48"/>
      <c r="S99" s="48"/>
      <c r="T99" s="48"/>
      <c r="U99" s="48"/>
      <c r="V99" s="48"/>
      <c r="W99" s="48"/>
      <c r="X99" s="48"/>
      <c r="Y99" s="48"/>
      <c r="Z99" s="48"/>
      <c r="AA99" s="49"/>
      <c r="AB99" s="421"/>
      <c r="AE99" s="335"/>
      <c r="AF99" s="343"/>
      <c r="AG99" s="343"/>
      <c r="AH99" s="335"/>
      <c r="AI99" s="338"/>
    </row>
    <row r="100" spans="1:35" ht="15.75" thickBot="1">
      <c r="A100" s="41" t="s">
        <v>34</v>
      </c>
      <c r="B100" s="42" t="s">
        <v>139</v>
      </c>
      <c r="C100" s="43">
        <f>('Enugu Workings'!C100+'Jigawa Workings'!C100+'Kaduna Workings'!C100+'Kano Workings'!C100+'Lagos Workings'!C100)/5</f>
        <v>1.2</v>
      </c>
      <c r="D100" s="81">
        <f>('Enugu Workings'!D100+'Jigawa Workings'!D100+'Kaduna Workings'!D100+'Kano Workings'!D100+'Lagos Workings'!D100)/5</f>
        <v>1.2333333333333334</v>
      </c>
      <c r="E100" s="81">
        <f>('Enugu Workings'!E100+'Jigawa Workings'!E100+'Kaduna Workings'!E100+'Kano Workings'!E100+'Lagos Workings'!E100)/5</f>
        <v>1.2666666666666668</v>
      </c>
      <c r="F100" s="81">
        <f>('Enugu Workings'!F100+'Jigawa Workings'!F100+'Kaduna Workings'!F100+'Kano Workings'!F100+'Lagos Workings'!F100)/5</f>
        <v>1.3</v>
      </c>
      <c r="G100" s="81">
        <f>('Enugu Workings'!G100+'Jigawa Workings'!G100+'Kaduna Workings'!G100+'Kano Workings'!G100+'Lagos Workings'!G100)/5</f>
        <v>1.3333333333333335</v>
      </c>
      <c r="H100" s="81">
        <f>('Enugu Workings'!H100+'Jigawa Workings'!H100+'Kaduna Workings'!H100+'Kano Workings'!H100+'Lagos Workings'!H100)/5</f>
        <v>1.3666666666666667</v>
      </c>
      <c r="I100" s="82">
        <f>('Enugu Workings'!I100+'Jigawa Workings'!I100+'Kaduna Workings'!I100+'Kano Workings'!I100+'Lagos Workings'!I100)/5</f>
        <v>1.4</v>
      </c>
      <c r="J100" s="81">
        <f>('Enugu Workings'!J100+'Jigawa Workings'!J100+'Kaduna Workings'!J100+'Kano Workings'!J100+'Lagos Workings'!J100)/5</f>
        <v>1.5666666666666669</v>
      </c>
      <c r="K100" s="81">
        <f>('Enugu Workings'!K100+'Jigawa Workings'!K100+'Kaduna Workings'!K100+'Kano Workings'!K100+'Lagos Workings'!K100)/5</f>
        <v>1.7333333333333336</v>
      </c>
      <c r="L100" s="44">
        <f>('Enugu Workings'!L100+'Jigawa Workings'!L100+'Kaduna Workings'!L100+'Kano Workings'!L100+'Lagos Workings'!L100)/5</f>
        <v>1.9</v>
      </c>
      <c r="M100" s="44">
        <f>('Enugu Workings'!M100+'Jigawa Workings'!M100+'Kaduna Workings'!M100+'Kano Workings'!M100+'Lagos Workings'!M100)/5</f>
        <v>2.0666666666666664</v>
      </c>
      <c r="N100" s="43">
        <f>('Enugu Workings'!N100+'Jigawa Workings'!N100+'Kaduna Workings'!N100+'Kano Workings'!N100+'Lagos Workings'!N100)/5</f>
        <v>2.4</v>
      </c>
      <c r="O100" s="44">
        <f>('Enugu Workings'!O100+'Jigawa Workings'!O100+'Kaduna Workings'!O100+'Kano Workings'!O100+'Lagos Workings'!O100)/5</f>
        <v>2.4850000000000003</v>
      </c>
      <c r="P100" s="44">
        <f>('Enugu Workings'!P100+'Jigawa Workings'!P100+'Kaduna Workings'!P100+'Kano Workings'!P100+'Lagos Workings'!P100)/5</f>
        <v>2.57</v>
      </c>
      <c r="Q100" s="44">
        <f>('Enugu Workings'!Q100+'Jigawa Workings'!Q100+'Kaduna Workings'!Q100+'Kano Workings'!Q100+'Lagos Workings'!Q100)/5</f>
        <v>2.6549999999999998</v>
      </c>
      <c r="R100" s="43">
        <f>('Enugu Workings'!R100+'Jigawa Workings'!R100+'Kaduna Workings'!R100+'Kano Workings'!R100+'Lagos Workings'!R100)/5</f>
        <v>2.7399999999999998</v>
      </c>
      <c r="S100" s="44">
        <f>('Enugu Workings'!S100+'Jigawa Workings'!S100+'Kaduna Workings'!S100+'Kano Workings'!S100+'Lagos Workings'!S100)/5</f>
        <v>2.8266666666666671</v>
      </c>
      <c r="T100" s="44">
        <f>('Enugu Workings'!T100+'Jigawa Workings'!T100+'Kaduna Workings'!T100+'Kano Workings'!T100+'Lagos Workings'!T100)/5</f>
        <v>2.9133333333333336</v>
      </c>
      <c r="U100" s="44">
        <f>('Enugu Workings'!U100+'Jigawa Workings'!U100+'Kaduna Workings'!U100+'Kano Workings'!U100+'Lagos Workings'!U100)/5</f>
        <v>3</v>
      </c>
      <c r="V100" s="44">
        <f>('Enugu Workings'!V100+'Jigawa Workings'!V100+'Kaduna Workings'!V100+'Kano Workings'!V100+'Lagos Workings'!V100)/5</f>
        <v>3.0866666666666669</v>
      </c>
      <c r="W100" s="44">
        <f>('Enugu Workings'!W100+'Jigawa Workings'!W100+'Kaduna Workings'!W100+'Kano Workings'!W100+'Lagos Workings'!W100)/5</f>
        <v>3.0733333333333337</v>
      </c>
      <c r="X100" s="44">
        <f>('Enugu Workings'!X100+'Jigawa Workings'!X100+'Kaduna Workings'!X100+'Kano Workings'!X100+'Lagos Workings'!X100)/5</f>
        <v>3.1400000000000006</v>
      </c>
      <c r="Y100" s="43">
        <f>('Enugu Workings'!Y100+'Jigawa Workings'!Y100+'Kaduna Workings'!Y100+'Kano Workings'!Y100+'Lagos Workings'!Y100)/5</f>
        <v>3.1399999999999997</v>
      </c>
      <c r="Z100" s="44">
        <f>('Enugu Workings'!Z100+'Jigawa Workings'!Z100+'Kaduna Workings'!Z100+'Kano Workings'!Z100+'Lagos Workings'!Z100)/5</f>
        <v>3.1399999999999997</v>
      </c>
      <c r="AA100" s="38">
        <v>5</v>
      </c>
      <c r="AB100" s="420">
        <f>AA100/22</f>
        <v>0.22727272727272727</v>
      </c>
      <c r="AD100" s="450">
        <f>V100</f>
        <v>3.0866666666666669</v>
      </c>
      <c r="AF100" s="339">
        <f t="shared" ref="AF100:AG101" si="32">IF($AG$1=16,R100,IF($AG$1=17,S100,IF($AG$1=18,T100,IF($AG$1=19,U100,IF($AG$1=20,V100,IF($AG$1=21,W100,IF($AG$1=22,X100,0)))))))</f>
        <v>3.0733333333333337</v>
      </c>
      <c r="AG100" s="339">
        <f t="shared" si="32"/>
        <v>3.1400000000000006</v>
      </c>
      <c r="AI100" s="338"/>
    </row>
    <row r="101" spans="1:35" s="340" customFormat="1" ht="15.75" thickBot="1">
      <c r="A101" s="45"/>
      <c r="B101" s="46" t="s">
        <v>140</v>
      </c>
      <c r="C101" s="79">
        <f>('Enugu Workings'!C101+'Jigawa Workings'!C101+'Kaduna Workings'!C101+'Kano Workings'!C101+'Lagos Workings'!C101)/5</f>
        <v>1.2</v>
      </c>
      <c r="D101" s="436">
        <f>('Enugu Workings'!D101+'Jigawa Workings'!D101+'Kaduna Workings'!D101+'Kano Workings'!D101+'Lagos Workings'!D101)/5</f>
        <v>1.4</v>
      </c>
      <c r="E101" s="437">
        <f>('Enugu Workings'!E101+'Jigawa Workings'!E101+'Kaduna Workings'!E101+'Kano Workings'!E101+'Lagos Workings'!E101)/5</f>
        <v>1.4</v>
      </c>
      <c r="F101" s="437">
        <f>('Enugu Workings'!F101+'Jigawa Workings'!F101+'Kaduna Workings'!F101+'Kano Workings'!F101+'Lagos Workings'!F101)/5</f>
        <v>1.4</v>
      </c>
      <c r="G101" s="437">
        <f>('Enugu Workings'!G101+'Jigawa Workings'!G101+'Kaduna Workings'!G101+'Kano Workings'!G101+'Lagos Workings'!G101)/5</f>
        <v>1.4</v>
      </c>
      <c r="H101" s="437">
        <f>('Enugu Workings'!H101+'Jigawa Workings'!H101+'Kaduna Workings'!H101+'Kano Workings'!H101+'Lagos Workings'!H101)/5</f>
        <v>1.4</v>
      </c>
      <c r="I101" s="437">
        <f>('Enugu Workings'!I101+'Jigawa Workings'!I101+'Kaduna Workings'!I101+'Kano Workings'!I101+'Lagos Workings'!I101)/5</f>
        <v>2.1</v>
      </c>
      <c r="J101" s="437">
        <f>('Enugu Workings'!J101+'Jigawa Workings'!J101+'Kaduna Workings'!J101+'Kano Workings'!J101+'Lagos Workings'!J101)/5</f>
        <v>1.9600000000000002</v>
      </c>
      <c r="K101" s="437">
        <f>('Enugu Workings'!K101+'Jigawa Workings'!K101+'Kaduna Workings'!K101+'Kano Workings'!K101+'Lagos Workings'!K101)/5</f>
        <v>2.06</v>
      </c>
      <c r="L101" s="437">
        <f>('Enugu Workings'!L101+'Jigawa Workings'!L101+'Kaduna Workings'!L101+'Kano Workings'!L101+'Lagos Workings'!L101)/5</f>
        <v>2.6</v>
      </c>
      <c r="M101" s="437">
        <f>('Enugu Workings'!M101+'Jigawa Workings'!M101+'Kaduna Workings'!M101+'Kano Workings'!M101+'Lagos Workings'!M101)/5</f>
        <v>2.6</v>
      </c>
      <c r="N101" s="439">
        <f>('Enugu Workings'!N101+'Jigawa Workings'!N101+'Kaduna Workings'!N101+'Kano Workings'!N101+'Lagos Workings'!N101)/5</f>
        <v>2.2200000000000002</v>
      </c>
      <c r="O101" s="440">
        <f>('Enugu Workings'!O101+'Jigawa Workings'!O101+'Kaduna Workings'!O101+'Kano Workings'!O101+'Lagos Workings'!O101)/5</f>
        <v>2.44</v>
      </c>
      <c r="P101" s="440">
        <f>('Enugu Workings'!P101+'Jigawa Workings'!P101+'Kaduna Workings'!P101+'Kano Workings'!P101+'Lagos Workings'!P101)/5</f>
        <v>2.6</v>
      </c>
      <c r="Q101" s="440">
        <f>('Enugu Workings'!Q101+'Jigawa Workings'!Q101+'Kaduna Workings'!Q101+'Kano Workings'!Q101+'Lagos Workings'!Q101)/5</f>
        <v>2.9</v>
      </c>
      <c r="R101" s="437">
        <f>('Enugu Workings'!R101+'Jigawa Workings'!R101+'Kaduna Workings'!R101+'Kano Workings'!R101+'Lagos Workings'!R101)/5</f>
        <v>2.84</v>
      </c>
      <c r="S101" s="437">
        <f>('Enugu Workings'!S101+'Jigawa Workings'!S101+'Kaduna Workings'!S101+'Kano Workings'!S101+'Lagos Workings'!S101)/5</f>
        <v>2.94</v>
      </c>
      <c r="T101" s="437">
        <f>('Enugu Workings'!T101+'Jigawa Workings'!T101+'Kaduna Workings'!T101+'Kano Workings'!T101+'Lagos Workings'!T101)/5</f>
        <v>3.34</v>
      </c>
      <c r="U101" s="437">
        <f>('Enugu Workings'!U101+'Jigawa Workings'!U101+'Kaduna Workings'!U101+'Kano Workings'!U101+'Lagos Workings'!U101)/5</f>
        <v>3.44</v>
      </c>
      <c r="V101" s="438">
        <f>('Enugu Workings'!V101+'Jigawa Workings'!V101+'Kaduna Workings'!V101+'Kano Workings'!V101+'Lagos Workings'!V101)/5</f>
        <v>3.4800000000000004</v>
      </c>
      <c r="W101" s="80">
        <f>('Enugu Workings'!W101+'Jigawa Workings'!W101+'Kaduna Workings'!W101+'Kano Workings'!W101+'Lagos Workings'!W101)/5</f>
        <v>3.5400000000000005</v>
      </c>
      <c r="X101" s="69">
        <f>('Enugu Workings'!X101+'Jigawa Workings'!X101+'Kaduna Workings'!X101+'Kano Workings'!X101+'Lagos Workings'!X101)/5</f>
        <v>3.56</v>
      </c>
      <c r="Y101" s="69">
        <f>('Enugu Workings'!Y101+'Jigawa Workings'!Y101+'Kaduna Workings'!Y101+'Kano Workings'!Y101+'Lagos Workings'!Y101)/5</f>
        <v>0</v>
      </c>
      <c r="Z101" s="69">
        <f>('Enugu Workings'!Z101+'Jigawa Workings'!Z101+'Kaduna Workings'!Z101+'Kano Workings'!Z101+'Lagos Workings'!Z101)/5</f>
        <v>0</v>
      </c>
      <c r="AA101" s="49"/>
      <c r="AB101" s="421"/>
      <c r="AD101" s="341">
        <f>V101</f>
        <v>3.4800000000000004</v>
      </c>
      <c r="AE101" s="335"/>
      <c r="AF101" s="341">
        <f t="shared" si="32"/>
        <v>3.5400000000000005</v>
      </c>
      <c r="AG101" s="341">
        <f t="shared" si="32"/>
        <v>3.56</v>
      </c>
      <c r="AH101" s="342">
        <f>AG101</f>
        <v>3.56</v>
      </c>
      <c r="AI101" s="342">
        <f>AG101</f>
        <v>3.56</v>
      </c>
    </row>
    <row r="102" spans="1:35" s="340" customFormat="1">
      <c r="A102" s="45"/>
      <c r="B102" s="46"/>
      <c r="C102" s="48"/>
      <c r="D102" s="83"/>
      <c r="E102" s="83"/>
      <c r="F102" s="83"/>
      <c r="G102" s="83"/>
      <c r="H102" s="83"/>
      <c r="I102" s="83"/>
      <c r="J102" s="83"/>
      <c r="K102" s="83"/>
      <c r="L102" s="48"/>
      <c r="M102" s="48"/>
      <c r="N102" s="48"/>
      <c r="O102" s="48"/>
      <c r="P102" s="48"/>
      <c r="Q102" s="48"/>
      <c r="R102" s="48"/>
      <c r="S102" s="48"/>
      <c r="T102" s="48"/>
      <c r="U102" s="48"/>
      <c r="V102" s="48"/>
      <c r="W102" s="48"/>
      <c r="X102" s="48"/>
      <c r="Y102" s="48"/>
      <c r="Z102" s="48"/>
      <c r="AA102" s="49"/>
      <c r="AB102" s="421"/>
      <c r="AE102" s="335"/>
      <c r="AF102" s="343"/>
      <c r="AG102" s="343"/>
      <c r="AH102" s="335"/>
      <c r="AI102" s="338"/>
    </row>
    <row r="103" spans="1:35" ht="15.75" thickBot="1">
      <c r="A103" s="41" t="s">
        <v>41</v>
      </c>
      <c r="B103" s="42" t="s">
        <v>139</v>
      </c>
      <c r="C103" s="43">
        <f>('Enugu Workings'!C103+'Jigawa Workings'!C103+'Kaduna Workings'!C103+'Kano Workings'!C103+'Lagos Workings'!C103)/5</f>
        <v>1.2</v>
      </c>
      <c r="D103" s="81">
        <f>('Enugu Workings'!D103+'Jigawa Workings'!D103+'Kaduna Workings'!D103+'Kano Workings'!D103+'Lagos Workings'!D103)/5</f>
        <v>1.2666666666666668</v>
      </c>
      <c r="E103" s="81">
        <f>('Enugu Workings'!E103+'Jigawa Workings'!E103+'Kaduna Workings'!E103+'Kano Workings'!E103+'Lagos Workings'!E103)/5</f>
        <v>1.3333333333333335</v>
      </c>
      <c r="F103" s="81">
        <f>('Enugu Workings'!F103+'Jigawa Workings'!F103+'Kaduna Workings'!F103+'Kano Workings'!F103+'Lagos Workings'!F103)/5</f>
        <v>1.4</v>
      </c>
      <c r="G103" s="81">
        <f>('Enugu Workings'!G103+'Jigawa Workings'!G103+'Kaduna Workings'!G103+'Kano Workings'!G103+'Lagos Workings'!G103)/5</f>
        <v>1.4666666666666668</v>
      </c>
      <c r="H103" s="81">
        <f>('Enugu Workings'!H103+'Jigawa Workings'!H103+'Kaduna Workings'!H103+'Kano Workings'!H103+'Lagos Workings'!H103)/5</f>
        <v>1.5333333333333337</v>
      </c>
      <c r="I103" s="82">
        <f>('Enugu Workings'!I103+'Jigawa Workings'!I103+'Kaduna Workings'!I103+'Kano Workings'!I103+'Lagos Workings'!I103)/5</f>
        <v>1.6</v>
      </c>
      <c r="J103" s="81">
        <f>('Enugu Workings'!J103+'Jigawa Workings'!J103+'Kaduna Workings'!J103+'Kano Workings'!J103+'Lagos Workings'!J103)/5</f>
        <v>1.7666666666666664</v>
      </c>
      <c r="K103" s="81">
        <f>('Enugu Workings'!K103+'Jigawa Workings'!K103+'Kaduna Workings'!K103+'Kano Workings'!K103+'Lagos Workings'!K103)/5</f>
        <v>1.9333333333333331</v>
      </c>
      <c r="L103" s="44">
        <f>('Enugu Workings'!L103+'Jigawa Workings'!L103+'Kaduna Workings'!L103+'Kano Workings'!L103+'Lagos Workings'!L103)/5</f>
        <v>2.1</v>
      </c>
      <c r="M103" s="44">
        <f>('Enugu Workings'!M103+'Jigawa Workings'!M103+'Kaduna Workings'!M103+'Kano Workings'!M103+'Lagos Workings'!M103)/5</f>
        <v>2.2666666666666666</v>
      </c>
      <c r="N103" s="43">
        <f>('Enugu Workings'!N103+'Jigawa Workings'!N103+'Kaduna Workings'!N103+'Kano Workings'!N103+'Lagos Workings'!N103)/5</f>
        <v>2.6</v>
      </c>
      <c r="O103" s="44">
        <f>('Enugu Workings'!O103+'Jigawa Workings'!O103+'Kaduna Workings'!O103+'Kano Workings'!O103+'Lagos Workings'!O103)/5</f>
        <v>2.6399999999999997</v>
      </c>
      <c r="P103" s="44">
        <f>('Enugu Workings'!P103+'Jigawa Workings'!P103+'Kaduna Workings'!P103+'Kano Workings'!P103+'Lagos Workings'!P103)/5</f>
        <v>2.6799999999999997</v>
      </c>
      <c r="Q103" s="44">
        <f>('Enugu Workings'!Q103+'Jigawa Workings'!Q103+'Kaduna Workings'!Q103+'Kano Workings'!Q103+'Lagos Workings'!Q103)/5</f>
        <v>2.7199999999999998</v>
      </c>
      <c r="R103" s="43">
        <f>('Enugu Workings'!R103+'Jigawa Workings'!R103+'Kaduna Workings'!R103+'Kano Workings'!R103+'Lagos Workings'!R103)/5</f>
        <v>2.7600000000000002</v>
      </c>
      <c r="S103" s="44">
        <f>('Enugu Workings'!S103+'Jigawa Workings'!S103+'Kaduna Workings'!S103+'Kano Workings'!S103+'Lagos Workings'!S103)/5</f>
        <v>2.8266666666666671</v>
      </c>
      <c r="T103" s="44">
        <f>('Enugu Workings'!T103+'Jigawa Workings'!T103+'Kaduna Workings'!T103+'Kano Workings'!T103+'Lagos Workings'!T103)/5</f>
        <v>2.8933333333333335</v>
      </c>
      <c r="U103" s="44">
        <f>('Enugu Workings'!U103+'Jigawa Workings'!U103+'Kaduna Workings'!U103+'Kano Workings'!U103+'Lagos Workings'!U103)/5</f>
        <v>2.96</v>
      </c>
      <c r="V103" s="44">
        <f>('Enugu Workings'!V103+'Jigawa Workings'!V103+'Kaduna Workings'!V103+'Kano Workings'!V103+'Lagos Workings'!V103)/5</f>
        <v>3.0266666666666668</v>
      </c>
      <c r="W103" s="44">
        <f>('Enugu Workings'!W103+'Jigawa Workings'!W103+'Kaduna Workings'!W103+'Kano Workings'!W103+'Lagos Workings'!W103)/5</f>
        <v>3.2766666666666664</v>
      </c>
      <c r="X103" s="44">
        <f>('Enugu Workings'!X103+'Jigawa Workings'!X103+'Kaduna Workings'!X103+'Kano Workings'!X103+'Lagos Workings'!X103)/5</f>
        <v>3.38</v>
      </c>
      <c r="Y103" s="43">
        <f>('Enugu Workings'!Y103+'Jigawa Workings'!Y103+'Kaduna Workings'!Y103+'Kano Workings'!Y103+'Lagos Workings'!Y103)/5</f>
        <v>3.38</v>
      </c>
      <c r="Z103" s="44">
        <f>('Enugu Workings'!Z103+'Jigawa Workings'!Z103+'Kaduna Workings'!Z103+'Kano Workings'!Z103+'Lagos Workings'!Z103)/5</f>
        <v>3.38</v>
      </c>
      <c r="AA103" s="38">
        <v>5</v>
      </c>
      <c r="AB103" s="420">
        <f>AA103/22</f>
        <v>0.22727272727272727</v>
      </c>
      <c r="AD103" s="450">
        <f>V103</f>
        <v>3.0266666666666668</v>
      </c>
      <c r="AF103" s="339">
        <f t="shared" ref="AF103:AG104" si="33">IF($AG$1=16,R103,IF($AG$1=17,S103,IF($AG$1=18,T103,IF($AG$1=19,U103,IF($AG$1=20,V103,IF($AG$1=21,W103,IF($AG$1=22,X103,0)))))))</f>
        <v>3.2766666666666664</v>
      </c>
      <c r="AG103" s="339">
        <f t="shared" si="33"/>
        <v>3.38</v>
      </c>
      <c r="AI103" s="338"/>
    </row>
    <row r="104" spans="1:35" s="340" customFormat="1" ht="15.75" thickBot="1">
      <c r="A104" s="45"/>
      <c r="B104" s="46" t="s">
        <v>140</v>
      </c>
      <c r="C104" s="79">
        <f>('Enugu Workings'!C104+'Jigawa Workings'!C104+'Kaduna Workings'!C104+'Kano Workings'!C104+'Lagos Workings'!C104)/5</f>
        <v>1.2</v>
      </c>
      <c r="D104" s="436">
        <f>('Enugu Workings'!D104+'Jigawa Workings'!D104+'Kaduna Workings'!D104+'Kano Workings'!D104+'Lagos Workings'!D104)/5</f>
        <v>1.2</v>
      </c>
      <c r="E104" s="437">
        <f>('Enugu Workings'!E104+'Jigawa Workings'!E104+'Kaduna Workings'!E104+'Kano Workings'!E104+'Lagos Workings'!E104)/5</f>
        <v>1.2</v>
      </c>
      <c r="F104" s="437">
        <f>('Enugu Workings'!F104+'Jigawa Workings'!F104+'Kaduna Workings'!F104+'Kano Workings'!F104+'Lagos Workings'!F104)/5</f>
        <v>1.2</v>
      </c>
      <c r="G104" s="437">
        <f>('Enugu Workings'!G104+'Jigawa Workings'!G104+'Kaduna Workings'!G104+'Kano Workings'!G104+'Lagos Workings'!G104)/5</f>
        <v>1.2</v>
      </c>
      <c r="H104" s="437">
        <f>('Enugu Workings'!H104+'Jigawa Workings'!H104+'Kaduna Workings'!H104+'Kano Workings'!H104+'Lagos Workings'!H104)/5</f>
        <v>1.2</v>
      </c>
      <c r="I104" s="437">
        <f>('Enugu Workings'!I104+'Jigawa Workings'!I104+'Kaduna Workings'!I104+'Kano Workings'!I104+'Lagos Workings'!I104)/5</f>
        <v>1.7399999999999998</v>
      </c>
      <c r="J104" s="437">
        <f>('Enugu Workings'!J104+'Jigawa Workings'!J104+'Kaduna Workings'!J104+'Kano Workings'!J104+'Lagos Workings'!J104)/5</f>
        <v>1.54</v>
      </c>
      <c r="K104" s="437">
        <f>('Enugu Workings'!K104+'Jigawa Workings'!K104+'Kaduna Workings'!K104+'Kano Workings'!K104+'Lagos Workings'!K104)/5</f>
        <v>1.54</v>
      </c>
      <c r="L104" s="437">
        <f>('Enugu Workings'!L104+'Jigawa Workings'!L104+'Kaduna Workings'!L104+'Kano Workings'!L104+'Lagos Workings'!L104)/5</f>
        <v>2.2000000000000002</v>
      </c>
      <c r="M104" s="437">
        <f>('Enugu Workings'!M104+'Jigawa Workings'!M104+'Kaduna Workings'!M104+'Kano Workings'!M104+'Lagos Workings'!M104)/5</f>
        <v>2.2000000000000002</v>
      </c>
      <c r="N104" s="439">
        <f>('Enugu Workings'!N104+'Jigawa Workings'!N104+'Kaduna Workings'!N104+'Kano Workings'!N104+'Lagos Workings'!N104)/5</f>
        <v>2.12</v>
      </c>
      <c r="O104" s="440">
        <f>('Enugu Workings'!O104+'Jigawa Workings'!O104+'Kaduna Workings'!O104+'Kano Workings'!O104+'Lagos Workings'!O104)/5</f>
        <v>2.2399999999999998</v>
      </c>
      <c r="P104" s="440">
        <f>('Enugu Workings'!P104+'Jigawa Workings'!P104+'Kaduna Workings'!P104+'Kano Workings'!P104+'Lagos Workings'!P104)/5</f>
        <v>2.62</v>
      </c>
      <c r="Q104" s="440">
        <f>('Enugu Workings'!Q104+'Jigawa Workings'!Q104+'Kaduna Workings'!Q104+'Kano Workings'!Q104+'Lagos Workings'!Q104)/5</f>
        <v>2.9200000000000004</v>
      </c>
      <c r="R104" s="437">
        <f>('Enugu Workings'!R104+'Jigawa Workings'!R104+'Kaduna Workings'!R104+'Kano Workings'!R104+'Lagos Workings'!R104)/5</f>
        <v>3.06</v>
      </c>
      <c r="S104" s="437">
        <f>('Enugu Workings'!S104+'Jigawa Workings'!S104+'Kaduna Workings'!S104+'Kano Workings'!S104+'Lagos Workings'!S104)/5</f>
        <v>3.18</v>
      </c>
      <c r="T104" s="437">
        <f>('Enugu Workings'!T104+'Jigawa Workings'!T104+'Kaduna Workings'!T104+'Kano Workings'!T104+'Lagos Workings'!T104)/5</f>
        <v>3.38</v>
      </c>
      <c r="U104" s="437">
        <f>('Enugu Workings'!U104+'Jigawa Workings'!U104+'Kaduna Workings'!U104+'Kano Workings'!U104+'Lagos Workings'!U104)/5</f>
        <v>3.6399999999999997</v>
      </c>
      <c r="V104" s="438">
        <f>('Enugu Workings'!V104+'Jigawa Workings'!V104+'Kaduna Workings'!V104+'Kano Workings'!V104+'Lagos Workings'!V104)/5</f>
        <v>3.46</v>
      </c>
      <c r="W104" s="80">
        <f>('Enugu Workings'!W104+'Jigawa Workings'!W104+'Kaduna Workings'!W104+'Kano Workings'!W104+'Lagos Workings'!W104)/5</f>
        <v>3.4799999999999995</v>
      </c>
      <c r="X104" s="69">
        <f>('Enugu Workings'!X104+'Jigawa Workings'!X104+'Kaduna Workings'!X104+'Kano Workings'!X104+'Lagos Workings'!X104)/5</f>
        <v>3.46</v>
      </c>
      <c r="Y104" s="69">
        <f>('Enugu Workings'!Y104+'Jigawa Workings'!Y104+'Kaduna Workings'!Y104+'Kano Workings'!Y104+'Lagos Workings'!Y104)/5</f>
        <v>0</v>
      </c>
      <c r="Z104" s="69">
        <f>('Enugu Workings'!Z104+'Jigawa Workings'!Z104+'Kaduna Workings'!Z104+'Kano Workings'!Z104+'Lagos Workings'!Z104)/5</f>
        <v>0</v>
      </c>
      <c r="AA104" s="49"/>
      <c r="AB104" s="421"/>
      <c r="AD104" s="341">
        <f>V104</f>
        <v>3.46</v>
      </c>
      <c r="AE104" s="335"/>
      <c r="AF104" s="341">
        <f t="shared" si="33"/>
        <v>3.4799999999999995</v>
      </c>
      <c r="AG104" s="341">
        <f t="shared" si="33"/>
        <v>3.46</v>
      </c>
      <c r="AH104" s="342">
        <f>AG104</f>
        <v>3.46</v>
      </c>
      <c r="AI104" s="342">
        <f>AG104</f>
        <v>3.46</v>
      </c>
    </row>
    <row r="105" spans="1:35" s="340" customFormat="1">
      <c r="A105" s="45"/>
      <c r="B105" s="46"/>
      <c r="C105" s="48"/>
      <c r="D105" s="83"/>
      <c r="E105" s="83"/>
      <c r="F105" s="83"/>
      <c r="G105" s="83"/>
      <c r="H105" s="83"/>
      <c r="I105" s="83"/>
      <c r="J105" s="83"/>
      <c r="K105" s="83"/>
      <c r="L105" s="48"/>
      <c r="M105" s="48"/>
      <c r="N105" s="48"/>
      <c r="O105" s="48"/>
      <c r="P105" s="48"/>
      <c r="Q105" s="48"/>
      <c r="R105" s="48"/>
      <c r="S105" s="48"/>
      <c r="T105" s="48"/>
      <c r="U105" s="48"/>
      <c r="V105" s="48"/>
      <c r="W105" s="48"/>
      <c r="X105" s="48"/>
      <c r="Y105" s="48"/>
      <c r="Z105" s="48"/>
      <c r="AA105" s="49"/>
      <c r="AB105" s="421"/>
      <c r="AE105" s="335"/>
      <c r="AF105" s="343"/>
      <c r="AG105" s="343"/>
      <c r="AH105" s="335"/>
      <c r="AI105" s="338"/>
    </row>
    <row r="106" spans="1:35" ht="15.75" thickBot="1">
      <c r="A106" s="41" t="s">
        <v>181</v>
      </c>
      <c r="B106" s="42" t="s">
        <v>204</v>
      </c>
      <c r="C106" s="43">
        <f>('Enugu Workings'!C106+'Jigawa Workings'!C106+'Kaduna Workings'!C106+'Kano Workings'!C106+'Lagos Workings'!C106)</f>
        <v>0</v>
      </c>
      <c r="D106" s="73">
        <f>('Enugu Workings'!D106+'Jigawa Workings'!D106+'Kaduna Workings'!D106+'Kano Workings'!D106+'Lagos Workings'!D106)</f>
        <v>2.3333333333333335</v>
      </c>
      <c r="E106" s="73">
        <f>('Enugu Workings'!E106+'Jigawa Workings'!E106+'Kaduna Workings'!E106+'Kano Workings'!E106+'Lagos Workings'!E106)</f>
        <v>4.666666666666667</v>
      </c>
      <c r="F106" s="73">
        <f>('Enugu Workings'!F106+'Jigawa Workings'!F106+'Kaduna Workings'!F106+'Kano Workings'!F106+'Lagos Workings'!F106)</f>
        <v>7</v>
      </c>
      <c r="G106" s="73">
        <f>('Enugu Workings'!G106+'Jigawa Workings'!G106+'Kaduna Workings'!G106+'Kano Workings'!G106+'Lagos Workings'!G106)</f>
        <v>9.3333333333333339</v>
      </c>
      <c r="H106" s="73">
        <f>('Enugu Workings'!H106+'Jigawa Workings'!H106+'Kaduna Workings'!H106+'Kano Workings'!H106+'Lagos Workings'!H106)</f>
        <v>11.666666666666666</v>
      </c>
      <c r="I106" s="74">
        <f>('Enugu Workings'!I106+'Jigawa Workings'!I106+'Kaduna Workings'!I106+'Kano Workings'!I106+'Lagos Workings'!I106)</f>
        <v>14</v>
      </c>
      <c r="J106" s="73">
        <f>('Enugu Workings'!J106+'Jigawa Workings'!J106+'Kaduna Workings'!J106+'Kano Workings'!J106+'Lagos Workings'!J106)</f>
        <v>15.666666666666666</v>
      </c>
      <c r="K106" s="73">
        <f>('Enugu Workings'!K106+'Jigawa Workings'!K106+'Kaduna Workings'!K106+'Kano Workings'!K106+'Lagos Workings'!K106)</f>
        <v>17.333333333333336</v>
      </c>
      <c r="L106" s="51">
        <f>('Enugu Workings'!L106+'Jigawa Workings'!L106+'Kaduna Workings'!L106+'Kano Workings'!L106+'Lagos Workings'!L106)</f>
        <v>19</v>
      </c>
      <c r="M106" s="51">
        <f>('Enugu Workings'!M106+'Jigawa Workings'!M106+'Kaduna Workings'!M106+'Kano Workings'!M106+'Lagos Workings'!M106)</f>
        <v>20.666666666666664</v>
      </c>
      <c r="N106" s="50">
        <f>('Enugu Workings'!N106+'Jigawa Workings'!N106+'Kaduna Workings'!N106+'Kano Workings'!N106+'Lagos Workings'!N106)</f>
        <v>24</v>
      </c>
      <c r="O106" s="51">
        <f>('Enugu Workings'!O106+'Jigawa Workings'!O106+'Kaduna Workings'!O106+'Kano Workings'!O106+'Lagos Workings'!O106)</f>
        <v>26.75</v>
      </c>
      <c r="P106" s="51">
        <f>('Enugu Workings'!P106+'Jigawa Workings'!P106+'Kaduna Workings'!P106+'Kano Workings'!P106+'Lagos Workings'!P106)</f>
        <v>29.5</v>
      </c>
      <c r="Q106" s="51">
        <f>('Enugu Workings'!Q106+'Jigawa Workings'!Q106+'Kaduna Workings'!Q106+'Kano Workings'!Q106+'Lagos Workings'!Q106)</f>
        <v>32.25</v>
      </c>
      <c r="R106" s="50">
        <f>('Enugu Workings'!R106+'Jigawa Workings'!R106+'Kaduna Workings'!R106+'Kano Workings'!R106+'Lagos Workings'!R106)</f>
        <v>35</v>
      </c>
      <c r="S106" s="51">
        <f>('Enugu Workings'!S106+'Jigawa Workings'!S106+'Kaduna Workings'!S106+'Kano Workings'!S106+'Lagos Workings'!S106)</f>
        <v>37.333333333333336</v>
      </c>
      <c r="T106" s="51">
        <f>('Enugu Workings'!T106+'Jigawa Workings'!T106+'Kaduna Workings'!T106+'Kano Workings'!T106+'Lagos Workings'!T106)</f>
        <v>39.666666666666671</v>
      </c>
      <c r="U106" s="51">
        <f>('Enugu Workings'!U106+'Jigawa Workings'!U106+'Kaduna Workings'!U106+'Kano Workings'!U106+'Lagos Workings'!U106)</f>
        <v>42</v>
      </c>
      <c r="V106" s="51">
        <f>('Enugu Workings'!V106+'Jigawa Workings'!V106+'Kaduna Workings'!V106+'Kano Workings'!V106+'Lagos Workings'!V106)</f>
        <v>44.333333333333336</v>
      </c>
      <c r="W106" s="51">
        <f>('Enugu Workings'!W106+'Jigawa Workings'!W106+'Kaduna Workings'!W106+'Kano Workings'!W106+'Lagos Workings'!W106)</f>
        <v>49.166666666666671</v>
      </c>
      <c r="X106" s="51">
        <f>('Enugu Workings'!X106+'Jigawa Workings'!X106+'Kaduna Workings'!X106+'Kano Workings'!X106+'Lagos Workings'!X106)</f>
        <v>52</v>
      </c>
      <c r="Y106" s="50">
        <f>('Enugu Workings'!Y106+'Jigawa Workings'!Y106+'Kaduna Workings'!Y106+'Kano Workings'!Y106+'Lagos Workings'!Y106)</f>
        <v>52</v>
      </c>
      <c r="Z106" s="51">
        <f>('Enugu Workings'!Z106+'Jigawa Workings'!Z106+'Kaduna Workings'!Z106+'Kano Workings'!Z106+'Lagos Workings'!Z106)</f>
        <v>52</v>
      </c>
      <c r="AA106" s="38">
        <f>'Lagos Workings'!AA106*5</f>
        <v>100</v>
      </c>
      <c r="AB106" s="457">
        <f>AA106/22</f>
        <v>4.5454545454545459</v>
      </c>
      <c r="AD106" s="451">
        <f>V106</f>
        <v>44.333333333333336</v>
      </c>
      <c r="AE106" s="346"/>
      <c r="AF106" s="453">
        <f t="shared" ref="AF106:AG107" si="34">IF($AG$1=16,R106,IF($AG$1=17,S106,IF($AG$1=18,T106,IF($AG$1=19,U106,IF($AG$1=20,V106,IF($AG$1=21,W106,IF($AG$1=22,X106,0)))))))</f>
        <v>49.166666666666671</v>
      </c>
      <c r="AG106" s="453">
        <f t="shared" si="34"/>
        <v>52</v>
      </c>
      <c r="AI106" s="338"/>
    </row>
    <row r="107" spans="1:35" s="340" customFormat="1" ht="15.75" thickBot="1">
      <c r="A107" s="45"/>
      <c r="B107" s="46" t="s">
        <v>205</v>
      </c>
      <c r="C107" s="79">
        <f>('Enugu Workings'!C107+'Jigawa Workings'!C107+'Kaduna Workings'!C107+'Kano Workings'!C107+'Lagos Workings'!C107)</f>
        <v>0</v>
      </c>
      <c r="D107" s="441">
        <f>('Enugu Workings'!D107+'Jigawa Workings'!D107+'Kaduna Workings'!D107+'Kano Workings'!D107+'Lagos Workings'!D107)</f>
        <v>0</v>
      </c>
      <c r="E107" s="442">
        <f>('Enugu Workings'!E107+'Jigawa Workings'!E107+'Kaduna Workings'!E107+'Kano Workings'!E107+'Lagos Workings'!E107)</f>
        <v>0</v>
      </c>
      <c r="F107" s="442">
        <f>('Enugu Workings'!F107+'Jigawa Workings'!F107+'Kaduna Workings'!F107+'Kano Workings'!F107+'Lagos Workings'!F107)</f>
        <v>0</v>
      </c>
      <c r="G107" s="442">
        <f>('Enugu Workings'!G107+'Jigawa Workings'!G107+'Kaduna Workings'!G107+'Kano Workings'!G107+'Lagos Workings'!G107)</f>
        <v>0</v>
      </c>
      <c r="H107" s="442">
        <f>('Enugu Workings'!H107+'Jigawa Workings'!H107+'Kaduna Workings'!H107+'Kano Workings'!H107+'Lagos Workings'!H107)</f>
        <v>0</v>
      </c>
      <c r="I107" s="442">
        <f>('Enugu Workings'!I107+'Jigawa Workings'!I107+'Kaduna Workings'!I107+'Kano Workings'!I107+'Lagos Workings'!I107)</f>
        <v>0</v>
      </c>
      <c r="J107" s="442">
        <f>('Enugu Workings'!J107+'Jigawa Workings'!J107+'Kaduna Workings'!J107+'Kano Workings'!J107+'Lagos Workings'!J107)</f>
        <v>0</v>
      </c>
      <c r="K107" s="442">
        <f>('Enugu Workings'!K107+'Jigawa Workings'!K107+'Kaduna Workings'!K107+'Kano Workings'!K107+'Lagos Workings'!K107)</f>
        <v>0</v>
      </c>
      <c r="L107" s="442">
        <f>('Enugu Workings'!L107+'Jigawa Workings'!L107+'Kaduna Workings'!L107+'Kano Workings'!L107+'Lagos Workings'!L107)</f>
        <v>14</v>
      </c>
      <c r="M107" s="442">
        <f>('Enugu Workings'!M107+'Jigawa Workings'!M107+'Kaduna Workings'!M107+'Kano Workings'!M107+'Lagos Workings'!M107)</f>
        <v>12</v>
      </c>
      <c r="N107" s="443">
        <f>('Enugu Workings'!N107+'Jigawa Workings'!N107+'Kaduna Workings'!N107+'Kano Workings'!N107+'Lagos Workings'!N107)</f>
        <v>26</v>
      </c>
      <c r="O107" s="444">
        <f>('Enugu Workings'!O107+'Jigawa Workings'!O107+'Kaduna Workings'!O107+'Kano Workings'!O107+'Lagos Workings'!O107)</f>
        <v>31</v>
      </c>
      <c r="P107" s="444">
        <f>('Enugu Workings'!P107+'Jigawa Workings'!P107+'Kaduna Workings'!P107+'Kano Workings'!P107+'Lagos Workings'!P107)</f>
        <v>43</v>
      </c>
      <c r="Q107" s="444">
        <f>('Enugu Workings'!Q107+'Jigawa Workings'!Q107+'Kaduna Workings'!Q107+'Kano Workings'!Q107+'Lagos Workings'!Q107)</f>
        <v>51</v>
      </c>
      <c r="R107" s="442">
        <f>('Enugu Workings'!R107+'Jigawa Workings'!R107+'Kaduna Workings'!R107+'Kano Workings'!R107+'Lagos Workings'!R107)</f>
        <v>39</v>
      </c>
      <c r="S107" s="442">
        <f>('Enugu Workings'!S107+'Jigawa Workings'!S107+'Kaduna Workings'!S107+'Kano Workings'!S107+'Lagos Workings'!S107)</f>
        <v>38</v>
      </c>
      <c r="T107" s="442">
        <f>('Enugu Workings'!T107+'Jigawa Workings'!T107+'Kaduna Workings'!T107+'Kano Workings'!T107+'Lagos Workings'!T107)</f>
        <v>43</v>
      </c>
      <c r="U107" s="442">
        <f>('Enugu Workings'!U107+'Jigawa Workings'!U107+'Kaduna Workings'!U107+'Kano Workings'!U107+'Lagos Workings'!U107)</f>
        <v>48</v>
      </c>
      <c r="V107" s="445">
        <f>('Enugu Workings'!V107+'Jigawa Workings'!V107+'Kaduna Workings'!V107+'Kano Workings'!V107+'Lagos Workings'!V107)</f>
        <v>48</v>
      </c>
      <c r="W107" s="72">
        <f>('Enugu Workings'!W107+'Jigawa Workings'!W107+'Kaduna Workings'!W107+'Kano Workings'!W107+'Lagos Workings'!W107)</f>
        <v>49</v>
      </c>
      <c r="X107" s="70">
        <f>('Enugu Workings'!X107+'Jigawa Workings'!X107+'Kaduna Workings'!X107+'Kano Workings'!X107+'Lagos Workings'!X107)</f>
        <v>50</v>
      </c>
      <c r="Y107" s="70">
        <f>('Enugu Workings'!Y107+'Jigawa Workings'!Y107+'Kaduna Workings'!Y107+'Kano Workings'!Y107+'Lagos Workings'!Y107)</f>
        <v>0</v>
      </c>
      <c r="Z107" s="70">
        <f>('Enugu Workings'!Z107+'Jigawa Workings'!Z107+'Kaduna Workings'!Z107+'Kano Workings'!Z107+'Lagos Workings'!Z107)</f>
        <v>0</v>
      </c>
      <c r="AA107" s="49"/>
      <c r="AB107" s="421"/>
      <c r="AD107" s="452">
        <f>V107</f>
        <v>48</v>
      </c>
      <c r="AE107" s="346"/>
      <c r="AF107" s="452">
        <f t="shared" si="34"/>
        <v>49</v>
      </c>
      <c r="AG107" s="452">
        <f t="shared" si="34"/>
        <v>50</v>
      </c>
      <c r="AH107" s="342">
        <f>AG107</f>
        <v>50</v>
      </c>
      <c r="AI107" s="342">
        <f>AG107</f>
        <v>50</v>
      </c>
    </row>
    <row r="108" spans="1:35" s="340" customFormat="1">
      <c r="A108" s="45"/>
      <c r="B108" s="46"/>
      <c r="C108" s="53"/>
      <c r="D108" s="75"/>
      <c r="E108" s="75"/>
      <c r="F108" s="75"/>
      <c r="G108" s="75"/>
      <c r="H108" s="75"/>
      <c r="I108" s="75"/>
      <c r="J108" s="75"/>
      <c r="K108" s="75"/>
      <c r="L108" s="53"/>
      <c r="M108" s="53"/>
      <c r="N108" s="53"/>
      <c r="O108" s="53"/>
      <c r="P108" s="53"/>
      <c r="Q108" s="53"/>
      <c r="R108" s="53"/>
      <c r="S108" s="53"/>
      <c r="T108" s="53"/>
      <c r="U108" s="53"/>
      <c r="V108" s="53"/>
      <c r="W108" s="53"/>
      <c r="X108" s="53"/>
      <c r="Y108" s="53"/>
      <c r="Z108" s="53"/>
      <c r="AA108" s="49"/>
      <c r="AB108" s="421"/>
      <c r="AD108" s="345"/>
      <c r="AE108" s="346"/>
      <c r="AF108" s="454"/>
      <c r="AG108" s="454"/>
      <c r="AH108" s="335"/>
      <c r="AI108" s="338"/>
    </row>
    <row r="109" spans="1:35" ht="15.75" thickBot="1">
      <c r="A109" s="41" t="s">
        <v>182</v>
      </c>
      <c r="B109" s="42" t="s">
        <v>206</v>
      </c>
      <c r="C109" s="43">
        <f>('Enugu Workings'!C109+'Jigawa Workings'!C109+'Kaduna Workings'!C109+'Kano Workings'!C109+'Lagos Workings'!C109)</f>
        <v>0</v>
      </c>
      <c r="D109" s="73">
        <f>('Enugu Workings'!D109+'Jigawa Workings'!D109+'Kaduna Workings'!D109+'Kano Workings'!D109+'Lagos Workings'!D109)</f>
        <v>1.1666666666666665</v>
      </c>
      <c r="E109" s="73">
        <f>('Enugu Workings'!E109+'Jigawa Workings'!E109+'Kaduna Workings'!E109+'Kano Workings'!E109+'Lagos Workings'!E109)</f>
        <v>2.333333333333333</v>
      </c>
      <c r="F109" s="73">
        <f>('Enugu Workings'!F109+'Jigawa Workings'!F109+'Kaduna Workings'!F109+'Kano Workings'!F109+'Lagos Workings'!F109)</f>
        <v>3.5</v>
      </c>
      <c r="G109" s="73">
        <f>('Enugu Workings'!G109+'Jigawa Workings'!G109+'Kaduna Workings'!G109+'Kano Workings'!G109+'Lagos Workings'!G109)</f>
        <v>4.6666666666666661</v>
      </c>
      <c r="H109" s="73">
        <f>('Enugu Workings'!H109+'Jigawa Workings'!H109+'Kaduna Workings'!H109+'Kano Workings'!H109+'Lagos Workings'!H109)</f>
        <v>5.833333333333333</v>
      </c>
      <c r="I109" s="74">
        <f>('Enugu Workings'!I109+'Jigawa Workings'!I109+'Kaduna Workings'!I109+'Kano Workings'!I109+'Lagos Workings'!I109)</f>
        <v>7</v>
      </c>
      <c r="J109" s="73">
        <f>('Enugu Workings'!J109+'Jigawa Workings'!J109+'Kaduna Workings'!J109+'Kano Workings'!J109+'Lagos Workings'!J109)</f>
        <v>7.3333333333333339</v>
      </c>
      <c r="K109" s="73">
        <f>('Enugu Workings'!K109+'Jigawa Workings'!K109+'Kaduna Workings'!K109+'Kano Workings'!K109+'Lagos Workings'!K109)</f>
        <v>7.666666666666667</v>
      </c>
      <c r="L109" s="51">
        <f>('Enugu Workings'!L109+'Jigawa Workings'!L109+'Kaduna Workings'!L109+'Kano Workings'!L109+'Lagos Workings'!L109)</f>
        <v>8</v>
      </c>
      <c r="M109" s="51">
        <f>('Enugu Workings'!M109+'Jigawa Workings'!M109+'Kaduna Workings'!M109+'Kano Workings'!M109+'Lagos Workings'!M109)</f>
        <v>8.3333333333333321</v>
      </c>
      <c r="N109" s="50">
        <f>('Enugu Workings'!N109+'Jigawa Workings'!N109+'Kaduna Workings'!N109+'Kano Workings'!N109+'Lagos Workings'!N109)</f>
        <v>9</v>
      </c>
      <c r="O109" s="51">
        <f>('Enugu Workings'!O109+'Jigawa Workings'!O109+'Kaduna Workings'!O109+'Kano Workings'!O109+'Lagos Workings'!O109)</f>
        <v>10.75</v>
      </c>
      <c r="P109" s="51">
        <f>('Enugu Workings'!P109+'Jigawa Workings'!P109+'Kaduna Workings'!P109+'Kano Workings'!P109+'Lagos Workings'!P109)</f>
        <v>12.5</v>
      </c>
      <c r="Q109" s="51">
        <f>('Enugu Workings'!Q109+'Jigawa Workings'!Q109+'Kaduna Workings'!Q109+'Kano Workings'!Q109+'Lagos Workings'!Q109)</f>
        <v>14.25</v>
      </c>
      <c r="R109" s="50">
        <f>('Enugu Workings'!R109+'Jigawa Workings'!R109+'Kaduna Workings'!R109+'Kano Workings'!R109+'Lagos Workings'!R109)</f>
        <v>16</v>
      </c>
      <c r="S109" s="51">
        <f>('Enugu Workings'!S109+'Jigawa Workings'!S109+'Kaduna Workings'!S109+'Kano Workings'!S109+'Lagos Workings'!S109)</f>
        <v>17</v>
      </c>
      <c r="T109" s="51">
        <f>('Enugu Workings'!T109+'Jigawa Workings'!T109+'Kaduna Workings'!T109+'Kano Workings'!T109+'Lagos Workings'!T109)</f>
        <v>18</v>
      </c>
      <c r="U109" s="51">
        <f>('Enugu Workings'!U109+'Jigawa Workings'!U109+'Kaduna Workings'!U109+'Kano Workings'!U109+'Lagos Workings'!U109)</f>
        <v>18.999999999999996</v>
      </c>
      <c r="V109" s="51">
        <f>('Enugu Workings'!V109+'Jigawa Workings'!V109+'Kaduna Workings'!V109+'Kano Workings'!V109+'Lagos Workings'!V109)</f>
        <v>19.999999999999996</v>
      </c>
      <c r="W109" s="51">
        <f>('Enugu Workings'!W109+'Jigawa Workings'!W109+'Kaduna Workings'!W109+'Kano Workings'!W109+'Lagos Workings'!W109)</f>
        <v>29.333333333333332</v>
      </c>
      <c r="X109" s="51">
        <f>('Enugu Workings'!X109+'Jigawa Workings'!X109+'Kaduna Workings'!X109+'Kano Workings'!X109+'Lagos Workings'!X109)</f>
        <v>32</v>
      </c>
      <c r="Y109" s="50">
        <f>('Enugu Workings'!Y109+'Jigawa Workings'!Y109+'Kaduna Workings'!Y109+'Kano Workings'!Y109+'Lagos Workings'!Y109)</f>
        <v>32</v>
      </c>
      <c r="Z109" s="51">
        <f>('Enugu Workings'!Z109+'Jigawa Workings'!Z109+'Kaduna Workings'!Z109+'Kano Workings'!Z109+'Lagos Workings'!Z109)</f>
        <v>32</v>
      </c>
      <c r="AA109" s="38">
        <f>'Lagos Workings'!AA109*5</f>
        <v>50</v>
      </c>
      <c r="AB109" s="457">
        <f>AA109/22</f>
        <v>2.2727272727272729</v>
      </c>
      <c r="AD109" s="451">
        <f>V109</f>
        <v>19.999999999999996</v>
      </c>
      <c r="AE109" s="346"/>
      <c r="AF109" s="453">
        <f t="shared" ref="AF109:AG110" si="35">IF($AG$1=16,R109,IF($AG$1=17,S109,IF($AG$1=18,T109,IF($AG$1=19,U109,IF($AG$1=20,V109,IF($AG$1=21,W109,IF($AG$1=22,X109,0)))))))</f>
        <v>29.333333333333332</v>
      </c>
      <c r="AG109" s="453">
        <f t="shared" si="35"/>
        <v>32</v>
      </c>
      <c r="AI109" s="338"/>
    </row>
    <row r="110" spans="1:35" s="340" customFormat="1" ht="15.75" thickBot="1">
      <c r="A110" s="45"/>
      <c r="B110" s="46" t="s">
        <v>207</v>
      </c>
      <c r="C110" s="79">
        <f>('Enugu Workings'!C110+'Jigawa Workings'!C110+'Kaduna Workings'!C110+'Kano Workings'!C110+'Lagos Workings'!C110)</f>
        <v>0</v>
      </c>
      <c r="D110" s="441">
        <f>('Enugu Workings'!D110+'Jigawa Workings'!D110+'Kaduna Workings'!D110+'Kano Workings'!D110+'Lagos Workings'!D110)</f>
        <v>0</v>
      </c>
      <c r="E110" s="442">
        <f>('Enugu Workings'!E110+'Jigawa Workings'!E110+'Kaduna Workings'!E110+'Kano Workings'!E110+'Lagos Workings'!E110)</f>
        <v>0</v>
      </c>
      <c r="F110" s="442">
        <f>('Enugu Workings'!F110+'Jigawa Workings'!F110+'Kaduna Workings'!F110+'Kano Workings'!F110+'Lagos Workings'!F110)</f>
        <v>0</v>
      </c>
      <c r="G110" s="442">
        <f>('Enugu Workings'!G110+'Jigawa Workings'!G110+'Kaduna Workings'!G110+'Kano Workings'!G110+'Lagos Workings'!G110)</f>
        <v>0</v>
      </c>
      <c r="H110" s="442">
        <f>('Enugu Workings'!H110+'Jigawa Workings'!H110+'Kaduna Workings'!H110+'Kano Workings'!H110+'Lagos Workings'!H110)</f>
        <v>0</v>
      </c>
      <c r="I110" s="442">
        <f>('Enugu Workings'!I110+'Jigawa Workings'!I110+'Kaduna Workings'!I110+'Kano Workings'!I110+'Lagos Workings'!I110)</f>
        <v>0</v>
      </c>
      <c r="J110" s="442">
        <f>('Enugu Workings'!J110+'Jigawa Workings'!J110+'Kaduna Workings'!J110+'Kano Workings'!J110+'Lagos Workings'!J110)</f>
        <v>0</v>
      </c>
      <c r="K110" s="442">
        <f>('Enugu Workings'!K110+'Jigawa Workings'!K110+'Kaduna Workings'!K110+'Kano Workings'!K110+'Lagos Workings'!K110)</f>
        <v>0</v>
      </c>
      <c r="L110" s="442">
        <f>('Enugu Workings'!L110+'Jigawa Workings'!L110+'Kaduna Workings'!L110+'Kano Workings'!L110+'Lagos Workings'!L110)</f>
        <v>6</v>
      </c>
      <c r="M110" s="442">
        <f>('Enugu Workings'!M110+'Jigawa Workings'!M110+'Kaduna Workings'!M110+'Kano Workings'!M110+'Lagos Workings'!M110)</f>
        <v>7</v>
      </c>
      <c r="N110" s="443">
        <f>('Enugu Workings'!N110+'Jigawa Workings'!N110+'Kaduna Workings'!N110+'Kano Workings'!N110+'Lagos Workings'!N110)</f>
        <v>14</v>
      </c>
      <c r="O110" s="444">
        <f>('Enugu Workings'!O110+'Jigawa Workings'!O110+'Kaduna Workings'!O110+'Kano Workings'!O110+'Lagos Workings'!O110)</f>
        <v>15</v>
      </c>
      <c r="P110" s="444">
        <f>('Enugu Workings'!P110+'Jigawa Workings'!P110+'Kaduna Workings'!P110+'Kano Workings'!P110+'Lagos Workings'!P110)</f>
        <v>15</v>
      </c>
      <c r="Q110" s="444">
        <f>('Enugu Workings'!Q110+'Jigawa Workings'!Q110+'Kaduna Workings'!Q110+'Kano Workings'!Q110+'Lagos Workings'!Q110)</f>
        <v>17</v>
      </c>
      <c r="R110" s="442">
        <f>('Enugu Workings'!R110+'Jigawa Workings'!R110+'Kaduna Workings'!R110+'Kano Workings'!R110+'Lagos Workings'!R110)</f>
        <v>23</v>
      </c>
      <c r="S110" s="442">
        <f>('Enugu Workings'!S110+'Jigawa Workings'!S110+'Kaduna Workings'!S110+'Kano Workings'!S110+'Lagos Workings'!S110)</f>
        <v>21</v>
      </c>
      <c r="T110" s="442">
        <f>('Enugu Workings'!T110+'Jigawa Workings'!T110+'Kaduna Workings'!T110+'Kano Workings'!T110+'Lagos Workings'!T110)</f>
        <v>24</v>
      </c>
      <c r="U110" s="442">
        <f>('Enugu Workings'!U110+'Jigawa Workings'!U110+'Kaduna Workings'!U110+'Kano Workings'!U110+'Lagos Workings'!U110)</f>
        <v>27</v>
      </c>
      <c r="V110" s="445">
        <f>('Enugu Workings'!V110+'Jigawa Workings'!V110+'Kaduna Workings'!V110+'Kano Workings'!V110+'Lagos Workings'!V110)</f>
        <v>32</v>
      </c>
      <c r="W110" s="72">
        <f>('Enugu Workings'!W110+'Jigawa Workings'!W110+'Kaduna Workings'!W110+'Kano Workings'!W110+'Lagos Workings'!W110)</f>
        <v>33</v>
      </c>
      <c r="X110" s="70">
        <f>('Enugu Workings'!X110+'Jigawa Workings'!X110+'Kaduna Workings'!X110+'Kano Workings'!X110+'Lagos Workings'!X110)</f>
        <v>36</v>
      </c>
      <c r="Y110" s="70">
        <f>('Enugu Workings'!Y110+'Jigawa Workings'!Y110+'Kaduna Workings'!Y110+'Kano Workings'!Y110+'Lagos Workings'!Y110)</f>
        <v>0</v>
      </c>
      <c r="Z110" s="70">
        <f>('Enugu Workings'!Z110+'Jigawa Workings'!Z110+'Kaduna Workings'!Z110+'Kano Workings'!Z110+'Lagos Workings'!Z110)</f>
        <v>0</v>
      </c>
      <c r="AA110" s="49"/>
      <c r="AB110" s="421"/>
      <c r="AD110" s="452">
        <f>V110</f>
        <v>32</v>
      </c>
      <c r="AE110" s="346"/>
      <c r="AF110" s="452">
        <f t="shared" si="35"/>
        <v>33</v>
      </c>
      <c r="AG110" s="452">
        <f t="shared" si="35"/>
        <v>36</v>
      </c>
      <c r="AH110" s="342">
        <f>AG110</f>
        <v>36</v>
      </c>
      <c r="AI110" s="342">
        <f>AG110</f>
        <v>36</v>
      </c>
    </row>
    <row r="111" spans="1:35" s="340" customFormat="1">
      <c r="A111" s="45"/>
      <c r="B111" s="46"/>
      <c r="C111" s="53"/>
      <c r="D111" s="75"/>
      <c r="E111" s="75"/>
      <c r="F111" s="75"/>
      <c r="G111" s="75"/>
      <c r="H111" s="75"/>
      <c r="I111" s="75"/>
      <c r="J111" s="75"/>
      <c r="K111" s="75"/>
      <c r="L111" s="53"/>
      <c r="M111" s="53"/>
      <c r="N111" s="53"/>
      <c r="O111" s="53"/>
      <c r="P111" s="53"/>
      <c r="Q111" s="53"/>
      <c r="R111" s="53"/>
      <c r="S111" s="53"/>
      <c r="T111" s="53"/>
      <c r="U111" s="53"/>
      <c r="V111" s="53"/>
      <c r="W111" s="53"/>
      <c r="X111" s="53"/>
      <c r="Y111" s="53"/>
      <c r="Z111" s="53"/>
      <c r="AA111" s="49"/>
      <c r="AB111" s="421"/>
      <c r="AD111" s="345"/>
      <c r="AE111" s="346"/>
      <c r="AF111" s="454"/>
      <c r="AG111" s="454"/>
      <c r="AH111" s="335"/>
      <c r="AI111" s="338"/>
    </row>
    <row r="112" spans="1:35" ht="15.75" thickBot="1">
      <c r="A112" s="41" t="s">
        <v>695</v>
      </c>
      <c r="B112" s="42" t="s">
        <v>816</v>
      </c>
      <c r="C112" s="43">
        <f>('Enugu Workings'!C112+'Jigawa Workings'!C112+'Kaduna Workings'!C112+'Kano Workings'!C112+'Lagos Workings'!C112)</f>
        <v>0</v>
      </c>
      <c r="D112" s="73">
        <f>('Enugu Workings'!D112+'Jigawa Workings'!D112+'Kaduna Workings'!D112+'Kano Workings'!D112+'Lagos Workings'!D112)</f>
        <v>0</v>
      </c>
      <c r="E112" s="73">
        <f>('Enugu Workings'!E112+'Jigawa Workings'!E112+'Kaduna Workings'!E112+'Kano Workings'!E112+'Lagos Workings'!E112)</f>
        <v>0</v>
      </c>
      <c r="F112" s="73">
        <f>('Enugu Workings'!F112+'Jigawa Workings'!F112+'Kaduna Workings'!F112+'Kano Workings'!F112+'Lagos Workings'!F112)</f>
        <v>0</v>
      </c>
      <c r="G112" s="73">
        <f>('Enugu Workings'!G112+'Jigawa Workings'!G112+'Kaduna Workings'!G112+'Kano Workings'!G112+'Lagos Workings'!G112)</f>
        <v>0</v>
      </c>
      <c r="H112" s="73">
        <f>('Enugu Workings'!H112+'Jigawa Workings'!H112+'Kaduna Workings'!H112+'Kano Workings'!H112+'Lagos Workings'!H112)</f>
        <v>0</v>
      </c>
      <c r="I112" s="74">
        <f>('Enugu Workings'!I112+'Jigawa Workings'!I112+'Kaduna Workings'!I112+'Kano Workings'!I112+'Lagos Workings'!I112)</f>
        <v>0</v>
      </c>
      <c r="J112" s="73">
        <f>('Enugu Workings'!J112+'Jigawa Workings'!J112+'Kaduna Workings'!J112+'Kano Workings'!J112+'Lagos Workings'!J112)</f>
        <v>0</v>
      </c>
      <c r="K112" s="73">
        <f>('Enugu Workings'!K112+'Jigawa Workings'!K112+'Kaduna Workings'!K112+'Kano Workings'!K112+'Lagos Workings'!K112)</f>
        <v>0</v>
      </c>
      <c r="L112" s="51">
        <f>('Enugu Workings'!L112+'Jigawa Workings'!L112+'Kaduna Workings'!L112+'Kano Workings'!L112+'Lagos Workings'!L112)</f>
        <v>0</v>
      </c>
      <c r="M112" s="51">
        <f>('Enugu Workings'!M112+'Jigawa Workings'!M112+'Kaduna Workings'!M112+'Kano Workings'!M112+'Lagos Workings'!M112)</f>
        <v>0</v>
      </c>
      <c r="N112" s="50">
        <f>('Enugu Workings'!N112+'Jigawa Workings'!N112+'Kaduna Workings'!N112+'Kano Workings'!N112+'Lagos Workings'!N112)</f>
        <v>0</v>
      </c>
      <c r="O112" s="51">
        <f>('Enugu Workings'!O112+'Jigawa Workings'!O112+'Kaduna Workings'!O112+'Kano Workings'!O112+'Lagos Workings'!O112)</f>
        <v>11.5</v>
      </c>
      <c r="P112" s="51">
        <f>('Enugu Workings'!P112+'Jigawa Workings'!P112+'Kaduna Workings'!P112+'Kano Workings'!P112+'Lagos Workings'!P112)</f>
        <v>23</v>
      </c>
      <c r="Q112" s="51">
        <f>('Enugu Workings'!Q112+'Jigawa Workings'!Q112+'Kaduna Workings'!Q112+'Kano Workings'!Q112+'Lagos Workings'!Q112)</f>
        <v>34.5</v>
      </c>
      <c r="R112" s="50">
        <f>('Enugu Workings'!R112+'Jigawa Workings'!R112+'Kaduna Workings'!R112+'Kano Workings'!R112+'Lagos Workings'!R112)</f>
        <v>46</v>
      </c>
      <c r="S112" s="51">
        <f>('Enugu Workings'!S112+'Jigawa Workings'!S112+'Kaduna Workings'!S112+'Kano Workings'!S112+'Lagos Workings'!S112)</f>
        <v>53.666666666666664</v>
      </c>
      <c r="T112" s="51">
        <f>('Enugu Workings'!T112+'Jigawa Workings'!T112+'Kaduna Workings'!T112+'Kano Workings'!T112+'Lagos Workings'!T112)</f>
        <v>61.333333333333329</v>
      </c>
      <c r="U112" s="51">
        <f>('Enugu Workings'!U112+'Jigawa Workings'!U112+'Kaduna Workings'!U112+'Kano Workings'!U112+'Lagos Workings'!U112)</f>
        <v>69</v>
      </c>
      <c r="V112" s="51">
        <f>('Enugu Workings'!V112+'Jigawa Workings'!V112+'Kaduna Workings'!V112+'Kano Workings'!V112+'Lagos Workings'!V112)</f>
        <v>76.666666666666657</v>
      </c>
      <c r="W112" s="51">
        <f>('Enugu Workings'!W112+'Jigawa Workings'!W112+'Kaduna Workings'!W112+'Kano Workings'!W112+'Lagos Workings'!W112)</f>
        <v>75.999999999999986</v>
      </c>
      <c r="X112" s="51">
        <f>('Enugu Workings'!X112+'Jigawa Workings'!X112+'Kaduna Workings'!X112+'Kano Workings'!X112+'Lagos Workings'!X112)</f>
        <v>82</v>
      </c>
      <c r="Y112" s="50">
        <f>('Enugu Workings'!Y112+'Jigawa Workings'!Y112+'Kaduna Workings'!Y112+'Kano Workings'!Y112+'Lagos Workings'!Y112)</f>
        <v>82</v>
      </c>
      <c r="Z112" s="51">
        <f>('Enugu Workings'!Z112+'Jigawa Workings'!Z112+'Kaduna Workings'!Z112+'Kano Workings'!Z112+'Lagos Workings'!Z112)</f>
        <v>82</v>
      </c>
      <c r="AA112" s="38">
        <f>'Lagos Workings'!AA112*5</f>
        <v>100</v>
      </c>
      <c r="AB112" s="457">
        <f>AA112/22</f>
        <v>4.5454545454545459</v>
      </c>
      <c r="AD112" s="451">
        <f>V112</f>
        <v>76.666666666666657</v>
      </c>
      <c r="AE112" s="346"/>
      <c r="AF112" s="453">
        <f t="shared" ref="AF112:AG113" si="36">IF($AG$1=16,R112,IF($AG$1=17,S112,IF($AG$1=18,T112,IF($AG$1=19,U112,IF($AG$1=20,V112,IF($AG$1=21,W112,IF($AG$1=22,X112,0)))))))</f>
        <v>75.999999999999986</v>
      </c>
      <c r="AG112" s="453">
        <f t="shared" si="36"/>
        <v>82</v>
      </c>
      <c r="AI112" s="338"/>
    </row>
    <row r="113" spans="1:35" s="340" customFormat="1" ht="15.75" thickBot="1">
      <c r="A113" s="45"/>
      <c r="B113" s="46" t="s">
        <v>817</v>
      </c>
      <c r="C113" s="79">
        <f>('Enugu Workings'!C113+'Jigawa Workings'!C113+'Kaduna Workings'!C113+'Kano Workings'!C113+'Lagos Workings'!C113)</f>
        <v>0</v>
      </c>
      <c r="D113" s="441">
        <f>('Enugu Workings'!D113+'Jigawa Workings'!D113+'Kaduna Workings'!D113+'Kano Workings'!D113+'Lagos Workings'!D113)</f>
        <v>6</v>
      </c>
      <c r="E113" s="442">
        <f>('Enugu Workings'!E113+'Jigawa Workings'!E113+'Kaduna Workings'!E113+'Kano Workings'!E113+'Lagos Workings'!E113)</f>
        <v>8</v>
      </c>
      <c r="F113" s="442">
        <f>('Enugu Workings'!F113+'Jigawa Workings'!F113+'Kaduna Workings'!F113+'Kano Workings'!F113+'Lagos Workings'!F113)</f>
        <v>8</v>
      </c>
      <c r="G113" s="442">
        <f>('Enugu Workings'!G113+'Jigawa Workings'!G113+'Kaduna Workings'!G113+'Kano Workings'!G113+'Lagos Workings'!G113)</f>
        <v>8</v>
      </c>
      <c r="H113" s="442">
        <f>('Enugu Workings'!H113+'Jigawa Workings'!H113+'Kaduna Workings'!H113+'Kano Workings'!H113+'Lagos Workings'!H113)</f>
        <v>8</v>
      </c>
      <c r="I113" s="442">
        <f>('Enugu Workings'!I113+'Jigawa Workings'!I113+'Kaduna Workings'!I113+'Kano Workings'!I113+'Lagos Workings'!I113)</f>
        <v>16</v>
      </c>
      <c r="J113" s="442">
        <f>('Enugu Workings'!J113+'Jigawa Workings'!J113+'Kaduna Workings'!J113+'Kano Workings'!J113+'Lagos Workings'!J113)</f>
        <v>14</v>
      </c>
      <c r="K113" s="442">
        <f>('Enugu Workings'!K113+'Jigawa Workings'!K113+'Kaduna Workings'!K113+'Kano Workings'!K113+'Lagos Workings'!K113)</f>
        <v>14</v>
      </c>
      <c r="L113" s="442">
        <f>('Enugu Workings'!L113+'Jigawa Workings'!L113+'Kaduna Workings'!L113+'Kano Workings'!L113+'Lagos Workings'!L113)</f>
        <v>28</v>
      </c>
      <c r="M113" s="442">
        <f>('Enugu Workings'!M113+'Jigawa Workings'!M113+'Kaduna Workings'!M113+'Kano Workings'!M113+'Lagos Workings'!M113)</f>
        <v>30</v>
      </c>
      <c r="N113" s="443">
        <f>('Enugu Workings'!N113+'Jigawa Workings'!N113+'Kaduna Workings'!N113+'Kano Workings'!N113+'Lagos Workings'!N113)</f>
        <v>37</v>
      </c>
      <c r="O113" s="444">
        <f>('Enugu Workings'!O113+'Jigawa Workings'!O113+'Kaduna Workings'!O113+'Kano Workings'!O113+'Lagos Workings'!O113)</f>
        <v>46</v>
      </c>
      <c r="P113" s="444">
        <f>('Enugu Workings'!P113+'Jigawa Workings'!P113+'Kaduna Workings'!P113+'Kano Workings'!P113+'Lagos Workings'!P113)</f>
        <v>54</v>
      </c>
      <c r="Q113" s="444">
        <f>('Enugu Workings'!Q113+'Jigawa Workings'!Q113+'Kaduna Workings'!Q113+'Kano Workings'!Q113+'Lagos Workings'!Q113)</f>
        <v>60</v>
      </c>
      <c r="R113" s="442">
        <f>('Enugu Workings'!R113+'Jigawa Workings'!R113+'Kaduna Workings'!R113+'Kano Workings'!R113+'Lagos Workings'!R113)</f>
        <v>62</v>
      </c>
      <c r="S113" s="442">
        <f>('Enugu Workings'!S113+'Jigawa Workings'!S113+'Kaduna Workings'!S113+'Kano Workings'!S113+'Lagos Workings'!S113)</f>
        <v>64</v>
      </c>
      <c r="T113" s="442">
        <f>('Enugu Workings'!T113+'Jigawa Workings'!T113+'Kaduna Workings'!T113+'Kano Workings'!T113+'Lagos Workings'!T113)</f>
        <v>79</v>
      </c>
      <c r="U113" s="442">
        <f>('Enugu Workings'!U113+'Jigawa Workings'!U113+'Kaduna Workings'!U113+'Kano Workings'!U113+'Lagos Workings'!U113)</f>
        <v>83</v>
      </c>
      <c r="V113" s="445">
        <f>('Enugu Workings'!V113+'Jigawa Workings'!V113+'Kaduna Workings'!V113+'Kano Workings'!V113+'Lagos Workings'!V113)</f>
        <v>83</v>
      </c>
      <c r="W113" s="72">
        <f>('Enugu Workings'!W113+'Jigawa Workings'!W113+'Kaduna Workings'!W113+'Kano Workings'!W113+'Lagos Workings'!W113)</f>
        <v>84</v>
      </c>
      <c r="X113" s="70">
        <f>('Enugu Workings'!X113+'Jigawa Workings'!X113+'Kaduna Workings'!X113+'Kano Workings'!X113+'Lagos Workings'!X113)</f>
        <v>89</v>
      </c>
      <c r="Y113" s="70">
        <f>('Enugu Workings'!Y113+'Jigawa Workings'!Y113+'Kaduna Workings'!Y113+'Kano Workings'!Y113+'Lagos Workings'!Y113)</f>
        <v>0</v>
      </c>
      <c r="Z113" s="70">
        <f>('Enugu Workings'!Z113+'Jigawa Workings'!Z113+'Kaduna Workings'!Z113+'Kano Workings'!Z113+'Lagos Workings'!Z113)</f>
        <v>0</v>
      </c>
      <c r="AA113" s="429"/>
      <c r="AB113" s="430"/>
      <c r="AD113" s="452">
        <f>V113</f>
        <v>83</v>
      </c>
      <c r="AE113" s="346"/>
      <c r="AF113" s="452">
        <f t="shared" si="36"/>
        <v>84</v>
      </c>
      <c r="AG113" s="452">
        <f t="shared" si="36"/>
        <v>89</v>
      </c>
      <c r="AH113" s="342">
        <f>AG113</f>
        <v>89</v>
      </c>
      <c r="AI113" s="342">
        <f>AG113</f>
        <v>89</v>
      </c>
    </row>
    <row r="114" spans="1:35" s="340" customFormat="1">
      <c r="A114" s="45"/>
      <c r="B114" s="46"/>
      <c r="C114" s="53"/>
      <c r="D114" s="75"/>
      <c r="E114" s="75"/>
      <c r="F114" s="75"/>
      <c r="G114" s="75"/>
      <c r="H114" s="75"/>
      <c r="I114" s="75"/>
      <c r="J114" s="75"/>
      <c r="K114" s="75"/>
      <c r="L114" s="53"/>
      <c r="M114" s="53"/>
      <c r="N114" s="53"/>
      <c r="O114" s="53"/>
      <c r="P114" s="53"/>
      <c r="Q114" s="53"/>
      <c r="R114" s="53"/>
      <c r="S114" s="53"/>
      <c r="T114" s="53"/>
      <c r="U114" s="53"/>
      <c r="V114" s="53"/>
      <c r="W114" s="53"/>
      <c r="X114" s="53"/>
      <c r="Y114" s="53"/>
      <c r="Z114" s="53"/>
      <c r="AA114" s="429"/>
      <c r="AB114" s="430"/>
      <c r="AD114" s="345"/>
      <c r="AE114" s="346"/>
      <c r="AF114" s="454"/>
      <c r="AG114" s="454"/>
      <c r="AH114" s="335"/>
      <c r="AI114" s="338"/>
    </row>
    <row r="115" spans="1:35" ht="15.75" thickBot="1">
      <c r="A115" s="41" t="s">
        <v>696</v>
      </c>
      <c r="B115" s="42" t="s">
        <v>818</v>
      </c>
      <c r="C115" s="52"/>
      <c r="D115" s="52"/>
      <c r="E115" s="52"/>
      <c r="F115" s="52"/>
      <c r="G115" s="52"/>
      <c r="H115" s="52"/>
      <c r="I115" s="52"/>
      <c r="J115" s="52"/>
      <c r="K115" s="52"/>
      <c r="L115" s="52"/>
      <c r="M115" s="52"/>
      <c r="N115" s="52"/>
      <c r="O115" s="52"/>
      <c r="P115" s="52"/>
      <c r="Q115" s="52"/>
      <c r="R115" s="50">
        <f>('Enugu Workings'!R115+'Jigawa Workings'!R115+'Kaduna Workings'!R115+'Kano Workings'!R115+'Lagos Workings'!R115)</f>
        <v>14</v>
      </c>
      <c r="S115" s="51">
        <f>('Enugu Workings'!S115+'Jigawa Workings'!S115+'Kaduna Workings'!S115+'Kano Workings'!S115+'Lagos Workings'!S115)</f>
        <v>19.666666666666664</v>
      </c>
      <c r="T115" s="51">
        <f>('Enugu Workings'!T115+'Jigawa Workings'!T115+'Kaduna Workings'!T115+'Kano Workings'!T115+'Lagos Workings'!T115)</f>
        <v>25.333333333333332</v>
      </c>
      <c r="U115" s="51">
        <f>('Enugu Workings'!U115+'Jigawa Workings'!U115+'Kaduna Workings'!U115+'Kano Workings'!U115+'Lagos Workings'!U115)</f>
        <v>31</v>
      </c>
      <c r="V115" s="51">
        <f>('Enugu Workings'!V115+'Jigawa Workings'!V115+'Kaduna Workings'!V115+'Kano Workings'!V115+'Lagos Workings'!V115)</f>
        <v>36.666666666666664</v>
      </c>
      <c r="W115" s="51">
        <f>('Enugu Workings'!W115+'Jigawa Workings'!W115+'Kaduna Workings'!W115+'Kano Workings'!W115+'Lagos Workings'!W115)</f>
        <v>36.499999999999993</v>
      </c>
      <c r="X115" s="51">
        <f>('Enugu Workings'!X115+'Jigawa Workings'!X115+'Kaduna Workings'!X115+'Kano Workings'!X115+'Lagos Workings'!X115)</f>
        <v>41</v>
      </c>
      <c r="Y115" s="50">
        <f>('Enugu Workings'!Y115+'Jigawa Workings'!Y115+'Kaduna Workings'!Y115+'Kano Workings'!Y115+'Lagos Workings'!Y115)</f>
        <v>41</v>
      </c>
      <c r="Z115" s="51">
        <f>('Enugu Workings'!Z115+'Jigawa Workings'!Z115+'Kaduna Workings'!Z115+'Kano Workings'!Z115+'Lagos Workings'!Z115)</f>
        <v>41</v>
      </c>
      <c r="AA115" s="38">
        <f>'Lagos Workings'!AA115*5</f>
        <v>100</v>
      </c>
      <c r="AB115" s="457">
        <f>AA115/22</f>
        <v>4.5454545454545459</v>
      </c>
      <c r="AD115" s="451">
        <f>V115</f>
        <v>36.666666666666664</v>
      </c>
      <c r="AE115" s="346"/>
      <c r="AF115" s="453">
        <f t="shared" ref="AF115:AG116" si="37">IF($AG$1=16,R115,IF($AG$1=17,S115,IF($AG$1=18,T115,IF($AG$1=19,U115,IF($AG$1=20,V115,IF($AG$1=21,W115,IF($AG$1=22,X115,0)))))))</f>
        <v>36.499999999999993</v>
      </c>
      <c r="AG115" s="453">
        <f t="shared" si="37"/>
        <v>41</v>
      </c>
      <c r="AI115" s="338"/>
    </row>
    <row r="116" spans="1:35" s="340" customFormat="1" ht="15.75" thickBot="1">
      <c r="A116" s="45"/>
      <c r="B116" s="46" t="s">
        <v>819</v>
      </c>
      <c r="C116" s="52"/>
      <c r="D116" s="52"/>
      <c r="E116" s="52"/>
      <c r="F116" s="52"/>
      <c r="G116" s="52"/>
      <c r="H116" s="52"/>
      <c r="I116" s="52"/>
      <c r="J116" s="52"/>
      <c r="K116" s="52"/>
      <c r="L116" s="52"/>
      <c r="M116" s="52"/>
      <c r="N116" s="52"/>
      <c r="O116" s="52"/>
      <c r="P116" s="52"/>
      <c r="Q116" s="52"/>
      <c r="R116" s="52">
        <f>('Enugu Workings'!R116+'Jigawa Workings'!R116+'Kaduna Workings'!R116+'Kano Workings'!R116+'Lagos Workings'!R116)</f>
        <v>14</v>
      </c>
      <c r="S116" s="442">
        <f>('Enugu Workings'!S116+'Jigawa Workings'!S116+'Kaduna Workings'!S116+'Kano Workings'!S116+'Lagos Workings'!S116)</f>
        <v>33</v>
      </c>
      <c r="T116" s="442">
        <f>('Enugu Workings'!T116+'Jigawa Workings'!T116+'Kaduna Workings'!T116+'Kano Workings'!T116+'Lagos Workings'!T116)</f>
        <v>40</v>
      </c>
      <c r="U116" s="442">
        <f>('Enugu Workings'!U116+'Jigawa Workings'!U116+'Kaduna Workings'!U116+'Kano Workings'!U116+'Lagos Workings'!U116)</f>
        <v>41</v>
      </c>
      <c r="V116" s="445">
        <f>('Enugu Workings'!V116+'Jigawa Workings'!V116+'Kaduna Workings'!V116+'Kano Workings'!V116+'Lagos Workings'!V116)</f>
        <v>43</v>
      </c>
      <c r="W116" s="72">
        <f>('Enugu Workings'!W116+'Jigawa Workings'!W116+'Kaduna Workings'!W116+'Kano Workings'!W116+'Lagos Workings'!W116)</f>
        <v>61</v>
      </c>
      <c r="X116" s="70">
        <f>('Enugu Workings'!X116+'Jigawa Workings'!X116+'Kaduna Workings'!X116+'Kano Workings'!X116+'Lagos Workings'!X116)</f>
        <v>66</v>
      </c>
      <c r="Y116" s="70">
        <f>('Enugu Workings'!Y116+'Jigawa Workings'!Y116+'Kaduna Workings'!Y116+'Kano Workings'!Y116+'Lagos Workings'!Y116)</f>
        <v>0</v>
      </c>
      <c r="Z116" s="70">
        <f>('Enugu Workings'!Z116+'Jigawa Workings'!Z116+'Kaduna Workings'!Z116+'Kano Workings'!Z116+'Lagos Workings'!Z116)</f>
        <v>0</v>
      </c>
      <c r="AA116" s="49"/>
      <c r="AB116" s="421"/>
      <c r="AD116" s="452">
        <f>V116</f>
        <v>43</v>
      </c>
      <c r="AE116" s="346"/>
      <c r="AF116" s="452">
        <f t="shared" si="37"/>
        <v>61</v>
      </c>
      <c r="AG116" s="452">
        <f t="shared" si="37"/>
        <v>66</v>
      </c>
      <c r="AH116" s="342">
        <f>AG116</f>
        <v>66</v>
      </c>
      <c r="AI116" s="342">
        <f>AG116</f>
        <v>66</v>
      </c>
    </row>
    <row r="117" spans="1:35">
      <c r="A117" s="45"/>
      <c r="B117" s="46"/>
      <c r="C117" s="53"/>
      <c r="D117" s="75"/>
      <c r="E117" s="75"/>
      <c r="F117" s="75"/>
      <c r="G117" s="75"/>
      <c r="H117" s="75"/>
      <c r="I117" s="75"/>
      <c r="J117" s="75"/>
      <c r="K117" s="75"/>
      <c r="L117" s="53"/>
      <c r="M117" s="53"/>
      <c r="N117" s="53"/>
      <c r="O117" s="53"/>
      <c r="P117" s="53"/>
      <c r="Q117" s="53"/>
      <c r="R117" s="53"/>
      <c r="S117" s="53"/>
      <c r="T117" s="53"/>
      <c r="U117" s="53"/>
      <c r="V117" s="53"/>
      <c r="W117" s="53"/>
      <c r="X117" s="53"/>
      <c r="Y117" s="53"/>
      <c r="Z117" s="53"/>
      <c r="AA117" s="49"/>
      <c r="AB117" s="421"/>
      <c r="AD117" s="346"/>
      <c r="AE117" s="346"/>
      <c r="AF117" s="346"/>
      <c r="AG117" s="346"/>
      <c r="AI117" s="338"/>
    </row>
    <row r="118" spans="1:35" ht="15.75" thickBot="1">
      <c r="A118" s="41" t="s">
        <v>697</v>
      </c>
      <c r="B118" s="42" t="s">
        <v>820</v>
      </c>
      <c r="C118" s="52"/>
      <c r="D118" s="52"/>
      <c r="E118" s="52"/>
      <c r="F118" s="52"/>
      <c r="G118" s="52"/>
      <c r="H118" s="52"/>
      <c r="I118" s="52"/>
      <c r="J118" s="52"/>
      <c r="K118" s="52"/>
      <c r="L118" s="52"/>
      <c r="M118" s="52"/>
      <c r="N118" s="52"/>
      <c r="O118" s="52"/>
      <c r="P118" s="52"/>
      <c r="Q118" s="52"/>
      <c r="R118" s="50">
        <f>('Enugu Workings'!R118+'Jigawa Workings'!R118+'Kaduna Workings'!R118+'Kano Workings'!R118+'Lagos Workings'!R118)</f>
        <v>12</v>
      </c>
      <c r="S118" s="51">
        <f>('Enugu Workings'!S118+'Jigawa Workings'!S118+'Kaduna Workings'!S118+'Kano Workings'!S118+'Lagos Workings'!S118)</f>
        <v>16.166666666666664</v>
      </c>
      <c r="T118" s="51">
        <f>('Enugu Workings'!T118+'Jigawa Workings'!T118+'Kaduna Workings'!T118+'Kano Workings'!T118+'Lagos Workings'!T118)</f>
        <v>20.333333333333332</v>
      </c>
      <c r="U118" s="51">
        <f>('Enugu Workings'!U118+'Jigawa Workings'!U118+'Kaduna Workings'!U118+'Kano Workings'!U118+'Lagos Workings'!U118)</f>
        <v>24.5</v>
      </c>
      <c r="V118" s="51">
        <f>('Enugu Workings'!V118+'Jigawa Workings'!V118+'Kaduna Workings'!V118+'Kano Workings'!V118+'Lagos Workings'!V118)</f>
        <v>28.666666666666664</v>
      </c>
      <c r="W118" s="51">
        <f>('Enugu Workings'!W118+'Jigawa Workings'!W118+'Kaduna Workings'!W118+'Kano Workings'!W118+'Lagos Workings'!W118)</f>
        <v>27</v>
      </c>
      <c r="X118" s="51">
        <f>('Enugu Workings'!X118+'Jigawa Workings'!X118+'Kaduna Workings'!X118+'Kano Workings'!X118+'Lagos Workings'!X118)</f>
        <v>30</v>
      </c>
      <c r="Y118" s="50">
        <f>('Enugu Workings'!Y118+'Jigawa Workings'!Y118+'Kaduna Workings'!Y118+'Kano Workings'!Y118+'Lagos Workings'!Y118)</f>
        <v>30</v>
      </c>
      <c r="Z118" s="51">
        <f>('Enugu Workings'!Z118+'Jigawa Workings'!Z118+'Kaduna Workings'!Z118+'Kano Workings'!Z118+'Lagos Workings'!Z118)</f>
        <v>30</v>
      </c>
      <c r="AA118" s="38">
        <f>'Lagos Workings'!AA118*5</f>
        <v>50</v>
      </c>
      <c r="AB118" s="457">
        <f>AA118/22</f>
        <v>2.2727272727272729</v>
      </c>
      <c r="AD118" s="451">
        <f>V118</f>
        <v>28.666666666666664</v>
      </c>
      <c r="AE118" s="346"/>
      <c r="AF118" s="453">
        <f t="shared" ref="AF118:AG119" si="38">IF($AG$1=16,R118,IF($AG$1=17,S118,IF($AG$1=18,T118,IF($AG$1=19,U118,IF($AG$1=20,V118,IF($AG$1=21,W118,IF($AG$1=22,X118,0)))))))</f>
        <v>27</v>
      </c>
      <c r="AG118" s="453">
        <f t="shared" si="38"/>
        <v>30</v>
      </c>
      <c r="AI118" s="338"/>
    </row>
    <row r="119" spans="1:35" ht="15.75" thickBot="1">
      <c r="A119" s="45"/>
      <c r="B119" s="46" t="s">
        <v>821</v>
      </c>
      <c r="C119" s="52"/>
      <c r="D119" s="52"/>
      <c r="E119" s="52"/>
      <c r="F119" s="52"/>
      <c r="G119" s="52"/>
      <c r="H119" s="52"/>
      <c r="I119" s="52"/>
      <c r="J119" s="52"/>
      <c r="K119" s="52"/>
      <c r="L119" s="52"/>
      <c r="M119" s="52"/>
      <c r="N119" s="52"/>
      <c r="O119" s="52"/>
      <c r="P119" s="52"/>
      <c r="Q119" s="52"/>
      <c r="R119" s="52">
        <f>('Enugu Workings'!R119+'Jigawa Workings'!R119+'Kaduna Workings'!R119+'Kano Workings'!R119+'Lagos Workings'!R119)</f>
        <v>12</v>
      </c>
      <c r="S119" s="442">
        <f>('Enugu Workings'!S119+'Jigawa Workings'!S119+'Kaduna Workings'!S119+'Kano Workings'!S119+'Lagos Workings'!S119)</f>
        <v>29</v>
      </c>
      <c r="T119" s="442">
        <f>('Enugu Workings'!T119+'Jigawa Workings'!T119+'Kaduna Workings'!T119+'Kano Workings'!T119+'Lagos Workings'!T119)</f>
        <v>35</v>
      </c>
      <c r="U119" s="442">
        <f>('Enugu Workings'!U119+'Jigawa Workings'!U119+'Kaduna Workings'!U119+'Kano Workings'!U119+'Lagos Workings'!U119)</f>
        <v>37</v>
      </c>
      <c r="V119" s="445">
        <f>('Enugu Workings'!V119+'Jigawa Workings'!V119+'Kaduna Workings'!V119+'Kano Workings'!V119+'Lagos Workings'!V119)</f>
        <v>34</v>
      </c>
      <c r="W119" s="72">
        <f>('Enugu Workings'!W119+'Jigawa Workings'!W119+'Kaduna Workings'!W119+'Kano Workings'!W119+'Lagos Workings'!W119)</f>
        <v>49</v>
      </c>
      <c r="X119" s="70">
        <f>('Enugu Workings'!X119+'Jigawa Workings'!X119+'Kaduna Workings'!X119+'Kano Workings'!X119+'Lagos Workings'!X119)</f>
        <v>52</v>
      </c>
      <c r="Y119" s="70">
        <f>('Enugu Workings'!Y119+'Jigawa Workings'!Y119+'Kaduna Workings'!Y119+'Kano Workings'!Y119+'Lagos Workings'!Y119)</f>
        <v>0</v>
      </c>
      <c r="Z119" s="70">
        <f>('Enugu Workings'!Z119+'Jigawa Workings'!Z119+'Kaduna Workings'!Z119+'Kano Workings'!Z119+'Lagos Workings'!Z119)</f>
        <v>0</v>
      </c>
      <c r="AA119" s="49"/>
      <c r="AB119" s="421"/>
      <c r="AD119" s="452">
        <f>V119</f>
        <v>34</v>
      </c>
      <c r="AE119" s="346"/>
      <c r="AF119" s="452">
        <f t="shared" si="38"/>
        <v>49</v>
      </c>
      <c r="AG119" s="452">
        <f t="shared" si="38"/>
        <v>52</v>
      </c>
      <c r="AH119" s="342">
        <f>AG119</f>
        <v>52</v>
      </c>
      <c r="AI119" s="342">
        <f>AG119</f>
        <v>52</v>
      </c>
    </row>
    <row r="120" spans="1:35">
      <c r="A120" s="45"/>
      <c r="B120" s="46"/>
      <c r="C120" s="53"/>
      <c r="D120" s="75"/>
      <c r="E120" s="75"/>
      <c r="F120" s="75"/>
      <c r="G120" s="75"/>
      <c r="H120" s="75"/>
      <c r="I120" s="75"/>
      <c r="J120" s="75"/>
      <c r="K120" s="75"/>
      <c r="L120" s="53"/>
      <c r="M120" s="53"/>
      <c r="N120" s="53"/>
      <c r="O120" s="53"/>
      <c r="P120" s="53"/>
      <c r="Q120" s="53"/>
      <c r="R120" s="53"/>
      <c r="S120" s="53"/>
      <c r="T120" s="53"/>
      <c r="U120" s="53"/>
      <c r="V120" s="53"/>
      <c r="W120" s="53"/>
      <c r="X120" s="53"/>
      <c r="Y120" s="53"/>
      <c r="Z120" s="53"/>
      <c r="AA120" s="49"/>
      <c r="AB120" s="421"/>
      <c r="AD120" s="345"/>
      <c r="AE120" s="346"/>
      <c r="AF120" s="454"/>
      <c r="AG120" s="454"/>
      <c r="AI120" s="338"/>
    </row>
    <row r="121" spans="1:35" ht="15.75" thickBot="1">
      <c r="A121" s="41" t="s">
        <v>698</v>
      </c>
      <c r="B121" s="42" t="s">
        <v>822</v>
      </c>
      <c r="C121" s="52"/>
      <c r="D121" s="52"/>
      <c r="E121" s="52"/>
      <c r="F121" s="52"/>
      <c r="G121" s="52"/>
      <c r="H121" s="52"/>
      <c r="I121" s="52"/>
      <c r="J121" s="52"/>
      <c r="K121" s="52"/>
      <c r="L121" s="52"/>
      <c r="M121" s="52"/>
      <c r="N121" s="52"/>
      <c r="O121" s="52"/>
      <c r="P121" s="52"/>
      <c r="Q121" s="52"/>
      <c r="R121" s="50">
        <f>('Enugu Workings'!R121+'Jigawa Workings'!R121+'Kaduna Workings'!R121+'Kano Workings'!R121+'Lagos Workings'!R121)</f>
        <v>14</v>
      </c>
      <c r="S121" s="51">
        <f>('Enugu Workings'!S121+'Jigawa Workings'!S121+'Kaduna Workings'!S121+'Kano Workings'!S121+'Lagos Workings'!S121)</f>
        <v>16.166666666666668</v>
      </c>
      <c r="T121" s="51">
        <f>('Enugu Workings'!T121+'Jigawa Workings'!T121+'Kaduna Workings'!T121+'Kano Workings'!T121+'Lagos Workings'!T121)</f>
        <v>18.333333333333336</v>
      </c>
      <c r="U121" s="51">
        <f>('Enugu Workings'!U121+'Jigawa Workings'!U121+'Kaduna Workings'!U121+'Kano Workings'!U121+'Lagos Workings'!U121)</f>
        <v>20.5</v>
      </c>
      <c r="V121" s="51">
        <f>('Enugu Workings'!V121+'Jigawa Workings'!V121+'Kaduna Workings'!V121+'Kano Workings'!V121+'Lagos Workings'!V121)</f>
        <v>22.666666666666668</v>
      </c>
      <c r="W121" s="51">
        <f>('Enugu Workings'!W121+'Jigawa Workings'!W121+'Kaduna Workings'!W121+'Kano Workings'!W121+'Lagos Workings'!W121)</f>
        <v>24</v>
      </c>
      <c r="X121" s="51">
        <f>('Enugu Workings'!X121+'Jigawa Workings'!X121+'Kaduna Workings'!X121+'Kano Workings'!X121+'Lagos Workings'!X121)</f>
        <v>26</v>
      </c>
      <c r="Y121" s="50">
        <f>('Enugu Workings'!Y121+'Jigawa Workings'!Y121+'Kaduna Workings'!Y121+'Kano Workings'!Y121+'Lagos Workings'!Y121)</f>
        <v>26</v>
      </c>
      <c r="Z121" s="51">
        <f>('Enugu Workings'!Z121+'Jigawa Workings'!Z121+'Kaduna Workings'!Z121+'Kano Workings'!Z121+'Lagos Workings'!Z121)</f>
        <v>26</v>
      </c>
      <c r="AA121" s="38">
        <f>'Lagos Workings'!AA121*5</f>
        <v>50</v>
      </c>
      <c r="AB121" s="457">
        <f>AA121/22</f>
        <v>2.2727272727272729</v>
      </c>
      <c r="AD121" s="451">
        <f>V121</f>
        <v>22.666666666666668</v>
      </c>
      <c r="AE121" s="346"/>
      <c r="AF121" s="453">
        <f t="shared" ref="AF121:AG122" si="39">IF($AG$1=16,R121,IF($AG$1=17,S121,IF($AG$1=18,T121,IF($AG$1=19,U121,IF($AG$1=20,V121,IF($AG$1=21,W121,IF($AG$1=22,X121,0)))))))</f>
        <v>24</v>
      </c>
      <c r="AG121" s="453">
        <f t="shared" si="39"/>
        <v>26</v>
      </c>
      <c r="AI121" s="338"/>
    </row>
    <row r="122" spans="1:35" ht="15.75" thickBot="1">
      <c r="A122" s="45"/>
      <c r="B122" s="46" t="s">
        <v>823</v>
      </c>
      <c r="C122" s="52"/>
      <c r="D122" s="52"/>
      <c r="E122" s="52"/>
      <c r="F122" s="52"/>
      <c r="G122" s="52"/>
      <c r="H122" s="52"/>
      <c r="I122" s="52"/>
      <c r="J122" s="52"/>
      <c r="K122" s="52"/>
      <c r="L122" s="52"/>
      <c r="M122" s="52"/>
      <c r="N122" s="52"/>
      <c r="O122" s="52"/>
      <c r="P122" s="52"/>
      <c r="Q122" s="52"/>
      <c r="R122" s="52">
        <f>('Enugu Workings'!R122+'Jigawa Workings'!R122+'Kaduna Workings'!R122+'Kano Workings'!R122+'Lagos Workings'!R122)</f>
        <v>14</v>
      </c>
      <c r="S122" s="442">
        <f>('Enugu Workings'!S122+'Jigawa Workings'!S122+'Kaduna Workings'!S122+'Kano Workings'!S122+'Lagos Workings'!S122)</f>
        <v>26</v>
      </c>
      <c r="T122" s="442">
        <f>('Enugu Workings'!T122+'Jigawa Workings'!T122+'Kaduna Workings'!T122+'Kano Workings'!T122+'Lagos Workings'!T122)</f>
        <v>30</v>
      </c>
      <c r="U122" s="442">
        <f>('Enugu Workings'!U122+'Jigawa Workings'!U122+'Kaduna Workings'!U122+'Kano Workings'!U122+'Lagos Workings'!U122)</f>
        <v>32</v>
      </c>
      <c r="V122" s="445">
        <f>('Enugu Workings'!V122+'Jigawa Workings'!V122+'Kaduna Workings'!V122+'Kano Workings'!V122+'Lagos Workings'!V122)</f>
        <v>33</v>
      </c>
      <c r="W122" s="72">
        <f>('Enugu Workings'!W122+'Jigawa Workings'!W122+'Kaduna Workings'!W122+'Kano Workings'!W122+'Lagos Workings'!W122)</f>
        <v>35</v>
      </c>
      <c r="X122" s="70">
        <f>('Enugu Workings'!X122+'Jigawa Workings'!X122+'Kaduna Workings'!X122+'Kano Workings'!X122+'Lagos Workings'!X122)</f>
        <v>36</v>
      </c>
      <c r="Y122" s="70">
        <f>('Enugu Workings'!Y122+'Jigawa Workings'!Y122+'Kaduna Workings'!Y122+'Kano Workings'!Y122+'Lagos Workings'!Y122)</f>
        <v>0</v>
      </c>
      <c r="Z122" s="70">
        <f>('Enugu Workings'!Z122+'Jigawa Workings'!Z122+'Kaduna Workings'!Z122+'Kano Workings'!Z122+'Lagos Workings'!Z122)</f>
        <v>0</v>
      </c>
      <c r="AA122" s="49"/>
      <c r="AB122" s="421"/>
      <c r="AD122" s="452">
        <f>V122</f>
        <v>33</v>
      </c>
      <c r="AE122" s="346"/>
      <c r="AF122" s="452">
        <f t="shared" si="39"/>
        <v>35</v>
      </c>
      <c r="AG122" s="452">
        <f t="shared" si="39"/>
        <v>36</v>
      </c>
      <c r="AH122" s="342">
        <f>AG122</f>
        <v>36</v>
      </c>
      <c r="AI122" s="342">
        <f>AG122</f>
        <v>36</v>
      </c>
    </row>
    <row r="123" spans="1:35" ht="14.25" customHeight="1">
      <c r="A123" s="45"/>
      <c r="B123" s="46"/>
      <c r="C123" s="53"/>
      <c r="D123" s="75"/>
      <c r="E123" s="75"/>
      <c r="F123" s="75"/>
      <c r="G123" s="75"/>
      <c r="H123" s="75"/>
      <c r="I123" s="75"/>
      <c r="J123" s="75"/>
      <c r="K123" s="75"/>
      <c r="L123" s="53"/>
      <c r="M123" s="53"/>
      <c r="N123" s="53"/>
      <c r="O123" s="53"/>
      <c r="P123" s="53"/>
      <c r="Q123" s="53"/>
      <c r="R123" s="53"/>
      <c r="S123" s="53"/>
      <c r="T123" s="53"/>
      <c r="U123" s="53"/>
      <c r="V123" s="53"/>
      <c r="W123" s="53"/>
      <c r="X123" s="53"/>
      <c r="Y123" s="53"/>
      <c r="Z123" s="53"/>
      <c r="AA123" s="49"/>
      <c r="AB123" s="421"/>
      <c r="AD123" s="345"/>
      <c r="AE123" s="346"/>
      <c r="AF123" s="454"/>
      <c r="AG123" s="454"/>
      <c r="AI123" s="338"/>
    </row>
    <row r="124" spans="1:35" ht="15.75" thickBot="1">
      <c r="A124" s="41" t="s">
        <v>699</v>
      </c>
      <c r="B124" s="42" t="s">
        <v>202</v>
      </c>
      <c r="C124" s="43">
        <f>('Enugu Workings'!C124+'Jigawa Workings'!C124+'Kaduna Workings'!C124+'Kano Workings'!C124+'Lagos Workings'!C124)</f>
        <v>2</v>
      </c>
      <c r="D124" s="73">
        <f>('Enugu Workings'!D124+'Jigawa Workings'!D124+'Kaduna Workings'!D124+'Kano Workings'!D124+'Lagos Workings'!D124)</f>
        <v>4</v>
      </c>
      <c r="E124" s="73">
        <f>('Enugu Workings'!E124+'Jigawa Workings'!E124+'Kaduna Workings'!E124+'Kano Workings'!E124+'Lagos Workings'!E124)</f>
        <v>6</v>
      </c>
      <c r="F124" s="73">
        <f>('Enugu Workings'!F124+'Jigawa Workings'!F124+'Kaduna Workings'!F124+'Kano Workings'!F124+'Lagos Workings'!F124)</f>
        <v>8</v>
      </c>
      <c r="G124" s="73">
        <f>('Enugu Workings'!G124+'Jigawa Workings'!G124+'Kaduna Workings'!G124+'Kano Workings'!G124+'Lagos Workings'!G124)</f>
        <v>10</v>
      </c>
      <c r="H124" s="73">
        <f>('Enugu Workings'!H124+'Jigawa Workings'!H124+'Kaduna Workings'!H124+'Kano Workings'!H124+'Lagos Workings'!H124)</f>
        <v>12</v>
      </c>
      <c r="I124" s="74">
        <f>('Enugu Workings'!I124+'Jigawa Workings'!I124+'Kaduna Workings'!I124+'Kano Workings'!I124+'Lagos Workings'!I124)</f>
        <v>14</v>
      </c>
      <c r="J124" s="73">
        <f>('Enugu Workings'!J124+'Jigawa Workings'!J124+'Kaduna Workings'!J124+'Kano Workings'!J124+'Lagos Workings'!J124)</f>
        <v>16.333333333333332</v>
      </c>
      <c r="K124" s="73">
        <f>('Enugu Workings'!K124+'Jigawa Workings'!K124+'Kaduna Workings'!K124+'Kano Workings'!K124+'Lagos Workings'!K124)</f>
        <v>18.666666666666664</v>
      </c>
      <c r="L124" s="51">
        <f>('Enugu Workings'!L124+'Jigawa Workings'!L124+'Kaduna Workings'!L124+'Kano Workings'!L124+'Lagos Workings'!L124)</f>
        <v>21</v>
      </c>
      <c r="M124" s="51">
        <f>('Enugu Workings'!M124+'Jigawa Workings'!M124+'Kaduna Workings'!M124+'Kano Workings'!M124+'Lagos Workings'!M124)</f>
        <v>23.333333333333332</v>
      </c>
      <c r="N124" s="50">
        <f>('Enugu Workings'!N124+'Jigawa Workings'!N124+'Kaduna Workings'!N124+'Kano Workings'!N124+'Lagos Workings'!N124)</f>
        <v>28</v>
      </c>
      <c r="O124" s="51">
        <f>('Enugu Workings'!O124+'Jigawa Workings'!O124+'Kaduna Workings'!O124+'Kano Workings'!O124+'Lagos Workings'!O124)</f>
        <v>26.25</v>
      </c>
      <c r="P124" s="51">
        <f>('Enugu Workings'!P124+'Jigawa Workings'!P124+'Kaduna Workings'!P124+'Kano Workings'!P124+'Lagos Workings'!P124)</f>
        <v>24.5</v>
      </c>
      <c r="Q124" s="51">
        <f>('Enugu Workings'!Q124+'Jigawa Workings'!Q124+'Kaduna Workings'!Q124+'Kano Workings'!Q124+'Lagos Workings'!Q124)</f>
        <v>22.75</v>
      </c>
      <c r="R124" s="50">
        <f>('Enugu Workings'!R124+'Jigawa Workings'!R124+'Kaduna Workings'!R124+'Kano Workings'!R124+'Lagos Workings'!R124)</f>
        <v>21</v>
      </c>
      <c r="S124" s="51">
        <f>('Enugu Workings'!S124+'Jigawa Workings'!S124+'Kaduna Workings'!S124+'Kano Workings'!S124+'Lagos Workings'!S124)</f>
        <v>24.999999999999996</v>
      </c>
      <c r="T124" s="51">
        <f>('Enugu Workings'!T124+'Jigawa Workings'!T124+'Kaduna Workings'!T124+'Kano Workings'!T124+'Lagos Workings'!T124)</f>
        <v>29</v>
      </c>
      <c r="U124" s="51">
        <f>('Enugu Workings'!U124+'Jigawa Workings'!U124+'Kaduna Workings'!U124+'Kano Workings'!U124+'Lagos Workings'!U124)</f>
        <v>33</v>
      </c>
      <c r="V124" s="51">
        <f>('Enugu Workings'!V124+'Jigawa Workings'!V124+'Kaduna Workings'!V124+'Kano Workings'!V124+'Lagos Workings'!V124)</f>
        <v>37</v>
      </c>
      <c r="W124" s="51">
        <f>('Enugu Workings'!W124+'Jigawa Workings'!W124+'Kaduna Workings'!W124+'Kano Workings'!W124+'Lagos Workings'!W124)</f>
        <v>39.333333333333329</v>
      </c>
      <c r="X124" s="51">
        <f>('Enugu Workings'!X124+'Jigawa Workings'!X124+'Kaduna Workings'!X124+'Kano Workings'!X124+'Lagos Workings'!X124)</f>
        <v>43</v>
      </c>
      <c r="Y124" s="50">
        <f>('Enugu Workings'!Y124+'Jigawa Workings'!Y124+'Kaduna Workings'!Y124+'Kano Workings'!Y124+'Lagos Workings'!Y124)</f>
        <v>43</v>
      </c>
      <c r="Z124" s="51">
        <f>('Enugu Workings'!Z124+'Jigawa Workings'!Z124+'Kaduna Workings'!Z124+'Kano Workings'!Z124+'Lagos Workings'!Z124)</f>
        <v>43</v>
      </c>
      <c r="AA124" s="38">
        <f>'Lagos Workings'!AA124*5</f>
        <v>50</v>
      </c>
      <c r="AB124" s="457">
        <f>AA124/22</f>
        <v>2.2727272727272729</v>
      </c>
      <c r="AD124" s="451">
        <f>V124</f>
        <v>37</v>
      </c>
      <c r="AE124" s="346"/>
      <c r="AF124" s="453">
        <f t="shared" ref="AF124:AG125" si="40">IF($AG$1=16,R124,IF($AG$1=17,S124,IF($AG$1=18,T124,IF($AG$1=19,U124,IF($AG$1=20,V124,IF($AG$1=21,W124,IF($AG$1=22,X124,0)))))))</f>
        <v>39.333333333333329</v>
      </c>
      <c r="AG124" s="453">
        <f t="shared" si="40"/>
        <v>43</v>
      </c>
      <c r="AI124" s="338"/>
    </row>
    <row r="125" spans="1:35" ht="15.75" thickBot="1">
      <c r="A125" s="45"/>
      <c r="B125" s="46" t="s">
        <v>203</v>
      </c>
      <c r="C125" s="79">
        <f>('Enugu Workings'!C125+'Jigawa Workings'!C125+'Kaduna Workings'!C125+'Kano Workings'!C125+'Lagos Workings'!C125)</f>
        <v>2</v>
      </c>
      <c r="D125" s="441">
        <f>('Enugu Workings'!D125+'Jigawa Workings'!D125+'Kaduna Workings'!D125+'Kano Workings'!D125+'Lagos Workings'!D125)</f>
        <v>2</v>
      </c>
      <c r="E125" s="442">
        <f>('Enugu Workings'!E125+'Jigawa Workings'!E125+'Kaduna Workings'!E125+'Kano Workings'!E125+'Lagos Workings'!E125)</f>
        <v>2</v>
      </c>
      <c r="F125" s="442">
        <f>('Enugu Workings'!F125+'Jigawa Workings'!F125+'Kaduna Workings'!F125+'Kano Workings'!F125+'Lagos Workings'!F125)</f>
        <v>2</v>
      </c>
      <c r="G125" s="442">
        <f>('Enugu Workings'!G125+'Jigawa Workings'!G125+'Kaduna Workings'!G125+'Kano Workings'!G125+'Lagos Workings'!G125)</f>
        <v>2</v>
      </c>
      <c r="H125" s="442">
        <f>('Enugu Workings'!H125+'Jigawa Workings'!H125+'Kaduna Workings'!H125+'Kano Workings'!H125+'Lagos Workings'!H125)</f>
        <v>2</v>
      </c>
      <c r="I125" s="442">
        <f>('Enugu Workings'!I125+'Jigawa Workings'!I125+'Kaduna Workings'!I125+'Kano Workings'!I125+'Lagos Workings'!I125)</f>
        <v>0</v>
      </c>
      <c r="J125" s="442">
        <f>('Enugu Workings'!J125+'Jigawa Workings'!J125+'Kaduna Workings'!J125+'Kano Workings'!J125+'Lagos Workings'!J125)</f>
        <v>0</v>
      </c>
      <c r="K125" s="442">
        <f>('Enugu Workings'!K125+'Jigawa Workings'!K125+'Kaduna Workings'!K125+'Kano Workings'!K125+'Lagos Workings'!K125)</f>
        <v>5</v>
      </c>
      <c r="L125" s="442">
        <f>('Enugu Workings'!L125+'Jigawa Workings'!L125+'Kaduna Workings'!L125+'Kano Workings'!L125+'Lagos Workings'!L125)</f>
        <v>10</v>
      </c>
      <c r="M125" s="442">
        <f>('Enugu Workings'!M125+'Jigawa Workings'!M125+'Kaduna Workings'!M125+'Kano Workings'!M125+'Lagos Workings'!M125)</f>
        <v>8</v>
      </c>
      <c r="N125" s="442">
        <f>('Enugu Workings'!N125+'Jigawa Workings'!N125+'Kaduna Workings'!N125+'Kano Workings'!N125+'Lagos Workings'!N125)</f>
        <v>8</v>
      </c>
      <c r="O125" s="442">
        <f>('Enugu Workings'!O125+'Jigawa Workings'!O125+'Kaduna Workings'!O125+'Kano Workings'!O125+'Lagos Workings'!O125)</f>
        <v>10</v>
      </c>
      <c r="P125" s="442">
        <f>('Enugu Workings'!P125+'Jigawa Workings'!P125+'Kaduna Workings'!P125+'Kano Workings'!P125+'Lagos Workings'!P125)</f>
        <v>13</v>
      </c>
      <c r="Q125" s="442">
        <f>('Enugu Workings'!Q125+'Jigawa Workings'!Q125+'Kaduna Workings'!Q125+'Kano Workings'!Q125+'Lagos Workings'!Q125)</f>
        <v>17</v>
      </c>
      <c r="R125" s="442">
        <f>('Enugu Workings'!R125+'Jigawa Workings'!R125+'Kaduna Workings'!R125+'Kano Workings'!R125+'Lagos Workings'!R125)</f>
        <v>24</v>
      </c>
      <c r="S125" s="442">
        <f>('Enugu Workings'!S125+'Jigawa Workings'!S125+'Kaduna Workings'!S125+'Kano Workings'!S125+'Lagos Workings'!S125)</f>
        <v>32</v>
      </c>
      <c r="T125" s="442">
        <f>('Enugu Workings'!T125+'Jigawa Workings'!T125+'Kaduna Workings'!T125+'Kano Workings'!T125+'Lagos Workings'!T125)</f>
        <v>36</v>
      </c>
      <c r="U125" s="442">
        <f>('Enugu Workings'!U125+'Jigawa Workings'!U125+'Kaduna Workings'!U125+'Kano Workings'!U125+'Lagos Workings'!U125)</f>
        <v>38</v>
      </c>
      <c r="V125" s="445">
        <f>('Enugu Workings'!V125+'Jigawa Workings'!V125+'Kaduna Workings'!V125+'Kano Workings'!V125+'Lagos Workings'!V125)</f>
        <v>43</v>
      </c>
      <c r="W125" s="72">
        <f>('Enugu Workings'!W125+'Jigawa Workings'!W125+'Kaduna Workings'!W125+'Kano Workings'!W125+'Lagos Workings'!W125)</f>
        <v>45</v>
      </c>
      <c r="X125" s="70">
        <f>('Enugu Workings'!X125+'Jigawa Workings'!X125+'Kaduna Workings'!X125+'Kano Workings'!X125+'Lagos Workings'!X125)</f>
        <v>54</v>
      </c>
      <c r="Y125" s="70">
        <f>('Enugu Workings'!Y125+'Jigawa Workings'!Y125+'Kaduna Workings'!Y125+'Kano Workings'!Y125+'Lagos Workings'!Y125)</f>
        <v>0</v>
      </c>
      <c r="Z125" s="70">
        <f>('Enugu Workings'!Z125+'Jigawa Workings'!Z125+'Kaduna Workings'!Z125+'Kano Workings'!Z125+'Lagos Workings'!Z125)</f>
        <v>0</v>
      </c>
      <c r="AA125" s="49"/>
      <c r="AB125" s="421"/>
      <c r="AD125" s="452">
        <f>V125</f>
        <v>43</v>
      </c>
      <c r="AE125" s="346"/>
      <c r="AF125" s="452">
        <f t="shared" si="40"/>
        <v>45</v>
      </c>
      <c r="AG125" s="452">
        <f t="shared" si="40"/>
        <v>54</v>
      </c>
      <c r="AH125" s="342">
        <f>AG125</f>
        <v>54</v>
      </c>
      <c r="AI125" s="342">
        <f>AG125</f>
        <v>54</v>
      </c>
    </row>
    <row r="126" spans="1:35">
      <c r="B126" s="46"/>
      <c r="R126" s="53"/>
      <c r="S126" s="53"/>
      <c r="T126" s="53"/>
      <c r="U126" s="53"/>
      <c r="V126" s="53"/>
      <c r="W126" s="53"/>
      <c r="X126" s="53"/>
      <c r="Y126" s="53"/>
      <c r="Z126" s="53"/>
      <c r="AB126" s="420"/>
      <c r="AD126" s="345"/>
      <c r="AE126" s="346"/>
      <c r="AF126" s="454"/>
      <c r="AG126" s="454"/>
      <c r="AI126" s="338"/>
    </row>
    <row r="127" spans="1:35" ht="15.75" thickBot="1">
      <c r="A127" s="41" t="s">
        <v>700</v>
      </c>
      <c r="B127" s="42" t="s">
        <v>213</v>
      </c>
      <c r="C127" s="52"/>
      <c r="D127" s="52"/>
      <c r="E127" s="52"/>
      <c r="F127" s="52"/>
      <c r="G127" s="52"/>
      <c r="H127" s="52"/>
      <c r="I127" s="52"/>
      <c r="J127" s="52"/>
      <c r="K127" s="52"/>
      <c r="L127" s="52"/>
      <c r="M127" s="52"/>
      <c r="N127" s="52"/>
      <c r="O127" s="52"/>
      <c r="P127" s="52"/>
      <c r="Q127" s="52"/>
      <c r="R127" s="50">
        <f>('Enugu Workings'!R127+'Jigawa Workings'!R127+'Kaduna Workings'!R127+'Kano Workings'!R127+'Lagos Workings'!R127)</f>
        <v>12</v>
      </c>
      <c r="S127" s="51">
        <f>('Enugu Workings'!S127+'Jigawa Workings'!S127+'Kaduna Workings'!S127+'Kano Workings'!S127+'Lagos Workings'!S127)</f>
        <v>14.833333333333332</v>
      </c>
      <c r="T127" s="51">
        <f>('Enugu Workings'!T127+'Jigawa Workings'!T127+'Kaduna Workings'!T127+'Kano Workings'!T127+'Lagos Workings'!T127)</f>
        <v>17.666666666666664</v>
      </c>
      <c r="U127" s="51">
        <f>('Enugu Workings'!U127+'Jigawa Workings'!U127+'Kaduna Workings'!U127+'Kano Workings'!U127+'Lagos Workings'!U127)</f>
        <v>20.5</v>
      </c>
      <c r="V127" s="51">
        <f>('Enugu Workings'!V127+'Jigawa Workings'!V127+'Kaduna Workings'!V127+'Kano Workings'!V127+'Lagos Workings'!V127)</f>
        <v>23.333333333333332</v>
      </c>
      <c r="W127" s="51">
        <f>('Enugu Workings'!W127+'Jigawa Workings'!W127+'Kaduna Workings'!W127+'Kano Workings'!W127+'Lagos Workings'!W127)</f>
        <v>26.166666666666664</v>
      </c>
      <c r="X127" s="51">
        <f>('Enugu Workings'!X127+'Jigawa Workings'!X127+'Kaduna Workings'!X127+'Kano Workings'!X127+'Lagos Workings'!X127)</f>
        <v>29</v>
      </c>
      <c r="Y127" s="50">
        <f>('Enugu Workings'!Y127+'Jigawa Workings'!Y127+'Kaduna Workings'!Y127+'Kano Workings'!Y127+'Lagos Workings'!Y127)</f>
        <v>29</v>
      </c>
      <c r="Z127" s="51">
        <f>('Enugu Workings'!Z127+'Jigawa Workings'!Z127+'Kaduna Workings'!Z127+'Kano Workings'!Z127+'Lagos Workings'!Z127)</f>
        <v>29</v>
      </c>
      <c r="AA127" s="38">
        <f>'Lagos Workings'!AA127*5</f>
        <v>50</v>
      </c>
      <c r="AB127" s="457">
        <f>AA127/22</f>
        <v>2.2727272727272729</v>
      </c>
      <c r="AD127" s="451">
        <f>V127</f>
        <v>23.333333333333332</v>
      </c>
      <c r="AE127" s="346"/>
      <c r="AF127" s="453">
        <f t="shared" ref="AF127:AG128" si="41">IF($AG$1=16,R127,IF($AG$1=17,S127,IF($AG$1=18,T127,IF($AG$1=19,U127,IF($AG$1=20,V127,IF($AG$1=21,W127,IF($AG$1=22,X127,0)))))))</f>
        <v>26.166666666666664</v>
      </c>
      <c r="AG127" s="453">
        <f t="shared" si="41"/>
        <v>29</v>
      </c>
      <c r="AI127" s="338"/>
    </row>
    <row r="128" spans="1:35" ht="15.75" thickBot="1">
      <c r="A128" s="45"/>
      <c r="B128" s="46" t="s">
        <v>212</v>
      </c>
      <c r="C128" s="52"/>
      <c r="D128" s="52"/>
      <c r="E128" s="52"/>
      <c r="F128" s="52"/>
      <c r="G128" s="52"/>
      <c r="H128" s="52"/>
      <c r="I128" s="52"/>
      <c r="J128" s="52"/>
      <c r="K128" s="52"/>
      <c r="L128" s="52"/>
      <c r="M128" s="52"/>
      <c r="N128" s="52"/>
      <c r="O128" s="52"/>
      <c r="P128" s="52"/>
      <c r="Q128" s="52"/>
      <c r="R128" s="52">
        <f>('Enugu Workings'!R128+'Jigawa Workings'!R128+'Kaduna Workings'!R128+'Kano Workings'!R128+'Lagos Workings'!R128)</f>
        <v>12</v>
      </c>
      <c r="S128" s="442">
        <f>('Enugu Workings'!S128+'Jigawa Workings'!S128+'Kaduna Workings'!S128+'Kano Workings'!S128+'Lagos Workings'!S128)</f>
        <v>17</v>
      </c>
      <c r="T128" s="442">
        <f>('Enugu Workings'!T128+'Jigawa Workings'!T128+'Kaduna Workings'!T128+'Kano Workings'!T128+'Lagos Workings'!T128)</f>
        <v>19</v>
      </c>
      <c r="U128" s="442">
        <f>('Enugu Workings'!U128+'Jigawa Workings'!U128+'Kaduna Workings'!U128+'Kano Workings'!U128+'Lagos Workings'!U128)</f>
        <v>21</v>
      </c>
      <c r="V128" s="445">
        <f>('Enugu Workings'!V128+'Jigawa Workings'!V128+'Kaduna Workings'!V128+'Kano Workings'!V128+'Lagos Workings'!V128)</f>
        <v>27</v>
      </c>
      <c r="W128" s="72">
        <f>('Enugu Workings'!W128+'Jigawa Workings'!W128+'Kaduna Workings'!W128+'Kano Workings'!W128+'Lagos Workings'!W128)</f>
        <v>32</v>
      </c>
      <c r="X128" s="70">
        <f>('Enugu Workings'!X128+'Jigawa Workings'!X128+'Kaduna Workings'!X128+'Kano Workings'!X128+'Lagos Workings'!X128)</f>
        <v>40</v>
      </c>
      <c r="Y128" s="70">
        <f>('Enugu Workings'!Y128+'Jigawa Workings'!Y128+'Kaduna Workings'!Y128+'Kano Workings'!Y128+'Lagos Workings'!Y128)</f>
        <v>0</v>
      </c>
      <c r="Z128" s="70">
        <f>('Enugu Workings'!Z128+'Jigawa Workings'!Z128+'Kaduna Workings'!Z128+'Kano Workings'!Z128+'Lagos Workings'!Z128)</f>
        <v>0</v>
      </c>
      <c r="AA128" s="49"/>
      <c r="AB128" s="421"/>
      <c r="AD128" s="452">
        <f>V128</f>
        <v>27</v>
      </c>
      <c r="AE128" s="346"/>
      <c r="AF128" s="452">
        <f t="shared" si="41"/>
        <v>32</v>
      </c>
      <c r="AG128" s="452">
        <f t="shared" si="41"/>
        <v>40</v>
      </c>
      <c r="AH128" s="342">
        <f>AG128</f>
        <v>40</v>
      </c>
      <c r="AI128" s="342">
        <f>AG128</f>
        <v>40</v>
      </c>
    </row>
    <row r="129" spans="1:35">
      <c r="A129" s="45"/>
      <c r="B129" s="46"/>
      <c r="C129" s="53"/>
      <c r="D129" s="75"/>
      <c r="E129" s="75"/>
      <c r="F129" s="75"/>
      <c r="G129" s="75"/>
      <c r="H129" s="75"/>
      <c r="I129" s="75"/>
      <c r="J129" s="75"/>
      <c r="K129" s="75"/>
      <c r="L129" s="53"/>
      <c r="M129" s="53"/>
      <c r="N129" s="53"/>
      <c r="O129" s="53"/>
      <c r="P129" s="53"/>
      <c r="Q129" s="53"/>
      <c r="R129" s="53"/>
      <c r="S129" s="53"/>
      <c r="T129" s="53"/>
      <c r="U129" s="53"/>
      <c r="V129" s="53"/>
      <c r="W129" s="53"/>
      <c r="X129" s="53"/>
      <c r="Y129" s="53"/>
      <c r="Z129" s="53"/>
      <c r="AA129" s="49"/>
      <c r="AB129" s="421"/>
      <c r="AD129" s="346"/>
      <c r="AE129" s="346"/>
      <c r="AF129" s="346"/>
      <c r="AG129" s="346"/>
      <c r="AI129" s="338"/>
    </row>
    <row r="130" spans="1:35" ht="15.75" thickBot="1">
      <c r="A130" s="41" t="s">
        <v>701</v>
      </c>
      <c r="B130" s="42" t="s">
        <v>211</v>
      </c>
      <c r="C130" s="52"/>
      <c r="D130" s="52"/>
      <c r="E130" s="52"/>
      <c r="F130" s="52"/>
      <c r="G130" s="52"/>
      <c r="H130" s="52"/>
      <c r="I130" s="52"/>
      <c r="J130" s="52"/>
      <c r="K130" s="52"/>
      <c r="L130" s="52"/>
      <c r="M130" s="52"/>
      <c r="N130" s="52"/>
      <c r="O130" s="52"/>
      <c r="P130" s="52"/>
      <c r="Q130" s="52"/>
      <c r="R130" s="50">
        <f>('Enugu Workings'!R130+'Jigawa Workings'!R130+'Kaduna Workings'!R130+'Kano Workings'!R130+'Lagos Workings'!R130)</f>
        <v>6</v>
      </c>
      <c r="S130" s="51">
        <f>('Enugu Workings'!S130+'Jigawa Workings'!S130+'Kaduna Workings'!S130+'Kano Workings'!S130+'Lagos Workings'!S130)</f>
        <v>8.3333333333333339</v>
      </c>
      <c r="T130" s="51">
        <f>('Enugu Workings'!T130+'Jigawa Workings'!T130+'Kaduna Workings'!T130+'Kano Workings'!T130+'Lagos Workings'!T130)</f>
        <v>10.666666666666666</v>
      </c>
      <c r="U130" s="51">
        <f>('Enugu Workings'!U130+'Jigawa Workings'!U130+'Kaduna Workings'!U130+'Kano Workings'!U130+'Lagos Workings'!U130)</f>
        <v>13</v>
      </c>
      <c r="V130" s="51">
        <f>('Enugu Workings'!V130+'Jigawa Workings'!V130+'Kaduna Workings'!V130+'Kano Workings'!V130+'Lagos Workings'!V130)</f>
        <v>15.333333333333334</v>
      </c>
      <c r="W130" s="51">
        <f>('Enugu Workings'!W130+'Jigawa Workings'!W130+'Kaduna Workings'!W130+'Kano Workings'!W130+'Lagos Workings'!W130)</f>
        <v>17.666666666666664</v>
      </c>
      <c r="X130" s="51">
        <f>('Enugu Workings'!X130+'Jigawa Workings'!X130+'Kaduna Workings'!X130+'Kano Workings'!X130+'Lagos Workings'!X130)</f>
        <v>20</v>
      </c>
      <c r="Y130" s="50">
        <f>('Enugu Workings'!Y130+'Jigawa Workings'!Y130+'Kaduna Workings'!Y130+'Kano Workings'!Y130+'Lagos Workings'!Y130)</f>
        <v>20</v>
      </c>
      <c r="Z130" s="51">
        <f>('Enugu Workings'!Z130+'Jigawa Workings'!Z130+'Kaduna Workings'!Z130+'Kano Workings'!Z130+'Lagos Workings'!Z130)</f>
        <v>20</v>
      </c>
      <c r="AA130" s="38">
        <f>'Lagos Workings'!AA130*5</f>
        <v>25</v>
      </c>
      <c r="AB130" s="457">
        <f>AA130/22</f>
        <v>1.1363636363636365</v>
      </c>
      <c r="AD130" s="451">
        <f>V130</f>
        <v>15.333333333333334</v>
      </c>
      <c r="AE130" s="346"/>
      <c r="AF130" s="453">
        <f t="shared" ref="AF130:AG131" si="42">IF($AG$1=16,R130,IF($AG$1=17,S130,IF($AG$1=18,T130,IF($AG$1=19,U130,IF($AG$1=20,V130,IF($AG$1=21,W130,IF($AG$1=22,X130,0)))))))</f>
        <v>17.666666666666664</v>
      </c>
      <c r="AG130" s="453">
        <f t="shared" si="42"/>
        <v>20</v>
      </c>
      <c r="AI130" s="338"/>
    </row>
    <row r="131" spans="1:35" ht="15.75" thickBot="1">
      <c r="A131" s="45"/>
      <c r="B131" s="46" t="s">
        <v>210</v>
      </c>
      <c r="C131" s="52"/>
      <c r="D131" s="52"/>
      <c r="E131" s="52"/>
      <c r="F131" s="52"/>
      <c r="G131" s="52"/>
      <c r="H131" s="52"/>
      <c r="I131" s="52"/>
      <c r="J131" s="52"/>
      <c r="K131" s="52"/>
      <c r="L131" s="52"/>
      <c r="M131" s="52"/>
      <c r="N131" s="52"/>
      <c r="O131" s="52"/>
      <c r="P131" s="52"/>
      <c r="Q131" s="52"/>
      <c r="R131" s="52">
        <f>('Enugu Workings'!R131+'Jigawa Workings'!R131+'Kaduna Workings'!R131+'Kano Workings'!R131+'Lagos Workings'!R131)</f>
        <v>6</v>
      </c>
      <c r="S131" s="442">
        <f>('Enugu Workings'!S131+'Jigawa Workings'!S131+'Kaduna Workings'!S131+'Kano Workings'!S131+'Lagos Workings'!S131)</f>
        <v>13</v>
      </c>
      <c r="T131" s="442">
        <f>('Enugu Workings'!T131+'Jigawa Workings'!T131+'Kaduna Workings'!T131+'Kano Workings'!T131+'Lagos Workings'!T131)</f>
        <v>13</v>
      </c>
      <c r="U131" s="442">
        <f>('Enugu Workings'!U131+'Jigawa Workings'!U131+'Kaduna Workings'!U131+'Kano Workings'!U131+'Lagos Workings'!U131)</f>
        <v>14</v>
      </c>
      <c r="V131" s="445">
        <f>('Enugu Workings'!V131+'Jigawa Workings'!V131+'Kaduna Workings'!V131+'Kano Workings'!V131+'Lagos Workings'!V131)</f>
        <v>15</v>
      </c>
      <c r="W131" s="72">
        <f>('Enugu Workings'!W131+'Jigawa Workings'!W131+'Kaduna Workings'!W131+'Kano Workings'!W131+'Lagos Workings'!W131)</f>
        <v>22</v>
      </c>
      <c r="X131" s="70">
        <f>('Enugu Workings'!X131+'Jigawa Workings'!X131+'Kaduna Workings'!X131+'Kano Workings'!X131+'Lagos Workings'!X131)</f>
        <v>26</v>
      </c>
      <c r="Y131" s="70">
        <f>('Enugu Workings'!Y131+'Jigawa Workings'!Y131+'Kaduna Workings'!Y131+'Kano Workings'!Y131+'Lagos Workings'!Y131)</f>
        <v>0</v>
      </c>
      <c r="Z131" s="70">
        <f>('Enugu Workings'!Z131+'Jigawa Workings'!Z131+'Kaduna Workings'!Z131+'Kano Workings'!Z131+'Lagos Workings'!Z131)</f>
        <v>0</v>
      </c>
      <c r="AA131" s="49"/>
      <c r="AB131" s="421"/>
      <c r="AD131" s="452">
        <f>V131</f>
        <v>15</v>
      </c>
      <c r="AE131" s="346"/>
      <c r="AF131" s="452">
        <f t="shared" si="42"/>
        <v>22</v>
      </c>
      <c r="AG131" s="452">
        <f t="shared" si="42"/>
        <v>26</v>
      </c>
      <c r="AH131" s="342">
        <f>AG131</f>
        <v>26</v>
      </c>
      <c r="AI131" s="342">
        <f>AG131</f>
        <v>26</v>
      </c>
    </row>
    <row r="132" spans="1:35">
      <c r="A132" s="45"/>
      <c r="B132" s="46"/>
      <c r="C132" s="53"/>
      <c r="D132" s="75"/>
      <c r="E132" s="75"/>
      <c r="F132" s="75"/>
      <c r="G132" s="75"/>
      <c r="H132" s="75"/>
      <c r="I132" s="75"/>
      <c r="J132" s="75"/>
      <c r="K132" s="75"/>
      <c r="L132" s="53"/>
      <c r="M132" s="53"/>
      <c r="N132" s="53"/>
      <c r="O132" s="53"/>
      <c r="P132" s="53"/>
      <c r="Q132" s="53"/>
      <c r="R132" s="53"/>
      <c r="S132" s="53"/>
      <c r="T132" s="53"/>
      <c r="U132" s="53"/>
      <c r="V132" s="53"/>
      <c r="W132" s="53"/>
      <c r="X132" s="53"/>
      <c r="Y132" s="53"/>
      <c r="Z132" s="53"/>
      <c r="AA132" s="49"/>
      <c r="AB132" s="421"/>
      <c r="AD132" s="345"/>
      <c r="AE132" s="346"/>
      <c r="AF132" s="454"/>
      <c r="AG132" s="454"/>
      <c r="AI132" s="338"/>
    </row>
    <row r="133" spans="1:35" ht="15.75" thickBot="1">
      <c r="A133" s="41" t="s">
        <v>702</v>
      </c>
      <c r="B133" s="42" t="s">
        <v>209</v>
      </c>
      <c r="C133" s="52"/>
      <c r="D133" s="52"/>
      <c r="E133" s="52"/>
      <c r="F133" s="52"/>
      <c r="G133" s="52"/>
      <c r="H133" s="52"/>
      <c r="I133" s="52"/>
      <c r="J133" s="52"/>
      <c r="K133" s="52"/>
      <c r="L133" s="52"/>
      <c r="M133" s="52"/>
      <c r="N133" s="52"/>
      <c r="O133" s="52"/>
      <c r="P133" s="52"/>
      <c r="Q133" s="52"/>
      <c r="R133" s="50">
        <f>('Enugu Workings'!R133+'Jigawa Workings'!R133+'Kaduna Workings'!R133+'Kano Workings'!R133+'Lagos Workings'!R133)</f>
        <v>4</v>
      </c>
      <c r="S133" s="51">
        <f>('Enugu Workings'!S133+'Jigawa Workings'!S133+'Kaduna Workings'!S133+'Kano Workings'!S133+'Lagos Workings'!S133)</f>
        <v>4.666666666666667</v>
      </c>
      <c r="T133" s="51">
        <f>('Enugu Workings'!T133+'Jigawa Workings'!T133+'Kaduna Workings'!T133+'Kano Workings'!T133+'Lagos Workings'!T133)</f>
        <v>5.333333333333333</v>
      </c>
      <c r="U133" s="51">
        <f>('Enugu Workings'!U133+'Jigawa Workings'!U133+'Kaduna Workings'!U133+'Kano Workings'!U133+'Lagos Workings'!U133)</f>
        <v>6</v>
      </c>
      <c r="V133" s="51">
        <f>('Enugu Workings'!V133+'Jigawa Workings'!V133+'Kaduna Workings'!V133+'Kano Workings'!V133+'Lagos Workings'!V133)</f>
        <v>6.666666666666667</v>
      </c>
      <c r="W133" s="51">
        <f>('Enugu Workings'!W133+'Jigawa Workings'!W133+'Kaduna Workings'!W133+'Kano Workings'!W133+'Lagos Workings'!W133)</f>
        <v>7.3333333333333339</v>
      </c>
      <c r="X133" s="51">
        <f>('Enugu Workings'!X133+'Jigawa Workings'!X133+'Kaduna Workings'!X133+'Kano Workings'!X133+'Lagos Workings'!X133)</f>
        <v>8</v>
      </c>
      <c r="Y133" s="50">
        <f>('Enugu Workings'!Y133+'Jigawa Workings'!Y133+'Kaduna Workings'!Y133+'Kano Workings'!Y133+'Lagos Workings'!Y133)</f>
        <v>8</v>
      </c>
      <c r="Z133" s="51">
        <f>('Enugu Workings'!Z133+'Jigawa Workings'!Z133+'Kaduna Workings'!Z133+'Kano Workings'!Z133+'Lagos Workings'!Z133)</f>
        <v>8</v>
      </c>
      <c r="AA133" s="38">
        <f>'Lagos Workings'!AA133*5</f>
        <v>25</v>
      </c>
      <c r="AB133" s="457">
        <f>AA133/22</f>
        <v>1.1363636363636365</v>
      </c>
      <c r="AD133" s="451">
        <f>V133</f>
        <v>6.666666666666667</v>
      </c>
      <c r="AE133" s="346"/>
      <c r="AF133" s="453">
        <f t="shared" ref="AF133:AG134" si="43">IF($AG$1=16,R133,IF($AG$1=17,S133,IF($AG$1=18,T133,IF($AG$1=19,U133,IF($AG$1=20,V133,IF($AG$1=21,W133,IF($AG$1=22,X133,0)))))))</f>
        <v>7.3333333333333339</v>
      </c>
      <c r="AG133" s="453">
        <f t="shared" si="43"/>
        <v>8</v>
      </c>
      <c r="AI133" s="338"/>
    </row>
    <row r="134" spans="1:35" ht="15.75" thickBot="1">
      <c r="A134" s="45"/>
      <c r="B134" s="46" t="s">
        <v>208</v>
      </c>
      <c r="C134" s="52"/>
      <c r="D134" s="52"/>
      <c r="E134" s="52"/>
      <c r="F134" s="52"/>
      <c r="G134" s="52"/>
      <c r="H134" s="52"/>
      <c r="I134" s="52"/>
      <c r="J134" s="52"/>
      <c r="K134" s="52"/>
      <c r="L134" s="52"/>
      <c r="M134" s="52"/>
      <c r="N134" s="52"/>
      <c r="O134" s="52"/>
      <c r="P134" s="52"/>
      <c r="Q134" s="52"/>
      <c r="R134" s="52">
        <f>('Enugu Workings'!R134+'Jigawa Workings'!R134+'Kaduna Workings'!R134+'Kano Workings'!R134+'Lagos Workings'!R134)</f>
        <v>4</v>
      </c>
      <c r="S134" s="442">
        <f>('Enugu Workings'!S134+'Jigawa Workings'!S134+'Kaduna Workings'!S134+'Kano Workings'!S134+'Lagos Workings'!S134)</f>
        <v>6</v>
      </c>
      <c r="T134" s="442">
        <f>('Enugu Workings'!T134+'Jigawa Workings'!T134+'Kaduna Workings'!T134+'Kano Workings'!T134+'Lagos Workings'!T134)</f>
        <v>6</v>
      </c>
      <c r="U134" s="442">
        <f>('Enugu Workings'!U134+'Jigawa Workings'!U134+'Kaduna Workings'!U134+'Kano Workings'!U134+'Lagos Workings'!U134)</f>
        <v>6</v>
      </c>
      <c r="V134" s="445">
        <f>('Enugu Workings'!V134+'Jigawa Workings'!V134+'Kaduna Workings'!V134+'Kano Workings'!V134+'Lagos Workings'!V134)</f>
        <v>7</v>
      </c>
      <c r="W134" s="72">
        <f>('Enugu Workings'!W134+'Jigawa Workings'!W134+'Kaduna Workings'!W134+'Kano Workings'!W134+'Lagos Workings'!W134)</f>
        <v>10</v>
      </c>
      <c r="X134" s="70">
        <f>('Enugu Workings'!X134+'Jigawa Workings'!X134+'Kaduna Workings'!X134+'Kano Workings'!X134+'Lagos Workings'!X134)</f>
        <v>12</v>
      </c>
      <c r="Y134" s="70">
        <f>('Enugu Workings'!Y134+'Jigawa Workings'!Y134+'Kaduna Workings'!Y134+'Kano Workings'!Y134+'Lagos Workings'!Y134)</f>
        <v>0</v>
      </c>
      <c r="Z134" s="70">
        <f>('Enugu Workings'!Z134+'Jigawa Workings'!Z134+'Kaduna Workings'!Z134+'Kano Workings'!Z134+'Lagos Workings'!Z134)</f>
        <v>0</v>
      </c>
      <c r="AA134" s="49"/>
      <c r="AB134" s="421"/>
      <c r="AD134" s="452">
        <f>V134</f>
        <v>7</v>
      </c>
      <c r="AE134" s="346"/>
      <c r="AF134" s="452">
        <f t="shared" si="43"/>
        <v>10</v>
      </c>
      <c r="AG134" s="452">
        <f t="shared" si="43"/>
        <v>12</v>
      </c>
      <c r="AH134" s="342">
        <f>AG134</f>
        <v>12</v>
      </c>
      <c r="AI134" s="342">
        <f>AG134</f>
        <v>12</v>
      </c>
    </row>
    <row r="135" spans="1:35">
      <c r="A135" s="45"/>
      <c r="B135" s="46"/>
      <c r="C135" s="53"/>
      <c r="D135" s="75"/>
      <c r="E135" s="75"/>
      <c r="F135" s="75"/>
      <c r="G135" s="75"/>
      <c r="H135" s="75"/>
      <c r="I135" s="75"/>
      <c r="J135" s="75"/>
      <c r="K135" s="75"/>
      <c r="L135" s="53"/>
      <c r="M135" s="53"/>
      <c r="N135" s="53"/>
      <c r="O135" s="53"/>
      <c r="P135" s="53"/>
      <c r="Q135" s="53"/>
      <c r="R135" s="53"/>
      <c r="S135" s="53"/>
      <c r="T135" s="53"/>
      <c r="U135" s="53"/>
      <c r="V135" s="53"/>
      <c r="W135" s="53"/>
      <c r="X135" s="53"/>
      <c r="Y135" s="53"/>
      <c r="Z135" s="53"/>
      <c r="AA135" s="49"/>
      <c r="AB135" s="421"/>
      <c r="AD135" s="345"/>
      <c r="AE135" s="346"/>
      <c r="AF135" s="454"/>
      <c r="AG135" s="454"/>
      <c r="AI135" s="338"/>
    </row>
    <row r="136" spans="1:35" ht="15.75" thickBot="1">
      <c r="A136" s="41" t="s">
        <v>703</v>
      </c>
      <c r="B136" s="42" t="s">
        <v>824</v>
      </c>
      <c r="C136" s="52"/>
      <c r="D136" s="52"/>
      <c r="E136" s="52"/>
      <c r="F136" s="52"/>
      <c r="G136" s="52"/>
      <c r="H136" s="52"/>
      <c r="I136" s="52"/>
      <c r="J136" s="52"/>
      <c r="K136" s="52"/>
      <c r="L136" s="52"/>
      <c r="M136" s="52"/>
      <c r="N136" s="52"/>
      <c r="O136" s="52"/>
      <c r="P136" s="52"/>
      <c r="Q136" s="52"/>
      <c r="R136" s="50">
        <f>('Enugu Workings'!R136+'Jigawa Workings'!R136+'Kaduna Workings'!R136+'Kano Workings'!R136+'Lagos Workings'!R136)</f>
        <v>18</v>
      </c>
      <c r="S136" s="51">
        <f>('Enugu Workings'!S136+'Jigawa Workings'!S136+'Kaduna Workings'!S136+'Kano Workings'!S136+'Lagos Workings'!S136)</f>
        <v>19.5</v>
      </c>
      <c r="T136" s="51">
        <f>('Enugu Workings'!T136+'Jigawa Workings'!T136+'Kaduna Workings'!T136+'Kano Workings'!T136+'Lagos Workings'!T136)</f>
        <v>21</v>
      </c>
      <c r="U136" s="51">
        <f>('Enugu Workings'!U136+'Jigawa Workings'!U136+'Kaduna Workings'!U136+'Kano Workings'!U136+'Lagos Workings'!U136)</f>
        <v>22.5</v>
      </c>
      <c r="V136" s="51">
        <f>('Enugu Workings'!V136+'Jigawa Workings'!V136+'Kaduna Workings'!V136+'Kano Workings'!V136+'Lagos Workings'!V136)</f>
        <v>24</v>
      </c>
      <c r="W136" s="51">
        <f>('Enugu Workings'!W136+'Jigawa Workings'!W136+'Kaduna Workings'!W136+'Kano Workings'!W136+'Lagos Workings'!W136)</f>
        <v>32.166666666666671</v>
      </c>
      <c r="X136" s="51">
        <f>('Enugu Workings'!X136+'Jigawa Workings'!X136+'Kaduna Workings'!X136+'Kano Workings'!X136+'Lagos Workings'!X136)</f>
        <v>35</v>
      </c>
      <c r="Y136" s="50">
        <f>('Enugu Workings'!Y136+'Jigawa Workings'!Y136+'Kaduna Workings'!Y136+'Kano Workings'!Y136+'Lagos Workings'!Y136)</f>
        <v>35</v>
      </c>
      <c r="Z136" s="51">
        <f>('Enugu Workings'!Z136+'Jigawa Workings'!Z136+'Kaduna Workings'!Z136+'Kano Workings'!Z136+'Lagos Workings'!Z136)</f>
        <v>35</v>
      </c>
      <c r="AA136" s="38">
        <f>'Lagos Workings'!AA136*5</f>
        <v>50</v>
      </c>
      <c r="AB136" s="457">
        <f>AA136/22</f>
        <v>2.2727272727272729</v>
      </c>
      <c r="AD136" s="451">
        <f>V136</f>
        <v>24</v>
      </c>
      <c r="AE136" s="346"/>
      <c r="AF136" s="453">
        <f t="shared" ref="AF136:AG137" si="44">IF($AG$1=16,R136,IF($AG$1=17,S136,IF($AG$1=18,T136,IF($AG$1=19,U136,IF($AG$1=20,V136,IF($AG$1=21,W136,IF($AG$1=22,X136,0)))))))</f>
        <v>32.166666666666671</v>
      </c>
      <c r="AG136" s="453">
        <f t="shared" si="44"/>
        <v>35</v>
      </c>
      <c r="AI136" s="338"/>
    </row>
    <row r="137" spans="1:35" ht="15.75" thickBot="1">
      <c r="A137" s="45"/>
      <c r="B137" s="46" t="s">
        <v>825</v>
      </c>
      <c r="C137" s="52"/>
      <c r="D137" s="52"/>
      <c r="E137" s="52"/>
      <c r="F137" s="52"/>
      <c r="G137" s="52"/>
      <c r="H137" s="52"/>
      <c r="I137" s="52"/>
      <c r="J137" s="52"/>
      <c r="K137" s="52"/>
      <c r="L137" s="52"/>
      <c r="M137" s="52"/>
      <c r="N137" s="52"/>
      <c r="O137" s="52"/>
      <c r="P137" s="52"/>
      <c r="Q137" s="52"/>
      <c r="R137" s="52">
        <f>('Enugu Workings'!R137+'Jigawa Workings'!R137+'Kaduna Workings'!R137+'Kano Workings'!R137+'Lagos Workings'!R137)</f>
        <v>18</v>
      </c>
      <c r="S137" s="442">
        <f>('Enugu Workings'!S137+'Jigawa Workings'!S137+'Kaduna Workings'!S137+'Kano Workings'!S137+'Lagos Workings'!S137)</f>
        <v>20</v>
      </c>
      <c r="T137" s="442">
        <f>('Enugu Workings'!T137+'Jigawa Workings'!T137+'Kaduna Workings'!T137+'Kano Workings'!T137+'Lagos Workings'!T137)</f>
        <v>27</v>
      </c>
      <c r="U137" s="442">
        <f>('Enugu Workings'!U137+'Jigawa Workings'!U137+'Kaduna Workings'!U137+'Kano Workings'!U137+'Lagos Workings'!U137)</f>
        <v>29</v>
      </c>
      <c r="V137" s="445">
        <f>('Enugu Workings'!V137+'Jigawa Workings'!V137+'Kaduna Workings'!V137+'Kano Workings'!V137+'Lagos Workings'!V137)</f>
        <v>31</v>
      </c>
      <c r="W137" s="72">
        <f>('Enugu Workings'!W137+'Jigawa Workings'!W137+'Kaduna Workings'!W137+'Kano Workings'!W137+'Lagos Workings'!W137)</f>
        <v>33</v>
      </c>
      <c r="X137" s="70">
        <f>('Enugu Workings'!X137+'Jigawa Workings'!X137+'Kaduna Workings'!X137+'Kano Workings'!X137+'Lagos Workings'!X137)</f>
        <v>37</v>
      </c>
      <c r="Y137" s="70">
        <f>('Enugu Workings'!Y137+'Jigawa Workings'!Y137+'Kaduna Workings'!Y137+'Kano Workings'!Y137+'Lagos Workings'!Y137)</f>
        <v>0</v>
      </c>
      <c r="Z137" s="70">
        <f>('Enugu Workings'!Z137+'Jigawa Workings'!Z137+'Kaduna Workings'!Z137+'Kano Workings'!Z137+'Lagos Workings'!Z137)</f>
        <v>0</v>
      </c>
      <c r="AA137" s="49"/>
      <c r="AB137" s="421"/>
      <c r="AD137" s="452">
        <f>V137</f>
        <v>31</v>
      </c>
      <c r="AE137" s="346"/>
      <c r="AF137" s="452">
        <f t="shared" si="44"/>
        <v>33</v>
      </c>
      <c r="AG137" s="452">
        <f t="shared" si="44"/>
        <v>37</v>
      </c>
      <c r="AH137" s="342">
        <f>AG137</f>
        <v>37</v>
      </c>
      <c r="AI137" s="342">
        <f>AG137</f>
        <v>37</v>
      </c>
    </row>
    <row r="138" spans="1:35">
      <c r="R138" s="455"/>
      <c r="S138" s="53"/>
      <c r="T138" s="53"/>
      <c r="U138" s="53"/>
      <c r="V138" s="53"/>
      <c r="W138" s="53"/>
      <c r="X138" s="53"/>
      <c r="Y138" s="53"/>
      <c r="Z138" s="53"/>
      <c r="AB138" s="420"/>
      <c r="AD138" s="345"/>
      <c r="AE138" s="346"/>
      <c r="AF138" s="454"/>
      <c r="AG138" s="454"/>
      <c r="AI138" s="338"/>
    </row>
    <row r="139" spans="1:35" ht="15.75" thickBot="1">
      <c r="A139" s="41" t="s">
        <v>704</v>
      </c>
      <c r="B139" s="42" t="s">
        <v>826</v>
      </c>
      <c r="C139" s="52"/>
      <c r="D139" s="52"/>
      <c r="E139" s="52"/>
      <c r="F139" s="52"/>
      <c r="G139" s="52"/>
      <c r="H139" s="52"/>
      <c r="I139" s="52"/>
      <c r="J139" s="52"/>
      <c r="K139" s="52"/>
      <c r="L139" s="52"/>
      <c r="M139" s="52"/>
      <c r="N139" s="52"/>
      <c r="O139" s="52"/>
      <c r="P139" s="52"/>
      <c r="Q139" s="52"/>
      <c r="R139" s="50">
        <f>('Enugu Workings'!R139+'Jigawa Workings'!R139+'Kaduna Workings'!R139+'Kano Workings'!R139+'Lagos Workings'!R139)</f>
        <v>13</v>
      </c>
      <c r="S139" s="51">
        <f>('Enugu Workings'!S139+'Jigawa Workings'!S139+'Kaduna Workings'!S139+'Kano Workings'!S139+'Lagos Workings'!S139)</f>
        <v>14.166666666666664</v>
      </c>
      <c r="T139" s="51">
        <f>('Enugu Workings'!T139+'Jigawa Workings'!T139+'Kaduna Workings'!T139+'Kano Workings'!T139+'Lagos Workings'!T139)</f>
        <v>15.333333333333332</v>
      </c>
      <c r="U139" s="51">
        <f>('Enugu Workings'!U139+'Jigawa Workings'!U139+'Kaduna Workings'!U139+'Kano Workings'!U139+'Lagos Workings'!U139)</f>
        <v>16.5</v>
      </c>
      <c r="V139" s="51">
        <f>('Enugu Workings'!V139+'Jigawa Workings'!V139+'Kaduna Workings'!V139+'Kano Workings'!V139+'Lagos Workings'!V139)</f>
        <v>17.666666666666664</v>
      </c>
      <c r="W139" s="51">
        <f>('Enugu Workings'!W139+'Jigawa Workings'!W139+'Kaduna Workings'!W139+'Kano Workings'!W139+'Lagos Workings'!W139)</f>
        <v>20.5</v>
      </c>
      <c r="X139" s="51">
        <f>('Enugu Workings'!X139+'Jigawa Workings'!X139+'Kaduna Workings'!X139+'Kano Workings'!X139+'Lagos Workings'!X139)</f>
        <v>22</v>
      </c>
      <c r="Y139" s="50">
        <f>('Enugu Workings'!Y139+'Jigawa Workings'!Y139+'Kaduna Workings'!Y139+'Kano Workings'!Y139+'Lagos Workings'!Y139)</f>
        <v>22</v>
      </c>
      <c r="Z139" s="51">
        <f>('Enugu Workings'!Z139+'Jigawa Workings'!Z139+'Kaduna Workings'!Z139+'Kano Workings'!Z139+'Lagos Workings'!Z139)</f>
        <v>22</v>
      </c>
      <c r="AA139" s="38">
        <f>'Lagos Workings'!AA139*5</f>
        <v>50</v>
      </c>
      <c r="AB139" s="457">
        <f>AA139/22</f>
        <v>2.2727272727272729</v>
      </c>
      <c r="AD139" s="451">
        <f>V139</f>
        <v>17.666666666666664</v>
      </c>
      <c r="AE139" s="346"/>
      <c r="AF139" s="453">
        <f t="shared" ref="AF139:AG140" si="45">IF($AG$1=16,R139,IF($AG$1=17,S139,IF($AG$1=18,T139,IF($AG$1=19,U139,IF($AG$1=20,V139,IF($AG$1=21,W139,IF($AG$1=22,X139,0)))))))</f>
        <v>20.5</v>
      </c>
      <c r="AG139" s="453">
        <f t="shared" si="45"/>
        <v>22</v>
      </c>
      <c r="AI139" s="338"/>
    </row>
    <row r="140" spans="1:35" ht="15.75" thickBot="1">
      <c r="A140" s="45"/>
      <c r="B140" s="46" t="s">
        <v>827</v>
      </c>
      <c r="C140" s="52"/>
      <c r="D140" s="52"/>
      <c r="E140" s="52"/>
      <c r="F140" s="52"/>
      <c r="G140" s="52"/>
      <c r="H140" s="52"/>
      <c r="I140" s="52"/>
      <c r="J140" s="52"/>
      <c r="K140" s="52"/>
      <c r="L140" s="52"/>
      <c r="M140" s="52"/>
      <c r="N140" s="52"/>
      <c r="O140" s="52"/>
      <c r="P140" s="52"/>
      <c r="Q140" s="52"/>
      <c r="R140" s="52">
        <f>('Enugu Workings'!R140+'Jigawa Workings'!R140+'Kaduna Workings'!R140+'Kano Workings'!R140+'Lagos Workings'!R140)</f>
        <v>13</v>
      </c>
      <c r="S140" s="442">
        <f>('Enugu Workings'!S140+'Jigawa Workings'!S140+'Kaduna Workings'!S140+'Kano Workings'!S140+'Lagos Workings'!S140)</f>
        <v>13</v>
      </c>
      <c r="T140" s="442">
        <f>('Enugu Workings'!T140+'Jigawa Workings'!T140+'Kaduna Workings'!T140+'Kano Workings'!T140+'Lagos Workings'!T140)</f>
        <v>14</v>
      </c>
      <c r="U140" s="442">
        <f>('Enugu Workings'!U140+'Jigawa Workings'!U140+'Kaduna Workings'!U140+'Kano Workings'!U140+'Lagos Workings'!U140)</f>
        <v>15</v>
      </c>
      <c r="V140" s="445">
        <f>('Enugu Workings'!V140+'Jigawa Workings'!V140+'Kaduna Workings'!V140+'Kano Workings'!V140+'Lagos Workings'!V140)</f>
        <v>17</v>
      </c>
      <c r="W140" s="72">
        <f>('Enugu Workings'!W140+'Jigawa Workings'!W140+'Kaduna Workings'!W140+'Kano Workings'!W140+'Lagos Workings'!W140)</f>
        <v>18</v>
      </c>
      <c r="X140" s="70">
        <f>('Enugu Workings'!X140+'Jigawa Workings'!X140+'Kaduna Workings'!X140+'Kano Workings'!X140+'Lagos Workings'!X140)</f>
        <v>21</v>
      </c>
      <c r="Y140" s="70">
        <f>('Enugu Workings'!Y140+'Jigawa Workings'!Y140+'Kaduna Workings'!Y140+'Kano Workings'!Y140+'Lagos Workings'!Y140)</f>
        <v>0</v>
      </c>
      <c r="Z140" s="70">
        <f>('Enugu Workings'!Z140+'Jigawa Workings'!Z140+'Kaduna Workings'!Z140+'Kano Workings'!Z140+'Lagos Workings'!Z140)</f>
        <v>0</v>
      </c>
      <c r="AA140" s="49"/>
      <c r="AB140" s="421"/>
      <c r="AD140" s="452">
        <f>V140</f>
        <v>17</v>
      </c>
      <c r="AE140" s="346"/>
      <c r="AF140" s="452">
        <f t="shared" si="45"/>
        <v>18</v>
      </c>
      <c r="AG140" s="452">
        <f t="shared" si="45"/>
        <v>21</v>
      </c>
      <c r="AH140" s="342">
        <f>AG140</f>
        <v>21</v>
      </c>
      <c r="AI140" s="342">
        <f>AG140</f>
        <v>21</v>
      </c>
    </row>
    <row r="141" spans="1:35">
      <c r="A141" s="45"/>
      <c r="B141" s="46"/>
      <c r="C141" s="53"/>
      <c r="D141" s="75"/>
      <c r="E141" s="75"/>
      <c r="F141" s="75"/>
      <c r="G141" s="75"/>
      <c r="H141" s="75"/>
      <c r="I141" s="75"/>
      <c r="J141" s="75"/>
      <c r="K141" s="75"/>
      <c r="L141" s="53"/>
      <c r="M141" s="53"/>
      <c r="N141" s="53"/>
      <c r="O141" s="53"/>
      <c r="P141" s="53"/>
      <c r="Q141" s="53"/>
      <c r="R141" s="53"/>
      <c r="S141" s="53"/>
      <c r="T141" s="53"/>
      <c r="U141" s="53"/>
      <c r="V141" s="53"/>
      <c r="W141" s="53"/>
      <c r="X141" s="53"/>
      <c r="Y141" s="53"/>
      <c r="Z141" s="53"/>
      <c r="AA141" s="49"/>
      <c r="AB141" s="421"/>
      <c r="AD141" s="346"/>
      <c r="AE141" s="346"/>
      <c r="AF141" s="346"/>
      <c r="AG141" s="346"/>
      <c r="AI141" s="338"/>
    </row>
    <row r="142" spans="1:35" ht="15.75" thickBot="1">
      <c r="A142" s="41" t="s">
        <v>705</v>
      </c>
      <c r="B142" s="42" t="s">
        <v>828</v>
      </c>
      <c r="C142" s="52"/>
      <c r="D142" s="52"/>
      <c r="E142" s="52"/>
      <c r="F142" s="52"/>
      <c r="G142" s="52"/>
      <c r="H142" s="52"/>
      <c r="I142" s="52"/>
      <c r="J142" s="52"/>
      <c r="K142" s="52"/>
      <c r="L142" s="52"/>
      <c r="M142" s="52"/>
      <c r="N142" s="52"/>
      <c r="O142" s="52"/>
      <c r="P142" s="52"/>
      <c r="Q142" s="52"/>
      <c r="R142" s="50">
        <f>('Enugu Workings'!R142+'Jigawa Workings'!R142+'Kaduna Workings'!R142+'Kano Workings'!R142+'Lagos Workings'!R142)</f>
        <v>6</v>
      </c>
      <c r="S142" s="51">
        <f>('Enugu Workings'!S142+'Jigawa Workings'!S142+'Kaduna Workings'!S142+'Kano Workings'!S142+'Lagos Workings'!S142)</f>
        <v>7.0000000000000009</v>
      </c>
      <c r="T142" s="51">
        <f>('Enugu Workings'!T142+'Jigawa Workings'!T142+'Kaduna Workings'!T142+'Kano Workings'!T142+'Lagos Workings'!T142)</f>
        <v>8</v>
      </c>
      <c r="U142" s="51">
        <f>('Enugu Workings'!U142+'Jigawa Workings'!U142+'Kaduna Workings'!U142+'Kano Workings'!U142+'Lagos Workings'!U142)</f>
        <v>9</v>
      </c>
      <c r="V142" s="51">
        <f>('Enugu Workings'!V142+'Jigawa Workings'!V142+'Kaduna Workings'!V142+'Kano Workings'!V142+'Lagos Workings'!V142)</f>
        <v>10</v>
      </c>
      <c r="W142" s="51">
        <f>('Enugu Workings'!W142+'Jigawa Workings'!W142+'Kaduna Workings'!W142+'Kano Workings'!W142+'Lagos Workings'!W142)</f>
        <v>11.000000000000002</v>
      </c>
      <c r="X142" s="51">
        <f>('Enugu Workings'!X142+'Jigawa Workings'!X142+'Kaduna Workings'!X142+'Kano Workings'!X142+'Lagos Workings'!X142)</f>
        <v>12</v>
      </c>
      <c r="Y142" s="50">
        <f>('Enugu Workings'!Y142+'Jigawa Workings'!Y142+'Kaduna Workings'!Y142+'Kano Workings'!Y142+'Lagos Workings'!Y142)</f>
        <v>12</v>
      </c>
      <c r="Z142" s="51">
        <f>('Enugu Workings'!Z142+'Jigawa Workings'!Z142+'Kaduna Workings'!Z142+'Kano Workings'!Z142+'Lagos Workings'!Z142)</f>
        <v>12</v>
      </c>
      <c r="AA142" s="38">
        <f>'Lagos Workings'!AA142*5</f>
        <v>25</v>
      </c>
      <c r="AB142" s="457">
        <f>AA142/22</f>
        <v>1.1363636363636365</v>
      </c>
      <c r="AD142" s="451">
        <f>V142</f>
        <v>10</v>
      </c>
      <c r="AE142" s="346"/>
      <c r="AF142" s="453">
        <f t="shared" ref="AF142:AG143" si="46">IF($AG$1=16,R142,IF($AG$1=17,S142,IF($AG$1=18,T142,IF($AG$1=19,U142,IF($AG$1=20,V142,IF($AG$1=21,W142,IF($AG$1=22,X142,0)))))))</f>
        <v>11.000000000000002</v>
      </c>
      <c r="AG142" s="453">
        <f t="shared" si="46"/>
        <v>12</v>
      </c>
      <c r="AI142" s="338"/>
    </row>
    <row r="143" spans="1:35" ht="15.75" thickBot="1">
      <c r="A143" s="45"/>
      <c r="B143" s="46" t="s">
        <v>829</v>
      </c>
      <c r="C143" s="52"/>
      <c r="D143" s="52"/>
      <c r="E143" s="52"/>
      <c r="F143" s="52"/>
      <c r="G143" s="52"/>
      <c r="H143" s="52"/>
      <c r="I143" s="52"/>
      <c r="J143" s="52"/>
      <c r="K143" s="52"/>
      <c r="L143" s="52"/>
      <c r="M143" s="52"/>
      <c r="N143" s="52"/>
      <c r="O143" s="52"/>
      <c r="P143" s="52"/>
      <c r="Q143" s="52"/>
      <c r="R143" s="52">
        <f>('Enugu Workings'!R143+'Jigawa Workings'!R143+'Kaduna Workings'!R143+'Kano Workings'!R143+'Lagos Workings'!R143)</f>
        <v>6</v>
      </c>
      <c r="S143" s="442">
        <f>('Enugu Workings'!S143+'Jigawa Workings'!S143+'Kaduna Workings'!S143+'Kano Workings'!S143+'Lagos Workings'!S143)</f>
        <v>7</v>
      </c>
      <c r="T143" s="442">
        <f>('Enugu Workings'!T143+'Jigawa Workings'!T143+'Kaduna Workings'!T143+'Kano Workings'!T143+'Lagos Workings'!T143)</f>
        <v>6</v>
      </c>
      <c r="U143" s="442">
        <f>('Enugu Workings'!U143+'Jigawa Workings'!U143+'Kaduna Workings'!U143+'Kano Workings'!U143+'Lagos Workings'!U143)</f>
        <v>6</v>
      </c>
      <c r="V143" s="445">
        <f>('Enugu Workings'!V143+'Jigawa Workings'!V143+'Kaduna Workings'!V143+'Kano Workings'!V143+'Lagos Workings'!V143)</f>
        <v>10</v>
      </c>
      <c r="W143" s="72">
        <f>('Enugu Workings'!W143+'Jigawa Workings'!W143+'Kaduna Workings'!W143+'Kano Workings'!W143+'Lagos Workings'!W143)</f>
        <v>11</v>
      </c>
      <c r="X143" s="70">
        <f>('Enugu Workings'!X143+'Jigawa Workings'!X143+'Kaduna Workings'!X143+'Kano Workings'!X143+'Lagos Workings'!X143)</f>
        <v>17</v>
      </c>
      <c r="Y143" s="70">
        <f>('Enugu Workings'!Y143+'Jigawa Workings'!Y143+'Kaduna Workings'!Y143+'Kano Workings'!Y143+'Lagos Workings'!Y143)</f>
        <v>0</v>
      </c>
      <c r="Z143" s="70">
        <f>('Enugu Workings'!Z143+'Jigawa Workings'!Z143+'Kaduna Workings'!Z143+'Kano Workings'!Z143+'Lagos Workings'!Z143)</f>
        <v>0</v>
      </c>
      <c r="AA143" s="49"/>
      <c r="AB143" s="421"/>
      <c r="AD143" s="452">
        <f>V143</f>
        <v>10</v>
      </c>
      <c r="AE143" s="346"/>
      <c r="AF143" s="452">
        <f t="shared" si="46"/>
        <v>11</v>
      </c>
      <c r="AG143" s="452">
        <f t="shared" si="46"/>
        <v>17</v>
      </c>
      <c r="AH143" s="342">
        <f>AG143</f>
        <v>17</v>
      </c>
      <c r="AI143" s="342">
        <f>AG143</f>
        <v>17</v>
      </c>
    </row>
    <row r="144" spans="1:35">
      <c r="A144" s="45"/>
      <c r="B144" s="46"/>
      <c r="C144" s="53"/>
      <c r="D144" s="75"/>
      <c r="E144" s="75"/>
      <c r="F144" s="75"/>
      <c r="G144" s="75"/>
      <c r="H144" s="75"/>
      <c r="I144" s="75"/>
      <c r="J144" s="75"/>
      <c r="K144" s="75"/>
      <c r="L144" s="53"/>
      <c r="M144" s="53"/>
      <c r="N144" s="53"/>
      <c r="O144" s="53"/>
      <c r="P144" s="53"/>
      <c r="Q144" s="53"/>
      <c r="R144" s="53"/>
      <c r="S144" s="53"/>
      <c r="T144" s="53"/>
      <c r="U144" s="53"/>
      <c r="V144" s="53"/>
      <c r="W144" s="53"/>
      <c r="X144" s="53"/>
      <c r="Y144" s="53"/>
      <c r="Z144" s="53"/>
      <c r="AA144" s="49"/>
      <c r="AB144" s="421"/>
      <c r="AD144" s="345"/>
      <c r="AE144" s="346"/>
      <c r="AF144" s="454"/>
      <c r="AG144" s="454"/>
      <c r="AI144" s="338"/>
    </row>
    <row r="145" spans="1:35" ht="15.75" thickBot="1">
      <c r="A145" s="41" t="s">
        <v>706</v>
      </c>
      <c r="B145" s="42" t="s">
        <v>830</v>
      </c>
      <c r="C145" s="52"/>
      <c r="D145" s="52"/>
      <c r="E145" s="52"/>
      <c r="F145" s="52"/>
      <c r="G145" s="52"/>
      <c r="H145" s="52"/>
      <c r="I145" s="52"/>
      <c r="J145" s="52"/>
      <c r="K145" s="52"/>
      <c r="L145" s="52"/>
      <c r="M145" s="52"/>
      <c r="N145" s="52"/>
      <c r="O145" s="52"/>
      <c r="P145" s="52"/>
      <c r="Q145" s="52"/>
      <c r="R145" s="50">
        <f>('Enugu Workings'!R145+'Jigawa Workings'!R145+'Kaduna Workings'!R145+'Kano Workings'!R145+'Lagos Workings'!R145)</f>
        <v>1</v>
      </c>
      <c r="S145" s="51">
        <f>('Enugu Workings'!S145+'Jigawa Workings'!S145+'Kaduna Workings'!S145+'Kano Workings'!S145+'Lagos Workings'!S145)</f>
        <v>1.6666666666666667</v>
      </c>
      <c r="T145" s="51">
        <f>('Enugu Workings'!T145+'Jigawa Workings'!T145+'Kaduna Workings'!T145+'Kano Workings'!T145+'Lagos Workings'!T145)</f>
        <v>2.3333333333333335</v>
      </c>
      <c r="U145" s="51">
        <f>('Enugu Workings'!U145+'Jigawa Workings'!U145+'Kaduna Workings'!U145+'Kano Workings'!U145+'Lagos Workings'!U145)</f>
        <v>3</v>
      </c>
      <c r="V145" s="51">
        <f>('Enugu Workings'!V145+'Jigawa Workings'!V145+'Kaduna Workings'!V145+'Kano Workings'!V145+'Lagos Workings'!V145)</f>
        <v>3.6666666666666665</v>
      </c>
      <c r="W145" s="51">
        <f>('Enugu Workings'!W145+'Jigawa Workings'!W145+'Kaduna Workings'!W145+'Kano Workings'!W145+'Lagos Workings'!W145)</f>
        <v>3.5</v>
      </c>
      <c r="X145" s="51">
        <f>('Enugu Workings'!X145+'Jigawa Workings'!X145+'Kaduna Workings'!X145+'Kano Workings'!X145+'Lagos Workings'!X145)</f>
        <v>3.9999999999999996</v>
      </c>
      <c r="Y145" s="50">
        <f>('Enugu Workings'!Y145+'Jigawa Workings'!Y145+'Kaduna Workings'!Y145+'Kano Workings'!Y145+'Lagos Workings'!Y145)</f>
        <v>4</v>
      </c>
      <c r="Z145" s="51">
        <f>('Enugu Workings'!Z145+'Jigawa Workings'!Z145+'Kaduna Workings'!Z145+'Kano Workings'!Z145+'Lagos Workings'!Z145)</f>
        <v>4</v>
      </c>
      <c r="AA145" s="38">
        <f>'Lagos Workings'!AA145*5</f>
        <v>25</v>
      </c>
      <c r="AB145" s="457">
        <f>AA145/22</f>
        <v>1.1363636363636365</v>
      </c>
      <c r="AD145" s="451">
        <f>V145</f>
        <v>3.6666666666666665</v>
      </c>
      <c r="AE145" s="346"/>
      <c r="AF145" s="453">
        <f t="shared" ref="AF145:AG146" si="47">IF($AG$1=16,R145,IF($AG$1=17,S145,IF($AG$1=18,T145,IF($AG$1=19,U145,IF($AG$1=20,V145,IF($AG$1=21,W145,IF($AG$1=22,X145,0)))))))</f>
        <v>3.5</v>
      </c>
      <c r="AG145" s="453">
        <f t="shared" si="47"/>
        <v>3.9999999999999996</v>
      </c>
      <c r="AI145" s="338"/>
    </row>
    <row r="146" spans="1:35" ht="15.75" thickBot="1">
      <c r="A146" s="45"/>
      <c r="B146" s="46" t="s">
        <v>831</v>
      </c>
      <c r="C146" s="52"/>
      <c r="D146" s="52"/>
      <c r="E146" s="52"/>
      <c r="F146" s="52"/>
      <c r="G146" s="52"/>
      <c r="H146" s="52"/>
      <c r="I146" s="52"/>
      <c r="J146" s="52"/>
      <c r="K146" s="52"/>
      <c r="L146" s="52"/>
      <c r="M146" s="52"/>
      <c r="N146" s="52"/>
      <c r="O146" s="52"/>
      <c r="P146" s="52"/>
      <c r="Q146" s="52"/>
      <c r="R146" s="52">
        <f>('Enugu Workings'!R146+'Jigawa Workings'!R146+'Kaduna Workings'!R146+'Kano Workings'!R146+'Lagos Workings'!R146)</f>
        <v>1</v>
      </c>
      <c r="S146" s="442">
        <f>('Enugu Workings'!S146+'Jigawa Workings'!S146+'Kaduna Workings'!S146+'Kano Workings'!S146+'Lagos Workings'!S146)</f>
        <v>1</v>
      </c>
      <c r="T146" s="442">
        <f>('Enugu Workings'!T146+'Jigawa Workings'!T146+'Kaduna Workings'!T146+'Kano Workings'!T146+'Lagos Workings'!T146)</f>
        <v>2</v>
      </c>
      <c r="U146" s="442">
        <f>('Enugu Workings'!U146+'Jigawa Workings'!U146+'Kaduna Workings'!U146+'Kano Workings'!U146+'Lagos Workings'!U146)</f>
        <v>2</v>
      </c>
      <c r="V146" s="445">
        <f>('Enugu Workings'!V146+'Jigawa Workings'!V146+'Kaduna Workings'!V146+'Kano Workings'!V146+'Lagos Workings'!V146)</f>
        <v>3</v>
      </c>
      <c r="W146" s="72">
        <f>('Enugu Workings'!W146+'Jigawa Workings'!W146+'Kaduna Workings'!W146+'Kano Workings'!W146+'Lagos Workings'!W146)</f>
        <v>3</v>
      </c>
      <c r="X146" s="70">
        <f>('Enugu Workings'!X146+'Jigawa Workings'!X146+'Kaduna Workings'!X146+'Kano Workings'!X146+'Lagos Workings'!X146)</f>
        <v>6</v>
      </c>
      <c r="Y146" s="70">
        <f>('Enugu Workings'!Y146+'Jigawa Workings'!Y146+'Kaduna Workings'!Y146+'Kano Workings'!Y146+'Lagos Workings'!Y146)</f>
        <v>0</v>
      </c>
      <c r="Z146" s="70">
        <f>('Enugu Workings'!Z146+'Jigawa Workings'!Z146+'Kaduna Workings'!Z146+'Kano Workings'!Z146+'Lagos Workings'!Z146)</f>
        <v>0</v>
      </c>
      <c r="AA146" s="49"/>
      <c r="AB146" s="421"/>
      <c r="AD146" s="452">
        <f>V146</f>
        <v>3</v>
      </c>
      <c r="AE146" s="346"/>
      <c r="AF146" s="452">
        <f t="shared" si="47"/>
        <v>3</v>
      </c>
      <c r="AG146" s="452">
        <f t="shared" si="47"/>
        <v>6</v>
      </c>
      <c r="AH146" s="342">
        <f>AG146</f>
        <v>6</v>
      </c>
      <c r="AI146" s="342">
        <f>AG146</f>
        <v>6</v>
      </c>
    </row>
    <row r="147" spans="1:35">
      <c r="A147" s="45"/>
      <c r="B147" s="46"/>
      <c r="C147" s="53"/>
      <c r="D147" s="75"/>
      <c r="E147" s="75"/>
      <c r="F147" s="75"/>
      <c r="G147" s="75"/>
      <c r="H147" s="75"/>
      <c r="I147" s="75"/>
      <c r="J147" s="75"/>
      <c r="K147" s="75"/>
      <c r="L147" s="53"/>
      <c r="M147" s="53"/>
      <c r="N147" s="53"/>
      <c r="O147" s="53"/>
      <c r="P147" s="53"/>
      <c r="Q147" s="53"/>
      <c r="R147" s="53"/>
      <c r="S147" s="48"/>
      <c r="T147" s="48"/>
      <c r="U147" s="48"/>
      <c r="V147" s="48"/>
      <c r="W147" s="48"/>
      <c r="X147" s="48"/>
      <c r="Y147" s="48"/>
      <c r="Z147" s="48"/>
      <c r="AA147" s="49"/>
      <c r="AB147" s="421"/>
      <c r="AI147" s="338"/>
    </row>
    <row r="148" spans="1:35">
      <c r="A148" s="38"/>
      <c r="AI148" s="338"/>
    </row>
    <row r="149" spans="1:35">
      <c r="C149" s="55" t="s">
        <v>194</v>
      </c>
      <c r="D149" s="431"/>
      <c r="E149" s="432"/>
      <c r="F149" s="433"/>
    </row>
    <row r="150" spans="1:35">
      <c r="C150" s="55" t="s">
        <v>195</v>
      </c>
      <c r="D150" s="434" t="s">
        <v>196</v>
      </c>
      <c r="E150" s="435" t="s">
        <v>153</v>
      </c>
      <c r="F150" s="435" t="s">
        <v>154</v>
      </c>
      <c r="G150" s="435" t="s">
        <v>158</v>
      </c>
      <c r="H150" s="434" t="s">
        <v>197</v>
      </c>
    </row>
    <row r="151" spans="1:35">
      <c r="C151" s="55"/>
      <c r="D151" s="434"/>
      <c r="E151" s="435"/>
      <c r="F151" s="435"/>
      <c r="G151" s="435"/>
      <c r="H151" s="434"/>
    </row>
    <row r="153" spans="1:35" ht="14.25">
      <c r="A153" s="1356" t="s">
        <v>727</v>
      </c>
      <c r="B153" s="1356"/>
    </row>
    <row r="154" spans="1:35" ht="14.25">
      <c r="A154" s="1356"/>
      <c r="B154" s="1356"/>
    </row>
    <row r="155" spans="1:35" ht="14.25">
      <c r="A155" s="1356"/>
      <c r="B155" s="1356"/>
    </row>
    <row r="156" spans="1:35" ht="14.25">
      <c r="A156" s="1356"/>
      <c r="B156" s="1356"/>
    </row>
    <row r="157" spans="1:35" ht="14.25">
      <c r="A157" s="1356"/>
      <c r="B157" s="1356"/>
    </row>
  </sheetData>
  <sheetProtection password="CB23" sheet="1" objects="1" scenarios="1" selectLockedCells="1"/>
  <mergeCells count="7">
    <mergeCell ref="W1:Z1"/>
    <mergeCell ref="S1:V1"/>
    <mergeCell ref="A153:B157"/>
    <mergeCell ref="D1:G1"/>
    <mergeCell ref="H1:K1"/>
    <mergeCell ref="L1:N1"/>
    <mergeCell ref="O1:R1"/>
  </mergeCells>
  <conditionalFormatting sqref="AH5">
    <cfRule type="iconSet" priority="381">
      <iconSet iconSet="5ArrowsGray" showValue="0">
        <cfvo type="percent" val="0"/>
        <cfvo type="formula" val="$AF$5-$AB$4" gte="0"/>
        <cfvo type="formula" val="$AF$5"/>
        <cfvo type="formula" val="$AF$5" gte="0"/>
        <cfvo type="formula" val="$AF$5+$AB$4"/>
      </iconSet>
    </cfRule>
  </conditionalFormatting>
  <conditionalFormatting sqref="AH5">
    <cfRule type="cellIs" dxfId="1415" priority="382" stopIfTrue="1" operator="greaterThanOrEqual">
      <formula>AG4</formula>
    </cfRule>
    <cfRule type="cellIs" dxfId="1414" priority="384" stopIfTrue="1" operator="lessThan">
      <formula>AG4</formula>
    </cfRule>
  </conditionalFormatting>
  <conditionalFormatting sqref="AH5">
    <cfRule type="cellIs" dxfId="1413" priority="383" stopIfTrue="1" operator="lessThan">
      <formula>AD4</formula>
    </cfRule>
  </conditionalFormatting>
  <conditionalFormatting sqref="AI5">
    <cfRule type="iconSet" priority="377">
      <iconSet iconSet="5ArrowsGray" showValue="0">
        <cfvo type="percent" val="0"/>
        <cfvo type="formula" val="$AF$5-$AB$4" gte="0"/>
        <cfvo type="formula" val="$AF$5"/>
        <cfvo type="formula" val="$AF$5" gte="0"/>
        <cfvo type="formula" val="$AF$5+$AB$4"/>
      </iconSet>
    </cfRule>
  </conditionalFormatting>
  <conditionalFormatting sqref="AI5">
    <cfRule type="cellIs" dxfId="1412" priority="378" stopIfTrue="1" operator="greaterThanOrEqual">
      <formula>AG4</formula>
    </cfRule>
    <cfRule type="cellIs" dxfId="1411" priority="380" stopIfTrue="1" operator="lessThan">
      <formula>AG4</formula>
    </cfRule>
  </conditionalFormatting>
  <conditionalFormatting sqref="AI5">
    <cfRule type="cellIs" dxfId="1410" priority="379" stopIfTrue="1" operator="lessThanOrEqual">
      <formula>AD4</formula>
    </cfRule>
  </conditionalFormatting>
  <conditionalFormatting sqref="AH8">
    <cfRule type="iconSet" priority="373">
      <iconSet iconSet="5ArrowsGray" showValue="0">
        <cfvo type="percent" val="0"/>
        <cfvo type="formula" val="$AF$8-$AB$7" gte="0"/>
        <cfvo type="formula" val="$AF$8"/>
        <cfvo type="formula" val="$AF$8" gte="0"/>
        <cfvo type="formula" val="$AF$8+$AB$7"/>
      </iconSet>
    </cfRule>
  </conditionalFormatting>
  <conditionalFormatting sqref="AH8">
    <cfRule type="cellIs" dxfId="1409" priority="374" stopIfTrue="1" operator="greaterThanOrEqual">
      <formula>AG7</formula>
    </cfRule>
    <cfRule type="cellIs" dxfId="1408" priority="376" stopIfTrue="1" operator="lessThan">
      <formula>AG7</formula>
    </cfRule>
  </conditionalFormatting>
  <conditionalFormatting sqref="AH8">
    <cfRule type="cellIs" dxfId="1407" priority="375" stopIfTrue="1" operator="lessThan">
      <formula>AD7</formula>
    </cfRule>
  </conditionalFormatting>
  <conditionalFormatting sqref="AI8">
    <cfRule type="iconSet" priority="369">
      <iconSet iconSet="5ArrowsGray" showValue="0">
        <cfvo type="percent" val="0"/>
        <cfvo type="formula" val="$AF$8-$AB$7" gte="0"/>
        <cfvo type="formula" val="$AF$8"/>
        <cfvo type="formula" val="$AF$8" gte="0"/>
        <cfvo type="formula" val="$AF$8+$AB$7"/>
      </iconSet>
    </cfRule>
  </conditionalFormatting>
  <conditionalFormatting sqref="AI8">
    <cfRule type="cellIs" dxfId="1406" priority="370" stopIfTrue="1" operator="greaterThanOrEqual">
      <formula>AG7</formula>
    </cfRule>
    <cfRule type="cellIs" dxfId="1405" priority="372" stopIfTrue="1" operator="lessThan">
      <formula>AG7</formula>
    </cfRule>
  </conditionalFormatting>
  <conditionalFormatting sqref="AI8">
    <cfRule type="cellIs" dxfId="1404" priority="371" stopIfTrue="1" operator="lessThanOrEqual">
      <formula>AD7</formula>
    </cfRule>
  </conditionalFormatting>
  <conditionalFormatting sqref="AH11">
    <cfRule type="iconSet" priority="365">
      <iconSet iconSet="5ArrowsGray" showValue="0">
        <cfvo type="percent" val="0"/>
        <cfvo type="formula" val="$AF$11-$AB$10" gte="0"/>
        <cfvo type="formula" val="$AF$11"/>
        <cfvo type="formula" val="$AF$11" gte="0"/>
        <cfvo type="formula" val="$AF$11+$AB$10"/>
      </iconSet>
    </cfRule>
  </conditionalFormatting>
  <conditionalFormatting sqref="AH11">
    <cfRule type="cellIs" dxfId="1403" priority="366" stopIfTrue="1" operator="greaterThanOrEqual">
      <formula>AG10</formula>
    </cfRule>
    <cfRule type="cellIs" dxfId="1402" priority="368" stopIfTrue="1" operator="lessThan">
      <formula>AG10</formula>
    </cfRule>
  </conditionalFormatting>
  <conditionalFormatting sqref="AH11">
    <cfRule type="cellIs" dxfId="1401" priority="367" stopIfTrue="1" operator="lessThan">
      <formula>AD10</formula>
    </cfRule>
  </conditionalFormatting>
  <conditionalFormatting sqref="AI11">
    <cfRule type="iconSet" priority="361">
      <iconSet iconSet="5ArrowsGray" showValue="0">
        <cfvo type="percent" val="0"/>
        <cfvo type="formula" val="$AF$11-$AB$10" gte="0"/>
        <cfvo type="formula" val="$AF$11"/>
        <cfvo type="formula" val="$AF$11" gte="0"/>
        <cfvo type="formula" val="$AF$11+$AB$10"/>
      </iconSet>
    </cfRule>
  </conditionalFormatting>
  <conditionalFormatting sqref="AI11">
    <cfRule type="cellIs" dxfId="1400" priority="362" stopIfTrue="1" operator="greaterThanOrEqual">
      <formula>AG10</formula>
    </cfRule>
    <cfRule type="cellIs" dxfId="1399" priority="364" stopIfTrue="1" operator="lessThan">
      <formula>AG10</formula>
    </cfRule>
  </conditionalFormatting>
  <conditionalFormatting sqref="AI11">
    <cfRule type="cellIs" dxfId="1398" priority="363" stopIfTrue="1" operator="lessThanOrEqual">
      <formula>AD10</formula>
    </cfRule>
  </conditionalFormatting>
  <conditionalFormatting sqref="AH14">
    <cfRule type="iconSet" priority="357">
      <iconSet iconSet="5ArrowsGray" showValue="0">
        <cfvo type="percent" val="0"/>
        <cfvo type="formula" val="$AF$14-$AB$13" gte="0"/>
        <cfvo type="formula" val="$AF$14"/>
        <cfvo type="formula" val="$AF$14" gte="0"/>
        <cfvo type="formula" val="$AF$14+$AB$13"/>
      </iconSet>
    </cfRule>
  </conditionalFormatting>
  <conditionalFormatting sqref="AH14">
    <cfRule type="cellIs" dxfId="1397" priority="358" stopIfTrue="1" operator="greaterThanOrEqual">
      <formula>AG13</formula>
    </cfRule>
    <cfRule type="cellIs" dxfId="1396" priority="360" stopIfTrue="1" operator="lessThan">
      <formula>AG13</formula>
    </cfRule>
  </conditionalFormatting>
  <conditionalFormatting sqref="AH14">
    <cfRule type="cellIs" dxfId="1395" priority="359" stopIfTrue="1" operator="lessThan">
      <formula>AD13</formula>
    </cfRule>
  </conditionalFormatting>
  <conditionalFormatting sqref="AI14">
    <cfRule type="iconSet" priority="353">
      <iconSet iconSet="5ArrowsGray" showValue="0">
        <cfvo type="percent" val="0"/>
        <cfvo type="formula" val="$AF$14-$AB$13" gte="0"/>
        <cfvo type="formula" val="$AF$14"/>
        <cfvo type="formula" val="$AF$14" gte="0"/>
        <cfvo type="formula" val="$AF$14+$AB$13"/>
      </iconSet>
    </cfRule>
  </conditionalFormatting>
  <conditionalFormatting sqref="AI14">
    <cfRule type="cellIs" dxfId="1394" priority="354" stopIfTrue="1" operator="greaterThanOrEqual">
      <formula>AG13</formula>
    </cfRule>
    <cfRule type="cellIs" dxfId="1393" priority="356" stopIfTrue="1" operator="lessThan">
      <formula>AG13</formula>
    </cfRule>
  </conditionalFormatting>
  <conditionalFormatting sqref="AI14">
    <cfRule type="cellIs" dxfId="1392" priority="355" stopIfTrue="1" operator="lessThanOrEqual">
      <formula>AD13</formula>
    </cfRule>
  </conditionalFormatting>
  <conditionalFormatting sqref="AH17">
    <cfRule type="iconSet" priority="349">
      <iconSet iconSet="5ArrowsGray" showValue="0">
        <cfvo type="percent" val="0"/>
        <cfvo type="formula" val="$AF$17-$AB$16" gte="0"/>
        <cfvo type="formula" val="$AF$17"/>
        <cfvo type="formula" val="$AF$17" gte="0"/>
        <cfvo type="formula" val="$AF$17+$AB$16"/>
      </iconSet>
    </cfRule>
  </conditionalFormatting>
  <conditionalFormatting sqref="AH17">
    <cfRule type="cellIs" dxfId="1391" priority="350" stopIfTrue="1" operator="greaterThanOrEqual">
      <formula>AG16</formula>
    </cfRule>
    <cfRule type="cellIs" dxfId="1390" priority="352" stopIfTrue="1" operator="lessThan">
      <formula>AG16</formula>
    </cfRule>
  </conditionalFormatting>
  <conditionalFormatting sqref="AH17">
    <cfRule type="cellIs" dxfId="1389" priority="351" stopIfTrue="1" operator="lessThan">
      <formula>AD16</formula>
    </cfRule>
  </conditionalFormatting>
  <conditionalFormatting sqref="AI17">
    <cfRule type="iconSet" priority="345">
      <iconSet iconSet="5ArrowsGray" showValue="0">
        <cfvo type="percent" val="0"/>
        <cfvo type="formula" val="$AF$17-$AB$16" gte="0"/>
        <cfvo type="formula" val="$AF$17"/>
        <cfvo type="formula" val="$AF$17" gte="0"/>
        <cfvo type="formula" val="$AF$17+$AB$16"/>
      </iconSet>
    </cfRule>
  </conditionalFormatting>
  <conditionalFormatting sqref="AI17">
    <cfRule type="cellIs" dxfId="1388" priority="346" stopIfTrue="1" operator="greaterThanOrEqual">
      <formula>AG16</formula>
    </cfRule>
    <cfRule type="cellIs" dxfId="1387" priority="348" stopIfTrue="1" operator="lessThan">
      <formula>AG16</formula>
    </cfRule>
  </conditionalFormatting>
  <conditionalFormatting sqref="AI17">
    <cfRule type="cellIs" dxfId="1386" priority="347" stopIfTrue="1" operator="lessThanOrEqual">
      <formula>AD16</formula>
    </cfRule>
  </conditionalFormatting>
  <conditionalFormatting sqref="AH20">
    <cfRule type="iconSet" priority="341">
      <iconSet iconSet="5ArrowsGray" showValue="0">
        <cfvo type="percent" val="0"/>
        <cfvo type="formula" val="$AF$20-$AB$19" gte="0"/>
        <cfvo type="formula" val="$AF$20"/>
        <cfvo type="formula" val="$AF$20" gte="0"/>
        <cfvo type="formula" val="$AF$20+$AB$19"/>
      </iconSet>
    </cfRule>
  </conditionalFormatting>
  <conditionalFormatting sqref="AH20">
    <cfRule type="cellIs" dxfId="1385" priority="342" stopIfTrue="1" operator="greaterThanOrEqual">
      <formula>AG19</formula>
    </cfRule>
    <cfRule type="cellIs" dxfId="1384" priority="344" stopIfTrue="1" operator="lessThan">
      <formula>AG19</formula>
    </cfRule>
  </conditionalFormatting>
  <conditionalFormatting sqref="AH20">
    <cfRule type="cellIs" dxfId="1383" priority="343" stopIfTrue="1" operator="lessThan">
      <formula>AD19</formula>
    </cfRule>
  </conditionalFormatting>
  <conditionalFormatting sqref="AI20">
    <cfRule type="iconSet" priority="337">
      <iconSet iconSet="5ArrowsGray" showValue="0">
        <cfvo type="percent" val="0"/>
        <cfvo type="formula" val="$AF$20-$AB$19" gte="0"/>
        <cfvo type="formula" val="$AF$20"/>
        <cfvo type="formula" val="$AF$20" gte="0"/>
        <cfvo type="formula" val="$AF$20+$AB$19"/>
      </iconSet>
    </cfRule>
  </conditionalFormatting>
  <conditionalFormatting sqref="AI20">
    <cfRule type="cellIs" dxfId="1382" priority="338" stopIfTrue="1" operator="greaterThanOrEqual">
      <formula>AG19</formula>
    </cfRule>
    <cfRule type="cellIs" dxfId="1381" priority="340" stopIfTrue="1" operator="lessThan">
      <formula>AG19</formula>
    </cfRule>
  </conditionalFormatting>
  <conditionalFormatting sqref="AI20">
    <cfRule type="cellIs" dxfId="1380" priority="339" stopIfTrue="1" operator="lessThanOrEqual">
      <formula>AD19</formula>
    </cfRule>
  </conditionalFormatting>
  <conditionalFormatting sqref="AH23">
    <cfRule type="iconSet" priority="333">
      <iconSet iconSet="5ArrowsGray" showValue="0">
        <cfvo type="percent" val="0"/>
        <cfvo type="formula" val="$AF$23-$AB$22" gte="0"/>
        <cfvo type="formula" val="$AF$23"/>
        <cfvo type="formula" val="$AF$23" gte="0"/>
        <cfvo type="formula" val="$AF$23+$AB$22"/>
      </iconSet>
    </cfRule>
  </conditionalFormatting>
  <conditionalFormatting sqref="AH23">
    <cfRule type="cellIs" dxfId="1379" priority="334" stopIfTrue="1" operator="greaterThanOrEqual">
      <formula>AG22</formula>
    </cfRule>
    <cfRule type="cellIs" dxfId="1378" priority="336" stopIfTrue="1" operator="lessThan">
      <formula>AG22</formula>
    </cfRule>
  </conditionalFormatting>
  <conditionalFormatting sqref="AH23">
    <cfRule type="cellIs" dxfId="1377" priority="335" stopIfTrue="1" operator="lessThan">
      <formula>AD22</formula>
    </cfRule>
  </conditionalFormatting>
  <conditionalFormatting sqref="AI23">
    <cfRule type="iconSet" priority="329">
      <iconSet iconSet="5ArrowsGray" showValue="0">
        <cfvo type="percent" val="0"/>
        <cfvo type="formula" val="$AF$23-$AB$22" gte="0"/>
        <cfvo type="formula" val="$AF$23"/>
        <cfvo type="formula" val="$AF$23" gte="0"/>
        <cfvo type="formula" val="$AF$23+$AB$22"/>
      </iconSet>
    </cfRule>
  </conditionalFormatting>
  <conditionalFormatting sqref="AI23">
    <cfRule type="cellIs" dxfId="1376" priority="330" stopIfTrue="1" operator="greaterThanOrEqual">
      <formula>AG22</formula>
    </cfRule>
    <cfRule type="cellIs" dxfId="1375" priority="332" stopIfTrue="1" operator="lessThan">
      <formula>AG22</formula>
    </cfRule>
  </conditionalFormatting>
  <conditionalFormatting sqref="AI23">
    <cfRule type="cellIs" dxfId="1374" priority="331" stopIfTrue="1" operator="lessThanOrEqual">
      <formula>AD22</formula>
    </cfRule>
  </conditionalFormatting>
  <conditionalFormatting sqref="AH26">
    <cfRule type="iconSet" priority="325">
      <iconSet iconSet="5ArrowsGray" showValue="0">
        <cfvo type="percent" val="0"/>
        <cfvo type="formula" val="$AF$26-$AB$25" gte="0"/>
        <cfvo type="formula" val="$AF$26"/>
        <cfvo type="formula" val="$AF$26" gte="0"/>
        <cfvo type="formula" val="$AF$26+$AB$25"/>
      </iconSet>
    </cfRule>
  </conditionalFormatting>
  <conditionalFormatting sqref="AH26">
    <cfRule type="cellIs" dxfId="1373" priority="326" stopIfTrue="1" operator="greaterThanOrEqual">
      <formula>AG25</formula>
    </cfRule>
    <cfRule type="cellIs" dxfId="1372" priority="328" stopIfTrue="1" operator="lessThan">
      <formula>AG25</formula>
    </cfRule>
  </conditionalFormatting>
  <conditionalFormatting sqref="AH26">
    <cfRule type="cellIs" dxfId="1371" priority="327" stopIfTrue="1" operator="lessThan">
      <formula>AD25</formula>
    </cfRule>
  </conditionalFormatting>
  <conditionalFormatting sqref="AI26">
    <cfRule type="iconSet" priority="321">
      <iconSet iconSet="5ArrowsGray" showValue="0">
        <cfvo type="percent" val="0"/>
        <cfvo type="formula" val="$AF$26-$AB$25" gte="0"/>
        <cfvo type="formula" val="$AF$26"/>
        <cfvo type="formula" val="$AF$26" gte="0"/>
        <cfvo type="formula" val="$AF$26+$AB$25"/>
      </iconSet>
    </cfRule>
  </conditionalFormatting>
  <conditionalFormatting sqref="AI26">
    <cfRule type="cellIs" dxfId="1370" priority="322" stopIfTrue="1" operator="greaterThanOrEqual">
      <formula>AG25</formula>
    </cfRule>
    <cfRule type="cellIs" dxfId="1369" priority="324" stopIfTrue="1" operator="lessThan">
      <formula>AG25</formula>
    </cfRule>
  </conditionalFormatting>
  <conditionalFormatting sqref="AI26">
    <cfRule type="cellIs" dxfId="1368" priority="323" stopIfTrue="1" operator="lessThanOrEqual">
      <formula>AD25</formula>
    </cfRule>
  </conditionalFormatting>
  <conditionalFormatting sqref="AH29">
    <cfRule type="iconSet" priority="317">
      <iconSet iconSet="5ArrowsGray" showValue="0">
        <cfvo type="percent" val="0"/>
        <cfvo type="formula" val="$AF$29-$AB$28" gte="0"/>
        <cfvo type="formula" val="$AF$29"/>
        <cfvo type="formula" val="$AF$29" gte="0"/>
        <cfvo type="formula" val="$AF$29+$AB$28"/>
      </iconSet>
    </cfRule>
  </conditionalFormatting>
  <conditionalFormatting sqref="AH29">
    <cfRule type="cellIs" dxfId="1367" priority="318" stopIfTrue="1" operator="greaterThanOrEqual">
      <formula>AG28</formula>
    </cfRule>
    <cfRule type="cellIs" dxfId="1366" priority="320" stopIfTrue="1" operator="lessThan">
      <formula>AG28</formula>
    </cfRule>
  </conditionalFormatting>
  <conditionalFormatting sqref="AH29">
    <cfRule type="cellIs" dxfId="1365" priority="319" stopIfTrue="1" operator="lessThan">
      <formula>AD28</formula>
    </cfRule>
  </conditionalFormatting>
  <conditionalFormatting sqref="AI29">
    <cfRule type="iconSet" priority="313">
      <iconSet iconSet="5ArrowsGray" showValue="0">
        <cfvo type="percent" val="0"/>
        <cfvo type="formula" val="$AF$29-$AB$28" gte="0"/>
        <cfvo type="formula" val="$AF$29"/>
        <cfvo type="formula" val="$AF$29" gte="0"/>
        <cfvo type="formula" val="$AF$29+$AB$28"/>
      </iconSet>
    </cfRule>
  </conditionalFormatting>
  <conditionalFormatting sqref="AI29">
    <cfRule type="cellIs" dxfId="1364" priority="314" stopIfTrue="1" operator="greaterThanOrEqual">
      <formula>AG28</formula>
    </cfRule>
    <cfRule type="cellIs" dxfId="1363" priority="316" stopIfTrue="1" operator="lessThan">
      <formula>AG28</formula>
    </cfRule>
  </conditionalFormatting>
  <conditionalFormatting sqref="AI29">
    <cfRule type="cellIs" dxfId="1362" priority="315" stopIfTrue="1" operator="lessThanOrEqual">
      <formula>AD28</formula>
    </cfRule>
  </conditionalFormatting>
  <conditionalFormatting sqref="AH32">
    <cfRule type="iconSet" priority="309">
      <iconSet iconSet="5ArrowsGray" showValue="0">
        <cfvo type="percent" val="0"/>
        <cfvo type="formula" val="$AF$32-$AB$31" gte="0"/>
        <cfvo type="formula" val="$AF$32"/>
        <cfvo type="formula" val="$AF$32" gte="0"/>
        <cfvo type="formula" val="$AF$32+$AB$31"/>
      </iconSet>
    </cfRule>
  </conditionalFormatting>
  <conditionalFormatting sqref="AH32">
    <cfRule type="cellIs" dxfId="1361" priority="310" stopIfTrue="1" operator="greaterThanOrEqual">
      <formula>AG31</formula>
    </cfRule>
    <cfRule type="cellIs" dxfId="1360" priority="312" stopIfTrue="1" operator="lessThan">
      <formula>AG31</formula>
    </cfRule>
  </conditionalFormatting>
  <conditionalFormatting sqref="AH32">
    <cfRule type="cellIs" dxfId="1359" priority="311" stopIfTrue="1" operator="lessThan">
      <formula>AD31</formula>
    </cfRule>
  </conditionalFormatting>
  <conditionalFormatting sqref="AI32">
    <cfRule type="iconSet" priority="305">
      <iconSet iconSet="5ArrowsGray" showValue="0">
        <cfvo type="percent" val="0"/>
        <cfvo type="formula" val="$AF$32-$AB$31" gte="0"/>
        <cfvo type="formula" val="$AF$32"/>
        <cfvo type="formula" val="$AF$32" gte="0"/>
        <cfvo type="formula" val="$AF$32+$AB$31"/>
      </iconSet>
    </cfRule>
  </conditionalFormatting>
  <conditionalFormatting sqref="AI32">
    <cfRule type="cellIs" dxfId="1358" priority="306" stopIfTrue="1" operator="greaterThanOrEqual">
      <formula>AG31</formula>
    </cfRule>
    <cfRule type="cellIs" dxfId="1357" priority="308" stopIfTrue="1" operator="lessThan">
      <formula>AG31</formula>
    </cfRule>
  </conditionalFormatting>
  <conditionalFormatting sqref="AI32">
    <cfRule type="cellIs" dxfId="1356" priority="307" stopIfTrue="1" operator="lessThanOrEqual">
      <formula>AD31</formula>
    </cfRule>
  </conditionalFormatting>
  <conditionalFormatting sqref="AH35">
    <cfRule type="iconSet" priority="301">
      <iconSet iconSet="5ArrowsGray" showValue="0">
        <cfvo type="percent" val="0"/>
        <cfvo type="formula" val="$AF$35-$AB$34" gte="0"/>
        <cfvo type="formula" val="$AF$35"/>
        <cfvo type="formula" val="$AF$35" gte="0"/>
        <cfvo type="formula" val="$AF$35+$AB$34"/>
      </iconSet>
    </cfRule>
  </conditionalFormatting>
  <conditionalFormatting sqref="AH35">
    <cfRule type="cellIs" dxfId="1355" priority="302" stopIfTrue="1" operator="greaterThanOrEqual">
      <formula>AG34</formula>
    </cfRule>
    <cfRule type="cellIs" dxfId="1354" priority="304" stopIfTrue="1" operator="lessThan">
      <formula>AG34</formula>
    </cfRule>
  </conditionalFormatting>
  <conditionalFormatting sqref="AH35">
    <cfRule type="cellIs" dxfId="1353" priority="303" stopIfTrue="1" operator="lessThan">
      <formula>AD34</formula>
    </cfRule>
  </conditionalFormatting>
  <conditionalFormatting sqref="AI35">
    <cfRule type="iconSet" priority="297">
      <iconSet iconSet="5ArrowsGray" showValue="0">
        <cfvo type="percent" val="0"/>
        <cfvo type="formula" val="$AF$35-$AB$34" gte="0"/>
        <cfvo type="formula" val="$AF$35"/>
        <cfvo type="formula" val="$AF$35" gte="0"/>
        <cfvo type="formula" val="$AF$35+$AB$34"/>
      </iconSet>
    </cfRule>
  </conditionalFormatting>
  <conditionalFormatting sqref="AI35">
    <cfRule type="cellIs" dxfId="1352" priority="298" stopIfTrue="1" operator="greaterThanOrEqual">
      <formula>AG34</formula>
    </cfRule>
    <cfRule type="cellIs" dxfId="1351" priority="300" stopIfTrue="1" operator="lessThan">
      <formula>AG34</formula>
    </cfRule>
  </conditionalFormatting>
  <conditionalFormatting sqref="AI35">
    <cfRule type="cellIs" dxfId="1350" priority="299" stopIfTrue="1" operator="lessThanOrEqual">
      <formula>AD34</formula>
    </cfRule>
  </conditionalFormatting>
  <conditionalFormatting sqref="AH38">
    <cfRule type="iconSet" priority="293">
      <iconSet iconSet="5ArrowsGray" showValue="0">
        <cfvo type="percent" val="0"/>
        <cfvo type="formula" val="$AF$38-$AB$37" gte="0"/>
        <cfvo type="formula" val="$AF$37"/>
        <cfvo type="formula" val="$AF$38" gte="0"/>
        <cfvo type="formula" val="$AF$38+$AB$37"/>
      </iconSet>
    </cfRule>
  </conditionalFormatting>
  <conditionalFormatting sqref="AH38">
    <cfRule type="cellIs" dxfId="1349" priority="294" stopIfTrue="1" operator="greaterThanOrEqual">
      <formula>AG37</formula>
    </cfRule>
    <cfRule type="cellIs" dxfId="1348" priority="296" stopIfTrue="1" operator="lessThan">
      <formula>AG37</formula>
    </cfRule>
  </conditionalFormatting>
  <conditionalFormatting sqref="AH38">
    <cfRule type="cellIs" dxfId="1347" priority="295" stopIfTrue="1" operator="lessThan">
      <formula>AD37</formula>
    </cfRule>
  </conditionalFormatting>
  <conditionalFormatting sqref="AI38">
    <cfRule type="iconSet" priority="289">
      <iconSet iconSet="5ArrowsGray" showValue="0">
        <cfvo type="percent" val="0"/>
        <cfvo type="formula" val="$AF$38-$AB$37" gte="0"/>
        <cfvo type="formula" val="$AF$38"/>
        <cfvo type="formula" val="$AF$38" gte="0"/>
        <cfvo type="formula" val="$AF$38+$AB$37"/>
      </iconSet>
    </cfRule>
  </conditionalFormatting>
  <conditionalFormatting sqref="AI38">
    <cfRule type="cellIs" dxfId="1346" priority="290" stopIfTrue="1" operator="greaterThanOrEqual">
      <formula>AG37</formula>
    </cfRule>
    <cfRule type="cellIs" dxfId="1345" priority="292" stopIfTrue="1" operator="lessThan">
      <formula>AG37</formula>
    </cfRule>
  </conditionalFormatting>
  <conditionalFormatting sqref="AI38">
    <cfRule type="cellIs" dxfId="1344" priority="291" stopIfTrue="1" operator="lessThanOrEqual">
      <formula>AD37</formula>
    </cfRule>
  </conditionalFormatting>
  <conditionalFormatting sqref="AH41">
    <cfRule type="iconSet" priority="285">
      <iconSet iconSet="5ArrowsGray" showValue="0">
        <cfvo type="percent" val="0"/>
        <cfvo type="formula" val="$AF$41-$AB$40" gte="0"/>
        <cfvo type="formula" val="$AF$41"/>
        <cfvo type="formula" val="$AF$41" gte="0"/>
        <cfvo type="formula" val="$AF$41+$AB$40"/>
      </iconSet>
    </cfRule>
  </conditionalFormatting>
  <conditionalFormatting sqref="AH41">
    <cfRule type="cellIs" dxfId="1343" priority="286" stopIfTrue="1" operator="greaterThanOrEqual">
      <formula>AG40</formula>
    </cfRule>
    <cfRule type="cellIs" dxfId="1342" priority="288" stopIfTrue="1" operator="lessThan">
      <formula>AG40</formula>
    </cfRule>
  </conditionalFormatting>
  <conditionalFormatting sqref="AH41">
    <cfRule type="cellIs" dxfId="1341" priority="287" stopIfTrue="1" operator="lessThan">
      <formula>AD40</formula>
    </cfRule>
  </conditionalFormatting>
  <conditionalFormatting sqref="AI41">
    <cfRule type="iconSet" priority="281">
      <iconSet iconSet="5ArrowsGray" showValue="0">
        <cfvo type="percent" val="0"/>
        <cfvo type="formula" val="$AF$41-$AB$40" gte="0"/>
        <cfvo type="formula" val="$AF$41"/>
        <cfvo type="formula" val="$AF$41" gte="0"/>
        <cfvo type="formula" val="$AF$41+$AB$40"/>
      </iconSet>
    </cfRule>
  </conditionalFormatting>
  <conditionalFormatting sqref="AI41">
    <cfRule type="cellIs" dxfId="1340" priority="282" stopIfTrue="1" operator="greaterThanOrEqual">
      <formula>AG40</formula>
    </cfRule>
    <cfRule type="cellIs" dxfId="1339" priority="284" stopIfTrue="1" operator="lessThan">
      <formula>AG40</formula>
    </cfRule>
  </conditionalFormatting>
  <conditionalFormatting sqref="AI41">
    <cfRule type="cellIs" dxfId="1338" priority="283" stopIfTrue="1" operator="lessThanOrEqual">
      <formula>AD40</formula>
    </cfRule>
  </conditionalFormatting>
  <conditionalFormatting sqref="AH44">
    <cfRule type="iconSet" priority="277">
      <iconSet iconSet="5ArrowsGray" showValue="0">
        <cfvo type="percent" val="0"/>
        <cfvo type="formula" val="$AF$44-$AB$43" gte="0"/>
        <cfvo type="formula" val="$AF$44"/>
        <cfvo type="formula" val="$AF$44" gte="0"/>
        <cfvo type="formula" val="$AF$44+$AB$43"/>
      </iconSet>
    </cfRule>
  </conditionalFormatting>
  <conditionalFormatting sqref="AH44">
    <cfRule type="cellIs" dxfId="1337" priority="278" stopIfTrue="1" operator="greaterThanOrEqual">
      <formula>AG43</formula>
    </cfRule>
    <cfRule type="cellIs" dxfId="1336" priority="280" stopIfTrue="1" operator="lessThan">
      <formula>AG43</formula>
    </cfRule>
  </conditionalFormatting>
  <conditionalFormatting sqref="AH44">
    <cfRule type="cellIs" dxfId="1335" priority="279" stopIfTrue="1" operator="lessThan">
      <formula>AD43</formula>
    </cfRule>
  </conditionalFormatting>
  <conditionalFormatting sqref="AI44">
    <cfRule type="iconSet" priority="273">
      <iconSet iconSet="5ArrowsGray" showValue="0">
        <cfvo type="percent" val="0"/>
        <cfvo type="formula" val="$AF$44-$AB$43" gte="0"/>
        <cfvo type="formula" val="$AF$44"/>
        <cfvo type="formula" val="$AF$44" gte="0"/>
        <cfvo type="formula" val="$AF$44+$AB$43"/>
      </iconSet>
    </cfRule>
  </conditionalFormatting>
  <conditionalFormatting sqref="AI44">
    <cfRule type="cellIs" dxfId="1334" priority="274" stopIfTrue="1" operator="greaterThanOrEqual">
      <formula>AG43</formula>
    </cfRule>
    <cfRule type="cellIs" dxfId="1333" priority="276" stopIfTrue="1" operator="lessThan">
      <formula>AG43</formula>
    </cfRule>
  </conditionalFormatting>
  <conditionalFormatting sqref="AI44">
    <cfRule type="cellIs" dxfId="1332" priority="275" stopIfTrue="1" operator="lessThanOrEqual">
      <formula>AD43</formula>
    </cfRule>
  </conditionalFormatting>
  <conditionalFormatting sqref="AH47">
    <cfRule type="iconSet" priority="269">
      <iconSet iconSet="5ArrowsGray" showValue="0">
        <cfvo type="percent" val="0"/>
        <cfvo type="formula" val="$AF$47-$AB$46" gte="0"/>
        <cfvo type="formula" val="$AF$47"/>
        <cfvo type="formula" val="$AF$47" gte="0"/>
        <cfvo type="formula" val="$AF$47+$AB$46"/>
      </iconSet>
    </cfRule>
  </conditionalFormatting>
  <conditionalFormatting sqref="AH47">
    <cfRule type="cellIs" dxfId="1331" priority="270" stopIfTrue="1" operator="greaterThanOrEqual">
      <formula>AG46</formula>
    </cfRule>
    <cfRule type="cellIs" dxfId="1330" priority="272" stopIfTrue="1" operator="lessThan">
      <formula>AG46</formula>
    </cfRule>
  </conditionalFormatting>
  <conditionalFormatting sqref="AH47">
    <cfRule type="cellIs" dxfId="1329" priority="271" stopIfTrue="1" operator="lessThan">
      <formula>AD46</formula>
    </cfRule>
  </conditionalFormatting>
  <conditionalFormatting sqref="AI47">
    <cfRule type="iconSet" priority="265">
      <iconSet iconSet="5ArrowsGray" showValue="0">
        <cfvo type="percent" val="0"/>
        <cfvo type="formula" val="$AF$47-$AB$46" gte="0"/>
        <cfvo type="formula" val="$AF$47"/>
        <cfvo type="formula" val="$AF$47" gte="0"/>
        <cfvo type="formula" val="$AF$47+$AB$46"/>
      </iconSet>
    </cfRule>
  </conditionalFormatting>
  <conditionalFormatting sqref="AI47">
    <cfRule type="cellIs" dxfId="1328" priority="266" stopIfTrue="1" operator="greaterThanOrEqual">
      <formula>AG46</formula>
    </cfRule>
    <cfRule type="cellIs" dxfId="1327" priority="268" stopIfTrue="1" operator="lessThan">
      <formula>AG46</formula>
    </cfRule>
  </conditionalFormatting>
  <conditionalFormatting sqref="AI47">
    <cfRule type="cellIs" dxfId="1326" priority="267" stopIfTrue="1" operator="lessThanOrEqual">
      <formula>AD46</formula>
    </cfRule>
  </conditionalFormatting>
  <conditionalFormatting sqref="AH50">
    <cfRule type="iconSet" priority="261">
      <iconSet iconSet="5ArrowsGray" showValue="0">
        <cfvo type="percent" val="0"/>
        <cfvo type="formula" val="$AF$50-$AB$49" gte="0"/>
        <cfvo type="formula" val="$AF$50"/>
        <cfvo type="formula" val="$AF$50" gte="0"/>
        <cfvo type="formula" val="$AF$50+$AB$49"/>
      </iconSet>
    </cfRule>
  </conditionalFormatting>
  <conditionalFormatting sqref="AH50">
    <cfRule type="cellIs" dxfId="1325" priority="262" stopIfTrue="1" operator="greaterThanOrEqual">
      <formula>AG49</formula>
    </cfRule>
    <cfRule type="cellIs" dxfId="1324" priority="264" stopIfTrue="1" operator="lessThan">
      <formula>AG49</formula>
    </cfRule>
  </conditionalFormatting>
  <conditionalFormatting sqref="AH50">
    <cfRule type="cellIs" dxfId="1323" priority="263" stopIfTrue="1" operator="lessThan">
      <formula>AD49</formula>
    </cfRule>
  </conditionalFormatting>
  <conditionalFormatting sqref="AI50">
    <cfRule type="iconSet" priority="257">
      <iconSet iconSet="5ArrowsGray" showValue="0">
        <cfvo type="percent" val="0"/>
        <cfvo type="formula" val="$AF$50-$AB$49" gte="0"/>
        <cfvo type="formula" val="$AF$50"/>
        <cfvo type="formula" val="$AF$50" gte="0"/>
        <cfvo type="formula" val="$AF$50+$AB$49"/>
      </iconSet>
    </cfRule>
  </conditionalFormatting>
  <conditionalFormatting sqref="AI50">
    <cfRule type="cellIs" dxfId="1322" priority="258" stopIfTrue="1" operator="greaterThanOrEqual">
      <formula>AG49</formula>
    </cfRule>
    <cfRule type="cellIs" dxfId="1321" priority="260" stopIfTrue="1" operator="lessThan">
      <formula>AG49</formula>
    </cfRule>
  </conditionalFormatting>
  <conditionalFormatting sqref="AI50">
    <cfRule type="cellIs" dxfId="1320" priority="259" stopIfTrue="1" operator="lessThanOrEqual">
      <formula>AD49</formula>
    </cfRule>
  </conditionalFormatting>
  <conditionalFormatting sqref="AH53">
    <cfRule type="iconSet" priority="253">
      <iconSet iconSet="5ArrowsGray" showValue="0">
        <cfvo type="percent" val="0"/>
        <cfvo type="formula" val="$AF$53-$AB$52" gte="0"/>
        <cfvo type="formula" val="$AF$53"/>
        <cfvo type="formula" val="$AF$53" gte="0"/>
        <cfvo type="formula" val="$AF$53+$AB$52"/>
      </iconSet>
    </cfRule>
  </conditionalFormatting>
  <conditionalFormatting sqref="AH53">
    <cfRule type="cellIs" dxfId="1319" priority="254" stopIfTrue="1" operator="greaterThanOrEqual">
      <formula>AG52</formula>
    </cfRule>
    <cfRule type="cellIs" dxfId="1318" priority="256" stopIfTrue="1" operator="lessThan">
      <formula>AG52</formula>
    </cfRule>
  </conditionalFormatting>
  <conditionalFormatting sqref="AH53">
    <cfRule type="cellIs" dxfId="1317" priority="255" stopIfTrue="1" operator="lessThan">
      <formula>AD52</formula>
    </cfRule>
  </conditionalFormatting>
  <conditionalFormatting sqref="AI53">
    <cfRule type="iconSet" priority="249">
      <iconSet iconSet="5ArrowsGray" showValue="0">
        <cfvo type="percent" val="0"/>
        <cfvo type="formula" val="$AF$53-$AB$52" gte="0"/>
        <cfvo type="formula" val="$AF$53"/>
        <cfvo type="formula" val="$AF$53" gte="0"/>
        <cfvo type="formula" val="$AF$53+$AB$52"/>
      </iconSet>
    </cfRule>
  </conditionalFormatting>
  <conditionalFormatting sqref="AI53">
    <cfRule type="cellIs" dxfId="1316" priority="250" stopIfTrue="1" operator="greaterThanOrEqual">
      <formula>AG52</formula>
    </cfRule>
    <cfRule type="cellIs" dxfId="1315" priority="252" stopIfTrue="1" operator="lessThan">
      <formula>AG52</formula>
    </cfRule>
  </conditionalFormatting>
  <conditionalFormatting sqref="AI53">
    <cfRule type="cellIs" dxfId="1314" priority="251" stopIfTrue="1" operator="lessThanOrEqual">
      <formula>AD52</formula>
    </cfRule>
  </conditionalFormatting>
  <conditionalFormatting sqref="AH56">
    <cfRule type="iconSet" priority="245">
      <iconSet iconSet="5ArrowsGray" showValue="0">
        <cfvo type="percent" val="0"/>
        <cfvo type="formula" val="$AF$56-$AB$55" gte="0"/>
        <cfvo type="formula" val="$AF$56"/>
        <cfvo type="formula" val="$AF$56" gte="0"/>
        <cfvo type="formula" val="$AF$56+$AB$55"/>
      </iconSet>
    </cfRule>
  </conditionalFormatting>
  <conditionalFormatting sqref="AH56">
    <cfRule type="cellIs" dxfId="1313" priority="246" stopIfTrue="1" operator="greaterThanOrEqual">
      <formula>AG55</formula>
    </cfRule>
    <cfRule type="cellIs" dxfId="1312" priority="248" stopIfTrue="1" operator="lessThan">
      <formula>AG55</formula>
    </cfRule>
  </conditionalFormatting>
  <conditionalFormatting sqref="AH56">
    <cfRule type="cellIs" dxfId="1311" priority="247" stopIfTrue="1" operator="lessThan">
      <formula>AD55</formula>
    </cfRule>
  </conditionalFormatting>
  <conditionalFormatting sqref="AI56">
    <cfRule type="iconSet" priority="241">
      <iconSet iconSet="5ArrowsGray" showValue="0">
        <cfvo type="percent" val="0"/>
        <cfvo type="formula" val="$AF$5-$AB$4" gte="0"/>
        <cfvo type="formula" val="$AF$5"/>
        <cfvo type="formula" val="$AF$5" gte="0"/>
        <cfvo type="formula" val="$AF$5+$AB$4"/>
      </iconSet>
    </cfRule>
  </conditionalFormatting>
  <conditionalFormatting sqref="AI56">
    <cfRule type="cellIs" dxfId="1310" priority="242" stopIfTrue="1" operator="greaterThanOrEqual">
      <formula>AG55</formula>
    </cfRule>
    <cfRule type="cellIs" dxfId="1309" priority="244" stopIfTrue="1" operator="lessThan">
      <formula>AG55</formula>
    </cfRule>
  </conditionalFormatting>
  <conditionalFormatting sqref="AI56">
    <cfRule type="cellIs" dxfId="1308" priority="243" stopIfTrue="1" operator="lessThanOrEqual">
      <formula>AD55</formula>
    </cfRule>
  </conditionalFormatting>
  <conditionalFormatting sqref="AH59">
    <cfRule type="iconSet" priority="237">
      <iconSet iconSet="5ArrowsGray" showValue="0">
        <cfvo type="percent" val="0"/>
        <cfvo type="formula" val="$AF$59-$AB$58" gte="0"/>
        <cfvo type="formula" val="$AF$59"/>
        <cfvo type="formula" val="$AF$59" gte="0"/>
        <cfvo type="formula" val="$AF$59+$AB$58"/>
      </iconSet>
    </cfRule>
  </conditionalFormatting>
  <conditionalFormatting sqref="AH59">
    <cfRule type="cellIs" dxfId="1307" priority="238" stopIfTrue="1" operator="greaterThanOrEqual">
      <formula>AG58</formula>
    </cfRule>
    <cfRule type="cellIs" dxfId="1306" priority="240" stopIfTrue="1" operator="lessThan">
      <formula>AG58</formula>
    </cfRule>
  </conditionalFormatting>
  <conditionalFormatting sqref="AH59">
    <cfRule type="cellIs" dxfId="1305" priority="239" stopIfTrue="1" operator="lessThan">
      <formula>AD58</formula>
    </cfRule>
  </conditionalFormatting>
  <conditionalFormatting sqref="AI59">
    <cfRule type="iconSet" priority="233">
      <iconSet iconSet="5ArrowsGray" showValue="0">
        <cfvo type="percent" val="0"/>
        <cfvo type="formula" val="$AF$59-$AB$58" gte="0"/>
        <cfvo type="formula" val="$AF$59"/>
        <cfvo type="formula" val="$AF$59" gte="0"/>
        <cfvo type="formula" val="$AF$59+$AB$58"/>
      </iconSet>
    </cfRule>
  </conditionalFormatting>
  <conditionalFormatting sqref="AI59">
    <cfRule type="cellIs" dxfId="1304" priority="234" stopIfTrue="1" operator="greaterThanOrEqual">
      <formula>AG58</formula>
    </cfRule>
    <cfRule type="cellIs" dxfId="1303" priority="236" stopIfTrue="1" operator="lessThan">
      <formula>AG58</formula>
    </cfRule>
  </conditionalFormatting>
  <conditionalFormatting sqref="AI59">
    <cfRule type="cellIs" dxfId="1302" priority="235" stopIfTrue="1" operator="lessThanOrEqual">
      <formula>AD58</formula>
    </cfRule>
  </conditionalFormatting>
  <conditionalFormatting sqref="AH62">
    <cfRule type="iconSet" priority="229">
      <iconSet iconSet="5ArrowsGray" showValue="0">
        <cfvo type="percent" val="0"/>
        <cfvo type="formula" val="$AF$62-$AB$61" gte="0"/>
        <cfvo type="formula" val="$AF$62"/>
        <cfvo type="formula" val="$AF$62" gte="0"/>
        <cfvo type="formula" val="$AF$62+$AB$61"/>
      </iconSet>
    </cfRule>
  </conditionalFormatting>
  <conditionalFormatting sqref="AH62">
    <cfRule type="cellIs" dxfId="1301" priority="230" stopIfTrue="1" operator="greaterThanOrEqual">
      <formula>AG61</formula>
    </cfRule>
    <cfRule type="cellIs" dxfId="1300" priority="232" stopIfTrue="1" operator="lessThan">
      <formula>AG61</formula>
    </cfRule>
  </conditionalFormatting>
  <conditionalFormatting sqref="AH62">
    <cfRule type="cellIs" dxfId="1299" priority="231" stopIfTrue="1" operator="lessThan">
      <formula>AD61</formula>
    </cfRule>
  </conditionalFormatting>
  <conditionalFormatting sqref="AI62">
    <cfRule type="iconSet" priority="225">
      <iconSet iconSet="5ArrowsGray" showValue="0">
        <cfvo type="percent" val="0"/>
        <cfvo type="formula" val="$AF$62-$AB$61" gte="0"/>
        <cfvo type="formula" val="$AF$62"/>
        <cfvo type="formula" val="$AF$62" gte="0"/>
        <cfvo type="formula" val="$AF$62+$AB$61"/>
      </iconSet>
    </cfRule>
  </conditionalFormatting>
  <conditionalFormatting sqref="AI62">
    <cfRule type="cellIs" dxfId="1298" priority="226" stopIfTrue="1" operator="greaterThanOrEqual">
      <formula>AG61</formula>
    </cfRule>
    <cfRule type="cellIs" dxfId="1297" priority="228" stopIfTrue="1" operator="lessThan">
      <formula>AG61</formula>
    </cfRule>
  </conditionalFormatting>
  <conditionalFormatting sqref="AI62">
    <cfRule type="cellIs" dxfId="1296" priority="227" stopIfTrue="1" operator="lessThanOrEqual">
      <formula>AD61</formula>
    </cfRule>
  </conditionalFormatting>
  <conditionalFormatting sqref="AH65">
    <cfRule type="iconSet" priority="221">
      <iconSet iconSet="5ArrowsGray" showValue="0">
        <cfvo type="percent" val="0"/>
        <cfvo type="formula" val="$AF$65-$AB$64" gte="0"/>
        <cfvo type="formula" val="$AF$65"/>
        <cfvo type="formula" val="$AF$65" gte="0"/>
        <cfvo type="formula" val="$AF$65+$AB$64"/>
      </iconSet>
    </cfRule>
  </conditionalFormatting>
  <conditionalFormatting sqref="AH65">
    <cfRule type="cellIs" dxfId="1295" priority="222" stopIfTrue="1" operator="greaterThanOrEqual">
      <formula>AG64</formula>
    </cfRule>
    <cfRule type="cellIs" dxfId="1294" priority="224" stopIfTrue="1" operator="lessThan">
      <formula>AG64</formula>
    </cfRule>
  </conditionalFormatting>
  <conditionalFormatting sqref="AH65">
    <cfRule type="cellIs" dxfId="1293" priority="223" stopIfTrue="1" operator="lessThan">
      <formula>AD64</formula>
    </cfRule>
  </conditionalFormatting>
  <conditionalFormatting sqref="AI65">
    <cfRule type="iconSet" priority="217">
      <iconSet iconSet="5ArrowsGray" showValue="0">
        <cfvo type="percent" val="0"/>
        <cfvo type="formula" val="$AF$65-$AB$64" gte="0"/>
        <cfvo type="formula" val="$AF$65"/>
        <cfvo type="formula" val="$AF$65" gte="0"/>
        <cfvo type="formula" val="$AF$65+$AB$64"/>
      </iconSet>
    </cfRule>
  </conditionalFormatting>
  <conditionalFormatting sqref="AI65">
    <cfRule type="cellIs" dxfId="1292" priority="218" stopIfTrue="1" operator="greaterThanOrEqual">
      <formula>AG64</formula>
    </cfRule>
    <cfRule type="cellIs" dxfId="1291" priority="220" stopIfTrue="1" operator="lessThan">
      <formula>AG64</formula>
    </cfRule>
  </conditionalFormatting>
  <conditionalFormatting sqref="AI65">
    <cfRule type="cellIs" dxfId="1290" priority="219" stopIfTrue="1" operator="lessThanOrEqual">
      <formula>AD64</formula>
    </cfRule>
  </conditionalFormatting>
  <conditionalFormatting sqref="AH68">
    <cfRule type="iconSet" priority="213">
      <iconSet iconSet="5ArrowsGray" showValue="0">
        <cfvo type="percent" val="0"/>
        <cfvo type="formula" val="$AF$68-$AB$67" gte="0"/>
        <cfvo type="formula" val="$AF$68"/>
        <cfvo type="formula" val="$AF$68" gte="0"/>
        <cfvo type="formula" val="$AF$68+$AB$67"/>
      </iconSet>
    </cfRule>
  </conditionalFormatting>
  <conditionalFormatting sqref="AH68">
    <cfRule type="cellIs" dxfId="1289" priority="214" stopIfTrue="1" operator="greaterThanOrEqual">
      <formula>AG67</formula>
    </cfRule>
    <cfRule type="cellIs" dxfId="1288" priority="216" stopIfTrue="1" operator="lessThan">
      <formula>AG67</formula>
    </cfRule>
  </conditionalFormatting>
  <conditionalFormatting sqref="AH68">
    <cfRule type="cellIs" dxfId="1287" priority="215" stopIfTrue="1" operator="lessThan">
      <formula>AD67</formula>
    </cfRule>
  </conditionalFormatting>
  <conditionalFormatting sqref="AI68">
    <cfRule type="iconSet" priority="209">
      <iconSet iconSet="5ArrowsGray" showValue="0">
        <cfvo type="percent" val="0"/>
        <cfvo type="formula" val="$AF$68-$AB$67" gte="0"/>
        <cfvo type="formula" val="$AF$68"/>
        <cfvo type="formula" val="$AF$68" gte="0"/>
        <cfvo type="formula" val="$AF$68+$AB$67"/>
      </iconSet>
    </cfRule>
  </conditionalFormatting>
  <conditionalFormatting sqref="AI68">
    <cfRule type="cellIs" dxfId="1286" priority="210" stopIfTrue="1" operator="greaterThanOrEqual">
      <formula>AG67</formula>
    </cfRule>
    <cfRule type="cellIs" dxfId="1285" priority="212" stopIfTrue="1" operator="lessThan">
      <formula>AG67</formula>
    </cfRule>
  </conditionalFormatting>
  <conditionalFormatting sqref="AI68">
    <cfRule type="cellIs" dxfId="1284" priority="211" stopIfTrue="1" operator="lessThanOrEqual">
      <formula>AD67</formula>
    </cfRule>
  </conditionalFormatting>
  <conditionalFormatting sqref="AH71">
    <cfRule type="iconSet" priority="205">
      <iconSet iconSet="5ArrowsGray" showValue="0">
        <cfvo type="percent" val="0"/>
        <cfvo type="formula" val="$AF$71-$AB$70" gte="0"/>
        <cfvo type="formula" val="$AF$71"/>
        <cfvo type="formula" val="$AF$71" gte="0"/>
        <cfvo type="formula" val="$AF$71+$AB$70"/>
      </iconSet>
    </cfRule>
  </conditionalFormatting>
  <conditionalFormatting sqref="AH71">
    <cfRule type="cellIs" dxfId="1283" priority="206" stopIfTrue="1" operator="greaterThanOrEqual">
      <formula>AG70</formula>
    </cfRule>
    <cfRule type="cellIs" dxfId="1282" priority="208" stopIfTrue="1" operator="lessThan">
      <formula>AG70</formula>
    </cfRule>
  </conditionalFormatting>
  <conditionalFormatting sqref="AH71">
    <cfRule type="cellIs" dxfId="1281" priority="207" stopIfTrue="1" operator="lessThan">
      <formula>AD70</formula>
    </cfRule>
  </conditionalFormatting>
  <conditionalFormatting sqref="AI71">
    <cfRule type="iconSet" priority="201">
      <iconSet iconSet="5ArrowsGray" showValue="0">
        <cfvo type="percent" val="0"/>
        <cfvo type="formula" val="$AF$71-$AB$70" gte="0"/>
        <cfvo type="formula" val="$AF$71"/>
        <cfvo type="formula" val="$AF$71" gte="0"/>
        <cfvo type="formula" val="$AF$71+$AB$70"/>
      </iconSet>
    </cfRule>
  </conditionalFormatting>
  <conditionalFormatting sqref="AI71">
    <cfRule type="cellIs" dxfId="1280" priority="202" stopIfTrue="1" operator="greaterThanOrEqual">
      <formula>AG70</formula>
    </cfRule>
    <cfRule type="cellIs" dxfId="1279" priority="204" stopIfTrue="1" operator="lessThan">
      <formula>AG70</formula>
    </cfRule>
  </conditionalFormatting>
  <conditionalFormatting sqref="AI71">
    <cfRule type="cellIs" dxfId="1278" priority="203" stopIfTrue="1" operator="lessThanOrEqual">
      <formula>AD70</formula>
    </cfRule>
  </conditionalFormatting>
  <conditionalFormatting sqref="AH74">
    <cfRule type="iconSet" priority="197">
      <iconSet iconSet="5ArrowsGray" showValue="0">
        <cfvo type="percent" val="0"/>
        <cfvo type="formula" val="$AF$74-$AB$73" gte="0"/>
        <cfvo type="formula" val="$AF$74"/>
        <cfvo type="formula" val="$AF$74" gte="0"/>
        <cfvo type="formula" val="$AF$74+$AB$73"/>
      </iconSet>
    </cfRule>
  </conditionalFormatting>
  <conditionalFormatting sqref="AH74">
    <cfRule type="cellIs" dxfId="1277" priority="198" stopIfTrue="1" operator="greaterThanOrEqual">
      <formula>AG73</formula>
    </cfRule>
    <cfRule type="cellIs" dxfId="1276" priority="200" stopIfTrue="1" operator="lessThan">
      <formula>AG73</formula>
    </cfRule>
  </conditionalFormatting>
  <conditionalFormatting sqref="AH74">
    <cfRule type="cellIs" dxfId="1275" priority="199" stopIfTrue="1" operator="lessThan">
      <formula>AD73</formula>
    </cfRule>
  </conditionalFormatting>
  <conditionalFormatting sqref="AI74">
    <cfRule type="iconSet" priority="193">
      <iconSet iconSet="5ArrowsGray" showValue="0">
        <cfvo type="percent" val="0"/>
        <cfvo type="formula" val="$AF$74-$AB$73" gte="0"/>
        <cfvo type="formula" val="$AF$74"/>
        <cfvo type="formula" val="$AF$74" gte="0"/>
        <cfvo type="formula" val="$AF$74+$AB$73"/>
      </iconSet>
    </cfRule>
  </conditionalFormatting>
  <conditionalFormatting sqref="AI74">
    <cfRule type="cellIs" dxfId="1274" priority="194" stopIfTrue="1" operator="greaterThanOrEqual">
      <formula>AG73</formula>
    </cfRule>
    <cfRule type="cellIs" dxfId="1273" priority="196" stopIfTrue="1" operator="lessThan">
      <formula>AG73</formula>
    </cfRule>
  </conditionalFormatting>
  <conditionalFormatting sqref="AI74">
    <cfRule type="cellIs" dxfId="1272" priority="195" stopIfTrue="1" operator="lessThanOrEqual">
      <formula>AD73</formula>
    </cfRule>
  </conditionalFormatting>
  <conditionalFormatting sqref="AH77">
    <cfRule type="iconSet" priority="189">
      <iconSet iconSet="5ArrowsGray" showValue="0">
        <cfvo type="percent" val="0"/>
        <cfvo type="formula" val="$AF$77-$AB$76" gte="0"/>
        <cfvo type="formula" val="$AF$77"/>
        <cfvo type="formula" val="$AF$77" gte="0"/>
        <cfvo type="formula" val="$AF$77+$AB$76"/>
      </iconSet>
    </cfRule>
  </conditionalFormatting>
  <conditionalFormatting sqref="AH77">
    <cfRule type="cellIs" dxfId="1271" priority="190" stopIfTrue="1" operator="greaterThanOrEqual">
      <formula>AG76</formula>
    </cfRule>
    <cfRule type="cellIs" dxfId="1270" priority="192" stopIfTrue="1" operator="lessThan">
      <formula>AG76</formula>
    </cfRule>
  </conditionalFormatting>
  <conditionalFormatting sqref="AH77">
    <cfRule type="cellIs" dxfId="1269" priority="191" stopIfTrue="1" operator="lessThan">
      <formula>AD76</formula>
    </cfRule>
  </conditionalFormatting>
  <conditionalFormatting sqref="AI77">
    <cfRule type="iconSet" priority="185">
      <iconSet iconSet="5ArrowsGray" showValue="0">
        <cfvo type="percent" val="0"/>
        <cfvo type="formula" val="$AF$77-$AB$76" gte="0"/>
        <cfvo type="formula" val="$AF$77"/>
        <cfvo type="formula" val="$AF$77" gte="0"/>
        <cfvo type="formula" val="$AF$77+$AB$76"/>
      </iconSet>
    </cfRule>
  </conditionalFormatting>
  <conditionalFormatting sqref="AI77">
    <cfRule type="cellIs" dxfId="1268" priority="186" stopIfTrue="1" operator="greaterThanOrEqual">
      <formula>AG76</formula>
    </cfRule>
    <cfRule type="cellIs" dxfId="1267" priority="188" stopIfTrue="1" operator="lessThan">
      <formula>AG76</formula>
    </cfRule>
  </conditionalFormatting>
  <conditionalFormatting sqref="AI77">
    <cfRule type="cellIs" dxfId="1266" priority="187" stopIfTrue="1" operator="lessThanOrEqual">
      <formula>AD76</formula>
    </cfRule>
  </conditionalFormatting>
  <conditionalFormatting sqref="AH80">
    <cfRule type="iconSet" priority="181">
      <iconSet iconSet="5ArrowsGray" showValue="0">
        <cfvo type="percent" val="0"/>
        <cfvo type="formula" val="$AF$80-$AB$79" gte="0"/>
        <cfvo type="formula" val="$AF$80"/>
        <cfvo type="formula" val="$AF$80" gte="0"/>
        <cfvo type="formula" val="$AF$80+$AB$79"/>
      </iconSet>
    </cfRule>
  </conditionalFormatting>
  <conditionalFormatting sqref="AH80">
    <cfRule type="cellIs" dxfId="1265" priority="182" stopIfTrue="1" operator="greaterThanOrEqual">
      <formula>AG79</formula>
    </cfRule>
    <cfRule type="cellIs" dxfId="1264" priority="184" stopIfTrue="1" operator="lessThan">
      <formula>AG79</formula>
    </cfRule>
  </conditionalFormatting>
  <conditionalFormatting sqref="AH80">
    <cfRule type="cellIs" dxfId="1263" priority="183" stopIfTrue="1" operator="lessThan">
      <formula>AD79</formula>
    </cfRule>
  </conditionalFormatting>
  <conditionalFormatting sqref="AI80">
    <cfRule type="iconSet" priority="177">
      <iconSet iconSet="5ArrowsGray" showValue="0">
        <cfvo type="percent" val="0"/>
        <cfvo type="formula" val="$AF$80-$AB$79" gte="0"/>
        <cfvo type="formula" val="$AF$80"/>
        <cfvo type="formula" val="$AF$80" gte="0"/>
        <cfvo type="formula" val="$AF$80+$AB$79"/>
      </iconSet>
    </cfRule>
  </conditionalFormatting>
  <conditionalFormatting sqref="AI80">
    <cfRule type="cellIs" dxfId="1262" priority="178" stopIfTrue="1" operator="greaterThanOrEqual">
      <formula>AG79</formula>
    </cfRule>
    <cfRule type="cellIs" dxfId="1261" priority="180" stopIfTrue="1" operator="lessThan">
      <formula>AG79</formula>
    </cfRule>
  </conditionalFormatting>
  <conditionalFormatting sqref="AI80">
    <cfRule type="cellIs" dxfId="1260" priority="179" stopIfTrue="1" operator="lessThanOrEqual">
      <formula>AD79</formula>
    </cfRule>
  </conditionalFormatting>
  <conditionalFormatting sqref="AH83">
    <cfRule type="iconSet" priority="173">
      <iconSet iconSet="5ArrowsGray" showValue="0">
        <cfvo type="percent" val="0"/>
        <cfvo type="formula" val="$AF$83-$AB$82" gte="0"/>
        <cfvo type="formula" val="$AF$83"/>
        <cfvo type="formula" val="$AF$83" gte="0"/>
        <cfvo type="formula" val="$AF$83+$AB$82"/>
      </iconSet>
    </cfRule>
  </conditionalFormatting>
  <conditionalFormatting sqref="AH83">
    <cfRule type="cellIs" dxfId="1259" priority="174" stopIfTrue="1" operator="greaterThanOrEqual">
      <formula>AG82</formula>
    </cfRule>
    <cfRule type="cellIs" dxfId="1258" priority="176" stopIfTrue="1" operator="lessThan">
      <formula>AG82</formula>
    </cfRule>
  </conditionalFormatting>
  <conditionalFormatting sqref="AH83">
    <cfRule type="cellIs" dxfId="1257" priority="175" stopIfTrue="1" operator="lessThan">
      <formula>AD82</formula>
    </cfRule>
  </conditionalFormatting>
  <conditionalFormatting sqref="AI83">
    <cfRule type="iconSet" priority="169">
      <iconSet iconSet="5ArrowsGray" showValue="0">
        <cfvo type="percent" val="0"/>
        <cfvo type="formula" val="$AF$83-$AB$82" gte="0"/>
        <cfvo type="formula" val="$AF$83"/>
        <cfvo type="formula" val="$AF$83" gte="0"/>
        <cfvo type="formula" val="$AF$83+$AB$82"/>
      </iconSet>
    </cfRule>
  </conditionalFormatting>
  <conditionalFormatting sqref="AI83">
    <cfRule type="cellIs" dxfId="1256" priority="170" stopIfTrue="1" operator="greaterThanOrEqual">
      <formula>AG82</formula>
    </cfRule>
    <cfRule type="cellIs" dxfId="1255" priority="172" stopIfTrue="1" operator="lessThan">
      <formula>AG82</formula>
    </cfRule>
  </conditionalFormatting>
  <conditionalFormatting sqref="AI83">
    <cfRule type="cellIs" dxfId="1254" priority="171" stopIfTrue="1" operator="lessThanOrEqual">
      <formula>AD82</formula>
    </cfRule>
  </conditionalFormatting>
  <conditionalFormatting sqref="AH86">
    <cfRule type="iconSet" priority="165">
      <iconSet iconSet="5ArrowsGray" showValue="0">
        <cfvo type="percent" val="0"/>
        <cfvo type="formula" val="$AF$86-$AB$85" gte="0"/>
        <cfvo type="formula" val="$AF$86"/>
        <cfvo type="formula" val="$AF$86" gte="0"/>
        <cfvo type="formula" val="$AF$86+$AB$85"/>
      </iconSet>
    </cfRule>
  </conditionalFormatting>
  <conditionalFormatting sqref="AH86">
    <cfRule type="cellIs" dxfId="1253" priority="166" stopIfTrue="1" operator="greaterThanOrEqual">
      <formula>AG85</formula>
    </cfRule>
    <cfRule type="cellIs" dxfId="1252" priority="168" stopIfTrue="1" operator="lessThan">
      <formula>AG85</formula>
    </cfRule>
  </conditionalFormatting>
  <conditionalFormatting sqref="AH86">
    <cfRule type="cellIs" dxfId="1251" priority="167" stopIfTrue="1" operator="lessThan">
      <formula>AD85</formula>
    </cfRule>
  </conditionalFormatting>
  <conditionalFormatting sqref="AI86">
    <cfRule type="iconSet" priority="161">
      <iconSet iconSet="5ArrowsGray" showValue="0">
        <cfvo type="percent" val="0"/>
        <cfvo type="formula" val="$AF$86-$AB$85" gte="0"/>
        <cfvo type="formula" val="$AF$86"/>
        <cfvo type="formula" val="$AF$86" gte="0"/>
        <cfvo type="formula" val="$AF$86+$AB$85"/>
      </iconSet>
    </cfRule>
  </conditionalFormatting>
  <conditionalFormatting sqref="AI86">
    <cfRule type="cellIs" dxfId="1250" priority="162" stopIfTrue="1" operator="greaterThanOrEqual">
      <formula>AG85</formula>
    </cfRule>
    <cfRule type="cellIs" dxfId="1249" priority="164" stopIfTrue="1" operator="lessThan">
      <formula>AG85</formula>
    </cfRule>
  </conditionalFormatting>
  <conditionalFormatting sqref="AI86">
    <cfRule type="cellIs" dxfId="1248" priority="163" stopIfTrue="1" operator="lessThanOrEqual">
      <formula>AD85</formula>
    </cfRule>
  </conditionalFormatting>
  <conditionalFormatting sqref="AH89">
    <cfRule type="iconSet" priority="157">
      <iconSet iconSet="5ArrowsGray" showValue="0">
        <cfvo type="percent" val="0"/>
        <cfvo type="formula" val="$AF$89-$AB$88" gte="0"/>
        <cfvo type="formula" val="$AF$89"/>
        <cfvo type="formula" val="$AF$89" gte="0"/>
        <cfvo type="formula" val="$AF$89+$AB$88"/>
      </iconSet>
    </cfRule>
  </conditionalFormatting>
  <conditionalFormatting sqref="AH89">
    <cfRule type="cellIs" dxfId="1247" priority="158" stopIfTrue="1" operator="greaterThanOrEqual">
      <formula>AG88</formula>
    </cfRule>
    <cfRule type="cellIs" dxfId="1246" priority="160" stopIfTrue="1" operator="lessThan">
      <formula>AG88</formula>
    </cfRule>
  </conditionalFormatting>
  <conditionalFormatting sqref="AH89">
    <cfRule type="cellIs" dxfId="1245" priority="159" stopIfTrue="1" operator="lessThan">
      <formula>AD88</formula>
    </cfRule>
  </conditionalFormatting>
  <conditionalFormatting sqref="AI89">
    <cfRule type="iconSet" priority="153">
      <iconSet iconSet="5ArrowsGray" showValue="0">
        <cfvo type="percent" val="0"/>
        <cfvo type="formula" val="$AF$89-$AB$88" gte="0"/>
        <cfvo type="formula" val="$AF$89"/>
        <cfvo type="formula" val="$AF$89" gte="0"/>
        <cfvo type="formula" val="$AF$89+$AB$88"/>
      </iconSet>
    </cfRule>
  </conditionalFormatting>
  <conditionalFormatting sqref="AI89">
    <cfRule type="cellIs" dxfId="1244" priority="154" stopIfTrue="1" operator="greaterThanOrEqual">
      <formula>AG88</formula>
    </cfRule>
    <cfRule type="cellIs" dxfId="1243" priority="156" stopIfTrue="1" operator="lessThan">
      <formula>AG88</formula>
    </cfRule>
  </conditionalFormatting>
  <conditionalFormatting sqref="AI89">
    <cfRule type="cellIs" dxfId="1242" priority="155" stopIfTrue="1" operator="lessThanOrEqual">
      <formula>AD88</formula>
    </cfRule>
  </conditionalFormatting>
  <conditionalFormatting sqref="AH92">
    <cfRule type="iconSet" priority="149">
      <iconSet iconSet="5ArrowsGray" showValue="0">
        <cfvo type="percent" val="0"/>
        <cfvo type="formula" val="$AF$92-$AB$91" gte="0"/>
        <cfvo type="formula" val="$AF$92"/>
        <cfvo type="formula" val="$AF$92" gte="0"/>
        <cfvo type="formula" val="$AF$92+$AB$91"/>
      </iconSet>
    </cfRule>
  </conditionalFormatting>
  <conditionalFormatting sqref="AH92">
    <cfRule type="cellIs" dxfId="1241" priority="150" stopIfTrue="1" operator="greaterThanOrEqual">
      <formula>AG91</formula>
    </cfRule>
    <cfRule type="cellIs" dxfId="1240" priority="152" stopIfTrue="1" operator="lessThan">
      <formula>AG91</formula>
    </cfRule>
  </conditionalFormatting>
  <conditionalFormatting sqref="AH92">
    <cfRule type="cellIs" dxfId="1239" priority="151" stopIfTrue="1" operator="lessThan">
      <formula>AD91</formula>
    </cfRule>
  </conditionalFormatting>
  <conditionalFormatting sqref="AI92">
    <cfRule type="iconSet" priority="145">
      <iconSet iconSet="5ArrowsGray" showValue="0">
        <cfvo type="percent" val="0"/>
        <cfvo type="formula" val="$AF$92-$AB$91" gte="0"/>
        <cfvo type="formula" val="$AF$92"/>
        <cfvo type="formula" val="$AF$92" gte="0"/>
        <cfvo type="formula" val="$AF$92+$AB$91"/>
      </iconSet>
    </cfRule>
  </conditionalFormatting>
  <conditionalFormatting sqref="AI92">
    <cfRule type="cellIs" dxfId="1238" priority="146" stopIfTrue="1" operator="greaterThanOrEqual">
      <formula>AG91</formula>
    </cfRule>
    <cfRule type="cellIs" dxfId="1237" priority="148" stopIfTrue="1" operator="lessThan">
      <formula>AG91</formula>
    </cfRule>
  </conditionalFormatting>
  <conditionalFormatting sqref="AI92">
    <cfRule type="cellIs" dxfId="1236" priority="147" stopIfTrue="1" operator="lessThanOrEqual">
      <formula>AD91</formula>
    </cfRule>
  </conditionalFormatting>
  <conditionalFormatting sqref="AH95">
    <cfRule type="iconSet" priority="141">
      <iconSet iconSet="5ArrowsGray" showValue="0">
        <cfvo type="percent" val="0"/>
        <cfvo type="formula" val="$AF$95-$AB$94" gte="0"/>
        <cfvo type="formula" val="$AF$95"/>
        <cfvo type="formula" val="$AF$95" gte="0"/>
        <cfvo type="formula" val="$AF$95+$AB$94"/>
      </iconSet>
    </cfRule>
  </conditionalFormatting>
  <conditionalFormatting sqref="AH95">
    <cfRule type="cellIs" dxfId="1235" priority="142" stopIfTrue="1" operator="greaterThanOrEqual">
      <formula>AG94</formula>
    </cfRule>
    <cfRule type="cellIs" dxfId="1234" priority="144" stopIfTrue="1" operator="lessThan">
      <formula>AG94</formula>
    </cfRule>
  </conditionalFormatting>
  <conditionalFormatting sqref="AH95">
    <cfRule type="cellIs" dxfId="1233" priority="143" stopIfTrue="1" operator="lessThan">
      <formula>AD94</formula>
    </cfRule>
  </conditionalFormatting>
  <conditionalFormatting sqref="AI95">
    <cfRule type="iconSet" priority="137">
      <iconSet iconSet="5ArrowsGray" showValue="0">
        <cfvo type="percent" val="0"/>
        <cfvo type="formula" val="$AF$95-$AB$94" gte="0"/>
        <cfvo type="formula" val="$AF$95"/>
        <cfvo type="formula" val="$AF$95" gte="0"/>
        <cfvo type="formula" val="$AF$95+$AB$94"/>
      </iconSet>
    </cfRule>
  </conditionalFormatting>
  <conditionalFormatting sqref="AI95">
    <cfRule type="cellIs" dxfId="1232" priority="138" stopIfTrue="1" operator="greaterThanOrEqual">
      <formula>AG94</formula>
    </cfRule>
    <cfRule type="cellIs" dxfId="1231" priority="140" stopIfTrue="1" operator="lessThan">
      <formula>AG94</formula>
    </cfRule>
  </conditionalFormatting>
  <conditionalFormatting sqref="AI95">
    <cfRule type="cellIs" dxfId="1230" priority="139" stopIfTrue="1" operator="lessThanOrEqual">
      <formula>AD94</formula>
    </cfRule>
  </conditionalFormatting>
  <conditionalFormatting sqref="AH98">
    <cfRule type="iconSet" priority="133">
      <iconSet iconSet="5ArrowsGray" showValue="0">
        <cfvo type="percent" val="0"/>
        <cfvo type="formula" val="$AF$98-$AB$97" gte="0"/>
        <cfvo type="formula" val="$AF$98"/>
        <cfvo type="formula" val="$AF$98" gte="0"/>
        <cfvo type="formula" val="$AF$98+$AB$97"/>
      </iconSet>
    </cfRule>
  </conditionalFormatting>
  <conditionalFormatting sqref="AH98">
    <cfRule type="cellIs" dxfId="1229" priority="134" stopIfTrue="1" operator="greaterThanOrEqual">
      <formula>AG97</formula>
    </cfRule>
    <cfRule type="cellIs" dxfId="1228" priority="136" stopIfTrue="1" operator="lessThan">
      <formula>AG97</formula>
    </cfRule>
  </conditionalFormatting>
  <conditionalFormatting sqref="AH98">
    <cfRule type="cellIs" dxfId="1227" priority="135" stopIfTrue="1" operator="lessThan">
      <formula>AD97</formula>
    </cfRule>
  </conditionalFormatting>
  <conditionalFormatting sqref="AI98">
    <cfRule type="iconSet" priority="129">
      <iconSet iconSet="5ArrowsGray" showValue="0">
        <cfvo type="percent" val="0"/>
        <cfvo type="formula" val="$AF$98-$AB$97" gte="0"/>
        <cfvo type="formula" val="$AF$98"/>
        <cfvo type="formula" val="$AF$98" gte="0"/>
        <cfvo type="formula" val="$AF$98+$AB$97"/>
      </iconSet>
    </cfRule>
  </conditionalFormatting>
  <conditionalFormatting sqref="AI98">
    <cfRule type="cellIs" dxfId="1226" priority="130" stopIfTrue="1" operator="greaterThanOrEqual">
      <formula>AG97</formula>
    </cfRule>
    <cfRule type="cellIs" dxfId="1225" priority="132" stopIfTrue="1" operator="lessThan">
      <formula>AG97</formula>
    </cfRule>
  </conditionalFormatting>
  <conditionalFormatting sqref="AI98">
    <cfRule type="cellIs" dxfId="1224" priority="131" stopIfTrue="1" operator="lessThanOrEqual">
      <formula>AD97</formula>
    </cfRule>
  </conditionalFormatting>
  <conditionalFormatting sqref="AH101">
    <cfRule type="iconSet" priority="125">
      <iconSet iconSet="5ArrowsGray" showValue="0">
        <cfvo type="percent" val="0"/>
        <cfvo type="formula" val="$AF$101-$AB$100" gte="0"/>
        <cfvo type="formula" val="$AF$101"/>
        <cfvo type="formula" val="$AF$101" gte="0"/>
        <cfvo type="formula" val="$AF$101+$AB$100"/>
      </iconSet>
    </cfRule>
  </conditionalFormatting>
  <conditionalFormatting sqref="AH101">
    <cfRule type="cellIs" dxfId="1223" priority="126" stopIfTrue="1" operator="greaterThanOrEqual">
      <formula>AG100</formula>
    </cfRule>
    <cfRule type="cellIs" dxfId="1222" priority="128" stopIfTrue="1" operator="lessThan">
      <formula>AG100</formula>
    </cfRule>
  </conditionalFormatting>
  <conditionalFormatting sqref="AH101">
    <cfRule type="cellIs" dxfId="1221" priority="127" stopIfTrue="1" operator="lessThan">
      <formula>AD100</formula>
    </cfRule>
  </conditionalFormatting>
  <conditionalFormatting sqref="AI101">
    <cfRule type="iconSet" priority="121">
      <iconSet iconSet="5ArrowsGray" showValue="0">
        <cfvo type="percent" val="0"/>
        <cfvo type="formula" val="$AF$101-$AB$100" gte="0"/>
        <cfvo type="formula" val="$AF$101"/>
        <cfvo type="formula" val="$AF$101" gte="0"/>
        <cfvo type="formula" val="$AF$101+$AB$100"/>
      </iconSet>
    </cfRule>
  </conditionalFormatting>
  <conditionalFormatting sqref="AI101">
    <cfRule type="cellIs" dxfId="1220" priority="122" stopIfTrue="1" operator="greaterThanOrEqual">
      <formula>AG100</formula>
    </cfRule>
    <cfRule type="cellIs" dxfId="1219" priority="124" stopIfTrue="1" operator="lessThan">
      <formula>AG100</formula>
    </cfRule>
  </conditionalFormatting>
  <conditionalFormatting sqref="AI101">
    <cfRule type="cellIs" dxfId="1218" priority="123" stopIfTrue="1" operator="lessThanOrEqual">
      <formula>AD100</formula>
    </cfRule>
  </conditionalFormatting>
  <conditionalFormatting sqref="AH104">
    <cfRule type="iconSet" priority="117">
      <iconSet iconSet="5ArrowsGray" showValue="0">
        <cfvo type="percent" val="0"/>
        <cfvo type="formula" val="$AF$104-$AB$103" gte="0"/>
        <cfvo type="formula" val="$AF$104"/>
        <cfvo type="formula" val="$AF$104" gte="0"/>
        <cfvo type="formula" val="$AF$104+$AB$103"/>
      </iconSet>
    </cfRule>
  </conditionalFormatting>
  <conditionalFormatting sqref="AH104">
    <cfRule type="cellIs" dxfId="1217" priority="118" stopIfTrue="1" operator="greaterThanOrEqual">
      <formula>AG103</formula>
    </cfRule>
    <cfRule type="cellIs" dxfId="1216" priority="120" stopIfTrue="1" operator="lessThan">
      <formula>AG103</formula>
    </cfRule>
  </conditionalFormatting>
  <conditionalFormatting sqref="AH104">
    <cfRule type="cellIs" dxfId="1215" priority="119" stopIfTrue="1" operator="lessThan">
      <formula>AD103</formula>
    </cfRule>
  </conditionalFormatting>
  <conditionalFormatting sqref="AI104">
    <cfRule type="iconSet" priority="113">
      <iconSet iconSet="5ArrowsGray" showValue="0">
        <cfvo type="percent" val="0"/>
        <cfvo type="formula" val="$AF$104-$AB$103" gte="0"/>
        <cfvo type="formula" val="$AF$104"/>
        <cfvo type="formula" val="$AF$104" gte="0"/>
        <cfvo type="formula" val="$AF$104+$AB$103"/>
      </iconSet>
    </cfRule>
  </conditionalFormatting>
  <conditionalFormatting sqref="AI104">
    <cfRule type="cellIs" dxfId="1214" priority="114" stopIfTrue="1" operator="greaterThanOrEqual">
      <formula>AG103</formula>
    </cfRule>
    <cfRule type="cellIs" dxfId="1213" priority="116" stopIfTrue="1" operator="lessThan">
      <formula>AG103</formula>
    </cfRule>
  </conditionalFormatting>
  <conditionalFormatting sqref="AI104">
    <cfRule type="cellIs" dxfId="1212" priority="115" stopIfTrue="1" operator="lessThanOrEqual">
      <formula>AD103</formula>
    </cfRule>
  </conditionalFormatting>
  <conditionalFormatting sqref="AH107">
    <cfRule type="iconSet" priority="109">
      <iconSet iconSet="5ArrowsGray" showValue="0">
        <cfvo type="percent" val="0"/>
        <cfvo type="formula" val="$AF$107-$AB$106" gte="0"/>
        <cfvo type="formula" val="$AF$107"/>
        <cfvo type="formula" val="$AF$107" gte="0"/>
        <cfvo type="formula" val="$AF$107+$AB$106"/>
      </iconSet>
    </cfRule>
  </conditionalFormatting>
  <conditionalFormatting sqref="AH107">
    <cfRule type="cellIs" dxfId="1211" priority="110" stopIfTrue="1" operator="greaterThanOrEqual">
      <formula>AG106</formula>
    </cfRule>
    <cfRule type="cellIs" dxfId="1210" priority="112" stopIfTrue="1" operator="lessThan">
      <formula>AG106</formula>
    </cfRule>
  </conditionalFormatting>
  <conditionalFormatting sqref="AH107">
    <cfRule type="cellIs" dxfId="1209" priority="111" stopIfTrue="1" operator="lessThan">
      <formula>AD106</formula>
    </cfRule>
  </conditionalFormatting>
  <conditionalFormatting sqref="AI107">
    <cfRule type="iconSet" priority="105">
      <iconSet iconSet="5ArrowsGray" showValue="0">
        <cfvo type="percent" val="0"/>
        <cfvo type="formula" val="$AF$107-$AB$106" gte="0"/>
        <cfvo type="formula" val="$AF$107"/>
        <cfvo type="formula" val="$AF$107" gte="0"/>
        <cfvo type="formula" val="$AF$107+$AB$106"/>
      </iconSet>
    </cfRule>
  </conditionalFormatting>
  <conditionalFormatting sqref="AI107">
    <cfRule type="cellIs" dxfId="1208" priority="106" stopIfTrue="1" operator="greaterThanOrEqual">
      <formula>AG106</formula>
    </cfRule>
    <cfRule type="cellIs" dxfId="1207" priority="108" stopIfTrue="1" operator="lessThan">
      <formula>AG106</formula>
    </cfRule>
  </conditionalFormatting>
  <conditionalFormatting sqref="AI107">
    <cfRule type="cellIs" dxfId="1206" priority="107" stopIfTrue="1" operator="lessThanOrEqual">
      <formula>AD106</formula>
    </cfRule>
  </conditionalFormatting>
  <conditionalFormatting sqref="AH110">
    <cfRule type="iconSet" priority="101">
      <iconSet iconSet="5ArrowsGray" showValue="0">
        <cfvo type="percent" val="0"/>
        <cfvo type="formula" val="$AF$110-$AB$109" gte="0"/>
        <cfvo type="formula" val="$AF$110"/>
        <cfvo type="formula" val="$AF$110" gte="0"/>
        <cfvo type="formula" val="$AF$110+$AB$109"/>
      </iconSet>
    </cfRule>
  </conditionalFormatting>
  <conditionalFormatting sqref="AH110">
    <cfRule type="cellIs" dxfId="1205" priority="102" stopIfTrue="1" operator="greaterThanOrEqual">
      <formula>AG109</formula>
    </cfRule>
    <cfRule type="cellIs" dxfId="1204" priority="104" stopIfTrue="1" operator="lessThan">
      <formula>AG109</formula>
    </cfRule>
  </conditionalFormatting>
  <conditionalFormatting sqref="AH110">
    <cfRule type="cellIs" dxfId="1203" priority="103" stopIfTrue="1" operator="lessThan">
      <formula>AD109</formula>
    </cfRule>
  </conditionalFormatting>
  <conditionalFormatting sqref="AI110">
    <cfRule type="iconSet" priority="97">
      <iconSet iconSet="5ArrowsGray" showValue="0">
        <cfvo type="percent" val="0"/>
        <cfvo type="formula" val="$AF$110-$AB$109" gte="0"/>
        <cfvo type="formula" val="$AF$110"/>
        <cfvo type="formula" val="$AF$110" gte="0"/>
        <cfvo type="formula" val="$AF$110+$AB$109"/>
      </iconSet>
    </cfRule>
  </conditionalFormatting>
  <conditionalFormatting sqref="AI110">
    <cfRule type="cellIs" dxfId="1202" priority="98" stopIfTrue="1" operator="greaterThanOrEqual">
      <formula>AG109</formula>
    </cfRule>
    <cfRule type="cellIs" dxfId="1201" priority="100" stopIfTrue="1" operator="lessThan">
      <formula>AG109</formula>
    </cfRule>
  </conditionalFormatting>
  <conditionalFormatting sqref="AI110">
    <cfRule type="cellIs" dxfId="1200" priority="99" stopIfTrue="1" operator="lessThanOrEqual">
      <formula>AD109</formula>
    </cfRule>
  </conditionalFormatting>
  <conditionalFormatting sqref="AH113">
    <cfRule type="iconSet" priority="93">
      <iconSet iconSet="5ArrowsGray" showValue="0">
        <cfvo type="percent" val="0"/>
        <cfvo type="formula" val="$AF$113-$AB$112" gte="0"/>
        <cfvo type="formula" val="$AF$113"/>
        <cfvo type="formula" val="$AF$113" gte="0"/>
        <cfvo type="formula" val="$AF$113+$AB$112"/>
      </iconSet>
    </cfRule>
  </conditionalFormatting>
  <conditionalFormatting sqref="AH113">
    <cfRule type="cellIs" dxfId="1199" priority="94" stopIfTrue="1" operator="greaterThanOrEqual">
      <formula>AG112</formula>
    </cfRule>
    <cfRule type="cellIs" dxfId="1198" priority="96" stopIfTrue="1" operator="lessThan">
      <formula>AG112</formula>
    </cfRule>
  </conditionalFormatting>
  <conditionalFormatting sqref="AH113">
    <cfRule type="cellIs" dxfId="1197" priority="95" stopIfTrue="1" operator="lessThan">
      <formula>AD112</formula>
    </cfRule>
  </conditionalFormatting>
  <conditionalFormatting sqref="AI113">
    <cfRule type="iconSet" priority="89">
      <iconSet iconSet="5ArrowsGray" showValue="0">
        <cfvo type="percent" val="0"/>
        <cfvo type="formula" val="$AF$113-$AB$112" gte="0"/>
        <cfvo type="formula" val="$AF$113"/>
        <cfvo type="formula" val="$AF$113" gte="0"/>
        <cfvo type="formula" val="$AF$113+$AB$112"/>
      </iconSet>
    </cfRule>
  </conditionalFormatting>
  <conditionalFormatting sqref="AI113">
    <cfRule type="cellIs" dxfId="1196" priority="90" stopIfTrue="1" operator="greaterThanOrEqual">
      <formula>AG112</formula>
    </cfRule>
    <cfRule type="cellIs" dxfId="1195" priority="92" stopIfTrue="1" operator="lessThan">
      <formula>AG112</formula>
    </cfRule>
  </conditionalFormatting>
  <conditionalFormatting sqref="AI113">
    <cfRule type="cellIs" dxfId="1194" priority="91" stopIfTrue="1" operator="lessThanOrEqual">
      <formula>AD112</formula>
    </cfRule>
  </conditionalFormatting>
  <conditionalFormatting sqref="AH116">
    <cfRule type="iconSet" priority="85">
      <iconSet iconSet="5ArrowsGray" showValue="0">
        <cfvo type="percent" val="0"/>
        <cfvo type="formula" val="$AF$116-$AB$115" gte="0"/>
        <cfvo type="formula" val="$AF$116"/>
        <cfvo type="formula" val="$AF$116" gte="0"/>
        <cfvo type="formula" val="$AF$116+$AB$115"/>
      </iconSet>
    </cfRule>
  </conditionalFormatting>
  <conditionalFormatting sqref="AH116">
    <cfRule type="cellIs" dxfId="1193" priority="86" stopIfTrue="1" operator="greaterThanOrEqual">
      <formula>AG115</formula>
    </cfRule>
    <cfRule type="cellIs" dxfId="1192" priority="88" stopIfTrue="1" operator="lessThan">
      <formula>AG115</formula>
    </cfRule>
  </conditionalFormatting>
  <conditionalFormatting sqref="AH116">
    <cfRule type="cellIs" dxfId="1191" priority="87" stopIfTrue="1" operator="lessThan">
      <formula>AD115</formula>
    </cfRule>
  </conditionalFormatting>
  <conditionalFormatting sqref="AI116">
    <cfRule type="iconSet" priority="81">
      <iconSet iconSet="5ArrowsGray" showValue="0">
        <cfvo type="percent" val="0"/>
        <cfvo type="formula" val="$AF$116-$AB$115" gte="0"/>
        <cfvo type="formula" val="$AF$116"/>
        <cfvo type="formula" val="$AF$116" gte="0"/>
        <cfvo type="formula" val="$AF$116+$AB$115"/>
      </iconSet>
    </cfRule>
  </conditionalFormatting>
  <conditionalFormatting sqref="AI116">
    <cfRule type="cellIs" dxfId="1190" priority="82" stopIfTrue="1" operator="greaterThanOrEqual">
      <formula>AG115</formula>
    </cfRule>
    <cfRule type="cellIs" dxfId="1189" priority="84" stopIfTrue="1" operator="lessThan">
      <formula>AG115</formula>
    </cfRule>
  </conditionalFormatting>
  <conditionalFormatting sqref="AI116">
    <cfRule type="cellIs" dxfId="1188" priority="83" stopIfTrue="1" operator="lessThanOrEqual">
      <formula>AD115</formula>
    </cfRule>
  </conditionalFormatting>
  <conditionalFormatting sqref="AH119">
    <cfRule type="iconSet" priority="77">
      <iconSet iconSet="5ArrowsGray" showValue="0">
        <cfvo type="percent" val="0"/>
        <cfvo type="formula" val="$AF$119-$AB$118" gte="0"/>
        <cfvo type="formula" val="$AF$119"/>
        <cfvo type="formula" val="$AF$119" gte="0"/>
        <cfvo type="formula" val="$AF$119+$AB$118"/>
      </iconSet>
    </cfRule>
  </conditionalFormatting>
  <conditionalFormatting sqref="AH119">
    <cfRule type="cellIs" dxfId="1187" priority="78" stopIfTrue="1" operator="greaterThanOrEqual">
      <formula>AG118</formula>
    </cfRule>
    <cfRule type="cellIs" dxfId="1186" priority="80" stopIfTrue="1" operator="lessThan">
      <formula>AG118</formula>
    </cfRule>
  </conditionalFormatting>
  <conditionalFormatting sqref="AH119">
    <cfRule type="cellIs" dxfId="1185" priority="79" stopIfTrue="1" operator="lessThan">
      <formula>AD118</formula>
    </cfRule>
  </conditionalFormatting>
  <conditionalFormatting sqref="AI119">
    <cfRule type="iconSet" priority="73">
      <iconSet iconSet="5ArrowsGray" showValue="0">
        <cfvo type="percent" val="0"/>
        <cfvo type="formula" val="$AF$119-$AB$118" gte="0"/>
        <cfvo type="formula" val="$AF$119"/>
        <cfvo type="formula" val="$AF$119" gte="0"/>
        <cfvo type="formula" val="$AF$119+$AB$118"/>
      </iconSet>
    </cfRule>
  </conditionalFormatting>
  <conditionalFormatting sqref="AI119">
    <cfRule type="cellIs" dxfId="1184" priority="74" stopIfTrue="1" operator="greaterThanOrEqual">
      <formula>AG118</formula>
    </cfRule>
    <cfRule type="cellIs" dxfId="1183" priority="76" stopIfTrue="1" operator="lessThan">
      <formula>AG118</formula>
    </cfRule>
  </conditionalFormatting>
  <conditionalFormatting sqref="AI119">
    <cfRule type="cellIs" dxfId="1182" priority="75" stopIfTrue="1" operator="lessThanOrEqual">
      <formula>AD118</formula>
    </cfRule>
  </conditionalFormatting>
  <conditionalFormatting sqref="AH122">
    <cfRule type="iconSet" priority="69">
      <iconSet iconSet="5ArrowsGray" showValue="0">
        <cfvo type="percent" val="0"/>
        <cfvo type="formula" val="$AF$122-$AB$121" gte="0"/>
        <cfvo type="formula" val="$AF$122"/>
        <cfvo type="formula" val="$AF$122" gte="0"/>
        <cfvo type="formula" val="$AF$122+$AB$121"/>
      </iconSet>
    </cfRule>
  </conditionalFormatting>
  <conditionalFormatting sqref="AH122">
    <cfRule type="cellIs" dxfId="1181" priority="70" stopIfTrue="1" operator="greaterThanOrEqual">
      <formula>AG121</formula>
    </cfRule>
    <cfRule type="cellIs" dxfId="1180" priority="72" stopIfTrue="1" operator="lessThan">
      <formula>AG121</formula>
    </cfRule>
  </conditionalFormatting>
  <conditionalFormatting sqref="AH122">
    <cfRule type="cellIs" dxfId="1179" priority="71" stopIfTrue="1" operator="lessThan">
      <formula>AD121</formula>
    </cfRule>
  </conditionalFormatting>
  <conditionalFormatting sqref="AI122">
    <cfRule type="iconSet" priority="65">
      <iconSet iconSet="5ArrowsGray" showValue="0">
        <cfvo type="percent" val="0"/>
        <cfvo type="formula" val="$AF$122-$AB$121" gte="0"/>
        <cfvo type="formula" val="$AF$122"/>
        <cfvo type="formula" val="$AF$122" gte="0"/>
        <cfvo type="formula" val="$AF$122+$AB$121"/>
      </iconSet>
    </cfRule>
  </conditionalFormatting>
  <conditionalFormatting sqref="AI122">
    <cfRule type="cellIs" dxfId="1178" priority="66" stopIfTrue="1" operator="greaterThanOrEqual">
      <formula>AG121</formula>
    </cfRule>
    <cfRule type="cellIs" dxfId="1177" priority="68" stopIfTrue="1" operator="lessThan">
      <formula>AG121</formula>
    </cfRule>
  </conditionalFormatting>
  <conditionalFormatting sqref="AI122">
    <cfRule type="cellIs" dxfId="1176" priority="67" stopIfTrue="1" operator="lessThanOrEqual">
      <formula>AD121</formula>
    </cfRule>
  </conditionalFormatting>
  <conditionalFormatting sqref="AH125">
    <cfRule type="iconSet" priority="61">
      <iconSet iconSet="5ArrowsGray" showValue="0">
        <cfvo type="percent" val="0"/>
        <cfvo type="formula" val="$AF$125-$AB$124" gte="0"/>
        <cfvo type="formula" val="$AF$125"/>
        <cfvo type="formula" val="$AF$125" gte="0"/>
        <cfvo type="formula" val="$AF$125+$AB$124"/>
      </iconSet>
    </cfRule>
  </conditionalFormatting>
  <conditionalFormatting sqref="AH125">
    <cfRule type="cellIs" dxfId="1175" priority="62" stopIfTrue="1" operator="greaterThanOrEqual">
      <formula>AG124</formula>
    </cfRule>
    <cfRule type="cellIs" dxfId="1174" priority="64" stopIfTrue="1" operator="lessThan">
      <formula>AG124</formula>
    </cfRule>
  </conditionalFormatting>
  <conditionalFormatting sqref="AH125">
    <cfRule type="cellIs" dxfId="1173" priority="63" stopIfTrue="1" operator="lessThan">
      <formula>AD124</formula>
    </cfRule>
  </conditionalFormatting>
  <conditionalFormatting sqref="AI125">
    <cfRule type="iconSet" priority="57">
      <iconSet iconSet="5ArrowsGray" showValue="0">
        <cfvo type="percent" val="0"/>
        <cfvo type="formula" val="$AF$125-$AB$124" gte="0"/>
        <cfvo type="formula" val="$AF$125"/>
        <cfvo type="formula" val="$AF$125" gte="0"/>
        <cfvo type="formula" val="$AF$125+$AB$124"/>
      </iconSet>
    </cfRule>
  </conditionalFormatting>
  <conditionalFormatting sqref="AI125">
    <cfRule type="cellIs" dxfId="1172" priority="58" stopIfTrue="1" operator="greaterThanOrEqual">
      <formula>AG124</formula>
    </cfRule>
    <cfRule type="cellIs" dxfId="1171" priority="60" stopIfTrue="1" operator="lessThan">
      <formula>AG124</formula>
    </cfRule>
  </conditionalFormatting>
  <conditionalFormatting sqref="AI125">
    <cfRule type="cellIs" dxfId="1170" priority="59" stopIfTrue="1" operator="lessThanOrEqual">
      <formula>AD124</formula>
    </cfRule>
  </conditionalFormatting>
  <conditionalFormatting sqref="AH128">
    <cfRule type="iconSet" priority="53">
      <iconSet iconSet="5ArrowsGray" showValue="0">
        <cfvo type="percent" val="0"/>
        <cfvo type="formula" val="$AF$128-$AB$127" gte="0"/>
        <cfvo type="formula" val="$AF$128"/>
        <cfvo type="formula" val="$AF$128" gte="0"/>
        <cfvo type="formula" val="$AF$128+$AB$127"/>
      </iconSet>
    </cfRule>
  </conditionalFormatting>
  <conditionalFormatting sqref="AH128">
    <cfRule type="cellIs" dxfId="1169" priority="54" stopIfTrue="1" operator="greaterThanOrEqual">
      <formula>AG127</formula>
    </cfRule>
    <cfRule type="cellIs" dxfId="1168" priority="56" stopIfTrue="1" operator="lessThan">
      <formula>AG127</formula>
    </cfRule>
  </conditionalFormatting>
  <conditionalFormatting sqref="AH128">
    <cfRule type="cellIs" dxfId="1167" priority="55" stopIfTrue="1" operator="lessThan">
      <formula>AD127</formula>
    </cfRule>
  </conditionalFormatting>
  <conditionalFormatting sqref="AI128">
    <cfRule type="iconSet" priority="49">
      <iconSet iconSet="5ArrowsGray" showValue="0">
        <cfvo type="percent" val="0"/>
        <cfvo type="formula" val="$AF$128-$AB$127" gte="0"/>
        <cfvo type="formula" val="$AF$128"/>
        <cfvo type="formula" val="$AF$128" gte="0"/>
        <cfvo type="formula" val="$AF$128+$AB$127"/>
      </iconSet>
    </cfRule>
  </conditionalFormatting>
  <conditionalFormatting sqref="AI128">
    <cfRule type="cellIs" dxfId="1166" priority="50" stopIfTrue="1" operator="greaterThanOrEqual">
      <formula>AG127</formula>
    </cfRule>
    <cfRule type="cellIs" dxfId="1165" priority="52" stopIfTrue="1" operator="lessThan">
      <formula>AG127</formula>
    </cfRule>
  </conditionalFormatting>
  <conditionalFormatting sqref="AI128">
    <cfRule type="cellIs" dxfId="1164" priority="51" stopIfTrue="1" operator="lessThanOrEqual">
      <formula>AD127</formula>
    </cfRule>
  </conditionalFormatting>
  <conditionalFormatting sqref="AH131">
    <cfRule type="iconSet" priority="45">
      <iconSet iconSet="5ArrowsGray" showValue="0">
        <cfvo type="percent" val="0"/>
        <cfvo type="formula" val="$AF$131-$AB$130" gte="0"/>
        <cfvo type="formula" val="$AF$131"/>
        <cfvo type="formula" val="$AF$131" gte="0"/>
        <cfvo type="formula" val="$AF$131+$AB$130"/>
      </iconSet>
    </cfRule>
  </conditionalFormatting>
  <conditionalFormatting sqref="AH131">
    <cfRule type="cellIs" dxfId="1163" priority="46" stopIfTrue="1" operator="greaterThanOrEqual">
      <formula>AG130</formula>
    </cfRule>
    <cfRule type="cellIs" dxfId="1162" priority="48" stopIfTrue="1" operator="lessThan">
      <formula>AG130</formula>
    </cfRule>
  </conditionalFormatting>
  <conditionalFormatting sqref="AH131">
    <cfRule type="cellIs" dxfId="1161" priority="47" stopIfTrue="1" operator="lessThan">
      <formula>AD130</formula>
    </cfRule>
  </conditionalFormatting>
  <conditionalFormatting sqref="AI131">
    <cfRule type="iconSet" priority="41">
      <iconSet iconSet="5ArrowsGray" showValue="0">
        <cfvo type="percent" val="0"/>
        <cfvo type="formula" val="$AF$131-$AB$130" gte="0"/>
        <cfvo type="formula" val="$AF$131"/>
        <cfvo type="formula" val="$AF$131" gte="0"/>
        <cfvo type="formula" val="$AF$131+$AB$130"/>
      </iconSet>
    </cfRule>
  </conditionalFormatting>
  <conditionalFormatting sqref="AI131">
    <cfRule type="cellIs" dxfId="1160" priority="42" stopIfTrue="1" operator="greaterThanOrEqual">
      <formula>AG130</formula>
    </cfRule>
    <cfRule type="cellIs" dxfId="1159" priority="44" stopIfTrue="1" operator="lessThan">
      <formula>AG130</formula>
    </cfRule>
  </conditionalFormatting>
  <conditionalFormatting sqref="AI131">
    <cfRule type="cellIs" dxfId="1158" priority="43" stopIfTrue="1" operator="lessThanOrEqual">
      <formula>AD130</formula>
    </cfRule>
  </conditionalFormatting>
  <conditionalFormatting sqref="AH134">
    <cfRule type="iconSet" priority="37">
      <iconSet iconSet="5ArrowsGray" showValue="0">
        <cfvo type="percent" val="0"/>
        <cfvo type="formula" val="$AF$134-$AB$133" gte="0"/>
        <cfvo type="formula" val="$AF$134"/>
        <cfvo type="formula" val="$AF$134" gte="0"/>
        <cfvo type="formula" val="$AF$134+$AB$133"/>
      </iconSet>
    </cfRule>
  </conditionalFormatting>
  <conditionalFormatting sqref="AH134">
    <cfRule type="cellIs" dxfId="1157" priority="38" stopIfTrue="1" operator="greaterThanOrEqual">
      <formula>AG133</formula>
    </cfRule>
    <cfRule type="cellIs" dxfId="1156" priority="40" stopIfTrue="1" operator="lessThan">
      <formula>AG133</formula>
    </cfRule>
  </conditionalFormatting>
  <conditionalFormatting sqref="AH134">
    <cfRule type="cellIs" dxfId="1155" priority="39" stopIfTrue="1" operator="lessThan">
      <formula>AD133</formula>
    </cfRule>
  </conditionalFormatting>
  <conditionalFormatting sqref="AI134">
    <cfRule type="iconSet" priority="33">
      <iconSet iconSet="5ArrowsGray" showValue="0">
        <cfvo type="percent" val="0"/>
        <cfvo type="formula" val="$AF$134-$AB$133" gte="0"/>
        <cfvo type="formula" val="$AF$134"/>
        <cfvo type="formula" val="$AF$134" gte="0"/>
        <cfvo type="formula" val="$AF$134+$AB$133"/>
      </iconSet>
    </cfRule>
  </conditionalFormatting>
  <conditionalFormatting sqref="AI134">
    <cfRule type="cellIs" dxfId="1154" priority="34" stopIfTrue="1" operator="greaterThanOrEqual">
      <formula>AG133</formula>
    </cfRule>
    <cfRule type="cellIs" dxfId="1153" priority="36" stopIfTrue="1" operator="lessThan">
      <formula>AG133</formula>
    </cfRule>
  </conditionalFormatting>
  <conditionalFormatting sqref="AI134">
    <cfRule type="cellIs" dxfId="1152" priority="35" stopIfTrue="1" operator="lessThanOrEqual">
      <formula>AD133</formula>
    </cfRule>
  </conditionalFormatting>
  <conditionalFormatting sqref="AH137">
    <cfRule type="iconSet" priority="29">
      <iconSet iconSet="5ArrowsGray" showValue="0">
        <cfvo type="percent" val="0"/>
        <cfvo type="formula" val="$AF$137-$AB$136" gte="0"/>
        <cfvo type="formula" val="$AF$137"/>
        <cfvo type="formula" val="$AF$137" gte="0"/>
        <cfvo type="formula" val="$AF$137+$AB$136"/>
      </iconSet>
    </cfRule>
  </conditionalFormatting>
  <conditionalFormatting sqref="AH137">
    <cfRule type="cellIs" dxfId="1151" priority="30" stopIfTrue="1" operator="greaterThanOrEqual">
      <formula>AG136</formula>
    </cfRule>
    <cfRule type="cellIs" dxfId="1150" priority="32" stopIfTrue="1" operator="lessThan">
      <formula>AG136</formula>
    </cfRule>
  </conditionalFormatting>
  <conditionalFormatting sqref="AH137">
    <cfRule type="cellIs" dxfId="1149" priority="31" stopIfTrue="1" operator="lessThan">
      <formula>AD136</formula>
    </cfRule>
  </conditionalFormatting>
  <conditionalFormatting sqref="AI137">
    <cfRule type="iconSet" priority="25">
      <iconSet iconSet="5ArrowsGray" showValue="0">
        <cfvo type="percent" val="0"/>
        <cfvo type="formula" val="$AF$137-$AB$136" gte="0"/>
        <cfvo type="formula" val="$AF$137"/>
        <cfvo type="formula" val="$AF$137" gte="0"/>
        <cfvo type="formula" val="$AF$137+$AB$136"/>
      </iconSet>
    </cfRule>
  </conditionalFormatting>
  <conditionalFormatting sqref="AI137">
    <cfRule type="cellIs" dxfId="1148" priority="26" stopIfTrue="1" operator="greaterThanOrEqual">
      <formula>AG136</formula>
    </cfRule>
    <cfRule type="cellIs" dxfId="1147" priority="28" stopIfTrue="1" operator="lessThan">
      <formula>AG136</formula>
    </cfRule>
  </conditionalFormatting>
  <conditionalFormatting sqref="AI137">
    <cfRule type="cellIs" dxfId="1146" priority="27" stopIfTrue="1" operator="lessThanOrEqual">
      <formula>AD136</formula>
    </cfRule>
  </conditionalFormatting>
  <conditionalFormatting sqref="AH140">
    <cfRule type="iconSet" priority="21">
      <iconSet iconSet="5ArrowsGray" showValue="0">
        <cfvo type="percent" val="0"/>
        <cfvo type="formula" val="$AF$140-$AB$139" gte="0"/>
        <cfvo type="formula" val="$AF$140"/>
        <cfvo type="formula" val="$AF$140" gte="0"/>
        <cfvo type="formula" val="$AF$140+$AB$139"/>
      </iconSet>
    </cfRule>
  </conditionalFormatting>
  <conditionalFormatting sqref="AH140">
    <cfRule type="cellIs" dxfId="1145" priority="22" stopIfTrue="1" operator="greaterThanOrEqual">
      <formula>AG139</formula>
    </cfRule>
    <cfRule type="cellIs" dxfId="1144" priority="24" stopIfTrue="1" operator="lessThan">
      <formula>AG139</formula>
    </cfRule>
  </conditionalFormatting>
  <conditionalFormatting sqref="AH140">
    <cfRule type="cellIs" dxfId="1143" priority="23" stopIfTrue="1" operator="lessThan">
      <formula>AD139</formula>
    </cfRule>
  </conditionalFormatting>
  <conditionalFormatting sqref="AI140">
    <cfRule type="iconSet" priority="17">
      <iconSet iconSet="5ArrowsGray" showValue="0">
        <cfvo type="percent" val="0"/>
        <cfvo type="formula" val="$AF$140-$AB$139" gte="0"/>
        <cfvo type="formula" val="$AF$140"/>
        <cfvo type="formula" val="$AF$140" gte="0"/>
        <cfvo type="formula" val="$AF$140+$AB$139"/>
      </iconSet>
    </cfRule>
  </conditionalFormatting>
  <conditionalFormatting sqref="AI140">
    <cfRule type="cellIs" dxfId="1142" priority="18" stopIfTrue="1" operator="greaterThanOrEqual">
      <formula>AG139</formula>
    </cfRule>
    <cfRule type="cellIs" dxfId="1141" priority="20" stopIfTrue="1" operator="lessThan">
      <formula>AG139</formula>
    </cfRule>
  </conditionalFormatting>
  <conditionalFormatting sqref="AI140">
    <cfRule type="cellIs" dxfId="1140" priority="19" stopIfTrue="1" operator="lessThanOrEqual">
      <formula>AD139</formula>
    </cfRule>
  </conditionalFormatting>
  <conditionalFormatting sqref="AH143">
    <cfRule type="iconSet" priority="13">
      <iconSet iconSet="5ArrowsGray" showValue="0">
        <cfvo type="percent" val="0"/>
        <cfvo type="formula" val="$AF$143-$AB$142" gte="0"/>
        <cfvo type="formula" val="$AF$143"/>
        <cfvo type="formula" val="$AF$143" gte="0"/>
        <cfvo type="formula" val="$AF$143+$AB$142"/>
      </iconSet>
    </cfRule>
  </conditionalFormatting>
  <conditionalFormatting sqref="AH143">
    <cfRule type="cellIs" dxfId="1139" priority="14" stopIfTrue="1" operator="greaterThanOrEqual">
      <formula>AG142</formula>
    </cfRule>
    <cfRule type="cellIs" dxfId="1138" priority="16" stopIfTrue="1" operator="lessThan">
      <formula>AG142</formula>
    </cfRule>
  </conditionalFormatting>
  <conditionalFormatting sqref="AH143">
    <cfRule type="cellIs" dxfId="1137" priority="15" stopIfTrue="1" operator="lessThan">
      <formula>AD142</formula>
    </cfRule>
  </conditionalFormatting>
  <conditionalFormatting sqref="AI143">
    <cfRule type="iconSet" priority="9">
      <iconSet iconSet="5ArrowsGray" showValue="0">
        <cfvo type="percent" val="0"/>
        <cfvo type="formula" val="$AF$143-$AB$142" gte="0"/>
        <cfvo type="formula" val="$AF$143"/>
        <cfvo type="formula" val="$AF$143" gte="0"/>
        <cfvo type="formula" val="$AF$143+$AB$142"/>
      </iconSet>
    </cfRule>
  </conditionalFormatting>
  <conditionalFormatting sqref="AI143">
    <cfRule type="cellIs" dxfId="1136" priority="10" stopIfTrue="1" operator="greaterThanOrEqual">
      <formula>AG142</formula>
    </cfRule>
    <cfRule type="cellIs" dxfId="1135" priority="12" stopIfTrue="1" operator="lessThan">
      <formula>AG142</formula>
    </cfRule>
  </conditionalFormatting>
  <conditionalFormatting sqref="AI143">
    <cfRule type="cellIs" dxfId="1134" priority="11" stopIfTrue="1" operator="lessThanOrEqual">
      <formula>AD142</formula>
    </cfRule>
  </conditionalFormatting>
  <conditionalFormatting sqref="AH146">
    <cfRule type="iconSet" priority="5">
      <iconSet iconSet="5ArrowsGray" showValue="0">
        <cfvo type="percent" val="0"/>
        <cfvo type="formula" val="$AF$146-$AB$145" gte="0"/>
        <cfvo type="formula" val="$AF$146"/>
        <cfvo type="formula" val="$AF$146" gte="0"/>
        <cfvo type="formula" val="$AF$146+$AB$145"/>
      </iconSet>
    </cfRule>
  </conditionalFormatting>
  <conditionalFormatting sqref="AH146">
    <cfRule type="cellIs" dxfId="1133" priority="6" stopIfTrue="1" operator="greaterThanOrEqual">
      <formula>AG145</formula>
    </cfRule>
    <cfRule type="cellIs" dxfId="1132" priority="8" stopIfTrue="1" operator="lessThan">
      <formula>AG145</formula>
    </cfRule>
  </conditionalFormatting>
  <conditionalFormatting sqref="AH146">
    <cfRule type="cellIs" dxfId="1131" priority="7" stopIfTrue="1" operator="lessThan">
      <formula>AD145</formula>
    </cfRule>
  </conditionalFormatting>
  <conditionalFormatting sqref="AI146">
    <cfRule type="iconSet" priority="1">
      <iconSet iconSet="5ArrowsGray" showValue="0">
        <cfvo type="percent" val="0"/>
        <cfvo type="formula" val="$AF$146-$AB$145" gte="0"/>
        <cfvo type="formula" val="$AF$146"/>
        <cfvo type="formula" val="$AF$146" gte="0"/>
        <cfvo type="formula" val="$AF$146+$AB$145"/>
      </iconSet>
    </cfRule>
  </conditionalFormatting>
  <conditionalFormatting sqref="AI146">
    <cfRule type="cellIs" dxfId="1130" priority="2" stopIfTrue="1" operator="greaterThanOrEqual">
      <formula>AG145</formula>
    </cfRule>
    <cfRule type="cellIs" dxfId="1129" priority="4" stopIfTrue="1" operator="lessThan">
      <formula>AG145</formula>
    </cfRule>
  </conditionalFormatting>
  <conditionalFormatting sqref="AI146">
    <cfRule type="cellIs" dxfId="1128" priority="3" stopIfTrue="1" operator="lessThanOrEqual">
      <formula>AD145</formula>
    </cfRule>
  </conditionalFormatting>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tint="0.39997558519241921"/>
  </sheetPr>
  <dimension ref="A1:AB157"/>
  <sheetViews>
    <sheetView workbookViewId="0">
      <pane xSplit="2" ySplit="2" topLeftCell="H3" activePane="bottomRight" state="frozen"/>
      <selection activeCell="L92" sqref="L92:O92"/>
      <selection pane="topRight" activeCell="L92" sqref="L92:O92"/>
      <selection pane="bottomLeft" activeCell="L92" sqref="L92:O92"/>
      <selection pane="bottomRight" activeCell="L92" sqref="L92:O92"/>
    </sheetView>
  </sheetViews>
  <sheetFormatPr defaultColWidth="11.42578125" defaultRowHeight="15"/>
  <cols>
    <col min="1" max="1" width="20.85546875" style="39" customWidth="1"/>
    <col min="2" max="2" width="20.85546875" style="38" customWidth="1"/>
    <col min="3" max="3" width="10.85546875" style="54" customWidth="1"/>
    <col min="4" max="8" width="5.85546875" style="54" customWidth="1"/>
    <col min="9" max="9" width="10.85546875" style="54" customWidth="1"/>
    <col min="10" max="13" width="5.85546875" style="54" customWidth="1"/>
    <col min="14" max="14" width="10.85546875" style="54" customWidth="1"/>
    <col min="15" max="17" width="5.85546875" style="54" customWidth="1"/>
    <col min="18" max="18" width="10.85546875" style="54" customWidth="1"/>
    <col min="19" max="24" width="5.85546875" style="54" customWidth="1"/>
    <col min="25" max="25" width="10.85546875" style="54" customWidth="1"/>
    <col min="26" max="26" width="5.85546875" style="54" customWidth="1"/>
    <col min="27" max="28" width="10.85546875" style="38" customWidth="1"/>
    <col min="29" max="16384" width="11.42578125" style="38"/>
  </cols>
  <sheetData>
    <row r="1" spans="1:28">
      <c r="A1" s="57" t="s">
        <v>228</v>
      </c>
      <c r="B1" s="59" t="s">
        <v>192</v>
      </c>
      <c r="C1" s="459" t="s">
        <v>190</v>
      </c>
      <c r="D1" s="1357">
        <v>2010</v>
      </c>
      <c r="E1" s="1357"/>
      <c r="F1" s="1357"/>
      <c r="G1" s="1357"/>
      <c r="H1" s="1358">
        <v>2011</v>
      </c>
      <c r="I1" s="1358"/>
      <c r="J1" s="1358"/>
      <c r="K1" s="1358"/>
      <c r="L1" s="1353">
        <v>2012</v>
      </c>
      <c r="M1" s="1354"/>
      <c r="N1" s="1355"/>
      <c r="O1" s="1359">
        <v>2013</v>
      </c>
      <c r="P1" s="1360"/>
      <c r="Q1" s="1360"/>
      <c r="R1" s="1361"/>
      <c r="S1" s="1353">
        <v>2014</v>
      </c>
      <c r="T1" s="1354"/>
      <c r="U1" s="1354"/>
      <c r="V1" s="1355"/>
      <c r="W1" s="1351">
        <v>2015</v>
      </c>
      <c r="X1" s="1352"/>
      <c r="Y1" s="1352"/>
      <c r="Z1" s="1352"/>
    </row>
    <row r="2" spans="1:28" s="39" customFormat="1" ht="42.75">
      <c r="A2" s="58" t="s">
        <v>193</v>
      </c>
      <c r="B2" s="59" t="s">
        <v>191</v>
      </c>
      <c r="C2" s="418" t="s">
        <v>722</v>
      </c>
      <c r="D2" s="56" t="s">
        <v>141</v>
      </c>
      <c r="E2" s="56" t="s">
        <v>142</v>
      </c>
      <c r="F2" s="56" t="s">
        <v>143</v>
      </c>
      <c r="G2" s="56" t="s">
        <v>144</v>
      </c>
      <c r="H2" s="56" t="s">
        <v>141</v>
      </c>
      <c r="I2" s="418" t="s">
        <v>723</v>
      </c>
      <c r="J2" s="56" t="s">
        <v>143</v>
      </c>
      <c r="K2" s="56" t="s">
        <v>144</v>
      </c>
      <c r="L2" s="56" t="s">
        <v>141</v>
      </c>
      <c r="M2" s="56" t="s">
        <v>142</v>
      </c>
      <c r="N2" s="418" t="s">
        <v>724</v>
      </c>
      <c r="O2" s="56" t="s">
        <v>141</v>
      </c>
      <c r="P2" s="56" t="s">
        <v>142</v>
      </c>
      <c r="Q2" s="56" t="s">
        <v>143</v>
      </c>
      <c r="R2" s="418" t="s">
        <v>725</v>
      </c>
      <c r="S2" s="56" t="s">
        <v>141</v>
      </c>
      <c r="T2" s="56" t="s">
        <v>142</v>
      </c>
      <c r="U2" s="56" t="s">
        <v>143</v>
      </c>
      <c r="V2" s="56" t="s">
        <v>144</v>
      </c>
      <c r="W2" s="56" t="s">
        <v>141</v>
      </c>
      <c r="X2" s="56" t="s">
        <v>142</v>
      </c>
      <c r="Y2" s="418" t="s">
        <v>726</v>
      </c>
      <c r="Z2" s="56" t="s">
        <v>144</v>
      </c>
      <c r="AA2" s="419" t="s">
        <v>814</v>
      </c>
      <c r="AB2" s="419" t="s">
        <v>815</v>
      </c>
    </row>
    <row r="3" spans="1:28" s="39" customFormat="1">
      <c r="B3" s="38"/>
      <c r="C3" s="40"/>
      <c r="D3" s="40"/>
      <c r="E3" s="40"/>
      <c r="F3" s="40"/>
      <c r="G3" s="40"/>
      <c r="H3" s="40"/>
      <c r="I3" s="40"/>
      <c r="J3" s="40"/>
      <c r="K3" s="40"/>
      <c r="L3" s="40"/>
      <c r="M3" s="40"/>
      <c r="N3" s="40"/>
      <c r="O3" s="40"/>
      <c r="P3" s="40"/>
      <c r="Q3" s="40"/>
      <c r="R3" s="40"/>
      <c r="S3" s="40"/>
      <c r="T3" s="40"/>
      <c r="U3" s="40"/>
      <c r="V3" s="40"/>
      <c r="W3" s="40"/>
      <c r="X3" s="40"/>
      <c r="Y3" s="40"/>
      <c r="Z3" s="40"/>
    </row>
    <row r="4" spans="1:28" ht="15.75" thickBot="1">
      <c r="A4" s="41" t="s">
        <v>24</v>
      </c>
      <c r="B4" s="42" t="s">
        <v>139</v>
      </c>
      <c r="C4" s="43">
        <v>0</v>
      </c>
      <c r="D4" s="81">
        <v>0.3</v>
      </c>
      <c r="E4" s="81">
        <v>0.6</v>
      </c>
      <c r="F4" s="81">
        <v>0.89999999999999991</v>
      </c>
      <c r="G4" s="81">
        <v>1.2</v>
      </c>
      <c r="H4" s="81">
        <v>1.5</v>
      </c>
      <c r="I4" s="82">
        <v>1.8</v>
      </c>
      <c r="J4" s="81">
        <v>1.8</v>
      </c>
      <c r="K4" s="81">
        <v>1.8</v>
      </c>
      <c r="L4" s="44">
        <v>1.8</v>
      </c>
      <c r="M4" s="44">
        <v>1.8</v>
      </c>
      <c r="N4" s="43">
        <v>1.8</v>
      </c>
      <c r="O4" s="44">
        <v>1.85</v>
      </c>
      <c r="P4" s="44">
        <v>1.9000000000000001</v>
      </c>
      <c r="Q4" s="44">
        <v>1.9500000000000002</v>
      </c>
      <c r="R4" s="43">
        <v>2</v>
      </c>
      <c r="S4" s="44">
        <v>2.0499999999999998</v>
      </c>
      <c r="T4" s="44">
        <v>2.0999999999999996</v>
      </c>
      <c r="U4" s="44">
        <v>2.1499999999999995</v>
      </c>
      <c r="V4" s="44">
        <v>2.1999999999999993</v>
      </c>
      <c r="W4" s="44">
        <v>2.2499999999999991</v>
      </c>
      <c r="X4" s="44">
        <v>2.2999999999999989</v>
      </c>
      <c r="Y4" s="43">
        <v>2.2999999999999998</v>
      </c>
      <c r="Z4" s="44">
        <v>2.2999999999999998</v>
      </c>
      <c r="AA4" s="38">
        <v>5</v>
      </c>
      <c r="AB4" s="420">
        <v>0.16</v>
      </c>
    </row>
    <row r="5" spans="1:28" s="49" customFormat="1" ht="15.75" thickBot="1">
      <c r="A5" s="45"/>
      <c r="B5" s="46" t="s">
        <v>140</v>
      </c>
      <c r="C5" s="79">
        <v>0</v>
      </c>
      <c r="D5" s="84">
        <v>0</v>
      </c>
      <c r="E5" s="85">
        <v>0</v>
      </c>
      <c r="F5" s="85">
        <v>0</v>
      </c>
      <c r="G5" s="85">
        <v>0</v>
      </c>
      <c r="H5" s="85">
        <v>0</v>
      </c>
      <c r="I5" s="85">
        <v>0</v>
      </c>
      <c r="J5" s="85">
        <v>0</v>
      </c>
      <c r="K5" s="85">
        <v>0</v>
      </c>
      <c r="L5" s="85">
        <v>0</v>
      </c>
      <c r="M5" s="85">
        <v>0</v>
      </c>
      <c r="N5" s="85">
        <v>1.8</v>
      </c>
      <c r="O5" s="85">
        <v>1.8</v>
      </c>
      <c r="P5" s="85">
        <v>1.9</v>
      </c>
      <c r="Q5" s="85">
        <v>2.2000000000000002</v>
      </c>
      <c r="R5" s="85">
        <v>2.2000000000000002</v>
      </c>
      <c r="S5" s="85">
        <v>2.2000000000000002</v>
      </c>
      <c r="T5" s="85">
        <v>2.7</v>
      </c>
      <c r="U5" s="85">
        <v>2.7</v>
      </c>
      <c r="V5" s="86">
        <v>2.7</v>
      </c>
      <c r="W5" s="80">
        <v>2.7</v>
      </c>
      <c r="X5" s="69">
        <v>2.6</v>
      </c>
      <c r="Y5" s="69">
        <v>0</v>
      </c>
      <c r="Z5" s="69">
        <v>0</v>
      </c>
      <c r="AB5" s="421"/>
    </row>
    <row r="6" spans="1:28" s="49" customFormat="1">
      <c r="A6" s="45"/>
      <c r="B6" s="46"/>
      <c r="C6" s="48"/>
      <c r="D6" s="422"/>
      <c r="E6" s="422"/>
      <c r="F6" s="422"/>
      <c r="G6" s="83"/>
      <c r="H6" s="83"/>
      <c r="I6" s="83"/>
      <c r="J6" s="83"/>
      <c r="K6" s="83"/>
      <c r="L6" s="48"/>
      <c r="M6" s="48"/>
      <c r="N6" s="48"/>
      <c r="O6" s="48"/>
      <c r="P6" s="48"/>
      <c r="Q6" s="48"/>
      <c r="R6" s="48"/>
      <c r="S6" s="48"/>
      <c r="T6" s="48"/>
      <c r="U6" s="48"/>
      <c r="V6" s="48"/>
      <c r="W6" s="48"/>
      <c r="X6" s="48"/>
      <c r="Y6" s="48"/>
      <c r="Z6" s="48"/>
      <c r="AB6" s="421"/>
    </row>
    <row r="7" spans="1:28" ht="15.75" thickBot="1">
      <c r="A7" s="41" t="s">
        <v>25</v>
      </c>
      <c r="B7" s="42" t="s">
        <v>139</v>
      </c>
      <c r="C7" s="43" t="s">
        <v>255</v>
      </c>
      <c r="D7" s="81" t="e">
        <v>#VALUE!</v>
      </c>
      <c r="E7" s="81" t="e">
        <v>#VALUE!</v>
      </c>
      <c r="F7" s="81" t="e">
        <v>#VALUE!</v>
      </c>
      <c r="G7" s="81" t="e">
        <v>#VALUE!</v>
      </c>
      <c r="H7" s="81" t="e">
        <v>#VALUE!</v>
      </c>
      <c r="I7" s="82">
        <v>1</v>
      </c>
      <c r="J7" s="81">
        <v>1</v>
      </c>
      <c r="K7" s="81">
        <v>1</v>
      </c>
      <c r="L7" s="44">
        <v>1</v>
      </c>
      <c r="M7" s="44">
        <v>1</v>
      </c>
      <c r="N7" s="43">
        <v>1</v>
      </c>
      <c r="O7" s="44">
        <v>1.075</v>
      </c>
      <c r="P7" s="44">
        <v>1.1499999999999999</v>
      </c>
      <c r="Q7" s="44">
        <v>1.2249999999999999</v>
      </c>
      <c r="R7" s="43">
        <v>1.3</v>
      </c>
      <c r="S7" s="44">
        <v>1.35</v>
      </c>
      <c r="T7" s="44">
        <v>1.4000000000000001</v>
      </c>
      <c r="U7" s="44">
        <v>1.4500000000000002</v>
      </c>
      <c r="V7" s="44">
        <v>1.5000000000000002</v>
      </c>
      <c r="W7" s="44">
        <v>1.8833333333333335</v>
      </c>
      <c r="X7" s="44">
        <v>2</v>
      </c>
      <c r="Y7" s="43">
        <v>2</v>
      </c>
      <c r="Z7" s="44">
        <v>2</v>
      </c>
      <c r="AA7" s="38">
        <v>5</v>
      </c>
      <c r="AB7" s="420">
        <v>0.16</v>
      </c>
    </row>
    <row r="8" spans="1:28" s="49" customFormat="1" ht="15.75" thickBot="1">
      <c r="A8" s="45"/>
      <c r="B8" s="46" t="s">
        <v>140</v>
      </c>
      <c r="C8" s="79" t="s">
        <v>255</v>
      </c>
      <c r="D8" s="84">
        <v>0</v>
      </c>
      <c r="E8" s="85">
        <v>0</v>
      </c>
      <c r="F8" s="85">
        <v>0</v>
      </c>
      <c r="G8" s="85">
        <v>0</v>
      </c>
      <c r="H8" s="85">
        <v>0</v>
      </c>
      <c r="I8" s="85">
        <v>0</v>
      </c>
      <c r="J8" s="85">
        <v>0</v>
      </c>
      <c r="K8" s="85">
        <v>0</v>
      </c>
      <c r="L8" s="85">
        <v>0</v>
      </c>
      <c r="M8" s="85">
        <v>0</v>
      </c>
      <c r="N8" s="423">
        <v>1</v>
      </c>
      <c r="O8" s="424">
        <v>1</v>
      </c>
      <c r="P8" s="424">
        <v>1</v>
      </c>
      <c r="Q8" s="424">
        <v>1.2</v>
      </c>
      <c r="R8" s="85">
        <v>1.2</v>
      </c>
      <c r="S8" s="85">
        <v>1.2</v>
      </c>
      <c r="T8" s="85">
        <v>1.2</v>
      </c>
      <c r="U8" s="85">
        <v>1.2</v>
      </c>
      <c r="V8" s="86">
        <v>2.7</v>
      </c>
      <c r="W8" s="80">
        <v>2.7</v>
      </c>
      <c r="X8" s="69">
        <v>3.1</v>
      </c>
      <c r="Y8" s="69">
        <v>0</v>
      </c>
      <c r="Z8" s="69">
        <v>0</v>
      </c>
      <c r="AB8" s="421"/>
    </row>
    <row r="9" spans="1:28" s="49" customFormat="1">
      <c r="A9" s="45"/>
      <c r="B9" s="46"/>
      <c r="C9" s="48"/>
      <c r="D9" s="83"/>
      <c r="E9" s="83"/>
      <c r="F9" s="83"/>
      <c r="G9" s="83"/>
      <c r="H9" s="83"/>
      <c r="I9" s="83"/>
      <c r="J9" s="83"/>
      <c r="K9" s="83"/>
      <c r="L9" s="48"/>
      <c r="M9" s="48"/>
      <c r="N9" s="48"/>
      <c r="O9" s="48"/>
      <c r="P9" s="48"/>
      <c r="Q9" s="48"/>
      <c r="R9" s="48"/>
      <c r="S9" s="48"/>
      <c r="T9" s="48"/>
      <c r="U9" s="48"/>
      <c r="V9" s="48"/>
      <c r="W9" s="48"/>
      <c r="X9" s="48"/>
      <c r="Y9" s="48"/>
      <c r="Z9" s="48"/>
      <c r="AB9" s="421"/>
    </row>
    <row r="10" spans="1:28" ht="15.75" thickBot="1">
      <c r="A10" s="41" t="s">
        <v>186</v>
      </c>
      <c r="B10" s="42" t="s">
        <v>214</v>
      </c>
      <c r="C10" s="50" t="s">
        <v>255</v>
      </c>
      <c r="D10" s="73" t="e">
        <v>#VALUE!</v>
      </c>
      <c r="E10" s="73" t="e">
        <v>#VALUE!</v>
      </c>
      <c r="F10" s="73" t="e">
        <v>#VALUE!</v>
      </c>
      <c r="G10" s="73" t="e">
        <v>#VALUE!</v>
      </c>
      <c r="H10" s="73" t="e">
        <v>#VALUE!</v>
      </c>
      <c r="I10" s="74">
        <v>0</v>
      </c>
      <c r="J10" s="73">
        <v>0.16666666666666666</v>
      </c>
      <c r="K10" s="73">
        <v>0.33333333333333331</v>
      </c>
      <c r="L10" s="51">
        <v>0.5</v>
      </c>
      <c r="M10" s="51">
        <v>0.66666666666666663</v>
      </c>
      <c r="N10" s="50">
        <v>1</v>
      </c>
      <c r="O10" s="51">
        <v>1.25</v>
      </c>
      <c r="P10" s="51">
        <v>1.5</v>
      </c>
      <c r="Q10" s="51">
        <v>1.75</v>
      </c>
      <c r="R10" s="50">
        <v>2</v>
      </c>
      <c r="S10" s="51">
        <v>2.3333333333333335</v>
      </c>
      <c r="T10" s="51">
        <v>2.666666666666667</v>
      </c>
      <c r="U10" s="51">
        <v>3.0000000000000004</v>
      </c>
      <c r="V10" s="51">
        <v>3.3333333333333339</v>
      </c>
      <c r="W10" s="51">
        <v>2</v>
      </c>
      <c r="X10" s="51">
        <v>2</v>
      </c>
      <c r="Y10" s="50">
        <v>2</v>
      </c>
      <c r="Z10" s="51">
        <v>2</v>
      </c>
      <c r="AA10" s="38">
        <v>15</v>
      </c>
      <c r="AB10" s="420">
        <v>0.6</v>
      </c>
    </row>
    <row r="11" spans="1:28" s="49" customFormat="1" ht="15.75" thickBot="1">
      <c r="A11" s="45"/>
      <c r="B11" s="46" t="s">
        <v>215</v>
      </c>
      <c r="C11" s="71" t="s">
        <v>255</v>
      </c>
      <c r="D11" s="76">
        <v>0</v>
      </c>
      <c r="E11" s="77">
        <v>0</v>
      </c>
      <c r="F11" s="77">
        <v>0</v>
      </c>
      <c r="G11" s="77">
        <v>0</v>
      </c>
      <c r="H11" s="77">
        <v>0</v>
      </c>
      <c r="I11" s="77">
        <v>0</v>
      </c>
      <c r="J11" s="77">
        <v>0</v>
      </c>
      <c r="K11" s="77">
        <v>0</v>
      </c>
      <c r="L11" s="77">
        <v>0</v>
      </c>
      <c r="M11" s="77">
        <v>0</v>
      </c>
      <c r="N11" s="425">
        <v>0</v>
      </c>
      <c r="O11" s="426">
        <v>0</v>
      </c>
      <c r="P11" s="426">
        <v>0</v>
      </c>
      <c r="Q11" s="426">
        <v>0</v>
      </c>
      <c r="R11" s="77">
        <v>0</v>
      </c>
      <c r="S11" s="77">
        <v>1</v>
      </c>
      <c r="T11" s="77">
        <v>1</v>
      </c>
      <c r="U11" s="77">
        <v>1</v>
      </c>
      <c r="V11" s="78">
        <v>1</v>
      </c>
      <c r="W11" s="72">
        <v>1</v>
      </c>
      <c r="X11" s="70">
        <v>1</v>
      </c>
      <c r="Y11" s="70">
        <v>0</v>
      </c>
      <c r="Z11" s="70">
        <v>0</v>
      </c>
      <c r="AA11" s="38"/>
      <c r="AB11" s="420"/>
    </row>
    <row r="12" spans="1:28" s="49" customFormat="1">
      <c r="A12" s="45"/>
      <c r="B12" s="46"/>
      <c r="C12" s="53"/>
      <c r="D12" s="75"/>
      <c r="E12" s="75"/>
      <c r="F12" s="75"/>
      <c r="G12" s="75"/>
      <c r="H12" s="75"/>
      <c r="I12" s="75"/>
      <c r="J12" s="75"/>
      <c r="K12" s="75"/>
      <c r="L12" s="53"/>
      <c r="M12" s="53"/>
      <c r="N12" s="53"/>
      <c r="O12" s="53"/>
      <c r="P12" s="53"/>
      <c r="Q12" s="53"/>
      <c r="R12" s="53"/>
      <c r="S12" s="53"/>
      <c r="T12" s="53"/>
      <c r="U12" s="53"/>
      <c r="V12" s="53"/>
      <c r="W12" s="53"/>
      <c r="X12" s="53"/>
      <c r="Y12" s="53"/>
      <c r="Z12" s="53"/>
      <c r="AB12" s="421"/>
    </row>
    <row r="13" spans="1:28" ht="15.75" thickBot="1">
      <c r="A13" s="41" t="s">
        <v>187</v>
      </c>
      <c r="B13" s="42" t="s">
        <v>216</v>
      </c>
      <c r="C13" s="50">
        <v>0</v>
      </c>
      <c r="D13" s="73">
        <v>0</v>
      </c>
      <c r="E13" s="73">
        <v>0</v>
      </c>
      <c r="F13" s="73">
        <v>0</v>
      </c>
      <c r="G13" s="73">
        <v>0</v>
      </c>
      <c r="H13" s="73">
        <v>0</v>
      </c>
      <c r="I13" s="74">
        <v>0</v>
      </c>
      <c r="J13" s="73">
        <v>0.16666666666666666</v>
      </c>
      <c r="K13" s="73">
        <v>0.33333333333333331</v>
      </c>
      <c r="L13" s="51">
        <v>0.5</v>
      </c>
      <c r="M13" s="51">
        <v>0.66666666666666663</v>
      </c>
      <c r="N13" s="50">
        <v>1</v>
      </c>
      <c r="O13" s="51">
        <v>1.25</v>
      </c>
      <c r="P13" s="51">
        <v>1.5</v>
      </c>
      <c r="Q13" s="51">
        <v>1.75</v>
      </c>
      <c r="R13" s="50">
        <v>2</v>
      </c>
      <c r="S13" s="51">
        <v>2.3333333333333335</v>
      </c>
      <c r="T13" s="51">
        <v>2.666666666666667</v>
      </c>
      <c r="U13" s="51">
        <v>3.0000000000000004</v>
      </c>
      <c r="V13" s="51">
        <v>3.3333333333333339</v>
      </c>
      <c r="W13" s="51">
        <v>2</v>
      </c>
      <c r="X13" s="51">
        <v>2</v>
      </c>
      <c r="Y13" s="50">
        <v>2</v>
      </c>
      <c r="Z13" s="51">
        <v>2</v>
      </c>
      <c r="AA13" s="38">
        <v>15</v>
      </c>
      <c r="AB13" s="420">
        <v>0.6</v>
      </c>
    </row>
    <row r="14" spans="1:28" s="49" customFormat="1" ht="15.75" thickBot="1">
      <c r="A14" s="45"/>
      <c r="B14" s="46" t="s">
        <v>217</v>
      </c>
      <c r="C14" s="71">
        <v>0</v>
      </c>
      <c r="D14" s="76">
        <v>0</v>
      </c>
      <c r="E14" s="77">
        <v>0</v>
      </c>
      <c r="F14" s="77">
        <v>0</v>
      </c>
      <c r="G14" s="77">
        <v>0</v>
      </c>
      <c r="H14" s="77">
        <v>0</v>
      </c>
      <c r="I14" s="77">
        <v>0</v>
      </c>
      <c r="J14" s="77">
        <v>0</v>
      </c>
      <c r="K14" s="77">
        <v>0</v>
      </c>
      <c r="L14" s="77">
        <v>0</v>
      </c>
      <c r="M14" s="77">
        <v>0</v>
      </c>
      <c r="N14" s="425">
        <v>1</v>
      </c>
      <c r="O14" s="426">
        <v>1</v>
      </c>
      <c r="P14" s="426">
        <v>1</v>
      </c>
      <c r="Q14" s="426">
        <v>1</v>
      </c>
      <c r="R14" s="77">
        <v>1</v>
      </c>
      <c r="S14" s="77">
        <v>1</v>
      </c>
      <c r="T14" s="77">
        <v>1</v>
      </c>
      <c r="U14" s="77">
        <v>1</v>
      </c>
      <c r="V14" s="78">
        <v>1</v>
      </c>
      <c r="W14" s="72">
        <v>1</v>
      </c>
      <c r="X14" s="70">
        <v>1</v>
      </c>
      <c r="Y14" s="70">
        <v>0</v>
      </c>
      <c r="Z14" s="70">
        <v>0</v>
      </c>
      <c r="AB14" s="421"/>
    </row>
    <row r="15" spans="1:28" s="49" customFormat="1">
      <c r="A15" s="45"/>
      <c r="B15" s="46"/>
      <c r="C15" s="53"/>
      <c r="D15" s="427"/>
      <c r="E15" s="427"/>
      <c r="F15" s="427"/>
      <c r="G15" s="75"/>
      <c r="H15" s="75"/>
      <c r="I15" s="75"/>
      <c r="J15" s="75"/>
      <c r="K15" s="75"/>
      <c r="L15" s="53"/>
      <c r="M15" s="53"/>
      <c r="N15" s="53"/>
      <c r="O15" s="53"/>
      <c r="P15" s="53"/>
      <c r="Q15" s="53"/>
      <c r="R15" s="53"/>
      <c r="S15" s="53"/>
      <c r="T15" s="53"/>
      <c r="U15" s="53"/>
      <c r="V15" s="53"/>
      <c r="W15" s="53"/>
      <c r="X15" s="53"/>
      <c r="Y15" s="53"/>
      <c r="Z15" s="53"/>
      <c r="AB15" s="421"/>
    </row>
    <row r="16" spans="1:28" ht="15.75" thickBot="1">
      <c r="A16" s="41" t="s">
        <v>188</v>
      </c>
      <c r="B16" s="42" t="s">
        <v>218</v>
      </c>
      <c r="C16" s="50">
        <v>0</v>
      </c>
      <c r="D16" s="73">
        <v>0</v>
      </c>
      <c r="E16" s="73">
        <v>0</v>
      </c>
      <c r="F16" s="73">
        <v>0</v>
      </c>
      <c r="G16" s="73">
        <v>0</v>
      </c>
      <c r="H16" s="73">
        <v>0</v>
      </c>
      <c r="I16" s="74">
        <v>0</v>
      </c>
      <c r="J16" s="73">
        <v>0.16666666666666666</v>
      </c>
      <c r="K16" s="73">
        <v>0.33333333333333331</v>
      </c>
      <c r="L16" s="51">
        <v>0.5</v>
      </c>
      <c r="M16" s="51">
        <v>0.66666666666666663</v>
      </c>
      <c r="N16" s="50">
        <v>1</v>
      </c>
      <c r="O16" s="51">
        <v>1.25</v>
      </c>
      <c r="P16" s="51">
        <v>1.5</v>
      </c>
      <c r="Q16" s="51">
        <v>1.75</v>
      </c>
      <c r="R16" s="50">
        <v>2</v>
      </c>
      <c r="S16" s="51">
        <v>2.3333333333333335</v>
      </c>
      <c r="T16" s="51">
        <v>2.666666666666667</v>
      </c>
      <c r="U16" s="51">
        <v>3.0000000000000004</v>
      </c>
      <c r="V16" s="51">
        <v>3.3333333333333339</v>
      </c>
      <c r="W16" s="51">
        <v>2</v>
      </c>
      <c r="X16" s="51">
        <v>2</v>
      </c>
      <c r="Y16" s="50">
        <v>2</v>
      </c>
      <c r="Z16" s="51">
        <v>2</v>
      </c>
      <c r="AA16" s="38">
        <v>15</v>
      </c>
      <c r="AB16" s="420">
        <v>0.6</v>
      </c>
    </row>
    <row r="17" spans="1:28" s="49" customFormat="1" ht="15.75" thickBot="1">
      <c r="A17" s="45"/>
      <c r="B17" s="46" t="s">
        <v>219</v>
      </c>
      <c r="C17" s="71">
        <v>0</v>
      </c>
      <c r="D17" s="76">
        <v>0</v>
      </c>
      <c r="E17" s="77">
        <v>0</v>
      </c>
      <c r="F17" s="77">
        <v>0</v>
      </c>
      <c r="G17" s="77">
        <v>0</v>
      </c>
      <c r="H17" s="77">
        <v>0</v>
      </c>
      <c r="I17" s="77">
        <v>0</v>
      </c>
      <c r="J17" s="77">
        <v>0</v>
      </c>
      <c r="K17" s="77">
        <v>0</v>
      </c>
      <c r="L17" s="77">
        <v>0</v>
      </c>
      <c r="M17" s="77">
        <v>0</v>
      </c>
      <c r="N17" s="425">
        <v>1</v>
      </c>
      <c r="O17" s="426">
        <v>1</v>
      </c>
      <c r="P17" s="426">
        <v>1</v>
      </c>
      <c r="Q17" s="426">
        <v>1</v>
      </c>
      <c r="R17" s="77">
        <v>1</v>
      </c>
      <c r="S17" s="77">
        <v>1</v>
      </c>
      <c r="T17" s="77">
        <v>1</v>
      </c>
      <c r="U17" s="77">
        <v>1</v>
      </c>
      <c r="V17" s="78">
        <v>12</v>
      </c>
      <c r="W17" s="72">
        <v>12</v>
      </c>
      <c r="X17" s="70">
        <v>12</v>
      </c>
      <c r="Y17" s="70">
        <v>0</v>
      </c>
      <c r="Z17" s="70">
        <v>0</v>
      </c>
      <c r="AB17" s="421"/>
    </row>
    <row r="18" spans="1:28" s="49" customFormat="1">
      <c r="A18" s="45"/>
      <c r="B18" s="46"/>
      <c r="C18" s="53"/>
      <c r="D18" s="427"/>
      <c r="E18" s="427"/>
      <c r="F18" s="427"/>
      <c r="G18" s="75"/>
      <c r="H18" s="75"/>
      <c r="I18" s="75"/>
      <c r="J18" s="75"/>
      <c r="K18" s="75"/>
      <c r="L18" s="53"/>
      <c r="M18" s="53"/>
      <c r="N18" s="53"/>
      <c r="O18" s="53"/>
      <c r="P18" s="53"/>
      <c r="Q18" s="53"/>
      <c r="R18" s="53"/>
      <c r="S18" s="53"/>
      <c r="T18" s="53"/>
      <c r="U18" s="53"/>
      <c r="V18" s="53"/>
      <c r="W18" s="53"/>
      <c r="X18" s="53"/>
      <c r="Y18" s="53"/>
      <c r="Z18" s="53"/>
      <c r="AB18" s="421"/>
    </row>
    <row r="19" spans="1:28" ht="15.75" thickBot="1">
      <c r="A19" s="41" t="s">
        <v>189</v>
      </c>
      <c r="B19" s="42" t="s">
        <v>221</v>
      </c>
      <c r="C19" s="50">
        <v>0</v>
      </c>
      <c r="D19" s="73">
        <v>2</v>
      </c>
      <c r="E19" s="73">
        <v>4</v>
      </c>
      <c r="F19" s="73">
        <v>6</v>
      </c>
      <c r="G19" s="73">
        <v>8</v>
      </c>
      <c r="H19" s="73">
        <v>10</v>
      </c>
      <c r="I19" s="74">
        <v>12</v>
      </c>
      <c r="J19" s="73">
        <v>12</v>
      </c>
      <c r="K19" s="73">
        <v>12</v>
      </c>
      <c r="L19" s="51">
        <v>12</v>
      </c>
      <c r="M19" s="51">
        <v>12</v>
      </c>
      <c r="N19" s="50">
        <v>12</v>
      </c>
      <c r="O19" s="51">
        <v>12.25</v>
      </c>
      <c r="P19" s="51">
        <v>12.5</v>
      </c>
      <c r="Q19" s="51">
        <v>12.75</v>
      </c>
      <c r="R19" s="50">
        <v>13</v>
      </c>
      <c r="S19" s="51">
        <v>13.166666666666666</v>
      </c>
      <c r="T19" s="51">
        <v>13.333333333333332</v>
      </c>
      <c r="U19" s="51">
        <v>13.499999999999998</v>
      </c>
      <c r="V19" s="51">
        <v>13.666666666666664</v>
      </c>
      <c r="W19" s="51">
        <v>13.83333333333333</v>
      </c>
      <c r="X19" s="51">
        <v>13.999999999999996</v>
      </c>
      <c r="Y19" s="50">
        <v>14</v>
      </c>
      <c r="Z19" s="51">
        <v>14</v>
      </c>
      <c r="AA19" s="38">
        <v>15</v>
      </c>
      <c r="AB19" s="420">
        <v>0.6</v>
      </c>
    </row>
    <row r="20" spans="1:28" s="49" customFormat="1" ht="15.75" thickBot="1">
      <c r="A20" s="45"/>
      <c r="B20" s="46" t="s">
        <v>220</v>
      </c>
      <c r="C20" s="71">
        <v>0</v>
      </c>
      <c r="D20" s="76">
        <v>0</v>
      </c>
      <c r="E20" s="77">
        <v>0</v>
      </c>
      <c r="F20" s="77">
        <v>0</v>
      </c>
      <c r="G20" s="77">
        <v>0</v>
      </c>
      <c r="H20" s="77">
        <v>0</v>
      </c>
      <c r="I20" s="77">
        <v>0</v>
      </c>
      <c r="J20" s="77">
        <v>0</v>
      </c>
      <c r="K20" s="77">
        <v>0</v>
      </c>
      <c r="L20" s="77">
        <v>0</v>
      </c>
      <c r="M20" s="77">
        <v>0</v>
      </c>
      <c r="N20" s="425">
        <v>12</v>
      </c>
      <c r="O20" s="426">
        <v>12</v>
      </c>
      <c r="P20" s="426">
        <v>12</v>
      </c>
      <c r="Q20" s="426">
        <v>13</v>
      </c>
      <c r="R20" s="77">
        <v>14</v>
      </c>
      <c r="S20" s="77">
        <v>14</v>
      </c>
      <c r="T20" s="77">
        <v>14</v>
      </c>
      <c r="U20" s="77">
        <v>14</v>
      </c>
      <c r="V20" s="78">
        <v>14</v>
      </c>
      <c r="W20" s="72">
        <v>14</v>
      </c>
      <c r="X20" s="70">
        <v>14</v>
      </c>
      <c r="Y20" s="70">
        <v>0</v>
      </c>
      <c r="Z20" s="70">
        <v>0</v>
      </c>
      <c r="AB20" s="421"/>
    </row>
    <row r="21" spans="1:28" s="49" customFormat="1">
      <c r="A21" s="45"/>
      <c r="B21" s="46"/>
      <c r="C21" s="48"/>
      <c r="D21" s="422"/>
      <c r="E21" s="422"/>
      <c r="F21" s="422"/>
      <c r="G21" s="83"/>
      <c r="H21" s="83"/>
      <c r="I21" s="83"/>
      <c r="J21" s="83"/>
      <c r="K21" s="83"/>
      <c r="L21" s="48"/>
      <c r="M21" s="48"/>
      <c r="N21" s="48"/>
      <c r="O21" s="48"/>
      <c r="P21" s="48"/>
      <c r="Q21" s="48"/>
      <c r="R21" s="48"/>
      <c r="S21" s="48"/>
      <c r="T21" s="48"/>
      <c r="U21" s="48"/>
      <c r="V21" s="48"/>
      <c r="W21" s="48"/>
      <c r="X21" s="48"/>
      <c r="Y21" s="48"/>
      <c r="Z21" s="48"/>
      <c r="AB21" s="421"/>
    </row>
    <row r="22" spans="1:28" ht="15.75" thickBot="1">
      <c r="A22" s="41" t="s">
        <v>22</v>
      </c>
      <c r="B22" s="42" t="s">
        <v>139</v>
      </c>
      <c r="C22" s="43" t="s">
        <v>255</v>
      </c>
      <c r="D22" s="81" t="e">
        <v>#VALUE!</v>
      </c>
      <c r="E22" s="81" t="e">
        <v>#VALUE!</v>
      </c>
      <c r="F22" s="81" t="e">
        <v>#VALUE!</v>
      </c>
      <c r="G22" s="81" t="e">
        <v>#VALUE!</v>
      </c>
      <c r="H22" s="81" t="e">
        <v>#VALUE!</v>
      </c>
      <c r="I22" s="82">
        <v>1.5</v>
      </c>
      <c r="J22" s="81">
        <v>1.5</v>
      </c>
      <c r="K22" s="81">
        <v>1.5</v>
      </c>
      <c r="L22" s="44">
        <v>1.5</v>
      </c>
      <c r="M22" s="44">
        <v>1.5</v>
      </c>
      <c r="N22" s="43">
        <v>1.5</v>
      </c>
      <c r="O22" s="44">
        <v>1.55</v>
      </c>
      <c r="P22" s="44">
        <v>1.6</v>
      </c>
      <c r="Q22" s="44">
        <v>1.6500000000000001</v>
      </c>
      <c r="R22" s="43">
        <v>1.7</v>
      </c>
      <c r="S22" s="44">
        <v>1.7833333333333332</v>
      </c>
      <c r="T22" s="44">
        <v>1.8666666666666667</v>
      </c>
      <c r="U22" s="44">
        <v>1.9500000000000002</v>
      </c>
      <c r="V22" s="44">
        <v>2.0333333333333337</v>
      </c>
      <c r="W22" s="44">
        <v>2.1166666666666671</v>
      </c>
      <c r="X22" s="44">
        <v>2.2000000000000006</v>
      </c>
      <c r="Y22" s="43">
        <v>2.2000000000000002</v>
      </c>
      <c r="Z22" s="44">
        <v>2.2000000000000002</v>
      </c>
      <c r="AA22" s="38">
        <v>5</v>
      </c>
      <c r="AB22" s="420">
        <v>0.16</v>
      </c>
    </row>
    <row r="23" spans="1:28" s="49" customFormat="1" ht="15.75" thickBot="1">
      <c r="A23" s="45"/>
      <c r="B23" s="46" t="s">
        <v>140</v>
      </c>
      <c r="C23" s="79" t="s">
        <v>255</v>
      </c>
      <c r="D23" s="84">
        <v>0</v>
      </c>
      <c r="E23" s="85">
        <v>0</v>
      </c>
      <c r="F23" s="85">
        <v>0</v>
      </c>
      <c r="G23" s="85">
        <v>0</v>
      </c>
      <c r="H23" s="85">
        <v>0</v>
      </c>
      <c r="I23" s="85">
        <v>0</v>
      </c>
      <c r="J23" s="85">
        <v>0</v>
      </c>
      <c r="K23" s="85">
        <v>0</v>
      </c>
      <c r="L23" s="85">
        <v>0</v>
      </c>
      <c r="M23" s="85">
        <v>0</v>
      </c>
      <c r="N23" s="423">
        <v>1.5</v>
      </c>
      <c r="O23" s="424">
        <v>1.5</v>
      </c>
      <c r="P23" s="424">
        <v>1.7</v>
      </c>
      <c r="Q23" s="424">
        <v>2.2000000000000002</v>
      </c>
      <c r="R23" s="85">
        <v>2.2000000000000002</v>
      </c>
      <c r="S23" s="85">
        <v>2.2000000000000002</v>
      </c>
      <c r="T23" s="85">
        <v>3.3</v>
      </c>
      <c r="U23" s="85">
        <v>3.3</v>
      </c>
      <c r="V23" s="86">
        <v>3.3</v>
      </c>
      <c r="W23" s="80">
        <v>3.3</v>
      </c>
      <c r="X23" s="69">
        <v>2.2000000000000002</v>
      </c>
      <c r="Y23" s="69">
        <v>0</v>
      </c>
      <c r="Z23" s="69">
        <v>0</v>
      </c>
      <c r="AB23" s="421"/>
    </row>
    <row r="24" spans="1:28" s="49" customFormat="1">
      <c r="A24" s="45"/>
      <c r="B24" s="46"/>
      <c r="C24" s="48"/>
      <c r="D24" s="422"/>
      <c r="E24" s="422"/>
      <c r="F24" s="422"/>
      <c r="G24" s="83"/>
      <c r="H24" s="83"/>
      <c r="I24" s="83"/>
      <c r="J24" s="83"/>
      <c r="K24" s="83"/>
      <c r="L24" s="48"/>
      <c r="M24" s="48"/>
      <c r="N24" s="48"/>
      <c r="O24" s="48"/>
      <c r="P24" s="48"/>
      <c r="Q24" s="48"/>
      <c r="R24" s="48"/>
      <c r="S24" s="48"/>
      <c r="T24" s="48"/>
      <c r="U24" s="48"/>
      <c r="V24" s="48"/>
      <c r="W24" s="48"/>
      <c r="X24" s="48"/>
      <c r="Y24" s="48"/>
      <c r="Z24" s="48"/>
      <c r="AB24" s="421"/>
    </row>
    <row r="25" spans="1:28" ht="15.75" thickBot="1">
      <c r="A25" s="41" t="s">
        <v>23</v>
      </c>
      <c r="B25" s="42" t="s">
        <v>139</v>
      </c>
      <c r="C25" s="43" t="s">
        <v>255</v>
      </c>
      <c r="D25" s="81" t="e">
        <v>#VALUE!</v>
      </c>
      <c r="E25" s="81" t="e">
        <v>#VALUE!</v>
      </c>
      <c r="F25" s="81" t="e">
        <v>#VALUE!</v>
      </c>
      <c r="G25" s="81" t="e">
        <v>#VALUE!</v>
      </c>
      <c r="H25" s="81" t="e">
        <v>#VALUE!</v>
      </c>
      <c r="I25" s="82">
        <v>1.6</v>
      </c>
      <c r="J25" s="81">
        <v>1.6</v>
      </c>
      <c r="K25" s="81">
        <v>1.6</v>
      </c>
      <c r="L25" s="44">
        <v>1.6</v>
      </c>
      <c r="M25" s="44">
        <v>1.6</v>
      </c>
      <c r="N25" s="43">
        <v>1.6</v>
      </c>
      <c r="O25" s="44">
        <v>1.675</v>
      </c>
      <c r="P25" s="44">
        <v>1.75</v>
      </c>
      <c r="Q25" s="44">
        <v>1.825</v>
      </c>
      <c r="R25" s="43">
        <v>1.9</v>
      </c>
      <c r="S25" s="44">
        <v>1.9666666666666666</v>
      </c>
      <c r="T25" s="44">
        <v>2.0333333333333332</v>
      </c>
      <c r="U25" s="44">
        <v>2.0999999999999996</v>
      </c>
      <c r="V25" s="44">
        <v>2.1666666666666661</v>
      </c>
      <c r="W25" s="44">
        <v>2.2333333333333325</v>
      </c>
      <c r="X25" s="44">
        <v>2.2999999999999989</v>
      </c>
      <c r="Y25" s="43">
        <v>2.2999999999999998</v>
      </c>
      <c r="Z25" s="44">
        <v>2.2999999999999998</v>
      </c>
      <c r="AA25" s="38">
        <v>5</v>
      </c>
      <c r="AB25" s="420">
        <v>0.16</v>
      </c>
    </row>
    <row r="26" spans="1:28" s="49" customFormat="1" ht="15.75" thickBot="1">
      <c r="A26" s="45"/>
      <c r="B26" s="46" t="s">
        <v>140</v>
      </c>
      <c r="C26" s="79" t="s">
        <v>255</v>
      </c>
      <c r="D26" s="84">
        <v>0</v>
      </c>
      <c r="E26" s="85">
        <v>0</v>
      </c>
      <c r="F26" s="85">
        <v>0</v>
      </c>
      <c r="G26" s="85">
        <v>0</v>
      </c>
      <c r="H26" s="85">
        <v>0</v>
      </c>
      <c r="I26" s="85">
        <v>0</v>
      </c>
      <c r="J26" s="85">
        <v>0</v>
      </c>
      <c r="K26" s="85">
        <v>0</v>
      </c>
      <c r="L26" s="85">
        <v>0</v>
      </c>
      <c r="M26" s="85">
        <v>0</v>
      </c>
      <c r="N26" s="423">
        <v>1.6</v>
      </c>
      <c r="O26" s="424">
        <v>1.6</v>
      </c>
      <c r="P26" s="424">
        <v>1.7</v>
      </c>
      <c r="Q26" s="424">
        <v>2</v>
      </c>
      <c r="R26" s="85">
        <v>1.9</v>
      </c>
      <c r="S26" s="85">
        <v>1.9</v>
      </c>
      <c r="T26" s="85">
        <v>3</v>
      </c>
      <c r="U26" s="85">
        <v>3</v>
      </c>
      <c r="V26" s="86">
        <v>3</v>
      </c>
      <c r="W26" s="80">
        <v>3</v>
      </c>
      <c r="X26" s="69">
        <v>2.5</v>
      </c>
      <c r="Y26" s="69">
        <v>0</v>
      </c>
      <c r="Z26" s="69">
        <v>0</v>
      </c>
      <c r="AB26" s="421"/>
    </row>
    <row r="27" spans="1:28" s="49" customFormat="1">
      <c r="A27" s="45"/>
      <c r="B27" s="46"/>
      <c r="C27" s="48"/>
      <c r="D27" s="422"/>
      <c r="E27" s="422"/>
      <c r="F27" s="422"/>
      <c r="G27" s="83"/>
      <c r="H27" s="83"/>
      <c r="I27" s="83"/>
      <c r="J27" s="83"/>
      <c r="K27" s="83"/>
      <c r="L27" s="48"/>
      <c r="M27" s="48"/>
      <c r="N27" s="48"/>
      <c r="O27" s="48"/>
      <c r="P27" s="48"/>
      <c r="Q27" s="48"/>
      <c r="R27" s="48"/>
      <c r="S27" s="48"/>
      <c r="T27" s="48"/>
      <c r="U27" s="48"/>
      <c r="V27" s="48"/>
      <c r="W27" s="48"/>
      <c r="X27" s="48"/>
      <c r="Y27" s="48"/>
      <c r="Z27" s="48"/>
      <c r="AB27" s="421"/>
    </row>
    <row r="28" spans="1:28" ht="15.75" thickBot="1">
      <c r="A28" s="41" t="s">
        <v>38</v>
      </c>
      <c r="B28" s="42" t="s">
        <v>139</v>
      </c>
      <c r="C28" s="47"/>
      <c r="D28" s="47"/>
      <c r="E28" s="47"/>
      <c r="F28" s="47"/>
      <c r="G28" s="47"/>
      <c r="H28" s="47"/>
      <c r="I28" s="47"/>
      <c r="J28" s="47"/>
      <c r="K28" s="47"/>
      <c r="L28" s="47"/>
      <c r="M28" s="47"/>
      <c r="N28" s="43">
        <v>2.6</v>
      </c>
      <c r="O28" s="44">
        <v>2.6749999999999998</v>
      </c>
      <c r="P28" s="44">
        <v>2.75</v>
      </c>
      <c r="Q28" s="44">
        <v>2.8250000000000002</v>
      </c>
      <c r="R28" s="43">
        <v>2.9</v>
      </c>
      <c r="S28" s="44">
        <v>3</v>
      </c>
      <c r="T28" s="44">
        <v>3.1</v>
      </c>
      <c r="U28" s="44">
        <v>3.2</v>
      </c>
      <c r="V28" s="44">
        <v>3.3000000000000003</v>
      </c>
      <c r="W28" s="44">
        <v>3.4000000000000004</v>
      </c>
      <c r="X28" s="44">
        <v>3.5000000000000004</v>
      </c>
      <c r="Y28" s="43">
        <v>3.5</v>
      </c>
      <c r="Z28" s="44">
        <v>3.5</v>
      </c>
      <c r="AA28" s="38">
        <v>5</v>
      </c>
      <c r="AB28" s="420">
        <v>0.16</v>
      </c>
    </row>
    <row r="29" spans="1:28" s="49" customFormat="1" ht="15.75" thickBot="1">
      <c r="A29" s="45"/>
      <c r="B29" s="46" t="s">
        <v>140</v>
      </c>
      <c r="C29" s="47"/>
      <c r="D29" s="47"/>
      <c r="E29" s="47"/>
      <c r="F29" s="47"/>
      <c r="G29" s="47"/>
      <c r="H29" s="47"/>
      <c r="I29" s="47"/>
      <c r="J29" s="47"/>
      <c r="K29" s="47"/>
      <c r="L29" s="47"/>
      <c r="M29" s="47"/>
      <c r="N29" s="47">
        <v>2.6</v>
      </c>
      <c r="O29" s="84">
        <v>2.6</v>
      </c>
      <c r="P29" s="424">
        <v>2.6</v>
      </c>
      <c r="Q29" s="424">
        <v>2.2999999999999998</v>
      </c>
      <c r="R29" s="85">
        <v>2.2999999999999998</v>
      </c>
      <c r="S29" s="85">
        <v>2.2999999999999998</v>
      </c>
      <c r="T29" s="85">
        <v>3.1</v>
      </c>
      <c r="U29" s="85">
        <v>3.1</v>
      </c>
      <c r="V29" s="86">
        <v>3.1</v>
      </c>
      <c r="W29" s="80">
        <v>3.1</v>
      </c>
      <c r="X29" s="69">
        <v>3.5</v>
      </c>
      <c r="Y29" s="69">
        <v>0</v>
      </c>
      <c r="Z29" s="69">
        <v>0</v>
      </c>
      <c r="AB29" s="421"/>
    </row>
    <row r="30" spans="1:28" s="49" customFormat="1">
      <c r="A30" s="45"/>
      <c r="B30" s="46"/>
      <c r="C30" s="48"/>
      <c r="D30" s="48"/>
      <c r="E30" s="48"/>
      <c r="F30" s="48"/>
      <c r="G30" s="48"/>
      <c r="H30" s="48"/>
      <c r="I30" s="48"/>
      <c r="J30" s="48"/>
      <c r="K30" s="48"/>
      <c r="L30" s="48"/>
      <c r="M30" s="48"/>
      <c r="N30" s="48"/>
      <c r="O30" s="48"/>
      <c r="P30" s="48"/>
      <c r="Q30" s="48"/>
      <c r="R30" s="48"/>
      <c r="S30" s="48"/>
      <c r="T30" s="48"/>
      <c r="U30" s="48"/>
      <c r="V30" s="48"/>
      <c r="W30" s="48"/>
      <c r="X30" s="48"/>
      <c r="Y30" s="48"/>
      <c r="Z30" s="48"/>
      <c r="AB30" s="421"/>
    </row>
    <row r="31" spans="1:28" ht="15.75" thickBot="1">
      <c r="A31" s="41" t="s">
        <v>39</v>
      </c>
      <c r="B31" s="42" t="s">
        <v>139</v>
      </c>
      <c r="C31" s="50">
        <v>0</v>
      </c>
      <c r="D31" s="73">
        <v>0</v>
      </c>
      <c r="E31" s="73">
        <v>0</v>
      </c>
      <c r="F31" s="73">
        <v>0</v>
      </c>
      <c r="G31" s="73">
        <v>0</v>
      </c>
      <c r="H31" s="73">
        <v>0</v>
      </c>
      <c r="I31" s="74">
        <v>0</v>
      </c>
      <c r="J31" s="73">
        <v>0</v>
      </c>
      <c r="K31" s="73">
        <v>0</v>
      </c>
      <c r="L31" s="51">
        <v>0</v>
      </c>
      <c r="M31" s="51">
        <v>0</v>
      </c>
      <c r="N31" s="50">
        <v>0</v>
      </c>
      <c r="O31" s="51">
        <v>0</v>
      </c>
      <c r="P31" s="51">
        <v>0</v>
      </c>
      <c r="Q31" s="51">
        <v>0</v>
      </c>
      <c r="R31" s="50">
        <v>0</v>
      </c>
      <c r="S31" s="51">
        <v>0.33333333333333331</v>
      </c>
      <c r="T31" s="51">
        <v>0.66666666666666663</v>
      </c>
      <c r="U31" s="51">
        <v>1</v>
      </c>
      <c r="V31" s="51">
        <v>1.3333333333333333</v>
      </c>
      <c r="W31" s="51">
        <v>1.6666666666666665</v>
      </c>
      <c r="X31" s="51">
        <v>1.9999999999999998</v>
      </c>
      <c r="Y31" s="50">
        <v>2</v>
      </c>
      <c r="Z31" s="51">
        <v>2</v>
      </c>
      <c r="AA31" s="38">
        <v>20</v>
      </c>
      <c r="AB31" s="420">
        <v>0.8</v>
      </c>
    </row>
    <row r="32" spans="1:28" s="49" customFormat="1" ht="15.75" thickBot="1">
      <c r="A32" s="45"/>
      <c r="B32" s="46" t="s">
        <v>140</v>
      </c>
      <c r="C32" s="71">
        <v>0</v>
      </c>
      <c r="D32" s="76">
        <v>0</v>
      </c>
      <c r="E32" s="77">
        <v>0</v>
      </c>
      <c r="F32" s="77">
        <v>0</v>
      </c>
      <c r="G32" s="77">
        <v>0</v>
      </c>
      <c r="H32" s="77">
        <v>0</v>
      </c>
      <c r="I32" s="77">
        <v>0</v>
      </c>
      <c r="J32" s="77">
        <v>0</v>
      </c>
      <c r="K32" s="77">
        <v>0</v>
      </c>
      <c r="L32" s="77">
        <v>0</v>
      </c>
      <c r="M32" s="77">
        <v>0</v>
      </c>
      <c r="N32" s="425">
        <v>0</v>
      </c>
      <c r="O32" s="426">
        <v>0</v>
      </c>
      <c r="P32" s="426">
        <v>0</v>
      </c>
      <c r="Q32" s="426">
        <v>1</v>
      </c>
      <c r="R32" s="77">
        <v>2</v>
      </c>
      <c r="S32" s="77">
        <v>2</v>
      </c>
      <c r="T32" s="77">
        <v>3</v>
      </c>
      <c r="U32" s="77">
        <v>3</v>
      </c>
      <c r="V32" s="78">
        <v>3</v>
      </c>
      <c r="W32" s="72">
        <v>3</v>
      </c>
      <c r="X32" s="70">
        <v>3</v>
      </c>
      <c r="Y32" s="70">
        <v>0</v>
      </c>
      <c r="Z32" s="70">
        <v>0</v>
      </c>
      <c r="AB32" s="421"/>
    </row>
    <row r="33" spans="1:28" s="49" customFormat="1">
      <c r="A33" s="45"/>
      <c r="B33" s="46"/>
      <c r="C33" s="53"/>
      <c r="D33" s="75"/>
      <c r="E33" s="75"/>
      <c r="F33" s="75"/>
      <c r="G33" s="75"/>
      <c r="H33" s="75"/>
      <c r="I33" s="75"/>
      <c r="J33" s="75"/>
      <c r="K33" s="75"/>
      <c r="L33" s="53"/>
      <c r="M33" s="53"/>
      <c r="N33" s="53"/>
      <c r="O33" s="53"/>
      <c r="P33" s="53"/>
      <c r="Q33" s="53"/>
      <c r="R33" s="53"/>
      <c r="S33" s="53"/>
      <c r="T33" s="53"/>
      <c r="U33" s="53"/>
      <c r="V33" s="53"/>
      <c r="W33" s="53"/>
      <c r="X33" s="53"/>
      <c r="Y33" s="53"/>
      <c r="Z33" s="53"/>
      <c r="AB33" s="421"/>
    </row>
    <row r="34" spans="1:28" ht="15.75" thickBot="1">
      <c r="A34" s="41" t="s">
        <v>185</v>
      </c>
      <c r="B34" s="42" t="s">
        <v>222</v>
      </c>
      <c r="C34" s="50">
        <v>0</v>
      </c>
      <c r="D34" s="73">
        <v>0</v>
      </c>
      <c r="E34" s="73">
        <v>0</v>
      </c>
      <c r="F34" s="73">
        <v>0</v>
      </c>
      <c r="G34" s="73">
        <v>0</v>
      </c>
      <c r="H34" s="73">
        <v>0</v>
      </c>
      <c r="I34" s="74">
        <v>0</v>
      </c>
      <c r="J34" s="73">
        <v>0</v>
      </c>
      <c r="K34" s="73">
        <v>0</v>
      </c>
      <c r="L34" s="51">
        <v>0</v>
      </c>
      <c r="M34" s="51">
        <v>0</v>
      </c>
      <c r="N34" s="50">
        <v>0</v>
      </c>
      <c r="O34" s="51">
        <v>0</v>
      </c>
      <c r="P34" s="51">
        <v>0</v>
      </c>
      <c r="Q34" s="51">
        <v>0</v>
      </c>
      <c r="R34" s="50">
        <v>0</v>
      </c>
      <c r="S34" s="51">
        <v>0.16666666666666666</v>
      </c>
      <c r="T34" s="51">
        <v>0.33333333333333331</v>
      </c>
      <c r="U34" s="51">
        <v>0.5</v>
      </c>
      <c r="V34" s="51">
        <v>0.66666666666666663</v>
      </c>
      <c r="W34" s="51">
        <v>0.83333333333333326</v>
      </c>
      <c r="X34" s="51">
        <v>0.99999999999999989</v>
      </c>
      <c r="Y34" s="50">
        <v>1</v>
      </c>
      <c r="Z34" s="51">
        <v>1</v>
      </c>
      <c r="AA34" s="38">
        <v>15</v>
      </c>
      <c r="AB34" s="420">
        <v>0.6</v>
      </c>
    </row>
    <row r="35" spans="1:28" s="49" customFormat="1" ht="15.75" thickBot="1">
      <c r="A35" s="45"/>
      <c r="B35" s="46" t="s">
        <v>223</v>
      </c>
      <c r="C35" s="71">
        <v>0</v>
      </c>
      <c r="D35" s="76">
        <v>0</v>
      </c>
      <c r="E35" s="77">
        <v>0</v>
      </c>
      <c r="F35" s="77">
        <v>0</v>
      </c>
      <c r="G35" s="77">
        <v>0</v>
      </c>
      <c r="H35" s="77">
        <v>0</v>
      </c>
      <c r="I35" s="77">
        <v>0</v>
      </c>
      <c r="J35" s="77">
        <v>0</v>
      </c>
      <c r="K35" s="77">
        <v>0</v>
      </c>
      <c r="L35" s="77">
        <v>0</v>
      </c>
      <c r="M35" s="77">
        <v>0</v>
      </c>
      <c r="N35" s="425">
        <v>0</v>
      </c>
      <c r="O35" s="426">
        <v>0</v>
      </c>
      <c r="P35" s="426">
        <v>0</v>
      </c>
      <c r="Q35" s="426">
        <v>0</v>
      </c>
      <c r="R35" s="77">
        <v>0</v>
      </c>
      <c r="S35" s="77">
        <v>0</v>
      </c>
      <c r="T35" s="77">
        <v>0</v>
      </c>
      <c r="U35" s="77">
        <v>0</v>
      </c>
      <c r="V35" s="78">
        <v>0</v>
      </c>
      <c r="W35" s="72">
        <v>0</v>
      </c>
      <c r="X35" s="70">
        <v>0</v>
      </c>
      <c r="Y35" s="70">
        <v>0</v>
      </c>
      <c r="Z35" s="70">
        <v>0</v>
      </c>
      <c r="AB35" s="421"/>
    </row>
    <row r="36" spans="1:28" s="49" customFormat="1">
      <c r="A36" s="45"/>
      <c r="B36" s="46"/>
      <c r="C36" s="53"/>
      <c r="D36" s="75"/>
      <c r="E36" s="75"/>
      <c r="F36" s="75"/>
      <c r="G36" s="75"/>
      <c r="H36" s="75"/>
      <c r="I36" s="75"/>
      <c r="J36" s="75"/>
      <c r="K36" s="75"/>
      <c r="L36" s="53"/>
      <c r="M36" s="53"/>
      <c r="N36" s="53"/>
      <c r="O36" s="53"/>
      <c r="P36" s="53"/>
      <c r="Q36" s="53"/>
      <c r="R36" s="53"/>
      <c r="S36" s="53"/>
      <c r="T36" s="53"/>
      <c r="U36" s="53"/>
      <c r="V36" s="53"/>
      <c r="W36" s="53"/>
      <c r="X36" s="53"/>
      <c r="Y36" s="53"/>
      <c r="Z36" s="53"/>
      <c r="AB36" s="421"/>
    </row>
    <row r="37" spans="1:28" ht="15.75" thickBot="1">
      <c r="A37" s="41" t="s">
        <v>184</v>
      </c>
      <c r="B37" s="42" t="s">
        <v>226</v>
      </c>
      <c r="C37" s="50">
        <v>0</v>
      </c>
      <c r="D37" s="73">
        <v>0</v>
      </c>
      <c r="E37" s="73">
        <v>0</v>
      </c>
      <c r="F37" s="73">
        <v>0</v>
      </c>
      <c r="G37" s="73">
        <v>0</v>
      </c>
      <c r="H37" s="73">
        <v>0</v>
      </c>
      <c r="I37" s="74">
        <v>0</v>
      </c>
      <c r="J37" s="73">
        <v>0</v>
      </c>
      <c r="K37" s="73">
        <v>0</v>
      </c>
      <c r="L37" s="51">
        <v>0</v>
      </c>
      <c r="M37" s="51">
        <v>0</v>
      </c>
      <c r="N37" s="50">
        <v>0</v>
      </c>
      <c r="O37" s="51">
        <v>0</v>
      </c>
      <c r="P37" s="51">
        <v>0</v>
      </c>
      <c r="Q37" s="51">
        <v>0</v>
      </c>
      <c r="R37" s="50">
        <v>0</v>
      </c>
      <c r="S37" s="51">
        <v>0</v>
      </c>
      <c r="T37" s="51">
        <v>0</v>
      </c>
      <c r="U37" s="51">
        <v>0</v>
      </c>
      <c r="V37" s="51">
        <v>0</v>
      </c>
      <c r="W37" s="51">
        <v>0</v>
      </c>
      <c r="X37" s="51">
        <v>0</v>
      </c>
      <c r="Y37" s="50">
        <v>0</v>
      </c>
      <c r="Z37" s="51">
        <v>0</v>
      </c>
      <c r="AA37" s="38">
        <v>10</v>
      </c>
      <c r="AB37" s="420">
        <v>0.4</v>
      </c>
    </row>
    <row r="38" spans="1:28" s="49" customFormat="1" ht="15.75" thickBot="1">
      <c r="A38" s="45"/>
      <c r="B38" s="46" t="s">
        <v>227</v>
      </c>
      <c r="C38" s="71">
        <v>0</v>
      </c>
      <c r="D38" s="76">
        <v>0</v>
      </c>
      <c r="E38" s="77">
        <v>0</v>
      </c>
      <c r="F38" s="77">
        <v>0</v>
      </c>
      <c r="G38" s="77">
        <v>0</v>
      </c>
      <c r="H38" s="77">
        <v>0</v>
      </c>
      <c r="I38" s="77">
        <v>0</v>
      </c>
      <c r="J38" s="77">
        <v>0</v>
      </c>
      <c r="K38" s="77">
        <v>0</v>
      </c>
      <c r="L38" s="77">
        <v>0</v>
      </c>
      <c r="M38" s="77">
        <v>0</v>
      </c>
      <c r="N38" s="425">
        <v>0</v>
      </c>
      <c r="O38" s="426">
        <v>0</v>
      </c>
      <c r="P38" s="426">
        <v>0</v>
      </c>
      <c r="Q38" s="426">
        <v>0</v>
      </c>
      <c r="R38" s="77">
        <v>0</v>
      </c>
      <c r="S38" s="77">
        <v>0</v>
      </c>
      <c r="T38" s="77">
        <v>0</v>
      </c>
      <c r="U38" s="77">
        <v>0</v>
      </c>
      <c r="V38" s="78">
        <v>0</v>
      </c>
      <c r="W38" s="72">
        <v>0</v>
      </c>
      <c r="X38" s="70">
        <v>0</v>
      </c>
      <c r="Y38" s="70">
        <v>0</v>
      </c>
      <c r="Z38" s="70">
        <v>0</v>
      </c>
      <c r="AB38" s="421"/>
    </row>
    <row r="39" spans="1:28" s="49" customFormat="1">
      <c r="A39" s="45"/>
      <c r="B39" s="46"/>
      <c r="C39" s="53"/>
      <c r="D39" s="75"/>
      <c r="E39" s="75"/>
      <c r="F39" s="75"/>
      <c r="G39" s="75"/>
      <c r="H39" s="75"/>
      <c r="I39" s="75"/>
      <c r="J39" s="75"/>
      <c r="K39" s="75"/>
      <c r="L39" s="53"/>
      <c r="M39" s="53"/>
      <c r="N39" s="53"/>
      <c r="O39" s="53"/>
      <c r="P39" s="53"/>
      <c r="Q39" s="53"/>
      <c r="R39" s="53"/>
      <c r="S39" s="53"/>
      <c r="T39" s="53"/>
      <c r="U39" s="53"/>
      <c r="V39" s="53"/>
      <c r="W39" s="53"/>
      <c r="X39" s="53"/>
      <c r="Y39" s="53"/>
      <c r="Z39" s="53"/>
      <c r="AB39" s="421"/>
    </row>
    <row r="40" spans="1:28" ht="15.75" thickBot="1">
      <c r="A40" s="41" t="s">
        <v>183</v>
      </c>
      <c r="B40" s="42" t="s">
        <v>224</v>
      </c>
      <c r="C40" s="50">
        <v>0</v>
      </c>
      <c r="D40" s="73">
        <v>0</v>
      </c>
      <c r="E40" s="73">
        <v>0</v>
      </c>
      <c r="F40" s="73">
        <v>0</v>
      </c>
      <c r="G40" s="73">
        <v>0</v>
      </c>
      <c r="H40" s="73">
        <v>0</v>
      </c>
      <c r="I40" s="74">
        <v>0</v>
      </c>
      <c r="J40" s="73">
        <v>0</v>
      </c>
      <c r="K40" s="73">
        <v>0</v>
      </c>
      <c r="L40" s="51">
        <v>0</v>
      </c>
      <c r="M40" s="51">
        <v>0</v>
      </c>
      <c r="N40" s="50">
        <v>0</v>
      </c>
      <c r="O40" s="51">
        <v>0</v>
      </c>
      <c r="P40" s="51">
        <v>0</v>
      </c>
      <c r="Q40" s="51">
        <v>0</v>
      </c>
      <c r="R40" s="50">
        <v>0</v>
      </c>
      <c r="S40" s="51">
        <v>0</v>
      </c>
      <c r="T40" s="51">
        <v>0</v>
      </c>
      <c r="U40" s="51">
        <v>0</v>
      </c>
      <c r="V40" s="51">
        <v>0</v>
      </c>
      <c r="W40" s="51">
        <v>0</v>
      </c>
      <c r="X40" s="51">
        <v>0</v>
      </c>
      <c r="Y40" s="50">
        <v>0</v>
      </c>
      <c r="Z40" s="51">
        <v>0</v>
      </c>
      <c r="AA40" s="38">
        <v>5</v>
      </c>
      <c r="AB40" s="420">
        <v>0.2</v>
      </c>
    </row>
    <row r="41" spans="1:28" s="49" customFormat="1" ht="15.75" thickBot="1">
      <c r="A41" s="45"/>
      <c r="B41" s="46" t="s">
        <v>225</v>
      </c>
      <c r="C41" s="71">
        <v>0</v>
      </c>
      <c r="D41" s="76">
        <v>0</v>
      </c>
      <c r="E41" s="77">
        <v>0</v>
      </c>
      <c r="F41" s="77">
        <v>0</v>
      </c>
      <c r="G41" s="77">
        <v>0</v>
      </c>
      <c r="H41" s="77">
        <v>0</v>
      </c>
      <c r="I41" s="77">
        <v>0</v>
      </c>
      <c r="J41" s="77">
        <v>0</v>
      </c>
      <c r="K41" s="77">
        <v>0</v>
      </c>
      <c r="L41" s="77">
        <v>0</v>
      </c>
      <c r="M41" s="77">
        <v>0</v>
      </c>
      <c r="N41" s="425">
        <v>0</v>
      </c>
      <c r="O41" s="426">
        <v>0</v>
      </c>
      <c r="P41" s="426">
        <v>0</v>
      </c>
      <c r="Q41" s="426">
        <v>0</v>
      </c>
      <c r="R41" s="77">
        <v>0</v>
      </c>
      <c r="S41" s="77">
        <v>0</v>
      </c>
      <c r="T41" s="77">
        <v>0</v>
      </c>
      <c r="U41" s="77">
        <v>0</v>
      </c>
      <c r="V41" s="78">
        <v>0</v>
      </c>
      <c r="W41" s="72">
        <v>0</v>
      </c>
      <c r="X41" s="70">
        <v>0</v>
      </c>
      <c r="Y41" s="70">
        <v>0</v>
      </c>
      <c r="Z41" s="70">
        <v>0</v>
      </c>
      <c r="AB41" s="421"/>
    </row>
    <row r="42" spans="1:28" s="49" customFormat="1">
      <c r="A42" s="45"/>
      <c r="B42" s="46"/>
      <c r="C42" s="48"/>
      <c r="D42" s="83"/>
      <c r="E42" s="83"/>
      <c r="F42" s="83"/>
      <c r="G42" s="83"/>
      <c r="H42" s="83"/>
      <c r="I42" s="83"/>
      <c r="J42" s="83"/>
      <c r="K42" s="83"/>
      <c r="L42" s="48"/>
      <c r="M42" s="48"/>
      <c r="N42" s="48"/>
      <c r="O42" s="48"/>
      <c r="P42" s="48"/>
      <c r="Q42" s="48"/>
      <c r="R42" s="48"/>
      <c r="S42" s="48"/>
      <c r="T42" s="48"/>
      <c r="U42" s="48"/>
      <c r="V42" s="48"/>
      <c r="W42" s="48"/>
      <c r="X42" s="48"/>
      <c r="Y42" s="48"/>
      <c r="Z42" s="48"/>
      <c r="AB42" s="421"/>
    </row>
    <row r="43" spans="1:28" ht="15.75" thickBot="1">
      <c r="A43" s="41" t="s">
        <v>16</v>
      </c>
      <c r="B43" s="42" t="s">
        <v>139</v>
      </c>
      <c r="C43" s="43" t="s">
        <v>255</v>
      </c>
      <c r="D43" s="81" t="e">
        <v>#VALUE!</v>
      </c>
      <c r="E43" s="81" t="e">
        <v>#VALUE!</v>
      </c>
      <c r="F43" s="81" t="e">
        <v>#VALUE!</v>
      </c>
      <c r="G43" s="81" t="e">
        <v>#VALUE!</v>
      </c>
      <c r="H43" s="81" t="e">
        <v>#VALUE!</v>
      </c>
      <c r="I43" s="82">
        <v>1</v>
      </c>
      <c r="J43" s="81">
        <v>1</v>
      </c>
      <c r="K43" s="81">
        <v>1</v>
      </c>
      <c r="L43" s="44">
        <v>1</v>
      </c>
      <c r="M43" s="44">
        <v>1</v>
      </c>
      <c r="N43" s="43">
        <v>1</v>
      </c>
      <c r="O43" s="44">
        <v>1.1000000000000001</v>
      </c>
      <c r="P43" s="44">
        <v>1.2000000000000002</v>
      </c>
      <c r="Q43" s="44">
        <v>1.3000000000000003</v>
      </c>
      <c r="R43" s="43">
        <v>1.4</v>
      </c>
      <c r="S43" s="44">
        <v>1.5166666666666666</v>
      </c>
      <c r="T43" s="44">
        <v>1.6333333333333333</v>
      </c>
      <c r="U43" s="44">
        <v>1.75</v>
      </c>
      <c r="V43" s="44">
        <v>1.8666666666666667</v>
      </c>
      <c r="W43" s="44">
        <v>2.3166666666666664</v>
      </c>
      <c r="X43" s="44">
        <v>2.5</v>
      </c>
      <c r="Y43" s="43">
        <v>2.5</v>
      </c>
      <c r="Z43" s="44">
        <v>2.5</v>
      </c>
      <c r="AA43" s="38">
        <v>5</v>
      </c>
      <c r="AB43" s="420">
        <v>0.16</v>
      </c>
    </row>
    <row r="44" spans="1:28" s="49" customFormat="1" ht="15.75" thickBot="1">
      <c r="A44" s="45"/>
      <c r="B44" s="46" t="s">
        <v>140</v>
      </c>
      <c r="C44" s="79" t="s">
        <v>255</v>
      </c>
      <c r="D44" s="84">
        <v>0</v>
      </c>
      <c r="E44" s="85">
        <v>0</v>
      </c>
      <c r="F44" s="85">
        <v>0</v>
      </c>
      <c r="G44" s="85">
        <v>0</v>
      </c>
      <c r="H44" s="85">
        <v>0</v>
      </c>
      <c r="I44" s="85">
        <v>0</v>
      </c>
      <c r="J44" s="85">
        <v>0</v>
      </c>
      <c r="K44" s="85">
        <v>0</v>
      </c>
      <c r="L44" s="85">
        <v>0</v>
      </c>
      <c r="M44" s="85">
        <v>0</v>
      </c>
      <c r="N44" s="423">
        <v>1</v>
      </c>
      <c r="O44" s="424">
        <v>1</v>
      </c>
      <c r="P44" s="424">
        <v>1.2</v>
      </c>
      <c r="Q44" s="424">
        <v>1.2</v>
      </c>
      <c r="R44" s="85">
        <v>1.6</v>
      </c>
      <c r="S44" s="85">
        <v>2.4</v>
      </c>
      <c r="T44" s="85">
        <v>2</v>
      </c>
      <c r="U44" s="85">
        <v>2.5</v>
      </c>
      <c r="V44" s="86">
        <v>2.8</v>
      </c>
      <c r="W44" s="80">
        <v>3.2</v>
      </c>
      <c r="X44" s="69">
        <v>3.6</v>
      </c>
      <c r="Y44" s="69">
        <v>0</v>
      </c>
      <c r="Z44" s="69">
        <v>0</v>
      </c>
      <c r="AB44" s="421"/>
    </row>
    <row r="45" spans="1:28" s="49" customFormat="1">
      <c r="A45" s="45"/>
      <c r="B45" s="46"/>
      <c r="C45" s="48"/>
      <c r="D45" s="83"/>
      <c r="E45" s="83"/>
      <c r="F45" s="83"/>
      <c r="G45" s="83"/>
      <c r="H45" s="83"/>
      <c r="I45" s="83"/>
      <c r="J45" s="83"/>
      <c r="K45" s="83"/>
      <c r="L45" s="48"/>
      <c r="M45" s="48"/>
      <c r="N45" s="48"/>
      <c r="O45" s="48"/>
      <c r="P45" s="48"/>
      <c r="Q45" s="48"/>
      <c r="R45" s="48"/>
      <c r="S45" s="48"/>
      <c r="T45" s="48"/>
      <c r="U45" s="48"/>
      <c r="V45" s="48"/>
      <c r="W45" s="48"/>
      <c r="X45" s="48"/>
      <c r="Y45" s="48"/>
      <c r="Z45" s="48"/>
      <c r="AB45" s="421"/>
    </row>
    <row r="46" spans="1:28" ht="15.75" thickBot="1">
      <c r="A46" s="41" t="s">
        <v>17</v>
      </c>
      <c r="B46" s="42" t="s">
        <v>139</v>
      </c>
      <c r="C46" s="43" t="s">
        <v>255</v>
      </c>
      <c r="D46" s="81" t="e">
        <v>#VALUE!</v>
      </c>
      <c r="E46" s="81" t="e">
        <v>#VALUE!</v>
      </c>
      <c r="F46" s="81" t="e">
        <v>#VALUE!</v>
      </c>
      <c r="G46" s="81" t="e">
        <v>#VALUE!</v>
      </c>
      <c r="H46" s="81" t="e">
        <v>#VALUE!</v>
      </c>
      <c r="I46" s="82">
        <v>1</v>
      </c>
      <c r="J46" s="81">
        <v>1</v>
      </c>
      <c r="K46" s="81">
        <v>1</v>
      </c>
      <c r="L46" s="44">
        <v>1</v>
      </c>
      <c r="M46" s="44">
        <v>1</v>
      </c>
      <c r="N46" s="43">
        <v>1</v>
      </c>
      <c r="O46" s="44">
        <v>1.125</v>
      </c>
      <c r="P46" s="44">
        <v>1.25</v>
      </c>
      <c r="Q46" s="44">
        <v>1.375</v>
      </c>
      <c r="R46" s="43">
        <v>1.5</v>
      </c>
      <c r="S46" s="44">
        <v>1.5666666666666667</v>
      </c>
      <c r="T46" s="44">
        <v>1.6333333333333333</v>
      </c>
      <c r="U46" s="44">
        <v>1.7</v>
      </c>
      <c r="V46" s="44">
        <v>1.7666666666666666</v>
      </c>
      <c r="W46" s="44">
        <v>1.9166666666666663</v>
      </c>
      <c r="X46" s="44">
        <v>1.9999999999999996</v>
      </c>
      <c r="Y46" s="43">
        <v>2</v>
      </c>
      <c r="Z46" s="44">
        <v>2</v>
      </c>
      <c r="AA46" s="38">
        <v>5</v>
      </c>
      <c r="AB46" s="420">
        <v>0.16</v>
      </c>
    </row>
    <row r="47" spans="1:28" s="49" customFormat="1" ht="15.75" thickBot="1">
      <c r="A47" s="45"/>
      <c r="B47" s="46" t="s">
        <v>140</v>
      </c>
      <c r="C47" s="79" t="s">
        <v>255</v>
      </c>
      <c r="D47" s="84">
        <v>0</v>
      </c>
      <c r="E47" s="85">
        <v>0</v>
      </c>
      <c r="F47" s="85">
        <v>0</v>
      </c>
      <c r="G47" s="85">
        <v>0</v>
      </c>
      <c r="H47" s="85">
        <v>0</v>
      </c>
      <c r="I47" s="85">
        <v>0</v>
      </c>
      <c r="J47" s="85">
        <v>0</v>
      </c>
      <c r="K47" s="85">
        <v>0</v>
      </c>
      <c r="L47" s="85">
        <v>0</v>
      </c>
      <c r="M47" s="85">
        <v>0</v>
      </c>
      <c r="N47" s="423">
        <v>1</v>
      </c>
      <c r="O47" s="424">
        <v>1</v>
      </c>
      <c r="P47" s="424">
        <v>1.1000000000000001</v>
      </c>
      <c r="Q47" s="424">
        <v>1.1000000000000001</v>
      </c>
      <c r="R47" s="85">
        <v>1.2</v>
      </c>
      <c r="S47" s="85">
        <v>2</v>
      </c>
      <c r="T47" s="85">
        <v>1.8</v>
      </c>
      <c r="U47" s="85">
        <v>2.2000000000000002</v>
      </c>
      <c r="V47" s="86">
        <v>2.2000000000000002</v>
      </c>
      <c r="W47" s="80">
        <v>2.8</v>
      </c>
      <c r="X47" s="69">
        <v>2.8</v>
      </c>
      <c r="Y47" s="69">
        <v>0</v>
      </c>
      <c r="Z47" s="69">
        <v>0</v>
      </c>
      <c r="AB47" s="421"/>
    </row>
    <row r="48" spans="1:28" s="49" customFormat="1">
      <c r="A48" s="45"/>
      <c r="B48" s="46"/>
      <c r="C48" s="48"/>
      <c r="D48" s="83"/>
      <c r="E48" s="83"/>
      <c r="F48" s="83"/>
      <c r="G48" s="83"/>
      <c r="H48" s="83"/>
      <c r="I48" s="83"/>
      <c r="J48" s="83"/>
      <c r="K48" s="83"/>
      <c r="L48" s="48"/>
      <c r="M48" s="48"/>
      <c r="N48" s="48"/>
      <c r="O48" s="48"/>
      <c r="P48" s="48"/>
      <c r="Q48" s="48"/>
      <c r="R48" s="48"/>
      <c r="S48" s="48"/>
      <c r="T48" s="48"/>
      <c r="U48" s="48"/>
      <c r="V48" s="48"/>
      <c r="W48" s="48"/>
      <c r="X48" s="48"/>
      <c r="Y48" s="48"/>
      <c r="Z48" s="48"/>
      <c r="AB48" s="421"/>
    </row>
    <row r="49" spans="1:28" ht="15.75" thickBot="1">
      <c r="A49" s="41" t="s">
        <v>18</v>
      </c>
      <c r="B49" s="42" t="s">
        <v>139</v>
      </c>
      <c r="C49" s="50" t="s">
        <v>255</v>
      </c>
      <c r="D49" s="73" t="e">
        <v>#VALUE!</v>
      </c>
      <c r="E49" s="73" t="e">
        <v>#VALUE!</v>
      </c>
      <c r="F49" s="73" t="e">
        <v>#VALUE!</v>
      </c>
      <c r="G49" s="73" t="e">
        <v>#VALUE!</v>
      </c>
      <c r="H49" s="73" t="e">
        <v>#VALUE!</v>
      </c>
      <c r="I49" s="74">
        <v>1</v>
      </c>
      <c r="J49" s="73">
        <v>1</v>
      </c>
      <c r="K49" s="73">
        <v>1</v>
      </c>
      <c r="L49" s="51">
        <v>1</v>
      </c>
      <c r="M49" s="51">
        <v>1</v>
      </c>
      <c r="N49" s="50">
        <v>1</v>
      </c>
      <c r="O49" s="51">
        <v>1.125</v>
      </c>
      <c r="P49" s="51">
        <v>1.25</v>
      </c>
      <c r="Q49" s="51">
        <v>1.375</v>
      </c>
      <c r="R49" s="50">
        <v>1.5</v>
      </c>
      <c r="S49" s="51">
        <v>1.5666666666666667</v>
      </c>
      <c r="T49" s="51">
        <v>1.6333333333333333</v>
      </c>
      <c r="U49" s="51">
        <v>1.7</v>
      </c>
      <c r="V49" s="51">
        <v>1.7666666666666666</v>
      </c>
      <c r="W49" s="51">
        <v>1.8333333333333337</v>
      </c>
      <c r="X49" s="51">
        <v>2.0000000000000004</v>
      </c>
      <c r="Y49" s="50">
        <v>2</v>
      </c>
      <c r="Z49" s="51">
        <v>2</v>
      </c>
      <c r="AA49" s="38">
        <v>10</v>
      </c>
      <c r="AB49" s="420">
        <v>0.4</v>
      </c>
    </row>
    <row r="50" spans="1:28" s="49" customFormat="1" ht="15.75" thickBot="1">
      <c r="A50" s="45"/>
      <c r="B50" s="46" t="s">
        <v>140</v>
      </c>
      <c r="C50" s="71" t="s">
        <v>255</v>
      </c>
      <c r="D50" s="76">
        <v>0</v>
      </c>
      <c r="E50" s="77">
        <v>0</v>
      </c>
      <c r="F50" s="77">
        <v>0</v>
      </c>
      <c r="G50" s="77">
        <v>0</v>
      </c>
      <c r="H50" s="77">
        <v>0</v>
      </c>
      <c r="I50" s="77">
        <v>0</v>
      </c>
      <c r="J50" s="77">
        <v>0</v>
      </c>
      <c r="K50" s="77">
        <v>0</v>
      </c>
      <c r="L50" s="77">
        <v>0</v>
      </c>
      <c r="M50" s="77">
        <v>0</v>
      </c>
      <c r="N50" s="425">
        <v>0</v>
      </c>
      <c r="O50" s="426">
        <v>0</v>
      </c>
      <c r="P50" s="426">
        <v>0</v>
      </c>
      <c r="Q50" s="426">
        <v>1</v>
      </c>
      <c r="R50" s="85">
        <v>1</v>
      </c>
      <c r="S50" s="85">
        <v>1</v>
      </c>
      <c r="T50" s="85">
        <v>1</v>
      </c>
      <c r="U50" s="85">
        <v>1</v>
      </c>
      <c r="V50" s="86">
        <v>3</v>
      </c>
      <c r="W50" s="80">
        <v>3</v>
      </c>
      <c r="X50" s="69">
        <v>3</v>
      </c>
      <c r="Y50" s="69">
        <v>0</v>
      </c>
      <c r="Z50" s="69">
        <v>0</v>
      </c>
      <c r="AB50" s="421"/>
    </row>
    <row r="51" spans="1:28" s="49" customFormat="1">
      <c r="A51" s="45"/>
      <c r="B51" s="46"/>
      <c r="C51" s="48"/>
      <c r="D51" s="83"/>
      <c r="E51" s="83"/>
      <c r="F51" s="83"/>
      <c r="G51" s="83"/>
      <c r="H51" s="83"/>
      <c r="I51" s="83"/>
      <c r="J51" s="83"/>
      <c r="K51" s="83"/>
      <c r="L51" s="48"/>
      <c r="M51" s="48"/>
      <c r="N51" s="48"/>
      <c r="O51" s="48"/>
      <c r="P51" s="48"/>
      <c r="Q51" s="48"/>
      <c r="R51" s="48"/>
      <c r="S51" s="48"/>
      <c r="T51" s="48"/>
      <c r="U51" s="48"/>
      <c r="V51" s="48"/>
      <c r="W51" s="48"/>
      <c r="X51" s="48"/>
      <c r="Y51" s="48"/>
      <c r="Z51" s="48"/>
      <c r="AB51" s="421"/>
    </row>
    <row r="52" spans="1:28" ht="15.75" thickBot="1">
      <c r="A52" s="41" t="s">
        <v>19</v>
      </c>
      <c r="B52" s="42" t="s">
        <v>139</v>
      </c>
      <c r="C52" s="43" t="s">
        <v>255</v>
      </c>
      <c r="D52" s="81" t="e">
        <v>#VALUE!</v>
      </c>
      <c r="E52" s="81" t="e">
        <v>#VALUE!</v>
      </c>
      <c r="F52" s="81" t="e">
        <v>#VALUE!</v>
      </c>
      <c r="G52" s="81" t="e">
        <v>#VALUE!</v>
      </c>
      <c r="H52" s="81" t="e">
        <v>#VALUE!</v>
      </c>
      <c r="I52" s="82">
        <v>1</v>
      </c>
      <c r="J52" s="81">
        <v>1</v>
      </c>
      <c r="K52" s="81">
        <v>1</v>
      </c>
      <c r="L52" s="44">
        <v>1</v>
      </c>
      <c r="M52" s="44">
        <v>1</v>
      </c>
      <c r="N52" s="43">
        <v>1</v>
      </c>
      <c r="O52" s="44">
        <v>1.075</v>
      </c>
      <c r="P52" s="44">
        <v>1.1499999999999999</v>
      </c>
      <c r="Q52" s="44">
        <v>1.2249999999999999</v>
      </c>
      <c r="R52" s="43">
        <v>1.3</v>
      </c>
      <c r="S52" s="44">
        <v>1.4</v>
      </c>
      <c r="T52" s="44">
        <v>1.5</v>
      </c>
      <c r="U52" s="44">
        <v>1.6</v>
      </c>
      <c r="V52" s="44">
        <v>1.7000000000000002</v>
      </c>
      <c r="W52" s="44">
        <v>2.7166666666666663</v>
      </c>
      <c r="X52" s="44">
        <v>2.9999999999999996</v>
      </c>
      <c r="Y52" s="43">
        <v>3</v>
      </c>
      <c r="Z52" s="44">
        <v>3</v>
      </c>
      <c r="AA52" s="38">
        <v>5</v>
      </c>
      <c r="AB52" s="420">
        <v>0.16</v>
      </c>
    </row>
    <row r="53" spans="1:28" s="49" customFormat="1" ht="15.75" thickBot="1">
      <c r="A53" s="45"/>
      <c r="B53" s="46" t="s">
        <v>140</v>
      </c>
      <c r="C53" s="79" t="s">
        <v>255</v>
      </c>
      <c r="D53" s="84">
        <v>0</v>
      </c>
      <c r="E53" s="85">
        <v>0</v>
      </c>
      <c r="F53" s="85">
        <v>0</v>
      </c>
      <c r="G53" s="85">
        <v>0</v>
      </c>
      <c r="H53" s="85">
        <v>0</v>
      </c>
      <c r="I53" s="85">
        <v>0</v>
      </c>
      <c r="J53" s="85">
        <v>0</v>
      </c>
      <c r="K53" s="85">
        <v>0</v>
      </c>
      <c r="L53" s="85">
        <v>0</v>
      </c>
      <c r="M53" s="85">
        <v>0</v>
      </c>
      <c r="N53" s="423">
        <v>1</v>
      </c>
      <c r="O53" s="424">
        <v>1</v>
      </c>
      <c r="P53" s="424">
        <v>1.2</v>
      </c>
      <c r="Q53" s="424">
        <v>1.2</v>
      </c>
      <c r="R53" s="85">
        <v>1.8</v>
      </c>
      <c r="S53" s="85">
        <v>3</v>
      </c>
      <c r="T53" s="85">
        <v>2.1</v>
      </c>
      <c r="U53" s="85">
        <v>2.7</v>
      </c>
      <c r="V53" s="86">
        <v>3.2</v>
      </c>
      <c r="W53" s="80">
        <v>3.4</v>
      </c>
      <c r="X53" s="69">
        <v>3.5</v>
      </c>
      <c r="Y53" s="69">
        <v>0</v>
      </c>
      <c r="Z53" s="69">
        <v>0</v>
      </c>
      <c r="AB53" s="421"/>
    </row>
    <row r="54" spans="1:28" s="49" customFormat="1">
      <c r="A54" s="45"/>
      <c r="B54" s="46"/>
      <c r="C54" s="48"/>
      <c r="D54" s="83"/>
      <c r="E54" s="83"/>
      <c r="F54" s="83"/>
      <c r="G54" s="83"/>
      <c r="H54" s="83"/>
      <c r="I54" s="83"/>
      <c r="J54" s="83"/>
      <c r="K54" s="83"/>
      <c r="L54" s="48"/>
      <c r="M54" s="48"/>
      <c r="N54" s="48"/>
      <c r="O54" s="48"/>
      <c r="P54" s="48"/>
      <c r="Q54" s="48"/>
      <c r="R54" s="48"/>
      <c r="S54" s="48"/>
      <c r="T54" s="48"/>
      <c r="U54" s="48"/>
      <c r="V54" s="48"/>
      <c r="W54" s="48"/>
      <c r="X54" s="48"/>
      <c r="Y54" s="48"/>
      <c r="Z54" s="48"/>
      <c r="AB54" s="421"/>
    </row>
    <row r="55" spans="1:28" ht="15.75" thickBot="1">
      <c r="A55" s="41" t="s">
        <v>20</v>
      </c>
      <c r="B55" s="42" t="s">
        <v>139</v>
      </c>
      <c r="C55" s="43" t="s">
        <v>255</v>
      </c>
      <c r="D55" s="81" t="e">
        <v>#VALUE!</v>
      </c>
      <c r="E55" s="81" t="e">
        <v>#VALUE!</v>
      </c>
      <c r="F55" s="81" t="e">
        <v>#VALUE!</v>
      </c>
      <c r="G55" s="81" t="e">
        <v>#VALUE!</v>
      </c>
      <c r="H55" s="81" t="e">
        <v>#VALUE!</v>
      </c>
      <c r="I55" s="82">
        <v>1</v>
      </c>
      <c r="J55" s="81">
        <v>1</v>
      </c>
      <c r="K55" s="81">
        <v>1</v>
      </c>
      <c r="L55" s="44">
        <v>1</v>
      </c>
      <c r="M55" s="44">
        <v>1</v>
      </c>
      <c r="N55" s="43">
        <v>1</v>
      </c>
      <c r="O55" s="44">
        <v>1.075</v>
      </c>
      <c r="P55" s="44">
        <v>1.1499999999999999</v>
      </c>
      <c r="Q55" s="44">
        <v>1.2249999999999999</v>
      </c>
      <c r="R55" s="43">
        <v>1.3</v>
      </c>
      <c r="S55" s="44">
        <v>1.4666666666666668</v>
      </c>
      <c r="T55" s="44">
        <v>1.6333333333333333</v>
      </c>
      <c r="U55" s="44">
        <v>1.7999999999999998</v>
      </c>
      <c r="V55" s="44">
        <v>1.9666666666666663</v>
      </c>
      <c r="W55" s="44">
        <v>2.1333333333333329</v>
      </c>
      <c r="X55" s="44">
        <v>2.2999999999999994</v>
      </c>
      <c r="Y55" s="43">
        <v>2.2999999999999998</v>
      </c>
      <c r="Z55" s="44">
        <v>2.2999999999999998</v>
      </c>
      <c r="AA55" s="38">
        <v>5</v>
      </c>
      <c r="AB55" s="420">
        <v>0.16</v>
      </c>
    </row>
    <row r="56" spans="1:28" s="49" customFormat="1" ht="15.75" thickBot="1">
      <c r="A56" s="45"/>
      <c r="B56" s="46" t="s">
        <v>140</v>
      </c>
      <c r="C56" s="79" t="s">
        <v>255</v>
      </c>
      <c r="D56" s="84">
        <v>0</v>
      </c>
      <c r="E56" s="85">
        <v>0</v>
      </c>
      <c r="F56" s="85">
        <v>0</v>
      </c>
      <c r="G56" s="85">
        <v>0</v>
      </c>
      <c r="H56" s="85">
        <v>0</v>
      </c>
      <c r="I56" s="85">
        <v>0</v>
      </c>
      <c r="J56" s="85">
        <v>0</v>
      </c>
      <c r="K56" s="85">
        <v>0</v>
      </c>
      <c r="L56" s="85">
        <v>0</v>
      </c>
      <c r="M56" s="85">
        <v>0</v>
      </c>
      <c r="N56" s="423">
        <v>1</v>
      </c>
      <c r="O56" s="424">
        <v>1</v>
      </c>
      <c r="P56" s="424">
        <v>1</v>
      </c>
      <c r="Q56" s="424">
        <v>1</v>
      </c>
      <c r="R56" s="85">
        <v>3.2</v>
      </c>
      <c r="S56" s="85">
        <v>3.2</v>
      </c>
      <c r="T56" s="85">
        <v>2.2000000000000002</v>
      </c>
      <c r="U56" s="85">
        <v>2.6</v>
      </c>
      <c r="V56" s="86">
        <v>1.8</v>
      </c>
      <c r="W56" s="80">
        <v>2.6</v>
      </c>
      <c r="X56" s="69">
        <v>2.6</v>
      </c>
      <c r="Y56" s="69">
        <v>0</v>
      </c>
      <c r="Z56" s="69">
        <v>0</v>
      </c>
      <c r="AB56" s="421"/>
    </row>
    <row r="57" spans="1:28" s="49" customFormat="1">
      <c r="A57" s="45"/>
      <c r="B57" s="46"/>
      <c r="C57" s="48"/>
      <c r="D57" s="83"/>
      <c r="E57" s="83"/>
      <c r="F57" s="83"/>
      <c r="G57" s="83"/>
      <c r="H57" s="83"/>
      <c r="I57" s="83"/>
      <c r="J57" s="83"/>
      <c r="K57" s="83"/>
      <c r="L57" s="48"/>
      <c r="M57" s="48"/>
      <c r="N57" s="48"/>
      <c r="O57" s="48"/>
      <c r="P57" s="48"/>
      <c r="Q57" s="48"/>
      <c r="R57" s="48"/>
      <c r="S57" s="48"/>
      <c r="T57" s="48"/>
      <c r="U57" s="48"/>
      <c r="V57" s="48"/>
      <c r="W57" s="48"/>
      <c r="X57" s="48"/>
      <c r="Y57" s="48"/>
      <c r="Z57" s="48"/>
      <c r="AB57" s="421"/>
    </row>
    <row r="58" spans="1:28" ht="15.75" thickBot="1">
      <c r="A58" s="41" t="s">
        <v>21</v>
      </c>
      <c r="B58" s="42" t="s">
        <v>139</v>
      </c>
      <c r="C58" s="50" t="s">
        <v>255</v>
      </c>
      <c r="D58" s="73" t="e">
        <v>#VALUE!</v>
      </c>
      <c r="E58" s="73" t="e">
        <v>#VALUE!</v>
      </c>
      <c r="F58" s="73" t="e">
        <v>#VALUE!</v>
      </c>
      <c r="G58" s="73" t="e">
        <v>#VALUE!</v>
      </c>
      <c r="H58" s="73" t="e">
        <v>#VALUE!</v>
      </c>
      <c r="I58" s="74">
        <v>0</v>
      </c>
      <c r="J58" s="73">
        <v>0</v>
      </c>
      <c r="K58" s="73">
        <v>0</v>
      </c>
      <c r="L58" s="51">
        <v>0</v>
      </c>
      <c r="M58" s="51">
        <v>0</v>
      </c>
      <c r="N58" s="50">
        <v>0</v>
      </c>
      <c r="O58" s="51">
        <v>0.25</v>
      </c>
      <c r="P58" s="51">
        <v>0.5</v>
      </c>
      <c r="Q58" s="51">
        <v>0.75</v>
      </c>
      <c r="R58" s="50">
        <v>1</v>
      </c>
      <c r="S58" s="51">
        <v>1.3333333333333333</v>
      </c>
      <c r="T58" s="51">
        <v>1.6666666666666665</v>
      </c>
      <c r="U58" s="51">
        <v>1.9999999999999998</v>
      </c>
      <c r="V58" s="51">
        <v>2.333333333333333</v>
      </c>
      <c r="W58" s="51">
        <v>1.8333333333333337</v>
      </c>
      <c r="X58" s="51">
        <v>2.0000000000000004</v>
      </c>
      <c r="Y58" s="50">
        <v>2</v>
      </c>
      <c r="Z58" s="51">
        <v>2</v>
      </c>
      <c r="AA58" s="38">
        <v>10</v>
      </c>
      <c r="AB58" s="420">
        <v>0.4</v>
      </c>
    </row>
    <row r="59" spans="1:28" s="49" customFormat="1" ht="15.75" thickBot="1">
      <c r="A59" s="45"/>
      <c r="B59" s="46" t="s">
        <v>140</v>
      </c>
      <c r="C59" s="71" t="s">
        <v>255</v>
      </c>
      <c r="D59" s="76">
        <v>0</v>
      </c>
      <c r="E59" s="77">
        <v>0</v>
      </c>
      <c r="F59" s="77">
        <v>0</v>
      </c>
      <c r="G59" s="77">
        <v>0</v>
      </c>
      <c r="H59" s="77">
        <v>0</v>
      </c>
      <c r="I59" s="77">
        <v>0</v>
      </c>
      <c r="J59" s="77">
        <v>0</v>
      </c>
      <c r="K59" s="77">
        <v>0</v>
      </c>
      <c r="L59" s="77">
        <v>0</v>
      </c>
      <c r="M59" s="77">
        <v>0</v>
      </c>
      <c r="N59" s="425">
        <v>0</v>
      </c>
      <c r="O59" s="426">
        <v>0</v>
      </c>
      <c r="P59" s="426">
        <v>0</v>
      </c>
      <c r="Q59" s="426">
        <v>0</v>
      </c>
      <c r="R59" s="77">
        <v>0</v>
      </c>
      <c r="S59" s="77">
        <v>0</v>
      </c>
      <c r="T59" s="77">
        <v>0</v>
      </c>
      <c r="U59" s="77">
        <v>0</v>
      </c>
      <c r="V59" s="78">
        <v>1</v>
      </c>
      <c r="W59" s="72">
        <v>1</v>
      </c>
      <c r="X59" s="70">
        <v>1</v>
      </c>
      <c r="Y59" s="70">
        <v>0</v>
      </c>
      <c r="Z59" s="70">
        <v>0</v>
      </c>
      <c r="AB59" s="421"/>
    </row>
    <row r="60" spans="1:28" s="49" customFormat="1">
      <c r="A60" s="45"/>
      <c r="B60" s="46"/>
      <c r="C60" s="53"/>
      <c r="D60" s="83"/>
      <c r="E60" s="83"/>
      <c r="F60" s="83"/>
      <c r="G60" s="83"/>
      <c r="H60" s="83"/>
      <c r="I60" s="83"/>
      <c r="J60" s="83"/>
      <c r="K60" s="83"/>
      <c r="L60" s="53"/>
      <c r="M60" s="53"/>
      <c r="N60" s="53"/>
      <c r="O60" s="53"/>
      <c r="P60" s="53"/>
      <c r="Q60" s="53"/>
      <c r="R60" s="53"/>
      <c r="S60" s="53"/>
      <c r="T60" s="53"/>
      <c r="U60" s="53"/>
      <c r="V60" s="53"/>
      <c r="W60" s="53"/>
      <c r="X60" s="53"/>
      <c r="Y60" s="53"/>
      <c r="Z60" s="53"/>
      <c r="AB60" s="421"/>
    </row>
    <row r="61" spans="1:28" ht="15.75" thickBot="1">
      <c r="A61" s="41" t="s">
        <v>166</v>
      </c>
      <c r="B61" s="42" t="s">
        <v>202</v>
      </c>
      <c r="C61" s="50" t="s">
        <v>255</v>
      </c>
      <c r="D61" s="73" t="e">
        <v>#VALUE!</v>
      </c>
      <c r="E61" s="73" t="e">
        <v>#VALUE!</v>
      </c>
      <c r="F61" s="73" t="e">
        <v>#VALUE!</v>
      </c>
      <c r="G61" s="73" t="e">
        <v>#VALUE!</v>
      </c>
      <c r="H61" s="73" t="e">
        <v>#VALUE!</v>
      </c>
      <c r="I61" s="74">
        <v>2</v>
      </c>
      <c r="J61" s="73">
        <v>2</v>
      </c>
      <c r="K61" s="73">
        <v>2</v>
      </c>
      <c r="L61" s="51">
        <v>2</v>
      </c>
      <c r="M61" s="51">
        <v>2</v>
      </c>
      <c r="N61" s="50">
        <v>2</v>
      </c>
      <c r="O61" s="51">
        <v>2.5</v>
      </c>
      <c r="P61" s="51">
        <v>3</v>
      </c>
      <c r="Q61" s="51">
        <v>3.5</v>
      </c>
      <c r="R61" s="50">
        <v>4</v>
      </c>
      <c r="S61" s="51">
        <v>4.333333333333333</v>
      </c>
      <c r="T61" s="51">
        <v>4.6666666666666661</v>
      </c>
      <c r="U61" s="51">
        <v>4.9999999999999991</v>
      </c>
      <c r="V61" s="51">
        <v>5.3333333333333321</v>
      </c>
      <c r="W61" s="51">
        <v>9</v>
      </c>
      <c r="X61" s="51">
        <v>10</v>
      </c>
      <c r="Y61" s="50">
        <v>10</v>
      </c>
      <c r="Z61" s="51">
        <v>10</v>
      </c>
      <c r="AA61" s="38">
        <v>20</v>
      </c>
      <c r="AB61" s="420">
        <v>0.8</v>
      </c>
    </row>
    <row r="62" spans="1:28" s="49" customFormat="1" ht="15.75" thickBot="1">
      <c r="A62" s="45"/>
      <c r="B62" s="46" t="s">
        <v>203</v>
      </c>
      <c r="C62" s="71" t="s">
        <v>255</v>
      </c>
      <c r="D62" s="76">
        <v>0</v>
      </c>
      <c r="E62" s="77">
        <v>0</v>
      </c>
      <c r="F62" s="77">
        <v>0</v>
      </c>
      <c r="G62" s="77">
        <v>0</v>
      </c>
      <c r="H62" s="77">
        <v>0</v>
      </c>
      <c r="I62" s="77">
        <v>0</v>
      </c>
      <c r="J62" s="77">
        <v>0</v>
      </c>
      <c r="K62" s="77">
        <v>0</v>
      </c>
      <c r="L62" s="77">
        <v>0</v>
      </c>
      <c r="M62" s="77">
        <v>0</v>
      </c>
      <c r="N62" s="425">
        <v>2</v>
      </c>
      <c r="O62" s="426">
        <v>2</v>
      </c>
      <c r="P62" s="426">
        <v>3</v>
      </c>
      <c r="Q62" s="426">
        <v>6</v>
      </c>
      <c r="R62" s="77">
        <v>9</v>
      </c>
      <c r="S62" s="77">
        <v>11</v>
      </c>
      <c r="T62" s="77">
        <v>14</v>
      </c>
      <c r="U62" s="77">
        <v>14</v>
      </c>
      <c r="V62" s="78">
        <v>13</v>
      </c>
      <c r="W62" s="72">
        <v>13</v>
      </c>
      <c r="X62" s="70">
        <v>13</v>
      </c>
      <c r="Y62" s="70">
        <v>0</v>
      </c>
      <c r="Z62" s="70">
        <v>0</v>
      </c>
      <c r="AB62" s="421"/>
    </row>
    <row r="63" spans="1:28" s="49" customFormat="1">
      <c r="A63" s="45"/>
      <c r="B63" s="46"/>
      <c r="C63" s="53"/>
      <c r="D63" s="427"/>
      <c r="E63" s="427"/>
      <c r="F63" s="427"/>
      <c r="G63" s="75"/>
      <c r="H63" s="75"/>
      <c r="I63" s="75"/>
      <c r="J63" s="75"/>
      <c r="K63" s="75"/>
      <c r="L63" s="53"/>
      <c r="M63" s="53"/>
      <c r="N63" s="53"/>
      <c r="O63" s="53"/>
      <c r="P63" s="53"/>
      <c r="Q63" s="53"/>
      <c r="R63" s="53"/>
      <c r="S63" s="53"/>
      <c r="T63" s="53"/>
      <c r="U63" s="53"/>
      <c r="V63" s="53"/>
      <c r="W63" s="53"/>
      <c r="X63" s="53"/>
      <c r="Y63" s="53"/>
      <c r="Z63" s="53"/>
      <c r="AB63" s="421"/>
    </row>
    <row r="64" spans="1:28" ht="15.75" thickBot="1">
      <c r="A64" s="41" t="s">
        <v>167</v>
      </c>
      <c r="B64" s="42" t="s">
        <v>213</v>
      </c>
      <c r="C64" s="50">
        <v>0</v>
      </c>
      <c r="D64" s="73">
        <v>0</v>
      </c>
      <c r="E64" s="73">
        <v>0</v>
      </c>
      <c r="F64" s="73">
        <v>0</v>
      </c>
      <c r="G64" s="73">
        <v>0</v>
      </c>
      <c r="H64" s="73">
        <v>0</v>
      </c>
      <c r="I64" s="74">
        <v>0</v>
      </c>
      <c r="J64" s="73">
        <v>0</v>
      </c>
      <c r="K64" s="73">
        <v>0</v>
      </c>
      <c r="L64" s="51">
        <v>0</v>
      </c>
      <c r="M64" s="51">
        <v>0</v>
      </c>
      <c r="N64" s="50">
        <v>0</v>
      </c>
      <c r="O64" s="51">
        <v>0.5</v>
      </c>
      <c r="P64" s="51">
        <v>1</v>
      </c>
      <c r="Q64" s="51">
        <v>1.5</v>
      </c>
      <c r="R64" s="50">
        <v>2</v>
      </c>
      <c r="S64" s="51">
        <v>2.3333333333333335</v>
      </c>
      <c r="T64" s="51">
        <v>2.666666666666667</v>
      </c>
      <c r="U64" s="51">
        <v>3.0000000000000004</v>
      </c>
      <c r="V64" s="51">
        <v>3.3333333333333339</v>
      </c>
      <c r="W64" s="51">
        <v>8.6666666666666661</v>
      </c>
      <c r="X64" s="51">
        <v>10</v>
      </c>
      <c r="Y64" s="50">
        <v>10</v>
      </c>
      <c r="Z64" s="51">
        <v>10</v>
      </c>
      <c r="AA64" s="38">
        <v>20</v>
      </c>
      <c r="AB64" s="420">
        <v>0.8</v>
      </c>
    </row>
    <row r="65" spans="1:28" s="49" customFormat="1" ht="15.75" thickBot="1">
      <c r="A65" s="45"/>
      <c r="B65" s="46" t="s">
        <v>212</v>
      </c>
      <c r="C65" s="71">
        <v>0</v>
      </c>
      <c r="D65" s="76">
        <v>0</v>
      </c>
      <c r="E65" s="77">
        <v>0</v>
      </c>
      <c r="F65" s="77">
        <v>0</v>
      </c>
      <c r="G65" s="77">
        <v>0</v>
      </c>
      <c r="H65" s="77">
        <v>0</v>
      </c>
      <c r="I65" s="77">
        <v>0</v>
      </c>
      <c r="J65" s="77">
        <v>0</v>
      </c>
      <c r="K65" s="77">
        <v>0</v>
      </c>
      <c r="L65" s="77">
        <v>0</v>
      </c>
      <c r="M65" s="77">
        <v>0</v>
      </c>
      <c r="N65" s="425">
        <v>0</v>
      </c>
      <c r="O65" s="426">
        <v>0</v>
      </c>
      <c r="P65" s="426">
        <v>1</v>
      </c>
      <c r="Q65" s="426">
        <v>2</v>
      </c>
      <c r="R65" s="77">
        <v>3</v>
      </c>
      <c r="S65" s="77">
        <v>3</v>
      </c>
      <c r="T65" s="77">
        <v>6</v>
      </c>
      <c r="U65" s="77">
        <v>3</v>
      </c>
      <c r="V65" s="78">
        <v>13</v>
      </c>
      <c r="W65" s="72">
        <v>13</v>
      </c>
      <c r="X65" s="70">
        <v>13</v>
      </c>
      <c r="Y65" s="70">
        <v>0</v>
      </c>
      <c r="Z65" s="70">
        <v>0</v>
      </c>
      <c r="AB65" s="421"/>
    </row>
    <row r="66" spans="1:28" s="49" customFormat="1">
      <c r="A66" s="45"/>
      <c r="B66" s="46"/>
      <c r="C66" s="53"/>
      <c r="D66" s="427"/>
      <c r="E66" s="427"/>
      <c r="F66" s="427"/>
      <c r="G66" s="75"/>
      <c r="H66" s="75"/>
      <c r="I66" s="75"/>
      <c r="J66" s="75"/>
      <c r="K66" s="75"/>
      <c r="L66" s="53"/>
      <c r="M66" s="53"/>
      <c r="N66" s="53"/>
      <c r="O66" s="53"/>
      <c r="P66" s="53"/>
      <c r="Q66" s="53"/>
      <c r="R66" s="53"/>
      <c r="S66" s="53"/>
      <c r="T66" s="53"/>
      <c r="U66" s="53"/>
      <c r="V66" s="53"/>
      <c r="W66" s="53"/>
      <c r="X66" s="53"/>
      <c r="Y66" s="53"/>
      <c r="Z66" s="53"/>
      <c r="AB66" s="421"/>
    </row>
    <row r="67" spans="1:28" ht="15.75" thickBot="1">
      <c r="A67" s="41" t="s">
        <v>168</v>
      </c>
      <c r="B67" s="42" t="s">
        <v>211</v>
      </c>
      <c r="C67" s="50">
        <v>0</v>
      </c>
      <c r="D67" s="73">
        <v>0</v>
      </c>
      <c r="E67" s="73">
        <v>0</v>
      </c>
      <c r="F67" s="73">
        <v>0</v>
      </c>
      <c r="G67" s="73">
        <v>0</v>
      </c>
      <c r="H67" s="73">
        <v>0</v>
      </c>
      <c r="I67" s="74">
        <v>0</v>
      </c>
      <c r="J67" s="73">
        <v>0</v>
      </c>
      <c r="K67" s="73">
        <v>0</v>
      </c>
      <c r="L67" s="51">
        <v>0</v>
      </c>
      <c r="M67" s="51">
        <v>0</v>
      </c>
      <c r="N67" s="50">
        <v>0</v>
      </c>
      <c r="O67" s="51">
        <v>0.5</v>
      </c>
      <c r="P67" s="51">
        <v>1</v>
      </c>
      <c r="Q67" s="51">
        <v>1.5</v>
      </c>
      <c r="R67" s="50">
        <v>2</v>
      </c>
      <c r="S67" s="51">
        <v>2.1666666666666665</v>
      </c>
      <c r="T67" s="51">
        <v>2.333333333333333</v>
      </c>
      <c r="U67" s="51">
        <v>2.4999999999999996</v>
      </c>
      <c r="V67" s="51">
        <v>2.6666666666666661</v>
      </c>
      <c r="W67" s="51">
        <v>4.5</v>
      </c>
      <c r="X67" s="51">
        <v>5</v>
      </c>
      <c r="Y67" s="50">
        <v>5</v>
      </c>
      <c r="Z67" s="51">
        <v>5</v>
      </c>
      <c r="AA67" s="38">
        <v>20</v>
      </c>
      <c r="AB67" s="420">
        <v>0.8</v>
      </c>
    </row>
    <row r="68" spans="1:28" s="49" customFormat="1" ht="15.75" thickBot="1">
      <c r="A68" s="45"/>
      <c r="B68" s="46" t="s">
        <v>210</v>
      </c>
      <c r="C68" s="71">
        <v>0</v>
      </c>
      <c r="D68" s="76">
        <v>0</v>
      </c>
      <c r="E68" s="77">
        <v>0</v>
      </c>
      <c r="F68" s="77">
        <v>0</v>
      </c>
      <c r="G68" s="77">
        <v>0</v>
      </c>
      <c r="H68" s="77">
        <v>0</v>
      </c>
      <c r="I68" s="77">
        <v>0</v>
      </c>
      <c r="J68" s="77">
        <v>0</v>
      </c>
      <c r="K68" s="77">
        <v>0</v>
      </c>
      <c r="L68" s="77">
        <v>0</v>
      </c>
      <c r="M68" s="77">
        <v>0</v>
      </c>
      <c r="N68" s="425">
        <v>0</v>
      </c>
      <c r="O68" s="426">
        <v>0</v>
      </c>
      <c r="P68" s="426">
        <v>0</v>
      </c>
      <c r="Q68" s="426">
        <v>1</v>
      </c>
      <c r="R68" s="77">
        <v>1</v>
      </c>
      <c r="S68" s="77">
        <v>10</v>
      </c>
      <c r="T68" s="77">
        <v>12</v>
      </c>
      <c r="U68" s="77">
        <v>2</v>
      </c>
      <c r="V68" s="78">
        <v>6</v>
      </c>
      <c r="W68" s="72">
        <v>7</v>
      </c>
      <c r="X68" s="70">
        <v>9</v>
      </c>
      <c r="Y68" s="70">
        <v>0</v>
      </c>
      <c r="Z68" s="70">
        <v>0</v>
      </c>
      <c r="AB68" s="421"/>
    </row>
    <row r="69" spans="1:28" s="49" customFormat="1">
      <c r="A69" s="45"/>
      <c r="B69" s="46"/>
      <c r="C69" s="53"/>
      <c r="D69" s="427"/>
      <c r="E69" s="427"/>
      <c r="F69" s="427"/>
      <c r="G69" s="75"/>
      <c r="H69" s="75"/>
      <c r="I69" s="75"/>
      <c r="J69" s="75"/>
      <c r="K69" s="75"/>
      <c r="L69" s="53"/>
      <c r="M69" s="53"/>
      <c r="N69" s="53"/>
      <c r="O69" s="53"/>
      <c r="P69" s="53"/>
      <c r="Q69" s="53"/>
      <c r="R69" s="53"/>
      <c r="S69" s="53"/>
      <c r="T69" s="53"/>
      <c r="U69" s="53"/>
      <c r="V69" s="53"/>
      <c r="W69" s="53"/>
      <c r="X69" s="53"/>
      <c r="Y69" s="53"/>
      <c r="Z69" s="53"/>
      <c r="AB69" s="421"/>
    </row>
    <row r="70" spans="1:28" ht="15.75" thickBot="1">
      <c r="A70" s="41" t="s">
        <v>169</v>
      </c>
      <c r="B70" s="42" t="s">
        <v>209</v>
      </c>
      <c r="C70" s="50">
        <v>0</v>
      </c>
      <c r="D70" s="73">
        <v>0</v>
      </c>
      <c r="E70" s="73">
        <v>0</v>
      </c>
      <c r="F70" s="73">
        <v>0</v>
      </c>
      <c r="G70" s="73">
        <v>0</v>
      </c>
      <c r="H70" s="73">
        <v>0</v>
      </c>
      <c r="I70" s="74">
        <v>0</v>
      </c>
      <c r="J70" s="73">
        <v>0</v>
      </c>
      <c r="K70" s="73">
        <v>0</v>
      </c>
      <c r="L70" s="51">
        <v>0</v>
      </c>
      <c r="M70" s="51">
        <v>0</v>
      </c>
      <c r="N70" s="50">
        <v>0</v>
      </c>
      <c r="O70" s="51">
        <v>0.25</v>
      </c>
      <c r="P70" s="51">
        <v>0.5</v>
      </c>
      <c r="Q70" s="51">
        <v>0.75</v>
      </c>
      <c r="R70" s="50">
        <v>1</v>
      </c>
      <c r="S70" s="51">
        <v>1.1666666666666667</v>
      </c>
      <c r="T70" s="51">
        <v>1.3333333333333335</v>
      </c>
      <c r="U70" s="51">
        <v>1.5000000000000002</v>
      </c>
      <c r="V70" s="51">
        <v>1.666666666666667</v>
      </c>
      <c r="W70" s="51">
        <v>1.8333333333333337</v>
      </c>
      <c r="X70" s="51">
        <v>2.0000000000000004</v>
      </c>
      <c r="Y70" s="50">
        <v>2</v>
      </c>
      <c r="Z70" s="51">
        <v>2</v>
      </c>
      <c r="AA70" s="38">
        <v>20</v>
      </c>
      <c r="AB70" s="420">
        <v>0.8</v>
      </c>
    </row>
    <row r="71" spans="1:28" s="49" customFormat="1" ht="15.75" thickBot="1">
      <c r="A71" s="45"/>
      <c r="B71" s="46" t="s">
        <v>208</v>
      </c>
      <c r="C71" s="71">
        <v>0</v>
      </c>
      <c r="D71" s="76">
        <v>0</v>
      </c>
      <c r="E71" s="77">
        <v>0</v>
      </c>
      <c r="F71" s="77">
        <v>0</v>
      </c>
      <c r="G71" s="77">
        <v>0</v>
      </c>
      <c r="H71" s="77">
        <v>0</v>
      </c>
      <c r="I71" s="77">
        <v>0</v>
      </c>
      <c r="J71" s="77">
        <v>0</v>
      </c>
      <c r="K71" s="77">
        <v>0</v>
      </c>
      <c r="L71" s="77">
        <v>0</v>
      </c>
      <c r="M71" s="77">
        <v>0</v>
      </c>
      <c r="N71" s="425">
        <v>0</v>
      </c>
      <c r="O71" s="426">
        <v>0</v>
      </c>
      <c r="P71" s="426">
        <v>0</v>
      </c>
      <c r="Q71" s="426">
        <v>0</v>
      </c>
      <c r="R71" s="77">
        <v>0</v>
      </c>
      <c r="S71" s="77">
        <v>3</v>
      </c>
      <c r="T71" s="77">
        <v>3</v>
      </c>
      <c r="U71" s="77">
        <v>3</v>
      </c>
      <c r="V71" s="78">
        <v>2</v>
      </c>
      <c r="W71" s="72">
        <v>1</v>
      </c>
      <c r="X71" s="70">
        <v>2</v>
      </c>
      <c r="Y71" s="70">
        <v>0</v>
      </c>
      <c r="Z71" s="70">
        <v>0</v>
      </c>
      <c r="AB71" s="421"/>
    </row>
    <row r="72" spans="1:28" s="49" customFormat="1">
      <c r="A72" s="45"/>
      <c r="B72" s="46"/>
      <c r="C72" s="53"/>
      <c r="D72" s="427"/>
      <c r="E72" s="427"/>
      <c r="F72" s="427"/>
      <c r="G72" s="75"/>
      <c r="H72" s="75"/>
      <c r="I72" s="75"/>
      <c r="J72" s="75"/>
      <c r="K72" s="75"/>
      <c r="L72" s="53"/>
      <c r="M72" s="53"/>
      <c r="N72" s="53"/>
      <c r="O72" s="53"/>
      <c r="P72" s="53"/>
      <c r="Q72" s="53"/>
      <c r="R72" s="53"/>
      <c r="S72" s="53"/>
      <c r="T72" s="53"/>
      <c r="U72" s="53"/>
      <c r="V72" s="53"/>
      <c r="W72" s="53"/>
      <c r="X72" s="53"/>
      <c r="Y72" s="53"/>
      <c r="Z72" s="53"/>
      <c r="AB72" s="421"/>
    </row>
    <row r="73" spans="1:28" ht="15.75" thickBot="1">
      <c r="A73" s="41" t="s">
        <v>162</v>
      </c>
      <c r="B73" s="42" t="s">
        <v>202</v>
      </c>
      <c r="C73" s="50" t="s">
        <v>255</v>
      </c>
      <c r="D73" s="73" t="e">
        <v>#VALUE!</v>
      </c>
      <c r="E73" s="73" t="e">
        <v>#VALUE!</v>
      </c>
      <c r="F73" s="73" t="e">
        <v>#VALUE!</v>
      </c>
      <c r="G73" s="73" t="e">
        <v>#VALUE!</v>
      </c>
      <c r="H73" s="73" t="e">
        <v>#VALUE!</v>
      </c>
      <c r="I73" s="74">
        <v>1</v>
      </c>
      <c r="J73" s="73">
        <v>1</v>
      </c>
      <c r="K73" s="73">
        <v>1</v>
      </c>
      <c r="L73" s="51">
        <v>1</v>
      </c>
      <c r="M73" s="51">
        <v>1</v>
      </c>
      <c r="N73" s="50">
        <v>1</v>
      </c>
      <c r="O73" s="51">
        <v>1.25</v>
      </c>
      <c r="P73" s="51">
        <v>1.5</v>
      </c>
      <c r="Q73" s="51">
        <v>1.75</v>
      </c>
      <c r="R73" s="50">
        <v>2</v>
      </c>
      <c r="S73" s="51">
        <v>2.3333333333333335</v>
      </c>
      <c r="T73" s="51">
        <v>2.666666666666667</v>
      </c>
      <c r="U73" s="51">
        <v>3.0000000000000004</v>
      </c>
      <c r="V73" s="51">
        <v>3.3333333333333339</v>
      </c>
      <c r="W73" s="51">
        <v>7</v>
      </c>
      <c r="X73" s="51">
        <v>8</v>
      </c>
      <c r="Y73" s="50">
        <v>8</v>
      </c>
      <c r="Z73" s="51">
        <v>8</v>
      </c>
      <c r="AA73" s="38">
        <v>20</v>
      </c>
      <c r="AB73" s="420">
        <v>0.8</v>
      </c>
    </row>
    <row r="74" spans="1:28" s="49" customFormat="1" ht="15.75" thickBot="1">
      <c r="A74" s="45"/>
      <c r="B74" s="46" t="s">
        <v>203</v>
      </c>
      <c r="C74" s="71" t="s">
        <v>255</v>
      </c>
      <c r="D74" s="76">
        <v>0</v>
      </c>
      <c r="E74" s="77">
        <v>0</v>
      </c>
      <c r="F74" s="77">
        <v>0</v>
      </c>
      <c r="G74" s="77">
        <v>0</v>
      </c>
      <c r="H74" s="77">
        <v>0</v>
      </c>
      <c r="I74" s="77">
        <v>0</v>
      </c>
      <c r="J74" s="77">
        <v>0</v>
      </c>
      <c r="K74" s="77">
        <v>0</v>
      </c>
      <c r="L74" s="77">
        <v>0</v>
      </c>
      <c r="M74" s="77">
        <v>0</v>
      </c>
      <c r="N74" s="425">
        <v>1</v>
      </c>
      <c r="O74" s="426">
        <v>1</v>
      </c>
      <c r="P74" s="426">
        <v>2</v>
      </c>
      <c r="Q74" s="426">
        <v>2</v>
      </c>
      <c r="R74" s="77">
        <v>2</v>
      </c>
      <c r="S74" s="77">
        <v>7</v>
      </c>
      <c r="T74" s="77">
        <v>9</v>
      </c>
      <c r="U74" s="77">
        <v>3</v>
      </c>
      <c r="V74" s="78">
        <v>10</v>
      </c>
      <c r="W74" s="72">
        <v>10</v>
      </c>
      <c r="X74" s="70">
        <v>10</v>
      </c>
      <c r="Y74" s="70">
        <v>0</v>
      </c>
      <c r="Z74" s="70">
        <v>0</v>
      </c>
      <c r="AB74" s="421"/>
    </row>
    <row r="75" spans="1:28" s="49" customFormat="1">
      <c r="A75" s="45"/>
      <c r="B75" s="46"/>
      <c r="C75" s="53"/>
      <c r="D75" s="428"/>
      <c r="E75" s="428"/>
      <c r="F75" s="428"/>
      <c r="G75" s="53"/>
      <c r="H75" s="53"/>
      <c r="I75" s="53"/>
      <c r="J75" s="53"/>
      <c r="K75" s="53"/>
      <c r="L75" s="53"/>
      <c r="M75" s="53"/>
      <c r="N75" s="53"/>
      <c r="O75" s="53"/>
      <c r="P75" s="53"/>
      <c r="Q75" s="53"/>
      <c r="R75" s="53"/>
      <c r="S75" s="53"/>
      <c r="T75" s="53"/>
      <c r="U75" s="53"/>
      <c r="V75" s="53"/>
      <c r="W75" s="53"/>
      <c r="X75" s="53"/>
      <c r="Y75" s="53"/>
      <c r="Z75" s="53"/>
      <c r="AB75" s="421"/>
    </row>
    <row r="76" spans="1:28" ht="15.75" thickBot="1">
      <c r="A76" s="41" t="s">
        <v>163</v>
      </c>
      <c r="B76" s="42" t="s">
        <v>213</v>
      </c>
      <c r="C76" s="50">
        <v>0</v>
      </c>
      <c r="D76" s="73">
        <v>0</v>
      </c>
      <c r="E76" s="73">
        <v>0</v>
      </c>
      <c r="F76" s="73">
        <v>0</v>
      </c>
      <c r="G76" s="73">
        <v>0</v>
      </c>
      <c r="H76" s="73">
        <v>0</v>
      </c>
      <c r="I76" s="74">
        <v>0</v>
      </c>
      <c r="J76" s="73">
        <v>0</v>
      </c>
      <c r="K76" s="73">
        <v>0</v>
      </c>
      <c r="L76" s="51">
        <v>0</v>
      </c>
      <c r="M76" s="51">
        <v>0</v>
      </c>
      <c r="N76" s="50">
        <v>0</v>
      </c>
      <c r="O76" s="51">
        <v>0.25</v>
      </c>
      <c r="P76" s="51">
        <v>0.5</v>
      </c>
      <c r="Q76" s="51">
        <v>0.75</v>
      </c>
      <c r="R76" s="50">
        <v>1</v>
      </c>
      <c r="S76" s="51">
        <v>1.1666666666666667</v>
      </c>
      <c r="T76" s="51">
        <v>1.3333333333333335</v>
      </c>
      <c r="U76" s="51">
        <v>1.5000000000000002</v>
      </c>
      <c r="V76" s="51">
        <v>1.666666666666667</v>
      </c>
      <c r="W76" s="51">
        <v>6</v>
      </c>
      <c r="X76" s="51">
        <v>7</v>
      </c>
      <c r="Y76" s="50">
        <v>7</v>
      </c>
      <c r="Z76" s="51">
        <v>7</v>
      </c>
      <c r="AA76" s="38">
        <v>20</v>
      </c>
      <c r="AB76" s="420">
        <v>0.8</v>
      </c>
    </row>
    <row r="77" spans="1:28" s="49" customFormat="1" ht="15.75" thickBot="1">
      <c r="A77" s="45"/>
      <c r="B77" s="46" t="s">
        <v>212</v>
      </c>
      <c r="C77" s="71">
        <v>0</v>
      </c>
      <c r="D77" s="76">
        <v>0</v>
      </c>
      <c r="E77" s="77">
        <v>0</v>
      </c>
      <c r="F77" s="77">
        <v>0</v>
      </c>
      <c r="G77" s="77">
        <v>0</v>
      </c>
      <c r="H77" s="77">
        <v>0</v>
      </c>
      <c r="I77" s="77">
        <v>0</v>
      </c>
      <c r="J77" s="77">
        <v>0</v>
      </c>
      <c r="K77" s="77">
        <v>0</v>
      </c>
      <c r="L77" s="77">
        <v>0</v>
      </c>
      <c r="M77" s="77">
        <v>0</v>
      </c>
      <c r="N77" s="425">
        <v>0</v>
      </c>
      <c r="O77" s="426">
        <v>0</v>
      </c>
      <c r="P77" s="426">
        <v>0</v>
      </c>
      <c r="Q77" s="426">
        <v>0</v>
      </c>
      <c r="R77" s="77">
        <v>0</v>
      </c>
      <c r="S77" s="77">
        <v>5</v>
      </c>
      <c r="T77" s="77">
        <v>7</v>
      </c>
      <c r="U77" s="77">
        <v>2</v>
      </c>
      <c r="V77" s="78">
        <v>9</v>
      </c>
      <c r="W77" s="72">
        <v>9</v>
      </c>
      <c r="X77" s="70">
        <v>8</v>
      </c>
      <c r="Y77" s="70">
        <v>0</v>
      </c>
      <c r="Z77" s="70">
        <v>0</v>
      </c>
      <c r="AB77" s="421"/>
    </row>
    <row r="78" spans="1:28" s="49" customFormat="1">
      <c r="A78" s="45"/>
      <c r="B78" s="46"/>
      <c r="C78" s="53"/>
      <c r="D78" s="428"/>
      <c r="E78" s="428"/>
      <c r="F78" s="428"/>
      <c r="G78" s="53"/>
      <c r="H78" s="53"/>
      <c r="I78" s="53"/>
      <c r="J78" s="53"/>
      <c r="K78" s="53"/>
      <c r="L78" s="53"/>
      <c r="M78" s="53"/>
      <c r="N78" s="53"/>
      <c r="O78" s="53"/>
      <c r="P78" s="53"/>
      <c r="Q78" s="53"/>
      <c r="R78" s="53"/>
      <c r="S78" s="53"/>
      <c r="T78" s="53"/>
      <c r="U78" s="53"/>
      <c r="V78" s="53"/>
      <c r="W78" s="53"/>
      <c r="X78" s="53"/>
      <c r="Y78" s="53"/>
      <c r="Z78" s="53"/>
      <c r="AB78" s="421"/>
    </row>
    <row r="79" spans="1:28" ht="15.75" thickBot="1">
      <c r="A79" s="41" t="s">
        <v>164</v>
      </c>
      <c r="B79" s="42" t="s">
        <v>211</v>
      </c>
      <c r="C79" s="50">
        <v>0</v>
      </c>
      <c r="D79" s="73">
        <v>0</v>
      </c>
      <c r="E79" s="73">
        <v>0</v>
      </c>
      <c r="F79" s="73">
        <v>0</v>
      </c>
      <c r="G79" s="73">
        <v>0</v>
      </c>
      <c r="H79" s="73">
        <v>0</v>
      </c>
      <c r="I79" s="74">
        <v>0</v>
      </c>
      <c r="J79" s="73">
        <v>0</v>
      </c>
      <c r="K79" s="73">
        <v>0</v>
      </c>
      <c r="L79" s="51">
        <v>0</v>
      </c>
      <c r="M79" s="51">
        <v>0</v>
      </c>
      <c r="N79" s="50">
        <v>0</v>
      </c>
      <c r="O79" s="51">
        <v>0.25</v>
      </c>
      <c r="P79" s="51">
        <v>0.5</v>
      </c>
      <c r="Q79" s="51">
        <v>0.75</v>
      </c>
      <c r="R79" s="50">
        <v>1</v>
      </c>
      <c r="S79" s="51">
        <v>1.1666666666666667</v>
      </c>
      <c r="T79" s="51">
        <v>1.3333333333333335</v>
      </c>
      <c r="U79" s="51">
        <v>1.5000000000000002</v>
      </c>
      <c r="V79" s="51">
        <v>1.666666666666667</v>
      </c>
      <c r="W79" s="51">
        <v>3.5</v>
      </c>
      <c r="X79" s="51">
        <v>4</v>
      </c>
      <c r="Y79" s="50">
        <v>4</v>
      </c>
      <c r="Z79" s="51">
        <v>4</v>
      </c>
      <c r="AA79" s="38">
        <v>20</v>
      </c>
      <c r="AB79" s="420">
        <v>0.8</v>
      </c>
    </row>
    <row r="80" spans="1:28" s="49" customFormat="1" ht="15.75" thickBot="1">
      <c r="A80" s="45"/>
      <c r="B80" s="46" t="s">
        <v>210</v>
      </c>
      <c r="C80" s="71">
        <v>0</v>
      </c>
      <c r="D80" s="76">
        <v>0</v>
      </c>
      <c r="E80" s="77">
        <v>0</v>
      </c>
      <c r="F80" s="77">
        <v>0</v>
      </c>
      <c r="G80" s="77">
        <v>0</v>
      </c>
      <c r="H80" s="77">
        <v>0</v>
      </c>
      <c r="I80" s="77">
        <v>0</v>
      </c>
      <c r="J80" s="77">
        <v>0</v>
      </c>
      <c r="K80" s="77">
        <v>0</v>
      </c>
      <c r="L80" s="77">
        <v>0</v>
      </c>
      <c r="M80" s="77">
        <v>0</v>
      </c>
      <c r="N80" s="425">
        <v>0</v>
      </c>
      <c r="O80" s="426">
        <v>0</v>
      </c>
      <c r="P80" s="426">
        <v>0</v>
      </c>
      <c r="Q80" s="426">
        <v>0</v>
      </c>
      <c r="R80" s="77">
        <v>0</v>
      </c>
      <c r="S80" s="77">
        <v>6</v>
      </c>
      <c r="T80" s="77">
        <v>9</v>
      </c>
      <c r="U80" s="77">
        <v>1</v>
      </c>
      <c r="V80" s="78">
        <v>6</v>
      </c>
      <c r="W80" s="72">
        <v>6</v>
      </c>
      <c r="X80" s="70">
        <v>6</v>
      </c>
      <c r="Y80" s="70">
        <v>0</v>
      </c>
      <c r="Z80" s="70">
        <v>0</v>
      </c>
      <c r="AB80" s="421"/>
    </row>
    <row r="81" spans="1:28" s="49" customFormat="1">
      <c r="A81" s="45"/>
      <c r="B81" s="46"/>
      <c r="C81" s="53"/>
      <c r="D81" s="428"/>
      <c r="E81" s="428"/>
      <c r="F81" s="428"/>
      <c r="G81" s="53"/>
      <c r="H81" s="53"/>
      <c r="I81" s="53"/>
      <c r="J81" s="53"/>
      <c r="K81" s="53"/>
      <c r="L81" s="53"/>
      <c r="M81" s="53"/>
      <c r="N81" s="53"/>
      <c r="O81" s="53"/>
      <c r="P81" s="53"/>
      <c r="Q81" s="53"/>
      <c r="R81" s="53"/>
      <c r="S81" s="53"/>
      <c r="T81" s="53"/>
      <c r="U81" s="53"/>
      <c r="V81" s="53"/>
      <c r="W81" s="53"/>
      <c r="X81" s="53"/>
      <c r="Y81" s="53"/>
      <c r="Z81" s="53"/>
      <c r="AB81" s="421"/>
    </row>
    <row r="82" spans="1:28" ht="15.75" thickBot="1">
      <c r="A82" s="41" t="s">
        <v>165</v>
      </c>
      <c r="B82" s="42" t="s">
        <v>209</v>
      </c>
      <c r="C82" s="50">
        <v>0</v>
      </c>
      <c r="D82" s="73">
        <v>0</v>
      </c>
      <c r="E82" s="73">
        <v>0</v>
      </c>
      <c r="F82" s="73">
        <v>0</v>
      </c>
      <c r="G82" s="73">
        <v>0</v>
      </c>
      <c r="H82" s="73">
        <v>0</v>
      </c>
      <c r="I82" s="74">
        <v>0</v>
      </c>
      <c r="J82" s="73">
        <v>0</v>
      </c>
      <c r="K82" s="73">
        <v>0</v>
      </c>
      <c r="L82" s="51">
        <v>0</v>
      </c>
      <c r="M82" s="51">
        <v>0</v>
      </c>
      <c r="N82" s="50">
        <v>0</v>
      </c>
      <c r="O82" s="51">
        <v>0</v>
      </c>
      <c r="P82" s="51">
        <v>0</v>
      </c>
      <c r="Q82" s="51">
        <v>0</v>
      </c>
      <c r="R82" s="50">
        <v>0</v>
      </c>
      <c r="S82" s="51">
        <v>0.16666666666666666</v>
      </c>
      <c r="T82" s="51">
        <v>0.33333333333333331</v>
      </c>
      <c r="U82" s="51">
        <v>0.5</v>
      </c>
      <c r="V82" s="51">
        <v>0.66666666666666663</v>
      </c>
      <c r="W82" s="51">
        <v>0.83333333333333326</v>
      </c>
      <c r="X82" s="51">
        <v>0.99999999999999989</v>
      </c>
      <c r="Y82" s="50">
        <v>1</v>
      </c>
      <c r="Z82" s="51">
        <v>1</v>
      </c>
      <c r="AA82" s="38">
        <v>20</v>
      </c>
      <c r="AB82" s="420">
        <v>0.8</v>
      </c>
    </row>
    <row r="83" spans="1:28" s="49" customFormat="1" ht="15.75" thickBot="1">
      <c r="A83" s="45"/>
      <c r="B83" s="46" t="s">
        <v>208</v>
      </c>
      <c r="C83" s="71">
        <v>0</v>
      </c>
      <c r="D83" s="76">
        <v>0</v>
      </c>
      <c r="E83" s="77">
        <v>0</v>
      </c>
      <c r="F83" s="77">
        <v>0</v>
      </c>
      <c r="G83" s="77">
        <v>0</v>
      </c>
      <c r="H83" s="77">
        <v>0</v>
      </c>
      <c r="I83" s="77">
        <v>0</v>
      </c>
      <c r="J83" s="77">
        <v>0</v>
      </c>
      <c r="K83" s="77">
        <v>0</v>
      </c>
      <c r="L83" s="77">
        <v>0</v>
      </c>
      <c r="M83" s="77">
        <v>0</v>
      </c>
      <c r="N83" s="425">
        <v>0</v>
      </c>
      <c r="O83" s="426">
        <v>0</v>
      </c>
      <c r="P83" s="426">
        <v>0</v>
      </c>
      <c r="Q83" s="426">
        <v>0</v>
      </c>
      <c r="R83" s="77">
        <v>0</v>
      </c>
      <c r="S83" s="77">
        <v>1</v>
      </c>
      <c r="T83" s="77">
        <v>1</v>
      </c>
      <c r="U83" s="77">
        <v>0</v>
      </c>
      <c r="V83" s="78">
        <v>0</v>
      </c>
      <c r="W83" s="72">
        <v>0</v>
      </c>
      <c r="X83" s="70">
        <v>0</v>
      </c>
      <c r="Y83" s="70">
        <v>0</v>
      </c>
      <c r="Z83" s="70">
        <v>0</v>
      </c>
      <c r="AB83" s="421"/>
    </row>
    <row r="84" spans="1:28" s="49" customFormat="1">
      <c r="A84" s="45"/>
      <c r="B84" s="46"/>
      <c r="C84" s="53"/>
      <c r="D84" s="428"/>
      <c r="E84" s="428"/>
      <c r="F84" s="428"/>
      <c r="G84" s="53"/>
      <c r="H84" s="53"/>
      <c r="I84" s="53"/>
      <c r="J84" s="53"/>
      <c r="K84" s="53"/>
      <c r="L84" s="53"/>
      <c r="M84" s="53"/>
      <c r="N84" s="53"/>
      <c r="O84" s="53"/>
      <c r="P84" s="53"/>
      <c r="Q84" s="53"/>
      <c r="R84" s="53"/>
      <c r="S84" s="53"/>
      <c r="T84" s="53"/>
      <c r="U84" s="53"/>
      <c r="V84" s="53"/>
      <c r="W84" s="53"/>
      <c r="X84" s="53"/>
      <c r="Y84" s="53"/>
      <c r="Z84" s="53"/>
      <c r="AB84" s="421"/>
    </row>
    <row r="85" spans="1:28" ht="15.75" thickBot="1">
      <c r="A85" s="41" t="s">
        <v>160</v>
      </c>
      <c r="B85" s="42" t="s">
        <v>201</v>
      </c>
      <c r="C85" s="52"/>
      <c r="D85" s="52"/>
      <c r="E85" s="52"/>
      <c r="F85" s="52"/>
      <c r="G85" s="52"/>
      <c r="H85" s="52"/>
      <c r="I85" s="52"/>
      <c r="J85" s="52"/>
      <c r="K85" s="52"/>
      <c r="L85" s="52"/>
      <c r="M85" s="52"/>
      <c r="N85" s="50">
        <v>20</v>
      </c>
      <c r="O85" s="51">
        <v>21.25</v>
      </c>
      <c r="P85" s="51">
        <v>22.5</v>
      </c>
      <c r="Q85" s="51">
        <v>23.75</v>
      </c>
      <c r="R85" s="50">
        <v>25</v>
      </c>
      <c r="S85" s="51">
        <v>33.333333333333336</v>
      </c>
      <c r="T85" s="51">
        <v>41.666666666666671</v>
      </c>
      <c r="U85" s="51">
        <v>50.000000000000007</v>
      </c>
      <c r="V85" s="51">
        <v>58.333333333333343</v>
      </c>
      <c r="W85" s="51">
        <v>66.666666666666671</v>
      </c>
      <c r="X85" s="51">
        <v>75</v>
      </c>
      <c r="Y85" s="50">
        <v>75</v>
      </c>
      <c r="Z85" s="51">
        <v>75</v>
      </c>
      <c r="AA85" s="38">
        <v>100</v>
      </c>
      <c r="AB85" s="420">
        <v>4</v>
      </c>
    </row>
    <row r="86" spans="1:28" s="49" customFormat="1" ht="15.75" thickBot="1">
      <c r="A86" s="45"/>
      <c r="B86" s="46" t="s">
        <v>200</v>
      </c>
      <c r="C86" s="52"/>
      <c r="D86" s="52"/>
      <c r="E86" s="52"/>
      <c r="F86" s="52"/>
      <c r="G86" s="52"/>
      <c r="H86" s="52"/>
      <c r="I86" s="52"/>
      <c r="J86" s="52"/>
      <c r="K86" s="52"/>
      <c r="L86" s="52"/>
      <c r="M86" s="52"/>
      <c r="N86" s="52">
        <v>20</v>
      </c>
      <c r="O86" s="76">
        <v>20</v>
      </c>
      <c r="P86" s="426">
        <v>30</v>
      </c>
      <c r="Q86" s="426">
        <v>30</v>
      </c>
      <c r="R86" s="77">
        <v>30</v>
      </c>
      <c r="S86" s="77">
        <v>30</v>
      </c>
      <c r="T86" s="77">
        <v>40</v>
      </c>
      <c r="U86" s="77">
        <v>40</v>
      </c>
      <c r="V86" s="78">
        <v>63</v>
      </c>
      <c r="W86" s="72">
        <v>63</v>
      </c>
      <c r="X86" s="70">
        <v>70</v>
      </c>
      <c r="Y86" s="70">
        <v>0</v>
      </c>
      <c r="Z86" s="70">
        <v>0</v>
      </c>
      <c r="AB86" s="421"/>
    </row>
    <row r="87" spans="1:28" s="49" customFormat="1">
      <c r="A87" s="45"/>
      <c r="B87" s="46"/>
      <c r="C87" s="53"/>
      <c r="D87" s="428"/>
      <c r="E87" s="428"/>
      <c r="F87" s="428"/>
      <c r="G87" s="53"/>
      <c r="H87" s="53"/>
      <c r="I87" s="53"/>
      <c r="J87" s="53"/>
      <c r="K87" s="53"/>
      <c r="L87" s="53"/>
      <c r="M87" s="53"/>
      <c r="N87" s="53"/>
      <c r="O87" s="53"/>
      <c r="P87" s="53"/>
      <c r="Q87" s="53"/>
      <c r="R87" s="53"/>
      <c r="S87" s="53"/>
      <c r="T87" s="53"/>
      <c r="U87" s="53"/>
      <c r="V87" s="53"/>
      <c r="W87" s="53"/>
      <c r="X87" s="53"/>
      <c r="Y87" s="53"/>
      <c r="Z87" s="53"/>
      <c r="AB87" s="421"/>
    </row>
    <row r="88" spans="1:28" ht="15.75" thickBot="1">
      <c r="A88" s="41" t="s">
        <v>161</v>
      </c>
      <c r="B88" s="42" t="s">
        <v>198</v>
      </c>
      <c r="C88" s="52"/>
      <c r="D88" s="52"/>
      <c r="E88" s="52"/>
      <c r="F88" s="52"/>
      <c r="G88" s="52"/>
      <c r="H88" s="52"/>
      <c r="I88" s="52"/>
      <c r="J88" s="52"/>
      <c r="K88" s="52"/>
      <c r="L88" s="52"/>
      <c r="M88" s="52"/>
      <c r="N88" s="50">
        <v>5</v>
      </c>
      <c r="O88" s="51">
        <v>6.25</v>
      </c>
      <c r="P88" s="51">
        <v>7.5</v>
      </c>
      <c r="Q88" s="51">
        <v>8.75</v>
      </c>
      <c r="R88" s="50">
        <v>10</v>
      </c>
      <c r="S88" s="51">
        <v>15</v>
      </c>
      <c r="T88" s="51">
        <v>20</v>
      </c>
      <c r="U88" s="51">
        <v>25</v>
      </c>
      <c r="V88" s="51">
        <v>30</v>
      </c>
      <c r="W88" s="51">
        <v>35</v>
      </c>
      <c r="X88" s="51">
        <v>40</v>
      </c>
      <c r="Y88" s="50">
        <v>40</v>
      </c>
      <c r="Z88" s="51">
        <v>40</v>
      </c>
      <c r="AA88" s="38">
        <v>100</v>
      </c>
      <c r="AB88" s="420">
        <v>4</v>
      </c>
    </row>
    <row r="89" spans="1:28" s="49" customFormat="1" ht="15.75" thickBot="1">
      <c r="A89" s="45"/>
      <c r="B89" s="46" t="s">
        <v>199</v>
      </c>
      <c r="C89" s="52"/>
      <c r="D89" s="52"/>
      <c r="E89" s="52"/>
      <c r="F89" s="52"/>
      <c r="G89" s="52"/>
      <c r="H89" s="52"/>
      <c r="I89" s="52"/>
      <c r="J89" s="52"/>
      <c r="K89" s="52"/>
      <c r="L89" s="52"/>
      <c r="M89" s="52"/>
      <c r="N89" s="52">
        <v>5</v>
      </c>
      <c r="O89" s="76">
        <v>5</v>
      </c>
      <c r="P89" s="426">
        <v>10</v>
      </c>
      <c r="Q89" s="426">
        <v>10</v>
      </c>
      <c r="R89" s="77">
        <v>10</v>
      </c>
      <c r="S89" s="77">
        <v>10</v>
      </c>
      <c r="T89" s="77">
        <v>15</v>
      </c>
      <c r="U89" s="77">
        <v>57</v>
      </c>
      <c r="V89" s="78">
        <v>65</v>
      </c>
      <c r="W89" s="72">
        <v>65</v>
      </c>
      <c r="X89" s="70">
        <v>75.5</v>
      </c>
      <c r="Y89" s="70">
        <v>0</v>
      </c>
      <c r="Z89" s="70">
        <v>0</v>
      </c>
      <c r="AB89" s="421"/>
    </row>
    <row r="90" spans="1:28" s="49" customFormat="1">
      <c r="A90" s="45"/>
      <c r="B90" s="46"/>
      <c r="C90" s="53"/>
      <c r="D90" s="428"/>
      <c r="E90" s="428"/>
      <c r="F90" s="428"/>
      <c r="G90" s="53"/>
      <c r="H90" s="53"/>
      <c r="I90" s="53"/>
      <c r="J90" s="53"/>
      <c r="K90" s="53"/>
      <c r="L90" s="53"/>
      <c r="M90" s="53"/>
      <c r="N90" s="53"/>
      <c r="O90" s="53"/>
      <c r="P90" s="53"/>
      <c r="Q90" s="53"/>
      <c r="R90" s="53"/>
      <c r="S90" s="53"/>
      <c r="T90" s="53"/>
      <c r="U90" s="53"/>
      <c r="V90" s="53"/>
      <c r="W90" s="53"/>
      <c r="X90" s="53"/>
      <c r="Y90" s="53"/>
      <c r="Z90" s="53"/>
      <c r="AB90" s="421"/>
    </row>
    <row r="91" spans="1:28" ht="15.75" thickBot="1">
      <c r="A91" s="41" t="s">
        <v>40</v>
      </c>
      <c r="B91" s="42" t="s">
        <v>139</v>
      </c>
      <c r="C91" s="52"/>
      <c r="D91" s="52"/>
      <c r="E91" s="52"/>
      <c r="F91" s="52"/>
      <c r="G91" s="52"/>
      <c r="H91" s="52"/>
      <c r="I91" s="52"/>
      <c r="J91" s="52"/>
      <c r="K91" s="52"/>
      <c r="L91" s="52"/>
      <c r="M91" s="52"/>
      <c r="N91" s="43">
        <v>2</v>
      </c>
      <c r="O91" s="44">
        <v>2.0750000000000002</v>
      </c>
      <c r="P91" s="44">
        <v>2.1500000000000004</v>
      </c>
      <c r="Q91" s="44">
        <v>2.2250000000000005</v>
      </c>
      <c r="R91" s="43">
        <v>2.2999999999999998</v>
      </c>
      <c r="S91" s="44">
        <v>2.4166666666666665</v>
      </c>
      <c r="T91" s="44">
        <v>2.5333333333333332</v>
      </c>
      <c r="U91" s="44">
        <v>2.65</v>
      </c>
      <c r="V91" s="44">
        <v>2.7666666666666666</v>
      </c>
      <c r="W91" s="44">
        <v>2.8833333333333333</v>
      </c>
      <c r="X91" s="44">
        <v>3</v>
      </c>
      <c r="Y91" s="43">
        <v>3</v>
      </c>
      <c r="Z91" s="44">
        <v>3</v>
      </c>
      <c r="AA91" s="38">
        <v>5</v>
      </c>
      <c r="AB91" s="420">
        <v>0.16</v>
      </c>
    </row>
    <row r="92" spans="1:28" s="49" customFormat="1" ht="15.75" thickBot="1">
      <c r="A92" s="45"/>
      <c r="B92" s="46" t="s">
        <v>140</v>
      </c>
      <c r="C92" s="52"/>
      <c r="D92" s="52"/>
      <c r="E92" s="52"/>
      <c r="F92" s="52"/>
      <c r="G92" s="52"/>
      <c r="H92" s="52"/>
      <c r="I92" s="52"/>
      <c r="J92" s="52"/>
      <c r="K92" s="52"/>
      <c r="L92" s="52"/>
      <c r="M92" s="52"/>
      <c r="N92" s="47">
        <v>2</v>
      </c>
      <c r="O92" s="84">
        <v>2</v>
      </c>
      <c r="P92" s="424">
        <v>2</v>
      </c>
      <c r="Q92" s="424">
        <v>2.2000000000000002</v>
      </c>
      <c r="R92" s="85">
        <v>2.8</v>
      </c>
      <c r="S92" s="85">
        <v>2.8</v>
      </c>
      <c r="T92" s="85">
        <v>3.2</v>
      </c>
      <c r="U92" s="85">
        <v>3.2</v>
      </c>
      <c r="V92" s="86">
        <v>4</v>
      </c>
      <c r="W92" s="80">
        <v>4.0999999999999996</v>
      </c>
      <c r="X92" s="69">
        <v>4.0999999999999996</v>
      </c>
      <c r="Y92" s="69">
        <v>0</v>
      </c>
      <c r="Z92" s="69">
        <v>0</v>
      </c>
      <c r="AB92" s="421"/>
    </row>
    <row r="93" spans="1:28" s="49" customFormat="1">
      <c r="A93" s="45"/>
      <c r="B93" s="46"/>
      <c r="C93" s="48"/>
      <c r="D93" s="48"/>
      <c r="E93" s="48"/>
      <c r="F93" s="48"/>
      <c r="G93" s="48"/>
      <c r="H93" s="48"/>
      <c r="I93" s="48"/>
      <c r="J93" s="48"/>
      <c r="K93" s="48"/>
      <c r="L93" s="48"/>
      <c r="M93" s="48"/>
      <c r="N93" s="48"/>
      <c r="O93" s="48"/>
      <c r="P93" s="48"/>
      <c r="Q93" s="48"/>
      <c r="R93" s="48"/>
      <c r="S93" s="48"/>
      <c r="T93" s="48"/>
      <c r="U93" s="48"/>
      <c r="V93" s="48"/>
      <c r="W93" s="48"/>
      <c r="X93" s="48"/>
      <c r="Y93" s="48"/>
      <c r="Z93" s="48"/>
      <c r="AB93" s="421"/>
    </row>
    <row r="94" spans="1:28" ht="15.75" thickBot="1">
      <c r="A94" s="41" t="s">
        <v>32</v>
      </c>
      <c r="B94" s="42" t="s">
        <v>139</v>
      </c>
      <c r="C94" s="43" t="s">
        <v>255</v>
      </c>
      <c r="D94" s="81" t="e">
        <v>#VALUE!</v>
      </c>
      <c r="E94" s="81" t="e">
        <v>#VALUE!</v>
      </c>
      <c r="F94" s="81" t="e">
        <v>#VALUE!</v>
      </c>
      <c r="G94" s="81" t="e">
        <v>#VALUE!</v>
      </c>
      <c r="H94" s="81" t="e">
        <v>#VALUE!</v>
      </c>
      <c r="I94" s="82">
        <v>1</v>
      </c>
      <c r="J94" s="81">
        <v>1</v>
      </c>
      <c r="K94" s="81">
        <v>1</v>
      </c>
      <c r="L94" s="44">
        <v>1</v>
      </c>
      <c r="M94" s="44">
        <v>1</v>
      </c>
      <c r="N94" s="43">
        <v>1</v>
      </c>
      <c r="O94" s="44">
        <v>1.075</v>
      </c>
      <c r="P94" s="44">
        <v>1.1499999999999999</v>
      </c>
      <c r="Q94" s="44">
        <v>1.2249999999999999</v>
      </c>
      <c r="R94" s="43">
        <v>1.3</v>
      </c>
      <c r="S94" s="44">
        <v>1.5</v>
      </c>
      <c r="T94" s="44">
        <v>1.7</v>
      </c>
      <c r="U94" s="44">
        <v>1.9</v>
      </c>
      <c r="V94" s="44">
        <v>2.1</v>
      </c>
      <c r="W94" s="44">
        <v>2.7166666666666663</v>
      </c>
      <c r="X94" s="44">
        <v>2.9999999999999996</v>
      </c>
      <c r="Y94" s="43">
        <v>3</v>
      </c>
      <c r="Z94" s="44">
        <v>3</v>
      </c>
      <c r="AA94" s="38">
        <v>5</v>
      </c>
      <c r="AB94" s="420">
        <v>0.16</v>
      </c>
    </row>
    <row r="95" spans="1:28" s="49" customFormat="1" ht="15.75" thickBot="1">
      <c r="A95" s="45"/>
      <c r="B95" s="46" t="s">
        <v>140</v>
      </c>
      <c r="C95" s="79" t="s">
        <v>255</v>
      </c>
      <c r="D95" s="84">
        <v>0</v>
      </c>
      <c r="E95" s="85">
        <v>0</v>
      </c>
      <c r="F95" s="85">
        <v>0</v>
      </c>
      <c r="G95" s="85">
        <v>0</v>
      </c>
      <c r="H95" s="85">
        <v>0</v>
      </c>
      <c r="I95" s="85">
        <v>0</v>
      </c>
      <c r="J95" s="85">
        <v>0</v>
      </c>
      <c r="K95" s="85">
        <v>0</v>
      </c>
      <c r="L95" s="85">
        <v>0</v>
      </c>
      <c r="M95" s="85">
        <v>0</v>
      </c>
      <c r="N95" s="423">
        <v>1</v>
      </c>
      <c r="O95" s="424">
        <v>1</v>
      </c>
      <c r="P95" s="424">
        <v>1.2</v>
      </c>
      <c r="Q95" s="424">
        <v>1</v>
      </c>
      <c r="R95" s="85">
        <v>3</v>
      </c>
      <c r="S95" s="85">
        <v>3</v>
      </c>
      <c r="T95" s="85">
        <v>3.8</v>
      </c>
      <c r="U95" s="85">
        <v>3.8</v>
      </c>
      <c r="V95" s="86">
        <v>3.8</v>
      </c>
      <c r="W95" s="80">
        <v>3.8</v>
      </c>
      <c r="X95" s="69">
        <v>3.8</v>
      </c>
      <c r="Y95" s="69">
        <v>0</v>
      </c>
      <c r="Z95" s="69">
        <v>0</v>
      </c>
      <c r="AB95" s="421"/>
    </row>
    <row r="96" spans="1:28" s="49" customFormat="1">
      <c r="A96" s="45"/>
      <c r="B96" s="46"/>
      <c r="C96" s="48"/>
      <c r="D96" s="83"/>
      <c r="E96" s="83"/>
      <c r="F96" s="83"/>
      <c r="G96" s="83"/>
      <c r="H96" s="83"/>
      <c r="I96" s="83"/>
      <c r="J96" s="83"/>
      <c r="K96" s="83"/>
      <c r="L96" s="48"/>
      <c r="M96" s="48"/>
      <c r="N96" s="48"/>
      <c r="O96" s="48"/>
      <c r="P96" s="48"/>
      <c r="Q96" s="48"/>
      <c r="R96" s="48"/>
      <c r="S96" s="48"/>
      <c r="T96" s="48"/>
      <c r="U96" s="48"/>
      <c r="V96" s="48"/>
      <c r="W96" s="48"/>
      <c r="X96" s="48"/>
      <c r="Y96" s="48"/>
      <c r="Z96" s="48"/>
      <c r="AB96" s="421"/>
    </row>
    <row r="97" spans="1:28" ht="15.75" thickBot="1">
      <c r="A97" s="41" t="s">
        <v>33</v>
      </c>
      <c r="B97" s="42" t="s">
        <v>139</v>
      </c>
      <c r="C97" s="43" t="s">
        <v>255</v>
      </c>
      <c r="D97" s="81" t="e">
        <v>#VALUE!</v>
      </c>
      <c r="E97" s="81" t="e">
        <v>#VALUE!</v>
      </c>
      <c r="F97" s="81" t="e">
        <v>#VALUE!</v>
      </c>
      <c r="G97" s="81" t="e">
        <v>#VALUE!</v>
      </c>
      <c r="H97" s="81" t="e">
        <v>#VALUE!</v>
      </c>
      <c r="I97" s="82">
        <v>2</v>
      </c>
      <c r="J97" s="81">
        <v>2</v>
      </c>
      <c r="K97" s="81">
        <v>2</v>
      </c>
      <c r="L97" s="44">
        <v>2</v>
      </c>
      <c r="M97" s="44">
        <v>2</v>
      </c>
      <c r="N97" s="43">
        <v>2</v>
      </c>
      <c r="O97" s="44">
        <v>2.1</v>
      </c>
      <c r="P97" s="44">
        <v>2.2000000000000002</v>
      </c>
      <c r="Q97" s="44">
        <v>2.3000000000000003</v>
      </c>
      <c r="R97" s="43">
        <v>2.4</v>
      </c>
      <c r="S97" s="44">
        <v>2.5</v>
      </c>
      <c r="T97" s="44">
        <v>2.6</v>
      </c>
      <c r="U97" s="44">
        <v>2.7</v>
      </c>
      <c r="V97" s="44">
        <v>2.8000000000000003</v>
      </c>
      <c r="W97" s="44">
        <v>3.3166666666666673</v>
      </c>
      <c r="X97" s="44">
        <v>3.5000000000000009</v>
      </c>
      <c r="Y97" s="43">
        <v>3.5</v>
      </c>
      <c r="Z97" s="44">
        <v>3.5</v>
      </c>
      <c r="AA97" s="38">
        <v>5</v>
      </c>
      <c r="AB97" s="420">
        <v>0.16</v>
      </c>
    </row>
    <row r="98" spans="1:28" s="49" customFormat="1" ht="15.75" thickBot="1">
      <c r="A98" s="45"/>
      <c r="B98" s="46" t="s">
        <v>140</v>
      </c>
      <c r="C98" s="79" t="s">
        <v>255</v>
      </c>
      <c r="D98" s="84">
        <v>0</v>
      </c>
      <c r="E98" s="85">
        <v>0</v>
      </c>
      <c r="F98" s="85">
        <v>0</v>
      </c>
      <c r="G98" s="85">
        <v>0</v>
      </c>
      <c r="H98" s="85">
        <v>0</v>
      </c>
      <c r="I98" s="85">
        <v>0</v>
      </c>
      <c r="J98" s="85">
        <v>0</v>
      </c>
      <c r="K98" s="85">
        <v>0</v>
      </c>
      <c r="L98" s="85">
        <v>0</v>
      </c>
      <c r="M98" s="85">
        <v>0</v>
      </c>
      <c r="N98" s="423">
        <v>2</v>
      </c>
      <c r="O98" s="424">
        <v>2</v>
      </c>
      <c r="P98" s="424">
        <v>2.1</v>
      </c>
      <c r="Q98" s="424">
        <v>2</v>
      </c>
      <c r="R98" s="85">
        <v>3.3</v>
      </c>
      <c r="S98" s="85">
        <v>3.3</v>
      </c>
      <c r="T98" s="85">
        <v>4</v>
      </c>
      <c r="U98" s="85">
        <v>4</v>
      </c>
      <c r="V98" s="86">
        <v>4.3</v>
      </c>
      <c r="W98" s="80">
        <v>4.3</v>
      </c>
      <c r="X98" s="69">
        <v>4.3</v>
      </c>
      <c r="Y98" s="69">
        <v>0</v>
      </c>
      <c r="Z98" s="69">
        <v>0</v>
      </c>
      <c r="AB98" s="421"/>
    </row>
    <row r="99" spans="1:28" s="49" customFormat="1">
      <c r="A99" s="45"/>
      <c r="B99" s="46"/>
      <c r="C99" s="48"/>
      <c r="D99" s="83"/>
      <c r="E99" s="83"/>
      <c r="F99" s="83"/>
      <c r="G99" s="83"/>
      <c r="H99" s="83"/>
      <c r="I99" s="83"/>
      <c r="J99" s="83"/>
      <c r="K99" s="83"/>
      <c r="L99" s="48"/>
      <c r="M99" s="48"/>
      <c r="N99" s="48"/>
      <c r="O99" s="48"/>
      <c r="P99" s="48"/>
      <c r="Q99" s="48"/>
      <c r="R99" s="48"/>
      <c r="S99" s="48"/>
      <c r="T99" s="48"/>
      <c r="U99" s="48"/>
      <c r="V99" s="48"/>
      <c r="W99" s="48"/>
      <c r="X99" s="48"/>
      <c r="Y99" s="48"/>
      <c r="Z99" s="48"/>
      <c r="AB99" s="421"/>
    </row>
    <row r="100" spans="1:28" ht="15.75" thickBot="1">
      <c r="A100" s="41" t="s">
        <v>34</v>
      </c>
      <c r="B100" s="42" t="s">
        <v>139</v>
      </c>
      <c r="C100" s="43" t="s">
        <v>255</v>
      </c>
      <c r="D100" s="81" t="e">
        <v>#VALUE!</v>
      </c>
      <c r="E100" s="81" t="e">
        <v>#VALUE!</v>
      </c>
      <c r="F100" s="81" t="e">
        <v>#VALUE!</v>
      </c>
      <c r="G100" s="81" t="e">
        <v>#VALUE!</v>
      </c>
      <c r="H100" s="81" t="e">
        <v>#VALUE!</v>
      </c>
      <c r="I100" s="82">
        <v>1</v>
      </c>
      <c r="J100" s="81">
        <v>1</v>
      </c>
      <c r="K100" s="81">
        <v>1</v>
      </c>
      <c r="L100" s="44">
        <v>1</v>
      </c>
      <c r="M100" s="44">
        <v>1</v>
      </c>
      <c r="N100" s="43">
        <v>1</v>
      </c>
      <c r="O100" s="44">
        <v>1.075</v>
      </c>
      <c r="P100" s="44">
        <v>1.1499999999999999</v>
      </c>
      <c r="Q100" s="44">
        <v>1.2249999999999999</v>
      </c>
      <c r="R100" s="43">
        <v>1.3</v>
      </c>
      <c r="S100" s="44">
        <v>1.4333333333333333</v>
      </c>
      <c r="T100" s="44">
        <v>1.5666666666666667</v>
      </c>
      <c r="U100" s="44">
        <v>1.7</v>
      </c>
      <c r="V100" s="44">
        <v>1.8333333333333333</v>
      </c>
      <c r="W100" s="44">
        <v>2.3000000000000003</v>
      </c>
      <c r="X100" s="44">
        <v>2.5000000000000004</v>
      </c>
      <c r="Y100" s="43">
        <v>2.5</v>
      </c>
      <c r="Z100" s="44">
        <v>2.5</v>
      </c>
      <c r="AA100" s="38">
        <v>5</v>
      </c>
      <c r="AB100" s="420">
        <v>0.16</v>
      </c>
    </row>
    <row r="101" spans="1:28" s="49" customFormat="1" ht="15.75" thickBot="1">
      <c r="A101" s="45"/>
      <c r="B101" s="46" t="s">
        <v>140</v>
      </c>
      <c r="C101" s="79" t="s">
        <v>255</v>
      </c>
      <c r="D101" s="84">
        <v>0</v>
      </c>
      <c r="E101" s="85">
        <v>0</v>
      </c>
      <c r="F101" s="85">
        <v>0</v>
      </c>
      <c r="G101" s="85">
        <v>0</v>
      </c>
      <c r="H101" s="85">
        <v>0</v>
      </c>
      <c r="I101" s="85">
        <v>0</v>
      </c>
      <c r="J101" s="85">
        <v>0</v>
      </c>
      <c r="K101" s="85">
        <v>0</v>
      </c>
      <c r="L101" s="85">
        <v>0</v>
      </c>
      <c r="M101" s="85">
        <v>0</v>
      </c>
      <c r="N101" s="423">
        <v>1</v>
      </c>
      <c r="O101" s="424">
        <v>1</v>
      </c>
      <c r="P101" s="424">
        <v>1.2</v>
      </c>
      <c r="Q101" s="424">
        <v>2.1</v>
      </c>
      <c r="R101" s="85">
        <v>2.6</v>
      </c>
      <c r="S101" s="85">
        <v>2.6</v>
      </c>
      <c r="T101" s="85">
        <v>2.7</v>
      </c>
      <c r="U101" s="85">
        <v>3.3</v>
      </c>
      <c r="V101" s="86">
        <v>3.3</v>
      </c>
      <c r="W101" s="80">
        <v>3.3</v>
      </c>
      <c r="X101" s="69">
        <v>3.3</v>
      </c>
      <c r="Y101" s="69">
        <v>0</v>
      </c>
      <c r="Z101" s="69">
        <v>0</v>
      </c>
      <c r="AB101" s="421"/>
    </row>
    <row r="102" spans="1:28" s="49" customFormat="1">
      <c r="A102" s="45"/>
      <c r="B102" s="46"/>
      <c r="C102" s="48"/>
      <c r="D102" s="83"/>
      <c r="E102" s="83"/>
      <c r="F102" s="83"/>
      <c r="G102" s="83"/>
      <c r="H102" s="83"/>
      <c r="I102" s="83"/>
      <c r="J102" s="83"/>
      <c r="K102" s="83"/>
      <c r="L102" s="48"/>
      <c r="M102" s="48"/>
      <c r="N102" s="48"/>
      <c r="O102" s="48"/>
      <c r="P102" s="48"/>
      <c r="Q102" s="48"/>
      <c r="R102" s="48"/>
      <c r="S102" s="48"/>
      <c r="T102" s="48"/>
      <c r="U102" s="48"/>
      <c r="V102" s="48"/>
      <c r="W102" s="48"/>
      <c r="X102" s="48"/>
      <c r="Y102" s="48"/>
      <c r="Z102" s="48"/>
      <c r="AB102" s="421"/>
    </row>
    <row r="103" spans="1:28" ht="15.75" thickBot="1">
      <c r="A103" s="41" t="s">
        <v>41</v>
      </c>
      <c r="B103" s="42" t="s">
        <v>139</v>
      </c>
      <c r="C103" s="43" t="s">
        <v>255</v>
      </c>
      <c r="D103" s="81" t="e">
        <v>#VALUE!</v>
      </c>
      <c r="E103" s="81" t="e">
        <v>#VALUE!</v>
      </c>
      <c r="F103" s="81" t="e">
        <v>#VALUE!</v>
      </c>
      <c r="G103" s="81" t="e">
        <v>#VALUE!</v>
      </c>
      <c r="H103" s="81" t="e">
        <v>#VALUE!</v>
      </c>
      <c r="I103" s="82">
        <v>1</v>
      </c>
      <c r="J103" s="81">
        <v>1</v>
      </c>
      <c r="K103" s="81">
        <v>1</v>
      </c>
      <c r="L103" s="44">
        <v>1</v>
      </c>
      <c r="M103" s="44">
        <v>1</v>
      </c>
      <c r="N103" s="43">
        <v>1</v>
      </c>
      <c r="O103" s="44">
        <v>1.075</v>
      </c>
      <c r="P103" s="44">
        <v>1.1499999999999999</v>
      </c>
      <c r="Q103" s="44">
        <v>1.2249999999999999</v>
      </c>
      <c r="R103" s="43">
        <v>1.3</v>
      </c>
      <c r="S103" s="44">
        <v>1.5</v>
      </c>
      <c r="T103" s="44">
        <v>1.7</v>
      </c>
      <c r="U103" s="44">
        <v>1.9</v>
      </c>
      <c r="V103" s="44">
        <v>2.1</v>
      </c>
      <c r="W103" s="44">
        <v>2.4666666666666668</v>
      </c>
      <c r="X103" s="44">
        <v>2.7</v>
      </c>
      <c r="Y103" s="43">
        <v>2.7</v>
      </c>
      <c r="Z103" s="44">
        <v>2.7</v>
      </c>
      <c r="AA103" s="38">
        <v>5</v>
      </c>
      <c r="AB103" s="420">
        <v>0.16</v>
      </c>
    </row>
    <row r="104" spans="1:28" s="49" customFormat="1" ht="15.75" thickBot="1">
      <c r="A104" s="45"/>
      <c r="B104" s="46" t="s">
        <v>140</v>
      </c>
      <c r="C104" s="79" t="s">
        <v>255</v>
      </c>
      <c r="D104" s="84">
        <v>0</v>
      </c>
      <c r="E104" s="85">
        <v>0</v>
      </c>
      <c r="F104" s="85">
        <v>0</v>
      </c>
      <c r="G104" s="85">
        <v>0</v>
      </c>
      <c r="H104" s="85">
        <v>0</v>
      </c>
      <c r="I104" s="85">
        <v>0</v>
      </c>
      <c r="J104" s="85">
        <v>0</v>
      </c>
      <c r="K104" s="85">
        <v>0</v>
      </c>
      <c r="L104" s="85">
        <v>0</v>
      </c>
      <c r="M104" s="85">
        <v>0</v>
      </c>
      <c r="N104" s="423">
        <v>1</v>
      </c>
      <c r="O104" s="424">
        <v>1</v>
      </c>
      <c r="P104" s="424">
        <v>1.3</v>
      </c>
      <c r="Q104" s="424">
        <v>1.5</v>
      </c>
      <c r="R104" s="85">
        <v>2.5</v>
      </c>
      <c r="S104" s="85">
        <v>2.5</v>
      </c>
      <c r="T104" s="85">
        <v>2.7</v>
      </c>
      <c r="U104" s="85">
        <v>3.1</v>
      </c>
      <c r="V104" s="86">
        <v>3.2</v>
      </c>
      <c r="W104" s="80">
        <v>3.2</v>
      </c>
      <c r="X104" s="69">
        <v>3.2</v>
      </c>
      <c r="Y104" s="69">
        <v>0</v>
      </c>
      <c r="Z104" s="69">
        <v>0</v>
      </c>
      <c r="AB104" s="421"/>
    </row>
    <row r="105" spans="1:28" s="49" customFormat="1">
      <c r="A105" s="45"/>
      <c r="B105" s="46"/>
      <c r="C105" s="48"/>
      <c r="D105" s="83"/>
      <c r="E105" s="83"/>
      <c r="F105" s="83"/>
      <c r="G105" s="83"/>
      <c r="H105" s="83"/>
      <c r="I105" s="83"/>
      <c r="J105" s="83"/>
      <c r="K105" s="83"/>
      <c r="L105" s="48"/>
      <c r="M105" s="48"/>
      <c r="N105" s="48"/>
      <c r="O105" s="48"/>
      <c r="P105" s="48"/>
      <c r="Q105" s="48"/>
      <c r="R105" s="48"/>
      <c r="S105" s="48"/>
      <c r="T105" s="48"/>
      <c r="U105" s="48"/>
      <c r="V105" s="48"/>
      <c r="W105" s="48"/>
      <c r="X105" s="48"/>
      <c r="Y105" s="48"/>
      <c r="Z105" s="48"/>
      <c r="AB105" s="421"/>
    </row>
    <row r="106" spans="1:28" ht="15.75" thickBot="1">
      <c r="A106" s="41" t="s">
        <v>181</v>
      </c>
      <c r="B106" s="42" t="s">
        <v>204</v>
      </c>
      <c r="C106" s="50" t="s">
        <v>255</v>
      </c>
      <c r="D106" s="73" t="e">
        <v>#VALUE!</v>
      </c>
      <c r="E106" s="73" t="e">
        <v>#VALUE!</v>
      </c>
      <c r="F106" s="73" t="e">
        <v>#VALUE!</v>
      </c>
      <c r="G106" s="73" t="e">
        <v>#VALUE!</v>
      </c>
      <c r="H106" s="73" t="e">
        <v>#VALUE!</v>
      </c>
      <c r="I106" s="74">
        <v>0</v>
      </c>
      <c r="J106" s="73">
        <v>0.33333333333333331</v>
      </c>
      <c r="K106" s="73">
        <v>0.66666666666666663</v>
      </c>
      <c r="L106" s="51">
        <v>1</v>
      </c>
      <c r="M106" s="51">
        <v>1.3333333333333333</v>
      </c>
      <c r="N106" s="50">
        <v>2</v>
      </c>
      <c r="O106" s="51">
        <v>2.25</v>
      </c>
      <c r="P106" s="51">
        <v>2.5</v>
      </c>
      <c r="Q106" s="51">
        <v>2.75</v>
      </c>
      <c r="R106" s="50">
        <v>3</v>
      </c>
      <c r="S106" s="51">
        <v>3.3333333333333335</v>
      </c>
      <c r="T106" s="51">
        <v>3.666666666666667</v>
      </c>
      <c r="U106" s="51">
        <v>4</v>
      </c>
      <c r="V106" s="51">
        <v>4.333333333333333</v>
      </c>
      <c r="W106" s="51">
        <v>4.6666666666666661</v>
      </c>
      <c r="X106" s="51">
        <v>4.9999999999999991</v>
      </c>
      <c r="Y106" s="50">
        <v>5</v>
      </c>
      <c r="Z106" s="51">
        <v>5</v>
      </c>
      <c r="AA106" s="38">
        <v>20</v>
      </c>
      <c r="AB106" s="420">
        <v>0.8</v>
      </c>
    </row>
    <row r="107" spans="1:28" s="49" customFormat="1" ht="15.75" thickBot="1">
      <c r="A107" s="45"/>
      <c r="B107" s="46" t="s">
        <v>205</v>
      </c>
      <c r="C107" s="71" t="s">
        <v>255</v>
      </c>
      <c r="D107" s="76">
        <v>0</v>
      </c>
      <c r="E107" s="77">
        <v>0</v>
      </c>
      <c r="F107" s="77">
        <v>0</v>
      </c>
      <c r="G107" s="77">
        <v>0</v>
      </c>
      <c r="H107" s="77">
        <v>0</v>
      </c>
      <c r="I107" s="77">
        <v>0</v>
      </c>
      <c r="J107" s="77">
        <v>0</v>
      </c>
      <c r="K107" s="77">
        <v>0</v>
      </c>
      <c r="L107" s="77">
        <v>0</v>
      </c>
      <c r="M107" s="77">
        <v>0</v>
      </c>
      <c r="N107" s="425">
        <v>2</v>
      </c>
      <c r="O107" s="426">
        <v>2</v>
      </c>
      <c r="P107" s="426">
        <v>2</v>
      </c>
      <c r="Q107" s="426">
        <v>4</v>
      </c>
      <c r="R107" s="77">
        <v>4</v>
      </c>
      <c r="S107" s="77">
        <v>4</v>
      </c>
      <c r="T107" s="77">
        <v>4</v>
      </c>
      <c r="U107" s="77">
        <v>4</v>
      </c>
      <c r="V107" s="78">
        <v>5</v>
      </c>
      <c r="W107" s="72">
        <v>5</v>
      </c>
      <c r="X107" s="70">
        <v>5</v>
      </c>
      <c r="Y107" s="70">
        <v>0</v>
      </c>
      <c r="Z107" s="70">
        <v>0</v>
      </c>
      <c r="AB107" s="421"/>
    </row>
    <row r="108" spans="1:28" s="49" customFormat="1">
      <c r="A108" s="45"/>
      <c r="B108" s="46"/>
      <c r="C108" s="53"/>
      <c r="D108" s="75"/>
      <c r="E108" s="75"/>
      <c r="F108" s="75"/>
      <c r="G108" s="75"/>
      <c r="H108" s="75"/>
      <c r="I108" s="75"/>
      <c r="J108" s="75"/>
      <c r="K108" s="75"/>
      <c r="L108" s="53"/>
      <c r="M108" s="53"/>
      <c r="N108" s="53"/>
      <c r="O108" s="53"/>
      <c r="P108" s="53"/>
      <c r="Q108" s="53"/>
      <c r="R108" s="53"/>
      <c r="S108" s="53"/>
      <c r="T108" s="53"/>
      <c r="U108" s="53"/>
      <c r="V108" s="53"/>
      <c r="W108" s="53"/>
      <c r="X108" s="53"/>
      <c r="Y108" s="53"/>
      <c r="Z108" s="53"/>
      <c r="AB108" s="421"/>
    </row>
    <row r="109" spans="1:28" ht="15.75" thickBot="1">
      <c r="A109" s="41" t="s">
        <v>182</v>
      </c>
      <c r="B109" s="42" t="s">
        <v>206</v>
      </c>
      <c r="C109" s="50" t="s">
        <v>255</v>
      </c>
      <c r="D109" s="73" t="e">
        <v>#VALUE!</v>
      </c>
      <c r="E109" s="73" t="e">
        <v>#VALUE!</v>
      </c>
      <c r="F109" s="73" t="e">
        <v>#VALUE!</v>
      </c>
      <c r="G109" s="73" t="e">
        <v>#VALUE!</v>
      </c>
      <c r="H109" s="73" t="e">
        <v>#VALUE!</v>
      </c>
      <c r="I109" s="74">
        <v>0</v>
      </c>
      <c r="J109" s="73">
        <v>0.16666666666666666</v>
      </c>
      <c r="K109" s="73">
        <v>0.33333333333333331</v>
      </c>
      <c r="L109" s="51">
        <v>0.5</v>
      </c>
      <c r="M109" s="51">
        <v>0.66666666666666663</v>
      </c>
      <c r="N109" s="50">
        <v>1</v>
      </c>
      <c r="O109" s="51">
        <v>1</v>
      </c>
      <c r="P109" s="51">
        <v>1</v>
      </c>
      <c r="Q109" s="51">
        <v>1</v>
      </c>
      <c r="R109" s="50">
        <v>1</v>
      </c>
      <c r="S109" s="51">
        <v>1.1666666666666667</v>
      </c>
      <c r="T109" s="51">
        <v>1.3333333333333335</v>
      </c>
      <c r="U109" s="51">
        <v>1.5000000000000002</v>
      </c>
      <c r="V109" s="51">
        <v>1.666666666666667</v>
      </c>
      <c r="W109" s="51">
        <v>1.8333333333333337</v>
      </c>
      <c r="X109" s="51">
        <v>2.0000000000000004</v>
      </c>
      <c r="Y109" s="50">
        <v>2</v>
      </c>
      <c r="Z109" s="51">
        <v>2</v>
      </c>
      <c r="AA109" s="38">
        <v>10</v>
      </c>
      <c r="AB109" s="420">
        <v>0.4</v>
      </c>
    </row>
    <row r="110" spans="1:28" s="49" customFormat="1" ht="15.75" thickBot="1">
      <c r="A110" s="45"/>
      <c r="B110" s="46" t="s">
        <v>207</v>
      </c>
      <c r="C110" s="71" t="s">
        <v>255</v>
      </c>
      <c r="D110" s="76">
        <v>0</v>
      </c>
      <c r="E110" s="77">
        <v>0</v>
      </c>
      <c r="F110" s="77">
        <v>0</v>
      </c>
      <c r="G110" s="77">
        <v>0</v>
      </c>
      <c r="H110" s="77">
        <v>0</v>
      </c>
      <c r="I110" s="77">
        <v>0</v>
      </c>
      <c r="J110" s="77">
        <v>0</v>
      </c>
      <c r="K110" s="77">
        <v>0</v>
      </c>
      <c r="L110" s="77">
        <v>0</v>
      </c>
      <c r="M110" s="77">
        <v>0</v>
      </c>
      <c r="N110" s="425">
        <v>1</v>
      </c>
      <c r="O110" s="426">
        <v>1</v>
      </c>
      <c r="P110" s="426">
        <v>1</v>
      </c>
      <c r="Q110" s="426">
        <v>1</v>
      </c>
      <c r="R110" s="77">
        <v>2</v>
      </c>
      <c r="S110" s="77">
        <v>2</v>
      </c>
      <c r="T110" s="77">
        <v>2</v>
      </c>
      <c r="U110" s="77">
        <v>2</v>
      </c>
      <c r="V110" s="78">
        <v>2</v>
      </c>
      <c r="W110" s="72">
        <v>2</v>
      </c>
      <c r="X110" s="70">
        <v>2</v>
      </c>
      <c r="Y110" s="70">
        <v>0</v>
      </c>
      <c r="Z110" s="70">
        <v>0</v>
      </c>
      <c r="AB110" s="421"/>
    </row>
    <row r="111" spans="1:28" s="49" customFormat="1">
      <c r="A111" s="45"/>
      <c r="B111" s="46"/>
      <c r="C111" s="53"/>
      <c r="D111" s="75"/>
      <c r="E111" s="75"/>
      <c r="F111" s="75"/>
      <c r="G111" s="75"/>
      <c r="H111" s="75"/>
      <c r="I111" s="75"/>
      <c r="J111" s="75"/>
      <c r="K111" s="75"/>
      <c r="L111" s="53"/>
      <c r="M111" s="53"/>
      <c r="N111" s="53"/>
      <c r="O111" s="53"/>
      <c r="P111" s="53"/>
      <c r="Q111" s="53"/>
      <c r="R111" s="53"/>
      <c r="S111" s="53"/>
      <c r="T111" s="53"/>
      <c r="U111" s="53"/>
      <c r="V111" s="53"/>
      <c r="W111" s="53"/>
      <c r="X111" s="53"/>
      <c r="Y111" s="53"/>
      <c r="Z111" s="53"/>
      <c r="AB111" s="421"/>
    </row>
    <row r="112" spans="1:28" ht="15.75" thickBot="1">
      <c r="A112" s="41" t="s">
        <v>695</v>
      </c>
      <c r="B112" s="42" t="s">
        <v>816</v>
      </c>
      <c r="C112" s="50">
        <v>0</v>
      </c>
      <c r="D112" s="73">
        <v>0</v>
      </c>
      <c r="E112" s="73">
        <v>0</v>
      </c>
      <c r="F112" s="73">
        <v>0</v>
      </c>
      <c r="G112" s="73">
        <v>0</v>
      </c>
      <c r="H112" s="73">
        <v>0</v>
      </c>
      <c r="I112" s="74">
        <v>0</v>
      </c>
      <c r="J112" s="73">
        <v>0</v>
      </c>
      <c r="K112" s="73">
        <v>0</v>
      </c>
      <c r="L112" s="51">
        <v>0</v>
      </c>
      <c r="M112" s="51">
        <v>0</v>
      </c>
      <c r="N112" s="50">
        <v>0</v>
      </c>
      <c r="O112" s="51">
        <v>1</v>
      </c>
      <c r="P112" s="51">
        <v>2</v>
      </c>
      <c r="Q112" s="51">
        <v>3</v>
      </c>
      <c r="R112" s="50">
        <v>4</v>
      </c>
      <c r="S112" s="51">
        <v>4.5</v>
      </c>
      <c r="T112" s="51">
        <v>5</v>
      </c>
      <c r="U112" s="51">
        <v>5.5</v>
      </c>
      <c r="V112" s="51">
        <v>6</v>
      </c>
      <c r="W112" s="51">
        <v>5.6666666666666652</v>
      </c>
      <c r="X112" s="51">
        <v>5.9999999999999982</v>
      </c>
      <c r="Y112" s="50">
        <v>6</v>
      </c>
      <c r="Z112" s="51">
        <v>6</v>
      </c>
      <c r="AA112" s="38">
        <v>20</v>
      </c>
      <c r="AB112" s="420">
        <v>0.8</v>
      </c>
    </row>
    <row r="113" spans="1:28" s="49" customFormat="1" ht="15.75" thickBot="1">
      <c r="A113" s="45"/>
      <c r="B113" s="46" t="s">
        <v>817</v>
      </c>
      <c r="C113" s="71">
        <v>0</v>
      </c>
      <c r="D113" s="76">
        <v>0</v>
      </c>
      <c r="E113" s="77">
        <v>0</v>
      </c>
      <c r="F113" s="77">
        <v>0</v>
      </c>
      <c r="G113" s="77">
        <v>0</v>
      </c>
      <c r="H113" s="77">
        <v>0</v>
      </c>
      <c r="I113" s="77">
        <v>0</v>
      </c>
      <c r="J113" s="77">
        <v>0</v>
      </c>
      <c r="K113" s="77">
        <v>0</v>
      </c>
      <c r="L113" s="77">
        <v>0</v>
      </c>
      <c r="M113" s="77">
        <v>0</v>
      </c>
      <c r="N113" s="425">
        <v>2</v>
      </c>
      <c r="O113" s="426">
        <v>2</v>
      </c>
      <c r="P113" s="426">
        <v>2</v>
      </c>
      <c r="Q113" s="426">
        <v>2</v>
      </c>
      <c r="R113" s="77">
        <v>2</v>
      </c>
      <c r="S113" s="77">
        <v>2</v>
      </c>
      <c r="T113" s="77">
        <v>2</v>
      </c>
      <c r="U113" s="77">
        <v>3</v>
      </c>
      <c r="V113" s="78">
        <v>4</v>
      </c>
      <c r="W113" s="72">
        <v>4</v>
      </c>
      <c r="X113" s="70">
        <v>4</v>
      </c>
      <c r="Y113" s="70">
        <v>0</v>
      </c>
      <c r="Z113" s="70">
        <v>0</v>
      </c>
      <c r="AA113" s="429"/>
      <c r="AB113" s="430"/>
    </row>
    <row r="114" spans="1:28" s="49" customFormat="1">
      <c r="A114" s="45"/>
      <c r="B114" s="46"/>
      <c r="C114" s="53"/>
      <c r="D114" s="75"/>
      <c r="E114" s="75"/>
      <c r="F114" s="75"/>
      <c r="G114" s="75"/>
      <c r="H114" s="75"/>
      <c r="I114" s="75"/>
      <c r="J114" s="75"/>
      <c r="K114" s="75"/>
      <c r="L114" s="53"/>
      <c r="M114" s="53"/>
      <c r="N114" s="53"/>
      <c r="O114" s="53"/>
      <c r="P114" s="53"/>
      <c r="Q114" s="53"/>
      <c r="R114" s="53"/>
      <c r="S114" s="53"/>
      <c r="T114" s="53"/>
      <c r="U114" s="53"/>
      <c r="V114" s="53"/>
      <c r="W114" s="53"/>
      <c r="X114" s="53"/>
      <c r="Y114" s="53"/>
      <c r="Z114" s="53"/>
      <c r="AA114" s="429"/>
      <c r="AB114" s="430"/>
    </row>
    <row r="115" spans="1:28" ht="15.75" thickBot="1">
      <c r="A115" s="41" t="s">
        <v>696</v>
      </c>
      <c r="B115" s="42" t="s">
        <v>818</v>
      </c>
      <c r="C115" s="52"/>
      <c r="D115" s="52"/>
      <c r="E115" s="52"/>
      <c r="F115" s="52"/>
      <c r="G115" s="52"/>
      <c r="H115" s="52"/>
      <c r="I115" s="52"/>
      <c r="J115" s="52"/>
      <c r="K115" s="52"/>
      <c r="L115" s="52"/>
      <c r="M115" s="52"/>
      <c r="N115" s="52"/>
      <c r="O115" s="52"/>
      <c r="P115" s="52"/>
      <c r="Q115" s="52"/>
      <c r="R115" s="50">
        <v>5</v>
      </c>
      <c r="S115" s="51">
        <v>4.166666666666667</v>
      </c>
      <c r="T115" s="51">
        <v>3.3333333333333335</v>
      </c>
      <c r="U115" s="51">
        <v>2.5</v>
      </c>
      <c r="V115" s="51">
        <v>1.6666666666666665</v>
      </c>
      <c r="W115" s="51">
        <v>2.6666666666666665</v>
      </c>
      <c r="X115" s="51">
        <v>3</v>
      </c>
      <c r="Y115" s="50">
        <v>3</v>
      </c>
      <c r="Z115" s="51">
        <v>3</v>
      </c>
      <c r="AA115" s="38">
        <v>20</v>
      </c>
      <c r="AB115" s="420">
        <v>0.8</v>
      </c>
    </row>
    <row r="116" spans="1:28" s="49" customFormat="1" ht="15.75" thickBot="1">
      <c r="A116" s="45"/>
      <c r="B116" s="46" t="s">
        <v>819</v>
      </c>
      <c r="C116" s="52"/>
      <c r="D116" s="52"/>
      <c r="E116" s="52"/>
      <c r="F116" s="52"/>
      <c r="G116" s="52"/>
      <c r="H116" s="52"/>
      <c r="I116" s="52"/>
      <c r="J116" s="52"/>
      <c r="K116" s="52"/>
      <c r="L116" s="52"/>
      <c r="M116" s="52"/>
      <c r="N116" s="52"/>
      <c r="O116" s="52"/>
      <c r="P116" s="52"/>
      <c r="Q116" s="52"/>
      <c r="R116" s="52">
        <v>5</v>
      </c>
      <c r="S116" s="77">
        <v>0</v>
      </c>
      <c r="T116" s="77">
        <v>0</v>
      </c>
      <c r="U116" s="77">
        <v>0</v>
      </c>
      <c r="V116" s="78">
        <v>3</v>
      </c>
      <c r="W116" s="72">
        <v>3</v>
      </c>
      <c r="X116" s="70">
        <v>3</v>
      </c>
      <c r="Y116" s="70">
        <v>0</v>
      </c>
      <c r="Z116" s="70">
        <v>0</v>
      </c>
      <c r="AB116" s="421"/>
    </row>
    <row r="117" spans="1:28" s="49" customFormat="1">
      <c r="A117" s="45"/>
      <c r="B117" s="46"/>
      <c r="C117" s="53"/>
      <c r="D117" s="75"/>
      <c r="E117" s="75"/>
      <c r="F117" s="75"/>
      <c r="G117" s="75"/>
      <c r="H117" s="75"/>
      <c r="I117" s="75"/>
      <c r="J117" s="75"/>
      <c r="K117" s="75"/>
      <c r="L117" s="53"/>
      <c r="M117" s="53"/>
      <c r="N117" s="53"/>
      <c r="O117" s="53"/>
      <c r="P117" s="53"/>
      <c r="Q117" s="53"/>
      <c r="R117" s="53"/>
      <c r="S117" s="53"/>
      <c r="T117" s="53"/>
      <c r="U117" s="53"/>
      <c r="V117" s="53"/>
      <c r="W117" s="53"/>
      <c r="X117" s="53"/>
      <c r="Y117" s="53"/>
      <c r="Z117" s="53"/>
      <c r="AB117" s="421"/>
    </row>
    <row r="118" spans="1:28" ht="15.75" thickBot="1">
      <c r="A118" s="41" t="s">
        <v>697</v>
      </c>
      <c r="B118" s="42" t="s">
        <v>820</v>
      </c>
      <c r="C118" s="52"/>
      <c r="D118" s="52"/>
      <c r="E118" s="52"/>
      <c r="F118" s="52"/>
      <c r="G118" s="52"/>
      <c r="H118" s="52"/>
      <c r="I118" s="52"/>
      <c r="J118" s="52"/>
      <c r="K118" s="52"/>
      <c r="L118" s="52"/>
      <c r="M118" s="52"/>
      <c r="N118" s="52"/>
      <c r="O118" s="52"/>
      <c r="P118" s="52"/>
      <c r="Q118" s="52"/>
      <c r="R118" s="50">
        <v>5</v>
      </c>
      <c r="S118" s="51">
        <v>4.166666666666667</v>
      </c>
      <c r="T118" s="51">
        <v>3.3333333333333335</v>
      </c>
      <c r="U118" s="51">
        <v>2.5</v>
      </c>
      <c r="V118" s="51">
        <v>1.6666666666666665</v>
      </c>
      <c r="W118" s="51">
        <v>1</v>
      </c>
      <c r="X118" s="51">
        <v>1</v>
      </c>
      <c r="Y118" s="50">
        <v>1</v>
      </c>
      <c r="Z118" s="51">
        <v>1</v>
      </c>
      <c r="AA118" s="38">
        <v>10</v>
      </c>
      <c r="AB118" s="420">
        <v>0.4</v>
      </c>
    </row>
    <row r="119" spans="1:28" s="49" customFormat="1" ht="15.75" thickBot="1">
      <c r="A119" s="45"/>
      <c r="B119" s="46" t="s">
        <v>821</v>
      </c>
      <c r="C119" s="52"/>
      <c r="D119" s="52"/>
      <c r="E119" s="52"/>
      <c r="F119" s="52"/>
      <c r="G119" s="52"/>
      <c r="H119" s="52"/>
      <c r="I119" s="52"/>
      <c r="J119" s="52"/>
      <c r="K119" s="52"/>
      <c r="L119" s="52"/>
      <c r="M119" s="52"/>
      <c r="N119" s="52"/>
      <c r="O119" s="52"/>
      <c r="P119" s="52"/>
      <c r="Q119" s="52"/>
      <c r="R119" s="52">
        <v>5</v>
      </c>
      <c r="S119" s="77">
        <v>0</v>
      </c>
      <c r="T119" s="77">
        <v>0</v>
      </c>
      <c r="U119" s="77">
        <v>1</v>
      </c>
      <c r="V119" s="78">
        <v>1</v>
      </c>
      <c r="W119" s="72">
        <v>3</v>
      </c>
      <c r="X119" s="70">
        <v>3</v>
      </c>
      <c r="Y119" s="70">
        <v>0</v>
      </c>
      <c r="Z119" s="70">
        <v>0</v>
      </c>
      <c r="AB119" s="421"/>
    </row>
    <row r="120" spans="1:28" s="49" customFormat="1">
      <c r="A120" s="45"/>
      <c r="B120" s="46"/>
      <c r="C120" s="53"/>
      <c r="D120" s="75"/>
      <c r="E120" s="75"/>
      <c r="F120" s="75"/>
      <c r="G120" s="75"/>
      <c r="H120" s="75"/>
      <c r="I120" s="75"/>
      <c r="J120" s="75"/>
      <c r="K120" s="75"/>
      <c r="L120" s="53"/>
      <c r="M120" s="53"/>
      <c r="N120" s="53"/>
      <c r="O120" s="53"/>
      <c r="P120" s="53"/>
      <c r="Q120" s="53"/>
      <c r="R120" s="53"/>
      <c r="S120" s="53"/>
      <c r="T120" s="53"/>
      <c r="U120" s="53"/>
      <c r="V120" s="53"/>
      <c r="W120" s="53"/>
      <c r="X120" s="53"/>
      <c r="Y120" s="53"/>
      <c r="Z120" s="53"/>
      <c r="AB120" s="421"/>
    </row>
    <row r="121" spans="1:28" ht="15.75" thickBot="1">
      <c r="A121" s="41" t="s">
        <v>698</v>
      </c>
      <c r="B121" s="42" t="s">
        <v>822</v>
      </c>
      <c r="C121" s="52"/>
      <c r="D121" s="52"/>
      <c r="E121" s="52"/>
      <c r="F121" s="52"/>
      <c r="G121" s="52"/>
      <c r="H121" s="52"/>
      <c r="I121" s="52"/>
      <c r="J121" s="52"/>
      <c r="K121" s="52"/>
      <c r="L121" s="52"/>
      <c r="M121" s="52"/>
      <c r="N121" s="52"/>
      <c r="O121" s="52"/>
      <c r="P121" s="52"/>
      <c r="Q121" s="52"/>
      <c r="R121" s="50">
        <v>7</v>
      </c>
      <c r="S121" s="51">
        <v>5.833333333333333</v>
      </c>
      <c r="T121" s="51">
        <v>4.6666666666666661</v>
      </c>
      <c r="U121" s="51">
        <v>3.4999999999999991</v>
      </c>
      <c r="V121" s="51">
        <v>2.3333333333333321</v>
      </c>
      <c r="W121" s="51">
        <v>0.83333333333333326</v>
      </c>
      <c r="X121" s="51">
        <v>0.99999999999999989</v>
      </c>
      <c r="Y121" s="50">
        <v>1</v>
      </c>
      <c r="Z121" s="51">
        <v>1</v>
      </c>
      <c r="AA121" s="38">
        <v>10</v>
      </c>
      <c r="AB121" s="420">
        <v>0.4</v>
      </c>
    </row>
    <row r="122" spans="1:28" s="49" customFormat="1" ht="15.75" thickBot="1">
      <c r="A122" s="45"/>
      <c r="B122" s="46" t="s">
        <v>823</v>
      </c>
      <c r="C122" s="52"/>
      <c r="D122" s="52"/>
      <c r="E122" s="52"/>
      <c r="F122" s="52"/>
      <c r="G122" s="52"/>
      <c r="H122" s="52"/>
      <c r="I122" s="52"/>
      <c r="J122" s="52"/>
      <c r="K122" s="52"/>
      <c r="L122" s="52"/>
      <c r="M122" s="52"/>
      <c r="N122" s="52"/>
      <c r="O122" s="52"/>
      <c r="P122" s="52"/>
      <c r="Q122" s="52"/>
      <c r="R122" s="52">
        <v>7</v>
      </c>
      <c r="S122" s="77">
        <v>0</v>
      </c>
      <c r="T122" s="77">
        <v>0</v>
      </c>
      <c r="U122" s="77">
        <v>1</v>
      </c>
      <c r="V122" s="78">
        <v>1</v>
      </c>
      <c r="W122" s="72">
        <v>1</v>
      </c>
      <c r="X122" s="70">
        <v>1</v>
      </c>
      <c r="Y122" s="70">
        <v>0</v>
      </c>
      <c r="Z122" s="70">
        <v>0</v>
      </c>
      <c r="AB122" s="421"/>
    </row>
    <row r="123" spans="1:28" s="49" customFormat="1">
      <c r="A123" s="45"/>
      <c r="B123" s="46"/>
      <c r="C123" s="53"/>
      <c r="D123" s="75"/>
      <c r="E123" s="75"/>
      <c r="F123" s="75"/>
      <c r="G123" s="75"/>
      <c r="H123" s="75"/>
      <c r="I123" s="75"/>
      <c r="J123" s="75"/>
      <c r="K123" s="75"/>
      <c r="L123" s="53"/>
      <c r="M123" s="53"/>
      <c r="N123" s="53"/>
      <c r="O123" s="53"/>
      <c r="P123" s="53"/>
      <c r="Q123" s="53"/>
      <c r="R123" s="53"/>
      <c r="S123" s="53"/>
      <c r="T123" s="53"/>
      <c r="U123" s="53"/>
      <c r="V123" s="53"/>
      <c r="W123" s="53"/>
      <c r="X123" s="53"/>
      <c r="Y123" s="53"/>
      <c r="Z123" s="53"/>
      <c r="AB123" s="421"/>
    </row>
    <row r="124" spans="1:28" ht="15.75" thickBot="1">
      <c r="A124" s="41" t="s">
        <v>699</v>
      </c>
      <c r="B124" s="42" t="s">
        <v>202</v>
      </c>
      <c r="C124" s="50" t="s">
        <v>255</v>
      </c>
      <c r="D124" s="73" t="e">
        <v>#VALUE!</v>
      </c>
      <c r="E124" s="73" t="e">
        <v>#VALUE!</v>
      </c>
      <c r="F124" s="73" t="e">
        <v>#VALUE!</v>
      </c>
      <c r="G124" s="73" t="e">
        <v>#VALUE!</v>
      </c>
      <c r="H124" s="73" t="e">
        <v>#VALUE!</v>
      </c>
      <c r="I124" s="74">
        <v>0</v>
      </c>
      <c r="J124" s="73">
        <v>0.16666666666666666</v>
      </c>
      <c r="K124" s="73">
        <v>0.33333333333333331</v>
      </c>
      <c r="L124" s="51">
        <v>0.5</v>
      </c>
      <c r="M124" s="51">
        <v>0.66666666666666663</v>
      </c>
      <c r="N124" s="50">
        <v>1</v>
      </c>
      <c r="O124" s="51">
        <v>1.25</v>
      </c>
      <c r="P124" s="51">
        <v>1.5</v>
      </c>
      <c r="Q124" s="51">
        <v>1.75</v>
      </c>
      <c r="R124" s="50">
        <v>2</v>
      </c>
      <c r="S124" s="51">
        <v>2.5</v>
      </c>
      <c r="T124" s="51">
        <v>3</v>
      </c>
      <c r="U124" s="51">
        <v>3.5</v>
      </c>
      <c r="V124" s="51">
        <v>4</v>
      </c>
      <c r="W124" s="51">
        <v>4.5</v>
      </c>
      <c r="X124" s="51">
        <v>5</v>
      </c>
      <c r="Y124" s="50">
        <v>5</v>
      </c>
      <c r="Z124" s="51">
        <v>5</v>
      </c>
      <c r="AA124" s="38">
        <v>10</v>
      </c>
      <c r="AB124" s="420">
        <v>0.4</v>
      </c>
    </row>
    <row r="125" spans="1:28" s="49" customFormat="1" ht="15.75" thickBot="1">
      <c r="A125" s="45"/>
      <c r="B125" s="46" t="s">
        <v>203</v>
      </c>
      <c r="C125" s="71" t="s">
        <v>255</v>
      </c>
      <c r="D125" s="76">
        <v>0</v>
      </c>
      <c r="E125" s="77">
        <v>0</v>
      </c>
      <c r="F125" s="77">
        <v>0</v>
      </c>
      <c r="G125" s="77">
        <v>0</v>
      </c>
      <c r="H125" s="77">
        <v>0</v>
      </c>
      <c r="I125" s="77">
        <v>0</v>
      </c>
      <c r="J125" s="77">
        <v>0</v>
      </c>
      <c r="K125" s="77">
        <v>0</v>
      </c>
      <c r="L125" s="77">
        <v>0</v>
      </c>
      <c r="M125" s="77">
        <v>0</v>
      </c>
      <c r="N125" s="77">
        <v>1</v>
      </c>
      <c r="O125" s="77">
        <v>1</v>
      </c>
      <c r="P125" s="77">
        <v>2</v>
      </c>
      <c r="Q125" s="77">
        <v>2</v>
      </c>
      <c r="R125" s="77">
        <v>2</v>
      </c>
      <c r="S125" s="77">
        <v>2</v>
      </c>
      <c r="T125" s="77">
        <v>2</v>
      </c>
      <c r="U125" s="77">
        <v>2</v>
      </c>
      <c r="V125" s="78">
        <v>4</v>
      </c>
      <c r="W125" s="72">
        <v>4</v>
      </c>
      <c r="X125" s="70">
        <v>4</v>
      </c>
      <c r="Y125" s="70">
        <v>0</v>
      </c>
      <c r="Z125" s="70">
        <v>0</v>
      </c>
      <c r="AB125" s="421"/>
    </row>
    <row r="126" spans="1:28">
      <c r="B126" s="46"/>
      <c r="AB126" s="420"/>
    </row>
    <row r="127" spans="1:28" ht="15.75" thickBot="1">
      <c r="A127" s="41" t="s">
        <v>700</v>
      </c>
      <c r="B127" s="42" t="s">
        <v>213</v>
      </c>
      <c r="C127" s="52"/>
      <c r="D127" s="52"/>
      <c r="E127" s="52"/>
      <c r="F127" s="52"/>
      <c r="G127" s="52"/>
      <c r="H127" s="52"/>
      <c r="I127" s="52"/>
      <c r="J127" s="52"/>
      <c r="K127" s="52"/>
      <c r="L127" s="52"/>
      <c r="M127" s="52"/>
      <c r="N127" s="52"/>
      <c r="O127" s="52"/>
      <c r="P127" s="52"/>
      <c r="Q127" s="52"/>
      <c r="R127" s="50">
        <v>2</v>
      </c>
      <c r="S127" s="51">
        <v>1.6666666666666667</v>
      </c>
      <c r="T127" s="51">
        <v>1.3333333333333335</v>
      </c>
      <c r="U127" s="51">
        <v>1.0000000000000002</v>
      </c>
      <c r="V127" s="51">
        <v>0.66666666666666696</v>
      </c>
      <c r="W127" s="51">
        <v>2</v>
      </c>
      <c r="X127" s="51">
        <v>2</v>
      </c>
      <c r="Y127" s="50">
        <v>2</v>
      </c>
      <c r="Z127" s="51">
        <v>2</v>
      </c>
      <c r="AA127" s="38">
        <v>10</v>
      </c>
      <c r="AB127" s="420">
        <v>0.4</v>
      </c>
    </row>
    <row r="128" spans="1:28" s="49" customFormat="1" ht="15.75" thickBot="1">
      <c r="A128" s="45"/>
      <c r="B128" s="46" t="s">
        <v>212</v>
      </c>
      <c r="C128" s="52"/>
      <c r="D128" s="52"/>
      <c r="E128" s="52"/>
      <c r="F128" s="52"/>
      <c r="G128" s="52"/>
      <c r="H128" s="52"/>
      <c r="I128" s="52"/>
      <c r="J128" s="52"/>
      <c r="K128" s="52"/>
      <c r="L128" s="52"/>
      <c r="M128" s="52"/>
      <c r="N128" s="52"/>
      <c r="O128" s="52"/>
      <c r="P128" s="52"/>
      <c r="Q128" s="52"/>
      <c r="R128" s="52">
        <v>2</v>
      </c>
      <c r="S128" s="77">
        <v>0</v>
      </c>
      <c r="T128" s="77">
        <v>0</v>
      </c>
      <c r="U128" s="77">
        <v>0</v>
      </c>
      <c r="V128" s="78">
        <v>2</v>
      </c>
      <c r="W128" s="72">
        <v>2</v>
      </c>
      <c r="X128" s="70">
        <v>2</v>
      </c>
      <c r="Y128" s="70">
        <v>0</v>
      </c>
      <c r="Z128" s="70">
        <v>0</v>
      </c>
      <c r="AB128" s="421"/>
    </row>
    <row r="129" spans="1:28" s="49" customFormat="1">
      <c r="A129" s="45"/>
      <c r="B129" s="46"/>
      <c r="C129" s="53"/>
      <c r="D129" s="75"/>
      <c r="E129" s="75"/>
      <c r="F129" s="75"/>
      <c r="G129" s="75"/>
      <c r="H129" s="75"/>
      <c r="I129" s="75"/>
      <c r="J129" s="75"/>
      <c r="K129" s="75"/>
      <c r="L129" s="53"/>
      <c r="M129" s="53"/>
      <c r="N129" s="53"/>
      <c r="O129" s="53"/>
      <c r="P129" s="53"/>
      <c r="Q129" s="53"/>
      <c r="R129" s="53"/>
      <c r="S129" s="53"/>
      <c r="T129" s="53"/>
      <c r="U129" s="53"/>
      <c r="V129" s="53"/>
      <c r="W129" s="53"/>
      <c r="X129" s="53"/>
      <c r="Y129" s="53"/>
      <c r="Z129" s="53"/>
      <c r="AB129" s="421"/>
    </row>
    <row r="130" spans="1:28" ht="15.75" thickBot="1">
      <c r="A130" s="41" t="s">
        <v>701</v>
      </c>
      <c r="B130" s="42" t="s">
        <v>211</v>
      </c>
      <c r="C130" s="52"/>
      <c r="D130" s="52"/>
      <c r="E130" s="52"/>
      <c r="F130" s="52"/>
      <c r="G130" s="52"/>
      <c r="H130" s="52"/>
      <c r="I130" s="52"/>
      <c r="J130" s="52"/>
      <c r="K130" s="52"/>
      <c r="L130" s="52"/>
      <c r="M130" s="52"/>
      <c r="N130" s="52"/>
      <c r="O130" s="52"/>
      <c r="P130" s="52"/>
      <c r="Q130" s="52"/>
      <c r="R130" s="50">
        <v>1</v>
      </c>
      <c r="S130" s="51">
        <v>0.83333333333333337</v>
      </c>
      <c r="T130" s="51">
        <v>0.66666666666666674</v>
      </c>
      <c r="U130" s="51">
        <v>0.50000000000000011</v>
      </c>
      <c r="V130" s="51">
        <v>0.33333333333333348</v>
      </c>
      <c r="W130" s="51">
        <v>0</v>
      </c>
      <c r="X130" s="51">
        <v>0</v>
      </c>
      <c r="Y130" s="50">
        <v>0</v>
      </c>
      <c r="Z130" s="51">
        <v>0</v>
      </c>
      <c r="AA130" s="38">
        <v>5</v>
      </c>
      <c r="AB130" s="420">
        <v>0.2</v>
      </c>
    </row>
    <row r="131" spans="1:28" s="49" customFormat="1" ht="15.75" thickBot="1">
      <c r="A131" s="45"/>
      <c r="B131" s="46" t="s">
        <v>210</v>
      </c>
      <c r="C131" s="52"/>
      <c r="D131" s="52"/>
      <c r="E131" s="52"/>
      <c r="F131" s="52"/>
      <c r="G131" s="52"/>
      <c r="H131" s="52"/>
      <c r="I131" s="52"/>
      <c r="J131" s="52"/>
      <c r="K131" s="52"/>
      <c r="L131" s="52"/>
      <c r="M131" s="52"/>
      <c r="N131" s="52"/>
      <c r="O131" s="52"/>
      <c r="P131" s="52"/>
      <c r="Q131" s="52"/>
      <c r="R131" s="52">
        <v>1</v>
      </c>
      <c r="S131" s="77">
        <v>0</v>
      </c>
      <c r="T131" s="77">
        <v>0</v>
      </c>
      <c r="U131" s="77">
        <v>0</v>
      </c>
      <c r="V131" s="78">
        <v>0</v>
      </c>
      <c r="W131" s="72">
        <v>0</v>
      </c>
      <c r="X131" s="70">
        <v>0</v>
      </c>
      <c r="Y131" s="70">
        <v>0</v>
      </c>
      <c r="Z131" s="70">
        <v>0</v>
      </c>
      <c r="AB131" s="421"/>
    </row>
    <row r="132" spans="1:28" s="49" customFormat="1">
      <c r="A132" s="45"/>
      <c r="B132" s="46"/>
      <c r="C132" s="53"/>
      <c r="D132" s="75"/>
      <c r="E132" s="75"/>
      <c r="F132" s="75"/>
      <c r="G132" s="75"/>
      <c r="H132" s="75"/>
      <c r="I132" s="75"/>
      <c r="J132" s="75"/>
      <c r="K132" s="75"/>
      <c r="L132" s="53"/>
      <c r="M132" s="53"/>
      <c r="N132" s="53"/>
      <c r="O132" s="53"/>
      <c r="P132" s="53"/>
      <c r="Q132" s="53"/>
      <c r="R132" s="53"/>
      <c r="S132" s="53"/>
      <c r="T132" s="53"/>
      <c r="U132" s="53"/>
      <c r="V132" s="53"/>
      <c r="W132" s="53"/>
      <c r="X132" s="53"/>
      <c r="Y132" s="53"/>
      <c r="Z132" s="53"/>
      <c r="AB132" s="421"/>
    </row>
    <row r="133" spans="1:28" ht="15.75" thickBot="1">
      <c r="A133" s="41" t="s">
        <v>702</v>
      </c>
      <c r="B133" s="42" t="s">
        <v>209</v>
      </c>
      <c r="C133" s="52"/>
      <c r="D133" s="52"/>
      <c r="E133" s="52"/>
      <c r="F133" s="52"/>
      <c r="G133" s="52"/>
      <c r="H133" s="52"/>
      <c r="I133" s="52"/>
      <c r="J133" s="52"/>
      <c r="K133" s="52"/>
      <c r="L133" s="52"/>
      <c r="M133" s="52"/>
      <c r="N133" s="52"/>
      <c r="O133" s="52"/>
      <c r="P133" s="52"/>
      <c r="Q133" s="52"/>
      <c r="R133" s="50">
        <v>1</v>
      </c>
      <c r="S133" s="51">
        <v>0.83333333333333337</v>
      </c>
      <c r="T133" s="51">
        <v>0.66666666666666674</v>
      </c>
      <c r="U133" s="51">
        <v>0.50000000000000011</v>
      </c>
      <c r="V133" s="51">
        <v>0.33333333333333348</v>
      </c>
      <c r="W133" s="51">
        <v>0</v>
      </c>
      <c r="X133" s="51">
        <v>0</v>
      </c>
      <c r="Y133" s="50">
        <v>0</v>
      </c>
      <c r="Z133" s="51">
        <v>0</v>
      </c>
      <c r="AA133" s="38">
        <v>5</v>
      </c>
      <c r="AB133" s="420">
        <v>0.2</v>
      </c>
    </row>
    <row r="134" spans="1:28" s="49" customFormat="1" ht="15.75" thickBot="1">
      <c r="A134" s="45"/>
      <c r="B134" s="46" t="s">
        <v>208</v>
      </c>
      <c r="C134" s="52"/>
      <c r="D134" s="52"/>
      <c r="E134" s="52"/>
      <c r="F134" s="52"/>
      <c r="G134" s="52"/>
      <c r="H134" s="52"/>
      <c r="I134" s="52"/>
      <c r="J134" s="52"/>
      <c r="K134" s="52"/>
      <c r="L134" s="52"/>
      <c r="M134" s="52"/>
      <c r="N134" s="52"/>
      <c r="O134" s="52"/>
      <c r="P134" s="52"/>
      <c r="Q134" s="52"/>
      <c r="R134" s="52">
        <v>1</v>
      </c>
      <c r="S134" s="77">
        <v>0</v>
      </c>
      <c r="T134" s="77">
        <v>0</v>
      </c>
      <c r="U134" s="77">
        <v>0</v>
      </c>
      <c r="V134" s="78">
        <v>0</v>
      </c>
      <c r="W134" s="72">
        <v>0</v>
      </c>
      <c r="X134" s="70">
        <v>0</v>
      </c>
      <c r="Y134" s="70">
        <v>0</v>
      </c>
      <c r="Z134" s="70">
        <v>0</v>
      </c>
      <c r="AB134" s="421"/>
    </row>
    <row r="135" spans="1:28" s="49" customFormat="1">
      <c r="A135" s="45"/>
      <c r="B135" s="46"/>
      <c r="C135" s="53"/>
      <c r="D135" s="75"/>
      <c r="E135" s="75"/>
      <c r="F135" s="75"/>
      <c r="G135" s="75"/>
      <c r="H135" s="75"/>
      <c r="I135" s="75"/>
      <c r="J135" s="75"/>
      <c r="K135" s="75"/>
      <c r="L135" s="53"/>
      <c r="M135" s="53"/>
      <c r="N135" s="53"/>
      <c r="O135" s="53"/>
      <c r="P135" s="53"/>
      <c r="Q135" s="53"/>
      <c r="R135" s="53"/>
      <c r="S135" s="53"/>
      <c r="T135" s="53"/>
      <c r="U135" s="53"/>
      <c r="V135" s="53"/>
      <c r="W135" s="53"/>
      <c r="X135" s="53"/>
      <c r="Y135" s="53"/>
      <c r="Z135" s="53"/>
      <c r="AB135" s="421"/>
    </row>
    <row r="136" spans="1:28" ht="15.75" thickBot="1">
      <c r="A136" s="41" t="s">
        <v>703</v>
      </c>
      <c r="B136" s="42" t="s">
        <v>824</v>
      </c>
      <c r="C136" s="52"/>
      <c r="D136" s="52"/>
      <c r="E136" s="52"/>
      <c r="F136" s="52"/>
      <c r="G136" s="52"/>
      <c r="H136" s="52"/>
      <c r="I136" s="52"/>
      <c r="J136" s="52"/>
      <c r="K136" s="52"/>
      <c r="L136" s="52"/>
      <c r="M136" s="52"/>
      <c r="N136" s="52"/>
      <c r="O136" s="52"/>
      <c r="P136" s="52"/>
      <c r="Q136" s="52"/>
      <c r="R136" s="50">
        <v>1</v>
      </c>
      <c r="S136" s="51">
        <v>1.3333333333333333</v>
      </c>
      <c r="T136" s="51">
        <v>1.6666666666666665</v>
      </c>
      <c r="U136" s="51">
        <v>1.9999999999999998</v>
      </c>
      <c r="V136" s="51">
        <v>2.333333333333333</v>
      </c>
      <c r="W136" s="51">
        <v>2.6666666666666665</v>
      </c>
      <c r="X136" s="51">
        <v>3</v>
      </c>
      <c r="Y136" s="50">
        <v>3</v>
      </c>
      <c r="Z136" s="51">
        <v>3</v>
      </c>
      <c r="AA136" s="38">
        <v>10</v>
      </c>
      <c r="AB136" s="420">
        <v>0.4</v>
      </c>
    </row>
    <row r="137" spans="1:28" s="49" customFormat="1" ht="15.75" thickBot="1">
      <c r="A137" s="45"/>
      <c r="B137" s="46" t="s">
        <v>825</v>
      </c>
      <c r="C137" s="52"/>
      <c r="D137" s="52"/>
      <c r="E137" s="52"/>
      <c r="F137" s="52"/>
      <c r="G137" s="52"/>
      <c r="H137" s="52"/>
      <c r="I137" s="52"/>
      <c r="J137" s="52"/>
      <c r="K137" s="52"/>
      <c r="L137" s="52"/>
      <c r="M137" s="52"/>
      <c r="N137" s="52"/>
      <c r="O137" s="52"/>
      <c r="P137" s="52"/>
      <c r="Q137" s="52"/>
      <c r="R137" s="52">
        <v>1</v>
      </c>
      <c r="S137" s="77">
        <v>1</v>
      </c>
      <c r="T137" s="77">
        <v>1</v>
      </c>
      <c r="U137" s="77">
        <v>1</v>
      </c>
      <c r="V137" s="78">
        <v>2</v>
      </c>
      <c r="W137" s="72">
        <v>2</v>
      </c>
      <c r="X137" s="70">
        <v>2</v>
      </c>
      <c r="Y137" s="70">
        <v>0</v>
      </c>
      <c r="Z137" s="70">
        <v>0</v>
      </c>
      <c r="AB137" s="421"/>
    </row>
    <row r="138" spans="1:28">
      <c r="AB138" s="420"/>
    </row>
    <row r="139" spans="1:28" ht="15.75" thickBot="1">
      <c r="A139" s="41" t="s">
        <v>704</v>
      </c>
      <c r="B139" s="42" t="s">
        <v>826</v>
      </c>
      <c r="C139" s="52"/>
      <c r="D139" s="52"/>
      <c r="E139" s="52"/>
      <c r="F139" s="52"/>
      <c r="G139" s="52"/>
      <c r="H139" s="52"/>
      <c r="I139" s="52"/>
      <c r="J139" s="52"/>
      <c r="K139" s="52"/>
      <c r="L139" s="52"/>
      <c r="M139" s="52"/>
      <c r="N139" s="52"/>
      <c r="O139" s="52"/>
      <c r="P139" s="52"/>
      <c r="Q139" s="52"/>
      <c r="R139" s="50">
        <v>1</v>
      </c>
      <c r="S139" s="51">
        <v>1.1666666666666667</v>
      </c>
      <c r="T139" s="51">
        <v>1.3333333333333335</v>
      </c>
      <c r="U139" s="51">
        <v>1.5000000000000002</v>
      </c>
      <c r="V139" s="51">
        <v>1.666666666666667</v>
      </c>
      <c r="W139" s="51">
        <v>1.8333333333333337</v>
      </c>
      <c r="X139" s="51">
        <v>2.0000000000000004</v>
      </c>
      <c r="Y139" s="50">
        <v>2</v>
      </c>
      <c r="Z139" s="51">
        <v>2</v>
      </c>
      <c r="AA139" s="38">
        <v>10</v>
      </c>
      <c r="AB139" s="420">
        <v>0.4</v>
      </c>
    </row>
    <row r="140" spans="1:28" s="49" customFormat="1" ht="15.75" thickBot="1">
      <c r="A140" s="45"/>
      <c r="B140" s="46" t="s">
        <v>827</v>
      </c>
      <c r="C140" s="52"/>
      <c r="D140" s="52"/>
      <c r="E140" s="52"/>
      <c r="F140" s="52"/>
      <c r="G140" s="52"/>
      <c r="H140" s="52"/>
      <c r="I140" s="52"/>
      <c r="J140" s="52"/>
      <c r="K140" s="52"/>
      <c r="L140" s="52"/>
      <c r="M140" s="52"/>
      <c r="N140" s="52"/>
      <c r="O140" s="52"/>
      <c r="P140" s="52"/>
      <c r="Q140" s="52"/>
      <c r="R140" s="52">
        <v>1</v>
      </c>
      <c r="S140" s="77">
        <v>1</v>
      </c>
      <c r="T140" s="77">
        <v>1</v>
      </c>
      <c r="U140" s="77">
        <v>1</v>
      </c>
      <c r="V140" s="78">
        <v>2</v>
      </c>
      <c r="W140" s="72">
        <v>2</v>
      </c>
      <c r="X140" s="70">
        <v>2</v>
      </c>
      <c r="Y140" s="70">
        <v>0</v>
      </c>
      <c r="Z140" s="70">
        <v>0</v>
      </c>
      <c r="AB140" s="421"/>
    </row>
    <row r="141" spans="1:28" s="49" customFormat="1">
      <c r="A141" s="45"/>
      <c r="B141" s="46"/>
      <c r="C141" s="53"/>
      <c r="D141" s="75"/>
      <c r="E141" s="75"/>
      <c r="F141" s="75"/>
      <c r="G141" s="75"/>
      <c r="H141" s="75"/>
      <c r="I141" s="75"/>
      <c r="J141" s="75"/>
      <c r="K141" s="75"/>
      <c r="L141" s="53"/>
      <c r="M141" s="53"/>
      <c r="N141" s="53"/>
      <c r="O141" s="53"/>
      <c r="P141" s="53"/>
      <c r="Q141" s="53"/>
      <c r="R141" s="53"/>
      <c r="S141" s="53"/>
      <c r="T141" s="53"/>
      <c r="U141" s="53"/>
      <c r="V141" s="53"/>
      <c r="W141" s="53"/>
      <c r="X141" s="53"/>
      <c r="Y141" s="53"/>
      <c r="Z141" s="53"/>
      <c r="AB141" s="421"/>
    </row>
    <row r="142" spans="1:28" ht="15.75" thickBot="1">
      <c r="A142" s="41" t="s">
        <v>705</v>
      </c>
      <c r="B142" s="42" t="s">
        <v>828</v>
      </c>
      <c r="C142" s="52"/>
      <c r="D142" s="52"/>
      <c r="E142" s="52"/>
      <c r="F142" s="52"/>
      <c r="G142" s="52"/>
      <c r="H142" s="52"/>
      <c r="I142" s="52"/>
      <c r="J142" s="52"/>
      <c r="K142" s="52"/>
      <c r="L142" s="52"/>
      <c r="M142" s="52"/>
      <c r="N142" s="52"/>
      <c r="O142" s="52"/>
      <c r="P142" s="52"/>
      <c r="Q142" s="52"/>
      <c r="R142" s="50">
        <v>0</v>
      </c>
      <c r="S142" s="51">
        <v>0</v>
      </c>
      <c r="T142" s="51">
        <v>0</v>
      </c>
      <c r="U142" s="51">
        <v>0</v>
      </c>
      <c r="V142" s="51">
        <v>0</v>
      </c>
      <c r="W142" s="51">
        <v>0</v>
      </c>
      <c r="X142" s="51">
        <v>0</v>
      </c>
      <c r="Y142" s="50">
        <v>0</v>
      </c>
      <c r="Z142" s="51">
        <v>0</v>
      </c>
      <c r="AA142" s="38">
        <v>5</v>
      </c>
      <c r="AB142" s="420">
        <v>0.2</v>
      </c>
    </row>
    <row r="143" spans="1:28" s="49" customFormat="1" ht="15.75" thickBot="1">
      <c r="A143" s="45"/>
      <c r="B143" s="46" t="s">
        <v>829</v>
      </c>
      <c r="C143" s="52"/>
      <c r="D143" s="52"/>
      <c r="E143" s="52"/>
      <c r="F143" s="52"/>
      <c r="G143" s="52"/>
      <c r="H143" s="52"/>
      <c r="I143" s="52"/>
      <c r="J143" s="52"/>
      <c r="K143" s="52"/>
      <c r="L143" s="52"/>
      <c r="M143" s="52"/>
      <c r="N143" s="52"/>
      <c r="O143" s="52"/>
      <c r="P143" s="52"/>
      <c r="Q143" s="52"/>
      <c r="R143" s="52">
        <v>0</v>
      </c>
      <c r="S143" s="77">
        <v>0</v>
      </c>
      <c r="T143" s="77">
        <v>0</v>
      </c>
      <c r="U143" s="77">
        <v>0</v>
      </c>
      <c r="V143" s="78">
        <v>0</v>
      </c>
      <c r="W143" s="72">
        <v>0</v>
      </c>
      <c r="X143" s="70">
        <v>0</v>
      </c>
      <c r="Y143" s="70">
        <v>0</v>
      </c>
      <c r="Z143" s="70">
        <v>0</v>
      </c>
      <c r="AB143" s="421"/>
    </row>
    <row r="144" spans="1:28" s="49" customFormat="1">
      <c r="A144" s="45"/>
      <c r="B144" s="46"/>
      <c r="C144" s="53"/>
      <c r="D144" s="75"/>
      <c r="E144" s="75"/>
      <c r="F144" s="75"/>
      <c r="G144" s="75"/>
      <c r="H144" s="75"/>
      <c r="I144" s="75"/>
      <c r="J144" s="75"/>
      <c r="K144" s="75"/>
      <c r="L144" s="53"/>
      <c r="M144" s="53"/>
      <c r="N144" s="53"/>
      <c r="O144" s="53"/>
      <c r="P144" s="53"/>
      <c r="Q144" s="53"/>
      <c r="R144" s="53"/>
      <c r="S144" s="53"/>
      <c r="T144" s="53"/>
      <c r="U144" s="53"/>
      <c r="V144" s="53"/>
      <c r="W144" s="53"/>
      <c r="X144" s="53"/>
      <c r="Y144" s="53"/>
      <c r="Z144" s="53"/>
      <c r="AB144" s="421"/>
    </row>
    <row r="145" spans="1:28" ht="15.75" thickBot="1">
      <c r="A145" s="41" t="s">
        <v>706</v>
      </c>
      <c r="B145" s="42" t="s">
        <v>830</v>
      </c>
      <c r="C145" s="52"/>
      <c r="D145" s="52"/>
      <c r="E145" s="52"/>
      <c r="F145" s="52"/>
      <c r="G145" s="52"/>
      <c r="H145" s="52"/>
      <c r="I145" s="52"/>
      <c r="J145" s="52"/>
      <c r="K145" s="52"/>
      <c r="L145" s="52"/>
      <c r="M145" s="52"/>
      <c r="N145" s="52"/>
      <c r="O145" s="52"/>
      <c r="P145" s="52"/>
      <c r="Q145" s="52"/>
      <c r="R145" s="50">
        <v>0</v>
      </c>
      <c r="S145" s="51">
        <v>0</v>
      </c>
      <c r="T145" s="51">
        <v>0</v>
      </c>
      <c r="U145" s="51">
        <v>0</v>
      </c>
      <c r="V145" s="51">
        <v>0</v>
      </c>
      <c r="W145" s="51">
        <v>0</v>
      </c>
      <c r="X145" s="51">
        <v>0</v>
      </c>
      <c r="Y145" s="50">
        <v>0</v>
      </c>
      <c r="Z145" s="51">
        <v>0</v>
      </c>
      <c r="AA145" s="38">
        <v>5</v>
      </c>
      <c r="AB145" s="420">
        <v>0.2</v>
      </c>
    </row>
    <row r="146" spans="1:28" s="49" customFormat="1" ht="15.75" thickBot="1">
      <c r="A146" s="45"/>
      <c r="B146" s="46" t="s">
        <v>831</v>
      </c>
      <c r="C146" s="52"/>
      <c r="D146" s="52"/>
      <c r="E146" s="52"/>
      <c r="F146" s="52"/>
      <c r="G146" s="52"/>
      <c r="H146" s="52"/>
      <c r="I146" s="52"/>
      <c r="J146" s="52"/>
      <c r="K146" s="52"/>
      <c r="L146" s="52"/>
      <c r="M146" s="52"/>
      <c r="N146" s="52"/>
      <c r="O146" s="52"/>
      <c r="P146" s="52"/>
      <c r="Q146" s="52"/>
      <c r="R146" s="52">
        <v>0</v>
      </c>
      <c r="S146" s="77">
        <v>0</v>
      </c>
      <c r="T146" s="77">
        <v>0</v>
      </c>
      <c r="U146" s="77">
        <v>0</v>
      </c>
      <c r="V146" s="78">
        <v>0</v>
      </c>
      <c r="W146" s="72">
        <v>0</v>
      </c>
      <c r="X146" s="70">
        <v>0</v>
      </c>
      <c r="Y146" s="70">
        <v>0</v>
      </c>
      <c r="Z146" s="70">
        <v>0</v>
      </c>
      <c r="AB146" s="421"/>
    </row>
    <row r="147" spans="1:28" s="49" customFormat="1">
      <c r="A147" s="45"/>
      <c r="B147" s="46"/>
      <c r="C147" s="53"/>
      <c r="D147" s="75"/>
      <c r="E147" s="75"/>
      <c r="F147" s="75"/>
      <c r="G147" s="75"/>
      <c r="H147" s="75"/>
      <c r="I147" s="75"/>
      <c r="J147" s="75"/>
      <c r="K147" s="75"/>
      <c r="L147" s="53"/>
      <c r="M147" s="53"/>
      <c r="N147" s="53"/>
      <c r="O147" s="53"/>
      <c r="P147" s="53"/>
      <c r="Q147" s="53"/>
      <c r="R147" s="53"/>
      <c r="S147" s="53"/>
      <c r="T147" s="53"/>
      <c r="U147" s="53"/>
      <c r="V147" s="53"/>
      <c r="W147" s="53"/>
      <c r="X147" s="53"/>
      <c r="Y147" s="53"/>
      <c r="Z147" s="53"/>
      <c r="AB147" s="421"/>
    </row>
    <row r="148" spans="1:28" ht="14.25">
      <c r="A148" s="38"/>
    </row>
    <row r="149" spans="1:28">
      <c r="C149" s="55" t="s">
        <v>194</v>
      </c>
      <c r="D149" s="431"/>
      <c r="E149" s="432"/>
      <c r="F149" s="433"/>
    </row>
    <row r="150" spans="1:28">
      <c r="C150" s="55" t="s">
        <v>195</v>
      </c>
      <c r="D150" s="434" t="s">
        <v>196</v>
      </c>
      <c r="E150" s="435" t="s">
        <v>153</v>
      </c>
      <c r="F150" s="435" t="s">
        <v>154</v>
      </c>
      <c r="G150" s="435" t="s">
        <v>158</v>
      </c>
      <c r="H150" s="434" t="s">
        <v>197</v>
      </c>
    </row>
    <row r="151" spans="1:28">
      <c r="C151" s="55"/>
      <c r="D151" s="434"/>
      <c r="E151" s="435"/>
      <c r="F151" s="435"/>
      <c r="G151" s="435"/>
      <c r="H151" s="434"/>
    </row>
    <row r="153" spans="1:28" ht="14.25">
      <c r="A153" s="1356" t="s">
        <v>727</v>
      </c>
      <c r="B153" s="1356"/>
    </row>
    <row r="154" spans="1:28" ht="14.25">
      <c r="A154" s="1356"/>
      <c r="B154" s="1356"/>
    </row>
    <row r="155" spans="1:28" ht="14.25">
      <c r="A155" s="1356"/>
      <c r="B155" s="1356"/>
    </row>
    <row r="156" spans="1:28" ht="14.25">
      <c r="A156" s="1356"/>
      <c r="B156" s="1356"/>
    </row>
    <row r="157" spans="1:28" ht="14.25">
      <c r="A157" s="1356"/>
      <c r="B157" s="1356"/>
    </row>
  </sheetData>
  <sheetProtection password="CF55" sheet="1" objects="1" scenarios="1" selectLockedCells="1" selectUnlockedCells="1"/>
  <mergeCells count="7">
    <mergeCell ref="W1:Z1"/>
    <mergeCell ref="S1:V1"/>
    <mergeCell ref="A153:B157"/>
    <mergeCell ref="D1:G1"/>
    <mergeCell ref="H1:K1"/>
    <mergeCell ref="L1:N1"/>
    <mergeCell ref="O1:R1"/>
  </mergeCell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tint="0.39997558519241921"/>
  </sheetPr>
  <dimension ref="A1:AB157"/>
  <sheetViews>
    <sheetView workbookViewId="0">
      <pane xSplit="2" ySplit="2" topLeftCell="J69" activePane="bottomRight" state="frozen"/>
      <selection activeCell="L92" sqref="L92:O92"/>
      <selection pane="topRight" activeCell="L92" sqref="L92:O92"/>
      <selection pane="bottomLeft" activeCell="L92" sqref="L92:O92"/>
      <selection pane="bottomRight" activeCell="L92" sqref="L92:O92"/>
    </sheetView>
  </sheetViews>
  <sheetFormatPr defaultColWidth="11.42578125" defaultRowHeight="15"/>
  <cols>
    <col min="1" max="1" width="23.140625" style="39" customWidth="1"/>
    <col min="2" max="2" width="20.85546875" style="38" customWidth="1"/>
    <col min="3" max="3" width="10.85546875" style="54" customWidth="1"/>
    <col min="4" max="8" width="5.85546875" style="54" customWidth="1"/>
    <col min="9" max="9" width="10.85546875" style="54" customWidth="1"/>
    <col min="10" max="13" width="5.85546875" style="54" customWidth="1"/>
    <col min="14" max="14" width="10.85546875" style="54" customWidth="1"/>
    <col min="15" max="17" width="5.85546875" style="54" customWidth="1"/>
    <col min="18" max="18" width="10.85546875" style="54" customWidth="1"/>
    <col min="19" max="24" width="5.85546875" style="54" customWidth="1"/>
    <col min="25" max="25" width="10.85546875" style="54" customWidth="1"/>
    <col min="26" max="26" width="5.85546875" style="54" customWidth="1"/>
    <col min="27" max="28" width="10.85546875" style="38" customWidth="1"/>
    <col min="29" max="16384" width="11.42578125" style="38"/>
  </cols>
  <sheetData>
    <row r="1" spans="1:28">
      <c r="A1" s="57" t="s">
        <v>228</v>
      </c>
      <c r="B1" s="59" t="s">
        <v>192</v>
      </c>
      <c r="C1" s="459" t="s">
        <v>190</v>
      </c>
      <c r="D1" s="1357">
        <v>2010</v>
      </c>
      <c r="E1" s="1357"/>
      <c r="F1" s="1357"/>
      <c r="G1" s="1357"/>
      <c r="H1" s="1358">
        <v>2011</v>
      </c>
      <c r="I1" s="1358"/>
      <c r="J1" s="1358"/>
      <c r="K1" s="1358"/>
      <c r="L1" s="1353">
        <v>2012</v>
      </c>
      <c r="M1" s="1354"/>
      <c r="N1" s="1355"/>
      <c r="O1" s="1359">
        <v>2013</v>
      </c>
      <c r="P1" s="1360"/>
      <c r="Q1" s="1360"/>
      <c r="R1" s="1361"/>
      <c r="S1" s="1353">
        <v>2014</v>
      </c>
      <c r="T1" s="1354"/>
      <c r="U1" s="1354"/>
      <c r="V1" s="1355"/>
      <c r="W1" s="1351">
        <v>2015</v>
      </c>
      <c r="X1" s="1352"/>
      <c r="Y1" s="1352"/>
      <c r="Z1" s="1352"/>
    </row>
    <row r="2" spans="1:28" s="39" customFormat="1" ht="42.75">
      <c r="A2" s="58" t="s">
        <v>193</v>
      </c>
      <c r="B2" s="59" t="s">
        <v>191</v>
      </c>
      <c r="C2" s="418" t="s">
        <v>722</v>
      </c>
      <c r="D2" s="56" t="s">
        <v>141</v>
      </c>
      <c r="E2" s="56" t="s">
        <v>142</v>
      </c>
      <c r="F2" s="56" t="s">
        <v>143</v>
      </c>
      <c r="G2" s="56" t="s">
        <v>144</v>
      </c>
      <c r="H2" s="56" t="s">
        <v>141</v>
      </c>
      <c r="I2" s="418" t="s">
        <v>723</v>
      </c>
      <c r="J2" s="56" t="s">
        <v>143</v>
      </c>
      <c r="K2" s="56" t="s">
        <v>144</v>
      </c>
      <c r="L2" s="56" t="s">
        <v>141</v>
      </c>
      <c r="M2" s="56" t="s">
        <v>142</v>
      </c>
      <c r="N2" s="418" t="s">
        <v>724</v>
      </c>
      <c r="O2" s="56" t="s">
        <v>141</v>
      </c>
      <c r="P2" s="56" t="s">
        <v>142</v>
      </c>
      <c r="Q2" s="56" t="s">
        <v>143</v>
      </c>
      <c r="R2" s="418" t="s">
        <v>725</v>
      </c>
      <c r="S2" s="56" t="s">
        <v>141</v>
      </c>
      <c r="T2" s="56" t="s">
        <v>142</v>
      </c>
      <c r="U2" s="56" t="s">
        <v>143</v>
      </c>
      <c r="V2" s="56" t="s">
        <v>144</v>
      </c>
      <c r="W2" s="56" t="s">
        <v>141</v>
      </c>
      <c r="X2" s="56" t="s">
        <v>142</v>
      </c>
      <c r="Y2" s="418" t="s">
        <v>726</v>
      </c>
      <c r="Z2" s="56" t="s">
        <v>144</v>
      </c>
      <c r="AA2" s="419" t="s">
        <v>814</v>
      </c>
      <c r="AB2" s="419" t="s">
        <v>815</v>
      </c>
    </row>
    <row r="3" spans="1:28" s="39" customFormat="1">
      <c r="B3" s="38"/>
      <c r="C3" s="40"/>
      <c r="D3" s="40"/>
      <c r="E3" s="40"/>
      <c r="F3" s="40"/>
      <c r="G3" s="40"/>
      <c r="H3" s="40"/>
      <c r="I3" s="40"/>
      <c r="J3" s="40"/>
      <c r="K3" s="40"/>
      <c r="L3" s="40"/>
      <c r="M3" s="40"/>
      <c r="N3" s="40"/>
      <c r="O3" s="40"/>
      <c r="P3" s="40"/>
      <c r="Q3" s="40"/>
      <c r="R3" s="40"/>
      <c r="S3" s="40"/>
      <c r="T3" s="40"/>
      <c r="U3" s="40"/>
      <c r="V3" s="40"/>
      <c r="W3" s="40"/>
      <c r="X3" s="40"/>
      <c r="Y3" s="40"/>
      <c r="Z3" s="40"/>
    </row>
    <row r="4" spans="1:28" ht="15.75" thickBot="1">
      <c r="A4" s="41" t="s">
        <v>24</v>
      </c>
      <c r="B4" s="42" t="s">
        <v>139</v>
      </c>
      <c r="C4" s="43">
        <v>0</v>
      </c>
      <c r="D4" s="81">
        <v>0.51666666666666672</v>
      </c>
      <c r="E4" s="81">
        <v>1.0333333333333334</v>
      </c>
      <c r="F4" s="81">
        <v>1.5500000000000003</v>
      </c>
      <c r="G4" s="81">
        <v>2.0666666666666669</v>
      </c>
      <c r="H4" s="81">
        <v>2.5833333333333335</v>
      </c>
      <c r="I4" s="82">
        <v>3.1</v>
      </c>
      <c r="J4" s="81">
        <v>3.1</v>
      </c>
      <c r="K4" s="81">
        <v>3.1</v>
      </c>
      <c r="L4" s="44">
        <v>3.1</v>
      </c>
      <c r="M4" s="44">
        <v>3.1</v>
      </c>
      <c r="N4" s="43">
        <v>3.1</v>
      </c>
      <c r="O4" s="44">
        <v>3.15</v>
      </c>
      <c r="P4" s="44">
        <v>3.1999999999999997</v>
      </c>
      <c r="Q4" s="44">
        <v>3.2499999999999996</v>
      </c>
      <c r="R4" s="43">
        <v>3.3</v>
      </c>
      <c r="S4" s="44">
        <v>3.3833333333333333</v>
      </c>
      <c r="T4" s="44">
        <v>3.4666666666666668</v>
      </c>
      <c r="U4" s="44">
        <v>3.5500000000000003</v>
      </c>
      <c r="V4" s="44">
        <v>3.6333333333333337</v>
      </c>
      <c r="W4" s="44">
        <v>2.7999999999999994</v>
      </c>
      <c r="X4" s="44">
        <v>2.6999999999999993</v>
      </c>
      <c r="Y4" s="43">
        <v>2.7</v>
      </c>
      <c r="Z4" s="44">
        <v>2.7</v>
      </c>
      <c r="AA4" s="38">
        <v>5</v>
      </c>
      <c r="AB4" s="420">
        <v>0.16</v>
      </c>
    </row>
    <row r="5" spans="1:28" s="49" customFormat="1" ht="15.75" thickBot="1">
      <c r="A5" s="45"/>
      <c r="B5" s="46" t="s">
        <v>140</v>
      </c>
      <c r="C5" s="79">
        <v>0</v>
      </c>
      <c r="D5" s="84">
        <v>0</v>
      </c>
      <c r="E5" s="85">
        <v>0</v>
      </c>
      <c r="F5" s="85">
        <v>0</v>
      </c>
      <c r="G5" s="85">
        <v>0</v>
      </c>
      <c r="H5" s="85">
        <v>0</v>
      </c>
      <c r="I5" s="85">
        <v>0</v>
      </c>
      <c r="J5" s="85">
        <v>0</v>
      </c>
      <c r="K5" s="85">
        <v>0</v>
      </c>
      <c r="L5" s="85">
        <v>0</v>
      </c>
      <c r="M5" s="85">
        <v>0</v>
      </c>
      <c r="N5" s="85">
        <v>3.1</v>
      </c>
      <c r="O5" s="85">
        <v>3.1</v>
      </c>
      <c r="P5" s="85">
        <v>3.1</v>
      </c>
      <c r="Q5" s="85">
        <v>3.7</v>
      </c>
      <c r="R5" s="85">
        <v>2.1</v>
      </c>
      <c r="S5" s="85">
        <v>2.1</v>
      </c>
      <c r="T5" s="85">
        <v>2.7</v>
      </c>
      <c r="U5" s="85">
        <v>2.7</v>
      </c>
      <c r="V5" s="86">
        <v>2.7</v>
      </c>
      <c r="W5" s="80">
        <v>2.7</v>
      </c>
      <c r="X5" s="69">
        <v>2.7</v>
      </c>
      <c r="Y5" s="69">
        <v>0</v>
      </c>
      <c r="Z5" s="69">
        <v>0</v>
      </c>
      <c r="AB5" s="421"/>
    </row>
    <row r="6" spans="1:28" s="49" customFormat="1">
      <c r="A6" s="45"/>
      <c r="B6" s="46"/>
      <c r="C6" s="48"/>
      <c r="D6" s="422"/>
      <c r="E6" s="422"/>
      <c r="F6" s="422"/>
      <c r="G6" s="83"/>
      <c r="H6" s="83"/>
      <c r="I6" s="83"/>
      <c r="J6" s="83"/>
      <c r="K6" s="83"/>
      <c r="L6" s="48"/>
      <c r="M6" s="48"/>
      <c r="N6" s="48"/>
      <c r="O6" s="48"/>
      <c r="P6" s="48"/>
      <c r="Q6" s="48"/>
      <c r="R6" s="48"/>
      <c r="S6" s="48"/>
      <c r="T6" s="48"/>
      <c r="U6" s="48"/>
      <c r="V6" s="48"/>
      <c r="W6" s="48"/>
      <c r="X6" s="48"/>
      <c r="Y6" s="48"/>
      <c r="Z6" s="48"/>
      <c r="AB6" s="421"/>
    </row>
    <row r="7" spans="1:28" ht="15.75" thickBot="1">
      <c r="A7" s="41" t="s">
        <v>25</v>
      </c>
      <c r="B7" s="42" t="s">
        <v>139</v>
      </c>
      <c r="C7" s="43">
        <v>0</v>
      </c>
      <c r="D7" s="81">
        <v>0.16666666666666666</v>
      </c>
      <c r="E7" s="81">
        <v>0.33333333333333331</v>
      </c>
      <c r="F7" s="81">
        <v>0.5</v>
      </c>
      <c r="G7" s="81">
        <v>0.66666666666666663</v>
      </c>
      <c r="H7" s="81">
        <v>0.83333333333333326</v>
      </c>
      <c r="I7" s="82">
        <v>1</v>
      </c>
      <c r="J7" s="81">
        <v>1</v>
      </c>
      <c r="K7" s="81">
        <v>1</v>
      </c>
      <c r="L7" s="44">
        <v>1</v>
      </c>
      <c r="M7" s="44">
        <v>1</v>
      </c>
      <c r="N7" s="43">
        <v>1</v>
      </c>
      <c r="O7" s="44">
        <v>1.05</v>
      </c>
      <c r="P7" s="44">
        <v>1.1000000000000001</v>
      </c>
      <c r="Q7" s="44">
        <v>1.1500000000000001</v>
      </c>
      <c r="R7" s="43">
        <v>1.2</v>
      </c>
      <c r="S7" s="44">
        <v>1.2833333333333332</v>
      </c>
      <c r="T7" s="44">
        <v>1.3666666666666665</v>
      </c>
      <c r="U7" s="44">
        <v>1.4499999999999997</v>
      </c>
      <c r="V7" s="44">
        <v>1.533333333333333</v>
      </c>
      <c r="W7" s="44">
        <v>2.6999999999999997</v>
      </c>
      <c r="X7" s="44">
        <v>2.9999999999999996</v>
      </c>
      <c r="Y7" s="43">
        <v>3</v>
      </c>
      <c r="Z7" s="44">
        <v>3</v>
      </c>
      <c r="AA7" s="38">
        <v>5</v>
      </c>
      <c r="AB7" s="420">
        <v>0.16</v>
      </c>
    </row>
    <row r="8" spans="1:28" s="49" customFormat="1" ht="15.75" thickBot="1">
      <c r="A8" s="45"/>
      <c r="B8" s="46" t="s">
        <v>140</v>
      </c>
      <c r="C8" s="79">
        <v>0</v>
      </c>
      <c r="D8" s="84">
        <v>0</v>
      </c>
      <c r="E8" s="85">
        <v>0</v>
      </c>
      <c r="F8" s="85">
        <v>0</v>
      </c>
      <c r="G8" s="85">
        <v>0</v>
      </c>
      <c r="H8" s="85">
        <v>0</v>
      </c>
      <c r="I8" s="85">
        <v>0</v>
      </c>
      <c r="J8" s="85">
        <v>0</v>
      </c>
      <c r="K8" s="85">
        <v>0</v>
      </c>
      <c r="L8" s="85">
        <v>0</v>
      </c>
      <c r="M8" s="85">
        <v>0</v>
      </c>
      <c r="N8" s="423">
        <v>1</v>
      </c>
      <c r="O8" s="424">
        <v>1</v>
      </c>
      <c r="P8" s="424">
        <v>1</v>
      </c>
      <c r="Q8" s="424">
        <v>1.2</v>
      </c>
      <c r="R8" s="85">
        <v>1.2</v>
      </c>
      <c r="S8" s="85">
        <v>1.2</v>
      </c>
      <c r="T8" s="85">
        <v>2.9</v>
      </c>
      <c r="U8" s="85">
        <v>2.9</v>
      </c>
      <c r="V8" s="86">
        <v>2.96</v>
      </c>
      <c r="W8" s="80">
        <v>2.96</v>
      </c>
      <c r="X8" s="69">
        <v>2.97</v>
      </c>
      <c r="Y8" s="69">
        <v>0</v>
      </c>
      <c r="Z8" s="69">
        <v>0</v>
      </c>
      <c r="AB8" s="421"/>
    </row>
    <row r="9" spans="1:28" s="49" customFormat="1">
      <c r="A9" s="45"/>
      <c r="B9" s="46"/>
      <c r="C9" s="48"/>
      <c r="D9" s="83"/>
      <c r="E9" s="83"/>
      <c r="F9" s="83"/>
      <c r="G9" s="83"/>
      <c r="H9" s="83"/>
      <c r="I9" s="83"/>
      <c r="J9" s="83"/>
      <c r="K9" s="83"/>
      <c r="L9" s="48"/>
      <c r="M9" s="48"/>
      <c r="N9" s="48"/>
      <c r="O9" s="48"/>
      <c r="P9" s="48"/>
      <c r="Q9" s="48"/>
      <c r="R9" s="48"/>
      <c r="S9" s="48"/>
      <c r="T9" s="48"/>
      <c r="U9" s="48"/>
      <c r="V9" s="48"/>
      <c r="W9" s="48"/>
      <c r="X9" s="48"/>
      <c r="Y9" s="48"/>
      <c r="Z9" s="48"/>
      <c r="AB9" s="421"/>
    </row>
    <row r="10" spans="1:28" ht="15.75" thickBot="1">
      <c r="A10" s="41" t="s">
        <v>186</v>
      </c>
      <c r="B10" s="42" t="s">
        <v>214</v>
      </c>
      <c r="C10" s="50">
        <v>0</v>
      </c>
      <c r="D10" s="73">
        <v>0</v>
      </c>
      <c r="E10" s="73">
        <v>0</v>
      </c>
      <c r="F10" s="73">
        <v>0</v>
      </c>
      <c r="G10" s="73">
        <v>0</v>
      </c>
      <c r="H10" s="73">
        <v>0</v>
      </c>
      <c r="I10" s="74">
        <v>0</v>
      </c>
      <c r="J10" s="73">
        <v>0.16666666666666666</v>
      </c>
      <c r="K10" s="73">
        <v>0.33333333333333331</v>
      </c>
      <c r="L10" s="51">
        <v>0.5</v>
      </c>
      <c r="M10" s="51">
        <v>0.66666666666666663</v>
      </c>
      <c r="N10" s="50">
        <v>1</v>
      </c>
      <c r="O10" s="51">
        <v>1.75</v>
      </c>
      <c r="P10" s="51">
        <v>2.5</v>
      </c>
      <c r="Q10" s="51">
        <v>3.25</v>
      </c>
      <c r="R10" s="50">
        <v>4</v>
      </c>
      <c r="S10" s="51">
        <v>4.5</v>
      </c>
      <c r="T10" s="51">
        <v>5</v>
      </c>
      <c r="U10" s="51">
        <v>5.5</v>
      </c>
      <c r="V10" s="51">
        <v>6</v>
      </c>
      <c r="W10" s="51">
        <v>5.6666666666666652</v>
      </c>
      <c r="X10" s="51">
        <v>5.9999999999999982</v>
      </c>
      <c r="Y10" s="50">
        <v>6</v>
      </c>
      <c r="Z10" s="51">
        <v>6</v>
      </c>
      <c r="AA10" s="38">
        <v>15</v>
      </c>
      <c r="AB10" s="420">
        <v>0.6</v>
      </c>
    </row>
    <row r="11" spans="1:28" s="49" customFormat="1" ht="15.75" thickBot="1">
      <c r="A11" s="45"/>
      <c r="B11" s="46" t="s">
        <v>215</v>
      </c>
      <c r="C11" s="71">
        <v>0</v>
      </c>
      <c r="D11" s="76">
        <v>0</v>
      </c>
      <c r="E11" s="77">
        <v>0</v>
      </c>
      <c r="F11" s="77">
        <v>0</v>
      </c>
      <c r="G11" s="77">
        <v>0</v>
      </c>
      <c r="H11" s="77">
        <v>0</v>
      </c>
      <c r="I11" s="77">
        <v>0</v>
      </c>
      <c r="J11" s="77">
        <v>0</v>
      </c>
      <c r="K11" s="77">
        <v>0</v>
      </c>
      <c r="L11" s="77">
        <v>0</v>
      </c>
      <c r="M11" s="77">
        <v>0</v>
      </c>
      <c r="N11" s="425">
        <v>1</v>
      </c>
      <c r="O11" s="426">
        <v>5</v>
      </c>
      <c r="P11" s="426">
        <v>6</v>
      </c>
      <c r="Q11" s="426">
        <v>6</v>
      </c>
      <c r="R11" s="77">
        <v>6</v>
      </c>
      <c r="S11" s="77">
        <v>6</v>
      </c>
      <c r="T11" s="77">
        <v>6</v>
      </c>
      <c r="U11" s="77">
        <v>6</v>
      </c>
      <c r="V11" s="78">
        <v>6</v>
      </c>
      <c r="W11" s="72">
        <v>6</v>
      </c>
      <c r="X11" s="70">
        <v>6</v>
      </c>
      <c r="Y11" s="70">
        <v>0</v>
      </c>
      <c r="Z11" s="70">
        <v>0</v>
      </c>
      <c r="AA11" s="38"/>
      <c r="AB11" s="420"/>
    </row>
    <row r="12" spans="1:28" s="49" customFormat="1">
      <c r="A12" s="45"/>
      <c r="B12" s="46"/>
      <c r="C12" s="53"/>
      <c r="D12" s="75"/>
      <c r="E12" s="75"/>
      <c r="F12" s="75"/>
      <c r="G12" s="75"/>
      <c r="H12" s="75"/>
      <c r="I12" s="75"/>
      <c r="J12" s="75"/>
      <c r="K12" s="75"/>
      <c r="L12" s="53"/>
      <c r="M12" s="53"/>
      <c r="N12" s="53"/>
      <c r="O12" s="53"/>
      <c r="P12" s="53"/>
      <c r="Q12" s="53"/>
      <c r="R12" s="53"/>
      <c r="S12" s="53"/>
      <c r="T12" s="53"/>
      <c r="U12" s="53"/>
      <c r="V12" s="53"/>
      <c r="W12" s="53"/>
      <c r="X12" s="53"/>
      <c r="Y12" s="53"/>
      <c r="Z12" s="53"/>
      <c r="AB12" s="421"/>
    </row>
    <row r="13" spans="1:28" ht="15.75" thickBot="1">
      <c r="A13" s="41" t="s">
        <v>187</v>
      </c>
      <c r="B13" s="42" t="s">
        <v>216</v>
      </c>
      <c r="C13" s="50">
        <v>0</v>
      </c>
      <c r="D13" s="73">
        <v>0</v>
      </c>
      <c r="E13" s="73">
        <v>0</v>
      </c>
      <c r="F13" s="73">
        <v>0</v>
      </c>
      <c r="G13" s="73">
        <v>0</v>
      </c>
      <c r="H13" s="73">
        <v>0</v>
      </c>
      <c r="I13" s="74">
        <v>0</v>
      </c>
      <c r="J13" s="73">
        <v>0.16666666666666666</v>
      </c>
      <c r="K13" s="73">
        <v>0.33333333333333331</v>
      </c>
      <c r="L13" s="51">
        <v>0.5</v>
      </c>
      <c r="M13" s="51">
        <v>0.66666666666666663</v>
      </c>
      <c r="N13" s="50">
        <v>1</v>
      </c>
      <c r="O13" s="51">
        <v>2</v>
      </c>
      <c r="P13" s="51">
        <v>3</v>
      </c>
      <c r="Q13" s="51">
        <v>4</v>
      </c>
      <c r="R13" s="50">
        <v>5</v>
      </c>
      <c r="S13" s="51">
        <v>5.5</v>
      </c>
      <c r="T13" s="51">
        <v>6</v>
      </c>
      <c r="U13" s="51">
        <v>6.5</v>
      </c>
      <c r="V13" s="51">
        <v>7</v>
      </c>
      <c r="W13" s="51">
        <v>5.8333333333333348</v>
      </c>
      <c r="X13" s="51">
        <v>6.0000000000000018</v>
      </c>
      <c r="Y13" s="50">
        <v>6</v>
      </c>
      <c r="Z13" s="51">
        <v>6</v>
      </c>
      <c r="AA13" s="38">
        <v>15</v>
      </c>
      <c r="AB13" s="420">
        <v>0.6</v>
      </c>
    </row>
    <row r="14" spans="1:28" s="49" customFormat="1" ht="15.75" thickBot="1">
      <c r="A14" s="45"/>
      <c r="B14" s="46" t="s">
        <v>217</v>
      </c>
      <c r="C14" s="71">
        <v>0</v>
      </c>
      <c r="D14" s="76">
        <v>0</v>
      </c>
      <c r="E14" s="77">
        <v>0</v>
      </c>
      <c r="F14" s="77">
        <v>0</v>
      </c>
      <c r="G14" s="77">
        <v>0</v>
      </c>
      <c r="H14" s="77">
        <v>0</v>
      </c>
      <c r="I14" s="77">
        <v>0</v>
      </c>
      <c r="J14" s="77">
        <v>0</v>
      </c>
      <c r="K14" s="77">
        <v>0</v>
      </c>
      <c r="L14" s="77">
        <v>0</v>
      </c>
      <c r="M14" s="77">
        <v>0</v>
      </c>
      <c r="N14" s="425">
        <v>1</v>
      </c>
      <c r="O14" s="426">
        <v>1</v>
      </c>
      <c r="P14" s="426">
        <v>6</v>
      </c>
      <c r="Q14" s="426">
        <v>6</v>
      </c>
      <c r="R14" s="77">
        <v>6</v>
      </c>
      <c r="S14" s="77">
        <v>6</v>
      </c>
      <c r="T14" s="77">
        <v>6</v>
      </c>
      <c r="U14" s="77">
        <v>6</v>
      </c>
      <c r="V14" s="78">
        <v>6</v>
      </c>
      <c r="W14" s="72">
        <v>6</v>
      </c>
      <c r="X14" s="70">
        <v>6</v>
      </c>
      <c r="Y14" s="70">
        <v>0</v>
      </c>
      <c r="Z14" s="70">
        <v>0</v>
      </c>
      <c r="AB14" s="421"/>
    </row>
    <row r="15" spans="1:28" s="49" customFormat="1">
      <c r="A15" s="45"/>
      <c r="B15" s="46"/>
      <c r="C15" s="53"/>
      <c r="D15" s="427"/>
      <c r="E15" s="427"/>
      <c r="F15" s="427"/>
      <c r="G15" s="75"/>
      <c r="H15" s="75"/>
      <c r="I15" s="75"/>
      <c r="J15" s="75"/>
      <c r="K15" s="75"/>
      <c r="L15" s="53"/>
      <c r="M15" s="53"/>
      <c r="N15" s="53"/>
      <c r="O15" s="53"/>
      <c r="P15" s="53"/>
      <c r="Q15" s="53"/>
      <c r="R15" s="53"/>
      <c r="S15" s="53"/>
      <c r="T15" s="53"/>
      <c r="U15" s="53"/>
      <c r="V15" s="53"/>
      <c r="W15" s="53"/>
      <c r="X15" s="53"/>
      <c r="Y15" s="53"/>
      <c r="Z15" s="53"/>
      <c r="AB15" s="421"/>
    </row>
    <row r="16" spans="1:28" ht="15.75" thickBot="1">
      <c r="A16" s="41" t="s">
        <v>188</v>
      </c>
      <c r="B16" s="42" t="s">
        <v>218</v>
      </c>
      <c r="C16" s="50">
        <v>0</v>
      </c>
      <c r="D16" s="73">
        <v>0</v>
      </c>
      <c r="E16" s="73">
        <v>0</v>
      </c>
      <c r="F16" s="73">
        <v>0</v>
      </c>
      <c r="G16" s="73">
        <v>0</v>
      </c>
      <c r="H16" s="73">
        <v>0</v>
      </c>
      <c r="I16" s="74">
        <v>0</v>
      </c>
      <c r="J16" s="73">
        <v>0.16666666666666666</v>
      </c>
      <c r="K16" s="73">
        <v>0.33333333333333331</v>
      </c>
      <c r="L16" s="51">
        <v>0.5</v>
      </c>
      <c r="M16" s="51">
        <v>0.66666666666666663</v>
      </c>
      <c r="N16" s="50">
        <v>1</v>
      </c>
      <c r="O16" s="51">
        <v>1.25</v>
      </c>
      <c r="P16" s="51">
        <v>1.5</v>
      </c>
      <c r="Q16" s="51">
        <v>1.75</v>
      </c>
      <c r="R16" s="50">
        <v>2</v>
      </c>
      <c r="S16" s="51">
        <v>2.3333333333333335</v>
      </c>
      <c r="T16" s="51">
        <v>2.666666666666667</v>
      </c>
      <c r="U16" s="51">
        <v>3.0000000000000004</v>
      </c>
      <c r="V16" s="51">
        <v>3.3333333333333339</v>
      </c>
      <c r="W16" s="51">
        <v>10.333333333333334</v>
      </c>
      <c r="X16" s="51">
        <v>12</v>
      </c>
      <c r="Y16" s="50">
        <v>12</v>
      </c>
      <c r="Z16" s="51">
        <v>12</v>
      </c>
      <c r="AA16" s="38">
        <v>15</v>
      </c>
      <c r="AB16" s="420">
        <v>0.6</v>
      </c>
    </row>
    <row r="17" spans="1:28" s="49" customFormat="1" ht="15.75" thickBot="1">
      <c r="A17" s="45"/>
      <c r="B17" s="46" t="s">
        <v>219</v>
      </c>
      <c r="C17" s="71">
        <v>0</v>
      </c>
      <c r="D17" s="76">
        <v>0</v>
      </c>
      <c r="E17" s="77">
        <v>0</v>
      </c>
      <c r="F17" s="77">
        <v>0</v>
      </c>
      <c r="G17" s="77">
        <v>0</v>
      </c>
      <c r="H17" s="77">
        <v>0</v>
      </c>
      <c r="I17" s="77">
        <v>0</v>
      </c>
      <c r="J17" s="77">
        <v>0</v>
      </c>
      <c r="K17" s="77">
        <v>0</v>
      </c>
      <c r="L17" s="77">
        <v>0</v>
      </c>
      <c r="M17" s="77">
        <v>0</v>
      </c>
      <c r="N17" s="425">
        <v>1</v>
      </c>
      <c r="O17" s="426">
        <v>1</v>
      </c>
      <c r="P17" s="426">
        <v>1</v>
      </c>
      <c r="Q17" s="426">
        <v>1</v>
      </c>
      <c r="R17" s="77">
        <v>1</v>
      </c>
      <c r="S17" s="77">
        <v>1</v>
      </c>
      <c r="T17" s="77">
        <v>1</v>
      </c>
      <c r="U17" s="77">
        <v>1</v>
      </c>
      <c r="V17" s="78">
        <v>12</v>
      </c>
      <c r="W17" s="72">
        <v>12</v>
      </c>
      <c r="X17" s="70">
        <v>12</v>
      </c>
      <c r="Y17" s="70">
        <v>0</v>
      </c>
      <c r="Z17" s="70">
        <v>0</v>
      </c>
      <c r="AB17" s="421"/>
    </row>
    <row r="18" spans="1:28" s="49" customFormat="1">
      <c r="A18" s="45"/>
      <c r="B18" s="46"/>
      <c r="C18" s="53"/>
      <c r="D18" s="427"/>
      <c r="E18" s="427"/>
      <c r="F18" s="427"/>
      <c r="G18" s="75"/>
      <c r="H18" s="75"/>
      <c r="I18" s="75"/>
      <c r="J18" s="75"/>
      <c r="K18" s="75"/>
      <c r="L18" s="53"/>
      <c r="M18" s="53"/>
      <c r="N18" s="53"/>
      <c r="O18" s="53"/>
      <c r="P18" s="53"/>
      <c r="Q18" s="53"/>
      <c r="R18" s="53"/>
      <c r="S18" s="53"/>
      <c r="T18" s="53"/>
      <c r="U18" s="53"/>
      <c r="V18" s="53"/>
      <c r="W18" s="53"/>
      <c r="X18" s="53"/>
      <c r="Y18" s="53"/>
      <c r="Z18" s="53"/>
      <c r="AB18" s="421"/>
    </row>
    <row r="19" spans="1:28" ht="15.75" thickBot="1">
      <c r="A19" s="41" t="s">
        <v>189</v>
      </c>
      <c r="B19" s="42" t="s">
        <v>221</v>
      </c>
      <c r="C19" s="50">
        <v>0</v>
      </c>
      <c r="D19" s="73">
        <v>2</v>
      </c>
      <c r="E19" s="73">
        <v>4</v>
      </c>
      <c r="F19" s="73">
        <v>6</v>
      </c>
      <c r="G19" s="73">
        <v>8</v>
      </c>
      <c r="H19" s="73">
        <v>10</v>
      </c>
      <c r="I19" s="74">
        <v>12</v>
      </c>
      <c r="J19" s="73">
        <v>12</v>
      </c>
      <c r="K19" s="73">
        <v>12</v>
      </c>
      <c r="L19" s="51">
        <v>12</v>
      </c>
      <c r="M19" s="51">
        <v>12</v>
      </c>
      <c r="N19" s="50">
        <v>12</v>
      </c>
      <c r="O19" s="51">
        <v>12.5</v>
      </c>
      <c r="P19" s="51">
        <v>13</v>
      </c>
      <c r="Q19" s="51">
        <v>13.5</v>
      </c>
      <c r="R19" s="50">
        <v>14</v>
      </c>
      <c r="S19" s="51">
        <v>14.166666666666666</v>
      </c>
      <c r="T19" s="51">
        <v>14.333333333333332</v>
      </c>
      <c r="U19" s="51">
        <v>14.499999999999998</v>
      </c>
      <c r="V19" s="51">
        <v>14.666666666666664</v>
      </c>
      <c r="W19" s="51">
        <v>14.83333333333333</v>
      </c>
      <c r="X19" s="51">
        <v>14.999999999999996</v>
      </c>
      <c r="Y19" s="50">
        <v>15</v>
      </c>
      <c r="Z19" s="51">
        <v>15</v>
      </c>
      <c r="AA19" s="38">
        <v>15</v>
      </c>
      <c r="AB19" s="420">
        <v>0.6</v>
      </c>
    </row>
    <row r="20" spans="1:28" s="49" customFormat="1" ht="15.75" thickBot="1">
      <c r="A20" s="45"/>
      <c r="B20" s="46" t="s">
        <v>220</v>
      </c>
      <c r="C20" s="71">
        <v>0</v>
      </c>
      <c r="D20" s="76">
        <v>0</v>
      </c>
      <c r="E20" s="77">
        <v>0</v>
      </c>
      <c r="F20" s="77">
        <v>0</v>
      </c>
      <c r="G20" s="77">
        <v>0</v>
      </c>
      <c r="H20" s="77">
        <v>0</v>
      </c>
      <c r="I20" s="77">
        <v>0</v>
      </c>
      <c r="J20" s="77">
        <v>0</v>
      </c>
      <c r="K20" s="77">
        <v>0</v>
      </c>
      <c r="L20" s="77">
        <v>0</v>
      </c>
      <c r="M20" s="77">
        <v>0</v>
      </c>
      <c r="N20" s="425">
        <v>12</v>
      </c>
      <c r="O20" s="426">
        <v>12</v>
      </c>
      <c r="P20" s="426">
        <v>12</v>
      </c>
      <c r="Q20" s="426">
        <v>12</v>
      </c>
      <c r="R20" s="77">
        <v>12</v>
      </c>
      <c r="S20" s="77">
        <v>12</v>
      </c>
      <c r="T20" s="77">
        <v>14</v>
      </c>
      <c r="U20" s="77">
        <v>14</v>
      </c>
      <c r="V20" s="78">
        <v>14</v>
      </c>
      <c r="W20" s="72">
        <v>15</v>
      </c>
      <c r="X20" s="70">
        <v>15</v>
      </c>
      <c r="Y20" s="70">
        <v>0</v>
      </c>
      <c r="Z20" s="70">
        <v>0</v>
      </c>
      <c r="AB20" s="421"/>
    </row>
    <row r="21" spans="1:28" s="49" customFormat="1">
      <c r="A21" s="45"/>
      <c r="B21" s="46"/>
      <c r="C21" s="48"/>
      <c r="D21" s="422"/>
      <c r="E21" s="422"/>
      <c r="F21" s="422"/>
      <c r="G21" s="83"/>
      <c r="H21" s="83"/>
      <c r="I21" s="83"/>
      <c r="J21" s="83"/>
      <c r="K21" s="83"/>
      <c r="L21" s="48"/>
      <c r="M21" s="48"/>
      <c r="N21" s="48"/>
      <c r="O21" s="48"/>
      <c r="P21" s="48"/>
      <c r="Q21" s="48"/>
      <c r="R21" s="48"/>
      <c r="S21" s="48"/>
      <c r="T21" s="48"/>
      <c r="U21" s="48"/>
      <c r="V21" s="48"/>
      <c r="W21" s="48"/>
      <c r="X21" s="48"/>
      <c r="Y21" s="48"/>
      <c r="Z21" s="48"/>
      <c r="AB21" s="421"/>
    </row>
    <row r="22" spans="1:28" ht="15.75" thickBot="1">
      <c r="A22" s="41" t="s">
        <v>22</v>
      </c>
      <c r="B22" s="42" t="s">
        <v>139</v>
      </c>
      <c r="C22" s="43">
        <v>0</v>
      </c>
      <c r="D22" s="81">
        <v>0.46666666666666662</v>
      </c>
      <c r="E22" s="81">
        <v>0.93333333333333324</v>
      </c>
      <c r="F22" s="81">
        <v>1.4</v>
      </c>
      <c r="G22" s="81">
        <v>1.8666666666666665</v>
      </c>
      <c r="H22" s="81">
        <v>2.333333333333333</v>
      </c>
      <c r="I22" s="82">
        <v>2.8</v>
      </c>
      <c r="J22" s="81">
        <v>2.8</v>
      </c>
      <c r="K22" s="81">
        <v>2.8</v>
      </c>
      <c r="L22" s="44">
        <v>2.8</v>
      </c>
      <c r="M22" s="44">
        <v>2.8</v>
      </c>
      <c r="N22" s="43">
        <v>2.8</v>
      </c>
      <c r="O22" s="44">
        <v>2.8499999999999996</v>
      </c>
      <c r="P22" s="44">
        <v>2.8999999999999995</v>
      </c>
      <c r="Q22" s="44">
        <v>2.9499999999999993</v>
      </c>
      <c r="R22" s="43">
        <v>3</v>
      </c>
      <c r="S22" s="44">
        <v>3.05</v>
      </c>
      <c r="T22" s="44">
        <v>3.0999999999999996</v>
      </c>
      <c r="U22" s="44">
        <v>3.1499999999999995</v>
      </c>
      <c r="V22" s="44">
        <v>3.1999999999999993</v>
      </c>
      <c r="W22" s="44">
        <v>3.8333333333333326</v>
      </c>
      <c r="X22" s="44">
        <v>3.9999999999999991</v>
      </c>
      <c r="Y22" s="43">
        <v>4</v>
      </c>
      <c r="Z22" s="44">
        <v>4</v>
      </c>
      <c r="AA22" s="38">
        <v>5</v>
      </c>
      <c r="AB22" s="420">
        <v>0.16</v>
      </c>
    </row>
    <row r="23" spans="1:28" s="49" customFormat="1" ht="15.75" thickBot="1">
      <c r="A23" s="45"/>
      <c r="B23" s="46" t="s">
        <v>140</v>
      </c>
      <c r="C23" s="79">
        <v>0</v>
      </c>
      <c r="D23" s="84">
        <v>0</v>
      </c>
      <c r="E23" s="85">
        <v>0</v>
      </c>
      <c r="F23" s="85">
        <v>0</v>
      </c>
      <c r="G23" s="85">
        <v>0</v>
      </c>
      <c r="H23" s="85">
        <v>0</v>
      </c>
      <c r="I23" s="85">
        <v>0</v>
      </c>
      <c r="J23" s="85">
        <v>0</v>
      </c>
      <c r="K23" s="85">
        <v>0</v>
      </c>
      <c r="L23" s="85">
        <v>0</v>
      </c>
      <c r="M23" s="85">
        <v>0</v>
      </c>
      <c r="N23" s="423">
        <v>2.8</v>
      </c>
      <c r="O23" s="424">
        <v>2.8</v>
      </c>
      <c r="P23" s="424">
        <v>2.8</v>
      </c>
      <c r="Q23" s="424">
        <v>3.1</v>
      </c>
      <c r="R23" s="85">
        <v>2.2000000000000002</v>
      </c>
      <c r="S23" s="85">
        <v>2.2000000000000002</v>
      </c>
      <c r="T23" s="85">
        <v>3.1</v>
      </c>
      <c r="U23" s="85">
        <v>3.1</v>
      </c>
      <c r="V23" s="86">
        <v>3.8</v>
      </c>
      <c r="W23" s="80">
        <v>3.8</v>
      </c>
      <c r="X23" s="69">
        <v>3.8</v>
      </c>
      <c r="Y23" s="69">
        <v>0</v>
      </c>
      <c r="Z23" s="69">
        <v>0</v>
      </c>
      <c r="AB23" s="421"/>
    </row>
    <row r="24" spans="1:28" s="49" customFormat="1">
      <c r="A24" s="45"/>
      <c r="B24" s="46"/>
      <c r="C24" s="48"/>
      <c r="D24" s="422"/>
      <c r="E24" s="422"/>
      <c r="F24" s="422"/>
      <c r="G24" s="83"/>
      <c r="H24" s="83"/>
      <c r="I24" s="83"/>
      <c r="J24" s="83"/>
      <c r="K24" s="83"/>
      <c r="L24" s="48"/>
      <c r="M24" s="48"/>
      <c r="N24" s="48"/>
      <c r="O24" s="48"/>
      <c r="P24" s="48"/>
      <c r="Q24" s="48"/>
      <c r="R24" s="48"/>
      <c r="S24" s="48"/>
      <c r="T24" s="48"/>
      <c r="U24" s="48"/>
      <c r="V24" s="48"/>
      <c r="W24" s="48"/>
      <c r="X24" s="48"/>
      <c r="Y24" s="48"/>
      <c r="Z24" s="48"/>
      <c r="AB24" s="421"/>
    </row>
    <row r="25" spans="1:28" ht="15.75" thickBot="1">
      <c r="A25" s="41" t="s">
        <v>23</v>
      </c>
      <c r="B25" s="42" t="s">
        <v>139</v>
      </c>
      <c r="C25" s="43">
        <v>0</v>
      </c>
      <c r="D25" s="81">
        <v>0.28333333333333333</v>
      </c>
      <c r="E25" s="81">
        <v>0.56666666666666665</v>
      </c>
      <c r="F25" s="81">
        <v>0.85</v>
      </c>
      <c r="G25" s="81">
        <v>1.1333333333333333</v>
      </c>
      <c r="H25" s="81">
        <v>1.4166666666666665</v>
      </c>
      <c r="I25" s="82">
        <v>1.7</v>
      </c>
      <c r="J25" s="81">
        <v>1.7</v>
      </c>
      <c r="K25" s="81">
        <v>1.7</v>
      </c>
      <c r="L25" s="44">
        <v>1.7</v>
      </c>
      <c r="M25" s="44">
        <v>1.7</v>
      </c>
      <c r="N25" s="43">
        <v>1.7</v>
      </c>
      <c r="O25" s="44">
        <v>1.7749999999999999</v>
      </c>
      <c r="P25" s="44">
        <v>1.8499999999999999</v>
      </c>
      <c r="Q25" s="44">
        <v>1.9249999999999998</v>
      </c>
      <c r="R25" s="43">
        <v>2</v>
      </c>
      <c r="S25" s="44">
        <v>2.0833333333333335</v>
      </c>
      <c r="T25" s="44">
        <v>2.166666666666667</v>
      </c>
      <c r="U25" s="44">
        <v>2.2500000000000004</v>
      </c>
      <c r="V25" s="44">
        <v>2.3333333333333339</v>
      </c>
      <c r="W25" s="44">
        <v>3.6666666666666674</v>
      </c>
      <c r="X25" s="44">
        <v>4.0000000000000009</v>
      </c>
      <c r="Y25" s="43">
        <v>4</v>
      </c>
      <c r="Z25" s="44">
        <v>4</v>
      </c>
      <c r="AA25" s="38">
        <v>5</v>
      </c>
      <c r="AB25" s="420">
        <v>0.16</v>
      </c>
    </row>
    <row r="26" spans="1:28" s="49" customFormat="1" ht="15.75" thickBot="1">
      <c r="A26" s="45"/>
      <c r="B26" s="46" t="s">
        <v>140</v>
      </c>
      <c r="C26" s="79">
        <v>0</v>
      </c>
      <c r="D26" s="84">
        <v>0</v>
      </c>
      <c r="E26" s="85">
        <v>0</v>
      </c>
      <c r="F26" s="85">
        <v>0</v>
      </c>
      <c r="G26" s="85">
        <v>0</v>
      </c>
      <c r="H26" s="85">
        <v>0</v>
      </c>
      <c r="I26" s="85">
        <v>0</v>
      </c>
      <c r="J26" s="85">
        <v>0</v>
      </c>
      <c r="K26" s="85">
        <v>0</v>
      </c>
      <c r="L26" s="85">
        <v>0</v>
      </c>
      <c r="M26" s="85">
        <v>0</v>
      </c>
      <c r="N26" s="423">
        <v>1.7</v>
      </c>
      <c r="O26" s="424">
        <v>1.7</v>
      </c>
      <c r="P26" s="424">
        <v>1.7</v>
      </c>
      <c r="Q26" s="424">
        <v>2.5</v>
      </c>
      <c r="R26" s="85">
        <v>2.5</v>
      </c>
      <c r="S26" s="85">
        <v>2.5</v>
      </c>
      <c r="T26" s="85">
        <v>2.9</v>
      </c>
      <c r="U26" s="85">
        <v>2.9</v>
      </c>
      <c r="V26" s="86">
        <v>3.4</v>
      </c>
      <c r="W26" s="80">
        <v>3.4</v>
      </c>
      <c r="X26" s="69">
        <v>3.4</v>
      </c>
      <c r="Y26" s="69">
        <v>0</v>
      </c>
      <c r="Z26" s="69">
        <v>0</v>
      </c>
      <c r="AB26" s="421"/>
    </row>
    <row r="27" spans="1:28" s="49" customFormat="1">
      <c r="A27" s="45"/>
      <c r="B27" s="46"/>
      <c r="C27" s="48"/>
      <c r="D27" s="422"/>
      <c r="E27" s="422"/>
      <c r="F27" s="422"/>
      <c r="G27" s="83"/>
      <c r="H27" s="83"/>
      <c r="I27" s="83"/>
      <c r="J27" s="83"/>
      <c r="K27" s="83"/>
      <c r="L27" s="48"/>
      <c r="M27" s="48"/>
      <c r="N27" s="48"/>
      <c r="O27" s="48"/>
      <c r="P27" s="48"/>
      <c r="Q27" s="48"/>
      <c r="R27" s="48"/>
      <c r="S27" s="48"/>
      <c r="T27" s="48"/>
      <c r="U27" s="48"/>
      <c r="V27" s="48"/>
      <c r="W27" s="48"/>
      <c r="X27" s="48"/>
      <c r="Y27" s="48"/>
      <c r="Z27" s="48"/>
      <c r="AB27" s="421"/>
    </row>
    <row r="28" spans="1:28" ht="15.75" thickBot="1">
      <c r="A28" s="41" t="s">
        <v>38</v>
      </c>
      <c r="B28" s="42" t="s">
        <v>139</v>
      </c>
      <c r="C28" s="47"/>
      <c r="D28" s="47"/>
      <c r="E28" s="47"/>
      <c r="F28" s="47"/>
      <c r="G28" s="47"/>
      <c r="H28" s="47"/>
      <c r="I28" s="47"/>
      <c r="J28" s="47"/>
      <c r="K28" s="47"/>
      <c r="L28" s="47"/>
      <c r="M28" s="47"/>
      <c r="N28" s="43">
        <v>2.7</v>
      </c>
      <c r="O28" s="44">
        <v>2.7750000000000004</v>
      </c>
      <c r="P28" s="44">
        <v>2.8500000000000005</v>
      </c>
      <c r="Q28" s="44">
        <v>2.9250000000000007</v>
      </c>
      <c r="R28" s="43">
        <v>3</v>
      </c>
      <c r="S28" s="44">
        <v>3.0833333333333335</v>
      </c>
      <c r="T28" s="44">
        <v>3.166666666666667</v>
      </c>
      <c r="U28" s="44">
        <v>3.2500000000000004</v>
      </c>
      <c r="V28" s="44">
        <v>3.3333333333333339</v>
      </c>
      <c r="W28" s="44">
        <v>3.8333333333333326</v>
      </c>
      <c r="X28" s="44">
        <v>3.9999999999999991</v>
      </c>
      <c r="Y28" s="43">
        <v>4</v>
      </c>
      <c r="Z28" s="44">
        <v>4</v>
      </c>
      <c r="AA28" s="38">
        <v>5</v>
      </c>
      <c r="AB28" s="420">
        <v>0.16</v>
      </c>
    </row>
    <row r="29" spans="1:28" s="49" customFormat="1" ht="15.75" thickBot="1">
      <c r="A29" s="45"/>
      <c r="B29" s="46" t="s">
        <v>140</v>
      </c>
      <c r="C29" s="47"/>
      <c r="D29" s="47"/>
      <c r="E29" s="47"/>
      <c r="F29" s="47"/>
      <c r="G29" s="47"/>
      <c r="H29" s="47"/>
      <c r="I29" s="47"/>
      <c r="J29" s="47"/>
      <c r="K29" s="47"/>
      <c r="L29" s="47"/>
      <c r="M29" s="47"/>
      <c r="N29" s="47">
        <v>2.7</v>
      </c>
      <c r="O29" s="84">
        <v>2.7</v>
      </c>
      <c r="P29" s="424">
        <v>2.8</v>
      </c>
      <c r="Q29" s="424">
        <v>3.1</v>
      </c>
      <c r="R29" s="85">
        <v>3.1</v>
      </c>
      <c r="S29" s="85">
        <v>3.1</v>
      </c>
      <c r="T29" s="85">
        <v>3.6</v>
      </c>
      <c r="U29" s="85">
        <v>3.6</v>
      </c>
      <c r="V29" s="86">
        <v>3.7</v>
      </c>
      <c r="W29" s="80">
        <v>3.7</v>
      </c>
      <c r="X29" s="69">
        <v>3.7</v>
      </c>
      <c r="Y29" s="69">
        <v>0</v>
      </c>
      <c r="Z29" s="69">
        <v>0</v>
      </c>
      <c r="AB29" s="421"/>
    </row>
    <row r="30" spans="1:28" s="49" customFormat="1">
      <c r="A30" s="45"/>
      <c r="B30" s="46"/>
      <c r="C30" s="48"/>
      <c r="D30" s="48"/>
      <c r="E30" s="48"/>
      <c r="F30" s="48"/>
      <c r="G30" s="48"/>
      <c r="H30" s="48"/>
      <c r="I30" s="48"/>
      <c r="J30" s="48"/>
      <c r="K30" s="48"/>
      <c r="L30" s="48"/>
      <c r="M30" s="48"/>
      <c r="N30" s="48"/>
      <c r="O30" s="48"/>
      <c r="P30" s="48"/>
      <c r="Q30" s="48"/>
      <c r="R30" s="48"/>
      <c r="S30" s="48"/>
      <c r="T30" s="48"/>
      <c r="U30" s="48"/>
      <c r="V30" s="48"/>
      <c r="W30" s="48"/>
      <c r="X30" s="48"/>
      <c r="Y30" s="48"/>
      <c r="Z30" s="48"/>
      <c r="AB30" s="421"/>
    </row>
    <row r="31" spans="1:28" ht="15.75" thickBot="1">
      <c r="A31" s="41" t="s">
        <v>39</v>
      </c>
      <c r="B31" s="42" t="s">
        <v>139</v>
      </c>
      <c r="C31" s="50">
        <v>0</v>
      </c>
      <c r="D31" s="73">
        <v>0</v>
      </c>
      <c r="E31" s="73">
        <v>0</v>
      </c>
      <c r="F31" s="73">
        <v>0</v>
      </c>
      <c r="G31" s="73">
        <v>0</v>
      </c>
      <c r="H31" s="73">
        <v>0</v>
      </c>
      <c r="I31" s="74">
        <v>0</v>
      </c>
      <c r="J31" s="73">
        <v>0</v>
      </c>
      <c r="K31" s="73">
        <v>0</v>
      </c>
      <c r="L31" s="51">
        <v>0</v>
      </c>
      <c r="M31" s="51">
        <v>0</v>
      </c>
      <c r="N31" s="50">
        <v>0</v>
      </c>
      <c r="O31" s="51">
        <v>0.5</v>
      </c>
      <c r="P31" s="51">
        <v>1</v>
      </c>
      <c r="Q31" s="51">
        <v>1.5</v>
      </c>
      <c r="R31" s="50">
        <v>2</v>
      </c>
      <c r="S31" s="51">
        <v>2.3333333333333335</v>
      </c>
      <c r="T31" s="51">
        <v>2.666666666666667</v>
      </c>
      <c r="U31" s="51">
        <v>3.0000000000000004</v>
      </c>
      <c r="V31" s="51">
        <v>3.3333333333333339</v>
      </c>
      <c r="W31" s="51">
        <v>3.6666666666666674</v>
      </c>
      <c r="X31" s="51">
        <v>4.0000000000000009</v>
      </c>
      <c r="Y31" s="50">
        <v>4</v>
      </c>
      <c r="Z31" s="51">
        <v>4</v>
      </c>
      <c r="AA31" s="38">
        <v>20</v>
      </c>
      <c r="AB31" s="420">
        <v>0.8</v>
      </c>
    </row>
    <row r="32" spans="1:28" s="49" customFormat="1" ht="15.75" thickBot="1">
      <c r="A32" s="45"/>
      <c r="B32" s="46" t="s">
        <v>140</v>
      </c>
      <c r="C32" s="71">
        <v>0</v>
      </c>
      <c r="D32" s="76">
        <v>0</v>
      </c>
      <c r="E32" s="77">
        <v>0</v>
      </c>
      <c r="F32" s="77">
        <v>0</v>
      </c>
      <c r="G32" s="77">
        <v>0</v>
      </c>
      <c r="H32" s="77">
        <v>0</v>
      </c>
      <c r="I32" s="77">
        <v>0</v>
      </c>
      <c r="J32" s="77">
        <v>0</v>
      </c>
      <c r="K32" s="77">
        <v>0</v>
      </c>
      <c r="L32" s="77">
        <v>0</v>
      </c>
      <c r="M32" s="77">
        <v>0</v>
      </c>
      <c r="N32" s="425">
        <v>0</v>
      </c>
      <c r="O32" s="426">
        <v>0</v>
      </c>
      <c r="P32" s="426">
        <v>0</v>
      </c>
      <c r="Q32" s="426">
        <v>0</v>
      </c>
      <c r="R32" s="77">
        <v>2</v>
      </c>
      <c r="S32" s="77">
        <v>4</v>
      </c>
      <c r="T32" s="77">
        <v>11</v>
      </c>
      <c r="U32" s="77">
        <v>14</v>
      </c>
      <c r="V32" s="78">
        <v>4</v>
      </c>
      <c r="W32" s="72">
        <v>4</v>
      </c>
      <c r="X32" s="70">
        <v>4</v>
      </c>
      <c r="Y32" s="70">
        <v>0</v>
      </c>
      <c r="Z32" s="70">
        <v>0</v>
      </c>
      <c r="AB32" s="421"/>
    </row>
    <row r="33" spans="1:28" s="49" customFormat="1">
      <c r="A33" s="45"/>
      <c r="B33" s="46"/>
      <c r="C33" s="53"/>
      <c r="D33" s="75"/>
      <c r="E33" s="75"/>
      <c r="F33" s="75"/>
      <c r="G33" s="75"/>
      <c r="H33" s="75"/>
      <c r="I33" s="75"/>
      <c r="J33" s="75"/>
      <c r="K33" s="75"/>
      <c r="L33" s="53"/>
      <c r="M33" s="53"/>
      <c r="N33" s="53"/>
      <c r="O33" s="53"/>
      <c r="P33" s="53"/>
      <c r="Q33" s="53"/>
      <c r="R33" s="53"/>
      <c r="S33" s="53"/>
      <c r="T33" s="53"/>
      <c r="U33" s="53"/>
      <c r="V33" s="53"/>
      <c r="W33" s="53"/>
      <c r="X33" s="53"/>
      <c r="Y33" s="53"/>
      <c r="Z33" s="53"/>
      <c r="AB33" s="421"/>
    </row>
    <row r="34" spans="1:28" ht="15.75" thickBot="1">
      <c r="A34" s="41" t="s">
        <v>185</v>
      </c>
      <c r="B34" s="42" t="s">
        <v>222</v>
      </c>
      <c r="C34" s="50">
        <v>0</v>
      </c>
      <c r="D34" s="73">
        <v>0</v>
      </c>
      <c r="E34" s="73">
        <v>0</v>
      </c>
      <c r="F34" s="73">
        <v>0</v>
      </c>
      <c r="G34" s="73">
        <v>0</v>
      </c>
      <c r="H34" s="73">
        <v>0</v>
      </c>
      <c r="I34" s="74">
        <v>0</v>
      </c>
      <c r="J34" s="73">
        <v>0</v>
      </c>
      <c r="K34" s="73">
        <v>0</v>
      </c>
      <c r="L34" s="51">
        <v>0</v>
      </c>
      <c r="M34" s="51">
        <v>0</v>
      </c>
      <c r="N34" s="50">
        <v>0</v>
      </c>
      <c r="O34" s="51">
        <v>0.25</v>
      </c>
      <c r="P34" s="51">
        <v>0.5</v>
      </c>
      <c r="Q34" s="51">
        <v>0.75</v>
      </c>
      <c r="R34" s="50">
        <v>1</v>
      </c>
      <c r="S34" s="51">
        <v>1.3333333333333333</v>
      </c>
      <c r="T34" s="51">
        <v>1.6666666666666665</v>
      </c>
      <c r="U34" s="51">
        <v>1.9999999999999998</v>
      </c>
      <c r="V34" s="51">
        <v>2.333333333333333</v>
      </c>
      <c r="W34" s="51">
        <v>2.6666666666666665</v>
      </c>
      <c r="X34" s="51">
        <v>3</v>
      </c>
      <c r="Y34" s="50">
        <v>3</v>
      </c>
      <c r="Z34" s="51">
        <v>3</v>
      </c>
      <c r="AA34" s="38">
        <v>15</v>
      </c>
      <c r="AB34" s="420">
        <v>0.6</v>
      </c>
    </row>
    <row r="35" spans="1:28" s="49" customFormat="1" ht="15.75" thickBot="1">
      <c r="A35" s="45"/>
      <c r="B35" s="46" t="s">
        <v>223</v>
      </c>
      <c r="C35" s="71">
        <v>0</v>
      </c>
      <c r="D35" s="76">
        <v>0</v>
      </c>
      <c r="E35" s="77">
        <v>0</v>
      </c>
      <c r="F35" s="77">
        <v>0</v>
      </c>
      <c r="G35" s="77">
        <v>0</v>
      </c>
      <c r="H35" s="77">
        <v>0</v>
      </c>
      <c r="I35" s="77">
        <v>0</v>
      </c>
      <c r="J35" s="77">
        <v>0</v>
      </c>
      <c r="K35" s="77">
        <v>0</v>
      </c>
      <c r="L35" s="77">
        <v>0</v>
      </c>
      <c r="M35" s="77">
        <v>0</v>
      </c>
      <c r="N35" s="425">
        <v>0</v>
      </c>
      <c r="O35" s="426">
        <v>0</v>
      </c>
      <c r="P35" s="426">
        <v>0</v>
      </c>
      <c r="Q35" s="426">
        <v>0</v>
      </c>
      <c r="R35" s="77">
        <v>1</v>
      </c>
      <c r="S35" s="77">
        <v>1</v>
      </c>
      <c r="T35" s="77">
        <v>3</v>
      </c>
      <c r="U35" s="77">
        <v>4</v>
      </c>
      <c r="V35" s="78">
        <v>3</v>
      </c>
      <c r="W35" s="72">
        <v>3</v>
      </c>
      <c r="X35" s="70">
        <v>3</v>
      </c>
      <c r="Y35" s="70">
        <v>0</v>
      </c>
      <c r="Z35" s="70">
        <v>0</v>
      </c>
      <c r="AB35" s="421"/>
    </row>
    <row r="36" spans="1:28" s="49" customFormat="1">
      <c r="A36" s="45"/>
      <c r="B36" s="46"/>
      <c r="C36" s="53"/>
      <c r="D36" s="75"/>
      <c r="E36" s="75"/>
      <c r="F36" s="75"/>
      <c r="G36" s="75"/>
      <c r="H36" s="75"/>
      <c r="I36" s="75"/>
      <c r="J36" s="75"/>
      <c r="K36" s="75"/>
      <c r="L36" s="53"/>
      <c r="M36" s="53"/>
      <c r="N36" s="53"/>
      <c r="O36" s="53"/>
      <c r="P36" s="53"/>
      <c r="Q36" s="53"/>
      <c r="R36" s="53"/>
      <c r="S36" s="53"/>
      <c r="T36" s="53"/>
      <c r="U36" s="53"/>
      <c r="V36" s="53"/>
      <c r="W36" s="53"/>
      <c r="X36" s="53"/>
      <c r="Y36" s="53"/>
      <c r="Z36" s="53"/>
      <c r="AB36" s="421"/>
    </row>
    <row r="37" spans="1:28" ht="15.75" thickBot="1">
      <c r="A37" s="41" t="s">
        <v>184</v>
      </c>
      <c r="B37" s="42" t="s">
        <v>226</v>
      </c>
      <c r="C37" s="50">
        <v>0</v>
      </c>
      <c r="D37" s="73">
        <v>0</v>
      </c>
      <c r="E37" s="73">
        <v>0</v>
      </c>
      <c r="F37" s="73">
        <v>0</v>
      </c>
      <c r="G37" s="73">
        <v>0</v>
      </c>
      <c r="H37" s="73">
        <v>0</v>
      </c>
      <c r="I37" s="74">
        <v>0</v>
      </c>
      <c r="J37" s="73">
        <v>0</v>
      </c>
      <c r="K37" s="73">
        <v>0</v>
      </c>
      <c r="L37" s="51">
        <v>0</v>
      </c>
      <c r="M37" s="51">
        <v>0</v>
      </c>
      <c r="N37" s="50">
        <v>0</v>
      </c>
      <c r="O37" s="51">
        <v>0</v>
      </c>
      <c r="P37" s="51">
        <v>0</v>
      </c>
      <c r="Q37" s="51">
        <v>0</v>
      </c>
      <c r="R37" s="50">
        <v>0</v>
      </c>
      <c r="S37" s="51">
        <v>0.33333333333333331</v>
      </c>
      <c r="T37" s="51">
        <v>0.66666666666666663</v>
      </c>
      <c r="U37" s="51">
        <v>1</v>
      </c>
      <c r="V37" s="51">
        <v>1.3333333333333333</v>
      </c>
      <c r="W37" s="51">
        <v>1.6666666666666665</v>
      </c>
      <c r="X37" s="51">
        <v>1.9999999999999998</v>
      </c>
      <c r="Y37" s="50">
        <v>2</v>
      </c>
      <c r="Z37" s="51">
        <v>2</v>
      </c>
      <c r="AA37" s="38">
        <v>10</v>
      </c>
      <c r="AB37" s="420">
        <v>0.4</v>
      </c>
    </row>
    <row r="38" spans="1:28" s="49" customFormat="1" ht="15.75" thickBot="1">
      <c r="A38" s="45"/>
      <c r="B38" s="46" t="s">
        <v>227</v>
      </c>
      <c r="C38" s="71">
        <v>0</v>
      </c>
      <c r="D38" s="76">
        <v>0</v>
      </c>
      <c r="E38" s="77">
        <v>0</v>
      </c>
      <c r="F38" s="77">
        <v>0</v>
      </c>
      <c r="G38" s="77">
        <v>0</v>
      </c>
      <c r="H38" s="77">
        <v>0</v>
      </c>
      <c r="I38" s="77">
        <v>0</v>
      </c>
      <c r="J38" s="77">
        <v>0</v>
      </c>
      <c r="K38" s="77">
        <v>0</v>
      </c>
      <c r="L38" s="77">
        <v>0</v>
      </c>
      <c r="M38" s="77">
        <v>0</v>
      </c>
      <c r="N38" s="425">
        <v>0</v>
      </c>
      <c r="O38" s="426">
        <v>0</v>
      </c>
      <c r="P38" s="426">
        <v>0</v>
      </c>
      <c r="Q38" s="426">
        <v>0</v>
      </c>
      <c r="R38" s="77">
        <v>0</v>
      </c>
      <c r="S38" s="77">
        <v>0</v>
      </c>
      <c r="T38" s="77">
        <v>1</v>
      </c>
      <c r="U38" s="77">
        <v>1</v>
      </c>
      <c r="V38" s="78">
        <v>1</v>
      </c>
      <c r="W38" s="72">
        <v>1</v>
      </c>
      <c r="X38" s="70">
        <v>1</v>
      </c>
      <c r="Y38" s="70">
        <v>0</v>
      </c>
      <c r="Z38" s="70">
        <v>0</v>
      </c>
      <c r="AB38" s="421"/>
    </row>
    <row r="39" spans="1:28" s="49" customFormat="1">
      <c r="A39" s="45"/>
      <c r="B39" s="46"/>
      <c r="C39" s="53"/>
      <c r="D39" s="75"/>
      <c r="E39" s="75"/>
      <c r="F39" s="75"/>
      <c r="G39" s="75"/>
      <c r="H39" s="75"/>
      <c r="I39" s="75"/>
      <c r="J39" s="75"/>
      <c r="K39" s="75"/>
      <c r="L39" s="53"/>
      <c r="M39" s="53"/>
      <c r="N39" s="53"/>
      <c r="O39" s="53"/>
      <c r="P39" s="53"/>
      <c r="Q39" s="53"/>
      <c r="R39" s="53"/>
      <c r="S39" s="53"/>
      <c r="T39" s="53"/>
      <c r="U39" s="53"/>
      <c r="V39" s="53"/>
      <c r="W39" s="53"/>
      <c r="X39" s="53"/>
      <c r="Y39" s="53"/>
      <c r="Z39" s="53"/>
      <c r="AB39" s="421"/>
    </row>
    <row r="40" spans="1:28" ht="15.75" thickBot="1">
      <c r="A40" s="41" t="s">
        <v>183</v>
      </c>
      <c r="B40" s="42" t="s">
        <v>224</v>
      </c>
      <c r="C40" s="50">
        <v>0</v>
      </c>
      <c r="D40" s="73">
        <v>0</v>
      </c>
      <c r="E40" s="73">
        <v>0</v>
      </c>
      <c r="F40" s="73">
        <v>0</v>
      </c>
      <c r="G40" s="73">
        <v>0</v>
      </c>
      <c r="H40" s="73">
        <v>0</v>
      </c>
      <c r="I40" s="74">
        <v>0</v>
      </c>
      <c r="J40" s="73">
        <v>0</v>
      </c>
      <c r="K40" s="73">
        <v>0</v>
      </c>
      <c r="L40" s="51">
        <v>0</v>
      </c>
      <c r="M40" s="51">
        <v>0</v>
      </c>
      <c r="N40" s="50">
        <v>0</v>
      </c>
      <c r="O40" s="51">
        <v>0</v>
      </c>
      <c r="P40" s="51">
        <v>0</v>
      </c>
      <c r="Q40" s="51">
        <v>0</v>
      </c>
      <c r="R40" s="50">
        <v>0</v>
      </c>
      <c r="S40" s="51">
        <v>0</v>
      </c>
      <c r="T40" s="51">
        <v>0</v>
      </c>
      <c r="U40" s="51">
        <v>0</v>
      </c>
      <c r="V40" s="51">
        <v>0</v>
      </c>
      <c r="W40" s="51">
        <v>0</v>
      </c>
      <c r="X40" s="51">
        <v>0</v>
      </c>
      <c r="Y40" s="50">
        <v>0</v>
      </c>
      <c r="Z40" s="51">
        <v>0</v>
      </c>
      <c r="AA40" s="38">
        <v>5</v>
      </c>
      <c r="AB40" s="420">
        <v>0.2</v>
      </c>
    </row>
    <row r="41" spans="1:28" s="49" customFormat="1" ht="15.75" thickBot="1">
      <c r="A41" s="45"/>
      <c r="B41" s="46" t="s">
        <v>225</v>
      </c>
      <c r="C41" s="71">
        <v>0</v>
      </c>
      <c r="D41" s="76">
        <v>0</v>
      </c>
      <c r="E41" s="77">
        <v>0</v>
      </c>
      <c r="F41" s="77">
        <v>0</v>
      </c>
      <c r="G41" s="77">
        <v>0</v>
      </c>
      <c r="H41" s="77">
        <v>0</v>
      </c>
      <c r="I41" s="77">
        <v>0</v>
      </c>
      <c r="J41" s="77">
        <v>0</v>
      </c>
      <c r="K41" s="77">
        <v>0</v>
      </c>
      <c r="L41" s="77">
        <v>0</v>
      </c>
      <c r="M41" s="77">
        <v>0</v>
      </c>
      <c r="N41" s="425">
        <v>0</v>
      </c>
      <c r="O41" s="426">
        <v>0</v>
      </c>
      <c r="P41" s="426">
        <v>0</v>
      </c>
      <c r="Q41" s="426">
        <v>0</v>
      </c>
      <c r="R41" s="77">
        <v>0</v>
      </c>
      <c r="S41" s="77">
        <v>1</v>
      </c>
      <c r="T41" s="77">
        <v>2</v>
      </c>
      <c r="U41" s="77">
        <v>4</v>
      </c>
      <c r="V41" s="78">
        <v>0</v>
      </c>
      <c r="W41" s="72">
        <v>0</v>
      </c>
      <c r="X41" s="70">
        <v>0</v>
      </c>
      <c r="Y41" s="70">
        <v>0</v>
      </c>
      <c r="Z41" s="70">
        <v>0</v>
      </c>
      <c r="AB41" s="421"/>
    </row>
    <row r="42" spans="1:28" s="49" customFormat="1">
      <c r="A42" s="45"/>
      <c r="B42" s="46"/>
      <c r="C42" s="48"/>
      <c r="D42" s="83"/>
      <c r="E42" s="83"/>
      <c r="F42" s="83"/>
      <c r="G42" s="83"/>
      <c r="H42" s="83"/>
      <c r="I42" s="83"/>
      <c r="J42" s="83"/>
      <c r="K42" s="83"/>
      <c r="L42" s="48"/>
      <c r="M42" s="48"/>
      <c r="N42" s="48"/>
      <c r="O42" s="48"/>
      <c r="P42" s="48"/>
      <c r="Q42" s="48"/>
      <c r="R42" s="48"/>
      <c r="S42" s="48"/>
      <c r="T42" s="48"/>
      <c r="U42" s="48"/>
      <c r="V42" s="48"/>
      <c r="W42" s="48"/>
      <c r="X42" s="48"/>
      <c r="Y42" s="48"/>
      <c r="Z42" s="48"/>
      <c r="AB42" s="421"/>
    </row>
    <row r="43" spans="1:28" ht="15.75" thickBot="1">
      <c r="A43" s="41" t="s">
        <v>16</v>
      </c>
      <c r="B43" s="42" t="s">
        <v>139</v>
      </c>
      <c r="C43" s="43">
        <v>0</v>
      </c>
      <c r="D43" s="81">
        <v>0.16666666666666666</v>
      </c>
      <c r="E43" s="81">
        <v>0.33333333333333331</v>
      </c>
      <c r="F43" s="81">
        <v>0.5</v>
      </c>
      <c r="G43" s="81">
        <v>0.66666666666666663</v>
      </c>
      <c r="H43" s="81">
        <v>0.83333333333333326</v>
      </c>
      <c r="I43" s="82">
        <v>1</v>
      </c>
      <c r="J43" s="81">
        <v>1.0833333333333333</v>
      </c>
      <c r="K43" s="81">
        <v>1.1666666666666665</v>
      </c>
      <c r="L43" s="44">
        <v>1.2499999999999998</v>
      </c>
      <c r="M43" s="44">
        <v>1.333333333333333</v>
      </c>
      <c r="N43" s="43">
        <v>1.5</v>
      </c>
      <c r="O43" s="44">
        <v>1.55</v>
      </c>
      <c r="P43" s="44">
        <v>1.6</v>
      </c>
      <c r="Q43" s="44">
        <v>1.6500000000000001</v>
      </c>
      <c r="R43" s="43">
        <v>1.7</v>
      </c>
      <c r="S43" s="44">
        <v>1.9166666666666665</v>
      </c>
      <c r="T43" s="44">
        <v>2.1333333333333333</v>
      </c>
      <c r="U43" s="44">
        <v>2.35</v>
      </c>
      <c r="V43" s="44">
        <v>2.5666666666666669</v>
      </c>
      <c r="W43" s="44">
        <v>3.0333333333333332</v>
      </c>
      <c r="X43" s="44">
        <v>3.3</v>
      </c>
      <c r="Y43" s="43">
        <v>3.3</v>
      </c>
      <c r="Z43" s="44">
        <v>3.3</v>
      </c>
      <c r="AA43" s="38">
        <v>5</v>
      </c>
      <c r="AB43" s="420">
        <v>0.16</v>
      </c>
    </row>
    <row r="44" spans="1:28" s="49" customFormat="1" ht="15.75" thickBot="1">
      <c r="A44" s="45"/>
      <c r="B44" s="46" t="s">
        <v>140</v>
      </c>
      <c r="C44" s="79">
        <v>0</v>
      </c>
      <c r="D44" s="84">
        <v>0</v>
      </c>
      <c r="E44" s="85">
        <v>0</v>
      </c>
      <c r="F44" s="85">
        <v>0</v>
      </c>
      <c r="G44" s="85">
        <v>0</v>
      </c>
      <c r="H44" s="85">
        <v>0</v>
      </c>
      <c r="I44" s="85">
        <v>0</v>
      </c>
      <c r="J44" s="85">
        <v>0</v>
      </c>
      <c r="K44" s="85">
        <v>0</v>
      </c>
      <c r="L44" s="85">
        <v>0</v>
      </c>
      <c r="M44" s="85">
        <v>0</v>
      </c>
      <c r="N44" s="423">
        <v>1.5</v>
      </c>
      <c r="O44" s="424">
        <v>1.5</v>
      </c>
      <c r="P44" s="424">
        <v>1.6</v>
      </c>
      <c r="Q44" s="424">
        <v>1.8</v>
      </c>
      <c r="R44" s="85">
        <v>1</v>
      </c>
      <c r="S44" s="85">
        <v>2</v>
      </c>
      <c r="T44" s="85">
        <v>2.6</v>
      </c>
      <c r="U44" s="85">
        <v>2.9</v>
      </c>
      <c r="V44" s="86">
        <v>3</v>
      </c>
      <c r="W44" s="80">
        <v>3</v>
      </c>
      <c r="X44" s="69">
        <v>3.2</v>
      </c>
      <c r="Y44" s="69">
        <v>0</v>
      </c>
      <c r="Z44" s="69">
        <v>0</v>
      </c>
      <c r="AB44" s="421"/>
    </row>
    <row r="45" spans="1:28" s="49" customFormat="1">
      <c r="A45" s="45"/>
      <c r="B45" s="46"/>
      <c r="C45" s="48"/>
      <c r="D45" s="83"/>
      <c r="E45" s="83"/>
      <c r="F45" s="83"/>
      <c r="G45" s="83"/>
      <c r="H45" s="83"/>
      <c r="I45" s="83"/>
      <c r="J45" s="83"/>
      <c r="K45" s="83"/>
      <c r="L45" s="48"/>
      <c r="M45" s="48"/>
      <c r="N45" s="48"/>
      <c r="O45" s="48"/>
      <c r="P45" s="48"/>
      <c r="Q45" s="48"/>
      <c r="R45" s="48"/>
      <c r="S45" s="48"/>
      <c r="T45" s="48"/>
      <c r="U45" s="48"/>
      <c r="V45" s="48"/>
      <c r="W45" s="48"/>
      <c r="X45" s="48"/>
      <c r="Y45" s="48"/>
      <c r="Z45" s="48"/>
      <c r="AB45" s="421"/>
    </row>
    <row r="46" spans="1:28" ht="15.75" thickBot="1">
      <c r="A46" s="41" t="s">
        <v>17</v>
      </c>
      <c r="B46" s="42" t="s">
        <v>139</v>
      </c>
      <c r="C46" s="43">
        <v>0</v>
      </c>
      <c r="D46" s="81">
        <v>0.16666666666666666</v>
      </c>
      <c r="E46" s="81">
        <v>0.33333333333333331</v>
      </c>
      <c r="F46" s="81">
        <v>0.5</v>
      </c>
      <c r="G46" s="81">
        <v>0.66666666666666663</v>
      </c>
      <c r="H46" s="81">
        <v>0.83333333333333326</v>
      </c>
      <c r="I46" s="82">
        <v>1</v>
      </c>
      <c r="J46" s="81">
        <v>1</v>
      </c>
      <c r="K46" s="81">
        <v>1</v>
      </c>
      <c r="L46" s="44">
        <v>1</v>
      </c>
      <c r="M46" s="44">
        <v>1</v>
      </c>
      <c r="N46" s="43">
        <v>1</v>
      </c>
      <c r="O46" s="44">
        <v>1.075</v>
      </c>
      <c r="P46" s="44">
        <v>1.1499999999999999</v>
      </c>
      <c r="Q46" s="44">
        <v>1.2249999999999999</v>
      </c>
      <c r="R46" s="43">
        <v>1.3</v>
      </c>
      <c r="S46" s="44">
        <v>1.55</v>
      </c>
      <c r="T46" s="44">
        <v>1.8</v>
      </c>
      <c r="U46" s="44">
        <v>2.0499999999999998</v>
      </c>
      <c r="V46" s="44">
        <v>2.2999999999999998</v>
      </c>
      <c r="W46" s="44">
        <v>3.1333333333333333</v>
      </c>
      <c r="X46" s="44">
        <v>3.5</v>
      </c>
      <c r="Y46" s="43">
        <v>3.5</v>
      </c>
      <c r="Z46" s="44">
        <v>3.5</v>
      </c>
      <c r="AA46" s="38">
        <v>5</v>
      </c>
      <c r="AB46" s="420">
        <v>0.16</v>
      </c>
    </row>
    <row r="47" spans="1:28" s="49" customFormat="1" ht="15.75" thickBot="1">
      <c r="A47" s="45"/>
      <c r="B47" s="46" t="s">
        <v>140</v>
      </c>
      <c r="C47" s="79">
        <v>0</v>
      </c>
      <c r="D47" s="84">
        <v>0</v>
      </c>
      <c r="E47" s="85">
        <v>0</v>
      </c>
      <c r="F47" s="85">
        <v>0</v>
      </c>
      <c r="G47" s="85">
        <v>0</v>
      </c>
      <c r="H47" s="85">
        <v>0</v>
      </c>
      <c r="I47" s="85">
        <v>0</v>
      </c>
      <c r="J47" s="85">
        <v>0</v>
      </c>
      <c r="K47" s="85">
        <v>0</v>
      </c>
      <c r="L47" s="85">
        <v>0</v>
      </c>
      <c r="M47" s="85">
        <v>0</v>
      </c>
      <c r="N47" s="423">
        <v>1</v>
      </c>
      <c r="O47" s="424">
        <v>1.5</v>
      </c>
      <c r="P47" s="424">
        <v>1.2</v>
      </c>
      <c r="Q47" s="424">
        <v>1.2</v>
      </c>
      <c r="R47" s="85">
        <v>1</v>
      </c>
      <c r="S47" s="85">
        <v>2</v>
      </c>
      <c r="T47" s="85">
        <v>2.9</v>
      </c>
      <c r="U47" s="85">
        <v>3.3</v>
      </c>
      <c r="V47" s="86">
        <v>3.3</v>
      </c>
      <c r="W47" s="80">
        <v>3.3</v>
      </c>
      <c r="X47" s="69">
        <v>3.6</v>
      </c>
      <c r="Y47" s="69">
        <v>0</v>
      </c>
      <c r="Z47" s="69">
        <v>0</v>
      </c>
      <c r="AB47" s="421"/>
    </row>
    <row r="48" spans="1:28" s="49" customFormat="1">
      <c r="A48" s="45"/>
      <c r="B48" s="46"/>
      <c r="C48" s="48"/>
      <c r="D48" s="83"/>
      <c r="E48" s="83"/>
      <c r="F48" s="83"/>
      <c r="G48" s="83"/>
      <c r="H48" s="83"/>
      <c r="I48" s="83"/>
      <c r="J48" s="83"/>
      <c r="K48" s="83"/>
      <c r="L48" s="48"/>
      <c r="M48" s="48"/>
      <c r="N48" s="48"/>
      <c r="O48" s="48"/>
      <c r="P48" s="48"/>
      <c r="Q48" s="48"/>
      <c r="R48" s="48"/>
      <c r="S48" s="48"/>
      <c r="T48" s="48"/>
      <c r="U48" s="48"/>
      <c r="V48" s="48"/>
      <c r="W48" s="48"/>
      <c r="X48" s="48"/>
      <c r="Y48" s="48"/>
      <c r="Z48" s="48"/>
      <c r="AB48" s="421"/>
    </row>
    <row r="49" spans="1:28" ht="15.75" thickBot="1">
      <c r="A49" s="41" t="s">
        <v>18</v>
      </c>
      <c r="B49" s="42" t="s">
        <v>139</v>
      </c>
      <c r="C49" s="50">
        <v>0</v>
      </c>
      <c r="D49" s="73">
        <v>0</v>
      </c>
      <c r="E49" s="73">
        <v>0</v>
      </c>
      <c r="F49" s="73">
        <v>0</v>
      </c>
      <c r="G49" s="73">
        <v>0</v>
      </c>
      <c r="H49" s="73">
        <v>0</v>
      </c>
      <c r="I49" s="74">
        <v>0</v>
      </c>
      <c r="J49" s="73">
        <v>0</v>
      </c>
      <c r="K49" s="73">
        <v>0</v>
      </c>
      <c r="L49" s="51">
        <v>0</v>
      </c>
      <c r="M49" s="51">
        <v>0</v>
      </c>
      <c r="N49" s="50">
        <v>0</v>
      </c>
      <c r="O49" s="51">
        <v>0</v>
      </c>
      <c r="P49" s="51">
        <v>0</v>
      </c>
      <c r="Q49" s="51">
        <v>0</v>
      </c>
      <c r="R49" s="50">
        <v>0</v>
      </c>
      <c r="S49" s="51">
        <v>0.33333333333333331</v>
      </c>
      <c r="T49" s="51">
        <v>0.66666666666666663</v>
      </c>
      <c r="U49" s="51">
        <v>1</v>
      </c>
      <c r="V49" s="51">
        <v>1.3333333333333333</v>
      </c>
      <c r="W49" s="51">
        <v>0.83333333333333326</v>
      </c>
      <c r="X49" s="51">
        <v>0.99999999999999989</v>
      </c>
      <c r="Y49" s="50">
        <v>1</v>
      </c>
      <c r="Z49" s="51">
        <v>1</v>
      </c>
      <c r="AA49" s="38">
        <v>10</v>
      </c>
      <c r="AB49" s="420">
        <v>0.4</v>
      </c>
    </row>
    <row r="50" spans="1:28" s="49" customFormat="1" ht="15.75" thickBot="1">
      <c r="A50" s="45"/>
      <c r="B50" s="46" t="s">
        <v>140</v>
      </c>
      <c r="C50" s="71">
        <v>0</v>
      </c>
      <c r="D50" s="76">
        <v>0</v>
      </c>
      <c r="E50" s="77">
        <v>0</v>
      </c>
      <c r="F50" s="77">
        <v>0</v>
      </c>
      <c r="G50" s="77">
        <v>0</v>
      </c>
      <c r="H50" s="77">
        <v>0</v>
      </c>
      <c r="I50" s="77">
        <v>0</v>
      </c>
      <c r="J50" s="77">
        <v>0</v>
      </c>
      <c r="K50" s="77">
        <v>0</v>
      </c>
      <c r="L50" s="77">
        <v>0</v>
      </c>
      <c r="M50" s="77">
        <v>0</v>
      </c>
      <c r="N50" s="425">
        <v>0</v>
      </c>
      <c r="O50" s="426">
        <v>0</v>
      </c>
      <c r="P50" s="426">
        <v>0</v>
      </c>
      <c r="Q50" s="426">
        <v>0</v>
      </c>
      <c r="R50" s="85">
        <v>0</v>
      </c>
      <c r="S50" s="85">
        <v>0</v>
      </c>
      <c r="T50" s="85">
        <v>0</v>
      </c>
      <c r="U50" s="85">
        <v>0</v>
      </c>
      <c r="V50" s="86">
        <v>0</v>
      </c>
      <c r="W50" s="80">
        <v>1</v>
      </c>
      <c r="X50" s="69">
        <v>1</v>
      </c>
      <c r="Y50" s="69">
        <v>0</v>
      </c>
      <c r="Z50" s="69">
        <v>0</v>
      </c>
      <c r="AB50" s="421"/>
    </row>
    <row r="51" spans="1:28" s="49" customFormat="1">
      <c r="A51" s="45"/>
      <c r="B51" s="46"/>
      <c r="C51" s="48"/>
      <c r="D51" s="83"/>
      <c r="E51" s="83"/>
      <c r="F51" s="83"/>
      <c r="G51" s="83"/>
      <c r="H51" s="83"/>
      <c r="I51" s="83"/>
      <c r="J51" s="83"/>
      <c r="K51" s="83"/>
      <c r="L51" s="48"/>
      <c r="M51" s="48"/>
      <c r="N51" s="48"/>
      <c r="O51" s="48"/>
      <c r="P51" s="48"/>
      <c r="Q51" s="48"/>
      <c r="R51" s="48"/>
      <c r="S51" s="48"/>
      <c r="T51" s="48"/>
      <c r="U51" s="48"/>
      <c r="V51" s="48"/>
      <c r="W51" s="48"/>
      <c r="X51" s="48"/>
      <c r="Y51" s="48"/>
      <c r="Z51" s="48"/>
      <c r="AB51" s="421"/>
    </row>
    <row r="52" spans="1:28" ht="15.75" thickBot="1">
      <c r="A52" s="41" t="s">
        <v>19</v>
      </c>
      <c r="B52" s="42" t="s">
        <v>139</v>
      </c>
      <c r="C52" s="43">
        <v>0</v>
      </c>
      <c r="D52" s="81">
        <v>0.16666666666666666</v>
      </c>
      <c r="E52" s="81">
        <v>0.33333333333333331</v>
      </c>
      <c r="F52" s="81">
        <v>0.5</v>
      </c>
      <c r="G52" s="81">
        <v>0.66666666666666663</v>
      </c>
      <c r="H52" s="81">
        <v>0.83333333333333326</v>
      </c>
      <c r="I52" s="82">
        <v>1</v>
      </c>
      <c r="J52" s="81">
        <v>1</v>
      </c>
      <c r="K52" s="81">
        <v>1</v>
      </c>
      <c r="L52" s="44">
        <v>1</v>
      </c>
      <c r="M52" s="44">
        <v>1</v>
      </c>
      <c r="N52" s="43">
        <v>1</v>
      </c>
      <c r="O52" s="44">
        <v>1.125</v>
      </c>
      <c r="P52" s="44">
        <v>1.25</v>
      </c>
      <c r="Q52" s="44">
        <v>1.375</v>
      </c>
      <c r="R52" s="43">
        <v>1.5</v>
      </c>
      <c r="S52" s="44">
        <v>1.7166666666666666</v>
      </c>
      <c r="T52" s="44">
        <v>1.9333333333333331</v>
      </c>
      <c r="U52" s="44">
        <v>2.15</v>
      </c>
      <c r="V52" s="44">
        <v>2.3666666666666667</v>
      </c>
      <c r="W52" s="44">
        <v>3.583333333333333</v>
      </c>
      <c r="X52" s="44">
        <v>3.9999999999999996</v>
      </c>
      <c r="Y52" s="43">
        <v>4</v>
      </c>
      <c r="Z52" s="44">
        <v>4</v>
      </c>
      <c r="AA52" s="38">
        <v>5</v>
      </c>
      <c r="AB52" s="420">
        <v>0.16</v>
      </c>
    </row>
    <row r="53" spans="1:28" s="49" customFormat="1" ht="15.75" thickBot="1">
      <c r="A53" s="45"/>
      <c r="B53" s="46" t="s">
        <v>140</v>
      </c>
      <c r="C53" s="79">
        <v>0</v>
      </c>
      <c r="D53" s="84">
        <v>0</v>
      </c>
      <c r="E53" s="85">
        <v>0</v>
      </c>
      <c r="F53" s="85">
        <v>0</v>
      </c>
      <c r="G53" s="85">
        <v>0</v>
      </c>
      <c r="H53" s="85">
        <v>0</v>
      </c>
      <c r="I53" s="85">
        <v>0</v>
      </c>
      <c r="J53" s="85">
        <v>0</v>
      </c>
      <c r="K53" s="85">
        <v>0</v>
      </c>
      <c r="L53" s="85">
        <v>0</v>
      </c>
      <c r="M53" s="85">
        <v>0</v>
      </c>
      <c r="N53" s="423">
        <v>1</v>
      </c>
      <c r="O53" s="424">
        <v>1</v>
      </c>
      <c r="P53" s="424">
        <v>1</v>
      </c>
      <c r="Q53" s="424">
        <v>1.2</v>
      </c>
      <c r="R53" s="85">
        <v>1.1000000000000001</v>
      </c>
      <c r="S53" s="85">
        <v>2</v>
      </c>
      <c r="T53" s="85">
        <v>3.6</v>
      </c>
      <c r="U53" s="85">
        <v>3.6</v>
      </c>
      <c r="V53" s="86">
        <v>3.7</v>
      </c>
      <c r="W53" s="80">
        <v>3.7</v>
      </c>
      <c r="X53" s="69">
        <v>3.9</v>
      </c>
      <c r="Y53" s="69">
        <v>0</v>
      </c>
      <c r="Z53" s="69">
        <v>0</v>
      </c>
      <c r="AB53" s="421"/>
    </row>
    <row r="54" spans="1:28" s="49" customFormat="1">
      <c r="A54" s="45"/>
      <c r="B54" s="46"/>
      <c r="C54" s="48"/>
      <c r="D54" s="83"/>
      <c r="E54" s="83"/>
      <c r="F54" s="83"/>
      <c r="G54" s="83"/>
      <c r="H54" s="83"/>
      <c r="I54" s="83"/>
      <c r="J54" s="83"/>
      <c r="K54" s="83"/>
      <c r="L54" s="48"/>
      <c r="M54" s="48"/>
      <c r="N54" s="48"/>
      <c r="O54" s="48"/>
      <c r="P54" s="48"/>
      <c r="Q54" s="48"/>
      <c r="R54" s="48"/>
      <c r="S54" s="48"/>
      <c r="T54" s="48"/>
      <c r="U54" s="48"/>
      <c r="V54" s="48"/>
      <c r="W54" s="48"/>
      <c r="X54" s="48"/>
      <c r="Y54" s="48"/>
      <c r="Z54" s="48"/>
      <c r="AB54" s="421"/>
    </row>
    <row r="55" spans="1:28" ht="15.75" thickBot="1">
      <c r="A55" s="41" t="s">
        <v>20</v>
      </c>
      <c r="B55" s="42" t="s">
        <v>139</v>
      </c>
      <c r="C55" s="43">
        <v>0</v>
      </c>
      <c r="D55" s="81">
        <v>0.16666666666666666</v>
      </c>
      <c r="E55" s="81">
        <v>0.33333333333333331</v>
      </c>
      <c r="F55" s="81">
        <v>0.5</v>
      </c>
      <c r="G55" s="81">
        <v>0.66666666666666663</v>
      </c>
      <c r="H55" s="81">
        <v>0.83333333333333326</v>
      </c>
      <c r="I55" s="82">
        <v>1</v>
      </c>
      <c r="J55" s="81">
        <v>1</v>
      </c>
      <c r="K55" s="81">
        <v>1</v>
      </c>
      <c r="L55" s="44">
        <v>1</v>
      </c>
      <c r="M55" s="44">
        <v>1</v>
      </c>
      <c r="N55" s="43">
        <v>1</v>
      </c>
      <c r="O55" s="44">
        <v>1.05</v>
      </c>
      <c r="P55" s="44">
        <v>1.1000000000000001</v>
      </c>
      <c r="Q55" s="44">
        <v>1.1500000000000001</v>
      </c>
      <c r="R55" s="43">
        <v>1.2</v>
      </c>
      <c r="S55" s="44">
        <v>1.4166666666666665</v>
      </c>
      <c r="T55" s="44">
        <v>1.6333333333333333</v>
      </c>
      <c r="U55" s="44">
        <v>1.85</v>
      </c>
      <c r="V55" s="44">
        <v>2.0666666666666669</v>
      </c>
      <c r="W55" s="44">
        <v>3.1166666666666663</v>
      </c>
      <c r="X55" s="44">
        <v>3.4999999999999996</v>
      </c>
      <c r="Y55" s="43">
        <v>3.5</v>
      </c>
      <c r="Z55" s="44">
        <v>3.5</v>
      </c>
      <c r="AA55" s="38">
        <v>5</v>
      </c>
      <c r="AB55" s="420">
        <v>0.16</v>
      </c>
    </row>
    <row r="56" spans="1:28" s="49" customFormat="1" ht="15.75" thickBot="1">
      <c r="A56" s="45"/>
      <c r="B56" s="46" t="s">
        <v>140</v>
      </c>
      <c r="C56" s="79">
        <v>0</v>
      </c>
      <c r="D56" s="84">
        <v>0</v>
      </c>
      <c r="E56" s="85">
        <v>0</v>
      </c>
      <c r="F56" s="85">
        <v>0</v>
      </c>
      <c r="G56" s="85">
        <v>0</v>
      </c>
      <c r="H56" s="85">
        <v>0</v>
      </c>
      <c r="I56" s="85">
        <v>0</v>
      </c>
      <c r="J56" s="85">
        <v>0</v>
      </c>
      <c r="K56" s="85">
        <v>0</v>
      </c>
      <c r="L56" s="85">
        <v>0</v>
      </c>
      <c r="M56" s="85">
        <v>0</v>
      </c>
      <c r="N56" s="423">
        <v>1</v>
      </c>
      <c r="O56" s="424">
        <v>1</v>
      </c>
      <c r="P56" s="424">
        <v>1</v>
      </c>
      <c r="Q56" s="424">
        <v>1.5</v>
      </c>
      <c r="R56" s="85">
        <v>1</v>
      </c>
      <c r="S56" s="85">
        <v>2</v>
      </c>
      <c r="T56" s="85">
        <v>3.2</v>
      </c>
      <c r="U56" s="85">
        <v>3.2</v>
      </c>
      <c r="V56" s="86">
        <v>3.2</v>
      </c>
      <c r="W56" s="80">
        <v>3.2</v>
      </c>
      <c r="X56" s="69">
        <v>3.2</v>
      </c>
      <c r="Y56" s="69">
        <v>0</v>
      </c>
      <c r="Z56" s="69">
        <v>0</v>
      </c>
      <c r="AB56" s="421"/>
    </row>
    <row r="57" spans="1:28" s="49" customFormat="1">
      <c r="A57" s="45"/>
      <c r="B57" s="46"/>
      <c r="C57" s="48"/>
      <c r="D57" s="83"/>
      <c r="E57" s="83"/>
      <c r="F57" s="83"/>
      <c r="G57" s="83"/>
      <c r="H57" s="83"/>
      <c r="I57" s="83"/>
      <c r="J57" s="83"/>
      <c r="K57" s="83"/>
      <c r="L57" s="48"/>
      <c r="M57" s="48"/>
      <c r="N57" s="48"/>
      <c r="O57" s="48"/>
      <c r="P57" s="48"/>
      <c r="Q57" s="48"/>
      <c r="R57" s="48"/>
      <c r="S57" s="48"/>
      <c r="T57" s="48"/>
      <c r="U57" s="48"/>
      <c r="V57" s="48"/>
      <c r="W57" s="48"/>
      <c r="X57" s="48"/>
      <c r="Y57" s="48"/>
      <c r="Z57" s="48"/>
      <c r="AB57" s="421"/>
    </row>
    <row r="58" spans="1:28" ht="15.75" thickBot="1">
      <c r="A58" s="41" t="s">
        <v>21</v>
      </c>
      <c r="B58" s="42" t="s">
        <v>139</v>
      </c>
      <c r="C58" s="50">
        <v>0</v>
      </c>
      <c r="D58" s="73">
        <v>0</v>
      </c>
      <c r="E58" s="73">
        <v>0</v>
      </c>
      <c r="F58" s="73">
        <v>0</v>
      </c>
      <c r="G58" s="73">
        <v>0</v>
      </c>
      <c r="H58" s="73">
        <v>0</v>
      </c>
      <c r="I58" s="74">
        <v>0</v>
      </c>
      <c r="J58" s="73">
        <v>0</v>
      </c>
      <c r="K58" s="73">
        <v>0</v>
      </c>
      <c r="L58" s="51">
        <v>0</v>
      </c>
      <c r="M58" s="51">
        <v>0</v>
      </c>
      <c r="N58" s="50">
        <v>0</v>
      </c>
      <c r="O58" s="51">
        <v>0</v>
      </c>
      <c r="P58" s="51">
        <v>0</v>
      </c>
      <c r="Q58" s="51">
        <v>0</v>
      </c>
      <c r="R58" s="50">
        <v>0</v>
      </c>
      <c r="S58" s="51">
        <v>0.33333333333333331</v>
      </c>
      <c r="T58" s="51">
        <v>0.66666666666666663</v>
      </c>
      <c r="U58" s="51">
        <v>1</v>
      </c>
      <c r="V58" s="51">
        <v>1.3333333333333333</v>
      </c>
      <c r="W58" s="51">
        <v>0.83333333333333326</v>
      </c>
      <c r="X58" s="51">
        <v>0.99999999999999989</v>
      </c>
      <c r="Y58" s="50">
        <v>1</v>
      </c>
      <c r="Z58" s="51">
        <v>1</v>
      </c>
      <c r="AA58" s="38">
        <v>10</v>
      </c>
      <c r="AB58" s="420">
        <v>0.4</v>
      </c>
    </row>
    <row r="59" spans="1:28" s="49" customFormat="1" ht="15.75" thickBot="1">
      <c r="A59" s="45"/>
      <c r="B59" s="46" t="s">
        <v>140</v>
      </c>
      <c r="C59" s="71">
        <v>0</v>
      </c>
      <c r="D59" s="76">
        <v>0</v>
      </c>
      <c r="E59" s="77">
        <v>0</v>
      </c>
      <c r="F59" s="77">
        <v>0</v>
      </c>
      <c r="G59" s="77">
        <v>0</v>
      </c>
      <c r="H59" s="77">
        <v>0</v>
      </c>
      <c r="I59" s="77">
        <v>0</v>
      </c>
      <c r="J59" s="77">
        <v>0</v>
      </c>
      <c r="K59" s="77">
        <v>0</v>
      </c>
      <c r="L59" s="77">
        <v>0</v>
      </c>
      <c r="M59" s="77">
        <v>0</v>
      </c>
      <c r="N59" s="425">
        <v>0</v>
      </c>
      <c r="O59" s="426">
        <v>0</v>
      </c>
      <c r="P59" s="426">
        <v>0</v>
      </c>
      <c r="Q59" s="426">
        <v>0</v>
      </c>
      <c r="R59" s="77">
        <v>0</v>
      </c>
      <c r="S59" s="77">
        <v>0</v>
      </c>
      <c r="T59" s="77">
        <v>0</v>
      </c>
      <c r="U59" s="77">
        <v>0</v>
      </c>
      <c r="V59" s="78">
        <v>0</v>
      </c>
      <c r="W59" s="72">
        <v>0</v>
      </c>
      <c r="X59" s="70">
        <v>0</v>
      </c>
      <c r="Y59" s="70">
        <v>0</v>
      </c>
      <c r="Z59" s="70">
        <v>0</v>
      </c>
      <c r="AB59" s="421"/>
    </row>
    <row r="60" spans="1:28" s="49" customFormat="1">
      <c r="A60" s="45"/>
      <c r="B60" s="46"/>
      <c r="C60" s="53"/>
      <c r="D60" s="83"/>
      <c r="E60" s="83"/>
      <c r="F60" s="83"/>
      <c r="G60" s="83"/>
      <c r="H60" s="83"/>
      <c r="I60" s="83"/>
      <c r="J60" s="83"/>
      <c r="K60" s="83"/>
      <c r="L60" s="53"/>
      <c r="M60" s="53"/>
      <c r="N60" s="53"/>
      <c r="O60" s="53"/>
      <c r="P60" s="53"/>
      <c r="Q60" s="53"/>
      <c r="R60" s="53"/>
      <c r="S60" s="53"/>
      <c r="T60" s="53"/>
      <c r="U60" s="53"/>
      <c r="V60" s="53"/>
      <c r="W60" s="53"/>
      <c r="X60" s="53"/>
      <c r="Y60" s="53"/>
      <c r="Z60" s="53"/>
      <c r="AB60" s="421"/>
    </row>
    <row r="61" spans="1:28" ht="15.75" thickBot="1">
      <c r="A61" s="41" t="s">
        <v>166</v>
      </c>
      <c r="B61" s="42" t="s">
        <v>202</v>
      </c>
      <c r="C61" s="50">
        <v>0</v>
      </c>
      <c r="D61" s="73">
        <v>0</v>
      </c>
      <c r="E61" s="73">
        <v>0</v>
      </c>
      <c r="F61" s="73">
        <v>0</v>
      </c>
      <c r="G61" s="73">
        <v>0</v>
      </c>
      <c r="H61" s="73">
        <v>0</v>
      </c>
      <c r="I61" s="74">
        <v>0</v>
      </c>
      <c r="J61" s="73">
        <v>0.5</v>
      </c>
      <c r="K61" s="73">
        <v>1</v>
      </c>
      <c r="L61" s="51">
        <v>1.5</v>
      </c>
      <c r="M61" s="51">
        <v>2</v>
      </c>
      <c r="N61" s="50">
        <v>3</v>
      </c>
      <c r="O61" s="51">
        <v>3.25</v>
      </c>
      <c r="P61" s="51">
        <v>3.5</v>
      </c>
      <c r="Q61" s="51">
        <v>3.75</v>
      </c>
      <c r="R61" s="50">
        <v>4</v>
      </c>
      <c r="S61" s="51">
        <v>4.166666666666667</v>
      </c>
      <c r="T61" s="51">
        <v>4.3333333333333339</v>
      </c>
      <c r="U61" s="51">
        <v>4.5000000000000009</v>
      </c>
      <c r="V61" s="51">
        <v>4.6666666666666679</v>
      </c>
      <c r="W61" s="51">
        <v>7.3333333333333348</v>
      </c>
      <c r="X61" s="51">
        <v>8.0000000000000018</v>
      </c>
      <c r="Y61" s="50">
        <v>8</v>
      </c>
      <c r="Z61" s="51">
        <v>8</v>
      </c>
      <c r="AA61" s="38">
        <v>20</v>
      </c>
      <c r="AB61" s="420">
        <v>0.8</v>
      </c>
    </row>
    <row r="62" spans="1:28" s="49" customFormat="1" ht="15.75" thickBot="1">
      <c r="A62" s="45"/>
      <c r="B62" s="46" t="s">
        <v>203</v>
      </c>
      <c r="C62" s="71">
        <v>0</v>
      </c>
      <c r="D62" s="76">
        <v>0</v>
      </c>
      <c r="E62" s="77">
        <v>0</v>
      </c>
      <c r="F62" s="77">
        <v>0</v>
      </c>
      <c r="G62" s="77">
        <v>0</v>
      </c>
      <c r="H62" s="77">
        <v>0</v>
      </c>
      <c r="I62" s="77">
        <v>0</v>
      </c>
      <c r="J62" s="77">
        <v>0</v>
      </c>
      <c r="K62" s="77">
        <v>0</v>
      </c>
      <c r="L62" s="77">
        <v>0</v>
      </c>
      <c r="M62" s="77">
        <v>0</v>
      </c>
      <c r="N62" s="425">
        <v>0</v>
      </c>
      <c r="O62" s="426">
        <v>0</v>
      </c>
      <c r="P62" s="426">
        <v>0</v>
      </c>
      <c r="Q62" s="426">
        <v>6</v>
      </c>
      <c r="R62" s="77">
        <v>9</v>
      </c>
      <c r="S62" s="77">
        <v>9</v>
      </c>
      <c r="T62" s="77">
        <v>10</v>
      </c>
      <c r="U62" s="77">
        <v>10</v>
      </c>
      <c r="V62" s="78">
        <v>8</v>
      </c>
      <c r="W62" s="72">
        <v>9</v>
      </c>
      <c r="X62" s="70">
        <v>9</v>
      </c>
      <c r="Y62" s="70">
        <v>0</v>
      </c>
      <c r="Z62" s="70">
        <v>0</v>
      </c>
      <c r="AB62" s="421"/>
    </row>
    <row r="63" spans="1:28" s="49" customFormat="1">
      <c r="A63" s="45"/>
      <c r="B63" s="46"/>
      <c r="C63" s="53"/>
      <c r="D63" s="427"/>
      <c r="E63" s="427"/>
      <c r="F63" s="427"/>
      <c r="G63" s="75"/>
      <c r="H63" s="75"/>
      <c r="I63" s="75"/>
      <c r="J63" s="75"/>
      <c r="K63" s="75"/>
      <c r="L63" s="53"/>
      <c r="M63" s="53"/>
      <c r="N63" s="53"/>
      <c r="O63" s="53"/>
      <c r="P63" s="53"/>
      <c r="Q63" s="53"/>
      <c r="R63" s="53"/>
      <c r="S63" s="53"/>
      <c r="T63" s="53"/>
      <c r="U63" s="53"/>
      <c r="V63" s="53"/>
      <c r="W63" s="53"/>
      <c r="X63" s="53"/>
      <c r="Y63" s="53"/>
      <c r="Z63" s="53"/>
      <c r="AB63" s="421"/>
    </row>
    <row r="64" spans="1:28" ht="15.75" thickBot="1">
      <c r="A64" s="41" t="s">
        <v>167</v>
      </c>
      <c r="B64" s="42" t="s">
        <v>213</v>
      </c>
      <c r="C64" s="50">
        <v>0</v>
      </c>
      <c r="D64" s="73">
        <v>0</v>
      </c>
      <c r="E64" s="73">
        <v>0</v>
      </c>
      <c r="F64" s="73">
        <v>0</v>
      </c>
      <c r="G64" s="73">
        <v>0</v>
      </c>
      <c r="H64" s="73">
        <v>0</v>
      </c>
      <c r="I64" s="74">
        <v>0</v>
      </c>
      <c r="J64" s="73">
        <v>0.33333333333333331</v>
      </c>
      <c r="K64" s="73">
        <v>0.66666666666666663</v>
      </c>
      <c r="L64" s="51">
        <v>1</v>
      </c>
      <c r="M64" s="51">
        <v>1.3333333333333333</v>
      </c>
      <c r="N64" s="50">
        <v>2</v>
      </c>
      <c r="O64" s="51">
        <v>2</v>
      </c>
      <c r="P64" s="51">
        <v>2</v>
      </c>
      <c r="Q64" s="51">
        <v>2</v>
      </c>
      <c r="R64" s="50">
        <v>2</v>
      </c>
      <c r="S64" s="51">
        <v>2.3333333333333335</v>
      </c>
      <c r="T64" s="51">
        <v>2.666666666666667</v>
      </c>
      <c r="U64" s="51">
        <v>3.0000000000000004</v>
      </c>
      <c r="V64" s="51">
        <v>3.3333333333333339</v>
      </c>
      <c r="W64" s="51">
        <v>5.333333333333333</v>
      </c>
      <c r="X64" s="51">
        <v>6</v>
      </c>
      <c r="Y64" s="50">
        <v>6</v>
      </c>
      <c r="Z64" s="51">
        <v>6</v>
      </c>
      <c r="AA64" s="38">
        <v>20</v>
      </c>
      <c r="AB64" s="420">
        <v>0.8</v>
      </c>
    </row>
    <row r="65" spans="1:28" s="49" customFormat="1" ht="15.75" thickBot="1">
      <c r="A65" s="45"/>
      <c r="B65" s="46" t="s">
        <v>212</v>
      </c>
      <c r="C65" s="71">
        <v>0</v>
      </c>
      <c r="D65" s="76">
        <v>0</v>
      </c>
      <c r="E65" s="77">
        <v>0</v>
      </c>
      <c r="F65" s="77">
        <v>0</v>
      </c>
      <c r="G65" s="77">
        <v>0</v>
      </c>
      <c r="H65" s="77">
        <v>0</v>
      </c>
      <c r="I65" s="77">
        <v>0</v>
      </c>
      <c r="J65" s="77">
        <v>0</v>
      </c>
      <c r="K65" s="77">
        <v>0</v>
      </c>
      <c r="L65" s="77">
        <v>0</v>
      </c>
      <c r="M65" s="77">
        <v>0</v>
      </c>
      <c r="N65" s="425">
        <v>0</v>
      </c>
      <c r="O65" s="426">
        <v>0</v>
      </c>
      <c r="P65" s="426">
        <v>0</v>
      </c>
      <c r="Q65" s="426">
        <v>4</v>
      </c>
      <c r="R65" s="77">
        <v>7</v>
      </c>
      <c r="S65" s="77">
        <v>8</v>
      </c>
      <c r="T65" s="77">
        <v>11</v>
      </c>
      <c r="U65" s="77">
        <v>14</v>
      </c>
      <c r="V65" s="78">
        <v>6</v>
      </c>
      <c r="W65" s="72">
        <v>6</v>
      </c>
      <c r="X65" s="70">
        <v>7</v>
      </c>
      <c r="Y65" s="70">
        <v>0</v>
      </c>
      <c r="Z65" s="70">
        <v>0</v>
      </c>
      <c r="AB65" s="421"/>
    </row>
    <row r="66" spans="1:28" s="49" customFormat="1">
      <c r="A66" s="45"/>
      <c r="B66" s="46"/>
      <c r="C66" s="53"/>
      <c r="D66" s="427"/>
      <c r="E66" s="427"/>
      <c r="F66" s="427"/>
      <c r="G66" s="75"/>
      <c r="H66" s="75"/>
      <c r="I66" s="75"/>
      <c r="J66" s="75"/>
      <c r="K66" s="75"/>
      <c r="L66" s="53"/>
      <c r="M66" s="53"/>
      <c r="N66" s="53"/>
      <c r="O66" s="53"/>
      <c r="P66" s="53"/>
      <c r="Q66" s="53"/>
      <c r="R66" s="53"/>
      <c r="S66" s="53"/>
      <c r="T66" s="53"/>
      <c r="U66" s="53"/>
      <c r="V66" s="53"/>
      <c r="W66" s="53"/>
      <c r="X66" s="53"/>
      <c r="Y66" s="53"/>
      <c r="Z66" s="53"/>
      <c r="AB66" s="421"/>
    </row>
    <row r="67" spans="1:28" ht="15.75" thickBot="1">
      <c r="A67" s="41" t="s">
        <v>168</v>
      </c>
      <c r="B67" s="42" t="s">
        <v>211</v>
      </c>
      <c r="C67" s="50">
        <v>0</v>
      </c>
      <c r="D67" s="73">
        <v>0</v>
      </c>
      <c r="E67" s="73">
        <v>0</v>
      </c>
      <c r="F67" s="73">
        <v>0</v>
      </c>
      <c r="G67" s="73">
        <v>0</v>
      </c>
      <c r="H67" s="73">
        <v>0</v>
      </c>
      <c r="I67" s="74">
        <v>0</v>
      </c>
      <c r="J67" s="73">
        <v>0</v>
      </c>
      <c r="K67" s="73">
        <v>0</v>
      </c>
      <c r="L67" s="51">
        <v>0</v>
      </c>
      <c r="M67" s="51">
        <v>0</v>
      </c>
      <c r="N67" s="50">
        <v>0</v>
      </c>
      <c r="O67" s="51">
        <v>0.25</v>
      </c>
      <c r="P67" s="51">
        <v>0.5</v>
      </c>
      <c r="Q67" s="51">
        <v>0.75</v>
      </c>
      <c r="R67" s="50">
        <v>1</v>
      </c>
      <c r="S67" s="51">
        <v>1.3333333333333333</v>
      </c>
      <c r="T67" s="51">
        <v>1.6666666666666665</v>
      </c>
      <c r="U67" s="51">
        <v>1.9999999999999998</v>
      </c>
      <c r="V67" s="51">
        <v>2.333333333333333</v>
      </c>
      <c r="W67" s="51">
        <v>3.5</v>
      </c>
      <c r="X67" s="51">
        <v>4</v>
      </c>
      <c r="Y67" s="50">
        <v>4</v>
      </c>
      <c r="Z67" s="51">
        <v>4</v>
      </c>
      <c r="AA67" s="38">
        <v>20</v>
      </c>
      <c r="AB67" s="420">
        <v>0.8</v>
      </c>
    </row>
    <row r="68" spans="1:28" s="49" customFormat="1" ht="15.75" thickBot="1">
      <c r="A68" s="45"/>
      <c r="B68" s="46" t="s">
        <v>210</v>
      </c>
      <c r="C68" s="71">
        <v>0</v>
      </c>
      <c r="D68" s="76">
        <v>0</v>
      </c>
      <c r="E68" s="77">
        <v>0</v>
      </c>
      <c r="F68" s="77">
        <v>0</v>
      </c>
      <c r="G68" s="77">
        <v>0</v>
      </c>
      <c r="H68" s="77">
        <v>0</v>
      </c>
      <c r="I68" s="77">
        <v>0</v>
      </c>
      <c r="J68" s="77">
        <v>0</v>
      </c>
      <c r="K68" s="77">
        <v>0</v>
      </c>
      <c r="L68" s="77">
        <v>0</v>
      </c>
      <c r="M68" s="77">
        <v>0</v>
      </c>
      <c r="N68" s="425">
        <v>0</v>
      </c>
      <c r="O68" s="426">
        <v>0</v>
      </c>
      <c r="P68" s="426">
        <v>0</v>
      </c>
      <c r="Q68" s="426">
        <v>0</v>
      </c>
      <c r="R68" s="77">
        <v>0</v>
      </c>
      <c r="S68" s="77">
        <v>0</v>
      </c>
      <c r="T68" s="77">
        <v>0</v>
      </c>
      <c r="U68" s="77">
        <v>1</v>
      </c>
      <c r="V68" s="78">
        <v>4</v>
      </c>
      <c r="W68" s="72">
        <v>4</v>
      </c>
      <c r="X68" s="70">
        <v>6</v>
      </c>
      <c r="Y68" s="70">
        <v>0</v>
      </c>
      <c r="Z68" s="70">
        <v>0</v>
      </c>
      <c r="AB68" s="421"/>
    </row>
    <row r="69" spans="1:28" s="49" customFormat="1">
      <c r="A69" s="45"/>
      <c r="B69" s="46"/>
      <c r="C69" s="53"/>
      <c r="D69" s="427"/>
      <c r="E69" s="427"/>
      <c r="F69" s="427"/>
      <c r="G69" s="75"/>
      <c r="H69" s="75"/>
      <c r="I69" s="75"/>
      <c r="J69" s="75"/>
      <c r="K69" s="75"/>
      <c r="L69" s="53"/>
      <c r="M69" s="53"/>
      <c r="N69" s="53"/>
      <c r="O69" s="53"/>
      <c r="P69" s="53"/>
      <c r="Q69" s="53"/>
      <c r="R69" s="53"/>
      <c r="S69" s="53"/>
      <c r="T69" s="53"/>
      <c r="U69" s="53"/>
      <c r="V69" s="53"/>
      <c r="W69" s="53"/>
      <c r="X69" s="53"/>
      <c r="Y69" s="53"/>
      <c r="Z69" s="53"/>
      <c r="AB69" s="421"/>
    </row>
    <row r="70" spans="1:28" ht="15.75" thickBot="1">
      <c r="A70" s="41" t="s">
        <v>169</v>
      </c>
      <c r="B70" s="42" t="s">
        <v>209</v>
      </c>
      <c r="C70" s="50">
        <v>0</v>
      </c>
      <c r="D70" s="73">
        <v>0</v>
      </c>
      <c r="E70" s="73">
        <v>0</v>
      </c>
      <c r="F70" s="73">
        <v>0</v>
      </c>
      <c r="G70" s="73">
        <v>0</v>
      </c>
      <c r="H70" s="73">
        <v>0</v>
      </c>
      <c r="I70" s="74">
        <v>0</v>
      </c>
      <c r="J70" s="73">
        <v>0</v>
      </c>
      <c r="K70" s="73">
        <v>0</v>
      </c>
      <c r="L70" s="51">
        <v>0</v>
      </c>
      <c r="M70" s="51">
        <v>0</v>
      </c>
      <c r="N70" s="50">
        <v>0</v>
      </c>
      <c r="O70" s="51">
        <v>0</v>
      </c>
      <c r="P70" s="51">
        <v>0</v>
      </c>
      <c r="Q70" s="51">
        <v>0</v>
      </c>
      <c r="R70" s="50">
        <v>0</v>
      </c>
      <c r="S70" s="51">
        <v>0.33333333333333331</v>
      </c>
      <c r="T70" s="51">
        <v>0.66666666666666663</v>
      </c>
      <c r="U70" s="51">
        <v>1</v>
      </c>
      <c r="V70" s="51">
        <v>1.3333333333333333</v>
      </c>
      <c r="W70" s="51">
        <v>0.83333333333333326</v>
      </c>
      <c r="X70" s="51">
        <v>0.99999999999999989</v>
      </c>
      <c r="Y70" s="50">
        <v>1</v>
      </c>
      <c r="Z70" s="51">
        <v>1</v>
      </c>
      <c r="AA70" s="38">
        <v>20</v>
      </c>
      <c r="AB70" s="420">
        <v>0.8</v>
      </c>
    </row>
    <row r="71" spans="1:28" s="49" customFormat="1" ht="15.75" thickBot="1">
      <c r="A71" s="45"/>
      <c r="B71" s="46" t="s">
        <v>208</v>
      </c>
      <c r="C71" s="71">
        <v>0</v>
      </c>
      <c r="D71" s="76">
        <v>0</v>
      </c>
      <c r="E71" s="77">
        <v>0</v>
      </c>
      <c r="F71" s="77">
        <v>0</v>
      </c>
      <c r="G71" s="77">
        <v>0</v>
      </c>
      <c r="H71" s="77">
        <v>0</v>
      </c>
      <c r="I71" s="77">
        <v>0</v>
      </c>
      <c r="J71" s="77">
        <v>0</v>
      </c>
      <c r="K71" s="77">
        <v>0</v>
      </c>
      <c r="L71" s="77">
        <v>0</v>
      </c>
      <c r="M71" s="77">
        <v>0</v>
      </c>
      <c r="N71" s="425">
        <v>0</v>
      </c>
      <c r="O71" s="426">
        <v>0</v>
      </c>
      <c r="P71" s="426">
        <v>0</v>
      </c>
      <c r="Q71" s="426">
        <v>0</v>
      </c>
      <c r="R71" s="77">
        <v>0</v>
      </c>
      <c r="S71" s="77">
        <v>0</v>
      </c>
      <c r="T71" s="77">
        <v>1</v>
      </c>
      <c r="U71" s="77">
        <v>3</v>
      </c>
      <c r="V71" s="78">
        <v>1</v>
      </c>
      <c r="W71" s="72">
        <v>1</v>
      </c>
      <c r="X71" s="70">
        <v>1</v>
      </c>
      <c r="Y71" s="70">
        <v>0</v>
      </c>
      <c r="Z71" s="70">
        <v>0</v>
      </c>
      <c r="AB71" s="421"/>
    </row>
    <row r="72" spans="1:28" s="49" customFormat="1">
      <c r="A72" s="45"/>
      <c r="B72" s="46"/>
      <c r="C72" s="53"/>
      <c r="D72" s="427"/>
      <c r="E72" s="427"/>
      <c r="F72" s="427"/>
      <c r="G72" s="75"/>
      <c r="H72" s="75"/>
      <c r="I72" s="75"/>
      <c r="J72" s="75"/>
      <c r="K72" s="75"/>
      <c r="L72" s="53"/>
      <c r="M72" s="53"/>
      <c r="N72" s="53"/>
      <c r="O72" s="53"/>
      <c r="P72" s="53"/>
      <c r="Q72" s="53"/>
      <c r="R72" s="53"/>
      <c r="S72" s="53"/>
      <c r="T72" s="53"/>
      <c r="U72" s="53"/>
      <c r="V72" s="53"/>
      <c r="W72" s="53"/>
      <c r="X72" s="53"/>
      <c r="Y72" s="53"/>
      <c r="Z72" s="53"/>
      <c r="AB72" s="421"/>
    </row>
    <row r="73" spans="1:28" ht="15.75" thickBot="1">
      <c r="A73" s="41" t="s">
        <v>162</v>
      </c>
      <c r="B73" s="42" t="s">
        <v>202</v>
      </c>
      <c r="C73" s="50">
        <v>0</v>
      </c>
      <c r="D73" s="73">
        <v>0</v>
      </c>
      <c r="E73" s="73">
        <v>0</v>
      </c>
      <c r="F73" s="73">
        <v>0</v>
      </c>
      <c r="G73" s="73">
        <v>0</v>
      </c>
      <c r="H73" s="73">
        <v>0</v>
      </c>
      <c r="I73" s="74">
        <v>0</v>
      </c>
      <c r="J73" s="73">
        <v>0.5</v>
      </c>
      <c r="K73" s="73">
        <v>1</v>
      </c>
      <c r="L73" s="51">
        <v>1.5</v>
      </c>
      <c r="M73" s="51">
        <v>2</v>
      </c>
      <c r="N73" s="50">
        <v>3</v>
      </c>
      <c r="O73" s="51">
        <v>3</v>
      </c>
      <c r="P73" s="51">
        <v>3</v>
      </c>
      <c r="Q73" s="51">
        <v>3</v>
      </c>
      <c r="R73" s="50">
        <v>3</v>
      </c>
      <c r="S73" s="51">
        <v>3.1666666666666665</v>
      </c>
      <c r="T73" s="51">
        <v>3.333333333333333</v>
      </c>
      <c r="U73" s="51">
        <v>3.4999999999999996</v>
      </c>
      <c r="V73" s="51">
        <v>3.6666666666666661</v>
      </c>
      <c r="W73" s="51">
        <v>6.3333333333333339</v>
      </c>
      <c r="X73" s="51">
        <v>7.0000000000000009</v>
      </c>
      <c r="Y73" s="50">
        <v>7</v>
      </c>
      <c r="Z73" s="51">
        <v>7</v>
      </c>
      <c r="AA73" s="38">
        <v>20</v>
      </c>
      <c r="AB73" s="420">
        <v>0.8</v>
      </c>
    </row>
    <row r="74" spans="1:28" s="49" customFormat="1" ht="15.75" thickBot="1">
      <c r="A74" s="45"/>
      <c r="B74" s="46" t="s">
        <v>203</v>
      </c>
      <c r="C74" s="71">
        <v>0</v>
      </c>
      <c r="D74" s="76">
        <v>0</v>
      </c>
      <c r="E74" s="77">
        <v>0</v>
      </c>
      <c r="F74" s="77">
        <v>0</v>
      </c>
      <c r="G74" s="77">
        <v>0</v>
      </c>
      <c r="H74" s="77">
        <v>0</v>
      </c>
      <c r="I74" s="77">
        <v>0</v>
      </c>
      <c r="J74" s="77">
        <v>0</v>
      </c>
      <c r="K74" s="77">
        <v>0</v>
      </c>
      <c r="L74" s="77">
        <v>0</v>
      </c>
      <c r="M74" s="77">
        <v>0</v>
      </c>
      <c r="N74" s="425">
        <v>0</v>
      </c>
      <c r="O74" s="426">
        <v>0</v>
      </c>
      <c r="P74" s="426">
        <v>0</v>
      </c>
      <c r="Q74" s="426">
        <v>2</v>
      </c>
      <c r="R74" s="77">
        <v>2</v>
      </c>
      <c r="S74" s="77">
        <v>2</v>
      </c>
      <c r="T74" s="77">
        <v>8</v>
      </c>
      <c r="U74" s="77">
        <v>8</v>
      </c>
      <c r="V74" s="78">
        <v>7</v>
      </c>
      <c r="W74" s="72">
        <v>7</v>
      </c>
      <c r="X74" s="70">
        <v>5</v>
      </c>
      <c r="Y74" s="70">
        <v>0</v>
      </c>
      <c r="Z74" s="70">
        <v>0</v>
      </c>
      <c r="AB74" s="421"/>
    </row>
    <row r="75" spans="1:28" s="49" customFormat="1">
      <c r="A75" s="45"/>
      <c r="B75" s="46"/>
      <c r="C75" s="53"/>
      <c r="D75" s="428"/>
      <c r="E75" s="428"/>
      <c r="F75" s="428"/>
      <c r="G75" s="53"/>
      <c r="H75" s="53"/>
      <c r="I75" s="53"/>
      <c r="J75" s="53"/>
      <c r="K75" s="53"/>
      <c r="L75" s="53"/>
      <c r="M75" s="53"/>
      <c r="N75" s="53"/>
      <c r="O75" s="53"/>
      <c r="P75" s="53"/>
      <c r="Q75" s="53"/>
      <c r="R75" s="53"/>
      <c r="S75" s="53"/>
      <c r="T75" s="53"/>
      <c r="U75" s="53"/>
      <c r="V75" s="53"/>
      <c r="W75" s="53"/>
      <c r="X75" s="53"/>
      <c r="Y75" s="53"/>
      <c r="Z75" s="53"/>
      <c r="AB75" s="421"/>
    </row>
    <row r="76" spans="1:28" ht="15.75" thickBot="1">
      <c r="A76" s="41" t="s">
        <v>163</v>
      </c>
      <c r="B76" s="42" t="s">
        <v>213</v>
      </c>
      <c r="C76" s="50">
        <v>0</v>
      </c>
      <c r="D76" s="73">
        <v>0</v>
      </c>
      <c r="E76" s="73">
        <v>0</v>
      </c>
      <c r="F76" s="73">
        <v>0</v>
      </c>
      <c r="G76" s="73">
        <v>0</v>
      </c>
      <c r="H76" s="73">
        <v>0</v>
      </c>
      <c r="I76" s="74">
        <v>0</v>
      </c>
      <c r="J76" s="73">
        <v>0.33333333333333331</v>
      </c>
      <c r="K76" s="73">
        <v>0.66666666666666663</v>
      </c>
      <c r="L76" s="51">
        <v>1</v>
      </c>
      <c r="M76" s="51">
        <v>1.3333333333333333</v>
      </c>
      <c r="N76" s="50">
        <v>2</v>
      </c>
      <c r="O76" s="51">
        <v>2</v>
      </c>
      <c r="P76" s="51">
        <v>2</v>
      </c>
      <c r="Q76" s="51">
        <v>2</v>
      </c>
      <c r="R76" s="50">
        <v>2</v>
      </c>
      <c r="S76" s="51">
        <v>2.1666666666666665</v>
      </c>
      <c r="T76" s="51">
        <v>2.333333333333333</v>
      </c>
      <c r="U76" s="51">
        <v>2.4999999999999996</v>
      </c>
      <c r="V76" s="51">
        <v>2.6666666666666661</v>
      </c>
      <c r="W76" s="51">
        <v>4.5</v>
      </c>
      <c r="X76" s="51">
        <v>5</v>
      </c>
      <c r="Y76" s="50">
        <v>5</v>
      </c>
      <c r="Z76" s="51">
        <v>5</v>
      </c>
      <c r="AA76" s="38">
        <v>20</v>
      </c>
      <c r="AB76" s="420">
        <v>0.8</v>
      </c>
    </row>
    <row r="77" spans="1:28" s="49" customFormat="1" ht="15.75" thickBot="1">
      <c r="A77" s="45"/>
      <c r="B77" s="46" t="s">
        <v>212</v>
      </c>
      <c r="C77" s="71">
        <v>0</v>
      </c>
      <c r="D77" s="76">
        <v>0</v>
      </c>
      <c r="E77" s="77">
        <v>0</v>
      </c>
      <c r="F77" s="77">
        <v>0</v>
      </c>
      <c r="G77" s="77">
        <v>0</v>
      </c>
      <c r="H77" s="77">
        <v>0</v>
      </c>
      <c r="I77" s="77">
        <v>0</v>
      </c>
      <c r="J77" s="77">
        <v>0</v>
      </c>
      <c r="K77" s="77">
        <v>0</v>
      </c>
      <c r="L77" s="77">
        <v>0</v>
      </c>
      <c r="M77" s="77">
        <v>0</v>
      </c>
      <c r="N77" s="425">
        <v>0</v>
      </c>
      <c r="O77" s="426">
        <v>0</v>
      </c>
      <c r="P77" s="426">
        <v>0</v>
      </c>
      <c r="Q77" s="426">
        <v>0</v>
      </c>
      <c r="R77" s="77">
        <v>2</v>
      </c>
      <c r="S77" s="77">
        <v>2</v>
      </c>
      <c r="T77" s="77">
        <v>2</v>
      </c>
      <c r="U77" s="77">
        <v>2</v>
      </c>
      <c r="V77" s="78">
        <v>5</v>
      </c>
      <c r="W77" s="72">
        <v>5</v>
      </c>
      <c r="X77" s="70">
        <v>2</v>
      </c>
      <c r="Y77" s="70">
        <v>0</v>
      </c>
      <c r="Z77" s="70">
        <v>0</v>
      </c>
      <c r="AB77" s="421"/>
    </row>
    <row r="78" spans="1:28" s="49" customFormat="1">
      <c r="A78" s="45"/>
      <c r="B78" s="46"/>
      <c r="C78" s="53"/>
      <c r="D78" s="428"/>
      <c r="E78" s="428"/>
      <c r="F78" s="428"/>
      <c r="G78" s="53"/>
      <c r="H78" s="53"/>
      <c r="I78" s="53"/>
      <c r="J78" s="53"/>
      <c r="K78" s="53"/>
      <c r="L78" s="53"/>
      <c r="M78" s="53"/>
      <c r="N78" s="53"/>
      <c r="O78" s="53"/>
      <c r="P78" s="53"/>
      <c r="Q78" s="53"/>
      <c r="R78" s="53"/>
      <c r="S78" s="53"/>
      <c r="T78" s="53"/>
      <c r="U78" s="53"/>
      <c r="V78" s="53"/>
      <c r="W78" s="53"/>
      <c r="X78" s="53"/>
      <c r="Y78" s="53"/>
      <c r="Z78" s="53"/>
      <c r="AB78" s="421"/>
    </row>
    <row r="79" spans="1:28" ht="15.75" thickBot="1">
      <c r="A79" s="41" t="s">
        <v>164</v>
      </c>
      <c r="B79" s="42" t="s">
        <v>211</v>
      </c>
      <c r="C79" s="50">
        <v>0</v>
      </c>
      <c r="D79" s="73">
        <v>0</v>
      </c>
      <c r="E79" s="73">
        <v>0</v>
      </c>
      <c r="F79" s="73">
        <v>0</v>
      </c>
      <c r="G79" s="73">
        <v>0</v>
      </c>
      <c r="H79" s="73">
        <v>0</v>
      </c>
      <c r="I79" s="74">
        <v>0</v>
      </c>
      <c r="J79" s="73">
        <v>0</v>
      </c>
      <c r="K79" s="73">
        <v>0</v>
      </c>
      <c r="L79" s="51">
        <v>0</v>
      </c>
      <c r="M79" s="51">
        <v>0</v>
      </c>
      <c r="N79" s="50">
        <v>0</v>
      </c>
      <c r="O79" s="51">
        <v>0</v>
      </c>
      <c r="P79" s="51">
        <v>0</v>
      </c>
      <c r="Q79" s="51">
        <v>0</v>
      </c>
      <c r="R79" s="50">
        <v>0</v>
      </c>
      <c r="S79" s="51">
        <v>0.16666666666666666</v>
      </c>
      <c r="T79" s="51">
        <v>0.33333333333333331</v>
      </c>
      <c r="U79" s="51">
        <v>0.5</v>
      </c>
      <c r="V79" s="51">
        <v>0.66666666666666663</v>
      </c>
      <c r="W79" s="51">
        <v>3.333333333333333</v>
      </c>
      <c r="X79" s="51">
        <v>3.9999999999999996</v>
      </c>
      <c r="Y79" s="50">
        <v>4</v>
      </c>
      <c r="Z79" s="51">
        <v>4</v>
      </c>
      <c r="AA79" s="38">
        <v>20</v>
      </c>
      <c r="AB79" s="420">
        <v>0.8</v>
      </c>
    </row>
    <row r="80" spans="1:28" s="49" customFormat="1" ht="15.75" thickBot="1">
      <c r="A80" s="45"/>
      <c r="B80" s="46" t="s">
        <v>210</v>
      </c>
      <c r="C80" s="71">
        <v>0</v>
      </c>
      <c r="D80" s="76">
        <v>0</v>
      </c>
      <c r="E80" s="77">
        <v>0</v>
      </c>
      <c r="F80" s="77">
        <v>0</v>
      </c>
      <c r="G80" s="77">
        <v>0</v>
      </c>
      <c r="H80" s="77">
        <v>0</v>
      </c>
      <c r="I80" s="77">
        <v>0</v>
      </c>
      <c r="J80" s="77">
        <v>0</v>
      </c>
      <c r="K80" s="77">
        <v>0</v>
      </c>
      <c r="L80" s="77">
        <v>0</v>
      </c>
      <c r="M80" s="77">
        <v>0</v>
      </c>
      <c r="N80" s="425">
        <v>0</v>
      </c>
      <c r="O80" s="426">
        <v>0</v>
      </c>
      <c r="P80" s="426">
        <v>0</v>
      </c>
      <c r="Q80" s="426">
        <v>0</v>
      </c>
      <c r="R80" s="77">
        <v>2</v>
      </c>
      <c r="S80" s="77">
        <v>2</v>
      </c>
      <c r="T80" s="77">
        <v>2</v>
      </c>
      <c r="U80" s="77">
        <v>2</v>
      </c>
      <c r="V80" s="78">
        <v>4</v>
      </c>
      <c r="W80" s="72">
        <v>4</v>
      </c>
      <c r="X80" s="70">
        <v>0</v>
      </c>
      <c r="Y80" s="70">
        <v>0</v>
      </c>
      <c r="Z80" s="70">
        <v>0</v>
      </c>
      <c r="AB80" s="421"/>
    </row>
    <row r="81" spans="1:28" s="49" customFormat="1">
      <c r="A81" s="45"/>
      <c r="B81" s="46"/>
      <c r="C81" s="53"/>
      <c r="D81" s="428"/>
      <c r="E81" s="428"/>
      <c r="F81" s="428"/>
      <c r="G81" s="53"/>
      <c r="H81" s="53"/>
      <c r="I81" s="53"/>
      <c r="J81" s="53"/>
      <c r="K81" s="53"/>
      <c r="L81" s="53"/>
      <c r="M81" s="53"/>
      <c r="N81" s="53"/>
      <c r="O81" s="53"/>
      <c r="P81" s="53"/>
      <c r="Q81" s="53"/>
      <c r="R81" s="53"/>
      <c r="S81" s="53"/>
      <c r="T81" s="53"/>
      <c r="U81" s="53"/>
      <c r="V81" s="53"/>
      <c r="W81" s="53"/>
      <c r="X81" s="53"/>
      <c r="Y81" s="53"/>
      <c r="Z81" s="53"/>
      <c r="AB81" s="421"/>
    </row>
    <row r="82" spans="1:28" ht="15.75" thickBot="1">
      <c r="A82" s="41" t="s">
        <v>165</v>
      </c>
      <c r="B82" s="42" t="s">
        <v>209</v>
      </c>
      <c r="C82" s="50">
        <v>0</v>
      </c>
      <c r="D82" s="73">
        <v>0</v>
      </c>
      <c r="E82" s="73">
        <v>0</v>
      </c>
      <c r="F82" s="73">
        <v>0</v>
      </c>
      <c r="G82" s="73">
        <v>0</v>
      </c>
      <c r="H82" s="73">
        <v>0</v>
      </c>
      <c r="I82" s="74">
        <v>0</v>
      </c>
      <c r="J82" s="73">
        <v>0</v>
      </c>
      <c r="K82" s="73">
        <v>0</v>
      </c>
      <c r="L82" s="51">
        <v>0</v>
      </c>
      <c r="M82" s="51">
        <v>0</v>
      </c>
      <c r="N82" s="50">
        <v>0</v>
      </c>
      <c r="O82" s="51">
        <v>0</v>
      </c>
      <c r="P82" s="51">
        <v>0</v>
      </c>
      <c r="Q82" s="51">
        <v>0</v>
      </c>
      <c r="R82" s="50">
        <v>0</v>
      </c>
      <c r="S82" s="51">
        <v>0.16666666666666666</v>
      </c>
      <c r="T82" s="51">
        <v>0.33333333333333331</v>
      </c>
      <c r="U82" s="51">
        <v>0.5</v>
      </c>
      <c r="V82" s="51">
        <v>0.66666666666666663</v>
      </c>
      <c r="W82" s="51">
        <v>0.83333333333333326</v>
      </c>
      <c r="X82" s="51">
        <v>0.99999999999999989</v>
      </c>
      <c r="Y82" s="50">
        <v>1</v>
      </c>
      <c r="Z82" s="51">
        <v>1</v>
      </c>
      <c r="AA82" s="38">
        <v>20</v>
      </c>
      <c r="AB82" s="420">
        <v>0.8</v>
      </c>
    </row>
    <row r="83" spans="1:28" s="49" customFormat="1" ht="15.75" thickBot="1">
      <c r="A83" s="45"/>
      <c r="B83" s="46" t="s">
        <v>208</v>
      </c>
      <c r="C83" s="71">
        <v>0</v>
      </c>
      <c r="D83" s="76">
        <v>0</v>
      </c>
      <c r="E83" s="77">
        <v>0</v>
      </c>
      <c r="F83" s="77">
        <v>0</v>
      </c>
      <c r="G83" s="77">
        <v>0</v>
      </c>
      <c r="H83" s="77">
        <v>0</v>
      </c>
      <c r="I83" s="77">
        <v>0</v>
      </c>
      <c r="J83" s="77">
        <v>0</v>
      </c>
      <c r="K83" s="77">
        <v>0</v>
      </c>
      <c r="L83" s="77">
        <v>0</v>
      </c>
      <c r="M83" s="77">
        <v>0</v>
      </c>
      <c r="N83" s="425">
        <v>0</v>
      </c>
      <c r="O83" s="426">
        <v>0</v>
      </c>
      <c r="P83" s="426">
        <v>0</v>
      </c>
      <c r="Q83" s="426">
        <v>0</v>
      </c>
      <c r="R83" s="77">
        <v>0</v>
      </c>
      <c r="S83" s="77">
        <v>1</v>
      </c>
      <c r="T83" s="77">
        <v>4</v>
      </c>
      <c r="U83" s="77">
        <v>4</v>
      </c>
      <c r="V83" s="78">
        <v>1</v>
      </c>
      <c r="W83" s="72">
        <v>1</v>
      </c>
      <c r="X83" s="70">
        <v>0</v>
      </c>
      <c r="Y83" s="70">
        <v>0</v>
      </c>
      <c r="Z83" s="70">
        <v>0</v>
      </c>
      <c r="AB83" s="421"/>
    </row>
    <row r="84" spans="1:28" s="49" customFormat="1">
      <c r="A84" s="45"/>
      <c r="B84" s="46"/>
      <c r="C84" s="53"/>
      <c r="D84" s="428"/>
      <c r="E84" s="428"/>
      <c r="F84" s="428"/>
      <c r="G84" s="53"/>
      <c r="H84" s="53"/>
      <c r="I84" s="53"/>
      <c r="J84" s="53"/>
      <c r="K84" s="53"/>
      <c r="L84" s="53"/>
      <c r="M84" s="53"/>
      <c r="N84" s="53"/>
      <c r="O84" s="53"/>
      <c r="P84" s="53"/>
      <c r="Q84" s="53"/>
      <c r="R84" s="53"/>
      <c r="S84" s="53"/>
      <c r="T84" s="53"/>
      <c r="U84" s="53"/>
      <c r="V84" s="53"/>
      <c r="W84" s="53"/>
      <c r="X84" s="53"/>
      <c r="Y84" s="53"/>
      <c r="Z84" s="53"/>
      <c r="AB84" s="421"/>
    </row>
    <row r="85" spans="1:28" ht="15.75" thickBot="1">
      <c r="A85" s="41" t="s">
        <v>160</v>
      </c>
      <c r="B85" s="42" t="s">
        <v>201</v>
      </c>
      <c r="C85" s="52"/>
      <c r="D85" s="52"/>
      <c r="E85" s="52"/>
      <c r="F85" s="52"/>
      <c r="G85" s="52"/>
      <c r="H85" s="52"/>
      <c r="I85" s="52"/>
      <c r="J85" s="52"/>
      <c r="K85" s="52"/>
      <c r="L85" s="52"/>
      <c r="M85" s="52"/>
      <c r="N85" s="50">
        <v>25</v>
      </c>
      <c r="O85" s="51">
        <v>31.25</v>
      </c>
      <c r="P85" s="51">
        <v>37.5</v>
      </c>
      <c r="Q85" s="51">
        <v>43.75</v>
      </c>
      <c r="R85" s="50">
        <v>50</v>
      </c>
      <c r="S85" s="51">
        <v>54.166666666666664</v>
      </c>
      <c r="T85" s="51">
        <v>58.333333333333329</v>
      </c>
      <c r="U85" s="51">
        <v>62.499999999999993</v>
      </c>
      <c r="V85" s="51">
        <v>66.666666666666657</v>
      </c>
      <c r="W85" s="51">
        <v>70.833333333333329</v>
      </c>
      <c r="X85" s="51">
        <v>75</v>
      </c>
      <c r="Y85" s="50">
        <v>75</v>
      </c>
      <c r="Z85" s="51">
        <v>75</v>
      </c>
      <c r="AA85" s="38">
        <v>100</v>
      </c>
      <c r="AB85" s="420">
        <v>4</v>
      </c>
    </row>
    <row r="86" spans="1:28" s="49" customFormat="1" ht="15.75" thickBot="1">
      <c r="A86" s="45"/>
      <c r="B86" s="46" t="s">
        <v>200</v>
      </c>
      <c r="C86" s="52"/>
      <c r="D86" s="52"/>
      <c r="E86" s="52"/>
      <c r="F86" s="52"/>
      <c r="G86" s="52"/>
      <c r="H86" s="52"/>
      <c r="I86" s="52"/>
      <c r="J86" s="52"/>
      <c r="K86" s="52"/>
      <c r="L86" s="52"/>
      <c r="M86" s="52"/>
      <c r="N86" s="52">
        <v>25</v>
      </c>
      <c r="O86" s="76">
        <v>25</v>
      </c>
      <c r="P86" s="426">
        <v>25</v>
      </c>
      <c r="Q86" s="426">
        <v>35</v>
      </c>
      <c r="R86" s="77">
        <v>40</v>
      </c>
      <c r="S86" s="77">
        <v>40</v>
      </c>
      <c r="T86" s="77">
        <v>40</v>
      </c>
      <c r="U86" s="77">
        <v>40</v>
      </c>
      <c r="V86" s="78">
        <v>60</v>
      </c>
      <c r="W86" s="72">
        <v>60.000000000000007</v>
      </c>
      <c r="X86" s="70">
        <v>57.499999999999993</v>
      </c>
      <c r="Y86" s="70">
        <v>0</v>
      </c>
      <c r="Z86" s="70">
        <v>0</v>
      </c>
      <c r="AB86" s="421"/>
    </row>
    <row r="87" spans="1:28" s="49" customFormat="1">
      <c r="A87" s="45"/>
      <c r="B87" s="46"/>
      <c r="C87" s="53"/>
      <c r="D87" s="428"/>
      <c r="E87" s="428"/>
      <c r="F87" s="428"/>
      <c r="G87" s="53"/>
      <c r="H87" s="53"/>
      <c r="I87" s="53"/>
      <c r="J87" s="53"/>
      <c r="K87" s="53"/>
      <c r="L87" s="53"/>
      <c r="M87" s="53"/>
      <c r="N87" s="53"/>
      <c r="O87" s="53"/>
      <c r="P87" s="53"/>
      <c r="Q87" s="53"/>
      <c r="R87" s="53"/>
      <c r="S87" s="53"/>
      <c r="T87" s="53"/>
      <c r="U87" s="53"/>
      <c r="V87" s="53"/>
      <c r="W87" s="53"/>
      <c r="X87" s="53"/>
      <c r="Y87" s="53"/>
      <c r="Z87" s="53"/>
      <c r="AB87" s="421"/>
    </row>
    <row r="88" spans="1:28" ht="15.75" thickBot="1">
      <c r="A88" s="41" t="s">
        <v>161</v>
      </c>
      <c r="B88" s="42" t="s">
        <v>198</v>
      </c>
      <c r="C88" s="52"/>
      <c r="D88" s="52"/>
      <c r="E88" s="52"/>
      <c r="F88" s="52"/>
      <c r="G88" s="52"/>
      <c r="H88" s="52"/>
      <c r="I88" s="52"/>
      <c r="J88" s="52"/>
      <c r="K88" s="52"/>
      <c r="L88" s="52"/>
      <c r="M88" s="52"/>
      <c r="N88" s="50">
        <v>32</v>
      </c>
      <c r="O88" s="51">
        <v>35.25</v>
      </c>
      <c r="P88" s="51">
        <v>38.5</v>
      </c>
      <c r="Q88" s="51">
        <v>41.75</v>
      </c>
      <c r="R88" s="50">
        <v>45</v>
      </c>
      <c r="S88" s="51">
        <v>48.333333333333336</v>
      </c>
      <c r="T88" s="51">
        <v>51.666666666666671</v>
      </c>
      <c r="U88" s="51">
        <v>55.000000000000007</v>
      </c>
      <c r="V88" s="51">
        <v>58.333333333333343</v>
      </c>
      <c r="W88" s="51">
        <v>61.666666666666679</v>
      </c>
      <c r="X88" s="51">
        <v>65.000000000000014</v>
      </c>
      <c r="Y88" s="50">
        <v>65</v>
      </c>
      <c r="Z88" s="51">
        <v>65</v>
      </c>
      <c r="AA88" s="38">
        <v>100</v>
      </c>
      <c r="AB88" s="420">
        <v>4</v>
      </c>
    </row>
    <row r="89" spans="1:28" s="49" customFormat="1" ht="15.75" thickBot="1">
      <c r="A89" s="45"/>
      <c r="B89" s="46" t="s">
        <v>199</v>
      </c>
      <c r="C89" s="52"/>
      <c r="D89" s="52"/>
      <c r="E89" s="52"/>
      <c r="F89" s="52"/>
      <c r="G89" s="52"/>
      <c r="H89" s="52"/>
      <c r="I89" s="52"/>
      <c r="J89" s="52"/>
      <c r="K89" s="52"/>
      <c r="L89" s="52"/>
      <c r="M89" s="52"/>
      <c r="N89" s="52">
        <v>32</v>
      </c>
      <c r="O89" s="76">
        <v>32</v>
      </c>
      <c r="P89" s="426">
        <v>32</v>
      </c>
      <c r="Q89" s="426">
        <v>32</v>
      </c>
      <c r="R89" s="77">
        <v>40</v>
      </c>
      <c r="S89" s="77">
        <v>40</v>
      </c>
      <c r="T89" s="77">
        <v>48</v>
      </c>
      <c r="U89" s="77">
        <v>48</v>
      </c>
      <c r="V89" s="78">
        <v>52</v>
      </c>
      <c r="W89" s="72">
        <v>58</v>
      </c>
      <c r="X89" s="70">
        <v>57.833333333333329</v>
      </c>
      <c r="Y89" s="70">
        <v>0</v>
      </c>
      <c r="Z89" s="70">
        <v>0</v>
      </c>
      <c r="AB89" s="421"/>
    </row>
    <row r="90" spans="1:28" s="49" customFormat="1">
      <c r="A90" s="45"/>
      <c r="B90" s="46"/>
      <c r="C90" s="53"/>
      <c r="D90" s="428"/>
      <c r="E90" s="428"/>
      <c r="F90" s="428"/>
      <c r="G90" s="53"/>
      <c r="H90" s="53"/>
      <c r="I90" s="53"/>
      <c r="J90" s="53"/>
      <c r="K90" s="53"/>
      <c r="L90" s="53"/>
      <c r="M90" s="53"/>
      <c r="N90" s="53"/>
      <c r="O90" s="53"/>
      <c r="P90" s="53"/>
      <c r="Q90" s="53"/>
      <c r="R90" s="53"/>
      <c r="S90" s="53"/>
      <c r="T90" s="53"/>
      <c r="U90" s="53"/>
      <c r="V90" s="53"/>
      <c r="W90" s="53"/>
      <c r="X90" s="53"/>
      <c r="Y90" s="53"/>
      <c r="Z90" s="53"/>
      <c r="AB90" s="421"/>
    </row>
    <row r="91" spans="1:28" ht="15.75" thickBot="1">
      <c r="A91" s="41" t="s">
        <v>40</v>
      </c>
      <c r="B91" s="42" t="s">
        <v>139</v>
      </c>
      <c r="C91" s="52"/>
      <c r="D91" s="52"/>
      <c r="E91" s="52"/>
      <c r="F91" s="52"/>
      <c r="G91" s="52"/>
      <c r="H91" s="52"/>
      <c r="I91" s="52"/>
      <c r="J91" s="52"/>
      <c r="K91" s="52"/>
      <c r="L91" s="52"/>
      <c r="M91" s="52"/>
      <c r="N91" s="43">
        <v>2.2000000000000002</v>
      </c>
      <c r="O91" s="44">
        <v>2.2750000000000004</v>
      </c>
      <c r="P91" s="44">
        <v>2.3500000000000005</v>
      </c>
      <c r="Q91" s="44">
        <v>2.4250000000000007</v>
      </c>
      <c r="R91" s="43">
        <v>2.5</v>
      </c>
      <c r="S91" s="44">
        <v>2.5833333333333335</v>
      </c>
      <c r="T91" s="44">
        <v>2.666666666666667</v>
      </c>
      <c r="U91" s="44">
        <v>2.7500000000000004</v>
      </c>
      <c r="V91" s="44">
        <v>2.8333333333333339</v>
      </c>
      <c r="W91" s="44">
        <v>3.75</v>
      </c>
      <c r="X91" s="44">
        <v>4</v>
      </c>
      <c r="Y91" s="43">
        <v>4</v>
      </c>
      <c r="Z91" s="44">
        <v>4</v>
      </c>
      <c r="AA91" s="38">
        <v>5</v>
      </c>
      <c r="AB91" s="420">
        <v>0.16</v>
      </c>
    </row>
    <row r="92" spans="1:28" s="49" customFormat="1" ht="15.75" thickBot="1">
      <c r="A92" s="45"/>
      <c r="B92" s="46" t="s">
        <v>140</v>
      </c>
      <c r="C92" s="52"/>
      <c r="D92" s="52"/>
      <c r="E92" s="52"/>
      <c r="F92" s="52"/>
      <c r="G92" s="52"/>
      <c r="H92" s="52"/>
      <c r="I92" s="52"/>
      <c r="J92" s="52"/>
      <c r="K92" s="52"/>
      <c r="L92" s="52"/>
      <c r="M92" s="52"/>
      <c r="N92" s="47">
        <v>2.2000000000000002</v>
      </c>
      <c r="O92" s="84">
        <v>2.2000000000000002</v>
      </c>
      <c r="P92" s="424">
        <v>2.2999999999999998</v>
      </c>
      <c r="Q92" s="424">
        <v>2.7</v>
      </c>
      <c r="R92" s="85">
        <v>2.2999999999999998</v>
      </c>
      <c r="S92" s="85">
        <v>2.4</v>
      </c>
      <c r="T92" s="85">
        <v>2.9</v>
      </c>
      <c r="U92" s="85">
        <v>3</v>
      </c>
      <c r="V92" s="86">
        <v>3.4</v>
      </c>
      <c r="W92" s="80">
        <v>3.4</v>
      </c>
      <c r="X92" s="69">
        <v>3.6</v>
      </c>
      <c r="Y92" s="69">
        <v>0</v>
      </c>
      <c r="Z92" s="69">
        <v>0</v>
      </c>
      <c r="AB92" s="421"/>
    </row>
    <row r="93" spans="1:28" s="49" customFormat="1">
      <c r="A93" s="45"/>
      <c r="B93" s="46"/>
      <c r="C93" s="48"/>
      <c r="D93" s="48"/>
      <c r="E93" s="48"/>
      <c r="F93" s="48"/>
      <c r="G93" s="48"/>
      <c r="H93" s="48"/>
      <c r="I93" s="48"/>
      <c r="J93" s="48"/>
      <c r="K93" s="48"/>
      <c r="L93" s="48"/>
      <c r="M93" s="48"/>
      <c r="N93" s="48"/>
      <c r="O93" s="48"/>
      <c r="P93" s="48"/>
      <c r="Q93" s="48"/>
      <c r="R93" s="48"/>
      <c r="S93" s="48"/>
      <c r="T93" s="48"/>
      <c r="U93" s="48"/>
      <c r="V93" s="48"/>
      <c r="W93" s="48"/>
      <c r="X93" s="48"/>
      <c r="Y93" s="48"/>
      <c r="Z93" s="48"/>
      <c r="AB93" s="421"/>
    </row>
    <row r="94" spans="1:28" ht="15.75" thickBot="1">
      <c r="A94" s="41" t="s">
        <v>32</v>
      </c>
      <c r="B94" s="42" t="s">
        <v>139</v>
      </c>
      <c r="C94" s="43">
        <v>0</v>
      </c>
      <c r="D94" s="81">
        <v>0.41666666666666669</v>
      </c>
      <c r="E94" s="81">
        <v>0.83333333333333337</v>
      </c>
      <c r="F94" s="81">
        <v>1.25</v>
      </c>
      <c r="G94" s="81">
        <v>1.6666666666666667</v>
      </c>
      <c r="H94" s="81">
        <v>2.0833333333333335</v>
      </c>
      <c r="I94" s="82">
        <v>2.5</v>
      </c>
      <c r="J94" s="81">
        <v>2.5</v>
      </c>
      <c r="K94" s="81">
        <v>2.5</v>
      </c>
      <c r="L94" s="44">
        <v>2.5</v>
      </c>
      <c r="M94" s="44">
        <v>2.5</v>
      </c>
      <c r="N94" s="43">
        <v>2.5</v>
      </c>
      <c r="O94" s="44">
        <v>2.5499999999999998</v>
      </c>
      <c r="P94" s="44">
        <v>2.5999999999999996</v>
      </c>
      <c r="Q94" s="44">
        <v>2.6499999999999995</v>
      </c>
      <c r="R94" s="43">
        <v>2.7</v>
      </c>
      <c r="S94" s="44">
        <v>2.75</v>
      </c>
      <c r="T94" s="44">
        <v>2.8</v>
      </c>
      <c r="U94" s="44">
        <v>2.8499999999999996</v>
      </c>
      <c r="V94" s="44">
        <v>2.8999999999999995</v>
      </c>
      <c r="W94" s="44">
        <v>3.95</v>
      </c>
      <c r="X94" s="44">
        <v>4.2</v>
      </c>
      <c r="Y94" s="43">
        <v>4.2</v>
      </c>
      <c r="Z94" s="44">
        <v>4.2</v>
      </c>
      <c r="AA94" s="38">
        <v>5</v>
      </c>
      <c r="AB94" s="420">
        <v>0.16</v>
      </c>
    </row>
    <row r="95" spans="1:28" s="49" customFormat="1" ht="15.75" thickBot="1">
      <c r="A95" s="45"/>
      <c r="B95" s="46" t="s">
        <v>140</v>
      </c>
      <c r="C95" s="79">
        <v>0</v>
      </c>
      <c r="D95" s="84">
        <v>0</v>
      </c>
      <c r="E95" s="85">
        <v>0</v>
      </c>
      <c r="F95" s="85">
        <v>0</v>
      </c>
      <c r="G95" s="85">
        <v>0</v>
      </c>
      <c r="H95" s="85">
        <v>0</v>
      </c>
      <c r="I95" s="85">
        <v>0</v>
      </c>
      <c r="J95" s="85">
        <v>0</v>
      </c>
      <c r="K95" s="85">
        <v>0</v>
      </c>
      <c r="L95" s="85">
        <v>0</v>
      </c>
      <c r="M95" s="85">
        <v>0</v>
      </c>
      <c r="N95" s="423">
        <v>2.5</v>
      </c>
      <c r="O95" s="424">
        <v>2</v>
      </c>
      <c r="P95" s="424">
        <v>2.1</v>
      </c>
      <c r="Q95" s="424">
        <v>2.1</v>
      </c>
      <c r="R95" s="85">
        <v>2.8</v>
      </c>
      <c r="S95" s="85">
        <v>2.5</v>
      </c>
      <c r="T95" s="85">
        <v>3.5</v>
      </c>
      <c r="U95" s="85">
        <v>3.5</v>
      </c>
      <c r="V95" s="86">
        <v>4</v>
      </c>
      <c r="W95" s="80">
        <v>4</v>
      </c>
      <c r="X95" s="69">
        <v>4</v>
      </c>
      <c r="Y95" s="69">
        <v>0</v>
      </c>
      <c r="Z95" s="69">
        <v>0</v>
      </c>
      <c r="AB95" s="421"/>
    </row>
    <row r="96" spans="1:28" s="49" customFormat="1">
      <c r="A96" s="45"/>
      <c r="B96" s="46"/>
      <c r="C96" s="48"/>
      <c r="D96" s="83"/>
      <c r="E96" s="83"/>
      <c r="F96" s="83"/>
      <c r="G96" s="83"/>
      <c r="H96" s="83"/>
      <c r="I96" s="83"/>
      <c r="J96" s="83"/>
      <c r="K96" s="83"/>
      <c r="L96" s="48"/>
      <c r="M96" s="48"/>
      <c r="N96" s="48"/>
      <c r="O96" s="48"/>
      <c r="P96" s="48"/>
      <c r="Q96" s="48"/>
      <c r="R96" s="48"/>
      <c r="S96" s="48"/>
      <c r="T96" s="48"/>
      <c r="U96" s="48"/>
      <c r="V96" s="48"/>
      <c r="W96" s="48"/>
      <c r="X96" s="48"/>
      <c r="Y96" s="48"/>
      <c r="Z96" s="48"/>
      <c r="AB96" s="421"/>
    </row>
    <row r="97" spans="1:28" ht="15.75" thickBot="1">
      <c r="A97" s="41" t="s">
        <v>33</v>
      </c>
      <c r="B97" s="42" t="s">
        <v>139</v>
      </c>
      <c r="C97" s="43">
        <v>0</v>
      </c>
      <c r="D97" s="81">
        <v>0.6166666666666667</v>
      </c>
      <c r="E97" s="81">
        <v>1.2333333333333334</v>
      </c>
      <c r="F97" s="81">
        <v>1.85</v>
      </c>
      <c r="G97" s="81">
        <v>2.4666666666666668</v>
      </c>
      <c r="H97" s="81">
        <v>3.0833333333333335</v>
      </c>
      <c r="I97" s="82">
        <v>3.7</v>
      </c>
      <c r="J97" s="81">
        <v>3.7</v>
      </c>
      <c r="K97" s="81">
        <v>3.7</v>
      </c>
      <c r="L97" s="44">
        <v>3.7</v>
      </c>
      <c r="M97" s="44">
        <v>3.7</v>
      </c>
      <c r="N97" s="43">
        <v>3.7</v>
      </c>
      <c r="O97" s="44">
        <v>3.7750000000000004</v>
      </c>
      <c r="P97" s="44">
        <v>3.8500000000000005</v>
      </c>
      <c r="Q97" s="44">
        <v>3.9250000000000007</v>
      </c>
      <c r="R97" s="43">
        <v>4</v>
      </c>
      <c r="S97" s="44">
        <v>4.083333333333333</v>
      </c>
      <c r="T97" s="44">
        <v>4.1666666666666661</v>
      </c>
      <c r="U97" s="44">
        <v>4.2499999999999991</v>
      </c>
      <c r="V97" s="44">
        <v>4.3333333333333321</v>
      </c>
      <c r="W97" s="44">
        <v>4.6666666666666643</v>
      </c>
      <c r="X97" s="44">
        <v>4.7999999999999972</v>
      </c>
      <c r="Y97" s="43">
        <v>4.8</v>
      </c>
      <c r="Z97" s="44">
        <v>4.8</v>
      </c>
      <c r="AA97" s="38">
        <v>5</v>
      </c>
      <c r="AB97" s="420">
        <v>0.16</v>
      </c>
    </row>
    <row r="98" spans="1:28" s="49" customFormat="1" ht="15.75" thickBot="1">
      <c r="A98" s="45"/>
      <c r="B98" s="46" t="s">
        <v>140</v>
      </c>
      <c r="C98" s="79">
        <v>0</v>
      </c>
      <c r="D98" s="84">
        <v>0</v>
      </c>
      <c r="E98" s="85">
        <v>0</v>
      </c>
      <c r="F98" s="85">
        <v>0</v>
      </c>
      <c r="G98" s="85">
        <v>0</v>
      </c>
      <c r="H98" s="85">
        <v>0</v>
      </c>
      <c r="I98" s="85">
        <v>0</v>
      </c>
      <c r="J98" s="85">
        <v>0</v>
      </c>
      <c r="K98" s="85">
        <v>0</v>
      </c>
      <c r="L98" s="85">
        <v>0</v>
      </c>
      <c r="M98" s="85">
        <v>0</v>
      </c>
      <c r="N98" s="423">
        <v>3.7</v>
      </c>
      <c r="O98" s="424">
        <v>4.8</v>
      </c>
      <c r="P98" s="424">
        <v>4.8</v>
      </c>
      <c r="Q98" s="424">
        <v>4.0999999999999996</v>
      </c>
      <c r="R98" s="85">
        <v>3.5</v>
      </c>
      <c r="S98" s="85">
        <v>2.8</v>
      </c>
      <c r="T98" s="85">
        <v>4.3</v>
      </c>
      <c r="U98" s="85">
        <v>4.3</v>
      </c>
      <c r="V98" s="86">
        <v>4.8</v>
      </c>
      <c r="W98" s="80">
        <v>4.8</v>
      </c>
      <c r="X98" s="69">
        <v>4.8</v>
      </c>
      <c r="Y98" s="69">
        <v>0</v>
      </c>
      <c r="Z98" s="69">
        <v>0</v>
      </c>
      <c r="AB98" s="421"/>
    </row>
    <row r="99" spans="1:28" s="49" customFormat="1">
      <c r="A99" s="45"/>
      <c r="B99" s="46"/>
      <c r="C99" s="48"/>
      <c r="D99" s="83"/>
      <c r="E99" s="83"/>
      <c r="F99" s="83"/>
      <c r="G99" s="83"/>
      <c r="H99" s="83"/>
      <c r="I99" s="83"/>
      <c r="J99" s="83"/>
      <c r="K99" s="83"/>
      <c r="L99" s="48"/>
      <c r="M99" s="48"/>
      <c r="N99" s="48"/>
      <c r="O99" s="48"/>
      <c r="P99" s="48"/>
      <c r="Q99" s="48"/>
      <c r="R99" s="48"/>
      <c r="S99" s="48"/>
      <c r="T99" s="48"/>
      <c r="U99" s="48"/>
      <c r="V99" s="48"/>
      <c r="W99" s="48"/>
      <c r="X99" s="48"/>
      <c r="Y99" s="48"/>
      <c r="Z99" s="48"/>
      <c r="AB99" s="421"/>
    </row>
    <row r="100" spans="1:28" ht="15.75" thickBot="1">
      <c r="A100" s="41" t="s">
        <v>34</v>
      </c>
      <c r="B100" s="42" t="s">
        <v>139</v>
      </c>
      <c r="C100" s="43">
        <v>0</v>
      </c>
      <c r="D100" s="81">
        <v>0.33333333333333331</v>
      </c>
      <c r="E100" s="81">
        <v>0.66666666666666663</v>
      </c>
      <c r="F100" s="81">
        <v>1</v>
      </c>
      <c r="G100" s="81">
        <v>1.3333333333333333</v>
      </c>
      <c r="H100" s="81">
        <v>1.6666666666666665</v>
      </c>
      <c r="I100" s="82">
        <v>2</v>
      </c>
      <c r="J100" s="81">
        <v>2</v>
      </c>
      <c r="K100" s="81">
        <v>2</v>
      </c>
      <c r="L100" s="44">
        <v>2</v>
      </c>
      <c r="M100" s="44">
        <v>2</v>
      </c>
      <c r="N100" s="43">
        <v>2</v>
      </c>
      <c r="O100" s="44">
        <v>2.125</v>
      </c>
      <c r="P100" s="44">
        <v>2.25</v>
      </c>
      <c r="Q100" s="44">
        <v>2.375</v>
      </c>
      <c r="R100" s="43">
        <v>2.5</v>
      </c>
      <c r="S100" s="44">
        <v>2.5833333333333335</v>
      </c>
      <c r="T100" s="44">
        <v>2.666666666666667</v>
      </c>
      <c r="U100" s="44">
        <v>2.7500000000000004</v>
      </c>
      <c r="V100" s="44">
        <v>2.8333333333333339</v>
      </c>
      <c r="W100" s="44">
        <v>3.833333333333333</v>
      </c>
      <c r="X100" s="44">
        <v>4.0999999999999996</v>
      </c>
      <c r="Y100" s="43">
        <v>4.0999999999999996</v>
      </c>
      <c r="Z100" s="44">
        <v>4.0999999999999996</v>
      </c>
      <c r="AA100" s="38">
        <v>5</v>
      </c>
      <c r="AB100" s="420">
        <v>0.16</v>
      </c>
    </row>
    <row r="101" spans="1:28" s="49" customFormat="1" ht="15.75" thickBot="1">
      <c r="A101" s="45"/>
      <c r="B101" s="46" t="s">
        <v>140</v>
      </c>
      <c r="C101" s="79">
        <v>0</v>
      </c>
      <c r="D101" s="84">
        <v>0</v>
      </c>
      <c r="E101" s="85">
        <v>0</v>
      </c>
      <c r="F101" s="85">
        <v>0</v>
      </c>
      <c r="G101" s="85">
        <v>0</v>
      </c>
      <c r="H101" s="85">
        <v>0</v>
      </c>
      <c r="I101" s="85">
        <v>0</v>
      </c>
      <c r="J101" s="85">
        <v>0</v>
      </c>
      <c r="K101" s="85">
        <v>0</v>
      </c>
      <c r="L101" s="85">
        <v>0</v>
      </c>
      <c r="M101" s="85">
        <v>0</v>
      </c>
      <c r="N101" s="423">
        <v>2</v>
      </c>
      <c r="O101" s="424">
        <v>2.5</v>
      </c>
      <c r="P101" s="424">
        <v>2.5</v>
      </c>
      <c r="Q101" s="424">
        <v>2.7</v>
      </c>
      <c r="R101" s="85">
        <v>2.4</v>
      </c>
      <c r="S101" s="85">
        <v>2.7</v>
      </c>
      <c r="T101" s="85">
        <v>3.3</v>
      </c>
      <c r="U101" s="85">
        <v>3.3</v>
      </c>
      <c r="V101" s="86">
        <v>4.0999999999999996</v>
      </c>
      <c r="W101" s="80">
        <v>4.0999999999999996</v>
      </c>
      <c r="X101" s="69">
        <v>4.0999999999999996</v>
      </c>
      <c r="Y101" s="69">
        <v>0</v>
      </c>
      <c r="Z101" s="69">
        <v>0</v>
      </c>
      <c r="AB101" s="421"/>
    </row>
    <row r="102" spans="1:28" s="49" customFormat="1">
      <c r="A102" s="45"/>
      <c r="B102" s="46"/>
      <c r="C102" s="48"/>
      <c r="D102" s="83"/>
      <c r="E102" s="83"/>
      <c r="F102" s="83"/>
      <c r="G102" s="83"/>
      <c r="H102" s="83"/>
      <c r="I102" s="83"/>
      <c r="J102" s="83"/>
      <c r="K102" s="83"/>
      <c r="L102" s="48"/>
      <c r="M102" s="48"/>
      <c r="N102" s="48"/>
      <c r="O102" s="48"/>
      <c r="P102" s="48"/>
      <c r="Q102" s="48"/>
      <c r="R102" s="48"/>
      <c r="S102" s="48"/>
      <c r="T102" s="48"/>
      <c r="U102" s="48"/>
      <c r="V102" s="48"/>
      <c r="W102" s="48"/>
      <c r="X102" s="48"/>
      <c r="Y102" s="48"/>
      <c r="Z102" s="48"/>
      <c r="AB102" s="421"/>
    </row>
    <row r="103" spans="1:28" ht="15.75" thickBot="1">
      <c r="A103" s="41" t="s">
        <v>41</v>
      </c>
      <c r="B103" s="42" t="s">
        <v>139</v>
      </c>
      <c r="C103" s="43">
        <v>0</v>
      </c>
      <c r="D103" s="81">
        <v>0.3833333333333333</v>
      </c>
      <c r="E103" s="81">
        <v>0.76666666666666661</v>
      </c>
      <c r="F103" s="81">
        <v>1.1499999999999999</v>
      </c>
      <c r="G103" s="81">
        <v>1.5333333333333332</v>
      </c>
      <c r="H103" s="81">
        <v>1.9166666666666665</v>
      </c>
      <c r="I103" s="82">
        <v>2.2999999999999998</v>
      </c>
      <c r="J103" s="81">
        <v>2.2999999999999998</v>
      </c>
      <c r="K103" s="81">
        <v>2.2999999999999998</v>
      </c>
      <c r="L103" s="44">
        <v>2.2999999999999998</v>
      </c>
      <c r="M103" s="44">
        <v>2.2999999999999998</v>
      </c>
      <c r="N103" s="43">
        <v>2.2999999999999998</v>
      </c>
      <c r="O103" s="44">
        <v>2.3499999999999996</v>
      </c>
      <c r="P103" s="44">
        <v>2.3999999999999995</v>
      </c>
      <c r="Q103" s="44">
        <v>2.4499999999999993</v>
      </c>
      <c r="R103" s="43">
        <v>2.5</v>
      </c>
      <c r="S103" s="44">
        <v>2.5833333333333335</v>
      </c>
      <c r="T103" s="44">
        <v>2.666666666666667</v>
      </c>
      <c r="U103" s="44">
        <v>2.7500000000000004</v>
      </c>
      <c r="V103" s="44">
        <v>2.8333333333333339</v>
      </c>
      <c r="W103" s="44">
        <v>3.4166666666666679</v>
      </c>
      <c r="X103" s="44">
        <v>3.6000000000000014</v>
      </c>
      <c r="Y103" s="43">
        <v>3.6</v>
      </c>
      <c r="Z103" s="44">
        <v>3.6</v>
      </c>
      <c r="AA103" s="38">
        <v>5</v>
      </c>
      <c r="AB103" s="420">
        <v>0.16</v>
      </c>
    </row>
    <row r="104" spans="1:28" s="49" customFormat="1" ht="15.75" thickBot="1">
      <c r="A104" s="45"/>
      <c r="B104" s="46" t="s">
        <v>140</v>
      </c>
      <c r="C104" s="79">
        <v>0</v>
      </c>
      <c r="D104" s="84">
        <v>0</v>
      </c>
      <c r="E104" s="85">
        <v>0</v>
      </c>
      <c r="F104" s="85">
        <v>0</v>
      </c>
      <c r="G104" s="85">
        <v>0</v>
      </c>
      <c r="H104" s="85">
        <v>0</v>
      </c>
      <c r="I104" s="85">
        <v>0</v>
      </c>
      <c r="J104" s="85">
        <v>0</v>
      </c>
      <c r="K104" s="85">
        <v>0</v>
      </c>
      <c r="L104" s="85">
        <v>0</v>
      </c>
      <c r="M104" s="85">
        <v>0</v>
      </c>
      <c r="N104" s="423">
        <v>2.2999999999999998</v>
      </c>
      <c r="O104" s="424">
        <v>3</v>
      </c>
      <c r="P104" s="424">
        <v>3.2</v>
      </c>
      <c r="Q104" s="424">
        <v>3.7</v>
      </c>
      <c r="R104" s="85">
        <v>1.8</v>
      </c>
      <c r="S104" s="85">
        <v>2.4</v>
      </c>
      <c r="T104" s="85">
        <v>2.6</v>
      </c>
      <c r="U104" s="85">
        <v>2.6</v>
      </c>
      <c r="V104" s="86">
        <v>3.6</v>
      </c>
      <c r="W104" s="80">
        <v>3.6</v>
      </c>
      <c r="X104" s="69">
        <v>3.6</v>
      </c>
      <c r="Y104" s="69">
        <v>0</v>
      </c>
      <c r="Z104" s="69">
        <v>0</v>
      </c>
      <c r="AB104" s="421"/>
    </row>
    <row r="105" spans="1:28" s="49" customFormat="1">
      <c r="A105" s="45"/>
      <c r="B105" s="46"/>
      <c r="C105" s="48"/>
      <c r="D105" s="83"/>
      <c r="E105" s="83"/>
      <c r="F105" s="83"/>
      <c r="G105" s="83"/>
      <c r="H105" s="83"/>
      <c r="I105" s="83"/>
      <c r="J105" s="83"/>
      <c r="K105" s="83"/>
      <c r="L105" s="48"/>
      <c r="M105" s="48"/>
      <c r="N105" s="48"/>
      <c r="O105" s="48"/>
      <c r="P105" s="48"/>
      <c r="Q105" s="48"/>
      <c r="R105" s="48"/>
      <c r="S105" s="48"/>
      <c r="T105" s="48"/>
      <c r="U105" s="48"/>
      <c r="V105" s="48"/>
      <c r="W105" s="48"/>
      <c r="X105" s="48"/>
      <c r="Y105" s="48"/>
      <c r="Z105" s="48"/>
      <c r="AB105" s="421"/>
    </row>
    <row r="106" spans="1:28" ht="15.75" thickBot="1">
      <c r="A106" s="41" t="s">
        <v>181</v>
      </c>
      <c r="B106" s="42" t="s">
        <v>204</v>
      </c>
      <c r="C106" s="50">
        <v>0</v>
      </c>
      <c r="D106" s="73">
        <v>0</v>
      </c>
      <c r="E106" s="73">
        <v>0</v>
      </c>
      <c r="F106" s="73">
        <v>0</v>
      </c>
      <c r="G106" s="73">
        <v>0</v>
      </c>
      <c r="H106" s="73">
        <v>0</v>
      </c>
      <c r="I106" s="74">
        <v>0</v>
      </c>
      <c r="J106" s="73">
        <v>0.5</v>
      </c>
      <c r="K106" s="73">
        <v>1</v>
      </c>
      <c r="L106" s="51">
        <v>1.5</v>
      </c>
      <c r="M106" s="51">
        <v>2</v>
      </c>
      <c r="N106" s="50">
        <v>3</v>
      </c>
      <c r="O106" s="51">
        <v>3.25</v>
      </c>
      <c r="P106" s="51">
        <v>3.5</v>
      </c>
      <c r="Q106" s="51">
        <v>3.75</v>
      </c>
      <c r="R106" s="50">
        <v>4</v>
      </c>
      <c r="S106" s="51">
        <v>4.166666666666667</v>
      </c>
      <c r="T106" s="51">
        <v>4.3333333333333339</v>
      </c>
      <c r="U106" s="51">
        <v>4.5000000000000009</v>
      </c>
      <c r="V106" s="51">
        <v>4.6666666666666679</v>
      </c>
      <c r="W106" s="51">
        <v>4.8333333333333348</v>
      </c>
      <c r="X106" s="51">
        <v>5.0000000000000018</v>
      </c>
      <c r="Y106" s="50">
        <v>5</v>
      </c>
      <c r="Z106" s="51">
        <v>5</v>
      </c>
      <c r="AA106" s="38">
        <v>20</v>
      </c>
      <c r="AB106" s="420">
        <v>0.8</v>
      </c>
    </row>
    <row r="107" spans="1:28" s="49" customFormat="1" ht="15.75" thickBot="1">
      <c r="A107" s="45"/>
      <c r="B107" s="46" t="s">
        <v>205</v>
      </c>
      <c r="C107" s="71">
        <v>0</v>
      </c>
      <c r="D107" s="76">
        <v>0</v>
      </c>
      <c r="E107" s="77">
        <v>0</v>
      </c>
      <c r="F107" s="77">
        <v>0</v>
      </c>
      <c r="G107" s="77">
        <v>0</v>
      </c>
      <c r="H107" s="77">
        <v>0</v>
      </c>
      <c r="I107" s="77">
        <v>0</v>
      </c>
      <c r="J107" s="77">
        <v>0</v>
      </c>
      <c r="K107" s="77">
        <v>0</v>
      </c>
      <c r="L107" s="77">
        <v>0</v>
      </c>
      <c r="M107" s="77">
        <v>0</v>
      </c>
      <c r="N107" s="425">
        <v>0</v>
      </c>
      <c r="O107" s="426">
        <v>0</v>
      </c>
      <c r="P107" s="426">
        <v>1</v>
      </c>
      <c r="Q107" s="426">
        <v>1.5</v>
      </c>
      <c r="R107" s="77">
        <v>1.8</v>
      </c>
      <c r="S107" s="77">
        <v>3</v>
      </c>
      <c r="T107" s="77">
        <v>6</v>
      </c>
      <c r="U107" s="77">
        <v>6</v>
      </c>
      <c r="V107" s="78">
        <v>6</v>
      </c>
      <c r="W107" s="72">
        <v>6</v>
      </c>
      <c r="X107" s="70">
        <v>6</v>
      </c>
      <c r="Y107" s="70">
        <v>0</v>
      </c>
      <c r="Z107" s="70">
        <v>0</v>
      </c>
      <c r="AB107" s="421"/>
    </row>
    <row r="108" spans="1:28" s="49" customFormat="1">
      <c r="A108" s="45"/>
      <c r="B108" s="46"/>
      <c r="C108" s="53"/>
      <c r="D108" s="75"/>
      <c r="E108" s="75"/>
      <c r="F108" s="75"/>
      <c r="G108" s="75"/>
      <c r="H108" s="75"/>
      <c r="I108" s="75"/>
      <c r="J108" s="75"/>
      <c r="K108" s="75"/>
      <c r="L108" s="53"/>
      <c r="M108" s="53"/>
      <c r="N108" s="53"/>
      <c r="O108" s="53"/>
      <c r="P108" s="53"/>
      <c r="Q108" s="53"/>
      <c r="R108" s="53"/>
      <c r="S108" s="53"/>
      <c r="T108" s="53"/>
      <c r="U108" s="53"/>
      <c r="V108" s="53"/>
      <c r="W108" s="53"/>
      <c r="X108" s="53"/>
      <c r="Y108" s="53"/>
      <c r="Z108" s="53"/>
      <c r="AB108" s="421"/>
    </row>
    <row r="109" spans="1:28" ht="15.75" thickBot="1">
      <c r="A109" s="41" t="s">
        <v>182</v>
      </c>
      <c r="B109" s="42" t="s">
        <v>206</v>
      </c>
      <c r="C109" s="50">
        <v>0</v>
      </c>
      <c r="D109" s="73">
        <v>0</v>
      </c>
      <c r="E109" s="73">
        <v>0</v>
      </c>
      <c r="F109" s="73">
        <v>0</v>
      </c>
      <c r="G109" s="73">
        <v>0</v>
      </c>
      <c r="H109" s="73">
        <v>0</v>
      </c>
      <c r="I109" s="74">
        <v>0</v>
      </c>
      <c r="J109" s="73">
        <v>0.16666666666666666</v>
      </c>
      <c r="K109" s="73">
        <v>0.33333333333333331</v>
      </c>
      <c r="L109" s="51">
        <v>0.5</v>
      </c>
      <c r="M109" s="51">
        <v>0.66666666666666663</v>
      </c>
      <c r="N109" s="50">
        <v>1</v>
      </c>
      <c r="O109" s="51">
        <v>1</v>
      </c>
      <c r="P109" s="51">
        <v>1</v>
      </c>
      <c r="Q109" s="51">
        <v>1</v>
      </c>
      <c r="R109" s="50">
        <v>1</v>
      </c>
      <c r="S109" s="51">
        <v>1.1666666666666667</v>
      </c>
      <c r="T109" s="51">
        <v>1.3333333333333335</v>
      </c>
      <c r="U109" s="51">
        <v>1.5000000000000002</v>
      </c>
      <c r="V109" s="51">
        <v>1.666666666666667</v>
      </c>
      <c r="W109" s="51">
        <v>1.8333333333333337</v>
      </c>
      <c r="X109" s="51">
        <v>2.0000000000000004</v>
      </c>
      <c r="Y109" s="50">
        <v>2</v>
      </c>
      <c r="Z109" s="51">
        <v>2</v>
      </c>
      <c r="AA109" s="38">
        <v>10</v>
      </c>
      <c r="AB109" s="420">
        <v>0.4</v>
      </c>
    </row>
    <row r="110" spans="1:28" s="49" customFormat="1" ht="15.75" thickBot="1">
      <c r="A110" s="45"/>
      <c r="B110" s="46" t="s">
        <v>207</v>
      </c>
      <c r="C110" s="71">
        <v>0</v>
      </c>
      <c r="D110" s="76">
        <v>0</v>
      </c>
      <c r="E110" s="77">
        <v>0</v>
      </c>
      <c r="F110" s="77">
        <v>0</v>
      </c>
      <c r="G110" s="77">
        <v>0</v>
      </c>
      <c r="H110" s="77">
        <v>0</v>
      </c>
      <c r="I110" s="77">
        <v>0</v>
      </c>
      <c r="J110" s="77">
        <v>0</v>
      </c>
      <c r="K110" s="77">
        <v>0</v>
      </c>
      <c r="L110" s="77">
        <v>0</v>
      </c>
      <c r="M110" s="77">
        <v>0</v>
      </c>
      <c r="N110" s="425">
        <v>0</v>
      </c>
      <c r="O110" s="426">
        <v>1</v>
      </c>
      <c r="P110" s="426">
        <v>2</v>
      </c>
      <c r="Q110" s="426">
        <v>2</v>
      </c>
      <c r="R110" s="77">
        <v>2</v>
      </c>
      <c r="S110" s="77">
        <v>2</v>
      </c>
      <c r="T110" s="77">
        <v>2</v>
      </c>
      <c r="U110" s="77">
        <v>4</v>
      </c>
      <c r="V110" s="78">
        <v>3</v>
      </c>
      <c r="W110" s="72">
        <v>5</v>
      </c>
      <c r="X110" s="70">
        <v>6</v>
      </c>
      <c r="Y110" s="70">
        <v>0</v>
      </c>
      <c r="Z110" s="70">
        <v>0</v>
      </c>
      <c r="AB110" s="421"/>
    </row>
    <row r="111" spans="1:28" s="49" customFormat="1">
      <c r="A111" s="45"/>
      <c r="B111" s="46"/>
      <c r="C111" s="53"/>
      <c r="D111" s="75"/>
      <c r="E111" s="75"/>
      <c r="F111" s="75"/>
      <c r="G111" s="75"/>
      <c r="H111" s="75"/>
      <c r="I111" s="75"/>
      <c r="J111" s="75"/>
      <c r="K111" s="75"/>
      <c r="L111" s="53"/>
      <c r="M111" s="53"/>
      <c r="N111" s="53"/>
      <c r="O111" s="53"/>
      <c r="P111" s="53"/>
      <c r="Q111" s="53"/>
      <c r="R111" s="53"/>
      <c r="S111" s="53"/>
      <c r="T111" s="53"/>
      <c r="U111" s="53"/>
      <c r="V111" s="53"/>
      <c r="W111" s="53"/>
      <c r="X111" s="53"/>
      <c r="Y111" s="53"/>
      <c r="Z111" s="53"/>
      <c r="AB111" s="421"/>
    </row>
    <row r="112" spans="1:28" ht="15.75" thickBot="1">
      <c r="A112" s="41" t="s">
        <v>695</v>
      </c>
      <c r="B112" s="42" t="s">
        <v>816</v>
      </c>
      <c r="C112" s="50">
        <v>0</v>
      </c>
      <c r="D112" s="73">
        <v>0</v>
      </c>
      <c r="E112" s="73">
        <v>0</v>
      </c>
      <c r="F112" s="73">
        <v>0</v>
      </c>
      <c r="G112" s="73">
        <v>0</v>
      </c>
      <c r="H112" s="73">
        <v>0</v>
      </c>
      <c r="I112" s="74">
        <v>0</v>
      </c>
      <c r="J112" s="73">
        <v>0</v>
      </c>
      <c r="K112" s="73">
        <v>0</v>
      </c>
      <c r="L112" s="51">
        <v>0</v>
      </c>
      <c r="M112" s="51">
        <v>0</v>
      </c>
      <c r="N112" s="50">
        <v>0</v>
      </c>
      <c r="O112" s="51">
        <v>0.75</v>
      </c>
      <c r="P112" s="51">
        <v>1.5</v>
      </c>
      <c r="Q112" s="51">
        <v>2.25</v>
      </c>
      <c r="R112" s="50">
        <v>3</v>
      </c>
      <c r="S112" s="51">
        <v>4.166666666666667</v>
      </c>
      <c r="T112" s="51">
        <v>5.3333333333333339</v>
      </c>
      <c r="U112" s="51">
        <v>6.5000000000000009</v>
      </c>
      <c r="V112" s="51">
        <v>7.6666666666666679</v>
      </c>
      <c r="W112" s="51">
        <v>8.8333333333333339</v>
      </c>
      <c r="X112" s="51">
        <v>10</v>
      </c>
      <c r="Y112" s="50">
        <v>10</v>
      </c>
      <c r="Z112" s="51">
        <v>10</v>
      </c>
      <c r="AA112" s="38">
        <v>20</v>
      </c>
      <c r="AB112" s="420">
        <v>0.8</v>
      </c>
    </row>
    <row r="113" spans="1:28" s="49" customFormat="1" ht="15.75" thickBot="1">
      <c r="A113" s="45"/>
      <c r="B113" s="46" t="s">
        <v>817</v>
      </c>
      <c r="C113" s="71">
        <v>0</v>
      </c>
      <c r="D113" s="76">
        <v>0</v>
      </c>
      <c r="E113" s="77">
        <v>0</v>
      </c>
      <c r="F113" s="77">
        <v>0</v>
      </c>
      <c r="G113" s="77">
        <v>0</v>
      </c>
      <c r="H113" s="77">
        <v>0</v>
      </c>
      <c r="I113" s="77">
        <v>0</v>
      </c>
      <c r="J113" s="77">
        <v>0</v>
      </c>
      <c r="K113" s="77">
        <v>0</v>
      </c>
      <c r="L113" s="77">
        <v>0</v>
      </c>
      <c r="M113" s="77">
        <v>0</v>
      </c>
      <c r="N113" s="425">
        <v>1</v>
      </c>
      <c r="O113" s="426">
        <v>1</v>
      </c>
      <c r="P113" s="426">
        <v>1</v>
      </c>
      <c r="Q113" s="426">
        <v>1</v>
      </c>
      <c r="R113" s="77">
        <v>3</v>
      </c>
      <c r="S113" s="77">
        <v>5</v>
      </c>
      <c r="T113" s="77">
        <v>6</v>
      </c>
      <c r="U113" s="77">
        <v>9</v>
      </c>
      <c r="V113" s="78">
        <v>9</v>
      </c>
      <c r="W113" s="72">
        <v>11</v>
      </c>
      <c r="X113" s="70">
        <v>16</v>
      </c>
      <c r="Y113" s="70">
        <v>0</v>
      </c>
      <c r="Z113" s="70">
        <v>0</v>
      </c>
      <c r="AA113" s="429"/>
      <c r="AB113" s="430"/>
    </row>
    <row r="114" spans="1:28" s="49" customFormat="1">
      <c r="A114" s="45"/>
      <c r="B114" s="46"/>
      <c r="C114" s="53"/>
      <c r="D114" s="75"/>
      <c r="E114" s="75"/>
      <c r="F114" s="75"/>
      <c r="G114" s="75"/>
      <c r="H114" s="75"/>
      <c r="I114" s="75"/>
      <c r="J114" s="75"/>
      <c r="K114" s="75"/>
      <c r="L114" s="53"/>
      <c r="M114" s="53"/>
      <c r="N114" s="53"/>
      <c r="O114" s="53"/>
      <c r="P114" s="53"/>
      <c r="Q114" s="53"/>
      <c r="R114" s="53"/>
      <c r="S114" s="53"/>
      <c r="T114" s="53"/>
      <c r="U114" s="53"/>
      <c r="V114" s="53"/>
      <c r="W114" s="53"/>
      <c r="X114" s="53"/>
      <c r="Y114" s="53"/>
      <c r="Z114" s="53"/>
      <c r="AA114" s="429"/>
      <c r="AB114" s="430"/>
    </row>
    <row r="115" spans="1:28" ht="15.75" thickBot="1">
      <c r="A115" s="41" t="s">
        <v>696</v>
      </c>
      <c r="B115" s="42" t="s">
        <v>818</v>
      </c>
      <c r="C115" s="52"/>
      <c r="D115" s="52"/>
      <c r="E115" s="52"/>
      <c r="F115" s="52"/>
      <c r="G115" s="52"/>
      <c r="H115" s="52"/>
      <c r="I115" s="52"/>
      <c r="J115" s="52"/>
      <c r="K115" s="52"/>
      <c r="L115" s="52"/>
      <c r="M115" s="52"/>
      <c r="N115" s="52"/>
      <c r="O115" s="52"/>
      <c r="P115" s="52"/>
      <c r="Q115" s="52"/>
      <c r="R115" s="50">
        <v>2</v>
      </c>
      <c r="S115" s="51">
        <v>2.5</v>
      </c>
      <c r="T115" s="51">
        <v>3</v>
      </c>
      <c r="U115" s="51">
        <v>3.5</v>
      </c>
      <c r="V115" s="51">
        <v>4</v>
      </c>
      <c r="W115" s="51">
        <v>4.5</v>
      </c>
      <c r="X115" s="51">
        <v>5</v>
      </c>
      <c r="Y115" s="50">
        <v>5</v>
      </c>
      <c r="Z115" s="51">
        <v>5</v>
      </c>
      <c r="AA115" s="38">
        <v>20</v>
      </c>
      <c r="AB115" s="420">
        <v>0.8</v>
      </c>
    </row>
    <row r="116" spans="1:28" s="49" customFormat="1" ht="15.75" thickBot="1">
      <c r="A116" s="45"/>
      <c r="B116" s="46" t="s">
        <v>819</v>
      </c>
      <c r="C116" s="52"/>
      <c r="D116" s="52"/>
      <c r="E116" s="52"/>
      <c r="F116" s="52"/>
      <c r="G116" s="52"/>
      <c r="H116" s="52"/>
      <c r="I116" s="52"/>
      <c r="J116" s="52"/>
      <c r="K116" s="52"/>
      <c r="L116" s="52"/>
      <c r="M116" s="52"/>
      <c r="N116" s="52"/>
      <c r="O116" s="52"/>
      <c r="P116" s="52"/>
      <c r="Q116" s="52"/>
      <c r="R116" s="52">
        <v>2</v>
      </c>
      <c r="S116" s="77">
        <v>2</v>
      </c>
      <c r="T116" s="77">
        <v>5</v>
      </c>
      <c r="U116" s="77">
        <v>6</v>
      </c>
      <c r="V116" s="78">
        <v>9</v>
      </c>
      <c r="W116" s="72">
        <v>9</v>
      </c>
      <c r="X116" s="70">
        <v>14</v>
      </c>
      <c r="Y116" s="70">
        <v>0</v>
      </c>
      <c r="Z116" s="70">
        <v>0</v>
      </c>
      <c r="AB116" s="421"/>
    </row>
    <row r="117" spans="1:28" s="49" customFormat="1">
      <c r="A117" s="45"/>
      <c r="B117" s="46"/>
      <c r="C117" s="53"/>
      <c r="D117" s="75"/>
      <c r="E117" s="75"/>
      <c r="F117" s="75"/>
      <c r="G117" s="75"/>
      <c r="H117" s="75"/>
      <c r="I117" s="75"/>
      <c r="J117" s="75"/>
      <c r="K117" s="75"/>
      <c r="L117" s="53"/>
      <c r="M117" s="53"/>
      <c r="N117" s="53"/>
      <c r="O117" s="53"/>
      <c r="P117" s="53"/>
      <c r="Q117" s="53"/>
      <c r="R117" s="53"/>
      <c r="S117" s="53"/>
      <c r="T117" s="53"/>
      <c r="U117" s="53"/>
      <c r="V117" s="53"/>
      <c r="W117" s="53"/>
      <c r="X117" s="53"/>
      <c r="Y117" s="53"/>
      <c r="Z117" s="53"/>
      <c r="AB117" s="421"/>
    </row>
    <row r="118" spans="1:28" ht="15.75" thickBot="1">
      <c r="A118" s="41" t="s">
        <v>697</v>
      </c>
      <c r="B118" s="42" t="s">
        <v>820</v>
      </c>
      <c r="C118" s="52"/>
      <c r="D118" s="52"/>
      <c r="E118" s="52"/>
      <c r="F118" s="52"/>
      <c r="G118" s="52"/>
      <c r="H118" s="52"/>
      <c r="I118" s="52"/>
      <c r="J118" s="52"/>
      <c r="K118" s="52"/>
      <c r="L118" s="52"/>
      <c r="M118" s="52"/>
      <c r="N118" s="52"/>
      <c r="O118" s="52"/>
      <c r="P118" s="52"/>
      <c r="Q118" s="52"/>
      <c r="R118" s="50">
        <v>1</v>
      </c>
      <c r="S118" s="51">
        <v>1.1666666666666667</v>
      </c>
      <c r="T118" s="51">
        <v>1.3333333333333335</v>
      </c>
      <c r="U118" s="51">
        <v>1.5000000000000002</v>
      </c>
      <c r="V118" s="51">
        <v>1.666666666666667</v>
      </c>
      <c r="W118" s="51">
        <v>4.333333333333333</v>
      </c>
      <c r="X118" s="51">
        <v>5</v>
      </c>
      <c r="Y118" s="50">
        <v>5</v>
      </c>
      <c r="Z118" s="51">
        <v>5</v>
      </c>
      <c r="AA118" s="38">
        <v>10</v>
      </c>
      <c r="AB118" s="420">
        <v>0.4</v>
      </c>
    </row>
    <row r="119" spans="1:28" s="49" customFormat="1" ht="15.75" thickBot="1">
      <c r="A119" s="45"/>
      <c r="B119" s="46" t="s">
        <v>821</v>
      </c>
      <c r="C119" s="52"/>
      <c r="D119" s="52"/>
      <c r="E119" s="52"/>
      <c r="F119" s="52"/>
      <c r="G119" s="52"/>
      <c r="H119" s="52"/>
      <c r="I119" s="52"/>
      <c r="J119" s="52"/>
      <c r="K119" s="52"/>
      <c r="L119" s="52"/>
      <c r="M119" s="52"/>
      <c r="N119" s="52"/>
      <c r="O119" s="52"/>
      <c r="P119" s="52"/>
      <c r="Q119" s="52"/>
      <c r="R119" s="52">
        <v>1</v>
      </c>
      <c r="S119" s="77">
        <v>1</v>
      </c>
      <c r="T119" s="77">
        <v>1</v>
      </c>
      <c r="U119" s="77">
        <v>1</v>
      </c>
      <c r="V119" s="78">
        <v>9</v>
      </c>
      <c r="W119" s="72">
        <v>9</v>
      </c>
      <c r="X119" s="70">
        <v>12</v>
      </c>
      <c r="Y119" s="70">
        <v>0</v>
      </c>
      <c r="Z119" s="70">
        <v>0</v>
      </c>
      <c r="AB119" s="421"/>
    </row>
    <row r="120" spans="1:28" s="49" customFormat="1">
      <c r="A120" s="45"/>
      <c r="B120" s="46"/>
      <c r="C120" s="53"/>
      <c r="D120" s="75"/>
      <c r="E120" s="75"/>
      <c r="F120" s="75"/>
      <c r="G120" s="75"/>
      <c r="H120" s="75"/>
      <c r="I120" s="75"/>
      <c r="J120" s="75"/>
      <c r="K120" s="75"/>
      <c r="L120" s="53"/>
      <c r="M120" s="53"/>
      <c r="N120" s="53"/>
      <c r="O120" s="53"/>
      <c r="P120" s="53"/>
      <c r="Q120" s="53"/>
      <c r="R120" s="53"/>
      <c r="S120" s="53"/>
      <c r="T120" s="53"/>
      <c r="U120" s="53"/>
      <c r="V120" s="53"/>
      <c r="W120" s="53"/>
      <c r="X120" s="53"/>
      <c r="Y120" s="53"/>
      <c r="Z120" s="53"/>
      <c r="AB120" s="421"/>
    </row>
    <row r="121" spans="1:28" ht="15.75" thickBot="1">
      <c r="A121" s="41" t="s">
        <v>698</v>
      </c>
      <c r="B121" s="42" t="s">
        <v>822</v>
      </c>
      <c r="C121" s="52"/>
      <c r="D121" s="52"/>
      <c r="E121" s="52"/>
      <c r="F121" s="52"/>
      <c r="G121" s="52"/>
      <c r="H121" s="52"/>
      <c r="I121" s="52"/>
      <c r="J121" s="52"/>
      <c r="K121" s="52"/>
      <c r="L121" s="52"/>
      <c r="M121" s="52"/>
      <c r="N121" s="52"/>
      <c r="O121" s="52"/>
      <c r="P121" s="52"/>
      <c r="Q121" s="52"/>
      <c r="R121" s="50">
        <v>0</v>
      </c>
      <c r="S121" s="51">
        <v>0.16666666666666666</v>
      </c>
      <c r="T121" s="51">
        <v>0.33333333333333331</v>
      </c>
      <c r="U121" s="51">
        <v>0.5</v>
      </c>
      <c r="V121" s="51">
        <v>0.66666666666666663</v>
      </c>
      <c r="W121" s="51">
        <v>4.166666666666667</v>
      </c>
      <c r="X121" s="51">
        <v>5</v>
      </c>
      <c r="Y121" s="50">
        <v>5</v>
      </c>
      <c r="Z121" s="51">
        <v>5</v>
      </c>
      <c r="AA121" s="38">
        <v>10</v>
      </c>
      <c r="AB121" s="420">
        <v>0.4</v>
      </c>
    </row>
    <row r="122" spans="1:28" s="49" customFormat="1" ht="15.75" thickBot="1">
      <c r="A122" s="45"/>
      <c r="B122" s="46" t="s">
        <v>823</v>
      </c>
      <c r="C122" s="52"/>
      <c r="D122" s="52"/>
      <c r="E122" s="52"/>
      <c r="F122" s="52"/>
      <c r="G122" s="52"/>
      <c r="H122" s="52"/>
      <c r="I122" s="52"/>
      <c r="J122" s="52"/>
      <c r="K122" s="52"/>
      <c r="L122" s="52"/>
      <c r="M122" s="52"/>
      <c r="N122" s="52"/>
      <c r="O122" s="52"/>
      <c r="P122" s="52"/>
      <c r="Q122" s="52"/>
      <c r="R122" s="52">
        <v>0</v>
      </c>
      <c r="S122" s="77">
        <v>0</v>
      </c>
      <c r="T122" s="77">
        <v>0</v>
      </c>
      <c r="U122" s="77">
        <v>1</v>
      </c>
      <c r="V122" s="78">
        <v>6</v>
      </c>
      <c r="W122" s="72">
        <v>7</v>
      </c>
      <c r="X122" s="70">
        <v>10</v>
      </c>
      <c r="Y122" s="70">
        <v>0</v>
      </c>
      <c r="Z122" s="70">
        <v>0</v>
      </c>
      <c r="AB122" s="421"/>
    </row>
    <row r="123" spans="1:28" s="49" customFormat="1">
      <c r="A123" s="45"/>
      <c r="B123" s="46"/>
      <c r="C123" s="53"/>
      <c r="D123" s="75"/>
      <c r="E123" s="75"/>
      <c r="F123" s="75"/>
      <c r="G123" s="75"/>
      <c r="H123" s="75"/>
      <c r="I123" s="75"/>
      <c r="J123" s="75"/>
      <c r="K123" s="75"/>
      <c r="L123" s="53"/>
      <c r="M123" s="53"/>
      <c r="N123" s="53"/>
      <c r="O123" s="53"/>
      <c r="P123" s="53"/>
      <c r="Q123" s="53"/>
      <c r="R123" s="53"/>
      <c r="S123" s="53"/>
      <c r="T123" s="53"/>
      <c r="U123" s="53"/>
      <c r="V123" s="53"/>
      <c r="W123" s="53"/>
      <c r="X123" s="53"/>
      <c r="Y123" s="53"/>
      <c r="Z123" s="53"/>
      <c r="AB123" s="421"/>
    </row>
    <row r="124" spans="1:28" ht="15.75" thickBot="1">
      <c r="A124" s="41" t="s">
        <v>699</v>
      </c>
      <c r="B124" s="42" t="s">
        <v>202</v>
      </c>
      <c r="C124" s="50">
        <v>0</v>
      </c>
      <c r="D124" s="73">
        <v>0</v>
      </c>
      <c r="E124" s="73">
        <v>0</v>
      </c>
      <c r="F124" s="73">
        <v>0</v>
      </c>
      <c r="G124" s="73">
        <v>0</v>
      </c>
      <c r="H124" s="73">
        <v>0</v>
      </c>
      <c r="I124" s="74">
        <v>0</v>
      </c>
      <c r="J124" s="73">
        <v>0</v>
      </c>
      <c r="K124" s="73">
        <v>0</v>
      </c>
      <c r="L124" s="51">
        <v>0</v>
      </c>
      <c r="M124" s="51">
        <v>0</v>
      </c>
      <c r="N124" s="50">
        <v>0</v>
      </c>
      <c r="O124" s="51">
        <v>0</v>
      </c>
      <c r="P124" s="51">
        <v>0</v>
      </c>
      <c r="Q124" s="51">
        <v>0</v>
      </c>
      <c r="R124" s="50">
        <v>0</v>
      </c>
      <c r="S124" s="51">
        <v>1</v>
      </c>
      <c r="T124" s="51">
        <v>2</v>
      </c>
      <c r="U124" s="51">
        <v>3</v>
      </c>
      <c r="V124" s="51">
        <v>4</v>
      </c>
      <c r="W124" s="51">
        <v>5</v>
      </c>
      <c r="X124" s="51">
        <v>6</v>
      </c>
      <c r="Y124" s="50">
        <v>6</v>
      </c>
      <c r="Z124" s="51">
        <v>6</v>
      </c>
      <c r="AA124" s="38">
        <v>10</v>
      </c>
      <c r="AB124" s="420">
        <v>0.4</v>
      </c>
    </row>
    <row r="125" spans="1:28" s="49" customFormat="1" ht="15.75" thickBot="1">
      <c r="A125" s="45"/>
      <c r="B125" s="46" t="s">
        <v>203</v>
      </c>
      <c r="C125" s="71">
        <v>0</v>
      </c>
      <c r="D125" s="76">
        <v>0</v>
      </c>
      <c r="E125" s="77">
        <v>0</v>
      </c>
      <c r="F125" s="77">
        <v>0</v>
      </c>
      <c r="G125" s="77">
        <v>0</v>
      </c>
      <c r="H125" s="77">
        <v>0</v>
      </c>
      <c r="I125" s="77">
        <v>0</v>
      </c>
      <c r="J125" s="77">
        <v>0</v>
      </c>
      <c r="K125" s="77">
        <v>0</v>
      </c>
      <c r="L125" s="77">
        <v>0</v>
      </c>
      <c r="M125" s="77">
        <v>0</v>
      </c>
      <c r="N125" s="77">
        <v>0</v>
      </c>
      <c r="O125" s="77">
        <v>0</v>
      </c>
      <c r="P125" s="77">
        <v>1</v>
      </c>
      <c r="Q125" s="77">
        <v>1</v>
      </c>
      <c r="R125" s="77">
        <v>2</v>
      </c>
      <c r="S125" s="77">
        <v>2</v>
      </c>
      <c r="T125" s="77">
        <v>2</v>
      </c>
      <c r="U125" s="77">
        <v>3</v>
      </c>
      <c r="V125" s="78">
        <v>5</v>
      </c>
      <c r="W125" s="72">
        <v>7</v>
      </c>
      <c r="X125" s="70">
        <v>9</v>
      </c>
      <c r="Y125" s="70">
        <v>0</v>
      </c>
      <c r="Z125" s="70">
        <v>0</v>
      </c>
      <c r="AB125" s="421"/>
    </row>
    <row r="126" spans="1:28">
      <c r="B126" s="46"/>
      <c r="AB126" s="420"/>
    </row>
    <row r="127" spans="1:28" ht="15.75" thickBot="1">
      <c r="A127" s="41" t="s">
        <v>700</v>
      </c>
      <c r="B127" s="42" t="s">
        <v>213</v>
      </c>
      <c r="C127" s="52"/>
      <c r="D127" s="52"/>
      <c r="E127" s="52"/>
      <c r="F127" s="52"/>
      <c r="G127" s="52"/>
      <c r="H127" s="52"/>
      <c r="I127" s="52"/>
      <c r="J127" s="52"/>
      <c r="K127" s="52"/>
      <c r="L127" s="52"/>
      <c r="M127" s="52"/>
      <c r="N127" s="52"/>
      <c r="O127" s="52"/>
      <c r="P127" s="52"/>
      <c r="Q127" s="52"/>
      <c r="R127" s="50">
        <v>1</v>
      </c>
      <c r="S127" s="51">
        <v>1.5</v>
      </c>
      <c r="T127" s="51">
        <v>2</v>
      </c>
      <c r="U127" s="51">
        <v>2.5</v>
      </c>
      <c r="V127" s="51">
        <v>3</v>
      </c>
      <c r="W127" s="51">
        <v>3.5</v>
      </c>
      <c r="X127" s="51">
        <v>4</v>
      </c>
      <c r="Y127" s="50">
        <v>4</v>
      </c>
      <c r="Z127" s="51">
        <v>4</v>
      </c>
      <c r="AA127" s="38">
        <v>10</v>
      </c>
      <c r="AB127" s="420">
        <v>0.4</v>
      </c>
    </row>
    <row r="128" spans="1:28" s="49" customFormat="1" ht="15.75" thickBot="1">
      <c r="A128" s="45"/>
      <c r="B128" s="46" t="s">
        <v>212</v>
      </c>
      <c r="C128" s="52"/>
      <c r="D128" s="52"/>
      <c r="E128" s="52"/>
      <c r="F128" s="52"/>
      <c r="G128" s="52"/>
      <c r="H128" s="52"/>
      <c r="I128" s="52"/>
      <c r="J128" s="52"/>
      <c r="K128" s="52"/>
      <c r="L128" s="52"/>
      <c r="M128" s="52"/>
      <c r="N128" s="52"/>
      <c r="O128" s="52"/>
      <c r="P128" s="52"/>
      <c r="Q128" s="52"/>
      <c r="R128" s="52">
        <v>1</v>
      </c>
      <c r="S128" s="77">
        <v>2</v>
      </c>
      <c r="T128" s="77">
        <v>2</v>
      </c>
      <c r="U128" s="77">
        <v>2</v>
      </c>
      <c r="V128" s="78">
        <v>4</v>
      </c>
      <c r="W128" s="72">
        <v>5</v>
      </c>
      <c r="X128" s="70">
        <v>7</v>
      </c>
      <c r="Y128" s="70">
        <v>0</v>
      </c>
      <c r="Z128" s="70">
        <v>0</v>
      </c>
      <c r="AB128" s="421"/>
    </row>
    <row r="129" spans="1:28" s="49" customFormat="1">
      <c r="A129" s="45"/>
      <c r="B129" s="46"/>
      <c r="C129" s="53"/>
      <c r="D129" s="75"/>
      <c r="E129" s="75"/>
      <c r="F129" s="75"/>
      <c r="G129" s="75"/>
      <c r="H129" s="75"/>
      <c r="I129" s="75"/>
      <c r="J129" s="75"/>
      <c r="K129" s="75"/>
      <c r="L129" s="53"/>
      <c r="M129" s="53"/>
      <c r="N129" s="53"/>
      <c r="O129" s="53"/>
      <c r="P129" s="53"/>
      <c r="Q129" s="53"/>
      <c r="R129" s="53"/>
      <c r="S129" s="53"/>
      <c r="T129" s="53"/>
      <c r="U129" s="53"/>
      <c r="V129" s="53"/>
      <c r="W129" s="53"/>
      <c r="X129" s="53"/>
      <c r="Y129" s="53"/>
      <c r="Z129" s="53"/>
      <c r="AB129" s="421"/>
    </row>
    <row r="130" spans="1:28" ht="15.75" thickBot="1">
      <c r="A130" s="41" t="s">
        <v>701</v>
      </c>
      <c r="B130" s="42" t="s">
        <v>211</v>
      </c>
      <c r="C130" s="52"/>
      <c r="D130" s="52"/>
      <c r="E130" s="52"/>
      <c r="F130" s="52"/>
      <c r="G130" s="52"/>
      <c r="H130" s="52"/>
      <c r="I130" s="52"/>
      <c r="J130" s="52"/>
      <c r="K130" s="52"/>
      <c r="L130" s="52"/>
      <c r="M130" s="52"/>
      <c r="N130" s="52"/>
      <c r="O130" s="52"/>
      <c r="P130" s="52"/>
      <c r="Q130" s="52"/>
      <c r="R130" s="50">
        <v>0</v>
      </c>
      <c r="S130" s="51">
        <v>0.33333333333333331</v>
      </c>
      <c r="T130" s="51">
        <v>0.66666666666666663</v>
      </c>
      <c r="U130" s="51">
        <v>1</v>
      </c>
      <c r="V130" s="51">
        <v>1.3333333333333333</v>
      </c>
      <c r="W130" s="51">
        <v>2.5</v>
      </c>
      <c r="X130" s="51">
        <v>3</v>
      </c>
      <c r="Y130" s="50">
        <v>3</v>
      </c>
      <c r="Z130" s="51">
        <v>3</v>
      </c>
      <c r="AA130" s="38">
        <v>5</v>
      </c>
      <c r="AB130" s="420">
        <v>0.2</v>
      </c>
    </row>
    <row r="131" spans="1:28" s="49" customFormat="1" ht="15.75" thickBot="1">
      <c r="A131" s="45"/>
      <c r="B131" s="46" t="s">
        <v>210</v>
      </c>
      <c r="C131" s="52"/>
      <c r="D131" s="52"/>
      <c r="E131" s="52"/>
      <c r="F131" s="52"/>
      <c r="G131" s="52"/>
      <c r="H131" s="52"/>
      <c r="I131" s="52"/>
      <c r="J131" s="52"/>
      <c r="K131" s="52"/>
      <c r="L131" s="52"/>
      <c r="M131" s="52"/>
      <c r="N131" s="52"/>
      <c r="O131" s="52"/>
      <c r="P131" s="52"/>
      <c r="Q131" s="52"/>
      <c r="R131" s="52">
        <v>0</v>
      </c>
      <c r="S131" s="77">
        <v>0</v>
      </c>
      <c r="T131" s="77">
        <v>0</v>
      </c>
      <c r="U131" s="77">
        <v>0</v>
      </c>
      <c r="V131" s="78">
        <v>4</v>
      </c>
      <c r="W131" s="72">
        <v>4</v>
      </c>
      <c r="X131" s="70">
        <v>6</v>
      </c>
      <c r="Y131" s="70">
        <v>0</v>
      </c>
      <c r="Z131" s="70">
        <v>0</v>
      </c>
      <c r="AB131" s="421"/>
    </row>
    <row r="132" spans="1:28" s="49" customFormat="1">
      <c r="A132" s="45"/>
      <c r="B132" s="46"/>
      <c r="C132" s="53"/>
      <c r="D132" s="75"/>
      <c r="E132" s="75"/>
      <c r="F132" s="75"/>
      <c r="G132" s="75"/>
      <c r="H132" s="75"/>
      <c r="I132" s="75"/>
      <c r="J132" s="75"/>
      <c r="K132" s="75"/>
      <c r="L132" s="53"/>
      <c r="M132" s="53"/>
      <c r="N132" s="53"/>
      <c r="O132" s="53"/>
      <c r="P132" s="53"/>
      <c r="Q132" s="53"/>
      <c r="R132" s="53"/>
      <c r="S132" s="53"/>
      <c r="T132" s="53"/>
      <c r="U132" s="53"/>
      <c r="V132" s="53"/>
      <c r="W132" s="53"/>
      <c r="X132" s="53"/>
      <c r="Y132" s="53"/>
      <c r="Z132" s="53"/>
      <c r="AB132" s="421"/>
    </row>
    <row r="133" spans="1:28" ht="15.75" thickBot="1">
      <c r="A133" s="41" t="s">
        <v>702</v>
      </c>
      <c r="B133" s="42" t="s">
        <v>209</v>
      </c>
      <c r="C133" s="52"/>
      <c r="D133" s="52"/>
      <c r="E133" s="52"/>
      <c r="F133" s="52"/>
      <c r="G133" s="52"/>
      <c r="H133" s="52"/>
      <c r="I133" s="52"/>
      <c r="J133" s="52"/>
      <c r="K133" s="52"/>
      <c r="L133" s="52"/>
      <c r="M133" s="52"/>
      <c r="N133" s="52"/>
      <c r="O133" s="52"/>
      <c r="P133" s="52"/>
      <c r="Q133" s="52"/>
      <c r="R133" s="50">
        <v>0</v>
      </c>
      <c r="S133" s="51">
        <v>0</v>
      </c>
      <c r="T133" s="51">
        <v>0</v>
      </c>
      <c r="U133" s="51">
        <v>0</v>
      </c>
      <c r="V133" s="51">
        <v>0</v>
      </c>
      <c r="W133" s="51">
        <v>2.5</v>
      </c>
      <c r="X133" s="51">
        <v>3</v>
      </c>
      <c r="Y133" s="50">
        <v>3</v>
      </c>
      <c r="Z133" s="51">
        <v>3</v>
      </c>
      <c r="AA133" s="38">
        <v>5</v>
      </c>
      <c r="AB133" s="420">
        <v>0.2</v>
      </c>
    </row>
    <row r="134" spans="1:28" s="49" customFormat="1" ht="15.75" thickBot="1">
      <c r="A134" s="45"/>
      <c r="B134" s="46" t="s">
        <v>208</v>
      </c>
      <c r="C134" s="52"/>
      <c r="D134" s="52"/>
      <c r="E134" s="52"/>
      <c r="F134" s="52"/>
      <c r="G134" s="52"/>
      <c r="H134" s="52"/>
      <c r="I134" s="52"/>
      <c r="J134" s="52"/>
      <c r="K134" s="52"/>
      <c r="L134" s="52"/>
      <c r="M134" s="52"/>
      <c r="N134" s="52"/>
      <c r="O134" s="52"/>
      <c r="P134" s="52"/>
      <c r="Q134" s="52"/>
      <c r="R134" s="52">
        <v>0</v>
      </c>
      <c r="S134" s="77">
        <v>0</v>
      </c>
      <c r="T134" s="77">
        <v>0</v>
      </c>
      <c r="U134" s="77">
        <v>0</v>
      </c>
      <c r="V134" s="78">
        <v>3</v>
      </c>
      <c r="W134" s="72">
        <v>3</v>
      </c>
      <c r="X134" s="70">
        <v>5</v>
      </c>
      <c r="Y134" s="70">
        <v>0</v>
      </c>
      <c r="Z134" s="70">
        <v>0</v>
      </c>
      <c r="AB134" s="421"/>
    </row>
    <row r="135" spans="1:28" s="49" customFormat="1">
      <c r="A135" s="45"/>
      <c r="B135" s="46"/>
      <c r="C135" s="53"/>
      <c r="D135" s="75"/>
      <c r="E135" s="75"/>
      <c r="F135" s="75"/>
      <c r="G135" s="75"/>
      <c r="H135" s="75"/>
      <c r="I135" s="75"/>
      <c r="J135" s="75"/>
      <c r="K135" s="75"/>
      <c r="L135" s="53"/>
      <c r="M135" s="53"/>
      <c r="N135" s="53"/>
      <c r="O135" s="53"/>
      <c r="P135" s="53"/>
      <c r="Q135" s="53"/>
      <c r="R135" s="53"/>
      <c r="S135" s="53"/>
      <c r="T135" s="53"/>
      <c r="U135" s="53"/>
      <c r="V135" s="53"/>
      <c r="W135" s="53"/>
      <c r="X135" s="53"/>
      <c r="Y135" s="53"/>
      <c r="Z135" s="53"/>
      <c r="AB135" s="421"/>
    </row>
    <row r="136" spans="1:28" ht="15.75" thickBot="1">
      <c r="A136" s="41" t="s">
        <v>703</v>
      </c>
      <c r="B136" s="42" t="s">
        <v>824</v>
      </c>
      <c r="C136" s="52"/>
      <c r="D136" s="52"/>
      <c r="E136" s="52"/>
      <c r="F136" s="52"/>
      <c r="G136" s="52"/>
      <c r="H136" s="52"/>
      <c r="I136" s="52"/>
      <c r="J136" s="52"/>
      <c r="K136" s="52"/>
      <c r="L136" s="52"/>
      <c r="M136" s="52"/>
      <c r="N136" s="52"/>
      <c r="O136" s="52"/>
      <c r="P136" s="52"/>
      <c r="Q136" s="52"/>
      <c r="R136" s="50">
        <v>2</v>
      </c>
      <c r="S136" s="51">
        <v>2.1666666666666665</v>
      </c>
      <c r="T136" s="51">
        <v>2.333333333333333</v>
      </c>
      <c r="U136" s="51">
        <v>2.4999999999999996</v>
      </c>
      <c r="V136" s="51">
        <v>2.6666666666666661</v>
      </c>
      <c r="W136" s="51">
        <v>2.8333333333333326</v>
      </c>
      <c r="X136" s="51">
        <v>2.9999999999999991</v>
      </c>
      <c r="Y136" s="50">
        <v>3</v>
      </c>
      <c r="Z136" s="51">
        <v>3</v>
      </c>
      <c r="AA136" s="38">
        <v>10</v>
      </c>
      <c r="AB136" s="420">
        <v>0.4</v>
      </c>
    </row>
    <row r="137" spans="1:28" s="49" customFormat="1" ht="15.75" thickBot="1">
      <c r="A137" s="45"/>
      <c r="B137" s="46" t="s">
        <v>825</v>
      </c>
      <c r="C137" s="52"/>
      <c r="D137" s="52"/>
      <c r="E137" s="52"/>
      <c r="F137" s="52"/>
      <c r="G137" s="52"/>
      <c r="H137" s="52"/>
      <c r="I137" s="52"/>
      <c r="J137" s="52"/>
      <c r="K137" s="52"/>
      <c r="L137" s="52"/>
      <c r="M137" s="52"/>
      <c r="N137" s="52"/>
      <c r="O137" s="52"/>
      <c r="P137" s="52"/>
      <c r="Q137" s="52"/>
      <c r="R137" s="52">
        <v>2</v>
      </c>
      <c r="S137" s="77">
        <v>2</v>
      </c>
      <c r="T137" s="77">
        <v>3</v>
      </c>
      <c r="U137" s="77">
        <v>3</v>
      </c>
      <c r="V137" s="78">
        <v>3</v>
      </c>
      <c r="W137" s="72">
        <v>4</v>
      </c>
      <c r="X137" s="70">
        <v>4</v>
      </c>
      <c r="Y137" s="70">
        <v>0</v>
      </c>
      <c r="Z137" s="70">
        <v>0</v>
      </c>
      <c r="AB137" s="421"/>
    </row>
    <row r="138" spans="1:28">
      <c r="AB138" s="420"/>
    </row>
    <row r="139" spans="1:28" ht="15.75" thickBot="1">
      <c r="A139" s="41" t="s">
        <v>704</v>
      </c>
      <c r="B139" s="42" t="s">
        <v>826</v>
      </c>
      <c r="C139" s="52"/>
      <c r="D139" s="52"/>
      <c r="E139" s="52"/>
      <c r="F139" s="52"/>
      <c r="G139" s="52"/>
      <c r="H139" s="52"/>
      <c r="I139" s="52"/>
      <c r="J139" s="52"/>
      <c r="K139" s="52"/>
      <c r="L139" s="52"/>
      <c r="M139" s="52"/>
      <c r="N139" s="52"/>
      <c r="O139" s="52"/>
      <c r="P139" s="52"/>
      <c r="Q139" s="52"/>
      <c r="R139" s="50">
        <v>0</v>
      </c>
      <c r="S139" s="51">
        <v>0.33333333333333331</v>
      </c>
      <c r="T139" s="51">
        <v>0.66666666666666663</v>
      </c>
      <c r="U139" s="51">
        <v>1</v>
      </c>
      <c r="V139" s="51">
        <v>1.3333333333333333</v>
      </c>
      <c r="W139" s="51">
        <v>1.6666666666666665</v>
      </c>
      <c r="X139" s="51">
        <v>1.9999999999999998</v>
      </c>
      <c r="Y139" s="50">
        <v>2</v>
      </c>
      <c r="Z139" s="51">
        <v>2</v>
      </c>
      <c r="AA139" s="38">
        <v>10</v>
      </c>
      <c r="AB139" s="420">
        <v>0.4</v>
      </c>
    </row>
    <row r="140" spans="1:28" s="49" customFormat="1" ht="15.75" thickBot="1">
      <c r="A140" s="45"/>
      <c r="B140" s="46" t="s">
        <v>827</v>
      </c>
      <c r="C140" s="52"/>
      <c r="D140" s="52"/>
      <c r="E140" s="52"/>
      <c r="F140" s="52"/>
      <c r="G140" s="52"/>
      <c r="H140" s="52"/>
      <c r="I140" s="52"/>
      <c r="J140" s="52"/>
      <c r="K140" s="52"/>
      <c r="L140" s="52"/>
      <c r="M140" s="52"/>
      <c r="N140" s="52"/>
      <c r="O140" s="52"/>
      <c r="P140" s="52"/>
      <c r="Q140" s="52"/>
      <c r="R140" s="52">
        <v>0</v>
      </c>
      <c r="S140" s="77">
        <v>0</v>
      </c>
      <c r="T140" s="77">
        <v>1</v>
      </c>
      <c r="U140" s="77">
        <v>1</v>
      </c>
      <c r="V140" s="78">
        <v>3</v>
      </c>
      <c r="W140" s="72">
        <v>5</v>
      </c>
      <c r="X140" s="70">
        <v>5</v>
      </c>
      <c r="Y140" s="70">
        <v>0</v>
      </c>
      <c r="Z140" s="70">
        <v>0</v>
      </c>
      <c r="AB140" s="421"/>
    </row>
    <row r="141" spans="1:28" s="49" customFormat="1">
      <c r="A141" s="45"/>
      <c r="B141" s="46"/>
      <c r="C141" s="53"/>
      <c r="D141" s="75"/>
      <c r="E141" s="75"/>
      <c r="F141" s="75"/>
      <c r="G141" s="75"/>
      <c r="H141" s="75"/>
      <c r="I141" s="75"/>
      <c r="J141" s="75"/>
      <c r="K141" s="75"/>
      <c r="L141" s="53"/>
      <c r="M141" s="53"/>
      <c r="N141" s="53"/>
      <c r="O141" s="53"/>
      <c r="P141" s="53"/>
      <c r="Q141" s="53"/>
      <c r="R141" s="53"/>
      <c r="S141" s="53"/>
      <c r="T141" s="53"/>
      <c r="U141" s="53"/>
      <c r="V141" s="53"/>
      <c r="W141" s="53"/>
      <c r="X141" s="53"/>
      <c r="Y141" s="53"/>
      <c r="Z141" s="53"/>
      <c r="AB141" s="421"/>
    </row>
    <row r="142" spans="1:28" ht="15.75" thickBot="1">
      <c r="A142" s="41" t="s">
        <v>705</v>
      </c>
      <c r="B142" s="42" t="s">
        <v>828</v>
      </c>
      <c r="C142" s="52"/>
      <c r="D142" s="52"/>
      <c r="E142" s="52"/>
      <c r="F142" s="52"/>
      <c r="G142" s="52"/>
      <c r="H142" s="52"/>
      <c r="I142" s="52"/>
      <c r="J142" s="52"/>
      <c r="K142" s="52"/>
      <c r="L142" s="52"/>
      <c r="M142" s="52"/>
      <c r="N142" s="52"/>
      <c r="O142" s="52"/>
      <c r="P142" s="52"/>
      <c r="Q142" s="52"/>
      <c r="R142" s="50">
        <v>0</v>
      </c>
      <c r="S142" s="51">
        <v>0.16666666666666666</v>
      </c>
      <c r="T142" s="51">
        <v>0.33333333333333331</v>
      </c>
      <c r="U142" s="51">
        <v>0.5</v>
      </c>
      <c r="V142" s="51">
        <v>0.66666666666666663</v>
      </c>
      <c r="W142" s="51">
        <v>0.83333333333333326</v>
      </c>
      <c r="X142" s="51">
        <v>0.99999999999999989</v>
      </c>
      <c r="Y142" s="50">
        <v>1</v>
      </c>
      <c r="Z142" s="51">
        <v>1</v>
      </c>
      <c r="AA142" s="38">
        <v>5</v>
      </c>
      <c r="AB142" s="420">
        <v>0.2</v>
      </c>
    </row>
    <row r="143" spans="1:28" s="49" customFormat="1" ht="15.75" thickBot="1">
      <c r="A143" s="45"/>
      <c r="B143" s="46" t="s">
        <v>829</v>
      </c>
      <c r="C143" s="52"/>
      <c r="D143" s="52"/>
      <c r="E143" s="52"/>
      <c r="F143" s="52"/>
      <c r="G143" s="52"/>
      <c r="H143" s="52"/>
      <c r="I143" s="52"/>
      <c r="J143" s="52"/>
      <c r="K143" s="52"/>
      <c r="L143" s="52"/>
      <c r="M143" s="52"/>
      <c r="N143" s="52"/>
      <c r="O143" s="52"/>
      <c r="P143" s="52"/>
      <c r="Q143" s="52"/>
      <c r="R143" s="52">
        <v>0</v>
      </c>
      <c r="S143" s="77">
        <v>0</v>
      </c>
      <c r="T143" s="77">
        <v>0</v>
      </c>
      <c r="U143" s="77">
        <v>0</v>
      </c>
      <c r="V143" s="78">
        <v>0</v>
      </c>
      <c r="W143" s="72">
        <v>0</v>
      </c>
      <c r="X143" s="70">
        <v>1</v>
      </c>
      <c r="Y143" s="70">
        <v>0</v>
      </c>
      <c r="Z143" s="70">
        <v>0</v>
      </c>
      <c r="AB143" s="421"/>
    </row>
    <row r="144" spans="1:28" s="49" customFormat="1">
      <c r="A144" s="45"/>
      <c r="B144" s="46"/>
      <c r="C144" s="53"/>
      <c r="D144" s="75"/>
      <c r="E144" s="75"/>
      <c r="F144" s="75"/>
      <c r="G144" s="75"/>
      <c r="H144" s="75"/>
      <c r="I144" s="75"/>
      <c r="J144" s="75"/>
      <c r="K144" s="75"/>
      <c r="L144" s="53"/>
      <c r="M144" s="53"/>
      <c r="N144" s="53"/>
      <c r="O144" s="53"/>
      <c r="P144" s="53"/>
      <c r="Q144" s="53"/>
      <c r="R144" s="53"/>
      <c r="S144" s="53"/>
      <c r="T144" s="53"/>
      <c r="U144" s="53"/>
      <c r="V144" s="53"/>
      <c r="W144" s="53"/>
      <c r="X144" s="53"/>
      <c r="Y144" s="53"/>
      <c r="Z144" s="53"/>
      <c r="AB144" s="421"/>
    </row>
    <row r="145" spans="1:28" ht="15.75" thickBot="1">
      <c r="A145" s="41" t="s">
        <v>706</v>
      </c>
      <c r="B145" s="42" t="s">
        <v>830</v>
      </c>
      <c r="C145" s="52"/>
      <c r="D145" s="52"/>
      <c r="E145" s="52"/>
      <c r="F145" s="52"/>
      <c r="G145" s="52"/>
      <c r="H145" s="52"/>
      <c r="I145" s="52"/>
      <c r="J145" s="52"/>
      <c r="K145" s="52"/>
      <c r="L145" s="52"/>
      <c r="M145" s="52"/>
      <c r="N145" s="52"/>
      <c r="O145" s="52"/>
      <c r="P145" s="52"/>
      <c r="Q145" s="52"/>
      <c r="R145" s="50">
        <v>0</v>
      </c>
      <c r="S145" s="51">
        <v>0</v>
      </c>
      <c r="T145" s="51">
        <v>0</v>
      </c>
      <c r="U145" s="51">
        <v>0</v>
      </c>
      <c r="V145" s="51">
        <v>0</v>
      </c>
      <c r="W145" s="51">
        <v>0</v>
      </c>
      <c r="X145" s="51">
        <v>0</v>
      </c>
      <c r="Y145" s="50">
        <v>0</v>
      </c>
      <c r="Z145" s="51">
        <v>0</v>
      </c>
      <c r="AA145" s="38">
        <v>5</v>
      </c>
      <c r="AB145" s="420">
        <v>0.2</v>
      </c>
    </row>
    <row r="146" spans="1:28" s="49" customFormat="1" ht="15.75" thickBot="1">
      <c r="A146" s="45"/>
      <c r="B146" s="46" t="s">
        <v>831</v>
      </c>
      <c r="C146" s="52"/>
      <c r="D146" s="52"/>
      <c r="E146" s="52"/>
      <c r="F146" s="52"/>
      <c r="G146" s="52"/>
      <c r="H146" s="52"/>
      <c r="I146" s="52"/>
      <c r="J146" s="52"/>
      <c r="K146" s="52"/>
      <c r="L146" s="52"/>
      <c r="M146" s="52"/>
      <c r="N146" s="52"/>
      <c r="O146" s="52"/>
      <c r="P146" s="52"/>
      <c r="Q146" s="52"/>
      <c r="R146" s="52">
        <v>0</v>
      </c>
      <c r="S146" s="77">
        <v>0</v>
      </c>
      <c r="T146" s="77">
        <v>0</v>
      </c>
      <c r="U146" s="77">
        <v>0</v>
      </c>
      <c r="V146" s="78">
        <v>0</v>
      </c>
      <c r="W146" s="72">
        <v>0</v>
      </c>
      <c r="X146" s="70">
        <v>1</v>
      </c>
      <c r="Y146" s="70">
        <v>0</v>
      </c>
      <c r="Z146" s="70">
        <v>0</v>
      </c>
      <c r="AB146" s="421"/>
    </row>
    <row r="147" spans="1:28" s="49" customFormat="1">
      <c r="A147" s="45"/>
      <c r="B147" s="46"/>
      <c r="C147" s="53"/>
      <c r="D147" s="75"/>
      <c r="E147" s="75"/>
      <c r="F147" s="75"/>
      <c r="G147" s="75"/>
      <c r="H147" s="75"/>
      <c r="I147" s="75"/>
      <c r="J147" s="75"/>
      <c r="K147" s="75"/>
      <c r="L147" s="53"/>
      <c r="M147" s="53"/>
      <c r="N147" s="53"/>
      <c r="O147" s="53"/>
      <c r="P147" s="53"/>
      <c r="Q147" s="53"/>
      <c r="R147" s="53"/>
      <c r="S147" s="53"/>
      <c r="T147" s="53"/>
      <c r="U147" s="53"/>
      <c r="V147" s="53"/>
      <c r="W147" s="53"/>
      <c r="X147" s="53"/>
      <c r="Y147" s="53"/>
      <c r="Z147" s="53"/>
      <c r="AB147" s="421"/>
    </row>
    <row r="148" spans="1:28" ht="14.25">
      <c r="A148" s="38"/>
    </row>
    <row r="149" spans="1:28">
      <c r="C149" s="55" t="s">
        <v>194</v>
      </c>
      <c r="D149" s="431"/>
      <c r="E149" s="432"/>
      <c r="F149" s="433"/>
    </row>
    <row r="150" spans="1:28">
      <c r="C150" s="55" t="s">
        <v>195</v>
      </c>
      <c r="D150" s="434" t="s">
        <v>196</v>
      </c>
      <c r="E150" s="435" t="s">
        <v>153</v>
      </c>
      <c r="F150" s="435" t="s">
        <v>154</v>
      </c>
      <c r="G150" s="435" t="s">
        <v>158</v>
      </c>
      <c r="H150" s="434" t="s">
        <v>197</v>
      </c>
    </row>
    <row r="151" spans="1:28">
      <c r="C151" s="55"/>
      <c r="D151" s="434"/>
      <c r="E151" s="435"/>
      <c r="F151" s="435"/>
      <c r="G151" s="435"/>
      <c r="H151" s="434"/>
    </row>
    <row r="153" spans="1:28" ht="14.25">
      <c r="A153" s="1356" t="s">
        <v>727</v>
      </c>
      <c r="B153" s="1356"/>
    </row>
    <row r="154" spans="1:28" ht="14.25">
      <c r="A154" s="1356"/>
      <c r="B154" s="1356"/>
    </row>
    <row r="155" spans="1:28" ht="14.25">
      <c r="A155" s="1356"/>
      <c r="B155" s="1356"/>
    </row>
    <row r="156" spans="1:28" ht="14.25">
      <c r="A156" s="1356"/>
      <c r="B156" s="1356"/>
    </row>
    <row r="157" spans="1:28" ht="14.25">
      <c r="A157" s="1356"/>
      <c r="B157" s="1356"/>
    </row>
  </sheetData>
  <sheetProtection password="CF55" sheet="1" objects="1" scenarios="1" selectLockedCells="1" selectUnlockedCells="1"/>
  <mergeCells count="7">
    <mergeCell ref="W1:Z1"/>
    <mergeCell ref="S1:V1"/>
    <mergeCell ref="A153:B157"/>
    <mergeCell ref="D1:G1"/>
    <mergeCell ref="H1:K1"/>
    <mergeCell ref="L1:N1"/>
    <mergeCell ref="O1:R1"/>
  </mergeCell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tint="0.39997558519241921"/>
  </sheetPr>
  <dimension ref="A1:AB157"/>
  <sheetViews>
    <sheetView workbookViewId="0">
      <pane xSplit="2" ySplit="2" topLeftCell="D68" activePane="bottomRight" state="frozen"/>
      <selection activeCell="L92" sqref="L92:O92"/>
      <selection pane="topRight" activeCell="L92" sqref="L92:O92"/>
      <selection pane="bottomLeft" activeCell="L92" sqref="L92:O92"/>
      <selection pane="bottomRight" activeCell="L92" sqref="L92:O92"/>
    </sheetView>
  </sheetViews>
  <sheetFormatPr defaultColWidth="11.42578125" defaultRowHeight="15"/>
  <cols>
    <col min="1" max="1" width="21.85546875" style="39" customWidth="1"/>
    <col min="2" max="2" width="20.85546875" style="38" customWidth="1"/>
    <col min="3" max="3" width="10.85546875" style="54" customWidth="1"/>
    <col min="4" max="8" width="5.85546875" style="54" customWidth="1"/>
    <col min="9" max="9" width="10.85546875" style="54" customWidth="1"/>
    <col min="10" max="13" width="5.85546875" style="54" customWidth="1"/>
    <col min="14" max="14" width="10.85546875" style="54" customWidth="1"/>
    <col min="15" max="17" width="5.85546875" style="54" customWidth="1"/>
    <col min="18" max="18" width="10.85546875" style="54" customWidth="1"/>
    <col min="19" max="24" width="5.85546875" style="54" customWidth="1"/>
    <col min="25" max="25" width="10.85546875" style="54" customWidth="1"/>
    <col min="26" max="26" width="5.85546875" style="54" customWidth="1"/>
    <col min="27" max="28" width="10.85546875" style="38" customWidth="1"/>
    <col min="29" max="16384" width="11.42578125" style="38"/>
  </cols>
  <sheetData>
    <row r="1" spans="1:28">
      <c r="A1" s="57" t="s">
        <v>228</v>
      </c>
      <c r="B1" s="59" t="s">
        <v>192</v>
      </c>
      <c r="C1" s="459" t="s">
        <v>190</v>
      </c>
      <c r="D1" s="1357">
        <v>2010</v>
      </c>
      <c r="E1" s="1357"/>
      <c r="F1" s="1357"/>
      <c r="G1" s="1357"/>
      <c r="H1" s="1358">
        <v>2011</v>
      </c>
      <c r="I1" s="1358"/>
      <c r="J1" s="1358"/>
      <c r="K1" s="1358"/>
      <c r="L1" s="1353">
        <v>2012</v>
      </c>
      <c r="M1" s="1354"/>
      <c r="N1" s="1355"/>
      <c r="O1" s="1359">
        <v>2013</v>
      </c>
      <c r="P1" s="1360"/>
      <c r="Q1" s="1360"/>
      <c r="R1" s="1361"/>
      <c r="S1" s="1353">
        <v>2014</v>
      </c>
      <c r="T1" s="1354"/>
      <c r="U1" s="1354"/>
      <c r="V1" s="1355"/>
      <c r="W1" s="1351">
        <v>2015</v>
      </c>
      <c r="X1" s="1352"/>
      <c r="Y1" s="1352"/>
      <c r="Z1" s="1352"/>
    </row>
    <row r="2" spans="1:28" s="39" customFormat="1" ht="42.75">
      <c r="A2" s="58" t="s">
        <v>193</v>
      </c>
      <c r="B2" s="59" t="s">
        <v>191</v>
      </c>
      <c r="C2" s="418" t="s">
        <v>722</v>
      </c>
      <c r="D2" s="56" t="s">
        <v>141</v>
      </c>
      <c r="E2" s="56" t="s">
        <v>142</v>
      </c>
      <c r="F2" s="56" t="s">
        <v>143</v>
      </c>
      <c r="G2" s="56" t="s">
        <v>144</v>
      </c>
      <c r="H2" s="56" t="s">
        <v>141</v>
      </c>
      <c r="I2" s="418" t="s">
        <v>723</v>
      </c>
      <c r="J2" s="56" t="s">
        <v>143</v>
      </c>
      <c r="K2" s="56" t="s">
        <v>144</v>
      </c>
      <c r="L2" s="56" t="s">
        <v>141</v>
      </c>
      <c r="M2" s="56" t="s">
        <v>142</v>
      </c>
      <c r="N2" s="418" t="s">
        <v>724</v>
      </c>
      <c r="O2" s="56" t="s">
        <v>141</v>
      </c>
      <c r="P2" s="56" t="s">
        <v>142</v>
      </c>
      <c r="Q2" s="56" t="s">
        <v>143</v>
      </c>
      <c r="R2" s="418" t="s">
        <v>725</v>
      </c>
      <c r="S2" s="56" t="s">
        <v>141</v>
      </c>
      <c r="T2" s="56" t="s">
        <v>142</v>
      </c>
      <c r="U2" s="56" t="s">
        <v>143</v>
      </c>
      <c r="V2" s="56" t="s">
        <v>144</v>
      </c>
      <c r="W2" s="56" t="s">
        <v>141</v>
      </c>
      <c r="X2" s="56" t="s">
        <v>142</v>
      </c>
      <c r="Y2" s="418" t="s">
        <v>726</v>
      </c>
      <c r="Z2" s="56" t="s">
        <v>144</v>
      </c>
      <c r="AA2" s="419" t="s">
        <v>814</v>
      </c>
      <c r="AB2" s="419" t="s">
        <v>815</v>
      </c>
    </row>
    <row r="3" spans="1:28" s="39" customFormat="1">
      <c r="B3" s="38"/>
      <c r="C3" s="40"/>
      <c r="D3" s="40"/>
      <c r="E3" s="40"/>
      <c r="F3" s="40"/>
      <c r="G3" s="40"/>
      <c r="H3" s="40"/>
      <c r="I3" s="40"/>
      <c r="J3" s="40"/>
      <c r="K3" s="40"/>
      <c r="L3" s="40"/>
      <c r="M3" s="40"/>
      <c r="N3" s="40"/>
      <c r="O3" s="40"/>
      <c r="P3" s="40"/>
      <c r="Q3" s="40"/>
      <c r="R3" s="40"/>
      <c r="S3" s="40"/>
      <c r="T3" s="40"/>
      <c r="U3" s="40"/>
      <c r="V3" s="40"/>
      <c r="W3" s="40"/>
      <c r="X3" s="40"/>
      <c r="Y3" s="40"/>
      <c r="Z3" s="40"/>
    </row>
    <row r="4" spans="1:28" ht="15.75" thickBot="1">
      <c r="A4" s="41" t="s">
        <v>24</v>
      </c>
      <c r="B4" s="42" t="s">
        <v>139</v>
      </c>
      <c r="C4" s="43">
        <v>0</v>
      </c>
      <c r="D4" s="81">
        <v>0.35000000000000003</v>
      </c>
      <c r="E4" s="81">
        <v>0.70000000000000007</v>
      </c>
      <c r="F4" s="81">
        <v>1.05</v>
      </c>
      <c r="G4" s="81">
        <v>1.4000000000000001</v>
      </c>
      <c r="H4" s="81">
        <v>1.7500000000000002</v>
      </c>
      <c r="I4" s="82">
        <v>2.1</v>
      </c>
      <c r="J4" s="81">
        <v>2.1</v>
      </c>
      <c r="K4" s="81">
        <v>2.1</v>
      </c>
      <c r="L4" s="44">
        <v>2.1</v>
      </c>
      <c r="M4" s="44">
        <v>2.1</v>
      </c>
      <c r="N4" s="43">
        <v>2.1</v>
      </c>
      <c r="O4" s="44">
        <v>2.125</v>
      </c>
      <c r="P4" s="44">
        <v>2.15</v>
      </c>
      <c r="Q4" s="44">
        <v>2.1749999999999998</v>
      </c>
      <c r="R4" s="43">
        <v>2.2000000000000002</v>
      </c>
      <c r="S4" s="44">
        <v>2.2333333333333334</v>
      </c>
      <c r="T4" s="44">
        <v>2.2666666666666666</v>
      </c>
      <c r="U4" s="44">
        <v>2.2999999999999998</v>
      </c>
      <c r="V4" s="44">
        <v>2.333333333333333</v>
      </c>
      <c r="W4" s="44">
        <v>2.8666666666666667</v>
      </c>
      <c r="X4" s="44">
        <v>3</v>
      </c>
      <c r="Y4" s="43">
        <v>3</v>
      </c>
      <c r="Z4" s="44">
        <v>3</v>
      </c>
      <c r="AA4" s="38">
        <v>5</v>
      </c>
      <c r="AB4" s="420">
        <v>0.16</v>
      </c>
    </row>
    <row r="5" spans="1:28" s="49" customFormat="1" ht="15.75" thickBot="1">
      <c r="A5" s="45"/>
      <c r="B5" s="46" t="s">
        <v>140</v>
      </c>
      <c r="C5" s="79">
        <v>0</v>
      </c>
      <c r="D5" s="84">
        <v>0</v>
      </c>
      <c r="E5" s="85">
        <v>0</v>
      </c>
      <c r="F5" s="85">
        <v>0</v>
      </c>
      <c r="G5" s="85">
        <v>0</v>
      </c>
      <c r="H5" s="85">
        <v>0</v>
      </c>
      <c r="I5" s="85">
        <v>0</v>
      </c>
      <c r="J5" s="85">
        <v>0</v>
      </c>
      <c r="K5" s="85">
        <v>0</v>
      </c>
      <c r="L5" s="85">
        <v>0</v>
      </c>
      <c r="M5" s="85">
        <v>0</v>
      </c>
      <c r="N5" s="85">
        <v>2.1</v>
      </c>
      <c r="O5" s="85">
        <v>2.12</v>
      </c>
      <c r="P5" s="85">
        <v>2.13</v>
      </c>
      <c r="Q5" s="85">
        <v>2.9</v>
      </c>
      <c r="R5" s="85">
        <v>3</v>
      </c>
      <c r="S5" s="85">
        <v>3</v>
      </c>
      <c r="T5" s="85">
        <v>3.4</v>
      </c>
      <c r="U5" s="85">
        <v>3.4</v>
      </c>
      <c r="V5" s="86">
        <v>3.5</v>
      </c>
      <c r="W5" s="80">
        <v>3.5</v>
      </c>
      <c r="X5" s="69">
        <v>4</v>
      </c>
      <c r="Y5" s="69">
        <v>0</v>
      </c>
      <c r="Z5" s="69">
        <v>0</v>
      </c>
      <c r="AB5" s="421"/>
    </row>
    <row r="6" spans="1:28" s="49" customFormat="1">
      <c r="A6" s="45"/>
      <c r="B6" s="46"/>
      <c r="C6" s="48"/>
      <c r="D6" s="422"/>
      <c r="E6" s="422"/>
      <c r="F6" s="422"/>
      <c r="G6" s="83"/>
      <c r="H6" s="83"/>
      <c r="I6" s="83"/>
      <c r="J6" s="83"/>
      <c r="K6" s="83"/>
      <c r="L6" s="48"/>
      <c r="M6" s="48"/>
      <c r="N6" s="48"/>
      <c r="O6" s="48"/>
      <c r="P6" s="48"/>
      <c r="Q6" s="48"/>
      <c r="R6" s="48"/>
      <c r="S6" s="48"/>
      <c r="T6" s="48"/>
      <c r="U6" s="48"/>
      <c r="V6" s="48"/>
      <c r="W6" s="48"/>
      <c r="X6" s="48"/>
      <c r="Y6" s="48"/>
      <c r="Z6" s="48"/>
      <c r="AB6" s="421"/>
    </row>
    <row r="7" spans="1:28" ht="15.75" thickBot="1">
      <c r="A7" s="41" t="s">
        <v>25</v>
      </c>
      <c r="B7" s="42" t="s">
        <v>139</v>
      </c>
      <c r="C7" s="43">
        <v>0</v>
      </c>
      <c r="D7" s="81">
        <v>0.16666666666666666</v>
      </c>
      <c r="E7" s="81">
        <v>0.33333333333333331</v>
      </c>
      <c r="F7" s="81">
        <v>0.5</v>
      </c>
      <c r="G7" s="81">
        <v>0.66666666666666663</v>
      </c>
      <c r="H7" s="81">
        <v>0.83333333333333326</v>
      </c>
      <c r="I7" s="82">
        <v>1</v>
      </c>
      <c r="J7" s="81">
        <v>1</v>
      </c>
      <c r="K7" s="81">
        <v>1</v>
      </c>
      <c r="L7" s="44">
        <v>1</v>
      </c>
      <c r="M7" s="44">
        <v>1</v>
      </c>
      <c r="N7" s="43">
        <v>1</v>
      </c>
      <c r="O7" s="44">
        <v>1.0249999999999999</v>
      </c>
      <c r="P7" s="44">
        <v>1.0499999999999998</v>
      </c>
      <c r="Q7" s="44">
        <v>1.0749999999999997</v>
      </c>
      <c r="R7" s="43">
        <v>1.1000000000000001</v>
      </c>
      <c r="S7" s="44">
        <v>1.1333333333333333</v>
      </c>
      <c r="T7" s="44">
        <v>1.1666666666666665</v>
      </c>
      <c r="U7" s="44">
        <v>1.1999999999999997</v>
      </c>
      <c r="V7" s="44">
        <v>1.2333333333333329</v>
      </c>
      <c r="W7" s="44">
        <v>2.2666666666666671</v>
      </c>
      <c r="X7" s="44">
        <v>2.5000000000000004</v>
      </c>
      <c r="Y7" s="43">
        <v>2.5</v>
      </c>
      <c r="Z7" s="44">
        <v>2.5</v>
      </c>
      <c r="AA7" s="38">
        <v>5</v>
      </c>
      <c r="AB7" s="420">
        <v>0.16</v>
      </c>
    </row>
    <row r="8" spans="1:28" s="49" customFormat="1" ht="15.75" thickBot="1">
      <c r="A8" s="45"/>
      <c r="B8" s="46" t="s">
        <v>140</v>
      </c>
      <c r="C8" s="79">
        <v>0</v>
      </c>
      <c r="D8" s="84">
        <v>0</v>
      </c>
      <c r="E8" s="85">
        <v>0</v>
      </c>
      <c r="F8" s="85">
        <v>0</v>
      </c>
      <c r="G8" s="85">
        <v>0</v>
      </c>
      <c r="H8" s="85">
        <v>0</v>
      </c>
      <c r="I8" s="85">
        <v>0</v>
      </c>
      <c r="J8" s="85">
        <v>0</v>
      </c>
      <c r="K8" s="85">
        <v>0</v>
      </c>
      <c r="L8" s="85">
        <v>0</v>
      </c>
      <c r="M8" s="85">
        <v>0</v>
      </c>
      <c r="N8" s="423">
        <v>1</v>
      </c>
      <c r="O8" s="424">
        <v>1</v>
      </c>
      <c r="P8" s="424">
        <v>1</v>
      </c>
      <c r="Q8" s="424">
        <v>3.1</v>
      </c>
      <c r="R8" s="85">
        <v>3.1</v>
      </c>
      <c r="S8" s="85">
        <v>3.1</v>
      </c>
      <c r="T8" s="85">
        <v>3.1</v>
      </c>
      <c r="U8" s="85">
        <v>3.14</v>
      </c>
      <c r="V8" s="86">
        <v>3.14</v>
      </c>
      <c r="W8" s="80">
        <v>3.14</v>
      </c>
      <c r="X8" s="69">
        <v>2.9</v>
      </c>
      <c r="Y8" s="69">
        <v>0</v>
      </c>
      <c r="Z8" s="69">
        <v>0</v>
      </c>
      <c r="AB8" s="421"/>
    </row>
    <row r="9" spans="1:28" s="49" customFormat="1">
      <c r="A9" s="45"/>
      <c r="B9" s="46"/>
      <c r="C9" s="48"/>
      <c r="D9" s="83"/>
      <c r="E9" s="83"/>
      <c r="F9" s="83"/>
      <c r="G9" s="83"/>
      <c r="H9" s="83"/>
      <c r="I9" s="83"/>
      <c r="J9" s="83"/>
      <c r="K9" s="83"/>
      <c r="L9" s="48"/>
      <c r="M9" s="48"/>
      <c r="N9" s="48"/>
      <c r="O9" s="48"/>
      <c r="P9" s="48"/>
      <c r="Q9" s="48"/>
      <c r="R9" s="48"/>
      <c r="S9" s="48"/>
      <c r="T9" s="48"/>
      <c r="U9" s="48"/>
      <c r="V9" s="48"/>
      <c r="W9" s="48"/>
      <c r="X9" s="48"/>
      <c r="Y9" s="48"/>
      <c r="Z9" s="48"/>
      <c r="AB9" s="421"/>
    </row>
    <row r="10" spans="1:28" ht="15.75" thickBot="1">
      <c r="A10" s="41" t="s">
        <v>186</v>
      </c>
      <c r="B10" s="42" t="s">
        <v>214</v>
      </c>
      <c r="C10" s="50">
        <v>0</v>
      </c>
      <c r="D10" s="73">
        <v>0.16666666666666666</v>
      </c>
      <c r="E10" s="73">
        <v>0.33333333333333331</v>
      </c>
      <c r="F10" s="73">
        <v>0.5</v>
      </c>
      <c r="G10" s="73">
        <v>0.66666666666666663</v>
      </c>
      <c r="H10" s="73">
        <v>0.83333333333333326</v>
      </c>
      <c r="I10" s="74">
        <v>1</v>
      </c>
      <c r="J10" s="73">
        <v>1</v>
      </c>
      <c r="K10" s="73">
        <v>1</v>
      </c>
      <c r="L10" s="51">
        <v>1</v>
      </c>
      <c r="M10" s="51">
        <v>1</v>
      </c>
      <c r="N10" s="50">
        <v>1</v>
      </c>
      <c r="O10" s="51">
        <v>1.25</v>
      </c>
      <c r="P10" s="51">
        <v>1.5</v>
      </c>
      <c r="Q10" s="51">
        <v>1.75</v>
      </c>
      <c r="R10" s="50">
        <v>2</v>
      </c>
      <c r="S10" s="51">
        <v>2.1666666666666665</v>
      </c>
      <c r="T10" s="51">
        <v>2.333333333333333</v>
      </c>
      <c r="U10" s="51">
        <v>2.4999999999999996</v>
      </c>
      <c r="V10" s="51">
        <v>2.6666666666666661</v>
      </c>
      <c r="W10" s="51">
        <v>7.8333333333333348</v>
      </c>
      <c r="X10" s="51">
        <v>9.0000000000000018</v>
      </c>
      <c r="Y10" s="50">
        <v>9</v>
      </c>
      <c r="Z10" s="51">
        <v>9</v>
      </c>
      <c r="AA10" s="38">
        <v>15</v>
      </c>
      <c r="AB10" s="420">
        <v>0.6</v>
      </c>
    </row>
    <row r="11" spans="1:28" s="49" customFormat="1" ht="15.75" thickBot="1">
      <c r="A11" s="45"/>
      <c r="B11" s="46" t="s">
        <v>215</v>
      </c>
      <c r="C11" s="71">
        <v>0</v>
      </c>
      <c r="D11" s="76">
        <v>0</v>
      </c>
      <c r="E11" s="77">
        <v>0</v>
      </c>
      <c r="F11" s="77">
        <v>0</v>
      </c>
      <c r="G11" s="77">
        <v>0</v>
      </c>
      <c r="H11" s="77">
        <v>0</v>
      </c>
      <c r="I11" s="77">
        <v>0</v>
      </c>
      <c r="J11" s="77">
        <v>0</v>
      </c>
      <c r="K11" s="77">
        <v>0</v>
      </c>
      <c r="L11" s="77">
        <v>0</v>
      </c>
      <c r="M11" s="77">
        <v>0</v>
      </c>
      <c r="N11" s="425">
        <v>1</v>
      </c>
      <c r="O11" s="426">
        <v>1</v>
      </c>
      <c r="P11" s="426">
        <v>1.2</v>
      </c>
      <c r="Q11" s="426">
        <v>1</v>
      </c>
      <c r="R11" s="77">
        <v>1</v>
      </c>
      <c r="S11" s="77">
        <v>1</v>
      </c>
      <c r="T11" s="77">
        <v>3</v>
      </c>
      <c r="U11" s="77">
        <v>7</v>
      </c>
      <c r="V11" s="78">
        <v>10</v>
      </c>
      <c r="W11" s="72">
        <v>10</v>
      </c>
      <c r="X11" s="70">
        <v>11</v>
      </c>
      <c r="Y11" s="70">
        <v>0</v>
      </c>
      <c r="Z11" s="70">
        <v>0</v>
      </c>
      <c r="AA11" s="38"/>
      <c r="AB11" s="420"/>
    </row>
    <row r="12" spans="1:28" s="49" customFormat="1">
      <c r="A12" s="45"/>
      <c r="B12" s="46"/>
      <c r="C12" s="53"/>
      <c r="D12" s="75"/>
      <c r="E12" s="75"/>
      <c r="F12" s="75"/>
      <c r="G12" s="75"/>
      <c r="H12" s="75"/>
      <c r="I12" s="75"/>
      <c r="J12" s="75"/>
      <c r="K12" s="75"/>
      <c r="L12" s="53"/>
      <c r="M12" s="53"/>
      <c r="N12" s="53"/>
      <c r="O12" s="53"/>
      <c r="P12" s="53"/>
      <c r="Q12" s="53"/>
      <c r="R12" s="53"/>
      <c r="S12" s="53"/>
      <c r="T12" s="53"/>
      <c r="U12" s="53"/>
      <c r="V12" s="53"/>
      <c r="W12" s="53"/>
      <c r="X12" s="53"/>
      <c r="Y12" s="53"/>
      <c r="Z12" s="53"/>
      <c r="AB12" s="421"/>
    </row>
    <row r="13" spans="1:28" ht="15.75" thickBot="1">
      <c r="A13" s="41" t="s">
        <v>187</v>
      </c>
      <c r="B13" s="42" t="s">
        <v>216</v>
      </c>
      <c r="C13" s="50">
        <v>0</v>
      </c>
      <c r="D13" s="73">
        <v>0.16666666666666666</v>
      </c>
      <c r="E13" s="73">
        <v>0.33333333333333331</v>
      </c>
      <c r="F13" s="73">
        <v>0.5</v>
      </c>
      <c r="G13" s="73">
        <v>0.66666666666666663</v>
      </c>
      <c r="H13" s="73">
        <v>0.83333333333333326</v>
      </c>
      <c r="I13" s="74">
        <v>1</v>
      </c>
      <c r="J13" s="73">
        <v>1</v>
      </c>
      <c r="K13" s="73">
        <v>1</v>
      </c>
      <c r="L13" s="51">
        <v>1</v>
      </c>
      <c r="M13" s="51">
        <v>1</v>
      </c>
      <c r="N13" s="50">
        <v>1</v>
      </c>
      <c r="O13" s="51">
        <v>1</v>
      </c>
      <c r="P13" s="51">
        <v>1</v>
      </c>
      <c r="Q13" s="51">
        <v>1</v>
      </c>
      <c r="R13" s="50">
        <v>1</v>
      </c>
      <c r="S13" s="51">
        <v>1.3333333333333333</v>
      </c>
      <c r="T13" s="51">
        <v>1.6666666666666665</v>
      </c>
      <c r="U13" s="51">
        <v>1.9999999999999998</v>
      </c>
      <c r="V13" s="51">
        <v>2.333333333333333</v>
      </c>
      <c r="W13" s="51">
        <v>7.6666666666666652</v>
      </c>
      <c r="X13" s="51">
        <v>8.9999999999999982</v>
      </c>
      <c r="Y13" s="50">
        <v>9</v>
      </c>
      <c r="Z13" s="51">
        <v>9</v>
      </c>
      <c r="AA13" s="38">
        <v>15</v>
      </c>
      <c r="AB13" s="420">
        <v>0.6</v>
      </c>
    </row>
    <row r="14" spans="1:28" s="49" customFormat="1" ht="15.75" thickBot="1">
      <c r="A14" s="45"/>
      <c r="B14" s="46" t="s">
        <v>217</v>
      </c>
      <c r="C14" s="71">
        <v>0</v>
      </c>
      <c r="D14" s="76">
        <v>0</v>
      </c>
      <c r="E14" s="77">
        <v>0</v>
      </c>
      <c r="F14" s="77">
        <v>0</v>
      </c>
      <c r="G14" s="77">
        <v>0</v>
      </c>
      <c r="H14" s="77">
        <v>0</v>
      </c>
      <c r="I14" s="77">
        <v>0</v>
      </c>
      <c r="J14" s="77">
        <v>0</v>
      </c>
      <c r="K14" s="77">
        <v>0</v>
      </c>
      <c r="L14" s="77">
        <v>0</v>
      </c>
      <c r="M14" s="77">
        <v>0</v>
      </c>
      <c r="N14" s="425">
        <v>1</v>
      </c>
      <c r="O14" s="426">
        <v>1</v>
      </c>
      <c r="P14" s="426">
        <v>1.2</v>
      </c>
      <c r="Q14" s="426">
        <v>1</v>
      </c>
      <c r="R14" s="77">
        <v>1</v>
      </c>
      <c r="S14" s="77">
        <v>1</v>
      </c>
      <c r="T14" s="77">
        <v>3</v>
      </c>
      <c r="U14" s="77">
        <v>7</v>
      </c>
      <c r="V14" s="78">
        <v>9</v>
      </c>
      <c r="W14" s="72">
        <v>10</v>
      </c>
      <c r="X14" s="70">
        <v>11</v>
      </c>
      <c r="Y14" s="70">
        <v>0</v>
      </c>
      <c r="Z14" s="70">
        <v>0</v>
      </c>
      <c r="AB14" s="421"/>
    </row>
    <row r="15" spans="1:28" s="49" customFormat="1">
      <c r="A15" s="45"/>
      <c r="B15" s="46"/>
      <c r="C15" s="53"/>
      <c r="D15" s="427"/>
      <c r="E15" s="427"/>
      <c r="F15" s="427"/>
      <c r="G15" s="75"/>
      <c r="H15" s="75"/>
      <c r="I15" s="75"/>
      <c r="J15" s="75"/>
      <c r="K15" s="75"/>
      <c r="L15" s="53"/>
      <c r="M15" s="53"/>
      <c r="N15" s="53"/>
      <c r="O15" s="53"/>
      <c r="P15" s="53"/>
      <c r="Q15" s="53"/>
      <c r="R15" s="53"/>
      <c r="S15" s="53"/>
      <c r="T15" s="53"/>
      <c r="U15" s="53"/>
      <c r="V15" s="53"/>
      <c r="W15" s="53"/>
      <c r="X15" s="53"/>
      <c r="Y15" s="53"/>
      <c r="Z15" s="53"/>
      <c r="AB15" s="421"/>
    </row>
    <row r="16" spans="1:28" ht="15.75" thickBot="1">
      <c r="A16" s="41" t="s">
        <v>188</v>
      </c>
      <c r="B16" s="42" t="s">
        <v>218</v>
      </c>
      <c r="C16" s="50">
        <v>0</v>
      </c>
      <c r="D16" s="73">
        <v>0</v>
      </c>
      <c r="E16" s="73">
        <v>0</v>
      </c>
      <c r="F16" s="73">
        <v>0</v>
      </c>
      <c r="G16" s="73">
        <v>0</v>
      </c>
      <c r="H16" s="73">
        <v>0</v>
      </c>
      <c r="I16" s="74">
        <v>0</v>
      </c>
      <c r="J16" s="73">
        <v>0</v>
      </c>
      <c r="K16" s="73">
        <v>0</v>
      </c>
      <c r="L16" s="51">
        <v>0</v>
      </c>
      <c r="M16" s="51">
        <v>0</v>
      </c>
      <c r="N16" s="50">
        <v>0</v>
      </c>
      <c r="O16" s="51">
        <v>0.25</v>
      </c>
      <c r="P16" s="51">
        <v>0.5</v>
      </c>
      <c r="Q16" s="51">
        <v>0.75</v>
      </c>
      <c r="R16" s="50">
        <v>1</v>
      </c>
      <c r="S16" s="51">
        <v>1.1666666666666667</v>
      </c>
      <c r="T16" s="51">
        <v>1.3333333333333335</v>
      </c>
      <c r="U16" s="51">
        <v>1.5000000000000002</v>
      </c>
      <c r="V16" s="51">
        <v>1.666666666666667</v>
      </c>
      <c r="W16" s="51">
        <v>8.5</v>
      </c>
      <c r="X16" s="51">
        <v>10</v>
      </c>
      <c r="Y16" s="50">
        <v>10</v>
      </c>
      <c r="Z16" s="51">
        <v>10</v>
      </c>
      <c r="AA16" s="38">
        <v>15</v>
      </c>
      <c r="AB16" s="420">
        <v>0.6</v>
      </c>
    </row>
    <row r="17" spans="1:28" s="49" customFormat="1" ht="15.75" thickBot="1">
      <c r="A17" s="45"/>
      <c r="B17" s="46" t="s">
        <v>219</v>
      </c>
      <c r="C17" s="71">
        <v>0</v>
      </c>
      <c r="D17" s="76">
        <v>0</v>
      </c>
      <c r="E17" s="77">
        <v>0</v>
      </c>
      <c r="F17" s="77">
        <v>0</v>
      </c>
      <c r="G17" s="77">
        <v>0</v>
      </c>
      <c r="H17" s="77">
        <v>0</v>
      </c>
      <c r="I17" s="77">
        <v>0</v>
      </c>
      <c r="J17" s="77">
        <v>0</v>
      </c>
      <c r="K17" s="77">
        <v>0</v>
      </c>
      <c r="L17" s="77">
        <v>0</v>
      </c>
      <c r="M17" s="77">
        <v>0</v>
      </c>
      <c r="N17" s="425">
        <v>0</v>
      </c>
      <c r="O17" s="426">
        <v>0</v>
      </c>
      <c r="P17" s="426">
        <v>0</v>
      </c>
      <c r="Q17" s="426">
        <v>0</v>
      </c>
      <c r="R17" s="77">
        <v>0</v>
      </c>
      <c r="S17" s="77">
        <v>0</v>
      </c>
      <c r="T17" s="77">
        <v>1</v>
      </c>
      <c r="U17" s="77">
        <v>1</v>
      </c>
      <c r="V17" s="78">
        <v>12</v>
      </c>
      <c r="W17" s="72">
        <v>12</v>
      </c>
      <c r="X17" s="70">
        <v>12</v>
      </c>
      <c r="Y17" s="70">
        <v>0</v>
      </c>
      <c r="Z17" s="70">
        <v>0</v>
      </c>
      <c r="AB17" s="421"/>
    </row>
    <row r="18" spans="1:28" s="49" customFormat="1">
      <c r="A18" s="45"/>
      <c r="B18" s="46"/>
      <c r="C18" s="53"/>
      <c r="D18" s="427"/>
      <c r="E18" s="427"/>
      <c r="F18" s="427"/>
      <c r="G18" s="75"/>
      <c r="H18" s="75"/>
      <c r="I18" s="75"/>
      <c r="J18" s="75"/>
      <c r="K18" s="75"/>
      <c r="L18" s="53"/>
      <c r="M18" s="53"/>
      <c r="N18" s="53"/>
      <c r="O18" s="53"/>
      <c r="P18" s="53"/>
      <c r="Q18" s="53"/>
      <c r="R18" s="53"/>
      <c r="S18" s="53"/>
      <c r="T18" s="53"/>
      <c r="U18" s="53"/>
      <c r="V18" s="53"/>
      <c r="W18" s="53"/>
      <c r="X18" s="53"/>
      <c r="Y18" s="53"/>
      <c r="Z18" s="53"/>
      <c r="AB18" s="421"/>
    </row>
    <row r="19" spans="1:28" ht="15.75" thickBot="1">
      <c r="A19" s="41" t="s">
        <v>189</v>
      </c>
      <c r="B19" s="42" t="s">
        <v>221</v>
      </c>
      <c r="C19" s="50">
        <v>0</v>
      </c>
      <c r="D19" s="73">
        <v>2.1666666666666665</v>
      </c>
      <c r="E19" s="73">
        <v>4.333333333333333</v>
      </c>
      <c r="F19" s="73">
        <v>6.5</v>
      </c>
      <c r="G19" s="73">
        <v>8.6666666666666661</v>
      </c>
      <c r="H19" s="73">
        <v>10.833333333333332</v>
      </c>
      <c r="I19" s="74">
        <v>13</v>
      </c>
      <c r="J19" s="73">
        <v>13</v>
      </c>
      <c r="K19" s="73">
        <v>13</v>
      </c>
      <c r="L19" s="51">
        <v>13</v>
      </c>
      <c r="M19" s="51">
        <v>13</v>
      </c>
      <c r="N19" s="50">
        <v>13</v>
      </c>
      <c r="O19" s="51">
        <v>13.25</v>
      </c>
      <c r="P19" s="51">
        <v>13.5</v>
      </c>
      <c r="Q19" s="51">
        <v>13.75</v>
      </c>
      <c r="R19" s="50">
        <v>14</v>
      </c>
      <c r="S19" s="51">
        <v>14.166666666666666</v>
      </c>
      <c r="T19" s="51">
        <v>14.333333333333332</v>
      </c>
      <c r="U19" s="51">
        <v>14.499999999999998</v>
      </c>
      <c r="V19" s="51">
        <v>14.666666666666664</v>
      </c>
      <c r="W19" s="51">
        <v>14.83333333333333</v>
      </c>
      <c r="X19" s="51">
        <v>14.999999999999996</v>
      </c>
      <c r="Y19" s="50">
        <v>15</v>
      </c>
      <c r="Z19" s="51">
        <v>15</v>
      </c>
      <c r="AA19" s="38">
        <v>15</v>
      </c>
      <c r="AB19" s="420">
        <v>0.6</v>
      </c>
    </row>
    <row r="20" spans="1:28" s="49" customFormat="1" ht="15.75" thickBot="1">
      <c r="A20" s="45"/>
      <c r="B20" s="46" t="s">
        <v>220</v>
      </c>
      <c r="C20" s="71">
        <v>0</v>
      </c>
      <c r="D20" s="76">
        <v>0</v>
      </c>
      <c r="E20" s="77">
        <v>0</v>
      </c>
      <c r="F20" s="77">
        <v>0</v>
      </c>
      <c r="G20" s="77">
        <v>0</v>
      </c>
      <c r="H20" s="77">
        <v>0</v>
      </c>
      <c r="I20" s="77">
        <v>0</v>
      </c>
      <c r="J20" s="77">
        <v>0</v>
      </c>
      <c r="K20" s="77">
        <v>0</v>
      </c>
      <c r="L20" s="77">
        <v>0</v>
      </c>
      <c r="M20" s="77">
        <v>0</v>
      </c>
      <c r="N20" s="425">
        <v>13</v>
      </c>
      <c r="O20" s="426">
        <v>13</v>
      </c>
      <c r="P20" s="426">
        <v>13.5</v>
      </c>
      <c r="Q20" s="426">
        <v>14</v>
      </c>
      <c r="R20" s="77">
        <v>14</v>
      </c>
      <c r="S20" s="77">
        <v>14</v>
      </c>
      <c r="T20" s="77">
        <v>14.5</v>
      </c>
      <c r="U20" s="77">
        <v>14.5</v>
      </c>
      <c r="V20" s="78">
        <v>15</v>
      </c>
      <c r="W20" s="72">
        <v>15</v>
      </c>
      <c r="X20" s="70">
        <v>15</v>
      </c>
      <c r="Y20" s="70">
        <v>0</v>
      </c>
      <c r="Z20" s="70">
        <v>0</v>
      </c>
      <c r="AB20" s="421"/>
    </row>
    <row r="21" spans="1:28" s="49" customFormat="1">
      <c r="A21" s="45"/>
      <c r="B21" s="46"/>
      <c r="C21" s="48"/>
      <c r="D21" s="422"/>
      <c r="E21" s="422"/>
      <c r="F21" s="422"/>
      <c r="G21" s="83"/>
      <c r="H21" s="83"/>
      <c r="I21" s="83"/>
      <c r="J21" s="83"/>
      <c r="K21" s="83"/>
      <c r="L21" s="48"/>
      <c r="M21" s="48"/>
      <c r="N21" s="48"/>
      <c r="O21" s="48"/>
      <c r="P21" s="48"/>
      <c r="Q21" s="48"/>
      <c r="R21" s="48"/>
      <c r="S21" s="48"/>
      <c r="T21" s="48"/>
      <c r="U21" s="48"/>
      <c r="V21" s="48"/>
      <c r="W21" s="48"/>
      <c r="X21" s="48"/>
      <c r="Y21" s="48"/>
      <c r="Z21" s="48"/>
      <c r="AB21" s="421"/>
    </row>
    <row r="22" spans="1:28" ht="15.75" thickBot="1">
      <c r="A22" s="41" t="s">
        <v>22</v>
      </c>
      <c r="B22" s="42" t="s">
        <v>139</v>
      </c>
      <c r="C22" s="43">
        <v>0</v>
      </c>
      <c r="D22" s="81">
        <v>0.3666666666666667</v>
      </c>
      <c r="E22" s="81">
        <v>0.73333333333333339</v>
      </c>
      <c r="F22" s="81">
        <v>1.1000000000000001</v>
      </c>
      <c r="G22" s="81">
        <v>1.4666666666666668</v>
      </c>
      <c r="H22" s="81">
        <v>1.8333333333333335</v>
      </c>
      <c r="I22" s="82">
        <v>2.2000000000000002</v>
      </c>
      <c r="J22" s="81">
        <v>2.2000000000000002</v>
      </c>
      <c r="K22" s="81">
        <v>2.2000000000000002</v>
      </c>
      <c r="L22" s="44">
        <v>2.2000000000000002</v>
      </c>
      <c r="M22" s="44">
        <v>2.2000000000000002</v>
      </c>
      <c r="N22" s="43">
        <v>2.2000000000000002</v>
      </c>
      <c r="O22" s="44">
        <v>2.25</v>
      </c>
      <c r="P22" s="44">
        <v>2.2999999999999998</v>
      </c>
      <c r="Q22" s="44">
        <v>2.3499999999999996</v>
      </c>
      <c r="R22" s="43">
        <v>2.4</v>
      </c>
      <c r="S22" s="44">
        <v>2.4500000000000002</v>
      </c>
      <c r="T22" s="44">
        <v>2.5</v>
      </c>
      <c r="U22" s="44">
        <v>2.5499999999999998</v>
      </c>
      <c r="V22" s="44">
        <v>2.5999999999999996</v>
      </c>
      <c r="W22" s="44">
        <v>2.6499999999999995</v>
      </c>
      <c r="X22" s="44">
        <v>2.6999999999999993</v>
      </c>
      <c r="Y22" s="43">
        <v>2.7</v>
      </c>
      <c r="Z22" s="44">
        <v>2.7</v>
      </c>
      <c r="AA22" s="38">
        <v>5</v>
      </c>
      <c r="AB22" s="420">
        <v>0.16</v>
      </c>
    </row>
    <row r="23" spans="1:28" s="49" customFormat="1" ht="15.75" thickBot="1">
      <c r="A23" s="45"/>
      <c r="B23" s="46" t="s">
        <v>140</v>
      </c>
      <c r="C23" s="79">
        <v>0</v>
      </c>
      <c r="D23" s="84">
        <v>0</v>
      </c>
      <c r="E23" s="85">
        <v>0</v>
      </c>
      <c r="F23" s="85">
        <v>0</v>
      </c>
      <c r="G23" s="85">
        <v>0</v>
      </c>
      <c r="H23" s="85">
        <v>0</v>
      </c>
      <c r="I23" s="85">
        <v>0</v>
      </c>
      <c r="J23" s="85">
        <v>0</v>
      </c>
      <c r="K23" s="85">
        <v>0</v>
      </c>
      <c r="L23" s="85">
        <v>0</v>
      </c>
      <c r="M23" s="85">
        <v>0</v>
      </c>
      <c r="N23" s="423">
        <v>2.2000000000000002</v>
      </c>
      <c r="O23" s="424">
        <v>2.2000000000000002</v>
      </c>
      <c r="P23" s="424">
        <v>2.5</v>
      </c>
      <c r="Q23" s="424">
        <v>2.5</v>
      </c>
      <c r="R23" s="85">
        <v>2.5</v>
      </c>
      <c r="S23" s="85">
        <v>2.5</v>
      </c>
      <c r="T23" s="85">
        <v>2.6</v>
      </c>
      <c r="U23" s="85">
        <v>2.7</v>
      </c>
      <c r="V23" s="86">
        <v>3.4</v>
      </c>
      <c r="W23" s="80">
        <v>3.4</v>
      </c>
      <c r="X23" s="69">
        <v>3.4</v>
      </c>
      <c r="Y23" s="69">
        <v>0</v>
      </c>
      <c r="Z23" s="69">
        <v>0</v>
      </c>
      <c r="AB23" s="421"/>
    </row>
    <row r="24" spans="1:28" s="49" customFormat="1">
      <c r="A24" s="45"/>
      <c r="B24" s="46"/>
      <c r="C24" s="48"/>
      <c r="D24" s="422"/>
      <c r="E24" s="422"/>
      <c r="F24" s="422"/>
      <c r="G24" s="83"/>
      <c r="H24" s="83"/>
      <c r="I24" s="83"/>
      <c r="J24" s="83"/>
      <c r="K24" s="83"/>
      <c r="L24" s="48"/>
      <c r="M24" s="48"/>
      <c r="N24" s="48"/>
      <c r="O24" s="48"/>
      <c r="P24" s="48"/>
      <c r="Q24" s="48"/>
      <c r="R24" s="48"/>
      <c r="S24" s="48"/>
      <c r="T24" s="48"/>
      <c r="U24" s="48"/>
      <c r="V24" s="48"/>
      <c r="W24" s="48"/>
      <c r="X24" s="48"/>
      <c r="Y24" s="48"/>
      <c r="Z24" s="48"/>
      <c r="AB24" s="421"/>
    </row>
    <row r="25" spans="1:28" ht="15.75" thickBot="1">
      <c r="A25" s="41" t="s">
        <v>23</v>
      </c>
      <c r="B25" s="42" t="s">
        <v>139</v>
      </c>
      <c r="C25" s="43">
        <v>0</v>
      </c>
      <c r="D25" s="81">
        <v>0.25</v>
      </c>
      <c r="E25" s="81">
        <v>0.5</v>
      </c>
      <c r="F25" s="81">
        <v>0.75</v>
      </c>
      <c r="G25" s="81">
        <v>1</v>
      </c>
      <c r="H25" s="81">
        <v>1.25</v>
      </c>
      <c r="I25" s="82">
        <v>1.5</v>
      </c>
      <c r="J25" s="81">
        <v>1.5</v>
      </c>
      <c r="K25" s="81">
        <v>1.5</v>
      </c>
      <c r="L25" s="44">
        <v>1.5</v>
      </c>
      <c r="M25" s="44">
        <v>1.5</v>
      </c>
      <c r="N25" s="43">
        <v>1.5</v>
      </c>
      <c r="O25" s="44">
        <v>1.575</v>
      </c>
      <c r="P25" s="44">
        <v>1.65</v>
      </c>
      <c r="Q25" s="44">
        <v>1.7249999999999999</v>
      </c>
      <c r="R25" s="43">
        <v>1.8</v>
      </c>
      <c r="S25" s="44">
        <v>1.9166666666666667</v>
      </c>
      <c r="T25" s="44">
        <v>2.0333333333333332</v>
      </c>
      <c r="U25" s="44">
        <v>2.15</v>
      </c>
      <c r="V25" s="44">
        <v>2.2666666666666666</v>
      </c>
      <c r="W25" s="44">
        <v>2.3833333333333333</v>
      </c>
      <c r="X25" s="44">
        <v>2.5</v>
      </c>
      <c r="Y25" s="43">
        <v>2.5</v>
      </c>
      <c r="Z25" s="44">
        <v>2.5</v>
      </c>
      <c r="AA25" s="38">
        <v>5</v>
      </c>
      <c r="AB25" s="420">
        <v>0.16</v>
      </c>
    </row>
    <row r="26" spans="1:28" s="49" customFormat="1" ht="15.75" thickBot="1">
      <c r="A26" s="45"/>
      <c r="B26" s="46" t="s">
        <v>140</v>
      </c>
      <c r="C26" s="79">
        <v>0</v>
      </c>
      <c r="D26" s="84">
        <v>0</v>
      </c>
      <c r="E26" s="85">
        <v>0</v>
      </c>
      <c r="F26" s="85">
        <v>0</v>
      </c>
      <c r="G26" s="85">
        <v>0</v>
      </c>
      <c r="H26" s="85">
        <v>0</v>
      </c>
      <c r="I26" s="85">
        <v>0</v>
      </c>
      <c r="J26" s="85">
        <v>0</v>
      </c>
      <c r="K26" s="85">
        <v>0</v>
      </c>
      <c r="L26" s="85">
        <v>0</v>
      </c>
      <c r="M26" s="85">
        <v>0</v>
      </c>
      <c r="N26" s="423">
        <v>1.5</v>
      </c>
      <c r="O26" s="424">
        <v>1.5</v>
      </c>
      <c r="P26" s="424">
        <v>1.5</v>
      </c>
      <c r="Q26" s="424">
        <v>1.8</v>
      </c>
      <c r="R26" s="85">
        <v>2.2000000000000002</v>
      </c>
      <c r="S26" s="85">
        <v>2.2000000000000002</v>
      </c>
      <c r="T26" s="85">
        <v>2.6</v>
      </c>
      <c r="U26" s="85">
        <v>2.6</v>
      </c>
      <c r="V26" s="86">
        <v>3.1</v>
      </c>
      <c r="W26" s="80">
        <v>3.1</v>
      </c>
      <c r="X26" s="69">
        <v>3.4</v>
      </c>
      <c r="Y26" s="69">
        <v>0</v>
      </c>
      <c r="Z26" s="69">
        <v>0</v>
      </c>
      <c r="AB26" s="421"/>
    </row>
    <row r="27" spans="1:28" s="49" customFormat="1">
      <c r="A27" s="45"/>
      <c r="B27" s="46"/>
      <c r="C27" s="48"/>
      <c r="D27" s="422"/>
      <c r="E27" s="422"/>
      <c r="F27" s="422"/>
      <c r="G27" s="83"/>
      <c r="H27" s="83"/>
      <c r="I27" s="83"/>
      <c r="J27" s="83"/>
      <c r="K27" s="83"/>
      <c r="L27" s="48"/>
      <c r="M27" s="48"/>
      <c r="N27" s="48"/>
      <c r="O27" s="48"/>
      <c r="P27" s="48"/>
      <c r="Q27" s="48"/>
      <c r="R27" s="48"/>
      <c r="S27" s="48"/>
      <c r="T27" s="48"/>
      <c r="U27" s="48"/>
      <c r="V27" s="48"/>
      <c r="W27" s="48"/>
      <c r="X27" s="48"/>
      <c r="Y27" s="48"/>
      <c r="Z27" s="48"/>
      <c r="AB27" s="421"/>
    </row>
    <row r="28" spans="1:28" ht="15.75" thickBot="1">
      <c r="A28" s="41" t="s">
        <v>38</v>
      </c>
      <c r="B28" s="42" t="s">
        <v>139</v>
      </c>
      <c r="C28" s="47"/>
      <c r="D28" s="47"/>
      <c r="E28" s="47"/>
      <c r="F28" s="47"/>
      <c r="G28" s="47"/>
      <c r="H28" s="47"/>
      <c r="I28" s="47"/>
      <c r="J28" s="47"/>
      <c r="K28" s="47"/>
      <c r="L28" s="47"/>
      <c r="M28" s="47"/>
      <c r="N28" s="43">
        <v>2.5</v>
      </c>
      <c r="O28" s="44">
        <v>2.5750000000000002</v>
      </c>
      <c r="P28" s="44">
        <v>2.6500000000000004</v>
      </c>
      <c r="Q28" s="44">
        <v>2.7250000000000005</v>
      </c>
      <c r="R28" s="43">
        <v>2.8</v>
      </c>
      <c r="S28" s="44">
        <v>2.833333333333333</v>
      </c>
      <c r="T28" s="44">
        <v>2.8666666666666663</v>
      </c>
      <c r="U28" s="44">
        <v>2.8999999999999995</v>
      </c>
      <c r="V28" s="44">
        <v>2.9333333333333327</v>
      </c>
      <c r="W28" s="44">
        <v>2.9666666666666659</v>
      </c>
      <c r="X28" s="44">
        <v>2.9999999999999991</v>
      </c>
      <c r="Y28" s="43">
        <v>3</v>
      </c>
      <c r="Z28" s="44">
        <v>3</v>
      </c>
      <c r="AA28" s="38">
        <v>5</v>
      </c>
      <c r="AB28" s="420">
        <v>0.16</v>
      </c>
    </row>
    <row r="29" spans="1:28" s="49" customFormat="1" ht="15.75" thickBot="1">
      <c r="A29" s="45"/>
      <c r="B29" s="46" t="s">
        <v>140</v>
      </c>
      <c r="C29" s="47"/>
      <c r="D29" s="47"/>
      <c r="E29" s="47"/>
      <c r="F29" s="47"/>
      <c r="G29" s="47"/>
      <c r="H29" s="47"/>
      <c r="I29" s="47"/>
      <c r="J29" s="47"/>
      <c r="K29" s="47"/>
      <c r="L29" s="47"/>
      <c r="M29" s="47"/>
      <c r="N29" s="47">
        <v>2.5</v>
      </c>
      <c r="O29" s="84">
        <v>2.5</v>
      </c>
      <c r="P29" s="424">
        <v>2.8</v>
      </c>
      <c r="Q29" s="424">
        <v>2.9</v>
      </c>
      <c r="R29" s="85">
        <v>2.9</v>
      </c>
      <c r="S29" s="85">
        <v>2.9</v>
      </c>
      <c r="T29" s="85">
        <v>3</v>
      </c>
      <c r="U29" s="85">
        <v>3</v>
      </c>
      <c r="V29" s="86">
        <v>3.3</v>
      </c>
      <c r="W29" s="80">
        <v>3.3</v>
      </c>
      <c r="X29" s="69">
        <v>3.5</v>
      </c>
      <c r="Y29" s="69">
        <v>0</v>
      </c>
      <c r="Z29" s="69">
        <v>0</v>
      </c>
      <c r="AB29" s="421"/>
    </row>
    <row r="30" spans="1:28" s="49" customFormat="1">
      <c r="A30" s="45"/>
      <c r="B30" s="46"/>
      <c r="C30" s="48"/>
      <c r="D30" s="48"/>
      <c r="E30" s="48"/>
      <c r="F30" s="48"/>
      <c r="G30" s="48"/>
      <c r="H30" s="48"/>
      <c r="I30" s="48"/>
      <c r="J30" s="48"/>
      <c r="K30" s="48"/>
      <c r="L30" s="48"/>
      <c r="M30" s="48"/>
      <c r="N30" s="48"/>
      <c r="O30" s="48"/>
      <c r="P30" s="48"/>
      <c r="Q30" s="48"/>
      <c r="R30" s="48"/>
      <c r="S30" s="48"/>
      <c r="T30" s="48"/>
      <c r="U30" s="48"/>
      <c r="V30" s="48"/>
      <c r="W30" s="48"/>
      <c r="X30" s="48"/>
      <c r="Y30" s="48"/>
      <c r="Z30" s="48"/>
      <c r="AB30" s="421"/>
    </row>
    <row r="31" spans="1:28" ht="15.75" thickBot="1">
      <c r="A31" s="41" t="s">
        <v>39</v>
      </c>
      <c r="B31" s="42" t="s">
        <v>139</v>
      </c>
      <c r="C31" s="50">
        <v>0</v>
      </c>
      <c r="D31" s="73">
        <v>0</v>
      </c>
      <c r="E31" s="73">
        <v>0</v>
      </c>
      <c r="F31" s="73">
        <v>0</v>
      </c>
      <c r="G31" s="73">
        <v>0</v>
      </c>
      <c r="H31" s="73">
        <v>0</v>
      </c>
      <c r="I31" s="74">
        <v>0</v>
      </c>
      <c r="J31" s="73">
        <v>0</v>
      </c>
      <c r="K31" s="73">
        <v>0</v>
      </c>
      <c r="L31" s="51">
        <v>0</v>
      </c>
      <c r="M31" s="51">
        <v>0</v>
      </c>
      <c r="N31" s="50">
        <v>0</v>
      </c>
      <c r="O31" s="51">
        <v>0.75</v>
      </c>
      <c r="P31" s="51">
        <v>1.5</v>
      </c>
      <c r="Q31" s="51">
        <v>2.25</v>
      </c>
      <c r="R31" s="50">
        <v>3</v>
      </c>
      <c r="S31" s="51">
        <v>3.5</v>
      </c>
      <c r="T31" s="51">
        <v>4</v>
      </c>
      <c r="U31" s="51">
        <v>4.5</v>
      </c>
      <c r="V31" s="51">
        <v>5</v>
      </c>
      <c r="W31" s="51">
        <v>11.333333333333332</v>
      </c>
      <c r="X31" s="51">
        <v>12.999999999999998</v>
      </c>
      <c r="Y31" s="50">
        <v>13</v>
      </c>
      <c r="Z31" s="51">
        <v>13</v>
      </c>
      <c r="AA31" s="38">
        <v>20</v>
      </c>
      <c r="AB31" s="420">
        <v>0.8</v>
      </c>
    </row>
    <row r="32" spans="1:28" s="49" customFormat="1" ht="15.75" thickBot="1">
      <c r="A32" s="45"/>
      <c r="B32" s="46" t="s">
        <v>140</v>
      </c>
      <c r="C32" s="71">
        <v>0</v>
      </c>
      <c r="D32" s="76">
        <v>0</v>
      </c>
      <c r="E32" s="77">
        <v>0</v>
      </c>
      <c r="F32" s="77">
        <v>0</v>
      </c>
      <c r="G32" s="77">
        <v>0</v>
      </c>
      <c r="H32" s="77">
        <v>0</v>
      </c>
      <c r="I32" s="77">
        <v>0</v>
      </c>
      <c r="J32" s="77">
        <v>0</v>
      </c>
      <c r="K32" s="77">
        <v>0</v>
      </c>
      <c r="L32" s="77">
        <v>0</v>
      </c>
      <c r="M32" s="77">
        <v>0</v>
      </c>
      <c r="N32" s="425">
        <v>0</v>
      </c>
      <c r="O32" s="426">
        <v>1</v>
      </c>
      <c r="P32" s="426">
        <v>6</v>
      </c>
      <c r="Q32" s="426">
        <v>6</v>
      </c>
      <c r="R32" s="77">
        <v>11</v>
      </c>
      <c r="S32" s="77">
        <v>15</v>
      </c>
      <c r="T32" s="77">
        <v>17</v>
      </c>
      <c r="U32" s="77">
        <v>17</v>
      </c>
      <c r="V32" s="78">
        <v>11</v>
      </c>
      <c r="W32" s="72">
        <v>11</v>
      </c>
      <c r="X32" s="70">
        <v>11</v>
      </c>
      <c r="Y32" s="70">
        <v>0</v>
      </c>
      <c r="Z32" s="70">
        <v>0</v>
      </c>
      <c r="AB32" s="421"/>
    </row>
    <row r="33" spans="1:28" s="49" customFormat="1">
      <c r="A33" s="45"/>
      <c r="B33" s="46"/>
      <c r="C33" s="53"/>
      <c r="D33" s="75"/>
      <c r="E33" s="75"/>
      <c r="F33" s="75"/>
      <c r="G33" s="75"/>
      <c r="H33" s="75"/>
      <c r="I33" s="75"/>
      <c r="J33" s="75"/>
      <c r="K33" s="75"/>
      <c r="L33" s="53"/>
      <c r="M33" s="53"/>
      <c r="N33" s="53"/>
      <c r="O33" s="53"/>
      <c r="P33" s="53"/>
      <c r="Q33" s="53"/>
      <c r="R33" s="53"/>
      <c r="S33" s="53"/>
      <c r="T33" s="53"/>
      <c r="U33" s="53"/>
      <c r="V33" s="53"/>
      <c r="W33" s="53"/>
      <c r="X33" s="53"/>
      <c r="Y33" s="53"/>
      <c r="Z33" s="53"/>
      <c r="AB33" s="421"/>
    </row>
    <row r="34" spans="1:28" ht="15.75" thickBot="1">
      <c r="A34" s="41" t="s">
        <v>185</v>
      </c>
      <c r="B34" s="42" t="s">
        <v>222</v>
      </c>
      <c r="C34" s="50">
        <v>0</v>
      </c>
      <c r="D34" s="73">
        <v>0</v>
      </c>
      <c r="E34" s="73">
        <v>0</v>
      </c>
      <c r="F34" s="73">
        <v>0</v>
      </c>
      <c r="G34" s="73">
        <v>0</v>
      </c>
      <c r="H34" s="73">
        <v>0</v>
      </c>
      <c r="I34" s="74">
        <v>0</v>
      </c>
      <c r="J34" s="73">
        <v>0</v>
      </c>
      <c r="K34" s="73">
        <v>0</v>
      </c>
      <c r="L34" s="51">
        <v>0</v>
      </c>
      <c r="M34" s="51">
        <v>0</v>
      </c>
      <c r="N34" s="50">
        <v>0</v>
      </c>
      <c r="O34" s="51">
        <v>0.25</v>
      </c>
      <c r="P34" s="51">
        <v>0.5</v>
      </c>
      <c r="Q34" s="51">
        <v>0.75</v>
      </c>
      <c r="R34" s="50">
        <v>1</v>
      </c>
      <c r="S34" s="51">
        <v>1.3333333333333333</v>
      </c>
      <c r="T34" s="51">
        <v>1.6666666666666665</v>
      </c>
      <c r="U34" s="51">
        <v>1.9999999999999998</v>
      </c>
      <c r="V34" s="51">
        <v>2.333333333333333</v>
      </c>
      <c r="W34" s="51">
        <v>2.6666666666666665</v>
      </c>
      <c r="X34" s="51">
        <v>3</v>
      </c>
      <c r="Y34" s="50">
        <v>3</v>
      </c>
      <c r="Z34" s="51">
        <v>3</v>
      </c>
      <c r="AA34" s="38">
        <v>15</v>
      </c>
      <c r="AB34" s="420">
        <v>0.6</v>
      </c>
    </row>
    <row r="35" spans="1:28" s="49" customFormat="1" ht="15.75" thickBot="1">
      <c r="A35" s="45"/>
      <c r="B35" s="46" t="s">
        <v>223</v>
      </c>
      <c r="C35" s="71">
        <v>0</v>
      </c>
      <c r="D35" s="76">
        <v>0</v>
      </c>
      <c r="E35" s="77">
        <v>0</v>
      </c>
      <c r="F35" s="77">
        <v>0</v>
      </c>
      <c r="G35" s="77">
        <v>0</v>
      </c>
      <c r="H35" s="77">
        <v>0</v>
      </c>
      <c r="I35" s="77">
        <v>0</v>
      </c>
      <c r="J35" s="77">
        <v>0</v>
      </c>
      <c r="K35" s="77">
        <v>0</v>
      </c>
      <c r="L35" s="77">
        <v>0</v>
      </c>
      <c r="M35" s="77">
        <v>0</v>
      </c>
      <c r="N35" s="425">
        <v>0</v>
      </c>
      <c r="O35" s="426">
        <v>1</v>
      </c>
      <c r="P35" s="426">
        <v>3</v>
      </c>
      <c r="Q35" s="426">
        <v>1</v>
      </c>
      <c r="R35" s="77">
        <v>3</v>
      </c>
      <c r="S35" s="77">
        <v>5</v>
      </c>
      <c r="T35" s="77">
        <v>5</v>
      </c>
      <c r="U35" s="77">
        <v>6</v>
      </c>
      <c r="V35" s="78">
        <v>4</v>
      </c>
      <c r="W35" s="72">
        <v>4</v>
      </c>
      <c r="X35" s="70">
        <v>4</v>
      </c>
      <c r="Y35" s="70">
        <v>0</v>
      </c>
      <c r="Z35" s="70">
        <v>0</v>
      </c>
      <c r="AB35" s="421"/>
    </row>
    <row r="36" spans="1:28" s="49" customFormat="1">
      <c r="A36" s="45"/>
      <c r="B36" s="46"/>
      <c r="C36" s="53"/>
      <c r="D36" s="75"/>
      <c r="E36" s="75"/>
      <c r="F36" s="75"/>
      <c r="G36" s="75"/>
      <c r="H36" s="75"/>
      <c r="I36" s="75"/>
      <c r="J36" s="75"/>
      <c r="K36" s="75"/>
      <c r="L36" s="53"/>
      <c r="M36" s="53"/>
      <c r="N36" s="53"/>
      <c r="O36" s="53"/>
      <c r="P36" s="53"/>
      <c r="Q36" s="53"/>
      <c r="R36" s="53"/>
      <c r="S36" s="53"/>
      <c r="T36" s="53"/>
      <c r="U36" s="53"/>
      <c r="V36" s="53"/>
      <c r="W36" s="53"/>
      <c r="X36" s="53"/>
      <c r="Y36" s="53"/>
      <c r="Z36" s="53"/>
      <c r="AB36" s="421"/>
    </row>
    <row r="37" spans="1:28" ht="15.75" thickBot="1">
      <c r="A37" s="41" t="s">
        <v>184</v>
      </c>
      <c r="B37" s="42" t="s">
        <v>226</v>
      </c>
      <c r="C37" s="50">
        <v>0</v>
      </c>
      <c r="D37" s="73">
        <v>0</v>
      </c>
      <c r="E37" s="73">
        <v>0</v>
      </c>
      <c r="F37" s="73">
        <v>0</v>
      </c>
      <c r="G37" s="73">
        <v>0</v>
      </c>
      <c r="H37" s="73">
        <v>0</v>
      </c>
      <c r="I37" s="74">
        <v>0</v>
      </c>
      <c r="J37" s="73">
        <v>0</v>
      </c>
      <c r="K37" s="73">
        <v>0</v>
      </c>
      <c r="L37" s="51">
        <v>0</v>
      </c>
      <c r="M37" s="51">
        <v>0</v>
      </c>
      <c r="N37" s="50">
        <v>0</v>
      </c>
      <c r="O37" s="51">
        <v>0.25</v>
      </c>
      <c r="P37" s="51">
        <v>0.5</v>
      </c>
      <c r="Q37" s="51">
        <v>0.75</v>
      </c>
      <c r="R37" s="50">
        <v>1</v>
      </c>
      <c r="S37" s="51">
        <v>1.1666666666666667</v>
      </c>
      <c r="T37" s="51">
        <v>1.3333333333333335</v>
      </c>
      <c r="U37" s="51">
        <v>1.5000000000000002</v>
      </c>
      <c r="V37" s="51">
        <v>1.666666666666667</v>
      </c>
      <c r="W37" s="51">
        <v>1.8333333333333337</v>
      </c>
      <c r="X37" s="51">
        <v>2.0000000000000004</v>
      </c>
      <c r="Y37" s="50">
        <v>2</v>
      </c>
      <c r="Z37" s="51">
        <v>2</v>
      </c>
      <c r="AA37" s="38">
        <v>10</v>
      </c>
      <c r="AB37" s="420">
        <v>0.4</v>
      </c>
    </row>
    <row r="38" spans="1:28" s="49" customFormat="1" ht="15.75" thickBot="1">
      <c r="A38" s="45"/>
      <c r="B38" s="46" t="s">
        <v>227</v>
      </c>
      <c r="C38" s="71">
        <v>0</v>
      </c>
      <c r="D38" s="76">
        <v>0</v>
      </c>
      <c r="E38" s="77">
        <v>0</v>
      </c>
      <c r="F38" s="77">
        <v>0</v>
      </c>
      <c r="G38" s="77">
        <v>0</v>
      </c>
      <c r="H38" s="77">
        <v>0</v>
      </c>
      <c r="I38" s="77">
        <v>0</v>
      </c>
      <c r="J38" s="77">
        <v>0</v>
      </c>
      <c r="K38" s="77">
        <v>0</v>
      </c>
      <c r="L38" s="77">
        <v>0</v>
      </c>
      <c r="M38" s="77">
        <v>0</v>
      </c>
      <c r="N38" s="425">
        <v>0</v>
      </c>
      <c r="O38" s="426">
        <v>0</v>
      </c>
      <c r="P38" s="426">
        <v>3</v>
      </c>
      <c r="Q38" s="426">
        <v>0</v>
      </c>
      <c r="R38" s="77">
        <v>1</v>
      </c>
      <c r="S38" s="77">
        <v>3</v>
      </c>
      <c r="T38" s="77">
        <v>3</v>
      </c>
      <c r="U38" s="77">
        <v>4</v>
      </c>
      <c r="V38" s="78">
        <v>5</v>
      </c>
      <c r="W38" s="72">
        <v>5</v>
      </c>
      <c r="X38" s="70">
        <v>5</v>
      </c>
      <c r="Y38" s="70">
        <v>0</v>
      </c>
      <c r="Z38" s="70">
        <v>0</v>
      </c>
      <c r="AB38" s="421"/>
    </row>
    <row r="39" spans="1:28" s="49" customFormat="1">
      <c r="A39" s="45"/>
      <c r="B39" s="46"/>
      <c r="C39" s="53"/>
      <c r="D39" s="75"/>
      <c r="E39" s="75"/>
      <c r="F39" s="75"/>
      <c r="G39" s="75"/>
      <c r="H39" s="75"/>
      <c r="I39" s="75"/>
      <c r="J39" s="75"/>
      <c r="K39" s="75"/>
      <c r="L39" s="53"/>
      <c r="M39" s="53"/>
      <c r="N39" s="53"/>
      <c r="O39" s="53"/>
      <c r="P39" s="53"/>
      <c r="Q39" s="53"/>
      <c r="R39" s="53"/>
      <c r="S39" s="53"/>
      <c r="T39" s="53"/>
      <c r="U39" s="53"/>
      <c r="V39" s="53"/>
      <c r="W39" s="53"/>
      <c r="X39" s="53"/>
      <c r="Y39" s="53"/>
      <c r="Z39" s="53"/>
      <c r="AB39" s="421"/>
    </row>
    <row r="40" spans="1:28" ht="15.75" thickBot="1">
      <c r="A40" s="41" t="s">
        <v>183</v>
      </c>
      <c r="B40" s="42" t="s">
        <v>224</v>
      </c>
      <c r="C40" s="50">
        <v>0</v>
      </c>
      <c r="D40" s="73">
        <v>0</v>
      </c>
      <c r="E40" s="73">
        <v>0</v>
      </c>
      <c r="F40" s="73">
        <v>0</v>
      </c>
      <c r="G40" s="73">
        <v>0</v>
      </c>
      <c r="H40" s="73">
        <v>0</v>
      </c>
      <c r="I40" s="74">
        <v>0</v>
      </c>
      <c r="J40" s="73">
        <v>0</v>
      </c>
      <c r="K40" s="73">
        <v>0</v>
      </c>
      <c r="L40" s="51">
        <v>0</v>
      </c>
      <c r="M40" s="51">
        <v>0</v>
      </c>
      <c r="N40" s="50">
        <v>0</v>
      </c>
      <c r="O40" s="51">
        <v>0</v>
      </c>
      <c r="P40" s="51">
        <v>0</v>
      </c>
      <c r="Q40" s="51">
        <v>0</v>
      </c>
      <c r="R40" s="50">
        <v>0</v>
      </c>
      <c r="S40" s="51">
        <v>0.16666666666666666</v>
      </c>
      <c r="T40" s="51">
        <v>0.33333333333333331</v>
      </c>
      <c r="U40" s="51">
        <v>0.5</v>
      </c>
      <c r="V40" s="51">
        <v>0.66666666666666663</v>
      </c>
      <c r="W40" s="51">
        <v>0.83333333333333326</v>
      </c>
      <c r="X40" s="51">
        <v>0.99999999999999989</v>
      </c>
      <c r="Y40" s="50">
        <v>1</v>
      </c>
      <c r="Z40" s="51">
        <v>1</v>
      </c>
      <c r="AA40" s="38">
        <v>5</v>
      </c>
      <c r="AB40" s="420">
        <v>0.2</v>
      </c>
    </row>
    <row r="41" spans="1:28" s="49" customFormat="1" ht="15.75" thickBot="1">
      <c r="A41" s="45"/>
      <c r="B41" s="46" t="s">
        <v>225</v>
      </c>
      <c r="C41" s="71">
        <v>0</v>
      </c>
      <c r="D41" s="76">
        <v>0</v>
      </c>
      <c r="E41" s="77">
        <v>0</v>
      </c>
      <c r="F41" s="77">
        <v>0</v>
      </c>
      <c r="G41" s="77">
        <v>0</v>
      </c>
      <c r="H41" s="77">
        <v>0</v>
      </c>
      <c r="I41" s="77">
        <v>0</v>
      </c>
      <c r="J41" s="77">
        <v>0</v>
      </c>
      <c r="K41" s="77">
        <v>0</v>
      </c>
      <c r="L41" s="77">
        <v>0</v>
      </c>
      <c r="M41" s="77">
        <v>0</v>
      </c>
      <c r="N41" s="425">
        <v>0</v>
      </c>
      <c r="O41" s="426">
        <v>0</v>
      </c>
      <c r="P41" s="426">
        <v>0</v>
      </c>
      <c r="Q41" s="426">
        <v>0</v>
      </c>
      <c r="R41" s="77">
        <v>0</v>
      </c>
      <c r="S41" s="77">
        <v>0</v>
      </c>
      <c r="T41" s="77">
        <v>0</v>
      </c>
      <c r="U41" s="77">
        <v>0</v>
      </c>
      <c r="V41" s="78">
        <v>0</v>
      </c>
      <c r="W41" s="72">
        <v>0</v>
      </c>
      <c r="X41" s="70">
        <v>0</v>
      </c>
      <c r="Y41" s="70">
        <v>0</v>
      </c>
      <c r="Z41" s="70">
        <v>0</v>
      </c>
      <c r="AB41" s="421"/>
    </row>
    <row r="42" spans="1:28" s="49" customFormat="1">
      <c r="A42" s="45"/>
      <c r="B42" s="46"/>
      <c r="C42" s="48"/>
      <c r="D42" s="83"/>
      <c r="E42" s="83"/>
      <c r="F42" s="83"/>
      <c r="G42" s="83"/>
      <c r="H42" s="83"/>
      <c r="I42" s="83"/>
      <c r="J42" s="83"/>
      <c r="K42" s="83"/>
      <c r="L42" s="48"/>
      <c r="M42" s="48"/>
      <c r="N42" s="48"/>
      <c r="O42" s="48"/>
      <c r="P42" s="48"/>
      <c r="Q42" s="48"/>
      <c r="R42" s="48"/>
      <c r="S42" s="48"/>
      <c r="T42" s="48"/>
      <c r="U42" s="48"/>
      <c r="V42" s="48"/>
      <c r="W42" s="48"/>
      <c r="X42" s="48"/>
      <c r="Y42" s="48"/>
      <c r="Z42" s="48"/>
      <c r="AB42" s="421"/>
    </row>
    <row r="43" spans="1:28" ht="15.75" thickBot="1">
      <c r="A43" s="41" t="s">
        <v>16</v>
      </c>
      <c r="B43" s="42" t="s">
        <v>139</v>
      </c>
      <c r="C43" s="43">
        <v>0</v>
      </c>
      <c r="D43" s="81">
        <v>0.16666666666666666</v>
      </c>
      <c r="E43" s="81">
        <v>0.33333333333333331</v>
      </c>
      <c r="F43" s="81">
        <v>0.5</v>
      </c>
      <c r="G43" s="81">
        <v>0.66666666666666663</v>
      </c>
      <c r="H43" s="81">
        <v>0.83333333333333326</v>
      </c>
      <c r="I43" s="82">
        <v>1</v>
      </c>
      <c r="J43" s="81">
        <v>1</v>
      </c>
      <c r="K43" s="81">
        <v>1</v>
      </c>
      <c r="L43" s="44">
        <v>1</v>
      </c>
      <c r="M43" s="44">
        <v>1</v>
      </c>
      <c r="N43" s="43">
        <v>1</v>
      </c>
      <c r="O43" s="44">
        <v>1.125</v>
      </c>
      <c r="P43" s="44">
        <v>1.25</v>
      </c>
      <c r="Q43" s="44">
        <v>1.375</v>
      </c>
      <c r="R43" s="43">
        <v>1.5</v>
      </c>
      <c r="S43" s="44">
        <v>1.75</v>
      </c>
      <c r="T43" s="44">
        <v>2</v>
      </c>
      <c r="U43" s="44">
        <v>2.25</v>
      </c>
      <c r="V43" s="44">
        <v>2.5</v>
      </c>
      <c r="W43" s="44">
        <v>2.75</v>
      </c>
      <c r="X43" s="44">
        <v>3</v>
      </c>
      <c r="Y43" s="43">
        <v>3</v>
      </c>
      <c r="Z43" s="44">
        <v>3</v>
      </c>
      <c r="AA43" s="38">
        <v>5</v>
      </c>
      <c r="AB43" s="420">
        <v>0.16</v>
      </c>
    </row>
    <row r="44" spans="1:28" s="49" customFormat="1" ht="15.75" thickBot="1">
      <c r="A44" s="45"/>
      <c r="B44" s="46" t="s">
        <v>140</v>
      </c>
      <c r="C44" s="79">
        <v>0</v>
      </c>
      <c r="D44" s="84">
        <v>0</v>
      </c>
      <c r="E44" s="85">
        <v>0</v>
      </c>
      <c r="F44" s="85">
        <v>0</v>
      </c>
      <c r="G44" s="85">
        <v>0</v>
      </c>
      <c r="H44" s="85">
        <v>0</v>
      </c>
      <c r="I44" s="85">
        <v>0</v>
      </c>
      <c r="J44" s="85">
        <v>0</v>
      </c>
      <c r="K44" s="85">
        <v>0</v>
      </c>
      <c r="L44" s="85">
        <v>0</v>
      </c>
      <c r="M44" s="85">
        <v>0</v>
      </c>
      <c r="N44" s="423">
        <v>1</v>
      </c>
      <c r="O44" s="424">
        <v>1</v>
      </c>
      <c r="P44" s="424">
        <v>1</v>
      </c>
      <c r="Q44" s="424">
        <v>1.8</v>
      </c>
      <c r="R44" s="85">
        <v>1.8</v>
      </c>
      <c r="S44" s="85">
        <v>2.2999999999999998</v>
      </c>
      <c r="T44" s="85">
        <v>2.6</v>
      </c>
      <c r="U44" s="85">
        <v>2.6</v>
      </c>
      <c r="V44" s="86">
        <v>2.9</v>
      </c>
      <c r="W44" s="80">
        <v>2.9</v>
      </c>
      <c r="X44" s="69">
        <v>3.3</v>
      </c>
      <c r="Y44" s="69">
        <v>0</v>
      </c>
      <c r="Z44" s="69">
        <v>0</v>
      </c>
      <c r="AB44" s="421"/>
    </row>
    <row r="45" spans="1:28" s="49" customFormat="1">
      <c r="A45" s="45"/>
      <c r="B45" s="46"/>
      <c r="C45" s="48"/>
      <c r="D45" s="83"/>
      <c r="E45" s="83"/>
      <c r="F45" s="83"/>
      <c r="G45" s="83"/>
      <c r="H45" s="83"/>
      <c r="I45" s="83"/>
      <c r="J45" s="83"/>
      <c r="K45" s="83"/>
      <c r="L45" s="48"/>
      <c r="M45" s="48"/>
      <c r="N45" s="48"/>
      <c r="O45" s="48"/>
      <c r="P45" s="48"/>
      <c r="Q45" s="48"/>
      <c r="R45" s="48"/>
      <c r="S45" s="48"/>
      <c r="T45" s="48"/>
      <c r="U45" s="48"/>
      <c r="V45" s="48"/>
      <c r="W45" s="48"/>
      <c r="X45" s="48"/>
      <c r="Y45" s="48"/>
      <c r="Z45" s="48"/>
      <c r="AB45" s="421"/>
    </row>
    <row r="46" spans="1:28" ht="15.75" thickBot="1">
      <c r="A46" s="41" t="s">
        <v>17</v>
      </c>
      <c r="B46" s="42" t="s">
        <v>139</v>
      </c>
      <c r="C46" s="43">
        <v>0</v>
      </c>
      <c r="D46" s="81">
        <v>0.16666666666666666</v>
      </c>
      <c r="E46" s="81">
        <v>0.33333333333333331</v>
      </c>
      <c r="F46" s="81">
        <v>0.5</v>
      </c>
      <c r="G46" s="81">
        <v>0.66666666666666663</v>
      </c>
      <c r="H46" s="81">
        <v>0.83333333333333326</v>
      </c>
      <c r="I46" s="82">
        <v>1</v>
      </c>
      <c r="J46" s="81">
        <v>1</v>
      </c>
      <c r="K46" s="81">
        <v>1</v>
      </c>
      <c r="L46" s="44">
        <v>1</v>
      </c>
      <c r="M46" s="44">
        <v>1</v>
      </c>
      <c r="N46" s="43">
        <v>1</v>
      </c>
      <c r="O46" s="44">
        <v>1.1000000000000001</v>
      </c>
      <c r="P46" s="44">
        <v>1.2000000000000002</v>
      </c>
      <c r="Q46" s="44">
        <v>1.3000000000000003</v>
      </c>
      <c r="R46" s="43">
        <v>1.4</v>
      </c>
      <c r="S46" s="44">
        <v>1.5833333333333333</v>
      </c>
      <c r="T46" s="44">
        <v>1.7666666666666666</v>
      </c>
      <c r="U46" s="44">
        <v>1.95</v>
      </c>
      <c r="V46" s="44">
        <v>2.1333333333333333</v>
      </c>
      <c r="W46" s="44">
        <v>2.7333333333333329</v>
      </c>
      <c r="X46" s="44">
        <v>2.9999999999999996</v>
      </c>
      <c r="Y46" s="43">
        <v>3</v>
      </c>
      <c r="Z46" s="44">
        <v>3</v>
      </c>
      <c r="AA46" s="38">
        <v>5</v>
      </c>
      <c r="AB46" s="420">
        <v>0.16</v>
      </c>
    </row>
    <row r="47" spans="1:28" s="49" customFormat="1" ht="15.75" thickBot="1">
      <c r="A47" s="45"/>
      <c r="B47" s="46" t="s">
        <v>140</v>
      </c>
      <c r="C47" s="79">
        <v>0</v>
      </c>
      <c r="D47" s="84">
        <v>0</v>
      </c>
      <c r="E47" s="85">
        <v>0</v>
      </c>
      <c r="F47" s="85">
        <v>0</v>
      </c>
      <c r="G47" s="85">
        <v>0</v>
      </c>
      <c r="H47" s="85">
        <v>0</v>
      </c>
      <c r="I47" s="85">
        <v>0</v>
      </c>
      <c r="J47" s="85">
        <v>0</v>
      </c>
      <c r="K47" s="85">
        <v>0</v>
      </c>
      <c r="L47" s="85">
        <v>0</v>
      </c>
      <c r="M47" s="85">
        <v>0</v>
      </c>
      <c r="N47" s="423">
        <v>1</v>
      </c>
      <c r="O47" s="424">
        <v>1</v>
      </c>
      <c r="P47" s="424">
        <v>1.2</v>
      </c>
      <c r="Q47" s="424">
        <v>1.7</v>
      </c>
      <c r="R47" s="85">
        <v>1.6</v>
      </c>
      <c r="S47" s="85">
        <v>2.5</v>
      </c>
      <c r="T47" s="85">
        <v>2.9</v>
      </c>
      <c r="U47" s="85">
        <v>2.9</v>
      </c>
      <c r="V47" s="86">
        <v>3.3</v>
      </c>
      <c r="W47" s="80">
        <v>3.3</v>
      </c>
      <c r="X47" s="69">
        <v>3.5</v>
      </c>
      <c r="Y47" s="69">
        <v>0</v>
      </c>
      <c r="Z47" s="69">
        <v>0</v>
      </c>
      <c r="AB47" s="421"/>
    </row>
    <row r="48" spans="1:28" s="49" customFormat="1">
      <c r="A48" s="45"/>
      <c r="B48" s="46"/>
      <c r="C48" s="48"/>
      <c r="D48" s="83"/>
      <c r="E48" s="83"/>
      <c r="F48" s="83"/>
      <c r="G48" s="83"/>
      <c r="H48" s="83"/>
      <c r="I48" s="83"/>
      <c r="J48" s="83"/>
      <c r="K48" s="83"/>
      <c r="L48" s="48"/>
      <c r="M48" s="48"/>
      <c r="N48" s="48"/>
      <c r="O48" s="48"/>
      <c r="P48" s="48"/>
      <c r="Q48" s="48"/>
      <c r="R48" s="48"/>
      <c r="S48" s="48"/>
      <c r="T48" s="48"/>
      <c r="U48" s="48"/>
      <c r="V48" s="48"/>
      <c r="W48" s="48"/>
      <c r="X48" s="48"/>
      <c r="Y48" s="48"/>
      <c r="Z48" s="48"/>
      <c r="AB48" s="421"/>
    </row>
    <row r="49" spans="1:28" ht="15.75" thickBot="1">
      <c r="A49" s="41" t="s">
        <v>18</v>
      </c>
      <c r="B49" s="42" t="s">
        <v>139</v>
      </c>
      <c r="C49" s="50">
        <v>0</v>
      </c>
      <c r="D49" s="73">
        <v>0</v>
      </c>
      <c r="E49" s="73">
        <v>0</v>
      </c>
      <c r="F49" s="73">
        <v>0</v>
      </c>
      <c r="G49" s="73">
        <v>0</v>
      </c>
      <c r="H49" s="73">
        <v>0</v>
      </c>
      <c r="I49" s="74">
        <v>0</v>
      </c>
      <c r="J49" s="73">
        <v>0</v>
      </c>
      <c r="K49" s="73">
        <v>0</v>
      </c>
      <c r="L49" s="51">
        <v>0</v>
      </c>
      <c r="M49" s="51">
        <v>0</v>
      </c>
      <c r="N49" s="50">
        <v>0</v>
      </c>
      <c r="O49" s="51">
        <v>0.5</v>
      </c>
      <c r="P49" s="51">
        <v>1</v>
      </c>
      <c r="Q49" s="51">
        <v>1.5</v>
      </c>
      <c r="R49" s="50">
        <v>2</v>
      </c>
      <c r="S49" s="51">
        <v>2.3333333333333335</v>
      </c>
      <c r="T49" s="51">
        <v>2.666666666666667</v>
      </c>
      <c r="U49" s="51">
        <v>3.0000000000000004</v>
      </c>
      <c r="V49" s="51">
        <v>3.3333333333333339</v>
      </c>
      <c r="W49" s="51">
        <v>3.6666666666666674</v>
      </c>
      <c r="X49" s="51">
        <v>4.0000000000000009</v>
      </c>
      <c r="Y49" s="50">
        <v>4</v>
      </c>
      <c r="Z49" s="51">
        <v>4</v>
      </c>
      <c r="AA49" s="38">
        <v>10</v>
      </c>
      <c r="AB49" s="420">
        <v>0.4</v>
      </c>
    </row>
    <row r="50" spans="1:28" s="49" customFormat="1" ht="15.75" thickBot="1">
      <c r="A50" s="45"/>
      <c r="B50" s="46" t="s">
        <v>140</v>
      </c>
      <c r="C50" s="71">
        <v>0</v>
      </c>
      <c r="D50" s="76">
        <v>0</v>
      </c>
      <c r="E50" s="77">
        <v>0</v>
      </c>
      <c r="F50" s="77">
        <v>0</v>
      </c>
      <c r="G50" s="77">
        <v>0</v>
      </c>
      <c r="H50" s="77">
        <v>0</v>
      </c>
      <c r="I50" s="77">
        <v>0</v>
      </c>
      <c r="J50" s="77">
        <v>0</v>
      </c>
      <c r="K50" s="77">
        <v>0</v>
      </c>
      <c r="L50" s="77">
        <v>0</v>
      </c>
      <c r="M50" s="77">
        <v>0</v>
      </c>
      <c r="N50" s="425">
        <v>0</v>
      </c>
      <c r="O50" s="426">
        <v>0</v>
      </c>
      <c r="P50" s="426">
        <v>1</v>
      </c>
      <c r="Q50" s="426">
        <v>1</v>
      </c>
      <c r="R50" s="85">
        <v>3</v>
      </c>
      <c r="S50" s="85">
        <v>3</v>
      </c>
      <c r="T50" s="85">
        <v>4</v>
      </c>
      <c r="U50" s="85">
        <v>4</v>
      </c>
      <c r="V50" s="86">
        <v>6</v>
      </c>
      <c r="W50" s="80">
        <v>5</v>
      </c>
      <c r="X50" s="69">
        <v>6</v>
      </c>
      <c r="Y50" s="69">
        <v>0</v>
      </c>
      <c r="Z50" s="69">
        <v>0</v>
      </c>
      <c r="AB50" s="421"/>
    </row>
    <row r="51" spans="1:28" s="49" customFormat="1">
      <c r="A51" s="45"/>
      <c r="B51" s="46"/>
      <c r="C51" s="48"/>
      <c r="D51" s="83"/>
      <c r="E51" s="83"/>
      <c r="F51" s="83"/>
      <c r="G51" s="83"/>
      <c r="H51" s="83"/>
      <c r="I51" s="83"/>
      <c r="J51" s="83"/>
      <c r="K51" s="83"/>
      <c r="L51" s="48"/>
      <c r="M51" s="48"/>
      <c r="N51" s="48"/>
      <c r="O51" s="48"/>
      <c r="P51" s="48"/>
      <c r="Q51" s="48"/>
      <c r="R51" s="48"/>
      <c r="S51" s="48"/>
      <c r="T51" s="48"/>
      <c r="U51" s="48"/>
      <c r="V51" s="48"/>
      <c r="W51" s="48"/>
      <c r="X51" s="48"/>
      <c r="Y51" s="48"/>
      <c r="Z51" s="48"/>
      <c r="AB51" s="421"/>
    </row>
    <row r="52" spans="1:28" ht="15.75" thickBot="1">
      <c r="A52" s="41" t="s">
        <v>19</v>
      </c>
      <c r="B52" s="42" t="s">
        <v>139</v>
      </c>
      <c r="C52" s="43">
        <v>0</v>
      </c>
      <c r="D52" s="81">
        <v>0.16666666666666666</v>
      </c>
      <c r="E52" s="81">
        <v>0.33333333333333331</v>
      </c>
      <c r="F52" s="81">
        <v>0.5</v>
      </c>
      <c r="G52" s="81">
        <v>0.66666666666666663</v>
      </c>
      <c r="H52" s="81">
        <v>0.83333333333333326</v>
      </c>
      <c r="I52" s="82">
        <v>1</v>
      </c>
      <c r="J52" s="81">
        <v>1</v>
      </c>
      <c r="K52" s="81">
        <v>1</v>
      </c>
      <c r="L52" s="44">
        <v>1</v>
      </c>
      <c r="M52" s="44">
        <v>1</v>
      </c>
      <c r="N52" s="43">
        <v>1</v>
      </c>
      <c r="O52" s="44">
        <v>1.125</v>
      </c>
      <c r="P52" s="44">
        <v>1.25</v>
      </c>
      <c r="Q52" s="44">
        <v>1.375</v>
      </c>
      <c r="R52" s="43">
        <v>1.5</v>
      </c>
      <c r="S52" s="44">
        <v>1.75</v>
      </c>
      <c r="T52" s="44">
        <v>2</v>
      </c>
      <c r="U52" s="44">
        <v>2.25</v>
      </c>
      <c r="V52" s="44">
        <v>2.5</v>
      </c>
      <c r="W52" s="44">
        <v>2.75</v>
      </c>
      <c r="X52" s="44">
        <v>3</v>
      </c>
      <c r="Y52" s="43">
        <v>3</v>
      </c>
      <c r="Z52" s="44">
        <v>3</v>
      </c>
      <c r="AA52" s="38">
        <v>5</v>
      </c>
      <c r="AB52" s="420">
        <v>0.16</v>
      </c>
    </row>
    <row r="53" spans="1:28" s="49" customFormat="1" ht="15.75" thickBot="1">
      <c r="A53" s="45"/>
      <c r="B53" s="46" t="s">
        <v>140</v>
      </c>
      <c r="C53" s="79">
        <v>0</v>
      </c>
      <c r="D53" s="84">
        <v>0</v>
      </c>
      <c r="E53" s="85">
        <v>0</v>
      </c>
      <c r="F53" s="85">
        <v>0</v>
      </c>
      <c r="G53" s="85">
        <v>0</v>
      </c>
      <c r="H53" s="85">
        <v>0</v>
      </c>
      <c r="I53" s="85">
        <v>0</v>
      </c>
      <c r="J53" s="85">
        <v>0</v>
      </c>
      <c r="K53" s="85">
        <v>0</v>
      </c>
      <c r="L53" s="85">
        <v>0</v>
      </c>
      <c r="M53" s="85">
        <v>0</v>
      </c>
      <c r="N53" s="423">
        <v>1</v>
      </c>
      <c r="O53" s="424">
        <v>1</v>
      </c>
      <c r="P53" s="424">
        <v>1.3</v>
      </c>
      <c r="Q53" s="424">
        <v>2</v>
      </c>
      <c r="R53" s="85">
        <v>2.1</v>
      </c>
      <c r="S53" s="85">
        <v>2.2000000000000002</v>
      </c>
      <c r="T53" s="85">
        <v>2.2000000000000002</v>
      </c>
      <c r="U53" s="85">
        <v>3</v>
      </c>
      <c r="V53" s="86">
        <v>3.1</v>
      </c>
      <c r="W53" s="80">
        <v>3.1</v>
      </c>
      <c r="X53" s="69">
        <v>3.4</v>
      </c>
      <c r="Y53" s="69">
        <v>0</v>
      </c>
      <c r="Z53" s="69">
        <v>0</v>
      </c>
      <c r="AB53" s="421"/>
    </row>
    <row r="54" spans="1:28" s="49" customFormat="1">
      <c r="A54" s="45"/>
      <c r="B54" s="46"/>
      <c r="C54" s="48"/>
      <c r="D54" s="83"/>
      <c r="E54" s="83"/>
      <c r="F54" s="83"/>
      <c r="G54" s="83"/>
      <c r="H54" s="83"/>
      <c r="I54" s="83"/>
      <c r="J54" s="83"/>
      <c r="K54" s="83"/>
      <c r="L54" s="48"/>
      <c r="M54" s="48"/>
      <c r="N54" s="48"/>
      <c r="O54" s="48"/>
      <c r="P54" s="48"/>
      <c r="Q54" s="48"/>
      <c r="R54" s="48"/>
      <c r="S54" s="48"/>
      <c r="T54" s="48"/>
      <c r="U54" s="48"/>
      <c r="V54" s="48"/>
      <c r="W54" s="48"/>
      <c r="X54" s="48"/>
      <c r="Y54" s="48"/>
      <c r="Z54" s="48"/>
      <c r="AB54" s="421"/>
    </row>
    <row r="55" spans="1:28" ht="15.75" thickBot="1">
      <c r="A55" s="41" t="s">
        <v>20</v>
      </c>
      <c r="B55" s="42" t="s">
        <v>139</v>
      </c>
      <c r="C55" s="43">
        <v>0</v>
      </c>
      <c r="D55" s="81">
        <v>0.16666666666666666</v>
      </c>
      <c r="E55" s="81">
        <v>0.33333333333333331</v>
      </c>
      <c r="F55" s="81">
        <v>0.5</v>
      </c>
      <c r="G55" s="81">
        <v>0.66666666666666663</v>
      </c>
      <c r="H55" s="81">
        <v>0.83333333333333326</v>
      </c>
      <c r="I55" s="82">
        <v>1</v>
      </c>
      <c r="J55" s="81">
        <v>1</v>
      </c>
      <c r="K55" s="81">
        <v>1</v>
      </c>
      <c r="L55" s="44">
        <v>1</v>
      </c>
      <c r="M55" s="44">
        <v>1</v>
      </c>
      <c r="N55" s="43">
        <v>1</v>
      </c>
      <c r="O55" s="44">
        <v>1.1000000000000001</v>
      </c>
      <c r="P55" s="44">
        <v>1.2000000000000002</v>
      </c>
      <c r="Q55" s="44">
        <v>1.3000000000000003</v>
      </c>
      <c r="R55" s="43">
        <v>1.4</v>
      </c>
      <c r="S55" s="44">
        <v>1.5833333333333333</v>
      </c>
      <c r="T55" s="44">
        <v>1.7666666666666666</v>
      </c>
      <c r="U55" s="44">
        <v>1.95</v>
      </c>
      <c r="V55" s="44">
        <v>2.1333333333333333</v>
      </c>
      <c r="W55" s="44">
        <v>3.1500000000000004</v>
      </c>
      <c r="X55" s="44">
        <v>3.5000000000000004</v>
      </c>
      <c r="Y55" s="43">
        <v>3.5</v>
      </c>
      <c r="Z55" s="44">
        <v>3.5</v>
      </c>
      <c r="AA55" s="38">
        <v>5</v>
      </c>
      <c r="AB55" s="420">
        <v>0.16</v>
      </c>
    </row>
    <row r="56" spans="1:28" s="49" customFormat="1" ht="15.75" thickBot="1">
      <c r="A56" s="45"/>
      <c r="B56" s="46" t="s">
        <v>140</v>
      </c>
      <c r="C56" s="79">
        <v>0</v>
      </c>
      <c r="D56" s="84">
        <v>0</v>
      </c>
      <c r="E56" s="85">
        <v>0</v>
      </c>
      <c r="F56" s="85">
        <v>0</v>
      </c>
      <c r="G56" s="85">
        <v>0</v>
      </c>
      <c r="H56" s="85">
        <v>0</v>
      </c>
      <c r="I56" s="85">
        <v>0</v>
      </c>
      <c r="J56" s="85">
        <v>0</v>
      </c>
      <c r="K56" s="85">
        <v>0</v>
      </c>
      <c r="L56" s="85">
        <v>0</v>
      </c>
      <c r="M56" s="85">
        <v>0</v>
      </c>
      <c r="N56" s="423">
        <v>1</v>
      </c>
      <c r="O56" s="424">
        <v>1</v>
      </c>
      <c r="P56" s="424">
        <v>1.2</v>
      </c>
      <c r="Q56" s="424">
        <v>2</v>
      </c>
      <c r="R56" s="85">
        <v>3.8</v>
      </c>
      <c r="S56" s="85">
        <v>3.9</v>
      </c>
      <c r="T56" s="85">
        <v>4</v>
      </c>
      <c r="U56" s="85">
        <v>4</v>
      </c>
      <c r="V56" s="86">
        <v>4</v>
      </c>
      <c r="W56" s="80">
        <v>4</v>
      </c>
      <c r="X56" s="69">
        <v>4</v>
      </c>
      <c r="Y56" s="69">
        <v>0</v>
      </c>
      <c r="Z56" s="69">
        <v>0</v>
      </c>
      <c r="AB56" s="421"/>
    </row>
    <row r="57" spans="1:28" s="49" customFormat="1">
      <c r="A57" s="45"/>
      <c r="B57" s="46"/>
      <c r="C57" s="48"/>
      <c r="D57" s="83"/>
      <c r="E57" s="83"/>
      <c r="F57" s="83"/>
      <c r="G57" s="83"/>
      <c r="H57" s="83"/>
      <c r="I57" s="83"/>
      <c r="J57" s="83"/>
      <c r="K57" s="83"/>
      <c r="L57" s="48"/>
      <c r="M57" s="48"/>
      <c r="N57" s="48"/>
      <c r="O57" s="48"/>
      <c r="P57" s="48"/>
      <c r="Q57" s="48"/>
      <c r="R57" s="48"/>
      <c r="S57" s="48"/>
      <c r="T57" s="48"/>
      <c r="U57" s="48"/>
      <c r="V57" s="48"/>
      <c r="W57" s="48"/>
      <c r="X57" s="48"/>
      <c r="Y57" s="48"/>
      <c r="Z57" s="48"/>
      <c r="AB57" s="421"/>
    </row>
    <row r="58" spans="1:28" ht="15.75" thickBot="1">
      <c r="A58" s="41" t="s">
        <v>21</v>
      </c>
      <c r="B58" s="42" t="s">
        <v>139</v>
      </c>
      <c r="C58" s="50">
        <v>0</v>
      </c>
      <c r="D58" s="73">
        <v>0</v>
      </c>
      <c r="E58" s="73">
        <v>0</v>
      </c>
      <c r="F58" s="73">
        <v>0</v>
      </c>
      <c r="G58" s="73">
        <v>0</v>
      </c>
      <c r="H58" s="73">
        <v>0</v>
      </c>
      <c r="I58" s="74">
        <v>0</v>
      </c>
      <c r="J58" s="73">
        <v>0</v>
      </c>
      <c r="K58" s="73">
        <v>0</v>
      </c>
      <c r="L58" s="51">
        <v>0</v>
      </c>
      <c r="M58" s="51">
        <v>0</v>
      </c>
      <c r="N58" s="50">
        <v>0</v>
      </c>
      <c r="O58" s="51">
        <v>0.25</v>
      </c>
      <c r="P58" s="51">
        <v>0.5</v>
      </c>
      <c r="Q58" s="51">
        <v>0.75</v>
      </c>
      <c r="R58" s="50">
        <v>1</v>
      </c>
      <c r="S58" s="51">
        <v>1.3333333333333333</v>
      </c>
      <c r="T58" s="51">
        <v>1.6666666666666665</v>
      </c>
      <c r="U58" s="51">
        <v>1.9999999999999998</v>
      </c>
      <c r="V58" s="51">
        <v>2.333333333333333</v>
      </c>
      <c r="W58" s="51">
        <v>2.6666666666666665</v>
      </c>
      <c r="X58" s="51">
        <v>3</v>
      </c>
      <c r="Y58" s="50">
        <v>3</v>
      </c>
      <c r="Z58" s="51">
        <v>3</v>
      </c>
      <c r="AA58" s="38">
        <v>10</v>
      </c>
      <c r="AB58" s="420">
        <v>0.4</v>
      </c>
    </row>
    <row r="59" spans="1:28" s="49" customFormat="1" ht="15.75" thickBot="1">
      <c r="A59" s="45"/>
      <c r="B59" s="46" t="s">
        <v>140</v>
      </c>
      <c r="C59" s="71">
        <v>0</v>
      </c>
      <c r="D59" s="76">
        <v>0</v>
      </c>
      <c r="E59" s="77">
        <v>0</v>
      </c>
      <c r="F59" s="77">
        <v>0</v>
      </c>
      <c r="G59" s="77">
        <v>0</v>
      </c>
      <c r="H59" s="77">
        <v>0</v>
      </c>
      <c r="I59" s="77">
        <v>0</v>
      </c>
      <c r="J59" s="77">
        <v>0</v>
      </c>
      <c r="K59" s="77">
        <v>0</v>
      </c>
      <c r="L59" s="77">
        <v>0</v>
      </c>
      <c r="M59" s="77">
        <v>0</v>
      </c>
      <c r="N59" s="425">
        <v>0</v>
      </c>
      <c r="O59" s="426">
        <v>0</v>
      </c>
      <c r="P59" s="426">
        <v>2</v>
      </c>
      <c r="Q59" s="426">
        <v>2</v>
      </c>
      <c r="R59" s="77">
        <v>3</v>
      </c>
      <c r="S59" s="77">
        <v>5</v>
      </c>
      <c r="T59" s="77">
        <v>7</v>
      </c>
      <c r="U59" s="77">
        <v>7</v>
      </c>
      <c r="V59" s="78">
        <v>7</v>
      </c>
      <c r="W59" s="72">
        <v>7</v>
      </c>
      <c r="X59" s="70">
        <v>7</v>
      </c>
      <c r="Y59" s="70">
        <v>0</v>
      </c>
      <c r="Z59" s="70">
        <v>0</v>
      </c>
      <c r="AB59" s="421"/>
    </row>
    <row r="60" spans="1:28" s="49" customFormat="1">
      <c r="A60" s="45"/>
      <c r="B60" s="46"/>
      <c r="C60" s="53"/>
      <c r="D60" s="83"/>
      <c r="E60" s="83"/>
      <c r="F60" s="83"/>
      <c r="G60" s="83"/>
      <c r="H60" s="83"/>
      <c r="I60" s="83"/>
      <c r="J60" s="83"/>
      <c r="K60" s="83"/>
      <c r="L60" s="53"/>
      <c r="M60" s="53"/>
      <c r="N60" s="53"/>
      <c r="O60" s="53"/>
      <c r="P60" s="53"/>
      <c r="Q60" s="53"/>
      <c r="R60" s="53"/>
      <c r="S60" s="53"/>
      <c r="T60" s="53"/>
      <c r="U60" s="53"/>
      <c r="V60" s="53"/>
      <c r="W60" s="53"/>
      <c r="X60" s="53"/>
      <c r="Y60" s="53"/>
      <c r="Z60" s="53"/>
      <c r="AB60" s="421"/>
    </row>
    <row r="61" spans="1:28" ht="15.75" thickBot="1">
      <c r="A61" s="41" t="s">
        <v>166</v>
      </c>
      <c r="B61" s="42" t="s">
        <v>202</v>
      </c>
      <c r="C61" s="50">
        <v>0</v>
      </c>
      <c r="D61" s="73">
        <v>0</v>
      </c>
      <c r="E61" s="73">
        <v>0</v>
      </c>
      <c r="F61" s="73">
        <v>0</v>
      </c>
      <c r="G61" s="73">
        <v>0</v>
      </c>
      <c r="H61" s="73">
        <v>0</v>
      </c>
      <c r="I61" s="74">
        <v>0</v>
      </c>
      <c r="J61" s="73">
        <v>0</v>
      </c>
      <c r="K61" s="73">
        <v>0</v>
      </c>
      <c r="L61" s="51">
        <v>0</v>
      </c>
      <c r="M61" s="51">
        <v>0</v>
      </c>
      <c r="N61" s="50">
        <v>0</v>
      </c>
      <c r="O61" s="51">
        <v>1</v>
      </c>
      <c r="P61" s="51">
        <v>2</v>
      </c>
      <c r="Q61" s="51">
        <v>3</v>
      </c>
      <c r="R61" s="50">
        <v>4</v>
      </c>
      <c r="S61" s="51">
        <v>4.666666666666667</v>
      </c>
      <c r="T61" s="51">
        <v>5.3333333333333339</v>
      </c>
      <c r="U61" s="51">
        <v>6.0000000000000009</v>
      </c>
      <c r="V61" s="51">
        <v>6.6666666666666679</v>
      </c>
      <c r="W61" s="51">
        <v>8.1666666666666661</v>
      </c>
      <c r="X61" s="51">
        <v>9</v>
      </c>
      <c r="Y61" s="50">
        <v>9</v>
      </c>
      <c r="Z61" s="51">
        <v>9</v>
      </c>
      <c r="AA61" s="38">
        <v>20</v>
      </c>
      <c r="AB61" s="420">
        <v>0.8</v>
      </c>
    </row>
    <row r="62" spans="1:28" s="49" customFormat="1" ht="15.75" thickBot="1">
      <c r="A62" s="45"/>
      <c r="B62" s="46" t="s">
        <v>203</v>
      </c>
      <c r="C62" s="71">
        <v>0</v>
      </c>
      <c r="D62" s="76">
        <v>0</v>
      </c>
      <c r="E62" s="77">
        <v>0</v>
      </c>
      <c r="F62" s="77">
        <v>0</v>
      </c>
      <c r="G62" s="77">
        <v>0</v>
      </c>
      <c r="H62" s="77">
        <v>0</v>
      </c>
      <c r="I62" s="77">
        <v>0</v>
      </c>
      <c r="J62" s="77">
        <v>0</v>
      </c>
      <c r="K62" s="77">
        <v>0</v>
      </c>
      <c r="L62" s="77">
        <v>0</v>
      </c>
      <c r="M62" s="77">
        <v>0</v>
      </c>
      <c r="N62" s="425">
        <v>0</v>
      </c>
      <c r="O62" s="426">
        <v>1</v>
      </c>
      <c r="P62" s="426">
        <v>2</v>
      </c>
      <c r="Q62" s="426">
        <v>11</v>
      </c>
      <c r="R62" s="77">
        <v>10</v>
      </c>
      <c r="S62" s="77">
        <v>11</v>
      </c>
      <c r="T62" s="77">
        <v>11</v>
      </c>
      <c r="U62" s="77">
        <v>12</v>
      </c>
      <c r="V62" s="78">
        <v>11</v>
      </c>
      <c r="W62" s="72">
        <v>11</v>
      </c>
      <c r="X62" s="70">
        <v>15</v>
      </c>
      <c r="Y62" s="70">
        <v>0</v>
      </c>
      <c r="Z62" s="70">
        <v>0</v>
      </c>
      <c r="AB62" s="421"/>
    </row>
    <row r="63" spans="1:28" s="49" customFormat="1">
      <c r="A63" s="45"/>
      <c r="B63" s="46"/>
      <c r="C63" s="53"/>
      <c r="D63" s="427"/>
      <c r="E63" s="427"/>
      <c r="F63" s="427"/>
      <c r="G63" s="75"/>
      <c r="H63" s="75"/>
      <c r="I63" s="75"/>
      <c r="J63" s="75"/>
      <c r="K63" s="75"/>
      <c r="L63" s="53"/>
      <c r="M63" s="53"/>
      <c r="N63" s="53"/>
      <c r="O63" s="53"/>
      <c r="P63" s="53"/>
      <c r="Q63" s="53"/>
      <c r="R63" s="53"/>
      <c r="S63" s="53"/>
      <c r="T63" s="53"/>
      <c r="U63" s="53"/>
      <c r="V63" s="53"/>
      <c r="W63" s="53"/>
      <c r="X63" s="53"/>
      <c r="Y63" s="53"/>
      <c r="Z63" s="53"/>
      <c r="AB63" s="421"/>
    </row>
    <row r="64" spans="1:28" ht="15.75" thickBot="1">
      <c r="A64" s="41" t="s">
        <v>167</v>
      </c>
      <c r="B64" s="42" t="s">
        <v>213</v>
      </c>
      <c r="C64" s="50">
        <v>0</v>
      </c>
      <c r="D64" s="73">
        <v>0</v>
      </c>
      <c r="E64" s="73">
        <v>0</v>
      </c>
      <c r="F64" s="73">
        <v>0</v>
      </c>
      <c r="G64" s="73">
        <v>0</v>
      </c>
      <c r="H64" s="73">
        <v>0</v>
      </c>
      <c r="I64" s="74">
        <v>0</v>
      </c>
      <c r="J64" s="73">
        <v>0</v>
      </c>
      <c r="K64" s="73">
        <v>0</v>
      </c>
      <c r="L64" s="51">
        <v>0</v>
      </c>
      <c r="M64" s="51">
        <v>0</v>
      </c>
      <c r="N64" s="50">
        <v>0</v>
      </c>
      <c r="O64" s="51">
        <v>0.5</v>
      </c>
      <c r="P64" s="51">
        <v>1</v>
      </c>
      <c r="Q64" s="51">
        <v>1.5</v>
      </c>
      <c r="R64" s="50">
        <v>2</v>
      </c>
      <c r="S64" s="51">
        <v>2.3333333333333335</v>
      </c>
      <c r="T64" s="51">
        <v>2.666666666666667</v>
      </c>
      <c r="U64" s="51">
        <v>3.0000000000000004</v>
      </c>
      <c r="V64" s="51">
        <v>3.3333333333333339</v>
      </c>
      <c r="W64" s="51">
        <v>7</v>
      </c>
      <c r="X64" s="51">
        <v>8</v>
      </c>
      <c r="Y64" s="50">
        <v>8</v>
      </c>
      <c r="Z64" s="51">
        <v>8</v>
      </c>
      <c r="AA64" s="38">
        <v>20</v>
      </c>
      <c r="AB64" s="420">
        <v>0.8</v>
      </c>
    </row>
    <row r="65" spans="1:28" s="49" customFormat="1" ht="15.75" thickBot="1">
      <c r="A65" s="45"/>
      <c r="B65" s="46" t="s">
        <v>212</v>
      </c>
      <c r="C65" s="71">
        <v>0</v>
      </c>
      <c r="D65" s="76">
        <v>0</v>
      </c>
      <c r="E65" s="77">
        <v>0</v>
      </c>
      <c r="F65" s="77">
        <v>0</v>
      </c>
      <c r="G65" s="77">
        <v>0</v>
      </c>
      <c r="H65" s="77">
        <v>0</v>
      </c>
      <c r="I65" s="77">
        <v>0</v>
      </c>
      <c r="J65" s="77">
        <v>0</v>
      </c>
      <c r="K65" s="77">
        <v>0</v>
      </c>
      <c r="L65" s="77">
        <v>0</v>
      </c>
      <c r="M65" s="77">
        <v>0</v>
      </c>
      <c r="N65" s="425">
        <v>0</v>
      </c>
      <c r="O65" s="426">
        <v>1</v>
      </c>
      <c r="P65" s="426">
        <v>2</v>
      </c>
      <c r="Q65" s="426">
        <v>6</v>
      </c>
      <c r="R65" s="77">
        <v>8</v>
      </c>
      <c r="S65" s="77">
        <v>9</v>
      </c>
      <c r="T65" s="77">
        <v>9</v>
      </c>
      <c r="U65" s="77">
        <v>10</v>
      </c>
      <c r="V65" s="78">
        <v>10</v>
      </c>
      <c r="W65" s="72">
        <v>10</v>
      </c>
      <c r="X65" s="70">
        <v>14</v>
      </c>
      <c r="Y65" s="70">
        <v>0</v>
      </c>
      <c r="Z65" s="70">
        <v>0</v>
      </c>
      <c r="AB65" s="421"/>
    </row>
    <row r="66" spans="1:28" s="49" customFormat="1">
      <c r="A66" s="45"/>
      <c r="B66" s="46"/>
      <c r="C66" s="53"/>
      <c r="D66" s="427"/>
      <c r="E66" s="427"/>
      <c r="F66" s="427"/>
      <c r="G66" s="75"/>
      <c r="H66" s="75"/>
      <c r="I66" s="75"/>
      <c r="J66" s="75"/>
      <c r="K66" s="75"/>
      <c r="L66" s="53"/>
      <c r="M66" s="53"/>
      <c r="N66" s="53"/>
      <c r="O66" s="53"/>
      <c r="P66" s="53"/>
      <c r="Q66" s="53"/>
      <c r="R66" s="53"/>
      <c r="S66" s="53"/>
      <c r="T66" s="53"/>
      <c r="U66" s="53"/>
      <c r="V66" s="53"/>
      <c r="W66" s="53"/>
      <c r="X66" s="53"/>
      <c r="Y66" s="53"/>
      <c r="Z66" s="53"/>
      <c r="AB66" s="421"/>
    </row>
    <row r="67" spans="1:28" ht="15.75" thickBot="1">
      <c r="A67" s="41" t="s">
        <v>168</v>
      </c>
      <c r="B67" s="42" t="s">
        <v>211</v>
      </c>
      <c r="C67" s="50">
        <v>0</v>
      </c>
      <c r="D67" s="73">
        <v>0</v>
      </c>
      <c r="E67" s="73">
        <v>0</v>
      </c>
      <c r="F67" s="73">
        <v>0</v>
      </c>
      <c r="G67" s="73">
        <v>0</v>
      </c>
      <c r="H67" s="73">
        <v>0</v>
      </c>
      <c r="I67" s="74">
        <v>0</v>
      </c>
      <c r="J67" s="73">
        <v>0</v>
      </c>
      <c r="K67" s="73">
        <v>0</v>
      </c>
      <c r="L67" s="51">
        <v>0</v>
      </c>
      <c r="M67" s="51">
        <v>0</v>
      </c>
      <c r="N67" s="50">
        <v>0</v>
      </c>
      <c r="O67" s="51">
        <v>0</v>
      </c>
      <c r="P67" s="51">
        <v>0</v>
      </c>
      <c r="Q67" s="51">
        <v>0</v>
      </c>
      <c r="R67" s="50">
        <v>0</v>
      </c>
      <c r="S67" s="51">
        <v>0.5</v>
      </c>
      <c r="T67" s="51">
        <v>1</v>
      </c>
      <c r="U67" s="51">
        <v>1.5</v>
      </c>
      <c r="V67" s="51">
        <v>2</v>
      </c>
      <c r="W67" s="51">
        <v>2.5</v>
      </c>
      <c r="X67" s="51">
        <v>3</v>
      </c>
      <c r="Y67" s="50">
        <v>3</v>
      </c>
      <c r="Z67" s="51">
        <v>3</v>
      </c>
      <c r="AA67" s="38">
        <v>20</v>
      </c>
      <c r="AB67" s="420">
        <v>0.8</v>
      </c>
    </row>
    <row r="68" spans="1:28" s="49" customFormat="1" ht="15.75" thickBot="1">
      <c r="A68" s="45"/>
      <c r="B68" s="46" t="s">
        <v>210</v>
      </c>
      <c r="C68" s="71">
        <v>0</v>
      </c>
      <c r="D68" s="76">
        <v>0</v>
      </c>
      <c r="E68" s="77">
        <v>0</v>
      </c>
      <c r="F68" s="77">
        <v>0</v>
      </c>
      <c r="G68" s="77">
        <v>0</v>
      </c>
      <c r="H68" s="77">
        <v>0</v>
      </c>
      <c r="I68" s="77">
        <v>0</v>
      </c>
      <c r="J68" s="77">
        <v>0</v>
      </c>
      <c r="K68" s="77">
        <v>0</v>
      </c>
      <c r="L68" s="77">
        <v>0</v>
      </c>
      <c r="M68" s="77">
        <v>0</v>
      </c>
      <c r="N68" s="425">
        <v>0</v>
      </c>
      <c r="O68" s="426">
        <v>0</v>
      </c>
      <c r="P68" s="426">
        <v>0</v>
      </c>
      <c r="Q68" s="426">
        <v>1</v>
      </c>
      <c r="R68" s="77">
        <v>3</v>
      </c>
      <c r="S68" s="77">
        <v>3</v>
      </c>
      <c r="T68" s="77">
        <v>3</v>
      </c>
      <c r="U68" s="77">
        <v>5</v>
      </c>
      <c r="V68" s="78">
        <v>6</v>
      </c>
      <c r="W68" s="72">
        <v>6</v>
      </c>
      <c r="X68" s="70">
        <v>9</v>
      </c>
      <c r="Y68" s="70">
        <v>0</v>
      </c>
      <c r="Z68" s="70">
        <v>0</v>
      </c>
      <c r="AB68" s="421"/>
    </row>
    <row r="69" spans="1:28" s="49" customFormat="1">
      <c r="A69" s="45"/>
      <c r="B69" s="46"/>
      <c r="C69" s="53"/>
      <c r="D69" s="427"/>
      <c r="E69" s="427"/>
      <c r="F69" s="427"/>
      <c r="G69" s="75"/>
      <c r="H69" s="75"/>
      <c r="I69" s="75"/>
      <c r="J69" s="75"/>
      <c r="K69" s="75"/>
      <c r="L69" s="53"/>
      <c r="M69" s="53"/>
      <c r="N69" s="53"/>
      <c r="O69" s="53"/>
      <c r="P69" s="53"/>
      <c r="Q69" s="53"/>
      <c r="R69" s="53"/>
      <c r="S69" s="53"/>
      <c r="T69" s="53"/>
      <c r="U69" s="53"/>
      <c r="V69" s="53"/>
      <c r="W69" s="53"/>
      <c r="X69" s="53"/>
      <c r="Y69" s="53"/>
      <c r="Z69" s="53"/>
      <c r="AB69" s="421"/>
    </row>
    <row r="70" spans="1:28" ht="15.75" thickBot="1">
      <c r="A70" s="41" t="s">
        <v>169</v>
      </c>
      <c r="B70" s="42" t="s">
        <v>209</v>
      </c>
      <c r="C70" s="50">
        <v>0</v>
      </c>
      <c r="D70" s="73">
        <v>0</v>
      </c>
      <c r="E70" s="73">
        <v>0</v>
      </c>
      <c r="F70" s="73">
        <v>0</v>
      </c>
      <c r="G70" s="73">
        <v>0</v>
      </c>
      <c r="H70" s="73">
        <v>0</v>
      </c>
      <c r="I70" s="74">
        <v>0</v>
      </c>
      <c r="J70" s="73">
        <v>0</v>
      </c>
      <c r="K70" s="73">
        <v>0</v>
      </c>
      <c r="L70" s="51">
        <v>0</v>
      </c>
      <c r="M70" s="51">
        <v>0</v>
      </c>
      <c r="N70" s="50">
        <v>0</v>
      </c>
      <c r="O70" s="51">
        <v>0</v>
      </c>
      <c r="P70" s="51">
        <v>0</v>
      </c>
      <c r="Q70" s="51">
        <v>0</v>
      </c>
      <c r="R70" s="50">
        <v>0</v>
      </c>
      <c r="S70" s="51">
        <v>0.33333333333333331</v>
      </c>
      <c r="T70" s="51">
        <v>0.66666666666666663</v>
      </c>
      <c r="U70" s="51">
        <v>1</v>
      </c>
      <c r="V70" s="51">
        <v>1.3333333333333333</v>
      </c>
      <c r="W70" s="51">
        <v>1.6666666666666665</v>
      </c>
      <c r="X70" s="51">
        <v>1.9999999999999998</v>
      </c>
      <c r="Y70" s="50">
        <v>2</v>
      </c>
      <c r="Z70" s="51">
        <v>2</v>
      </c>
      <c r="AA70" s="38">
        <v>20</v>
      </c>
      <c r="AB70" s="420">
        <v>0.8</v>
      </c>
    </row>
    <row r="71" spans="1:28" s="49" customFormat="1" ht="15.75" thickBot="1">
      <c r="A71" s="45"/>
      <c r="B71" s="46" t="s">
        <v>208</v>
      </c>
      <c r="C71" s="71">
        <v>0</v>
      </c>
      <c r="D71" s="76">
        <v>0</v>
      </c>
      <c r="E71" s="77">
        <v>0</v>
      </c>
      <c r="F71" s="77">
        <v>0</v>
      </c>
      <c r="G71" s="77">
        <v>0</v>
      </c>
      <c r="H71" s="77">
        <v>0</v>
      </c>
      <c r="I71" s="77">
        <v>0</v>
      </c>
      <c r="J71" s="77">
        <v>0</v>
      </c>
      <c r="K71" s="77">
        <v>0</v>
      </c>
      <c r="L71" s="77">
        <v>0</v>
      </c>
      <c r="M71" s="77">
        <v>0</v>
      </c>
      <c r="N71" s="425">
        <v>0</v>
      </c>
      <c r="O71" s="426">
        <v>0</v>
      </c>
      <c r="P71" s="426">
        <v>0</v>
      </c>
      <c r="Q71" s="426">
        <v>1</v>
      </c>
      <c r="R71" s="77">
        <v>1</v>
      </c>
      <c r="S71" s="77">
        <v>1</v>
      </c>
      <c r="T71" s="77">
        <v>1</v>
      </c>
      <c r="U71" s="77">
        <v>2</v>
      </c>
      <c r="V71" s="78">
        <v>2</v>
      </c>
      <c r="W71" s="72">
        <v>2</v>
      </c>
      <c r="X71" s="70">
        <v>2</v>
      </c>
      <c r="Y71" s="70">
        <v>0</v>
      </c>
      <c r="Z71" s="70">
        <v>0</v>
      </c>
      <c r="AB71" s="421"/>
    </row>
    <row r="72" spans="1:28" s="49" customFormat="1">
      <c r="A72" s="45"/>
      <c r="B72" s="46"/>
      <c r="C72" s="53"/>
      <c r="D72" s="427"/>
      <c r="E72" s="427"/>
      <c r="F72" s="427"/>
      <c r="G72" s="75"/>
      <c r="H72" s="75"/>
      <c r="I72" s="75"/>
      <c r="J72" s="75"/>
      <c r="K72" s="75"/>
      <c r="L72" s="53"/>
      <c r="M72" s="53"/>
      <c r="N72" s="53"/>
      <c r="O72" s="53"/>
      <c r="P72" s="53"/>
      <c r="Q72" s="53"/>
      <c r="R72" s="53"/>
      <c r="S72" s="53"/>
      <c r="T72" s="53"/>
      <c r="U72" s="53"/>
      <c r="V72" s="53"/>
      <c r="W72" s="53"/>
      <c r="X72" s="53"/>
      <c r="Y72" s="53"/>
      <c r="Z72" s="53"/>
      <c r="AB72" s="421"/>
    </row>
    <row r="73" spans="1:28" ht="15.75" thickBot="1">
      <c r="A73" s="41" t="s">
        <v>162</v>
      </c>
      <c r="B73" s="42" t="s">
        <v>202</v>
      </c>
      <c r="C73" s="50">
        <v>0</v>
      </c>
      <c r="D73" s="73">
        <v>0</v>
      </c>
      <c r="E73" s="73">
        <v>0</v>
      </c>
      <c r="F73" s="73">
        <v>0</v>
      </c>
      <c r="G73" s="73">
        <v>0</v>
      </c>
      <c r="H73" s="73">
        <v>0</v>
      </c>
      <c r="I73" s="74">
        <v>0</v>
      </c>
      <c r="J73" s="73">
        <v>0</v>
      </c>
      <c r="K73" s="73">
        <v>0</v>
      </c>
      <c r="L73" s="51">
        <v>0</v>
      </c>
      <c r="M73" s="51">
        <v>0</v>
      </c>
      <c r="N73" s="50">
        <v>0</v>
      </c>
      <c r="O73" s="51">
        <v>0.5</v>
      </c>
      <c r="P73" s="51">
        <v>1</v>
      </c>
      <c r="Q73" s="51">
        <v>1.5</v>
      </c>
      <c r="R73" s="50">
        <v>2</v>
      </c>
      <c r="S73" s="51">
        <v>2.3333333333333335</v>
      </c>
      <c r="T73" s="51">
        <v>2.666666666666667</v>
      </c>
      <c r="U73" s="51">
        <v>3.0000000000000004</v>
      </c>
      <c r="V73" s="51">
        <v>3.3333333333333339</v>
      </c>
      <c r="W73" s="51">
        <v>7</v>
      </c>
      <c r="X73" s="51">
        <v>8</v>
      </c>
      <c r="Y73" s="50">
        <v>8</v>
      </c>
      <c r="Z73" s="51">
        <v>8</v>
      </c>
      <c r="AA73" s="38">
        <v>20</v>
      </c>
      <c r="AB73" s="420">
        <v>0.8</v>
      </c>
    </row>
    <row r="74" spans="1:28" s="49" customFormat="1" ht="15.75" thickBot="1">
      <c r="A74" s="45"/>
      <c r="B74" s="46" t="s">
        <v>203</v>
      </c>
      <c r="C74" s="71">
        <v>0</v>
      </c>
      <c r="D74" s="76">
        <v>0</v>
      </c>
      <c r="E74" s="77">
        <v>0</v>
      </c>
      <c r="F74" s="77">
        <v>0</v>
      </c>
      <c r="G74" s="77">
        <v>0</v>
      </c>
      <c r="H74" s="77">
        <v>0</v>
      </c>
      <c r="I74" s="77">
        <v>0</v>
      </c>
      <c r="J74" s="77">
        <v>0</v>
      </c>
      <c r="K74" s="77">
        <v>0</v>
      </c>
      <c r="L74" s="77">
        <v>0</v>
      </c>
      <c r="M74" s="77">
        <v>0</v>
      </c>
      <c r="N74" s="425">
        <v>0</v>
      </c>
      <c r="O74" s="426">
        <v>0</v>
      </c>
      <c r="P74" s="426">
        <v>1</v>
      </c>
      <c r="Q74" s="426">
        <v>3</v>
      </c>
      <c r="R74" s="77">
        <v>5</v>
      </c>
      <c r="S74" s="77">
        <v>8</v>
      </c>
      <c r="T74" s="77">
        <v>8</v>
      </c>
      <c r="U74" s="77">
        <v>8</v>
      </c>
      <c r="V74" s="78">
        <v>11</v>
      </c>
      <c r="W74" s="72">
        <v>11</v>
      </c>
      <c r="X74" s="70">
        <v>11</v>
      </c>
      <c r="Y74" s="70">
        <v>0</v>
      </c>
      <c r="Z74" s="70">
        <v>0</v>
      </c>
      <c r="AB74" s="421"/>
    </row>
    <row r="75" spans="1:28" s="49" customFormat="1">
      <c r="A75" s="45"/>
      <c r="B75" s="46"/>
      <c r="C75" s="53"/>
      <c r="D75" s="428"/>
      <c r="E75" s="428"/>
      <c r="F75" s="428"/>
      <c r="G75" s="53"/>
      <c r="H75" s="53"/>
      <c r="I75" s="53"/>
      <c r="J75" s="53"/>
      <c r="K75" s="53"/>
      <c r="L75" s="53"/>
      <c r="M75" s="53"/>
      <c r="N75" s="53"/>
      <c r="O75" s="53"/>
      <c r="P75" s="53"/>
      <c r="Q75" s="53"/>
      <c r="R75" s="53"/>
      <c r="S75" s="53"/>
      <c r="T75" s="53"/>
      <c r="U75" s="53"/>
      <c r="V75" s="53"/>
      <c r="W75" s="53"/>
      <c r="X75" s="53"/>
      <c r="Y75" s="53"/>
      <c r="Z75" s="53"/>
      <c r="AB75" s="421"/>
    </row>
    <row r="76" spans="1:28" ht="15.75" thickBot="1">
      <c r="A76" s="41" t="s">
        <v>163</v>
      </c>
      <c r="B76" s="42" t="s">
        <v>213</v>
      </c>
      <c r="C76" s="50">
        <v>0</v>
      </c>
      <c r="D76" s="73">
        <v>0</v>
      </c>
      <c r="E76" s="73">
        <v>0</v>
      </c>
      <c r="F76" s="73">
        <v>0</v>
      </c>
      <c r="G76" s="73">
        <v>0</v>
      </c>
      <c r="H76" s="73">
        <v>0</v>
      </c>
      <c r="I76" s="74">
        <v>0</v>
      </c>
      <c r="J76" s="73">
        <v>0</v>
      </c>
      <c r="K76" s="73">
        <v>0</v>
      </c>
      <c r="L76" s="51">
        <v>0</v>
      </c>
      <c r="M76" s="51">
        <v>0</v>
      </c>
      <c r="N76" s="50">
        <v>0</v>
      </c>
      <c r="O76" s="51">
        <v>0.25</v>
      </c>
      <c r="P76" s="51">
        <v>0.5</v>
      </c>
      <c r="Q76" s="51">
        <v>0.75</v>
      </c>
      <c r="R76" s="50">
        <v>1</v>
      </c>
      <c r="S76" s="51">
        <v>1.1666666666666667</v>
      </c>
      <c r="T76" s="51">
        <v>1.3333333333333335</v>
      </c>
      <c r="U76" s="51">
        <v>1.5000000000000002</v>
      </c>
      <c r="V76" s="51">
        <v>1.666666666666667</v>
      </c>
      <c r="W76" s="51">
        <v>5.166666666666667</v>
      </c>
      <c r="X76" s="51">
        <v>6</v>
      </c>
      <c r="Y76" s="50">
        <v>6</v>
      </c>
      <c r="Z76" s="51">
        <v>6</v>
      </c>
      <c r="AA76" s="38">
        <v>20</v>
      </c>
      <c r="AB76" s="420">
        <v>0.8</v>
      </c>
    </row>
    <row r="77" spans="1:28" s="49" customFormat="1" ht="15.75" thickBot="1">
      <c r="A77" s="45"/>
      <c r="B77" s="46" t="s">
        <v>212</v>
      </c>
      <c r="C77" s="71">
        <v>0</v>
      </c>
      <c r="D77" s="76">
        <v>0</v>
      </c>
      <c r="E77" s="77">
        <v>0</v>
      </c>
      <c r="F77" s="77">
        <v>0</v>
      </c>
      <c r="G77" s="77">
        <v>0</v>
      </c>
      <c r="H77" s="77">
        <v>0</v>
      </c>
      <c r="I77" s="77">
        <v>0</v>
      </c>
      <c r="J77" s="77">
        <v>0</v>
      </c>
      <c r="K77" s="77">
        <v>0</v>
      </c>
      <c r="L77" s="77">
        <v>0</v>
      </c>
      <c r="M77" s="77">
        <v>0</v>
      </c>
      <c r="N77" s="425">
        <v>0</v>
      </c>
      <c r="O77" s="426">
        <v>0</v>
      </c>
      <c r="P77" s="426">
        <v>1</v>
      </c>
      <c r="Q77" s="426">
        <v>1</v>
      </c>
      <c r="R77" s="77">
        <v>2</v>
      </c>
      <c r="S77" s="77">
        <v>4</v>
      </c>
      <c r="T77" s="77">
        <v>4</v>
      </c>
      <c r="U77" s="77">
        <v>4</v>
      </c>
      <c r="V77" s="78">
        <v>8</v>
      </c>
      <c r="W77" s="72">
        <v>8</v>
      </c>
      <c r="X77" s="70">
        <v>8</v>
      </c>
      <c r="Y77" s="70">
        <v>0</v>
      </c>
      <c r="Z77" s="70">
        <v>0</v>
      </c>
      <c r="AB77" s="421"/>
    </row>
    <row r="78" spans="1:28" s="49" customFormat="1">
      <c r="A78" s="45"/>
      <c r="B78" s="46"/>
      <c r="C78" s="53"/>
      <c r="D78" s="428"/>
      <c r="E78" s="428"/>
      <c r="F78" s="428"/>
      <c r="G78" s="53"/>
      <c r="H78" s="53"/>
      <c r="I78" s="53"/>
      <c r="J78" s="53"/>
      <c r="K78" s="53"/>
      <c r="L78" s="53"/>
      <c r="M78" s="53"/>
      <c r="N78" s="53"/>
      <c r="O78" s="53"/>
      <c r="P78" s="53"/>
      <c r="Q78" s="53"/>
      <c r="R78" s="53"/>
      <c r="S78" s="53"/>
      <c r="T78" s="53"/>
      <c r="U78" s="53"/>
      <c r="V78" s="53"/>
      <c r="W78" s="53"/>
      <c r="X78" s="53"/>
      <c r="Y78" s="53"/>
      <c r="Z78" s="53"/>
      <c r="AB78" s="421"/>
    </row>
    <row r="79" spans="1:28" ht="15.75" thickBot="1">
      <c r="A79" s="41" t="s">
        <v>164</v>
      </c>
      <c r="B79" s="42" t="s">
        <v>211</v>
      </c>
      <c r="C79" s="50">
        <v>0</v>
      </c>
      <c r="D79" s="73">
        <v>0</v>
      </c>
      <c r="E79" s="73">
        <v>0</v>
      </c>
      <c r="F79" s="73">
        <v>0</v>
      </c>
      <c r="G79" s="73">
        <v>0</v>
      </c>
      <c r="H79" s="73">
        <v>0</v>
      </c>
      <c r="I79" s="74">
        <v>0</v>
      </c>
      <c r="J79" s="73">
        <v>0</v>
      </c>
      <c r="K79" s="73">
        <v>0</v>
      </c>
      <c r="L79" s="51">
        <v>0</v>
      </c>
      <c r="M79" s="51">
        <v>0</v>
      </c>
      <c r="N79" s="50">
        <v>0</v>
      </c>
      <c r="O79" s="51">
        <v>0</v>
      </c>
      <c r="P79" s="51">
        <v>0</v>
      </c>
      <c r="Q79" s="51">
        <v>0</v>
      </c>
      <c r="R79" s="50">
        <v>0</v>
      </c>
      <c r="S79" s="51">
        <v>0.16666666666666666</v>
      </c>
      <c r="T79" s="51">
        <v>0.33333333333333331</v>
      </c>
      <c r="U79" s="51">
        <v>0.5</v>
      </c>
      <c r="V79" s="51">
        <v>0.66666666666666663</v>
      </c>
      <c r="W79" s="51">
        <v>0.83333333333333326</v>
      </c>
      <c r="X79" s="51">
        <v>0.99999999999999989</v>
      </c>
      <c r="Y79" s="50">
        <v>1</v>
      </c>
      <c r="Z79" s="51">
        <v>1</v>
      </c>
      <c r="AA79" s="38">
        <v>20</v>
      </c>
      <c r="AB79" s="420">
        <v>0.8</v>
      </c>
    </row>
    <row r="80" spans="1:28" s="49" customFormat="1" ht="15.75" thickBot="1">
      <c r="A80" s="45"/>
      <c r="B80" s="46" t="s">
        <v>210</v>
      </c>
      <c r="C80" s="71">
        <v>0</v>
      </c>
      <c r="D80" s="76">
        <v>0</v>
      </c>
      <c r="E80" s="77">
        <v>0</v>
      </c>
      <c r="F80" s="77">
        <v>0</v>
      </c>
      <c r="G80" s="77">
        <v>0</v>
      </c>
      <c r="H80" s="77">
        <v>0</v>
      </c>
      <c r="I80" s="77">
        <v>0</v>
      </c>
      <c r="J80" s="77">
        <v>0</v>
      </c>
      <c r="K80" s="77">
        <v>0</v>
      </c>
      <c r="L80" s="77">
        <v>0</v>
      </c>
      <c r="M80" s="77">
        <v>0</v>
      </c>
      <c r="N80" s="425">
        <v>0</v>
      </c>
      <c r="O80" s="426">
        <v>0</v>
      </c>
      <c r="P80" s="426">
        <v>0</v>
      </c>
      <c r="Q80" s="426">
        <v>0</v>
      </c>
      <c r="R80" s="77">
        <v>0</v>
      </c>
      <c r="S80" s="77">
        <v>0</v>
      </c>
      <c r="T80" s="77">
        <v>0</v>
      </c>
      <c r="U80" s="77">
        <v>0</v>
      </c>
      <c r="V80" s="78">
        <v>3</v>
      </c>
      <c r="W80" s="72">
        <v>3</v>
      </c>
      <c r="X80" s="70">
        <v>3</v>
      </c>
      <c r="Y80" s="70">
        <v>0</v>
      </c>
      <c r="Z80" s="70">
        <v>0</v>
      </c>
      <c r="AB80" s="421"/>
    </row>
    <row r="81" spans="1:28" s="49" customFormat="1">
      <c r="A81" s="45"/>
      <c r="B81" s="46"/>
      <c r="C81" s="53"/>
      <c r="D81" s="428"/>
      <c r="E81" s="428"/>
      <c r="F81" s="428"/>
      <c r="G81" s="53"/>
      <c r="H81" s="53"/>
      <c r="I81" s="53"/>
      <c r="J81" s="53"/>
      <c r="K81" s="53"/>
      <c r="L81" s="53"/>
      <c r="M81" s="53"/>
      <c r="N81" s="53"/>
      <c r="O81" s="53"/>
      <c r="P81" s="53"/>
      <c r="Q81" s="53"/>
      <c r="R81" s="53"/>
      <c r="S81" s="53"/>
      <c r="T81" s="53"/>
      <c r="U81" s="53"/>
      <c r="V81" s="53"/>
      <c r="W81" s="53"/>
      <c r="X81" s="53"/>
      <c r="Y81" s="53"/>
      <c r="Z81" s="53"/>
      <c r="AB81" s="421"/>
    </row>
    <row r="82" spans="1:28" ht="15.75" thickBot="1">
      <c r="A82" s="41" t="s">
        <v>165</v>
      </c>
      <c r="B82" s="42" t="s">
        <v>209</v>
      </c>
      <c r="C82" s="50">
        <v>0</v>
      </c>
      <c r="D82" s="73">
        <v>0</v>
      </c>
      <c r="E82" s="73">
        <v>0</v>
      </c>
      <c r="F82" s="73">
        <v>0</v>
      </c>
      <c r="G82" s="73">
        <v>0</v>
      </c>
      <c r="H82" s="73">
        <v>0</v>
      </c>
      <c r="I82" s="74">
        <v>0</v>
      </c>
      <c r="J82" s="73">
        <v>0</v>
      </c>
      <c r="K82" s="73">
        <v>0</v>
      </c>
      <c r="L82" s="51">
        <v>0</v>
      </c>
      <c r="M82" s="51">
        <v>0</v>
      </c>
      <c r="N82" s="50">
        <v>0</v>
      </c>
      <c r="O82" s="51">
        <v>0</v>
      </c>
      <c r="P82" s="51">
        <v>0</v>
      </c>
      <c r="Q82" s="51">
        <v>0</v>
      </c>
      <c r="R82" s="50">
        <v>0</v>
      </c>
      <c r="S82" s="51">
        <v>0.16666666666666666</v>
      </c>
      <c r="T82" s="51">
        <v>0.33333333333333331</v>
      </c>
      <c r="U82" s="51">
        <v>0.5</v>
      </c>
      <c r="V82" s="51">
        <v>0.66666666666666663</v>
      </c>
      <c r="W82" s="51">
        <v>0.83333333333333326</v>
      </c>
      <c r="X82" s="51">
        <v>0.99999999999999989</v>
      </c>
      <c r="Y82" s="50">
        <v>1</v>
      </c>
      <c r="Z82" s="51">
        <v>1</v>
      </c>
      <c r="AA82" s="38">
        <v>20</v>
      </c>
      <c r="AB82" s="420">
        <v>0.8</v>
      </c>
    </row>
    <row r="83" spans="1:28" s="49" customFormat="1" ht="15.75" thickBot="1">
      <c r="A83" s="45"/>
      <c r="B83" s="46" t="s">
        <v>208</v>
      </c>
      <c r="C83" s="71">
        <v>0</v>
      </c>
      <c r="D83" s="76">
        <v>0</v>
      </c>
      <c r="E83" s="77">
        <v>0</v>
      </c>
      <c r="F83" s="77">
        <v>0</v>
      </c>
      <c r="G83" s="77">
        <v>0</v>
      </c>
      <c r="H83" s="77">
        <v>0</v>
      </c>
      <c r="I83" s="77">
        <v>0</v>
      </c>
      <c r="J83" s="77">
        <v>0</v>
      </c>
      <c r="K83" s="77">
        <v>0</v>
      </c>
      <c r="L83" s="77">
        <v>0</v>
      </c>
      <c r="M83" s="77">
        <v>0</v>
      </c>
      <c r="N83" s="425">
        <v>0</v>
      </c>
      <c r="O83" s="426">
        <v>0</v>
      </c>
      <c r="P83" s="426">
        <v>0</v>
      </c>
      <c r="Q83" s="426">
        <v>0</v>
      </c>
      <c r="R83" s="77">
        <v>0</v>
      </c>
      <c r="S83" s="77">
        <v>0</v>
      </c>
      <c r="T83" s="77">
        <v>0</v>
      </c>
      <c r="U83" s="77">
        <v>0</v>
      </c>
      <c r="V83" s="78">
        <v>0</v>
      </c>
      <c r="W83" s="72">
        <v>0</v>
      </c>
      <c r="X83" s="70">
        <v>0</v>
      </c>
      <c r="Y83" s="70">
        <v>0</v>
      </c>
      <c r="Z83" s="70">
        <v>0</v>
      </c>
      <c r="AB83" s="421"/>
    </row>
    <row r="84" spans="1:28" s="49" customFormat="1">
      <c r="A84" s="45"/>
      <c r="B84" s="46"/>
      <c r="C84" s="53"/>
      <c r="D84" s="428"/>
      <c r="E84" s="428"/>
      <c r="F84" s="428"/>
      <c r="G84" s="53"/>
      <c r="H84" s="53"/>
      <c r="I84" s="53"/>
      <c r="J84" s="53"/>
      <c r="K84" s="53"/>
      <c r="L84" s="53"/>
      <c r="M84" s="53"/>
      <c r="N84" s="53"/>
      <c r="O84" s="53"/>
      <c r="P84" s="53"/>
      <c r="Q84" s="53"/>
      <c r="R84" s="53"/>
      <c r="S84" s="53"/>
      <c r="T84" s="53"/>
      <c r="U84" s="53"/>
      <c r="V84" s="53"/>
      <c r="W84" s="53"/>
      <c r="X84" s="53"/>
      <c r="Y84" s="53"/>
      <c r="Z84" s="53"/>
      <c r="AB84" s="421"/>
    </row>
    <row r="85" spans="1:28" ht="15.75" thickBot="1">
      <c r="A85" s="41" t="s">
        <v>160</v>
      </c>
      <c r="B85" s="42" t="s">
        <v>201</v>
      </c>
      <c r="C85" s="52"/>
      <c r="D85" s="52"/>
      <c r="E85" s="52"/>
      <c r="F85" s="52"/>
      <c r="G85" s="52"/>
      <c r="H85" s="52"/>
      <c r="I85" s="52"/>
      <c r="J85" s="52"/>
      <c r="K85" s="52"/>
      <c r="L85" s="52"/>
      <c r="M85" s="52"/>
      <c r="N85" s="50">
        <v>40</v>
      </c>
      <c r="O85" s="51">
        <v>42.5</v>
      </c>
      <c r="P85" s="51">
        <v>45</v>
      </c>
      <c r="Q85" s="51">
        <v>47.5</v>
      </c>
      <c r="R85" s="50">
        <v>50</v>
      </c>
      <c r="S85" s="51">
        <v>54.166666666666664</v>
      </c>
      <c r="T85" s="51">
        <v>58.333333333333329</v>
      </c>
      <c r="U85" s="51">
        <v>62.499999999999993</v>
      </c>
      <c r="V85" s="51">
        <v>66.666666666666657</v>
      </c>
      <c r="W85" s="51">
        <v>70.833333333333329</v>
      </c>
      <c r="X85" s="51">
        <v>75</v>
      </c>
      <c r="Y85" s="50">
        <v>75</v>
      </c>
      <c r="Z85" s="51">
        <v>75</v>
      </c>
      <c r="AA85" s="38">
        <v>100</v>
      </c>
      <c r="AB85" s="420">
        <v>4</v>
      </c>
    </row>
    <row r="86" spans="1:28" s="49" customFormat="1" ht="15.75" thickBot="1">
      <c r="A86" s="45"/>
      <c r="B86" s="46" t="s">
        <v>200</v>
      </c>
      <c r="C86" s="52"/>
      <c r="D86" s="52"/>
      <c r="E86" s="52"/>
      <c r="F86" s="52"/>
      <c r="G86" s="52"/>
      <c r="H86" s="52"/>
      <c r="I86" s="52"/>
      <c r="J86" s="52"/>
      <c r="K86" s="52"/>
      <c r="L86" s="52"/>
      <c r="M86" s="52"/>
      <c r="N86" s="52">
        <v>40</v>
      </c>
      <c r="O86" s="76">
        <v>40</v>
      </c>
      <c r="P86" s="426">
        <v>55</v>
      </c>
      <c r="Q86" s="426">
        <v>58</v>
      </c>
      <c r="R86" s="77">
        <v>58</v>
      </c>
      <c r="S86" s="77">
        <v>58</v>
      </c>
      <c r="T86" s="77">
        <v>58</v>
      </c>
      <c r="U86" s="77">
        <v>62</v>
      </c>
      <c r="V86" s="78">
        <v>72</v>
      </c>
      <c r="W86" s="72">
        <v>72</v>
      </c>
      <c r="X86" s="70">
        <v>74</v>
      </c>
      <c r="Y86" s="70">
        <v>0</v>
      </c>
      <c r="Z86" s="70">
        <v>0</v>
      </c>
      <c r="AB86" s="421"/>
    </row>
    <row r="87" spans="1:28" s="49" customFormat="1">
      <c r="A87" s="45"/>
      <c r="B87" s="46"/>
      <c r="C87" s="53"/>
      <c r="D87" s="428"/>
      <c r="E87" s="428"/>
      <c r="F87" s="428"/>
      <c r="G87" s="53"/>
      <c r="H87" s="53"/>
      <c r="I87" s="53"/>
      <c r="J87" s="53"/>
      <c r="K87" s="53"/>
      <c r="L87" s="53"/>
      <c r="M87" s="53"/>
      <c r="N87" s="53"/>
      <c r="O87" s="53"/>
      <c r="P87" s="53"/>
      <c r="Q87" s="53"/>
      <c r="R87" s="53"/>
      <c r="S87" s="53"/>
      <c r="T87" s="53"/>
      <c r="U87" s="53"/>
      <c r="V87" s="53"/>
      <c r="W87" s="53"/>
      <c r="X87" s="53"/>
      <c r="Y87" s="53"/>
      <c r="Z87" s="53"/>
      <c r="AB87" s="421"/>
    </row>
    <row r="88" spans="1:28" ht="15.75" thickBot="1">
      <c r="A88" s="41" t="s">
        <v>161</v>
      </c>
      <c r="B88" s="42" t="s">
        <v>198</v>
      </c>
      <c r="C88" s="52"/>
      <c r="D88" s="52"/>
      <c r="E88" s="52"/>
      <c r="F88" s="52"/>
      <c r="G88" s="52"/>
      <c r="H88" s="52"/>
      <c r="I88" s="52"/>
      <c r="J88" s="52"/>
      <c r="K88" s="52"/>
      <c r="L88" s="52"/>
      <c r="M88" s="52"/>
      <c r="N88" s="50">
        <v>25</v>
      </c>
      <c r="O88" s="51">
        <v>26.25</v>
      </c>
      <c r="P88" s="51">
        <v>27.5</v>
      </c>
      <c r="Q88" s="51">
        <v>28.75</v>
      </c>
      <c r="R88" s="50">
        <v>30</v>
      </c>
      <c r="S88" s="51">
        <v>32.5</v>
      </c>
      <c r="T88" s="51">
        <v>35</v>
      </c>
      <c r="U88" s="51">
        <v>37.5</v>
      </c>
      <c r="V88" s="51">
        <v>40</v>
      </c>
      <c r="W88" s="51">
        <v>42.5</v>
      </c>
      <c r="X88" s="51">
        <v>45</v>
      </c>
      <c r="Y88" s="50">
        <v>45</v>
      </c>
      <c r="Z88" s="51">
        <v>45</v>
      </c>
      <c r="AA88" s="38">
        <v>100</v>
      </c>
      <c r="AB88" s="420">
        <v>4</v>
      </c>
    </row>
    <row r="89" spans="1:28" s="49" customFormat="1" ht="15.75" thickBot="1">
      <c r="A89" s="45"/>
      <c r="B89" s="46" t="s">
        <v>199</v>
      </c>
      <c r="C89" s="52"/>
      <c r="D89" s="52"/>
      <c r="E89" s="52"/>
      <c r="F89" s="52"/>
      <c r="G89" s="52"/>
      <c r="H89" s="52"/>
      <c r="I89" s="52"/>
      <c r="J89" s="52"/>
      <c r="K89" s="52"/>
      <c r="L89" s="52"/>
      <c r="M89" s="52"/>
      <c r="N89" s="52">
        <v>25</v>
      </c>
      <c r="O89" s="76">
        <v>25</v>
      </c>
      <c r="P89" s="426">
        <v>25</v>
      </c>
      <c r="Q89" s="426">
        <v>32</v>
      </c>
      <c r="R89" s="77">
        <v>32</v>
      </c>
      <c r="S89" s="77">
        <v>32</v>
      </c>
      <c r="T89" s="77">
        <v>32</v>
      </c>
      <c r="U89" s="77">
        <v>32</v>
      </c>
      <c r="V89" s="78">
        <v>68</v>
      </c>
      <c r="W89" s="72">
        <v>68</v>
      </c>
      <c r="X89" s="70">
        <v>70</v>
      </c>
      <c r="Y89" s="70">
        <v>0</v>
      </c>
      <c r="Z89" s="70">
        <v>0</v>
      </c>
      <c r="AB89" s="421"/>
    </row>
    <row r="90" spans="1:28" s="49" customFormat="1">
      <c r="A90" s="45"/>
      <c r="B90" s="46"/>
      <c r="C90" s="53"/>
      <c r="D90" s="428"/>
      <c r="E90" s="428"/>
      <c r="F90" s="428"/>
      <c r="G90" s="53"/>
      <c r="H90" s="53"/>
      <c r="I90" s="53"/>
      <c r="J90" s="53"/>
      <c r="K90" s="53"/>
      <c r="L90" s="53"/>
      <c r="M90" s="53"/>
      <c r="N90" s="53"/>
      <c r="O90" s="53"/>
      <c r="P90" s="53"/>
      <c r="Q90" s="53"/>
      <c r="R90" s="53"/>
      <c r="S90" s="53"/>
      <c r="T90" s="53"/>
      <c r="U90" s="53"/>
      <c r="V90" s="53"/>
      <c r="W90" s="53"/>
      <c r="X90" s="53"/>
      <c r="Y90" s="53"/>
      <c r="Z90" s="53"/>
      <c r="AB90" s="421"/>
    </row>
    <row r="91" spans="1:28" ht="15.75" thickBot="1">
      <c r="A91" s="41" t="s">
        <v>40</v>
      </c>
      <c r="B91" s="42" t="s">
        <v>139</v>
      </c>
      <c r="C91" s="52"/>
      <c r="D91" s="52"/>
      <c r="E91" s="52"/>
      <c r="F91" s="52"/>
      <c r="G91" s="52"/>
      <c r="H91" s="52"/>
      <c r="I91" s="52"/>
      <c r="J91" s="52"/>
      <c r="K91" s="52"/>
      <c r="L91" s="52"/>
      <c r="M91" s="52"/>
      <c r="N91" s="43">
        <v>1.9</v>
      </c>
      <c r="O91" s="44">
        <v>1.9750000000000001</v>
      </c>
      <c r="P91" s="44">
        <v>2.0500000000000003</v>
      </c>
      <c r="Q91" s="44">
        <v>2.1250000000000004</v>
      </c>
      <c r="R91" s="43">
        <v>2.2000000000000002</v>
      </c>
      <c r="S91" s="44">
        <v>2.25</v>
      </c>
      <c r="T91" s="44">
        <v>2.2999999999999998</v>
      </c>
      <c r="U91" s="44">
        <v>2.3499999999999996</v>
      </c>
      <c r="V91" s="44">
        <v>2.3999999999999995</v>
      </c>
      <c r="W91" s="44">
        <v>2.4499999999999993</v>
      </c>
      <c r="X91" s="44">
        <v>2.4999999999999991</v>
      </c>
      <c r="Y91" s="43">
        <v>2.5</v>
      </c>
      <c r="Z91" s="44">
        <v>2.5</v>
      </c>
      <c r="AA91" s="38">
        <v>5</v>
      </c>
      <c r="AB91" s="420">
        <v>0.16</v>
      </c>
    </row>
    <row r="92" spans="1:28" s="49" customFormat="1" ht="15.75" thickBot="1">
      <c r="A92" s="45"/>
      <c r="B92" s="46" t="s">
        <v>140</v>
      </c>
      <c r="C92" s="52"/>
      <c r="D92" s="52"/>
      <c r="E92" s="52"/>
      <c r="F92" s="52"/>
      <c r="G92" s="52"/>
      <c r="H92" s="52"/>
      <c r="I92" s="52"/>
      <c r="J92" s="52"/>
      <c r="K92" s="52"/>
      <c r="L92" s="52"/>
      <c r="M92" s="52"/>
      <c r="N92" s="47">
        <v>1.9</v>
      </c>
      <c r="O92" s="84">
        <v>1.9</v>
      </c>
      <c r="P92" s="424">
        <v>2.1</v>
      </c>
      <c r="Q92" s="424">
        <v>2.2999999999999998</v>
      </c>
      <c r="R92" s="85">
        <v>2.4</v>
      </c>
      <c r="S92" s="85">
        <v>2.5</v>
      </c>
      <c r="T92" s="85">
        <v>2.6</v>
      </c>
      <c r="U92" s="85">
        <v>3</v>
      </c>
      <c r="V92" s="86">
        <v>3.3</v>
      </c>
      <c r="W92" s="80">
        <v>3.3</v>
      </c>
      <c r="X92" s="69">
        <v>3.5</v>
      </c>
      <c r="Y92" s="69">
        <v>0</v>
      </c>
      <c r="Z92" s="69">
        <v>0</v>
      </c>
      <c r="AB92" s="421"/>
    </row>
    <row r="93" spans="1:28" s="49" customFormat="1">
      <c r="A93" s="45"/>
      <c r="B93" s="46"/>
      <c r="C93" s="48"/>
      <c r="D93" s="48"/>
      <c r="E93" s="48"/>
      <c r="F93" s="48"/>
      <c r="G93" s="48"/>
      <c r="H93" s="48"/>
      <c r="I93" s="48"/>
      <c r="J93" s="48"/>
      <c r="K93" s="48"/>
      <c r="L93" s="48"/>
      <c r="M93" s="48"/>
      <c r="N93" s="48"/>
      <c r="O93" s="48"/>
      <c r="P93" s="48"/>
      <c r="Q93" s="48"/>
      <c r="R93" s="48"/>
      <c r="S93" s="48"/>
      <c r="T93" s="48"/>
      <c r="U93" s="48"/>
      <c r="V93" s="48"/>
      <c r="W93" s="48"/>
      <c r="X93" s="48"/>
      <c r="Y93" s="48"/>
      <c r="Z93" s="48"/>
      <c r="AB93" s="421"/>
    </row>
    <row r="94" spans="1:28" ht="15.75" thickBot="1">
      <c r="A94" s="41" t="s">
        <v>32</v>
      </c>
      <c r="B94" s="42" t="s">
        <v>139</v>
      </c>
      <c r="C94" s="43">
        <v>0</v>
      </c>
      <c r="D94" s="81">
        <v>0.16666666666666666</v>
      </c>
      <c r="E94" s="81">
        <v>0.33333333333333331</v>
      </c>
      <c r="F94" s="81">
        <v>0.5</v>
      </c>
      <c r="G94" s="81">
        <v>0.66666666666666663</v>
      </c>
      <c r="H94" s="81">
        <v>0.83333333333333326</v>
      </c>
      <c r="I94" s="82">
        <v>1</v>
      </c>
      <c r="J94" s="81">
        <v>1</v>
      </c>
      <c r="K94" s="81">
        <v>1</v>
      </c>
      <c r="L94" s="44">
        <v>1</v>
      </c>
      <c r="M94" s="44">
        <v>1</v>
      </c>
      <c r="N94" s="43">
        <v>1</v>
      </c>
      <c r="O94" s="44">
        <v>1.125</v>
      </c>
      <c r="P94" s="44">
        <v>1.25</v>
      </c>
      <c r="Q94" s="44">
        <v>1.375</v>
      </c>
      <c r="R94" s="43">
        <v>1.5</v>
      </c>
      <c r="S94" s="44">
        <v>1.6666666666666667</v>
      </c>
      <c r="T94" s="44">
        <v>1.8333333333333335</v>
      </c>
      <c r="U94" s="44">
        <v>2</v>
      </c>
      <c r="V94" s="44">
        <v>2.1666666666666665</v>
      </c>
      <c r="W94" s="44">
        <v>2.75</v>
      </c>
      <c r="X94" s="44">
        <v>3</v>
      </c>
      <c r="Y94" s="43">
        <v>3</v>
      </c>
      <c r="Z94" s="44">
        <v>3</v>
      </c>
      <c r="AA94" s="38">
        <v>5</v>
      </c>
      <c r="AB94" s="420">
        <v>0.16</v>
      </c>
    </row>
    <row r="95" spans="1:28" s="49" customFormat="1" ht="15.75" thickBot="1">
      <c r="A95" s="45"/>
      <c r="B95" s="46" t="s">
        <v>140</v>
      </c>
      <c r="C95" s="79">
        <v>0</v>
      </c>
      <c r="D95" s="84">
        <v>0</v>
      </c>
      <c r="E95" s="85">
        <v>0</v>
      </c>
      <c r="F95" s="85">
        <v>0</v>
      </c>
      <c r="G95" s="85">
        <v>0</v>
      </c>
      <c r="H95" s="85">
        <v>0</v>
      </c>
      <c r="I95" s="85">
        <v>0</v>
      </c>
      <c r="J95" s="85">
        <v>0</v>
      </c>
      <c r="K95" s="85">
        <v>0</v>
      </c>
      <c r="L95" s="85">
        <v>0</v>
      </c>
      <c r="M95" s="85">
        <v>0</v>
      </c>
      <c r="N95" s="423">
        <v>1</v>
      </c>
      <c r="O95" s="424">
        <v>1</v>
      </c>
      <c r="P95" s="424">
        <v>1.3</v>
      </c>
      <c r="Q95" s="424">
        <v>2</v>
      </c>
      <c r="R95" s="85">
        <v>2.2999999999999998</v>
      </c>
      <c r="S95" s="85">
        <v>2.2999999999999998</v>
      </c>
      <c r="T95" s="85">
        <v>2.8</v>
      </c>
      <c r="U95" s="85">
        <v>2.8</v>
      </c>
      <c r="V95" s="86">
        <v>3.5</v>
      </c>
      <c r="W95" s="80">
        <v>3.5</v>
      </c>
      <c r="X95" s="69">
        <v>3.5</v>
      </c>
      <c r="Y95" s="69">
        <v>0</v>
      </c>
      <c r="Z95" s="69">
        <v>0</v>
      </c>
      <c r="AB95" s="421"/>
    </row>
    <row r="96" spans="1:28" s="49" customFormat="1">
      <c r="A96" s="45"/>
      <c r="B96" s="46"/>
      <c r="C96" s="48"/>
      <c r="D96" s="83"/>
      <c r="E96" s="83"/>
      <c r="F96" s="83"/>
      <c r="G96" s="83"/>
      <c r="H96" s="83"/>
      <c r="I96" s="83"/>
      <c r="J96" s="83"/>
      <c r="K96" s="83"/>
      <c r="L96" s="48"/>
      <c r="M96" s="48"/>
      <c r="N96" s="48"/>
      <c r="O96" s="48"/>
      <c r="P96" s="48"/>
      <c r="Q96" s="48"/>
      <c r="R96" s="48"/>
      <c r="S96" s="48"/>
      <c r="T96" s="48"/>
      <c r="U96" s="48"/>
      <c r="V96" s="48"/>
      <c r="W96" s="48"/>
      <c r="X96" s="48"/>
      <c r="Y96" s="48"/>
      <c r="Z96" s="48"/>
      <c r="AB96" s="421"/>
    </row>
    <row r="97" spans="1:28" ht="15.75" thickBot="1">
      <c r="A97" s="41" t="s">
        <v>33</v>
      </c>
      <c r="B97" s="42" t="s">
        <v>139</v>
      </c>
      <c r="C97" s="43">
        <v>0</v>
      </c>
      <c r="D97" s="81">
        <v>0.28333333333333333</v>
      </c>
      <c r="E97" s="81">
        <v>0.56666666666666665</v>
      </c>
      <c r="F97" s="81">
        <v>0.85</v>
      </c>
      <c r="G97" s="81">
        <v>1.1333333333333333</v>
      </c>
      <c r="H97" s="81">
        <v>1.4166666666666665</v>
      </c>
      <c r="I97" s="82">
        <v>1.7</v>
      </c>
      <c r="J97" s="81">
        <v>1.7</v>
      </c>
      <c r="K97" s="81">
        <v>1.7</v>
      </c>
      <c r="L97" s="44">
        <v>1.7</v>
      </c>
      <c r="M97" s="44">
        <v>1.7</v>
      </c>
      <c r="N97" s="43">
        <v>1.7</v>
      </c>
      <c r="O97" s="44">
        <v>1.7749999999999999</v>
      </c>
      <c r="P97" s="44">
        <v>1.8499999999999999</v>
      </c>
      <c r="Q97" s="44">
        <v>1.9249999999999998</v>
      </c>
      <c r="R97" s="43">
        <v>2</v>
      </c>
      <c r="S97" s="44">
        <v>2.0833333333333335</v>
      </c>
      <c r="T97" s="44">
        <v>2.166666666666667</v>
      </c>
      <c r="U97" s="44">
        <v>2.2500000000000004</v>
      </c>
      <c r="V97" s="44">
        <v>2.3333333333333339</v>
      </c>
      <c r="W97" s="44">
        <v>3.0000000000000009</v>
      </c>
      <c r="X97" s="44">
        <v>3.2000000000000011</v>
      </c>
      <c r="Y97" s="43">
        <v>3.2</v>
      </c>
      <c r="Z97" s="44">
        <v>3.2</v>
      </c>
      <c r="AA97" s="38">
        <v>5</v>
      </c>
      <c r="AB97" s="420">
        <v>0.16</v>
      </c>
    </row>
    <row r="98" spans="1:28" s="49" customFormat="1" ht="15.75" thickBot="1">
      <c r="A98" s="45"/>
      <c r="B98" s="46" t="s">
        <v>140</v>
      </c>
      <c r="C98" s="79">
        <v>0</v>
      </c>
      <c r="D98" s="84">
        <v>0</v>
      </c>
      <c r="E98" s="85">
        <v>0</v>
      </c>
      <c r="F98" s="85">
        <v>0</v>
      </c>
      <c r="G98" s="85">
        <v>0</v>
      </c>
      <c r="H98" s="85">
        <v>0</v>
      </c>
      <c r="I98" s="85">
        <v>0</v>
      </c>
      <c r="J98" s="85">
        <v>0</v>
      </c>
      <c r="K98" s="85">
        <v>0</v>
      </c>
      <c r="L98" s="85">
        <v>0</v>
      </c>
      <c r="M98" s="85">
        <v>0</v>
      </c>
      <c r="N98" s="423">
        <v>1.7</v>
      </c>
      <c r="O98" s="424">
        <v>1.9</v>
      </c>
      <c r="P98" s="424">
        <v>2.1</v>
      </c>
      <c r="Q98" s="424">
        <v>2.2999999999999998</v>
      </c>
      <c r="R98" s="85">
        <v>2.4</v>
      </c>
      <c r="S98" s="85">
        <v>2.2999999999999998</v>
      </c>
      <c r="T98" s="85">
        <v>2.7</v>
      </c>
      <c r="U98" s="85">
        <v>2.7</v>
      </c>
      <c r="V98" s="86">
        <v>3.8</v>
      </c>
      <c r="W98" s="80">
        <v>3.8</v>
      </c>
      <c r="X98" s="69">
        <v>3.8</v>
      </c>
      <c r="Y98" s="69">
        <v>0</v>
      </c>
      <c r="Z98" s="69">
        <v>0</v>
      </c>
      <c r="AB98" s="421"/>
    </row>
    <row r="99" spans="1:28" s="49" customFormat="1">
      <c r="A99" s="45"/>
      <c r="B99" s="46"/>
      <c r="C99" s="48"/>
      <c r="D99" s="83"/>
      <c r="E99" s="83"/>
      <c r="F99" s="83"/>
      <c r="G99" s="83"/>
      <c r="H99" s="83"/>
      <c r="I99" s="83"/>
      <c r="J99" s="83"/>
      <c r="K99" s="83"/>
      <c r="L99" s="48"/>
      <c r="M99" s="48"/>
      <c r="N99" s="48"/>
      <c r="O99" s="48"/>
      <c r="P99" s="48"/>
      <c r="Q99" s="48"/>
      <c r="R99" s="48"/>
      <c r="S99" s="48"/>
      <c r="T99" s="48"/>
      <c r="U99" s="48"/>
      <c r="V99" s="48"/>
      <c r="W99" s="48"/>
      <c r="X99" s="48"/>
      <c r="Y99" s="48"/>
      <c r="Z99" s="48"/>
      <c r="AB99" s="421"/>
    </row>
    <row r="100" spans="1:28" ht="15.75" thickBot="1">
      <c r="A100" s="41" t="s">
        <v>34</v>
      </c>
      <c r="B100" s="42" t="s">
        <v>139</v>
      </c>
      <c r="C100" s="43">
        <v>0</v>
      </c>
      <c r="D100" s="81">
        <v>0.3</v>
      </c>
      <c r="E100" s="81">
        <v>0.6</v>
      </c>
      <c r="F100" s="81">
        <v>0.89999999999999991</v>
      </c>
      <c r="G100" s="81">
        <v>1.2</v>
      </c>
      <c r="H100" s="81">
        <v>1.5</v>
      </c>
      <c r="I100" s="82">
        <v>1.8</v>
      </c>
      <c r="J100" s="81">
        <v>1.8</v>
      </c>
      <c r="K100" s="81">
        <v>1.8</v>
      </c>
      <c r="L100" s="44">
        <v>1.8</v>
      </c>
      <c r="M100" s="44">
        <v>1.8</v>
      </c>
      <c r="N100" s="43">
        <v>1.8</v>
      </c>
      <c r="O100" s="44">
        <v>1.875</v>
      </c>
      <c r="P100" s="44">
        <v>1.95</v>
      </c>
      <c r="Q100" s="44">
        <v>2.0249999999999999</v>
      </c>
      <c r="R100" s="43">
        <v>2.1</v>
      </c>
      <c r="S100" s="44">
        <v>2.2000000000000002</v>
      </c>
      <c r="T100" s="44">
        <v>2.3000000000000003</v>
      </c>
      <c r="U100" s="44">
        <v>2.4000000000000004</v>
      </c>
      <c r="V100" s="44">
        <v>2.5000000000000004</v>
      </c>
      <c r="W100" s="44">
        <v>2.8499999999999996</v>
      </c>
      <c r="X100" s="44">
        <v>2.9999999999999996</v>
      </c>
      <c r="Y100" s="43">
        <v>3</v>
      </c>
      <c r="Z100" s="44">
        <v>3</v>
      </c>
      <c r="AA100" s="38">
        <v>5</v>
      </c>
      <c r="AB100" s="420">
        <v>0.16</v>
      </c>
    </row>
    <row r="101" spans="1:28" s="49" customFormat="1" ht="15.75" thickBot="1">
      <c r="A101" s="45"/>
      <c r="B101" s="46" t="s">
        <v>140</v>
      </c>
      <c r="C101" s="79">
        <v>0</v>
      </c>
      <c r="D101" s="84">
        <v>0</v>
      </c>
      <c r="E101" s="85">
        <v>0</v>
      </c>
      <c r="F101" s="85">
        <v>0</v>
      </c>
      <c r="G101" s="85">
        <v>0</v>
      </c>
      <c r="H101" s="85">
        <v>0</v>
      </c>
      <c r="I101" s="85">
        <v>0</v>
      </c>
      <c r="J101" s="85">
        <v>0</v>
      </c>
      <c r="K101" s="85">
        <v>0</v>
      </c>
      <c r="L101" s="85">
        <v>0</v>
      </c>
      <c r="M101" s="85">
        <v>0</v>
      </c>
      <c r="N101" s="423">
        <v>1.8</v>
      </c>
      <c r="O101" s="424">
        <v>1.8</v>
      </c>
      <c r="P101" s="424">
        <v>1.9</v>
      </c>
      <c r="Q101" s="424">
        <v>2.2999999999999998</v>
      </c>
      <c r="R101" s="85">
        <v>2</v>
      </c>
      <c r="S101" s="85">
        <v>2</v>
      </c>
      <c r="T101" s="85">
        <v>2.6</v>
      </c>
      <c r="U101" s="85">
        <v>2.6</v>
      </c>
      <c r="V101" s="86">
        <v>3.6</v>
      </c>
      <c r="W101" s="80">
        <v>3.6</v>
      </c>
      <c r="X101" s="69">
        <v>3.7</v>
      </c>
      <c r="Y101" s="69">
        <v>0</v>
      </c>
      <c r="Z101" s="69">
        <v>0</v>
      </c>
      <c r="AB101" s="421"/>
    </row>
    <row r="102" spans="1:28" s="49" customFormat="1">
      <c r="A102" s="45"/>
      <c r="B102" s="46"/>
      <c r="C102" s="48"/>
      <c r="D102" s="83"/>
      <c r="E102" s="83"/>
      <c r="F102" s="83"/>
      <c r="G102" s="83"/>
      <c r="H102" s="83"/>
      <c r="I102" s="83"/>
      <c r="J102" s="83"/>
      <c r="K102" s="83"/>
      <c r="L102" s="48"/>
      <c r="M102" s="48"/>
      <c r="N102" s="48"/>
      <c r="O102" s="48"/>
      <c r="P102" s="48"/>
      <c r="Q102" s="48"/>
      <c r="R102" s="48"/>
      <c r="S102" s="48"/>
      <c r="T102" s="48"/>
      <c r="U102" s="48"/>
      <c r="V102" s="48"/>
      <c r="W102" s="48"/>
      <c r="X102" s="48"/>
      <c r="Y102" s="48"/>
      <c r="Z102" s="48"/>
      <c r="AB102" s="421"/>
    </row>
    <row r="103" spans="1:28" ht="15.75" thickBot="1">
      <c r="A103" s="41" t="s">
        <v>41</v>
      </c>
      <c r="B103" s="42" t="s">
        <v>139</v>
      </c>
      <c r="C103" s="43">
        <v>0</v>
      </c>
      <c r="D103" s="81">
        <v>0.31666666666666665</v>
      </c>
      <c r="E103" s="81">
        <v>0.6333333333333333</v>
      </c>
      <c r="F103" s="81">
        <v>0.95</v>
      </c>
      <c r="G103" s="81">
        <v>1.2666666666666666</v>
      </c>
      <c r="H103" s="81">
        <v>1.5833333333333333</v>
      </c>
      <c r="I103" s="82">
        <v>1.9</v>
      </c>
      <c r="J103" s="81">
        <v>1.9</v>
      </c>
      <c r="K103" s="81">
        <v>1.9</v>
      </c>
      <c r="L103" s="44">
        <v>1.9</v>
      </c>
      <c r="M103" s="44">
        <v>1.9</v>
      </c>
      <c r="N103" s="43">
        <v>1.9</v>
      </c>
      <c r="O103" s="44">
        <v>2</v>
      </c>
      <c r="P103" s="44">
        <v>2.1</v>
      </c>
      <c r="Q103" s="44">
        <v>2.2000000000000002</v>
      </c>
      <c r="R103" s="43">
        <v>2.2999999999999998</v>
      </c>
      <c r="S103" s="44">
        <v>2.4166666666666665</v>
      </c>
      <c r="T103" s="44">
        <v>2.5333333333333332</v>
      </c>
      <c r="U103" s="44">
        <v>2.65</v>
      </c>
      <c r="V103" s="44">
        <v>2.7666666666666666</v>
      </c>
      <c r="W103" s="44">
        <v>3.0499999999999994</v>
      </c>
      <c r="X103" s="44">
        <v>3.1999999999999993</v>
      </c>
      <c r="Y103" s="43">
        <v>3.2</v>
      </c>
      <c r="Z103" s="44">
        <v>3.2</v>
      </c>
      <c r="AA103" s="38">
        <v>5</v>
      </c>
      <c r="AB103" s="420">
        <v>0.16</v>
      </c>
    </row>
    <row r="104" spans="1:28" s="49" customFormat="1" ht="15.75" thickBot="1">
      <c r="A104" s="45"/>
      <c r="B104" s="46" t="s">
        <v>140</v>
      </c>
      <c r="C104" s="79">
        <v>0</v>
      </c>
      <c r="D104" s="84">
        <v>0</v>
      </c>
      <c r="E104" s="85">
        <v>0</v>
      </c>
      <c r="F104" s="85">
        <v>0</v>
      </c>
      <c r="G104" s="85">
        <v>0</v>
      </c>
      <c r="H104" s="85">
        <v>0</v>
      </c>
      <c r="I104" s="85">
        <v>0</v>
      </c>
      <c r="J104" s="85">
        <v>0</v>
      </c>
      <c r="K104" s="85">
        <v>0</v>
      </c>
      <c r="L104" s="85">
        <v>0</v>
      </c>
      <c r="M104" s="85">
        <v>0</v>
      </c>
      <c r="N104" s="423">
        <v>1.9</v>
      </c>
      <c r="O104" s="424">
        <v>1.9</v>
      </c>
      <c r="P104" s="424">
        <v>1.9</v>
      </c>
      <c r="Q104" s="424">
        <v>2.4</v>
      </c>
      <c r="R104" s="85">
        <v>2.4</v>
      </c>
      <c r="S104" s="85">
        <v>2.4</v>
      </c>
      <c r="T104" s="85">
        <v>2.7</v>
      </c>
      <c r="U104" s="85">
        <v>3.3</v>
      </c>
      <c r="V104" s="86">
        <v>3.8</v>
      </c>
      <c r="W104" s="80">
        <v>3.8</v>
      </c>
      <c r="X104" s="69">
        <v>3.9</v>
      </c>
      <c r="Y104" s="69">
        <v>0</v>
      </c>
      <c r="Z104" s="69">
        <v>0</v>
      </c>
      <c r="AB104" s="421"/>
    </row>
    <row r="105" spans="1:28" s="49" customFormat="1">
      <c r="A105" s="45"/>
      <c r="B105" s="46"/>
      <c r="C105" s="48"/>
      <c r="D105" s="83"/>
      <c r="E105" s="83"/>
      <c r="F105" s="83"/>
      <c r="G105" s="83"/>
      <c r="H105" s="83"/>
      <c r="I105" s="83"/>
      <c r="J105" s="83"/>
      <c r="K105" s="83"/>
      <c r="L105" s="48"/>
      <c r="M105" s="48"/>
      <c r="N105" s="48"/>
      <c r="O105" s="48"/>
      <c r="P105" s="48"/>
      <c r="Q105" s="48"/>
      <c r="R105" s="48"/>
      <c r="S105" s="48"/>
      <c r="T105" s="48"/>
      <c r="U105" s="48"/>
      <c r="V105" s="48"/>
      <c r="W105" s="48"/>
      <c r="X105" s="48"/>
      <c r="Y105" s="48"/>
      <c r="Z105" s="48"/>
      <c r="AB105" s="421"/>
    </row>
    <row r="106" spans="1:28" ht="15.75" thickBot="1">
      <c r="A106" s="41" t="s">
        <v>181</v>
      </c>
      <c r="B106" s="42" t="s">
        <v>204</v>
      </c>
      <c r="C106" s="50">
        <v>0</v>
      </c>
      <c r="D106" s="73">
        <v>0</v>
      </c>
      <c r="E106" s="73">
        <v>0</v>
      </c>
      <c r="F106" s="73">
        <v>0</v>
      </c>
      <c r="G106" s="73">
        <v>0</v>
      </c>
      <c r="H106" s="73">
        <v>0</v>
      </c>
      <c r="I106" s="74">
        <v>0</v>
      </c>
      <c r="J106" s="73">
        <v>0</v>
      </c>
      <c r="K106" s="73">
        <v>0</v>
      </c>
      <c r="L106" s="51">
        <v>0</v>
      </c>
      <c r="M106" s="51">
        <v>0</v>
      </c>
      <c r="N106" s="50">
        <v>0</v>
      </c>
      <c r="O106" s="51">
        <v>0.5</v>
      </c>
      <c r="P106" s="51">
        <v>1</v>
      </c>
      <c r="Q106" s="51">
        <v>1.5</v>
      </c>
      <c r="R106" s="50">
        <v>2</v>
      </c>
      <c r="S106" s="51">
        <v>2.3333333333333335</v>
      </c>
      <c r="T106" s="51">
        <v>2.666666666666667</v>
      </c>
      <c r="U106" s="51">
        <v>3.0000000000000004</v>
      </c>
      <c r="V106" s="51">
        <v>3.3333333333333339</v>
      </c>
      <c r="W106" s="51">
        <v>3.6666666666666674</v>
      </c>
      <c r="X106" s="51">
        <v>4.0000000000000009</v>
      </c>
      <c r="Y106" s="50">
        <v>4</v>
      </c>
      <c r="Z106" s="51">
        <v>4</v>
      </c>
      <c r="AA106" s="38">
        <v>20</v>
      </c>
      <c r="AB106" s="420">
        <v>0.8</v>
      </c>
    </row>
    <row r="107" spans="1:28" s="49" customFormat="1" ht="15.75" thickBot="1">
      <c r="A107" s="45"/>
      <c r="B107" s="46" t="s">
        <v>205</v>
      </c>
      <c r="C107" s="71">
        <v>0</v>
      </c>
      <c r="D107" s="76">
        <v>0</v>
      </c>
      <c r="E107" s="77">
        <v>0</v>
      </c>
      <c r="F107" s="77">
        <v>0</v>
      </c>
      <c r="G107" s="77">
        <v>0</v>
      </c>
      <c r="H107" s="77">
        <v>0</v>
      </c>
      <c r="I107" s="77">
        <v>0</v>
      </c>
      <c r="J107" s="77">
        <v>0</v>
      </c>
      <c r="K107" s="77">
        <v>0</v>
      </c>
      <c r="L107" s="77">
        <v>0</v>
      </c>
      <c r="M107" s="77">
        <v>0</v>
      </c>
      <c r="N107" s="425">
        <v>0</v>
      </c>
      <c r="O107" s="426">
        <v>0</v>
      </c>
      <c r="P107" s="426">
        <v>1</v>
      </c>
      <c r="Q107" s="426">
        <v>3</v>
      </c>
      <c r="R107" s="77">
        <v>3</v>
      </c>
      <c r="S107" s="77">
        <v>3</v>
      </c>
      <c r="T107" s="77">
        <v>5</v>
      </c>
      <c r="U107" s="77">
        <v>6</v>
      </c>
      <c r="V107" s="78">
        <v>6</v>
      </c>
      <c r="W107" s="72">
        <v>6</v>
      </c>
      <c r="X107" s="70">
        <v>7</v>
      </c>
      <c r="Y107" s="70">
        <v>0</v>
      </c>
      <c r="Z107" s="70">
        <v>0</v>
      </c>
      <c r="AB107" s="421"/>
    </row>
    <row r="108" spans="1:28" s="49" customFormat="1">
      <c r="A108" s="45"/>
      <c r="B108" s="46"/>
      <c r="C108" s="53"/>
      <c r="D108" s="75"/>
      <c r="E108" s="75"/>
      <c r="F108" s="75"/>
      <c r="G108" s="75"/>
      <c r="H108" s="75"/>
      <c r="I108" s="75"/>
      <c r="J108" s="75"/>
      <c r="K108" s="75"/>
      <c r="L108" s="53"/>
      <c r="M108" s="53"/>
      <c r="N108" s="53"/>
      <c r="O108" s="53"/>
      <c r="P108" s="53"/>
      <c r="Q108" s="53"/>
      <c r="R108" s="53"/>
      <c r="S108" s="53"/>
      <c r="T108" s="53"/>
      <c r="U108" s="53"/>
      <c r="V108" s="53"/>
      <c r="W108" s="53"/>
      <c r="X108" s="53"/>
      <c r="Y108" s="53"/>
      <c r="Z108" s="53"/>
      <c r="AB108" s="421"/>
    </row>
    <row r="109" spans="1:28" ht="15.75" thickBot="1">
      <c r="A109" s="41" t="s">
        <v>182</v>
      </c>
      <c r="B109" s="42" t="s">
        <v>206</v>
      </c>
      <c r="C109" s="50">
        <v>0</v>
      </c>
      <c r="D109" s="73">
        <v>0</v>
      </c>
      <c r="E109" s="73">
        <v>0</v>
      </c>
      <c r="F109" s="73">
        <v>0</v>
      </c>
      <c r="G109" s="73">
        <v>0</v>
      </c>
      <c r="H109" s="73">
        <v>0</v>
      </c>
      <c r="I109" s="74">
        <v>0</v>
      </c>
      <c r="J109" s="73">
        <v>0</v>
      </c>
      <c r="K109" s="73">
        <v>0</v>
      </c>
      <c r="L109" s="51">
        <v>0</v>
      </c>
      <c r="M109" s="51">
        <v>0</v>
      </c>
      <c r="N109" s="50">
        <v>0</v>
      </c>
      <c r="O109" s="51">
        <v>0.25</v>
      </c>
      <c r="P109" s="51">
        <v>0.5</v>
      </c>
      <c r="Q109" s="51">
        <v>0.75</v>
      </c>
      <c r="R109" s="50">
        <v>1</v>
      </c>
      <c r="S109" s="51">
        <v>1.1666666666666667</v>
      </c>
      <c r="T109" s="51">
        <v>1.3333333333333335</v>
      </c>
      <c r="U109" s="51">
        <v>1.5000000000000002</v>
      </c>
      <c r="V109" s="51">
        <v>1.666666666666667</v>
      </c>
      <c r="W109" s="51">
        <v>1.8333333333333337</v>
      </c>
      <c r="X109" s="51">
        <v>2.0000000000000004</v>
      </c>
      <c r="Y109" s="50">
        <v>2</v>
      </c>
      <c r="Z109" s="51">
        <v>2</v>
      </c>
      <c r="AA109" s="38">
        <v>10</v>
      </c>
      <c r="AB109" s="420">
        <v>0.4</v>
      </c>
    </row>
    <row r="110" spans="1:28" s="49" customFormat="1" ht="15.75" thickBot="1">
      <c r="A110" s="45"/>
      <c r="B110" s="46" t="s">
        <v>207</v>
      </c>
      <c r="C110" s="71">
        <v>0</v>
      </c>
      <c r="D110" s="76">
        <v>0</v>
      </c>
      <c r="E110" s="77">
        <v>0</v>
      </c>
      <c r="F110" s="77">
        <v>0</v>
      </c>
      <c r="G110" s="77">
        <v>0</v>
      </c>
      <c r="H110" s="77">
        <v>0</v>
      </c>
      <c r="I110" s="77">
        <v>0</v>
      </c>
      <c r="J110" s="77">
        <v>0</v>
      </c>
      <c r="K110" s="77">
        <v>0</v>
      </c>
      <c r="L110" s="77">
        <v>0</v>
      </c>
      <c r="M110" s="77">
        <v>0</v>
      </c>
      <c r="N110" s="425">
        <v>0</v>
      </c>
      <c r="O110" s="426">
        <v>1</v>
      </c>
      <c r="P110" s="426">
        <v>1</v>
      </c>
      <c r="Q110" s="426">
        <v>1</v>
      </c>
      <c r="R110" s="77">
        <v>1</v>
      </c>
      <c r="S110" s="77">
        <v>1</v>
      </c>
      <c r="T110" s="77">
        <v>1</v>
      </c>
      <c r="U110" s="77">
        <v>1</v>
      </c>
      <c r="V110" s="78">
        <v>1</v>
      </c>
      <c r="W110" s="72">
        <v>1</v>
      </c>
      <c r="X110" s="70">
        <v>1</v>
      </c>
      <c r="Y110" s="70">
        <v>0</v>
      </c>
      <c r="Z110" s="70">
        <v>0</v>
      </c>
      <c r="AB110" s="421"/>
    </row>
    <row r="111" spans="1:28" s="49" customFormat="1">
      <c r="A111" s="45"/>
      <c r="B111" s="46"/>
      <c r="C111" s="53"/>
      <c r="D111" s="75"/>
      <c r="E111" s="75"/>
      <c r="F111" s="75"/>
      <c r="G111" s="75"/>
      <c r="H111" s="75"/>
      <c r="I111" s="75"/>
      <c r="J111" s="75"/>
      <c r="K111" s="75"/>
      <c r="L111" s="53"/>
      <c r="M111" s="53"/>
      <c r="N111" s="53"/>
      <c r="O111" s="53"/>
      <c r="P111" s="53"/>
      <c r="Q111" s="53"/>
      <c r="R111" s="53"/>
      <c r="S111" s="53"/>
      <c r="T111" s="53"/>
      <c r="U111" s="53"/>
      <c r="V111" s="53"/>
      <c r="W111" s="53"/>
      <c r="X111" s="53"/>
      <c r="Y111" s="53"/>
      <c r="Z111" s="53"/>
      <c r="AB111" s="421"/>
    </row>
    <row r="112" spans="1:28" ht="15.75" thickBot="1">
      <c r="A112" s="41" t="s">
        <v>695</v>
      </c>
      <c r="B112" s="42" t="s">
        <v>816</v>
      </c>
      <c r="C112" s="50">
        <v>0</v>
      </c>
      <c r="D112" s="73">
        <v>0</v>
      </c>
      <c r="E112" s="73">
        <v>0</v>
      </c>
      <c r="F112" s="73">
        <v>0</v>
      </c>
      <c r="G112" s="73">
        <v>0</v>
      </c>
      <c r="H112" s="73">
        <v>0</v>
      </c>
      <c r="I112" s="74">
        <v>0</v>
      </c>
      <c r="J112" s="73">
        <v>0</v>
      </c>
      <c r="K112" s="73">
        <v>0</v>
      </c>
      <c r="L112" s="51">
        <v>0</v>
      </c>
      <c r="M112" s="51">
        <v>0</v>
      </c>
      <c r="N112" s="50">
        <v>0</v>
      </c>
      <c r="O112" s="51">
        <v>0.25</v>
      </c>
      <c r="P112" s="51">
        <v>0.5</v>
      </c>
      <c r="Q112" s="51">
        <v>0.75</v>
      </c>
      <c r="R112" s="50">
        <v>1</v>
      </c>
      <c r="S112" s="51">
        <v>2.166666666666667</v>
      </c>
      <c r="T112" s="51">
        <v>3.3333333333333339</v>
      </c>
      <c r="U112" s="51">
        <v>4.5000000000000009</v>
      </c>
      <c r="V112" s="51">
        <v>5.6666666666666679</v>
      </c>
      <c r="W112" s="51">
        <v>6.8333333333333348</v>
      </c>
      <c r="X112" s="51">
        <v>8.0000000000000018</v>
      </c>
      <c r="Y112" s="50">
        <v>8</v>
      </c>
      <c r="Z112" s="51">
        <v>8</v>
      </c>
      <c r="AA112" s="38">
        <v>20</v>
      </c>
      <c r="AB112" s="420">
        <v>0.8</v>
      </c>
    </row>
    <row r="113" spans="1:28" s="49" customFormat="1" ht="15.75" thickBot="1">
      <c r="A113" s="45"/>
      <c r="B113" s="46" t="s">
        <v>817</v>
      </c>
      <c r="C113" s="71">
        <v>0</v>
      </c>
      <c r="D113" s="76">
        <v>0</v>
      </c>
      <c r="E113" s="77">
        <v>0</v>
      </c>
      <c r="F113" s="77">
        <v>0</v>
      </c>
      <c r="G113" s="77">
        <v>0</v>
      </c>
      <c r="H113" s="77">
        <v>0</v>
      </c>
      <c r="I113" s="77">
        <v>0</v>
      </c>
      <c r="J113" s="77">
        <v>0</v>
      </c>
      <c r="K113" s="77">
        <v>0</v>
      </c>
      <c r="L113" s="77">
        <v>0</v>
      </c>
      <c r="M113" s="77">
        <v>0</v>
      </c>
      <c r="N113" s="425">
        <v>1</v>
      </c>
      <c r="O113" s="426">
        <v>1</v>
      </c>
      <c r="P113" s="426">
        <v>1</v>
      </c>
      <c r="Q113" s="426">
        <v>1</v>
      </c>
      <c r="R113" s="77">
        <v>1</v>
      </c>
      <c r="S113" s="77">
        <v>5</v>
      </c>
      <c r="T113" s="77">
        <v>6</v>
      </c>
      <c r="U113" s="77">
        <v>7</v>
      </c>
      <c r="V113" s="78">
        <v>8</v>
      </c>
      <c r="W113" s="72">
        <v>8</v>
      </c>
      <c r="X113" s="70">
        <v>8</v>
      </c>
      <c r="Y113" s="70">
        <v>0</v>
      </c>
      <c r="Z113" s="70">
        <v>0</v>
      </c>
      <c r="AA113" s="429"/>
      <c r="AB113" s="430"/>
    </row>
    <row r="114" spans="1:28" s="49" customFormat="1">
      <c r="A114" s="45"/>
      <c r="B114" s="46"/>
      <c r="C114" s="53"/>
      <c r="D114" s="75"/>
      <c r="E114" s="75"/>
      <c r="F114" s="75"/>
      <c r="G114" s="75"/>
      <c r="H114" s="75"/>
      <c r="I114" s="75"/>
      <c r="J114" s="75"/>
      <c r="K114" s="75"/>
      <c r="L114" s="53"/>
      <c r="M114" s="53"/>
      <c r="N114" s="53"/>
      <c r="O114" s="53"/>
      <c r="P114" s="53"/>
      <c r="Q114" s="53"/>
      <c r="R114" s="53"/>
      <c r="S114" s="53"/>
      <c r="T114" s="53"/>
      <c r="U114" s="53"/>
      <c r="V114" s="53"/>
      <c r="W114" s="53"/>
      <c r="X114" s="53"/>
      <c r="Y114" s="53"/>
      <c r="Z114" s="53"/>
      <c r="AA114" s="429"/>
      <c r="AB114" s="430"/>
    </row>
    <row r="115" spans="1:28" ht="15.75" thickBot="1">
      <c r="A115" s="41" t="s">
        <v>696</v>
      </c>
      <c r="B115" s="42" t="s">
        <v>818</v>
      </c>
      <c r="C115" s="52"/>
      <c r="D115" s="52"/>
      <c r="E115" s="52"/>
      <c r="F115" s="52"/>
      <c r="G115" s="52"/>
      <c r="H115" s="52"/>
      <c r="I115" s="52"/>
      <c r="J115" s="52"/>
      <c r="K115" s="52"/>
      <c r="L115" s="52"/>
      <c r="M115" s="52"/>
      <c r="N115" s="52"/>
      <c r="O115" s="52"/>
      <c r="P115" s="52"/>
      <c r="Q115" s="52"/>
      <c r="R115" s="50">
        <v>0</v>
      </c>
      <c r="S115" s="51">
        <v>0.66666666666666663</v>
      </c>
      <c r="T115" s="51">
        <v>1.3333333333333333</v>
      </c>
      <c r="U115" s="51">
        <v>2</v>
      </c>
      <c r="V115" s="51">
        <v>2.6666666666666665</v>
      </c>
      <c r="W115" s="51">
        <v>3.333333333333333</v>
      </c>
      <c r="X115" s="51">
        <v>3.9999999999999996</v>
      </c>
      <c r="Y115" s="50">
        <v>4</v>
      </c>
      <c r="Z115" s="51">
        <v>4</v>
      </c>
      <c r="AA115" s="38">
        <v>20</v>
      </c>
      <c r="AB115" s="420">
        <v>0.8</v>
      </c>
    </row>
    <row r="116" spans="1:28" s="49" customFormat="1" ht="15.75" thickBot="1">
      <c r="A116" s="45"/>
      <c r="B116" s="46" t="s">
        <v>819</v>
      </c>
      <c r="C116" s="52"/>
      <c r="D116" s="52"/>
      <c r="E116" s="52"/>
      <c r="F116" s="52"/>
      <c r="G116" s="52"/>
      <c r="H116" s="52"/>
      <c r="I116" s="52"/>
      <c r="J116" s="52"/>
      <c r="K116" s="52"/>
      <c r="L116" s="52"/>
      <c r="M116" s="52"/>
      <c r="N116" s="52"/>
      <c r="O116" s="52"/>
      <c r="P116" s="52"/>
      <c r="Q116" s="52"/>
      <c r="R116" s="52">
        <v>0</v>
      </c>
      <c r="S116" s="77">
        <v>3</v>
      </c>
      <c r="T116" s="77">
        <v>4</v>
      </c>
      <c r="U116" s="77">
        <v>5</v>
      </c>
      <c r="V116" s="78">
        <v>6</v>
      </c>
      <c r="W116" s="72">
        <v>6</v>
      </c>
      <c r="X116" s="70">
        <v>6</v>
      </c>
      <c r="Y116" s="70">
        <v>0</v>
      </c>
      <c r="Z116" s="70">
        <v>0</v>
      </c>
      <c r="AB116" s="421"/>
    </row>
    <row r="117" spans="1:28" s="49" customFormat="1">
      <c r="A117" s="45"/>
      <c r="B117" s="46"/>
      <c r="C117" s="53"/>
      <c r="D117" s="75"/>
      <c r="E117" s="75"/>
      <c r="F117" s="75"/>
      <c r="G117" s="75"/>
      <c r="H117" s="75"/>
      <c r="I117" s="75"/>
      <c r="J117" s="75"/>
      <c r="K117" s="75"/>
      <c r="L117" s="53"/>
      <c r="M117" s="53"/>
      <c r="N117" s="53"/>
      <c r="O117" s="53"/>
      <c r="P117" s="53"/>
      <c r="Q117" s="53"/>
      <c r="R117" s="53"/>
      <c r="S117" s="53"/>
      <c r="T117" s="53"/>
      <c r="U117" s="53"/>
      <c r="V117" s="53"/>
      <c r="W117" s="53"/>
      <c r="X117" s="53"/>
      <c r="Y117" s="53"/>
      <c r="Z117" s="53"/>
      <c r="AB117" s="421"/>
    </row>
    <row r="118" spans="1:28" ht="15.75" thickBot="1">
      <c r="A118" s="41" t="s">
        <v>697</v>
      </c>
      <c r="B118" s="42" t="s">
        <v>820</v>
      </c>
      <c r="C118" s="52"/>
      <c r="D118" s="52"/>
      <c r="E118" s="52"/>
      <c r="F118" s="52"/>
      <c r="G118" s="52"/>
      <c r="H118" s="52"/>
      <c r="I118" s="52"/>
      <c r="J118" s="52"/>
      <c r="K118" s="52"/>
      <c r="L118" s="52"/>
      <c r="M118" s="52"/>
      <c r="N118" s="52"/>
      <c r="O118" s="52"/>
      <c r="P118" s="52"/>
      <c r="Q118" s="52"/>
      <c r="R118" s="50">
        <v>1</v>
      </c>
      <c r="S118" s="51">
        <v>1.5</v>
      </c>
      <c r="T118" s="51">
        <v>2</v>
      </c>
      <c r="U118" s="51">
        <v>2.5</v>
      </c>
      <c r="V118" s="51">
        <v>3</v>
      </c>
      <c r="W118" s="51">
        <v>3.5</v>
      </c>
      <c r="X118" s="51">
        <v>4</v>
      </c>
      <c r="Y118" s="50">
        <v>4</v>
      </c>
      <c r="Z118" s="51">
        <v>4</v>
      </c>
      <c r="AA118" s="38">
        <v>10</v>
      </c>
      <c r="AB118" s="420">
        <v>0.4</v>
      </c>
    </row>
    <row r="119" spans="1:28" s="49" customFormat="1" ht="15.75" thickBot="1">
      <c r="A119" s="45"/>
      <c r="B119" s="46" t="s">
        <v>821</v>
      </c>
      <c r="C119" s="52"/>
      <c r="D119" s="52"/>
      <c r="E119" s="52"/>
      <c r="F119" s="52"/>
      <c r="G119" s="52"/>
      <c r="H119" s="52"/>
      <c r="I119" s="52"/>
      <c r="J119" s="52"/>
      <c r="K119" s="52"/>
      <c r="L119" s="52"/>
      <c r="M119" s="52"/>
      <c r="N119" s="52"/>
      <c r="O119" s="52"/>
      <c r="P119" s="52"/>
      <c r="Q119" s="52"/>
      <c r="R119" s="52">
        <v>1</v>
      </c>
      <c r="S119" s="77">
        <v>1</v>
      </c>
      <c r="T119" s="77">
        <v>2</v>
      </c>
      <c r="U119" s="77">
        <v>2</v>
      </c>
      <c r="V119" s="78">
        <v>3</v>
      </c>
      <c r="W119" s="72">
        <v>3</v>
      </c>
      <c r="X119" s="70">
        <v>3</v>
      </c>
      <c r="Y119" s="70">
        <v>0</v>
      </c>
      <c r="Z119" s="70">
        <v>0</v>
      </c>
      <c r="AB119" s="421"/>
    </row>
    <row r="120" spans="1:28" s="49" customFormat="1">
      <c r="A120" s="45"/>
      <c r="B120" s="46"/>
      <c r="C120" s="53"/>
      <c r="D120" s="75"/>
      <c r="E120" s="75"/>
      <c r="F120" s="75"/>
      <c r="G120" s="75"/>
      <c r="H120" s="75"/>
      <c r="I120" s="75"/>
      <c r="J120" s="75"/>
      <c r="K120" s="75"/>
      <c r="L120" s="53"/>
      <c r="M120" s="53"/>
      <c r="N120" s="53"/>
      <c r="O120" s="53"/>
      <c r="P120" s="53"/>
      <c r="Q120" s="53"/>
      <c r="R120" s="53"/>
      <c r="S120" s="53"/>
      <c r="T120" s="53"/>
      <c r="U120" s="53"/>
      <c r="V120" s="53"/>
      <c r="W120" s="53"/>
      <c r="X120" s="53"/>
      <c r="Y120" s="53"/>
      <c r="Z120" s="53"/>
      <c r="AB120" s="421"/>
    </row>
    <row r="121" spans="1:28" ht="15.75" thickBot="1">
      <c r="A121" s="41" t="s">
        <v>698</v>
      </c>
      <c r="B121" s="42" t="s">
        <v>822</v>
      </c>
      <c r="C121" s="52"/>
      <c r="D121" s="52"/>
      <c r="E121" s="52"/>
      <c r="F121" s="52"/>
      <c r="G121" s="52"/>
      <c r="H121" s="52"/>
      <c r="I121" s="52"/>
      <c r="J121" s="52"/>
      <c r="K121" s="52"/>
      <c r="L121" s="52"/>
      <c r="M121" s="52"/>
      <c r="N121" s="52"/>
      <c r="O121" s="52"/>
      <c r="P121" s="52"/>
      <c r="Q121" s="52"/>
      <c r="R121" s="50">
        <v>0</v>
      </c>
      <c r="S121" s="51">
        <v>0.66666666666666663</v>
      </c>
      <c r="T121" s="51">
        <v>1.3333333333333333</v>
      </c>
      <c r="U121" s="51">
        <v>2</v>
      </c>
      <c r="V121" s="51">
        <v>2.6666666666666665</v>
      </c>
      <c r="W121" s="51">
        <v>0.83333333333333326</v>
      </c>
      <c r="X121" s="51">
        <v>0.99999999999999989</v>
      </c>
      <c r="Y121" s="50">
        <v>1</v>
      </c>
      <c r="Z121" s="51">
        <v>1</v>
      </c>
      <c r="AA121" s="38">
        <v>10</v>
      </c>
      <c r="AB121" s="420">
        <v>0.4</v>
      </c>
    </row>
    <row r="122" spans="1:28" s="49" customFormat="1" ht="15.75" thickBot="1">
      <c r="A122" s="45"/>
      <c r="B122" s="46" t="s">
        <v>823</v>
      </c>
      <c r="C122" s="52"/>
      <c r="D122" s="52"/>
      <c r="E122" s="52"/>
      <c r="F122" s="52"/>
      <c r="G122" s="52"/>
      <c r="H122" s="52"/>
      <c r="I122" s="52"/>
      <c r="J122" s="52"/>
      <c r="K122" s="52"/>
      <c r="L122" s="52"/>
      <c r="M122" s="52"/>
      <c r="N122" s="52"/>
      <c r="O122" s="52"/>
      <c r="P122" s="52"/>
      <c r="Q122" s="52"/>
      <c r="R122" s="52">
        <v>0</v>
      </c>
      <c r="S122" s="77">
        <v>0</v>
      </c>
      <c r="T122" s="77">
        <v>0</v>
      </c>
      <c r="U122" s="77">
        <v>0</v>
      </c>
      <c r="V122" s="78">
        <v>0</v>
      </c>
      <c r="W122" s="72">
        <v>1</v>
      </c>
      <c r="X122" s="70">
        <v>1</v>
      </c>
      <c r="Y122" s="70">
        <v>0</v>
      </c>
      <c r="Z122" s="70">
        <v>0</v>
      </c>
      <c r="AB122" s="421"/>
    </row>
    <row r="123" spans="1:28" s="49" customFormat="1">
      <c r="A123" s="45"/>
      <c r="B123" s="46"/>
      <c r="C123" s="53"/>
      <c r="D123" s="75"/>
      <c r="E123" s="75"/>
      <c r="F123" s="75"/>
      <c r="G123" s="75"/>
      <c r="H123" s="75"/>
      <c r="I123" s="75"/>
      <c r="J123" s="75"/>
      <c r="K123" s="75"/>
      <c r="L123" s="53"/>
      <c r="M123" s="53"/>
      <c r="N123" s="53"/>
      <c r="O123" s="53"/>
      <c r="P123" s="53"/>
      <c r="Q123" s="53"/>
      <c r="R123" s="53"/>
      <c r="S123" s="53"/>
      <c r="T123" s="53"/>
      <c r="U123" s="53"/>
      <c r="V123" s="53"/>
      <c r="W123" s="53"/>
      <c r="X123" s="53"/>
      <c r="Y123" s="53"/>
      <c r="Z123" s="53"/>
      <c r="AB123" s="421"/>
    </row>
    <row r="124" spans="1:28" ht="15.75" thickBot="1">
      <c r="A124" s="41" t="s">
        <v>699</v>
      </c>
      <c r="B124" s="42" t="s">
        <v>202</v>
      </c>
      <c r="C124" s="50">
        <v>0</v>
      </c>
      <c r="D124" s="73">
        <v>0</v>
      </c>
      <c r="E124" s="73">
        <v>0</v>
      </c>
      <c r="F124" s="73">
        <v>0</v>
      </c>
      <c r="G124" s="73">
        <v>0</v>
      </c>
      <c r="H124" s="73">
        <v>0</v>
      </c>
      <c r="I124" s="74">
        <v>0</v>
      </c>
      <c r="J124" s="73">
        <v>0</v>
      </c>
      <c r="K124" s="73">
        <v>0</v>
      </c>
      <c r="L124" s="51">
        <v>0</v>
      </c>
      <c r="M124" s="51">
        <v>0</v>
      </c>
      <c r="N124" s="50">
        <v>0</v>
      </c>
      <c r="O124" s="51">
        <v>0</v>
      </c>
      <c r="P124" s="51">
        <v>0</v>
      </c>
      <c r="Q124" s="51">
        <v>0</v>
      </c>
      <c r="R124" s="50">
        <v>0</v>
      </c>
      <c r="S124" s="51">
        <v>0.66666666666666663</v>
      </c>
      <c r="T124" s="51">
        <v>1.3333333333333333</v>
      </c>
      <c r="U124" s="51">
        <v>2</v>
      </c>
      <c r="V124" s="51">
        <v>2.6666666666666665</v>
      </c>
      <c r="W124" s="51">
        <v>3.333333333333333</v>
      </c>
      <c r="X124" s="51">
        <v>3.9999999999999996</v>
      </c>
      <c r="Y124" s="50">
        <v>4</v>
      </c>
      <c r="Z124" s="51">
        <v>4</v>
      </c>
      <c r="AA124" s="38">
        <v>10</v>
      </c>
      <c r="AB124" s="420">
        <v>0.4</v>
      </c>
    </row>
    <row r="125" spans="1:28" s="49" customFormat="1" ht="15.75" thickBot="1">
      <c r="A125" s="45"/>
      <c r="B125" s="46" t="s">
        <v>203</v>
      </c>
      <c r="C125" s="71">
        <v>0</v>
      </c>
      <c r="D125" s="76">
        <v>0</v>
      </c>
      <c r="E125" s="77">
        <v>0</v>
      </c>
      <c r="F125" s="77">
        <v>0</v>
      </c>
      <c r="G125" s="77">
        <v>0</v>
      </c>
      <c r="H125" s="77">
        <v>0</v>
      </c>
      <c r="I125" s="77">
        <v>0</v>
      </c>
      <c r="J125" s="77">
        <v>0</v>
      </c>
      <c r="K125" s="77">
        <v>0</v>
      </c>
      <c r="L125" s="77">
        <v>0</v>
      </c>
      <c r="M125" s="77">
        <v>0</v>
      </c>
      <c r="N125" s="77">
        <v>0</v>
      </c>
      <c r="O125" s="77">
        <v>0</v>
      </c>
      <c r="P125" s="77">
        <v>0</v>
      </c>
      <c r="Q125" s="77">
        <v>1</v>
      </c>
      <c r="R125" s="77">
        <v>1</v>
      </c>
      <c r="S125" s="77">
        <v>2</v>
      </c>
      <c r="T125" s="77">
        <v>2</v>
      </c>
      <c r="U125" s="77">
        <v>2</v>
      </c>
      <c r="V125" s="78">
        <v>6</v>
      </c>
      <c r="W125" s="72">
        <v>6</v>
      </c>
      <c r="X125" s="70">
        <v>6</v>
      </c>
      <c r="Y125" s="70">
        <v>0</v>
      </c>
      <c r="Z125" s="70">
        <v>0</v>
      </c>
      <c r="AB125" s="421"/>
    </row>
    <row r="126" spans="1:28">
      <c r="B126" s="46"/>
      <c r="AB126" s="420"/>
    </row>
    <row r="127" spans="1:28" ht="15.75" thickBot="1">
      <c r="A127" s="41" t="s">
        <v>700</v>
      </c>
      <c r="B127" s="42" t="s">
        <v>213</v>
      </c>
      <c r="C127" s="52"/>
      <c r="D127" s="52"/>
      <c r="E127" s="52"/>
      <c r="F127" s="52"/>
      <c r="G127" s="52"/>
      <c r="H127" s="52"/>
      <c r="I127" s="52"/>
      <c r="J127" s="52"/>
      <c r="K127" s="52"/>
      <c r="L127" s="52"/>
      <c r="M127" s="52"/>
      <c r="N127" s="52"/>
      <c r="O127" s="52"/>
      <c r="P127" s="52"/>
      <c r="Q127" s="52"/>
      <c r="R127" s="50">
        <v>1</v>
      </c>
      <c r="S127" s="51">
        <v>1.3333333333333333</v>
      </c>
      <c r="T127" s="51">
        <v>1.6666666666666665</v>
      </c>
      <c r="U127" s="51">
        <v>1.9999999999999998</v>
      </c>
      <c r="V127" s="51">
        <v>2.333333333333333</v>
      </c>
      <c r="W127" s="51">
        <v>2.6666666666666665</v>
      </c>
      <c r="X127" s="51">
        <v>3</v>
      </c>
      <c r="Y127" s="50">
        <v>3</v>
      </c>
      <c r="Z127" s="51">
        <v>3</v>
      </c>
      <c r="AA127" s="38">
        <v>10</v>
      </c>
      <c r="AB127" s="420">
        <v>0.4</v>
      </c>
    </row>
    <row r="128" spans="1:28" s="49" customFormat="1" ht="15.75" thickBot="1">
      <c r="A128" s="45"/>
      <c r="B128" s="46" t="s">
        <v>212</v>
      </c>
      <c r="C128" s="52"/>
      <c r="D128" s="52"/>
      <c r="E128" s="52"/>
      <c r="F128" s="52"/>
      <c r="G128" s="52"/>
      <c r="H128" s="52"/>
      <c r="I128" s="52"/>
      <c r="J128" s="52"/>
      <c r="K128" s="52"/>
      <c r="L128" s="52"/>
      <c r="M128" s="52"/>
      <c r="N128" s="52"/>
      <c r="O128" s="52"/>
      <c r="P128" s="52"/>
      <c r="Q128" s="52"/>
      <c r="R128" s="52">
        <v>1</v>
      </c>
      <c r="S128" s="77">
        <v>1</v>
      </c>
      <c r="T128" s="77">
        <v>1</v>
      </c>
      <c r="U128" s="77">
        <v>1</v>
      </c>
      <c r="V128" s="78">
        <v>6</v>
      </c>
      <c r="W128" s="72">
        <v>6</v>
      </c>
      <c r="X128" s="70">
        <v>6</v>
      </c>
      <c r="Y128" s="70">
        <v>0</v>
      </c>
      <c r="Z128" s="70">
        <v>0</v>
      </c>
      <c r="AB128" s="421"/>
    </row>
    <row r="129" spans="1:28" s="49" customFormat="1">
      <c r="A129" s="45"/>
      <c r="B129" s="46"/>
      <c r="C129" s="53"/>
      <c r="D129" s="75"/>
      <c r="E129" s="75"/>
      <c r="F129" s="75"/>
      <c r="G129" s="75"/>
      <c r="H129" s="75"/>
      <c r="I129" s="75"/>
      <c r="J129" s="75"/>
      <c r="K129" s="75"/>
      <c r="L129" s="53"/>
      <c r="M129" s="53"/>
      <c r="N129" s="53"/>
      <c r="O129" s="53"/>
      <c r="P129" s="53"/>
      <c r="Q129" s="53"/>
      <c r="R129" s="53"/>
      <c r="S129" s="53"/>
      <c r="T129" s="53"/>
      <c r="U129" s="53"/>
      <c r="V129" s="53"/>
      <c r="W129" s="53"/>
      <c r="X129" s="53"/>
      <c r="Y129" s="53"/>
      <c r="Z129" s="53"/>
      <c r="AB129" s="421"/>
    </row>
    <row r="130" spans="1:28" ht="15.75" thickBot="1">
      <c r="A130" s="41" t="s">
        <v>701</v>
      </c>
      <c r="B130" s="42" t="s">
        <v>211</v>
      </c>
      <c r="C130" s="52"/>
      <c r="D130" s="52"/>
      <c r="E130" s="52"/>
      <c r="F130" s="52"/>
      <c r="G130" s="52"/>
      <c r="H130" s="52"/>
      <c r="I130" s="52"/>
      <c r="J130" s="52"/>
      <c r="K130" s="52"/>
      <c r="L130" s="52"/>
      <c r="M130" s="52"/>
      <c r="N130" s="52"/>
      <c r="O130" s="52"/>
      <c r="P130" s="52"/>
      <c r="Q130" s="52"/>
      <c r="R130" s="50">
        <v>0</v>
      </c>
      <c r="S130" s="51">
        <v>0.33333333333333331</v>
      </c>
      <c r="T130" s="51">
        <v>0.66666666666666663</v>
      </c>
      <c r="U130" s="51">
        <v>1</v>
      </c>
      <c r="V130" s="51">
        <v>1.3333333333333333</v>
      </c>
      <c r="W130" s="51">
        <v>1.6666666666666665</v>
      </c>
      <c r="X130" s="51">
        <v>1.9999999999999998</v>
      </c>
      <c r="Y130" s="50">
        <v>2</v>
      </c>
      <c r="Z130" s="51">
        <v>2</v>
      </c>
      <c r="AA130" s="38">
        <v>5</v>
      </c>
      <c r="AB130" s="420">
        <v>0.2</v>
      </c>
    </row>
    <row r="131" spans="1:28" s="49" customFormat="1" ht="15.75" thickBot="1">
      <c r="A131" s="45"/>
      <c r="B131" s="46" t="s">
        <v>210</v>
      </c>
      <c r="C131" s="52"/>
      <c r="D131" s="52"/>
      <c r="E131" s="52"/>
      <c r="F131" s="52"/>
      <c r="G131" s="52"/>
      <c r="H131" s="52"/>
      <c r="I131" s="52"/>
      <c r="J131" s="52"/>
      <c r="K131" s="52"/>
      <c r="L131" s="52"/>
      <c r="M131" s="52"/>
      <c r="N131" s="52"/>
      <c r="O131" s="52"/>
      <c r="P131" s="52"/>
      <c r="Q131" s="52"/>
      <c r="R131" s="52">
        <v>0</v>
      </c>
      <c r="S131" s="77">
        <v>0</v>
      </c>
      <c r="T131" s="77">
        <v>0</v>
      </c>
      <c r="U131" s="77">
        <v>0</v>
      </c>
      <c r="V131" s="78">
        <v>3</v>
      </c>
      <c r="W131" s="72">
        <v>3</v>
      </c>
      <c r="X131" s="70">
        <v>3</v>
      </c>
      <c r="Y131" s="70">
        <v>0</v>
      </c>
      <c r="Z131" s="70">
        <v>0</v>
      </c>
      <c r="AB131" s="421"/>
    </row>
    <row r="132" spans="1:28" s="49" customFormat="1">
      <c r="A132" s="45"/>
      <c r="B132" s="46"/>
      <c r="C132" s="53"/>
      <c r="D132" s="75"/>
      <c r="E132" s="75"/>
      <c r="F132" s="75"/>
      <c r="G132" s="75"/>
      <c r="H132" s="75"/>
      <c r="I132" s="75"/>
      <c r="J132" s="75"/>
      <c r="K132" s="75"/>
      <c r="L132" s="53"/>
      <c r="M132" s="53"/>
      <c r="N132" s="53"/>
      <c r="O132" s="53"/>
      <c r="P132" s="53"/>
      <c r="Q132" s="53"/>
      <c r="R132" s="53"/>
      <c r="S132" s="53"/>
      <c r="T132" s="53"/>
      <c r="U132" s="53"/>
      <c r="V132" s="53"/>
      <c r="W132" s="53"/>
      <c r="X132" s="53"/>
      <c r="Y132" s="53"/>
      <c r="Z132" s="53"/>
      <c r="AB132" s="421"/>
    </row>
    <row r="133" spans="1:28" ht="15.75" thickBot="1">
      <c r="A133" s="41" t="s">
        <v>702</v>
      </c>
      <c r="B133" s="42" t="s">
        <v>209</v>
      </c>
      <c r="C133" s="52"/>
      <c r="D133" s="52"/>
      <c r="E133" s="52"/>
      <c r="F133" s="52"/>
      <c r="G133" s="52"/>
      <c r="H133" s="52"/>
      <c r="I133" s="52"/>
      <c r="J133" s="52"/>
      <c r="K133" s="52"/>
      <c r="L133" s="52"/>
      <c r="M133" s="52"/>
      <c r="N133" s="52"/>
      <c r="O133" s="52"/>
      <c r="P133" s="52"/>
      <c r="Q133" s="52"/>
      <c r="R133" s="50">
        <v>0</v>
      </c>
      <c r="S133" s="51">
        <v>0.16666666666666666</v>
      </c>
      <c r="T133" s="51">
        <v>0.33333333333333331</v>
      </c>
      <c r="U133" s="51">
        <v>0.5</v>
      </c>
      <c r="V133" s="51">
        <v>0.66666666666666663</v>
      </c>
      <c r="W133" s="51">
        <v>0.83333333333333326</v>
      </c>
      <c r="X133" s="51">
        <v>0.99999999999999989</v>
      </c>
      <c r="Y133" s="50">
        <v>1</v>
      </c>
      <c r="Z133" s="51">
        <v>1</v>
      </c>
      <c r="AA133" s="38">
        <v>5</v>
      </c>
      <c r="AB133" s="420">
        <v>0.2</v>
      </c>
    </row>
    <row r="134" spans="1:28" s="49" customFormat="1" ht="15.75" thickBot="1">
      <c r="A134" s="45"/>
      <c r="B134" s="46" t="s">
        <v>208</v>
      </c>
      <c r="C134" s="52"/>
      <c r="D134" s="52"/>
      <c r="E134" s="52"/>
      <c r="F134" s="52"/>
      <c r="G134" s="52"/>
      <c r="H134" s="52"/>
      <c r="I134" s="52"/>
      <c r="J134" s="52"/>
      <c r="K134" s="52"/>
      <c r="L134" s="52"/>
      <c r="M134" s="52"/>
      <c r="N134" s="52"/>
      <c r="O134" s="52"/>
      <c r="P134" s="52"/>
      <c r="Q134" s="52"/>
      <c r="R134" s="52">
        <v>0</v>
      </c>
      <c r="S134" s="77">
        <v>0</v>
      </c>
      <c r="T134" s="77">
        <v>0</v>
      </c>
      <c r="U134" s="77">
        <v>0</v>
      </c>
      <c r="V134" s="78">
        <v>0</v>
      </c>
      <c r="W134" s="72">
        <v>0</v>
      </c>
      <c r="X134" s="70">
        <v>0</v>
      </c>
      <c r="Y134" s="70">
        <v>0</v>
      </c>
      <c r="Z134" s="70">
        <v>0</v>
      </c>
      <c r="AB134" s="421"/>
    </row>
    <row r="135" spans="1:28" s="49" customFormat="1">
      <c r="A135" s="45"/>
      <c r="B135" s="46"/>
      <c r="C135" s="53"/>
      <c r="D135" s="75"/>
      <c r="E135" s="75"/>
      <c r="F135" s="75"/>
      <c r="G135" s="75"/>
      <c r="H135" s="75"/>
      <c r="I135" s="75"/>
      <c r="J135" s="75"/>
      <c r="K135" s="75"/>
      <c r="L135" s="53"/>
      <c r="M135" s="53"/>
      <c r="N135" s="53"/>
      <c r="O135" s="53"/>
      <c r="P135" s="53"/>
      <c r="Q135" s="53"/>
      <c r="R135" s="53"/>
      <c r="S135" s="53"/>
      <c r="T135" s="53"/>
      <c r="U135" s="53"/>
      <c r="V135" s="53"/>
      <c r="W135" s="53"/>
      <c r="X135" s="53"/>
      <c r="Y135" s="53"/>
      <c r="Z135" s="53"/>
      <c r="AB135" s="421"/>
    </row>
    <row r="136" spans="1:28" ht="15.75" thickBot="1">
      <c r="A136" s="41" t="s">
        <v>703</v>
      </c>
      <c r="B136" s="42" t="s">
        <v>824</v>
      </c>
      <c r="C136" s="52"/>
      <c r="D136" s="52"/>
      <c r="E136" s="52"/>
      <c r="F136" s="52"/>
      <c r="G136" s="52"/>
      <c r="H136" s="52"/>
      <c r="I136" s="52"/>
      <c r="J136" s="52"/>
      <c r="K136" s="52"/>
      <c r="L136" s="52"/>
      <c r="M136" s="52"/>
      <c r="N136" s="52"/>
      <c r="O136" s="52"/>
      <c r="P136" s="52"/>
      <c r="Q136" s="52"/>
      <c r="R136" s="50">
        <v>1</v>
      </c>
      <c r="S136" s="51">
        <v>1.5</v>
      </c>
      <c r="T136" s="51">
        <v>2</v>
      </c>
      <c r="U136" s="51">
        <v>2.5</v>
      </c>
      <c r="V136" s="51">
        <v>3</v>
      </c>
      <c r="W136" s="51">
        <v>1.8333333333333337</v>
      </c>
      <c r="X136" s="51">
        <v>2.0000000000000004</v>
      </c>
      <c r="Y136" s="50">
        <v>2</v>
      </c>
      <c r="Z136" s="51">
        <v>2</v>
      </c>
      <c r="AA136" s="38">
        <v>10</v>
      </c>
      <c r="AB136" s="420">
        <v>0.4</v>
      </c>
    </row>
    <row r="137" spans="1:28" s="49" customFormat="1" ht="15.75" thickBot="1">
      <c r="A137" s="45"/>
      <c r="B137" s="46" t="s">
        <v>825</v>
      </c>
      <c r="C137" s="52"/>
      <c r="D137" s="52"/>
      <c r="E137" s="52"/>
      <c r="F137" s="52"/>
      <c r="G137" s="52"/>
      <c r="H137" s="52"/>
      <c r="I137" s="52"/>
      <c r="J137" s="52"/>
      <c r="K137" s="52"/>
      <c r="L137" s="52"/>
      <c r="M137" s="52"/>
      <c r="N137" s="52"/>
      <c r="O137" s="52"/>
      <c r="P137" s="52"/>
      <c r="Q137" s="52"/>
      <c r="R137" s="52">
        <v>1</v>
      </c>
      <c r="S137" s="77">
        <v>2</v>
      </c>
      <c r="T137" s="77">
        <v>2</v>
      </c>
      <c r="U137" s="77">
        <v>2</v>
      </c>
      <c r="V137" s="78">
        <v>1</v>
      </c>
      <c r="W137" s="72">
        <v>6</v>
      </c>
      <c r="X137" s="70">
        <v>6</v>
      </c>
      <c r="Y137" s="70">
        <v>0</v>
      </c>
      <c r="Z137" s="70">
        <v>0</v>
      </c>
      <c r="AB137" s="421"/>
    </row>
    <row r="138" spans="1:28">
      <c r="AB138" s="420"/>
    </row>
    <row r="139" spans="1:28" ht="15.75" thickBot="1">
      <c r="A139" s="41" t="s">
        <v>704</v>
      </c>
      <c r="B139" s="42" t="s">
        <v>826</v>
      </c>
      <c r="C139" s="52"/>
      <c r="D139" s="52"/>
      <c r="E139" s="52"/>
      <c r="F139" s="52"/>
      <c r="G139" s="52"/>
      <c r="H139" s="52"/>
      <c r="I139" s="52"/>
      <c r="J139" s="52"/>
      <c r="K139" s="52"/>
      <c r="L139" s="52"/>
      <c r="M139" s="52"/>
      <c r="N139" s="52"/>
      <c r="O139" s="52"/>
      <c r="P139" s="52"/>
      <c r="Q139" s="52"/>
      <c r="R139" s="50">
        <v>0</v>
      </c>
      <c r="S139" s="51">
        <v>0.33333333333333331</v>
      </c>
      <c r="T139" s="51">
        <v>0.66666666666666663</v>
      </c>
      <c r="U139" s="51">
        <v>1</v>
      </c>
      <c r="V139" s="51">
        <v>1.3333333333333333</v>
      </c>
      <c r="W139" s="51">
        <v>1.6666666666666665</v>
      </c>
      <c r="X139" s="51">
        <v>1.9999999999999998</v>
      </c>
      <c r="Y139" s="50">
        <v>2</v>
      </c>
      <c r="Z139" s="51">
        <v>2</v>
      </c>
      <c r="AA139" s="38">
        <v>10</v>
      </c>
      <c r="AB139" s="420">
        <v>0.4</v>
      </c>
    </row>
    <row r="140" spans="1:28" s="49" customFormat="1" ht="15.75" thickBot="1">
      <c r="A140" s="45"/>
      <c r="B140" s="46" t="s">
        <v>827</v>
      </c>
      <c r="C140" s="52"/>
      <c r="D140" s="52"/>
      <c r="E140" s="52"/>
      <c r="F140" s="52"/>
      <c r="G140" s="52"/>
      <c r="H140" s="52"/>
      <c r="I140" s="52"/>
      <c r="J140" s="52"/>
      <c r="K140" s="52"/>
      <c r="L140" s="52"/>
      <c r="M140" s="52"/>
      <c r="N140" s="52"/>
      <c r="O140" s="52"/>
      <c r="P140" s="52"/>
      <c r="Q140" s="52"/>
      <c r="R140" s="52">
        <v>0</v>
      </c>
      <c r="S140" s="77">
        <v>0</v>
      </c>
      <c r="T140" s="77">
        <v>0</v>
      </c>
      <c r="U140" s="77">
        <v>0</v>
      </c>
      <c r="V140" s="78">
        <v>5</v>
      </c>
      <c r="W140" s="72">
        <v>3</v>
      </c>
      <c r="X140" s="70">
        <v>3</v>
      </c>
      <c r="Y140" s="70">
        <v>0</v>
      </c>
      <c r="Z140" s="70">
        <v>0</v>
      </c>
      <c r="AB140" s="421"/>
    </row>
    <row r="141" spans="1:28" s="49" customFormat="1">
      <c r="A141" s="45"/>
      <c r="B141" s="46"/>
      <c r="C141" s="53"/>
      <c r="D141" s="75"/>
      <c r="E141" s="75"/>
      <c r="F141" s="75"/>
      <c r="G141" s="75"/>
      <c r="H141" s="75"/>
      <c r="I141" s="75"/>
      <c r="J141" s="75"/>
      <c r="K141" s="75"/>
      <c r="L141" s="53"/>
      <c r="M141" s="53"/>
      <c r="N141" s="53"/>
      <c r="O141" s="53"/>
      <c r="P141" s="53"/>
      <c r="Q141" s="53"/>
      <c r="R141" s="53"/>
      <c r="S141" s="53"/>
      <c r="T141" s="53"/>
      <c r="U141" s="53"/>
      <c r="V141" s="53"/>
      <c r="W141" s="53"/>
      <c r="X141" s="53"/>
      <c r="Y141" s="53"/>
      <c r="Z141" s="53"/>
      <c r="AB141" s="421"/>
    </row>
    <row r="142" spans="1:28" ht="15.75" thickBot="1">
      <c r="A142" s="41" t="s">
        <v>705</v>
      </c>
      <c r="B142" s="42" t="s">
        <v>828</v>
      </c>
      <c r="C142" s="52"/>
      <c r="D142" s="52"/>
      <c r="E142" s="52"/>
      <c r="F142" s="52"/>
      <c r="G142" s="52"/>
      <c r="H142" s="52"/>
      <c r="I142" s="52"/>
      <c r="J142" s="52"/>
      <c r="K142" s="52"/>
      <c r="L142" s="52"/>
      <c r="M142" s="52"/>
      <c r="N142" s="52"/>
      <c r="O142" s="52"/>
      <c r="P142" s="52"/>
      <c r="Q142" s="52"/>
      <c r="R142" s="50">
        <v>0</v>
      </c>
      <c r="S142" s="51">
        <v>0.16666666666666666</v>
      </c>
      <c r="T142" s="51">
        <v>0.33333333333333331</v>
      </c>
      <c r="U142" s="51">
        <v>0.5</v>
      </c>
      <c r="V142" s="51">
        <v>0.66666666666666663</v>
      </c>
      <c r="W142" s="51">
        <v>0.83333333333333326</v>
      </c>
      <c r="X142" s="51">
        <v>0.99999999999999989</v>
      </c>
      <c r="Y142" s="50">
        <v>1</v>
      </c>
      <c r="Z142" s="51">
        <v>1</v>
      </c>
      <c r="AA142" s="38">
        <v>5</v>
      </c>
      <c r="AB142" s="420">
        <v>0.2</v>
      </c>
    </row>
    <row r="143" spans="1:28" s="49" customFormat="1" ht="15.75" thickBot="1">
      <c r="A143" s="45"/>
      <c r="B143" s="46" t="s">
        <v>829</v>
      </c>
      <c r="C143" s="52"/>
      <c r="D143" s="52"/>
      <c r="E143" s="52"/>
      <c r="F143" s="52"/>
      <c r="G143" s="52"/>
      <c r="H143" s="52"/>
      <c r="I143" s="52"/>
      <c r="J143" s="52"/>
      <c r="K143" s="52"/>
      <c r="L143" s="52"/>
      <c r="M143" s="52"/>
      <c r="N143" s="52"/>
      <c r="O143" s="52"/>
      <c r="P143" s="52"/>
      <c r="Q143" s="52"/>
      <c r="R143" s="52">
        <v>0</v>
      </c>
      <c r="S143" s="77">
        <v>0</v>
      </c>
      <c r="T143" s="77">
        <v>0</v>
      </c>
      <c r="U143" s="77">
        <v>0</v>
      </c>
      <c r="V143" s="78">
        <v>0</v>
      </c>
      <c r="W143" s="72">
        <v>0</v>
      </c>
      <c r="X143" s="70">
        <v>0</v>
      </c>
      <c r="Y143" s="70">
        <v>0</v>
      </c>
      <c r="Z143" s="70">
        <v>0</v>
      </c>
      <c r="AB143" s="421"/>
    </row>
    <row r="144" spans="1:28" s="49" customFormat="1">
      <c r="A144" s="45"/>
      <c r="B144" s="46"/>
      <c r="C144" s="53"/>
      <c r="D144" s="75"/>
      <c r="E144" s="75"/>
      <c r="F144" s="75"/>
      <c r="G144" s="75"/>
      <c r="H144" s="75"/>
      <c r="I144" s="75"/>
      <c r="J144" s="75"/>
      <c r="K144" s="75"/>
      <c r="L144" s="53"/>
      <c r="M144" s="53"/>
      <c r="N144" s="53"/>
      <c r="O144" s="53"/>
      <c r="P144" s="53"/>
      <c r="Q144" s="53"/>
      <c r="R144" s="53"/>
      <c r="S144" s="53"/>
      <c r="T144" s="53"/>
      <c r="U144" s="53"/>
      <c r="V144" s="53"/>
      <c r="W144" s="53"/>
      <c r="X144" s="53"/>
      <c r="Y144" s="53"/>
      <c r="Z144" s="53"/>
      <c r="AB144" s="421"/>
    </row>
    <row r="145" spans="1:28" ht="15.75" thickBot="1">
      <c r="A145" s="41" t="s">
        <v>706</v>
      </c>
      <c r="B145" s="42" t="s">
        <v>830</v>
      </c>
      <c r="C145" s="52"/>
      <c r="D145" s="52"/>
      <c r="E145" s="52"/>
      <c r="F145" s="52"/>
      <c r="G145" s="52"/>
      <c r="H145" s="52"/>
      <c r="I145" s="52"/>
      <c r="J145" s="52"/>
      <c r="K145" s="52"/>
      <c r="L145" s="52"/>
      <c r="M145" s="52"/>
      <c r="N145" s="52"/>
      <c r="O145" s="52"/>
      <c r="P145" s="52"/>
      <c r="Q145" s="52"/>
      <c r="R145" s="50">
        <v>0</v>
      </c>
      <c r="S145" s="51">
        <v>0</v>
      </c>
      <c r="T145" s="51">
        <v>0</v>
      </c>
      <c r="U145" s="51">
        <v>0</v>
      </c>
      <c r="V145" s="51">
        <v>0</v>
      </c>
      <c r="W145" s="51">
        <v>0</v>
      </c>
      <c r="X145" s="51">
        <v>0</v>
      </c>
      <c r="Y145" s="50">
        <v>0</v>
      </c>
      <c r="Z145" s="51">
        <v>0</v>
      </c>
      <c r="AA145" s="38">
        <v>5</v>
      </c>
      <c r="AB145" s="420">
        <v>0.2</v>
      </c>
    </row>
    <row r="146" spans="1:28" s="49" customFormat="1" ht="15.75" thickBot="1">
      <c r="A146" s="45"/>
      <c r="B146" s="46" t="s">
        <v>831</v>
      </c>
      <c r="C146" s="52"/>
      <c r="D146" s="52"/>
      <c r="E146" s="52"/>
      <c r="F146" s="52"/>
      <c r="G146" s="52"/>
      <c r="H146" s="52"/>
      <c r="I146" s="52"/>
      <c r="J146" s="52"/>
      <c r="K146" s="52"/>
      <c r="L146" s="52"/>
      <c r="M146" s="52"/>
      <c r="N146" s="52"/>
      <c r="O146" s="52"/>
      <c r="P146" s="52"/>
      <c r="Q146" s="52"/>
      <c r="R146" s="52">
        <v>0</v>
      </c>
      <c r="S146" s="77">
        <v>0</v>
      </c>
      <c r="T146" s="77">
        <v>0</v>
      </c>
      <c r="U146" s="77">
        <v>0</v>
      </c>
      <c r="V146" s="78">
        <v>0</v>
      </c>
      <c r="W146" s="72">
        <v>0</v>
      </c>
      <c r="X146" s="70">
        <v>0</v>
      </c>
      <c r="Y146" s="70">
        <v>0</v>
      </c>
      <c r="Z146" s="70">
        <v>0</v>
      </c>
      <c r="AB146" s="421"/>
    </row>
    <row r="147" spans="1:28" s="49" customFormat="1">
      <c r="A147" s="45"/>
      <c r="B147" s="46"/>
      <c r="C147" s="53"/>
      <c r="D147" s="75"/>
      <c r="E147" s="75"/>
      <c r="F147" s="75"/>
      <c r="G147" s="75"/>
      <c r="H147" s="75"/>
      <c r="I147" s="75"/>
      <c r="J147" s="75"/>
      <c r="K147" s="75"/>
      <c r="L147" s="53"/>
      <c r="M147" s="53"/>
      <c r="N147" s="53"/>
      <c r="O147" s="53"/>
      <c r="P147" s="53"/>
      <c r="Q147" s="53"/>
      <c r="R147" s="53"/>
      <c r="S147" s="53"/>
      <c r="T147" s="53"/>
      <c r="U147" s="53"/>
      <c r="V147" s="53"/>
      <c r="W147" s="53"/>
      <c r="X147" s="53"/>
      <c r="Y147" s="53"/>
      <c r="Z147" s="53"/>
      <c r="AB147" s="421"/>
    </row>
    <row r="148" spans="1:28" ht="14.25">
      <c r="A148" s="38"/>
    </row>
    <row r="149" spans="1:28">
      <c r="C149" s="55" t="s">
        <v>194</v>
      </c>
      <c r="D149" s="431"/>
      <c r="E149" s="432"/>
      <c r="F149" s="433"/>
    </row>
    <row r="150" spans="1:28">
      <c r="C150" s="55" t="s">
        <v>195</v>
      </c>
      <c r="D150" s="434" t="s">
        <v>196</v>
      </c>
      <c r="E150" s="435" t="s">
        <v>153</v>
      </c>
      <c r="F150" s="435" t="s">
        <v>154</v>
      </c>
      <c r="G150" s="435" t="s">
        <v>158</v>
      </c>
      <c r="H150" s="434" t="s">
        <v>197</v>
      </c>
    </row>
    <row r="151" spans="1:28">
      <c r="C151" s="55"/>
      <c r="D151" s="434"/>
      <c r="E151" s="435"/>
      <c r="F151" s="435"/>
      <c r="G151" s="435"/>
      <c r="H151" s="434"/>
    </row>
    <row r="153" spans="1:28" ht="14.25">
      <c r="A153" s="1356" t="s">
        <v>727</v>
      </c>
      <c r="B153" s="1356"/>
    </row>
    <row r="154" spans="1:28" ht="14.25">
      <c r="A154" s="1356"/>
      <c r="B154" s="1356"/>
    </row>
    <row r="155" spans="1:28" ht="14.25">
      <c r="A155" s="1356"/>
      <c r="B155" s="1356"/>
    </row>
    <row r="156" spans="1:28" ht="14.25">
      <c r="A156" s="1356"/>
      <c r="B156" s="1356"/>
    </row>
    <row r="157" spans="1:28" ht="14.25">
      <c r="A157" s="1356"/>
      <c r="B157" s="1356"/>
    </row>
  </sheetData>
  <sheetProtection password="CF55" sheet="1" objects="1" scenarios="1" selectLockedCells="1" selectUnlockedCells="1"/>
  <mergeCells count="7">
    <mergeCell ref="W1:Z1"/>
    <mergeCell ref="S1:V1"/>
    <mergeCell ref="A153:B157"/>
    <mergeCell ref="D1:G1"/>
    <mergeCell ref="H1:K1"/>
    <mergeCell ref="L1:N1"/>
    <mergeCell ref="O1:R1"/>
  </mergeCell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tint="-0.249977111117893"/>
  </sheetPr>
  <dimension ref="A1:AI157"/>
  <sheetViews>
    <sheetView workbookViewId="0">
      <pane xSplit="2" ySplit="3" topLeftCell="S72" activePane="bottomRight" state="frozen"/>
      <selection activeCell="L92" sqref="L92:O92"/>
      <selection pane="topRight" activeCell="L92" sqref="L92:O92"/>
      <selection pane="bottomLeft" activeCell="L92" sqref="L92:O92"/>
      <selection pane="bottomRight" activeCell="L92" sqref="L92:O92"/>
    </sheetView>
  </sheetViews>
  <sheetFormatPr defaultColWidth="11.42578125" defaultRowHeight="15"/>
  <cols>
    <col min="1" max="1" width="20.85546875" style="39" customWidth="1"/>
    <col min="2" max="2" width="20.85546875" style="38" customWidth="1"/>
    <col min="3" max="3" width="10.85546875" style="54" customWidth="1"/>
    <col min="4" max="8" width="5.85546875" style="54" customWidth="1"/>
    <col min="9" max="9" width="10.85546875" style="54" customWidth="1"/>
    <col min="10" max="13" width="5.85546875" style="54" customWidth="1"/>
    <col min="14" max="14" width="10.85546875" style="54" customWidth="1"/>
    <col min="15" max="17" width="5.85546875" style="54" customWidth="1"/>
    <col min="18" max="18" width="10.85546875" style="54" customWidth="1"/>
    <col min="19" max="24" width="5.85546875" style="54" customWidth="1"/>
    <col min="25" max="25" width="10.85546875" style="54" customWidth="1"/>
    <col min="26" max="26" width="5.85546875" style="54" customWidth="1"/>
    <col min="27" max="28" width="10.85546875" style="38" customWidth="1"/>
    <col min="29" max="30" width="11.42578125" style="335"/>
    <col min="31" max="31" width="5.85546875" style="335" customWidth="1"/>
    <col min="32" max="33" width="11.42578125" style="335"/>
    <col min="34" max="34" width="5.85546875" style="335" customWidth="1"/>
    <col min="35" max="16384" width="11.42578125" style="335"/>
  </cols>
  <sheetData>
    <row r="1" spans="1:35" ht="15.75" thickBot="1">
      <c r="A1" s="57" t="s">
        <v>834</v>
      </c>
      <c r="B1" s="59" t="s">
        <v>192</v>
      </c>
      <c r="C1" s="463" t="s">
        <v>190</v>
      </c>
      <c r="D1" s="1357">
        <v>2010</v>
      </c>
      <c r="E1" s="1357"/>
      <c r="F1" s="1357"/>
      <c r="G1" s="1357"/>
      <c r="H1" s="1358">
        <v>2011</v>
      </c>
      <c r="I1" s="1358"/>
      <c r="J1" s="1358"/>
      <c r="K1" s="1358"/>
      <c r="L1" s="1353">
        <v>2012</v>
      </c>
      <c r="M1" s="1354"/>
      <c r="N1" s="1355"/>
      <c r="O1" s="1359">
        <v>2013</v>
      </c>
      <c r="P1" s="1360"/>
      <c r="Q1" s="1360"/>
      <c r="R1" s="1361"/>
      <c r="S1" s="1353">
        <v>2014</v>
      </c>
      <c r="T1" s="1354"/>
      <c r="U1" s="1354"/>
      <c r="V1" s="1355"/>
      <c r="W1" s="1351">
        <v>2015</v>
      </c>
      <c r="X1" s="1352"/>
      <c r="Y1" s="1352"/>
      <c r="Z1" s="1352"/>
      <c r="AG1" s="464">
        <v>21</v>
      </c>
      <c r="AH1" s="482" t="s">
        <v>844</v>
      </c>
    </row>
    <row r="2" spans="1:35" s="338" customFormat="1" ht="42.75">
      <c r="A2" s="58" t="s">
        <v>193</v>
      </c>
      <c r="B2" s="59" t="s">
        <v>191</v>
      </c>
      <c r="C2" s="418" t="s">
        <v>722</v>
      </c>
      <c r="D2" s="56" t="s">
        <v>141</v>
      </c>
      <c r="E2" s="56" t="s">
        <v>142</v>
      </c>
      <c r="F2" s="56" t="s">
        <v>143</v>
      </c>
      <c r="G2" s="56" t="s">
        <v>144</v>
      </c>
      <c r="H2" s="56" t="s">
        <v>141</v>
      </c>
      <c r="I2" s="418" t="s">
        <v>723</v>
      </c>
      <c r="J2" s="56" t="s">
        <v>143</v>
      </c>
      <c r="K2" s="56" t="s">
        <v>144</v>
      </c>
      <c r="L2" s="56" t="s">
        <v>141</v>
      </c>
      <c r="M2" s="56" t="s">
        <v>142</v>
      </c>
      <c r="N2" s="418" t="s">
        <v>724</v>
      </c>
      <c r="O2" s="56" t="s">
        <v>141</v>
      </c>
      <c r="P2" s="56" t="s">
        <v>142</v>
      </c>
      <c r="Q2" s="56" t="s">
        <v>143</v>
      </c>
      <c r="R2" s="418" t="s">
        <v>725</v>
      </c>
      <c r="S2" s="56" t="s">
        <v>141</v>
      </c>
      <c r="T2" s="56" t="s">
        <v>142</v>
      </c>
      <c r="U2" s="56" t="s">
        <v>143</v>
      </c>
      <c r="V2" s="56" t="s">
        <v>144</v>
      </c>
      <c r="W2" s="56" t="s">
        <v>141</v>
      </c>
      <c r="X2" s="56" t="s">
        <v>142</v>
      </c>
      <c r="Y2" s="418" t="s">
        <v>726</v>
      </c>
      <c r="Z2" s="56" t="s">
        <v>144</v>
      </c>
      <c r="AA2" s="419" t="s">
        <v>814</v>
      </c>
      <c r="AB2" s="419" t="s">
        <v>815</v>
      </c>
      <c r="AD2" s="418" t="s">
        <v>1126</v>
      </c>
      <c r="AE2" s="335"/>
      <c r="AF2" s="337" t="str">
        <f>IF($AG$1=16,R2,IF($AG$1=17,S2,IF($AG$1=18,T2,IF($AG$1=19,U2,IF($AG$1=20,V2,IF($AG$1=21,W2,IF($AG$1=22,X2,0)))))))</f>
        <v>Q1</v>
      </c>
      <c r="AG2" s="446" t="str">
        <f>IF($AG$1=16,S2,IF($AG$1=17,T2,IF($AG$1=18,U2,IF($AG$1=19,V2,IF($AG$1=20,W2,IF($AG$1=21,X2,IF($AG$1=22,Y2,0)))))))</f>
        <v>Q2</v>
      </c>
      <c r="AH2" s="447" t="s">
        <v>843</v>
      </c>
      <c r="AI2" s="447" t="s">
        <v>832</v>
      </c>
    </row>
    <row r="3" spans="1:35" s="338" customFormat="1">
      <c r="A3" s="39"/>
      <c r="B3" s="38"/>
      <c r="C3" s="458">
        <v>0</v>
      </c>
      <c r="D3" s="458">
        <v>1</v>
      </c>
      <c r="E3" s="458">
        <v>2</v>
      </c>
      <c r="F3" s="458">
        <v>3</v>
      </c>
      <c r="G3" s="458">
        <v>4</v>
      </c>
      <c r="H3" s="458">
        <v>5</v>
      </c>
      <c r="I3" s="458">
        <v>6</v>
      </c>
      <c r="J3" s="458">
        <v>7</v>
      </c>
      <c r="K3" s="458">
        <v>8</v>
      </c>
      <c r="L3" s="458">
        <v>9</v>
      </c>
      <c r="M3" s="458">
        <v>10</v>
      </c>
      <c r="N3" s="458">
        <v>11</v>
      </c>
      <c r="O3" s="458">
        <v>12</v>
      </c>
      <c r="P3" s="458">
        <v>13</v>
      </c>
      <c r="Q3" s="458">
        <v>14</v>
      </c>
      <c r="R3" s="458">
        <v>15</v>
      </c>
      <c r="S3" s="458">
        <v>16</v>
      </c>
      <c r="T3" s="458">
        <v>17</v>
      </c>
      <c r="U3" s="458">
        <v>18</v>
      </c>
      <c r="V3" s="458">
        <v>19</v>
      </c>
      <c r="W3" s="458">
        <v>20</v>
      </c>
      <c r="X3" s="458">
        <v>21</v>
      </c>
      <c r="Y3" s="458">
        <v>22</v>
      </c>
      <c r="Z3" s="458">
        <v>23</v>
      </c>
      <c r="AA3" s="39"/>
      <c r="AB3" s="39"/>
      <c r="AD3" s="448">
        <f>V3</f>
        <v>19</v>
      </c>
      <c r="AE3" s="449"/>
      <c r="AF3" s="448">
        <f t="shared" ref="AF3:AG5" si="0">IF($AG$1=16,R3,IF($AG$1=17,S3,IF($AG$1=18,T3,IF($AG$1=19,U3,IF($AG$1=20,V3,IF($AG$1=21,W3,IF($AG$1=22,X3,0)))))))</f>
        <v>20</v>
      </c>
      <c r="AG3" s="448">
        <f t="shared" si="0"/>
        <v>21</v>
      </c>
    </row>
    <row r="4" spans="1:35" ht="15.75" thickBot="1">
      <c r="A4" s="41" t="s">
        <v>24</v>
      </c>
      <c r="B4" s="42" t="s">
        <v>139</v>
      </c>
      <c r="C4" s="43">
        <f>('Zamfara Workings'!C4+'Katsina Workings'!C4+'Yobe Workings'!C4)/3</f>
        <v>0</v>
      </c>
      <c r="D4" s="81">
        <f>('Zamfara Workings'!D4+'Katsina Workings'!D4+'Yobe Workings'!D4)/3</f>
        <v>0.3888888888888889</v>
      </c>
      <c r="E4" s="81">
        <f>('Zamfara Workings'!E4+'Katsina Workings'!E4+'Yobe Workings'!E4)/3</f>
        <v>0.77777777777777779</v>
      </c>
      <c r="F4" s="81">
        <f>('Zamfara Workings'!F4+'Katsina Workings'!F4+'Yobe Workings'!F4)/3</f>
        <v>1.1666666666666667</v>
      </c>
      <c r="G4" s="81">
        <f>('Zamfara Workings'!G4+'Katsina Workings'!G4+'Yobe Workings'!G4)/3</f>
        <v>1.5555555555555556</v>
      </c>
      <c r="H4" s="81">
        <f>('Zamfara Workings'!H4+'Katsina Workings'!H4+'Yobe Workings'!H4)/3</f>
        <v>1.9444444444444446</v>
      </c>
      <c r="I4" s="82">
        <f>('Zamfara Workings'!I4+'Katsina Workings'!I4+'Yobe Workings'!I4)/3</f>
        <v>2.3333333333333335</v>
      </c>
      <c r="J4" s="81">
        <f>('Zamfara Workings'!J4+'Katsina Workings'!J4+'Yobe Workings'!J4)/3</f>
        <v>2.3333333333333335</v>
      </c>
      <c r="K4" s="81">
        <f>('Zamfara Workings'!K4+'Katsina Workings'!K4+'Yobe Workings'!K4)/3</f>
        <v>2.3333333333333335</v>
      </c>
      <c r="L4" s="44">
        <f>('Zamfara Workings'!L4+'Katsina Workings'!L4+'Yobe Workings'!L4)/3</f>
        <v>2.3333333333333335</v>
      </c>
      <c r="M4" s="44">
        <f>('Zamfara Workings'!M4+'Katsina Workings'!M4+'Yobe Workings'!M4)/3</f>
        <v>2.3333333333333335</v>
      </c>
      <c r="N4" s="43">
        <f>('Zamfara Workings'!N4+'Katsina Workings'!N4+'Yobe Workings'!N4)/3</f>
        <v>2.3333333333333335</v>
      </c>
      <c r="O4" s="44">
        <f>('Zamfara Workings'!O4+'Katsina Workings'!O4+'Yobe Workings'!O4)/3</f>
        <v>2.375</v>
      </c>
      <c r="P4" s="44">
        <f>('Zamfara Workings'!P4+'Katsina Workings'!P4+'Yobe Workings'!P4)/3</f>
        <v>2.4166666666666665</v>
      </c>
      <c r="Q4" s="44">
        <f>('Zamfara Workings'!Q4+'Katsina Workings'!Q4+'Yobe Workings'!Q4)/3</f>
        <v>2.458333333333333</v>
      </c>
      <c r="R4" s="43">
        <f>('Zamfara Workings'!R4+'Katsina Workings'!R4+'Yobe Workings'!R4)/3</f>
        <v>2.5</v>
      </c>
      <c r="S4" s="44">
        <f>('Zamfara Workings'!S4+'Katsina Workings'!S4+'Yobe Workings'!S4)/3</f>
        <v>2.5555555555555558</v>
      </c>
      <c r="T4" s="44">
        <f>('Zamfara Workings'!T4+'Katsina Workings'!T4+'Yobe Workings'!T4)/3</f>
        <v>2.6111111111111112</v>
      </c>
      <c r="U4" s="44">
        <f>('Zamfara Workings'!U4+'Katsina Workings'!U4+'Yobe Workings'!U4)/3</f>
        <v>2.6666666666666665</v>
      </c>
      <c r="V4" s="44">
        <f>('Zamfara Workings'!V4+'Katsina Workings'!V4+'Yobe Workings'!V4)/3</f>
        <v>2.7222222222222219</v>
      </c>
      <c r="W4" s="44">
        <f>('Zamfara Workings'!W4+'Katsina Workings'!W4+'Yobe Workings'!W4)/3</f>
        <v>2.6388888888888888</v>
      </c>
      <c r="X4" s="44">
        <f>('Zamfara Workings'!X4+'Katsina Workings'!X4+'Yobe Workings'!X4)/3</f>
        <v>2.6666666666666661</v>
      </c>
      <c r="Y4" s="43">
        <f>('Zamfara Workings'!Y4+'Katsina Workings'!Y4+'Yobe Workings'!Y4)/3</f>
        <v>2.6666666666666665</v>
      </c>
      <c r="Z4" s="44">
        <f>('Zamfara Workings'!Z4+'Katsina Workings'!Z4+'Yobe Workings'!Z4)/3</f>
        <v>2.6666666666666665</v>
      </c>
      <c r="AA4" s="38">
        <v>5</v>
      </c>
      <c r="AB4" s="420">
        <f>AA4/22</f>
        <v>0.22727272727272727</v>
      </c>
      <c r="AD4" s="450">
        <f>V4</f>
        <v>2.7222222222222219</v>
      </c>
      <c r="AF4" s="339">
        <f t="shared" si="0"/>
        <v>2.6388888888888888</v>
      </c>
      <c r="AG4" s="339">
        <f t="shared" si="0"/>
        <v>2.6666666666666661</v>
      </c>
      <c r="AI4" s="338"/>
    </row>
    <row r="5" spans="1:35" s="340" customFormat="1" ht="15.75" thickBot="1">
      <c r="A5" s="45"/>
      <c r="B5" s="46" t="s">
        <v>140</v>
      </c>
      <c r="C5" s="79">
        <f>('Zamfara Workings'!C5+'Katsina Workings'!C5+'Yobe Workings'!C5)/3</f>
        <v>0</v>
      </c>
      <c r="D5" s="436">
        <f>('Zamfara Workings'!D5+'Katsina Workings'!D5+'Yobe Workings'!D5)/3</f>
        <v>0</v>
      </c>
      <c r="E5" s="437">
        <f>('Zamfara Workings'!E5+'Katsina Workings'!E5+'Yobe Workings'!E5)/3</f>
        <v>0</v>
      </c>
      <c r="F5" s="437">
        <f>('Zamfara Workings'!F5+'Katsina Workings'!F5+'Yobe Workings'!F5)/3</f>
        <v>0</v>
      </c>
      <c r="G5" s="437">
        <f>('Zamfara Workings'!G5+'Katsina Workings'!G5+'Yobe Workings'!G5)/3</f>
        <v>0</v>
      </c>
      <c r="H5" s="437">
        <f>('Zamfara Workings'!H5+'Katsina Workings'!H5+'Yobe Workings'!H5)/3</f>
        <v>0</v>
      </c>
      <c r="I5" s="437">
        <f>('Zamfara Workings'!I5+'Katsina Workings'!I5+'Yobe Workings'!I5)/3</f>
        <v>0</v>
      </c>
      <c r="J5" s="437">
        <f>('Zamfara Workings'!J5+'Katsina Workings'!J5+'Yobe Workings'!J5)/3</f>
        <v>0</v>
      </c>
      <c r="K5" s="437">
        <f>('Zamfara Workings'!K5+'Katsina Workings'!K5+'Yobe Workings'!K5)/3</f>
        <v>0</v>
      </c>
      <c r="L5" s="437">
        <f>('Zamfara Workings'!L5+'Katsina Workings'!L5+'Yobe Workings'!L5)/3</f>
        <v>0</v>
      </c>
      <c r="M5" s="437">
        <f>('Zamfara Workings'!M5+'Katsina Workings'!M5+'Yobe Workings'!M5)/3</f>
        <v>0</v>
      </c>
      <c r="N5" s="437">
        <f>('Zamfara Workings'!N5+'Katsina Workings'!N5+'Yobe Workings'!N5)/3</f>
        <v>2.3333333333333335</v>
      </c>
      <c r="O5" s="437">
        <f>('Zamfara Workings'!O5+'Katsina Workings'!O5+'Yobe Workings'!O5)/3</f>
        <v>2.3400000000000003</v>
      </c>
      <c r="P5" s="437">
        <f>('Zamfara Workings'!P5+'Katsina Workings'!P5+'Yobe Workings'!P5)/3</f>
        <v>2.3766666666666665</v>
      </c>
      <c r="Q5" s="437">
        <f>('Zamfara Workings'!Q5+'Katsina Workings'!Q5+'Yobe Workings'!Q5)/3</f>
        <v>2.9333333333333336</v>
      </c>
      <c r="R5" s="437">
        <f>('Zamfara Workings'!R5+'Katsina Workings'!R5+'Yobe Workings'!R5)/3</f>
        <v>2.4333333333333336</v>
      </c>
      <c r="S5" s="437">
        <f>('Zamfara Workings'!S5+'Katsina Workings'!S5+'Yobe Workings'!S5)/3</f>
        <v>2.4333333333333336</v>
      </c>
      <c r="T5" s="437">
        <f>('Zamfara Workings'!T5+'Katsina Workings'!T5+'Yobe Workings'!T5)/3</f>
        <v>2.9333333333333336</v>
      </c>
      <c r="U5" s="437">
        <f>('Zamfara Workings'!U5+'Katsina Workings'!U5+'Yobe Workings'!U5)/3</f>
        <v>2.9333333333333336</v>
      </c>
      <c r="V5" s="438">
        <f>('Zamfara Workings'!V5+'Katsina Workings'!V5+'Yobe Workings'!V5)/3</f>
        <v>2.9666666666666668</v>
      </c>
      <c r="W5" s="80">
        <f>('Zamfara Workings'!W5+'Katsina Workings'!W5+'Yobe Workings'!W5)/3</f>
        <v>2.9666666666666668</v>
      </c>
      <c r="X5" s="69">
        <f>('Zamfara Workings'!X5+'Katsina Workings'!X5+'Yobe Workings'!X5)/3</f>
        <v>3.1</v>
      </c>
      <c r="Y5" s="69">
        <f>('Zamfara Workings'!Y5+'Katsina Workings'!Y5+'Yobe Workings'!Y5)/3</f>
        <v>0</v>
      </c>
      <c r="Z5" s="69">
        <f>('Zamfara Workings'!Z5+'Katsina Workings'!Z5+'Yobe Workings'!Z5)/3</f>
        <v>0</v>
      </c>
      <c r="AA5" s="49"/>
      <c r="AB5" s="421"/>
      <c r="AD5" s="341">
        <f>V5</f>
        <v>2.9666666666666668</v>
      </c>
      <c r="AE5" s="335"/>
      <c r="AF5" s="341">
        <f t="shared" si="0"/>
        <v>2.9666666666666668</v>
      </c>
      <c r="AG5" s="341">
        <f t="shared" si="0"/>
        <v>3.1</v>
      </c>
      <c r="AH5" s="342">
        <f>AG5</f>
        <v>3.1</v>
      </c>
      <c r="AI5" s="342">
        <f>AG5</f>
        <v>3.1</v>
      </c>
    </row>
    <row r="6" spans="1:35" s="340" customFormat="1">
      <c r="A6" s="45"/>
      <c r="B6" s="46"/>
      <c r="C6" s="48"/>
      <c r="D6" s="422"/>
      <c r="E6" s="422"/>
      <c r="F6" s="422"/>
      <c r="G6" s="83"/>
      <c r="H6" s="83"/>
      <c r="I6" s="83"/>
      <c r="J6" s="83"/>
      <c r="K6" s="83"/>
      <c r="L6" s="48"/>
      <c r="M6" s="48"/>
      <c r="N6" s="48"/>
      <c r="O6" s="48"/>
      <c r="P6" s="48"/>
      <c r="Q6" s="48"/>
      <c r="R6" s="48"/>
      <c r="S6" s="48"/>
      <c r="T6" s="48"/>
      <c r="U6" s="48"/>
      <c r="V6" s="48"/>
      <c r="W6" s="48"/>
      <c r="X6" s="48"/>
      <c r="Y6" s="48"/>
      <c r="Z6" s="48"/>
      <c r="AA6" s="49"/>
      <c r="AB6" s="421"/>
      <c r="AE6" s="335"/>
      <c r="AF6" s="343"/>
      <c r="AG6" s="343"/>
      <c r="AI6" s="338"/>
    </row>
    <row r="7" spans="1:35" ht="15.75" thickBot="1">
      <c r="A7" s="41" t="s">
        <v>25</v>
      </c>
      <c r="B7" s="42" t="s">
        <v>139</v>
      </c>
      <c r="C7" s="43" t="e">
        <f>('Zamfara Workings'!C7+'Katsina Workings'!C7+'Yobe Workings'!C7)/3</f>
        <v>#VALUE!</v>
      </c>
      <c r="D7" s="81" t="e">
        <f>('Zamfara Workings'!D7+'Katsina Workings'!D7+'Yobe Workings'!D7)/3</f>
        <v>#VALUE!</v>
      </c>
      <c r="E7" s="81" t="e">
        <f>('Zamfara Workings'!E7+'Katsina Workings'!E7+'Yobe Workings'!E7)/3</f>
        <v>#VALUE!</v>
      </c>
      <c r="F7" s="81" t="e">
        <f>('Zamfara Workings'!F7+'Katsina Workings'!F7+'Yobe Workings'!F7)/3</f>
        <v>#VALUE!</v>
      </c>
      <c r="G7" s="81" t="e">
        <f>('Zamfara Workings'!G7+'Katsina Workings'!G7+'Yobe Workings'!G7)/3</f>
        <v>#VALUE!</v>
      </c>
      <c r="H7" s="81" t="e">
        <f>('Zamfara Workings'!H7+'Katsina Workings'!H7+'Yobe Workings'!H7)/3</f>
        <v>#VALUE!</v>
      </c>
      <c r="I7" s="82">
        <f>('Zamfara Workings'!I7+'Katsina Workings'!I7+'Yobe Workings'!I7)/3</f>
        <v>1</v>
      </c>
      <c r="J7" s="81">
        <f>('Zamfara Workings'!J7+'Katsina Workings'!J7+'Yobe Workings'!J7)/3</f>
        <v>1</v>
      </c>
      <c r="K7" s="81">
        <f>('Zamfara Workings'!K7+'Katsina Workings'!K7+'Yobe Workings'!K7)/3</f>
        <v>1</v>
      </c>
      <c r="L7" s="44">
        <f>('Zamfara Workings'!L7+'Katsina Workings'!L7+'Yobe Workings'!L7)/3</f>
        <v>1</v>
      </c>
      <c r="M7" s="44">
        <f>('Zamfara Workings'!M7+'Katsina Workings'!M7+'Yobe Workings'!M7)/3</f>
        <v>1</v>
      </c>
      <c r="N7" s="43">
        <f>('Zamfara Workings'!N7+'Katsina Workings'!N7+'Yobe Workings'!N7)/3</f>
        <v>1</v>
      </c>
      <c r="O7" s="44">
        <f>('Zamfara Workings'!O7+'Katsina Workings'!O7+'Yobe Workings'!O7)/3</f>
        <v>1.05</v>
      </c>
      <c r="P7" s="44">
        <f>('Zamfara Workings'!P7+'Katsina Workings'!P7+'Yobe Workings'!P7)/3</f>
        <v>1.0999999999999999</v>
      </c>
      <c r="Q7" s="44">
        <f>('Zamfara Workings'!Q7+'Katsina Workings'!Q7+'Yobe Workings'!Q7)/3</f>
        <v>1.1499999999999999</v>
      </c>
      <c r="R7" s="43">
        <f>('Zamfara Workings'!R7+'Katsina Workings'!R7+'Yobe Workings'!R7)/3</f>
        <v>1.2</v>
      </c>
      <c r="S7" s="44">
        <f>('Zamfara Workings'!S7+'Katsina Workings'!S7+'Yobe Workings'!S7)/3</f>
        <v>1.2555555555555555</v>
      </c>
      <c r="T7" s="44">
        <f>('Zamfara Workings'!T7+'Katsina Workings'!T7+'Yobe Workings'!T7)/3</f>
        <v>1.3111111111111111</v>
      </c>
      <c r="U7" s="44">
        <f>('Zamfara Workings'!U7+'Katsina Workings'!U7+'Yobe Workings'!U7)/3</f>
        <v>1.3666666666666665</v>
      </c>
      <c r="V7" s="44">
        <f>('Zamfara Workings'!V7+'Katsina Workings'!V7+'Yobe Workings'!V7)/3</f>
        <v>1.4222222222222218</v>
      </c>
      <c r="W7" s="44">
        <f>('Zamfara Workings'!W7+'Katsina Workings'!W7+'Yobe Workings'!W7)/3</f>
        <v>2.2833333333333332</v>
      </c>
      <c r="X7" s="44">
        <f>('Zamfara Workings'!X7+'Katsina Workings'!X7+'Yobe Workings'!X7)/3</f>
        <v>2.5</v>
      </c>
      <c r="Y7" s="43">
        <f>('Zamfara Workings'!Y7+'Katsina Workings'!Y7+'Yobe Workings'!Y7)/3</f>
        <v>2.5</v>
      </c>
      <c r="Z7" s="44">
        <f>('Zamfara Workings'!Z7+'Katsina Workings'!Z7+'Yobe Workings'!Z7)/3</f>
        <v>2.5</v>
      </c>
      <c r="AA7" s="38">
        <v>5</v>
      </c>
      <c r="AB7" s="420">
        <f>AA7/22</f>
        <v>0.22727272727272727</v>
      </c>
      <c r="AD7" s="450">
        <f>V7</f>
        <v>1.4222222222222218</v>
      </c>
      <c r="AF7" s="339">
        <f t="shared" ref="AF7:AG8" si="1">IF($AG$1=16,R7,IF($AG$1=17,S7,IF($AG$1=18,T7,IF($AG$1=19,U7,IF($AG$1=20,V7,IF($AG$1=21,W7,IF($AG$1=22,X7,0)))))))</f>
        <v>2.2833333333333332</v>
      </c>
      <c r="AG7" s="339">
        <f t="shared" si="1"/>
        <v>2.5</v>
      </c>
      <c r="AI7" s="338"/>
    </row>
    <row r="8" spans="1:35" s="340" customFormat="1" ht="15.75" thickBot="1">
      <c r="A8" s="45"/>
      <c r="B8" s="46" t="s">
        <v>140</v>
      </c>
      <c r="C8" s="79" t="e">
        <f>('Zamfara Workings'!C8+'Katsina Workings'!C8+'Yobe Workings'!C8)/3</f>
        <v>#VALUE!</v>
      </c>
      <c r="D8" s="436">
        <f>('Zamfara Workings'!D8+'Katsina Workings'!D8+'Yobe Workings'!D8)/3</f>
        <v>0</v>
      </c>
      <c r="E8" s="437">
        <f>('Zamfara Workings'!E8+'Katsina Workings'!E8+'Yobe Workings'!E8)/3</f>
        <v>0</v>
      </c>
      <c r="F8" s="437">
        <f>('Zamfara Workings'!F8+'Katsina Workings'!F8+'Yobe Workings'!F8)/3</f>
        <v>0</v>
      </c>
      <c r="G8" s="437">
        <f>('Zamfara Workings'!G8+'Katsina Workings'!G8+'Yobe Workings'!G8)/3</f>
        <v>0</v>
      </c>
      <c r="H8" s="437">
        <f>('Zamfara Workings'!H8+'Katsina Workings'!H8+'Yobe Workings'!H8)/3</f>
        <v>0</v>
      </c>
      <c r="I8" s="437">
        <f>('Zamfara Workings'!I8+'Katsina Workings'!I8+'Yobe Workings'!I8)/3</f>
        <v>0</v>
      </c>
      <c r="J8" s="437">
        <f>('Zamfara Workings'!J8+'Katsina Workings'!J8+'Yobe Workings'!J8)/3</f>
        <v>0</v>
      </c>
      <c r="K8" s="437">
        <f>('Zamfara Workings'!K8+'Katsina Workings'!K8+'Yobe Workings'!K8)/3</f>
        <v>0</v>
      </c>
      <c r="L8" s="437">
        <f>('Zamfara Workings'!L8+'Katsina Workings'!L8+'Yobe Workings'!L8)/3</f>
        <v>0</v>
      </c>
      <c r="M8" s="437">
        <f>('Zamfara Workings'!M8+'Katsina Workings'!M8+'Yobe Workings'!M8)/3</f>
        <v>0</v>
      </c>
      <c r="N8" s="439">
        <f>('Zamfara Workings'!N8+'Katsina Workings'!N8+'Yobe Workings'!N8)/3</f>
        <v>1</v>
      </c>
      <c r="O8" s="440">
        <f>('Zamfara Workings'!O8+'Katsina Workings'!O8+'Yobe Workings'!O8)/3</f>
        <v>1</v>
      </c>
      <c r="P8" s="440">
        <f>('Zamfara Workings'!P8+'Katsina Workings'!P8+'Yobe Workings'!P8)/3</f>
        <v>1</v>
      </c>
      <c r="Q8" s="440">
        <f>('Zamfara Workings'!Q8+'Katsina Workings'!Q8+'Yobe Workings'!Q8)/3</f>
        <v>1.8333333333333333</v>
      </c>
      <c r="R8" s="437">
        <f>('Zamfara Workings'!R8+'Katsina Workings'!R8+'Yobe Workings'!R8)/3</f>
        <v>1.8333333333333333</v>
      </c>
      <c r="S8" s="437">
        <f>('Zamfara Workings'!S8+'Katsina Workings'!S8+'Yobe Workings'!S8)/3</f>
        <v>1.8333333333333333</v>
      </c>
      <c r="T8" s="437">
        <f>('Zamfara Workings'!T8+'Katsina Workings'!T8+'Yobe Workings'!T8)/3</f>
        <v>2.4</v>
      </c>
      <c r="U8" s="437">
        <f>('Zamfara Workings'!U8+'Katsina Workings'!U8+'Yobe Workings'!U8)/3</f>
        <v>2.4133333333333336</v>
      </c>
      <c r="V8" s="438">
        <f>('Zamfara Workings'!V8+'Katsina Workings'!V8+'Yobe Workings'!V8)/3</f>
        <v>2.9333333333333336</v>
      </c>
      <c r="W8" s="80">
        <f>('Zamfara Workings'!W8+'Katsina Workings'!W8+'Yobe Workings'!W8)/3</f>
        <v>2.9333333333333336</v>
      </c>
      <c r="X8" s="69">
        <f>('Zamfara Workings'!X8+'Katsina Workings'!X8+'Yobe Workings'!X8)/3</f>
        <v>2.99</v>
      </c>
      <c r="Y8" s="69">
        <f>('Zamfara Workings'!Y8+'Katsina Workings'!Y8+'Yobe Workings'!Y8)/3</f>
        <v>0</v>
      </c>
      <c r="Z8" s="69">
        <f>('Zamfara Workings'!Z8+'Katsina Workings'!Z8+'Yobe Workings'!Z8)/3</f>
        <v>0</v>
      </c>
      <c r="AA8" s="49"/>
      <c r="AB8" s="421"/>
      <c r="AD8" s="341">
        <f>V8</f>
        <v>2.9333333333333336</v>
      </c>
      <c r="AE8" s="335"/>
      <c r="AF8" s="341">
        <f t="shared" si="1"/>
        <v>2.9333333333333336</v>
      </c>
      <c r="AG8" s="341">
        <f t="shared" si="1"/>
        <v>2.99</v>
      </c>
      <c r="AH8" s="342">
        <f>AG8</f>
        <v>2.99</v>
      </c>
      <c r="AI8" s="342">
        <f>AG8</f>
        <v>2.99</v>
      </c>
    </row>
    <row r="9" spans="1:35" s="340" customFormat="1">
      <c r="A9" s="45"/>
      <c r="B9" s="46"/>
      <c r="C9" s="48"/>
      <c r="D9" s="83"/>
      <c r="E9" s="83"/>
      <c r="F9" s="83"/>
      <c r="G9" s="83"/>
      <c r="H9" s="83"/>
      <c r="I9" s="83"/>
      <c r="J9" s="83"/>
      <c r="K9" s="83"/>
      <c r="L9" s="48"/>
      <c r="M9" s="48"/>
      <c r="N9" s="48"/>
      <c r="O9" s="48"/>
      <c r="P9" s="48"/>
      <c r="Q9" s="48"/>
      <c r="R9" s="48"/>
      <c r="S9" s="48"/>
      <c r="T9" s="48"/>
      <c r="U9" s="48"/>
      <c r="V9" s="48"/>
      <c r="W9" s="48"/>
      <c r="X9" s="48"/>
      <c r="Y9" s="48"/>
      <c r="Z9" s="48"/>
      <c r="AA9" s="49"/>
      <c r="AB9" s="421"/>
      <c r="AE9" s="335"/>
      <c r="AF9" s="343"/>
      <c r="AG9" s="343"/>
      <c r="AH9" s="335"/>
      <c r="AI9" s="338"/>
    </row>
    <row r="10" spans="1:35" ht="15.75" thickBot="1">
      <c r="A10" s="41" t="s">
        <v>186</v>
      </c>
      <c r="B10" s="42" t="s">
        <v>214</v>
      </c>
      <c r="C10" s="43" t="e">
        <f>('Zamfara Workings'!C10+'Katsina Workings'!C10+'Yobe Workings'!C10)/3</f>
        <v>#VALUE!</v>
      </c>
      <c r="D10" s="81" t="e">
        <f>('Zamfara Workings'!D10+'Katsina Workings'!D10+'Yobe Workings'!D10)/3</f>
        <v>#VALUE!</v>
      </c>
      <c r="E10" s="81" t="e">
        <f>('Zamfara Workings'!E10+'Katsina Workings'!E10+'Yobe Workings'!E10)/3</f>
        <v>#VALUE!</v>
      </c>
      <c r="F10" s="81" t="e">
        <f>('Zamfara Workings'!F10+'Katsina Workings'!F10+'Yobe Workings'!F10)/3</f>
        <v>#VALUE!</v>
      </c>
      <c r="G10" s="81" t="e">
        <f>('Zamfara Workings'!G10+'Katsina Workings'!G10+'Yobe Workings'!G10)/3</f>
        <v>#VALUE!</v>
      </c>
      <c r="H10" s="81" t="e">
        <f>('Zamfara Workings'!H10+'Katsina Workings'!H10+'Yobe Workings'!H10)/3</f>
        <v>#VALUE!</v>
      </c>
      <c r="I10" s="82">
        <f>('Zamfara Workings'!I10+'Katsina Workings'!I10+'Yobe Workings'!I10)/3</f>
        <v>0.33333333333333331</v>
      </c>
      <c r="J10" s="81">
        <f>('Zamfara Workings'!J10+'Katsina Workings'!J10+'Yobe Workings'!J10)/3</f>
        <v>0.44444444444444442</v>
      </c>
      <c r="K10" s="81">
        <f>('Zamfara Workings'!K10+'Katsina Workings'!K10+'Yobe Workings'!K10)/3</f>
        <v>0.55555555555555547</v>
      </c>
      <c r="L10" s="44">
        <f>('Zamfara Workings'!L10+'Katsina Workings'!L10+'Yobe Workings'!L10)/3</f>
        <v>0.66666666666666663</v>
      </c>
      <c r="M10" s="44">
        <f>('Zamfara Workings'!M10+'Katsina Workings'!M10+'Yobe Workings'!M10)/3</f>
        <v>0.77777777777777768</v>
      </c>
      <c r="N10" s="43">
        <f>('Zamfara Workings'!N10+'Katsina Workings'!N10+'Yobe Workings'!N10)/3</f>
        <v>1</v>
      </c>
      <c r="O10" s="44">
        <f>('Zamfara Workings'!O10+'Katsina Workings'!O10+'Yobe Workings'!O10)/3</f>
        <v>1.4166666666666667</v>
      </c>
      <c r="P10" s="44">
        <f>('Zamfara Workings'!P10+'Katsina Workings'!P10+'Yobe Workings'!P10)/3</f>
        <v>1.8333333333333333</v>
      </c>
      <c r="Q10" s="44">
        <f>('Zamfara Workings'!Q10+'Katsina Workings'!Q10+'Yobe Workings'!Q10)/3</f>
        <v>2.25</v>
      </c>
      <c r="R10" s="43">
        <f>('Zamfara Workings'!R10+'Katsina Workings'!R10+'Yobe Workings'!R10)/3</f>
        <v>2.6666666666666665</v>
      </c>
      <c r="S10" s="44">
        <f>('Zamfara Workings'!S10+'Katsina Workings'!S10+'Yobe Workings'!S10)/3</f>
        <v>3</v>
      </c>
      <c r="T10" s="44">
        <f>('Zamfara Workings'!T10+'Katsina Workings'!T10+'Yobe Workings'!T10)/3</f>
        <v>3.3333333333333335</v>
      </c>
      <c r="U10" s="44">
        <f>('Zamfara Workings'!U10+'Katsina Workings'!U10+'Yobe Workings'!U10)/3</f>
        <v>3.6666666666666665</v>
      </c>
      <c r="V10" s="44">
        <f>('Zamfara Workings'!V10+'Katsina Workings'!V10+'Yobe Workings'!V10)/3</f>
        <v>4</v>
      </c>
      <c r="W10" s="44">
        <f>('Zamfara Workings'!W10+'Katsina Workings'!W10+'Yobe Workings'!W10)/3</f>
        <v>5.166666666666667</v>
      </c>
      <c r="X10" s="44">
        <f>('Zamfara Workings'!X10+'Katsina Workings'!X10+'Yobe Workings'!X10)/3</f>
        <v>5.666666666666667</v>
      </c>
      <c r="Y10" s="43">
        <f>('Zamfara Workings'!Y10+'Katsina Workings'!Y10+'Yobe Workings'!Y10)/3</f>
        <v>5.666666666666667</v>
      </c>
      <c r="Z10" s="44">
        <f>('Zamfara Workings'!Z10+'Katsina Workings'!Z10+'Yobe Workings'!Z10)/3</f>
        <v>5.666666666666667</v>
      </c>
      <c r="AA10" s="38">
        <v>15</v>
      </c>
      <c r="AB10" s="457">
        <f>AA10/22</f>
        <v>0.68181818181818177</v>
      </c>
      <c r="AD10" s="450">
        <f>V10</f>
        <v>4</v>
      </c>
      <c r="AF10" s="339">
        <f t="shared" ref="AF10:AG11" si="2">IF($AG$1=16,R10,IF($AG$1=17,S10,IF($AG$1=18,T10,IF($AG$1=19,U10,IF($AG$1=20,V10,IF($AG$1=21,W10,IF($AG$1=22,X10,0)))))))</f>
        <v>5.166666666666667</v>
      </c>
      <c r="AG10" s="339">
        <f t="shared" si="2"/>
        <v>5.666666666666667</v>
      </c>
      <c r="AI10" s="338"/>
    </row>
    <row r="11" spans="1:35" s="340" customFormat="1" ht="15.75" thickBot="1">
      <c r="A11" s="45"/>
      <c r="B11" s="46" t="s">
        <v>215</v>
      </c>
      <c r="C11" s="79" t="e">
        <f>('Zamfara Workings'!C11+'Katsina Workings'!C11+'Yobe Workings'!C11)/3</f>
        <v>#VALUE!</v>
      </c>
      <c r="D11" s="436">
        <f>('Zamfara Workings'!D11+'Katsina Workings'!D11+'Yobe Workings'!D11)/3</f>
        <v>0</v>
      </c>
      <c r="E11" s="437">
        <f>('Zamfara Workings'!E11+'Katsina Workings'!E11+'Yobe Workings'!E11)/3</f>
        <v>0</v>
      </c>
      <c r="F11" s="437">
        <f>('Zamfara Workings'!F11+'Katsina Workings'!F11+'Yobe Workings'!F11)/3</f>
        <v>0</v>
      </c>
      <c r="G11" s="437">
        <f>('Zamfara Workings'!G11+'Katsina Workings'!G11+'Yobe Workings'!G11)/3</f>
        <v>0</v>
      </c>
      <c r="H11" s="437">
        <f>('Zamfara Workings'!H11+'Katsina Workings'!H11+'Yobe Workings'!H11)/3</f>
        <v>0</v>
      </c>
      <c r="I11" s="437">
        <f>('Zamfara Workings'!I11+'Katsina Workings'!I11+'Yobe Workings'!I11)/3</f>
        <v>0</v>
      </c>
      <c r="J11" s="437">
        <f>('Zamfara Workings'!J11+'Katsina Workings'!J11+'Yobe Workings'!J11)/3</f>
        <v>0</v>
      </c>
      <c r="K11" s="437">
        <f>('Zamfara Workings'!K11+'Katsina Workings'!K11+'Yobe Workings'!K11)/3</f>
        <v>0</v>
      </c>
      <c r="L11" s="437">
        <f>('Zamfara Workings'!L11+'Katsina Workings'!L11+'Yobe Workings'!L11)/3</f>
        <v>0</v>
      </c>
      <c r="M11" s="437">
        <f>('Zamfara Workings'!M11+'Katsina Workings'!M11+'Yobe Workings'!M11)/3</f>
        <v>0</v>
      </c>
      <c r="N11" s="439">
        <f>('Zamfara Workings'!N11+'Katsina Workings'!N11+'Yobe Workings'!N11)/3</f>
        <v>0.66666666666666663</v>
      </c>
      <c r="O11" s="440">
        <f>('Zamfara Workings'!O11+'Katsina Workings'!O11+'Yobe Workings'!O11)/3</f>
        <v>2</v>
      </c>
      <c r="P11" s="440">
        <f>('Zamfara Workings'!P11+'Katsina Workings'!P11+'Yobe Workings'!P11)/3</f>
        <v>2.4</v>
      </c>
      <c r="Q11" s="440">
        <f>('Zamfara Workings'!Q11+'Katsina Workings'!Q11+'Yobe Workings'!Q11)/3</f>
        <v>2.3333333333333335</v>
      </c>
      <c r="R11" s="437">
        <f>('Zamfara Workings'!R11+'Katsina Workings'!R11+'Yobe Workings'!R11)/3</f>
        <v>2.3333333333333335</v>
      </c>
      <c r="S11" s="437">
        <f>('Zamfara Workings'!S11+'Katsina Workings'!S11+'Yobe Workings'!S11)/3</f>
        <v>2.6666666666666665</v>
      </c>
      <c r="T11" s="437">
        <f>('Zamfara Workings'!T11+'Katsina Workings'!T11+'Yobe Workings'!T11)/3</f>
        <v>3.3333333333333335</v>
      </c>
      <c r="U11" s="437">
        <f>('Zamfara Workings'!U11+'Katsina Workings'!U11+'Yobe Workings'!U11)/3</f>
        <v>4.666666666666667</v>
      </c>
      <c r="V11" s="438">
        <f>('Zamfara Workings'!V11+'Katsina Workings'!V11+'Yobe Workings'!V11)/3</f>
        <v>5.666666666666667</v>
      </c>
      <c r="W11" s="80">
        <f>('Zamfara Workings'!W11+'Katsina Workings'!W11+'Yobe Workings'!W11)/3</f>
        <v>5.666666666666667</v>
      </c>
      <c r="X11" s="69">
        <f>('Zamfara Workings'!X11+'Katsina Workings'!X11+'Yobe Workings'!X11)/3</f>
        <v>6</v>
      </c>
      <c r="Y11" s="69">
        <f>('Zamfara Workings'!Y11+'Katsina Workings'!Y11+'Yobe Workings'!Y11)/3</f>
        <v>0</v>
      </c>
      <c r="Z11" s="69">
        <f>('Zamfara Workings'!Z11+'Katsina Workings'!Z11+'Yobe Workings'!Z11)/3</f>
        <v>0</v>
      </c>
      <c r="AA11" s="38"/>
      <c r="AB11" s="420"/>
      <c r="AD11" s="341">
        <f>V11</f>
        <v>5.666666666666667</v>
      </c>
      <c r="AE11" s="335"/>
      <c r="AF11" s="341">
        <f t="shared" si="2"/>
        <v>5.666666666666667</v>
      </c>
      <c r="AG11" s="341">
        <f t="shared" si="2"/>
        <v>6</v>
      </c>
      <c r="AH11" s="342">
        <f>AG11</f>
        <v>6</v>
      </c>
      <c r="AI11" s="342">
        <f>AG11</f>
        <v>6</v>
      </c>
    </row>
    <row r="12" spans="1:35" s="340" customFormat="1">
      <c r="A12" s="45"/>
      <c r="B12" s="46"/>
      <c r="C12" s="48"/>
      <c r="D12" s="83"/>
      <c r="E12" s="83"/>
      <c r="F12" s="83"/>
      <c r="G12" s="83"/>
      <c r="H12" s="83"/>
      <c r="I12" s="83"/>
      <c r="J12" s="83"/>
      <c r="K12" s="83"/>
      <c r="L12" s="48"/>
      <c r="M12" s="48"/>
      <c r="N12" s="48"/>
      <c r="O12" s="48"/>
      <c r="P12" s="48"/>
      <c r="Q12" s="48"/>
      <c r="R12" s="48"/>
      <c r="S12" s="48"/>
      <c r="T12" s="48"/>
      <c r="U12" s="48"/>
      <c r="V12" s="48"/>
      <c r="W12" s="48"/>
      <c r="X12" s="48"/>
      <c r="Y12" s="48"/>
      <c r="Z12" s="48"/>
      <c r="AA12" s="49"/>
      <c r="AB12" s="421"/>
      <c r="AE12" s="335"/>
      <c r="AF12" s="344"/>
      <c r="AG12" s="344"/>
      <c r="AH12" s="335"/>
      <c r="AI12" s="338"/>
    </row>
    <row r="13" spans="1:35" ht="15.75" thickBot="1">
      <c r="A13" s="41" t="s">
        <v>187</v>
      </c>
      <c r="B13" s="42" t="s">
        <v>216</v>
      </c>
      <c r="C13" s="43">
        <f>('Zamfara Workings'!C13+'Katsina Workings'!C13+'Yobe Workings'!C13)/3</f>
        <v>0</v>
      </c>
      <c r="D13" s="81">
        <f>('Zamfara Workings'!D13+'Katsina Workings'!D13+'Yobe Workings'!D13)/3</f>
        <v>5.5555555555555552E-2</v>
      </c>
      <c r="E13" s="81">
        <f>('Zamfara Workings'!E13+'Katsina Workings'!E13+'Yobe Workings'!E13)/3</f>
        <v>0.1111111111111111</v>
      </c>
      <c r="F13" s="81">
        <f>('Zamfara Workings'!F13+'Katsina Workings'!F13+'Yobe Workings'!F13)/3</f>
        <v>0.16666666666666666</v>
      </c>
      <c r="G13" s="81">
        <f>('Zamfara Workings'!G13+'Katsina Workings'!G13+'Yobe Workings'!G13)/3</f>
        <v>0.22222222222222221</v>
      </c>
      <c r="H13" s="81">
        <f>('Zamfara Workings'!H13+'Katsina Workings'!H13+'Yobe Workings'!H13)/3</f>
        <v>0.27777777777777773</v>
      </c>
      <c r="I13" s="82">
        <f>('Zamfara Workings'!I13+'Katsina Workings'!I13+'Yobe Workings'!I13)/3</f>
        <v>0.33333333333333331</v>
      </c>
      <c r="J13" s="81">
        <f>('Zamfara Workings'!J13+'Katsina Workings'!J13+'Yobe Workings'!J13)/3</f>
        <v>0.44444444444444442</v>
      </c>
      <c r="K13" s="81">
        <f>('Zamfara Workings'!K13+'Katsina Workings'!K13+'Yobe Workings'!K13)/3</f>
        <v>0.55555555555555547</v>
      </c>
      <c r="L13" s="44">
        <f>('Zamfara Workings'!L13+'Katsina Workings'!L13+'Yobe Workings'!L13)/3</f>
        <v>0.66666666666666663</v>
      </c>
      <c r="M13" s="44">
        <f>('Zamfara Workings'!M13+'Katsina Workings'!M13+'Yobe Workings'!M13)/3</f>
        <v>0.77777777777777768</v>
      </c>
      <c r="N13" s="43">
        <f>('Zamfara Workings'!N13+'Katsina Workings'!N13+'Yobe Workings'!N13)/3</f>
        <v>1</v>
      </c>
      <c r="O13" s="44">
        <f>('Zamfara Workings'!O13+'Katsina Workings'!O13+'Yobe Workings'!O13)/3</f>
        <v>1.4166666666666667</v>
      </c>
      <c r="P13" s="44">
        <f>('Zamfara Workings'!P13+'Katsina Workings'!P13+'Yobe Workings'!P13)/3</f>
        <v>1.8333333333333333</v>
      </c>
      <c r="Q13" s="44">
        <f>('Zamfara Workings'!Q13+'Katsina Workings'!Q13+'Yobe Workings'!Q13)/3</f>
        <v>2.25</v>
      </c>
      <c r="R13" s="43">
        <f>('Zamfara Workings'!R13+'Katsina Workings'!R13+'Yobe Workings'!R13)/3</f>
        <v>2.6666666666666665</v>
      </c>
      <c r="S13" s="44">
        <f>('Zamfara Workings'!S13+'Katsina Workings'!S13+'Yobe Workings'!S13)/3</f>
        <v>3.0555555555555558</v>
      </c>
      <c r="T13" s="44">
        <f>('Zamfara Workings'!T13+'Katsina Workings'!T13+'Yobe Workings'!T13)/3</f>
        <v>3.4444444444444446</v>
      </c>
      <c r="U13" s="44">
        <f>('Zamfara Workings'!U13+'Katsina Workings'!U13+'Yobe Workings'!U13)/3</f>
        <v>3.8333333333333335</v>
      </c>
      <c r="V13" s="44">
        <f>('Zamfara Workings'!V13+'Katsina Workings'!V13+'Yobe Workings'!V13)/3</f>
        <v>4.2222222222222223</v>
      </c>
      <c r="W13" s="44">
        <f>('Zamfara Workings'!W13+'Katsina Workings'!W13+'Yobe Workings'!W13)/3</f>
        <v>5.166666666666667</v>
      </c>
      <c r="X13" s="44">
        <f>('Zamfara Workings'!X13+'Katsina Workings'!X13+'Yobe Workings'!X13)/3</f>
        <v>5.666666666666667</v>
      </c>
      <c r="Y13" s="43">
        <f>('Zamfara Workings'!Y13+'Katsina Workings'!Y13+'Yobe Workings'!Y13)/3</f>
        <v>5.666666666666667</v>
      </c>
      <c r="Z13" s="44">
        <f>('Zamfara Workings'!Z13+'Katsina Workings'!Z13+'Yobe Workings'!Z13)/3</f>
        <v>5.666666666666667</v>
      </c>
      <c r="AA13" s="38">
        <v>15</v>
      </c>
      <c r="AB13" s="457">
        <f>AA13/22</f>
        <v>0.68181818181818177</v>
      </c>
      <c r="AD13" s="450">
        <f>V13</f>
        <v>4.2222222222222223</v>
      </c>
      <c r="AF13" s="339">
        <f t="shared" ref="AF13:AG14" si="3">IF($AG$1=16,R13,IF($AG$1=17,S13,IF($AG$1=18,T13,IF($AG$1=19,U13,IF($AG$1=20,V13,IF($AG$1=21,W13,IF($AG$1=22,X13,0)))))))</f>
        <v>5.166666666666667</v>
      </c>
      <c r="AG13" s="339">
        <f t="shared" si="3"/>
        <v>5.666666666666667</v>
      </c>
      <c r="AI13" s="338"/>
    </row>
    <row r="14" spans="1:35" s="340" customFormat="1" ht="15.75" thickBot="1">
      <c r="A14" s="45"/>
      <c r="B14" s="46" t="s">
        <v>217</v>
      </c>
      <c r="C14" s="79">
        <f>('Zamfara Workings'!C14+'Katsina Workings'!C14+'Yobe Workings'!C14)/3</f>
        <v>0</v>
      </c>
      <c r="D14" s="436">
        <f>('Zamfara Workings'!D14+'Katsina Workings'!D14+'Yobe Workings'!D14)/3</f>
        <v>0</v>
      </c>
      <c r="E14" s="437">
        <f>('Zamfara Workings'!E14+'Katsina Workings'!E14+'Yobe Workings'!E14)/3</f>
        <v>0</v>
      </c>
      <c r="F14" s="437">
        <f>('Zamfara Workings'!F14+'Katsina Workings'!F14+'Yobe Workings'!F14)/3</f>
        <v>0</v>
      </c>
      <c r="G14" s="437">
        <f>('Zamfara Workings'!G14+'Katsina Workings'!G14+'Yobe Workings'!G14)/3</f>
        <v>0</v>
      </c>
      <c r="H14" s="437">
        <f>('Zamfara Workings'!H14+'Katsina Workings'!H14+'Yobe Workings'!H14)/3</f>
        <v>0</v>
      </c>
      <c r="I14" s="437">
        <f>('Zamfara Workings'!I14+'Katsina Workings'!I14+'Yobe Workings'!I14)/3</f>
        <v>0</v>
      </c>
      <c r="J14" s="437">
        <f>('Zamfara Workings'!J14+'Katsina Workings'!J14+'Yobe Workings'!J14)/3</f>
        <v>0</v>
      </c>
      <c r="K14" s="437">
        <f>('Zamfara Workings'!K14+'Katsina Workings'!K14+'Yobe Workings'!K14)/3</f>
        <v>0</v>
      </c>
      <c r="L14" s="437">
        <f>('Zamfara Workings'!L14+'Katsina Workings'!L14+'Yobe Workings'!L14)/3</f>
        <v>0</v>
      </c>
      <c r="M14" s="437">
        <f>('Zamfara Workings'!M14+'Katsina Workings'!M14+'Yobe Workings'!M14)/3</f>
        <v>0</v>
      </c>
      <c r="N14" s="439">
        <f>('Zamfara Workings'!N14+'Katsina Workings'!N14+'Yobe Workings'!N14)/3</f>
        <v>1</v>
      </c>
      <c r="O14" s="440">
        <f>('Zamfara Workings'!O14+'Katsina Workings'!O14+'Yobe Workings'!O14)/3</f>
        <v>1</v>
      </c>
      <c r="P14" s="440">
        <f>('Zamfara Workings'!P14+'Katsina Workings'!P14+'Yobe Workings'!P14)/3</f>
        <v>2.7333333333333329</v>
      </c>
      <c r="Q14" s="440">
        <f>('Zamfara Workings'!Q14+'Katsina Workings'!Q14+'Yobe Workings'!Q14)/3</f>
        <v>2.6666666666666665</v>
      </c>
      <c r="R14" s="437">
        <f>('Zamfara Workings'!R14+'Katsina Workings'!R14+'Yobe Workings'!R14)/3</f>
        <v>2.6666666666666665</v>
      </c>
      <c r="S14" s="437">
        <f>('Zamfara Workings'!S14+'Katsina Workings'!S14+'Yobe Workings'!S14)/3</f>
        <v>2.6666666666666665</v>
      </c>
      <c r="T14" s="437">
        <f>('Zamfara Workings'!T14+'Katsina Workings'!T14+'Yobe Workings'!T14)/3</f>
        <v>3.3333333333333335</v>
      </c>
      <c r="U14" s="437">
        <f>('Zamfara Workings'!U14+'Katsina Workings'!U14+'Yobe Workings'!U14)/3</f>
        <v>4.666666666666667</v>
      </c>
      <c r="V14" s="438">
        <f>('Zamfara Workings'!V14+'Katsina Workings'!V14+'Yobe Workings'!V14)/3</f>
        <v>5.333333333333333</v>
      </c>
      <c r="W14" s="80">
        <f>('Zamfara Workings'!W14+'Katsina Workings'!W14+'Yobe Workings'!W14)/3</f>
        <v>5.666666666666667</v>
      </c>
      <c r="X14" s="69">
        <f>('Zamfara Workings'!X14+'Katsina Workings'!X14+'Yobe Workings'!X14)/3</f>
        <v>6</v>
      </c>
      <c r="Y14" s="69">
        <f>('Zamfara Workings'!Y14+'Katsina Workings'!Y14+'Yobe Workings'!Y14)/3</f>
        <v>0</v>
      </c>
      <c r="Z14" s="69">
        <f>('Zamfara Workings'!Z14+'Katsina Workings'!Z14+'Yobe Workings'!Z14)/3</f>
        <v>0</v>
      </c>
      <c r="AA14" s="49"/>
      <c r="AB14" s="421"/>
      <c r="AD14" s="341">
        <f>V14</f>
        <v>5.333333333333333</v>
      </c>
      <c r="AE14" s="335"/>
      <c r="AF14" s="341">
        <f t="shared" si="3"/>
        <v>5.666666666666667</v>
      </c>
      <c r="AG14" s="341">
        <f t="shared" si="3"/>
        <v>6</v>
      </c>
      <c r="AH14" s="342">
        <f>AG14</f>
        <v>6</v>
      </c>
      <c r="AI14" s="342">
        <f>AG14</f>
        <v>6</v>
      </c>
    </row>
    <row r="15" spans="1:35" s="340" customFormat="1">
      <c r="A15" s="45"/>
      <c r="B15" s="46"/>
      <c r="C15" s="48"/>
      <c r="D15" s="422"/>
      <c r="E15" s="422"/>
      <c r="F15" s="422"/>
      <c r="G15" s="83"/>
      <c r="H15" s="83"/>
      <c r="I15" s="83"/>
      <c r="J15" s="83"/>
      <c r="K15" s="83"/>
      <c r="L15" s="48"/>
      <c r="M15" s="48"/>
      <c r="N15" s="48"/>
      <c r="O15" s="48"/>
      <c r="P15" s="48"/>
      <c r="Q15" s="48"/>
      <c r="R15" s="48"/>
      <c r="S15" s="48"/>
      <c r="T15" s="48"/>
      <c r="U15" s="48"/>
      <c r="V15" s="48"/>
      <c r="W15" s="48"/>
      <c r="X15" s="48"/>
      <c r="Y15" s="48"/>
      <c r="Z15" s="48"/>
      <c r="AA15" s="49"/>
      <c r="AB15" s="421"/>
      <c r="AE15" s="335"/>
      <c r="AF15" s="344"/>
      <c r="AG15" s="344"/>
      <c r="AH15" s="335"/>
      <c r="AI15" s="338"/>
    </row>
    <row r="16" spans="1:35" ht="15.75" thickBot="1">
      <c r="A16" s="41" t="s">
        <v>188</v>
      </c>
      <c r="B16" s="42" t="s">
        <v>218</v>
      </c>
      <c r="C16" s="43">
        <f>('Zamfara Workings'!C16+'Katsina Workings'!C16+'Yobe Workings'!C16)/3</f>
        <v>0</v>
      </c>
      <c r="D16" s="81">
        <f>('Zamfara Workings'!D16+'Katsina Workings'!D16+'Yobe Workings'!D16)/3</f>
        <v>0</v>
      </c>
      <c r="E16" s="81">
        <f>('Zamfara Workings'!E16+'Katsina Workings'!E16+'Yobe Workings'!E16)/3</f>
        <v>0</v>
      </c>
      <c r="F16" s="81">
        <f>('Zamfara Workings'!F16+'Katsina Workings'!F16+'Yobe Workings'!F16)/3</f>
        <v>0</v>
      </c>
      <c r="G16" s="81">
        <f>('Zamfara Workings'!G16+'Katsina Workings'!G16+'Yobe Workings'!G16)/3</f>
        <v>0</v>
      </c>
      <c r="H16" s="81">
        <f>('Zamfara Workings'!H16+'Katsina Workings'!H16+'Yobe Workings'!H16)/3</f>
        <v>0</v>
      </c>
      <c r="I16" s="82">
        <f>('Zamfara Workings'!I16+'Katsina Workings'!I16+'Yobe Workings'!I16)/3</f>
        <v>0</v>
      </c>
      <c r="J16" s="81">
        <f>('Zamfara Workings'!J16+'Katsina Workings'!J16+'Yobe Workings'!J16)/3</f>
        <v>0.1111111111111111</v>
      </c>
      <c r="K16" s="81">
        <f>('Zamfara Workings'!K16+'Katsina Workings'!K16+'Yobe Workings'!K16)/3</f>
        <v>0.22222222222222221</v>
      </c>
      <c r="L16" s="44">
        <f>('Zamfara Workings'!L16+'Katsina Workings'!L16+'Yobe Workings'!L16)/3</f>
        <v>0.33333333333333331</v>
      </c>
      <c r="M16" s="44">
        <f>('Zamfara Workings'!M16+'Katsina Workings'!M16+'Yobe Workings'!M16)/3</f>
        <v>0.44444444444444442</v>
      </c>
      <c r="N16" s="43">
        <f>('Zamfara Workings'!N16+'Katsina Workings'!N16+'Yobe Workings'!N16)/3</f>
        <v>0.66666666666666663</v>
      </c>
      <c r="O16" s="44">
        <f>('Zamfara Workings'!O16+'Katsina Workings'!O16+'Yobe Workings'!O16)/3</f>
        <v>0.91666666666666663</v>
      </c>
      <c r="P16" s="44">
        <f>('Zamfara Workings'!P16+'Katsina Workings'!P16+'Yobe Workings'!P16)/3</f>
        <v>1.1666666666666667</v>
      </c>
      <c r="Q16" s="44">
        <f>('Zamfara Workings'!Q16+'Katsina Workings'!Q16+'Yobe Workings'!Q16)/3</f>
        <v>1.4166666666666667</v>
      </c>
      <c r="R16" s="43">
        <f>('Zamfara Workings'!R16+'Katsina Workings'!R16+'Yobe Workings'!R16)/3</f>
        <v>1.6666666666666667</v>
      </c>
      <c r="S16" s="44">
        <f>('Zamfara Workings'!S16+'Katsina Workings'!S16+'Yobe Workings'!S16)/3</f>
        <v>1.9444444444444446</v>
      </c>
      <c r="T16" s="44">
        <f>('Zamfara Workings'!T16+'Katsina Workings'!T16+'Yobe Workings'!T16)/3</f>
        <v>2.2222222222222228</v>
      </c>
      <c r="U16" s="44">
        <f>('Zamfara Workings'!U16+'Katsina Workings'!U16+'Yobe Workings'!U16)/3</f>
        <v>2.5000000000000004</v>
      </c>
      <c r="V16" s="44">
        <f>('Zamfara Workings'!V16+'Katsina Workings'!V16+'Yobe Workings'!V16)/3</f>
        <v>2.7777777777777786</v>
      </c>
      <c r="W16" s="44">
        <f>('Zamfara Workings'!W16+'Katsina Workings'!W16+'Yobe Workings'!W16)/3</f>
        <v>6.9444444444444455</v>
      </c>
      <c r="X16" s="44">
        <f>('Zamfara Workings'!X16+'Katsina Workings'!X16+'Yobe Workings'!X16)/3</f>
        <v>8</v>
      </c>
      <c r="Y16" s="43">
        <f>('Zamfara Workings'!Y16+'Katsina Workings'!Y16+'Yobe Workings'!Y16)/3</f>
        <v>8</v>
      </c>
      <c r="Z16" s="44">
        <f>('Zamfara Workings'!Z16+'Katsina Workings'!Z16+'Yobe Workings'!Z16)/3</f>
        <v>8</v>
      </c>
      <c r="AA16" s="38">
        <v>15</v>
      </c>
      <c r="AB16" s="457">
        <f>AA16/22</f>
        <v>0.68181818181818177</v>
      </c>
      <c r="AD16" s="450">
        <f>V16</f>
        <v>2.7777777777777786</v>
      </c>
      <c r="AF16" s="339">
        <f t="shared" ref="AF16:AG17" si="4">IF($AG$1=16,R16,IF($AG$1=17,S16,IF($AG$1=18,T16,IF($AG$1=19,U16,IF($AG$1=20,V16,IF($AG$1=21,W16,IF($AG$1=22,X16,0)))))))</f>
        <v>6.9444444444444455</v>
      </c>
      <c r="AG16" s="339">
        <f t="shared" si="4"/>
        <v>8</v>
      </c>
      <c r="AI16" s="338"/>
    </row>
    <row r="17" spans="1:35" s="340" customFormat="1" ht="15.75" thickBot="1">
      <c r="A17" s="45"/>
      <c r="B17" s="46" t="s">
        <v>219</v>
      </c>
      <c r="C17" s="79">
        <f>('Zamfara Workings'!C17+'Katsina Workings'!C17+'Yobe Workings'!C17)/3</f>
        <v>0</v>
      </c>
      <c r="D17" s="436">
        <f>('Zamfara Workings'!D17+'Katsina Workings'!D17+'Yobe Workings'!D17)/3</f>
        <v>0</v>
      </c>
      <c r="E17" s="437">
        <f>('Zamfara Workings'!E17+'Katsina Workings'!E17+'Yobe Workings'!E17)/3</f>
        <v>0</v>
      </c>
      <c r="F17" s="437">
        <f>('Zamfara Workings'!F17+'Katsina Workings'!F17+'Yobe Workings'!F17)/3</f>
        <v>0</v>
      </c>
      <c r="G17" s="437">
        <f>('Zamfara Workings'!G17+'Katsina Workings'!G17+'Yobe Workings'!G17)/3</f>
        <v>0</v>
      </c>
      <c r="H17" s="437">
        <f>('Zamfara Workings'!H17+'Katsina Workings'!H17+'Yobe Workings'!H17)/3</f>
        <v>0</v>
      </c>
      <c r="I17" s="437">
        <f>('Zamfara Workings'!I17+'Katsina Workings'!I17+'Yobe Workings'!I17)/3</f>
        <v>0</v>
      </c>
      <c r="J17" s="437">
        <f>('Zamfara Workings'!J17+'Katsina Workings'!J17+'Yobe Workings'!J17)/3</f>
        <v>0</v>
      </c>
      <c r="K17" s="437">
        <f>('Zamfara Workings'!K17+'Katsina Workings'!K17+'Yobe Workings'!K17)/3</f>
        <v>0</v>
      </c>
      <c r="L17" s="437">
        <f>('Zamfara Workings'!L17+'Katsina Workings'!L17+'Yobe Workings'!L17)/3</f>
        <v>0</v>
      </c>
      <c r="M17" s="437">
        <f>('Zamfara Workings'!M17+'Katsina Workings'!M17+'Yobe Workings'!M17)/3</f>
        <v>0</v>
      </c>
      <c r="N17" s="439">
        <f>('Zamfara Workings'!N17+'Katsina Workings'!N17+'Yobe Workings'!N17)/3</f>
        <v>0.66666666666666663</v>
      </c>
      <c r="O17" s="440">
        <f>('Zamfara Workings'!O17+'Katsina Workings'!O17+'Yobe Workings'!O17)/3</f>
        <v>0.66666666666666663</v>
      </c>
      <c r="P17" s="440">
        <f>('Zamfara Workings'!P17+'Katsina Workings'!P17+'Yobe Workings'!P17)/3</f>
        <v>0.66666666666666663</v>
      </c>
      <c r="Q17" s="440">
        <f>('Zamfara Workings'!Q17+'Katsina Workings'!Q17+'Yobe Workings'!Q17)/3</f>
        <v>0.66666666666666663</v>
      </c>
      <c r="R17" s="437">
        <f>('Zamfara Workings'!R17+'Katsina Workings'!R17+'Yobe Workings'!R17)/3</f>
        <v>0.66666666666666663</v>
      </c>
      <c r="S17" s="437">
        <f>('Zamfara Workings'!S17+'Katsina Workings'!S17+'Yobe Workings'!S17)/3</f>
        <v>0.66666666666666663</v>
      </c>
      <c r="T17" s="437">
        <f>('Zamfara Workings'!T17+'Katsina Workings'!T17+'Yobe Workings'!T17)/3</f>
        <v>1</v>
      </c>
      <c r="U17" s="437">
        <f>('Zamfara Workings'!U17+'Katsina Workings'!U17+'Yobe Workings'!U17)/3</f>
        <v>1</v>
      </c>
      <c r="V17" s="438">
        <f>('Zamfara Workings'!V17+'Katsina Workings'!V17+'Yobe Workings'!V17)/3</f>
        <v>12</v>
      </c>
      <c r="W17" s="80">
        <f>('Zamfara Workings'!W17+'Katsina Workings'!W17+'Yobe Workings'!W17)/3</f>
        <v>12</v>
      </c>
      <c r="X17" s="69">
        <f>('Zamfara Workings'!X17+'Katsina Workings'!X17+'Yobe Workings'!X17)/3</f>
        <v>12</v>
      </c>
      <c r="Y17" s="69">
        <f>('Zamfara Workings'!Y17+'Katsina Workings'!Y17+'Yobe Workings'!Y17)/3</f>
        <v>0</v>
      </c>
      <c r="Z17" s="69">
        <f>('Zamfara Workings'!Z17+'Katsina Workings'!Z17+'Yobe Workings'!Z17)/3</f>
        <v>0</v>
      </c>
      <c r="AA17" s="49"/>
      <c r="AB17" s="421"/>
      <c r="AD17" s="341">
        <f>V17</f>
        <v>12</v>
      </c>
      <c r="AE17" s="335"/>
      <c r="AF17" s="341">
        <f t="shared" si="4"/>
        <v>12</v>
      </c>
      <c r="AG17" s="341">
        <f t="shared" si="4"/>
        <v>12</v>
      </c>
      <c r="AH17" s="342">
        <f>AG17</f>
        <v>12</v>
      </c>
      <c r="AI17" s="342">
        <f>AG17</f>
        <v>12</v>
      </c>
    </row>
    <row r="18" spans="1:35" s="340" customFormat="1">
      <c r="A18" s="45"/>
      <c r="B18" s="46"/>
      <c r="C18" s="48"/>
      <c r="D18" s="422"/>
      <c r="E18" s="422"/>
      <c r="F18" s="422"/>
      <c r="G18" s="83"/>
      <c r="H18" s="83"/>
      <c r="I18" s="83"/>
      <c r="J18" s="83"/>
      <c r="K18" s="83"/>
      <c r="L18" s="48"/>
      <c r="M18" s="48"/>
      <c r="N18" s="48"/>
      <c r="O18" s="48"/>
      <c r="P18" s="48"/>
      <c r="Q18" s="48"/>
      <c r="R18" s="48"/>
      <c r="S18" s="48"/>
      <c r="T18" s="48"/>
      <c r="U18" s="48"/>
      <c r="V18" s="48"/>
      <c r="W18" s="48"/>
      <c r="X18" s="48"/>
      <c r="Y18" s="48"/>
      <c r="Z18" s="48"/>
      <c r="AA18" s="49"/>
      <c r="AB18" s="421"/>
      <c r="AE18" s="335"/>
      <c r="AF18" s="344"/>
      <c r="AG18" s="344"/>
      <c r="AH18" s="335"/>
      <c r="AI18" s="338"/>
    </row>
    <row r="19" spans="1:35" ht="15.75" thickBot="1">
      <c r="A19" s="41" t="s">
        <v>189</v>
      </c>
      <c r="B19" s="42" t="s">
        <v>221</v>
      </c>
      <c r="C19" s="43">
        <f>('Zamfara Workings'!C19+'Katsina Workings'!C19+'Yobe Workings'!C19)/3</f>
        <v>0</v>
      </c>
      <c r="D19" s="81">
        <f>('Zamfara Workings'!D19+'Katsina Workings'!D19+'Yobe Workings'!D19)/3</f>
        <v>2.0555555555555554</v>
      </c>
      <c r="E19" s="81">
        <f>('Zamfara Workings'!E19+'Katsina Workings'!E19+'Yobe Workings'!E19)/3</f>
        <v>4.1111111111111107</v>
      </c>
      <c r="F19" s="81">
        <f>('Zamfara Workings'!F19+'Katsina Workings'!F19+'Yobe Workings'!F19)/3</f>
        <v>6.166666666666667</v>
      </c>
      <c r="G19" s="81">
        <f>('Zamfara Workings'!G19+'Katsina Workings'!G19+'Yobe Workings'!G19)/3</f>
        <v>8.2222222222222214</v>
      </c>
      <c r="H19" s="81">
        <f>('Zamfara Workings'!H19+'Katsina Workings'!H19+'Yobe Workings'!H19)/3</f>
        <v>10.277777777777777</v>
      </c>
      <c r="I19" s="82">
        <f>('Zamfara Workings'!I19+'Katsina Workings'!I19+'Yobe Workings'!I19)/3</f>
        <v>12.333333333333334</v>
      </c>
      <c r="J19" s="81">
        <f>('Zamfara Workings'!J19+'Katsina Workings'!J19+'Yobe Workings'!J19)/3</f>
        <v>12.333333333333334</v>
      </c>
      <c r="K19" s="81">
        <f>('Zamfara Workings'!K19+'Katsina Workings'!K19+'Yobe Workings'!K19)/3</f>
        <v>12.333333333333334</v>
      </c>
      <c r="L19" s="44">
        <f>('Zamfara Workings'!L19+'Katsina Workings'!L19+'Yobe Workings'!L19)/3</f>
        <v>12.333333333333334</v>
      </c>
      <c r="M19" s="44">
        <f>('Zamfara Workings'!M19+'Katsina Workings'!M19+'Yobe Workings'!M19)/3</f>
        <v>12.333333333333334</v>
      </c>
      <c r="N19" s="43">
        <f>('Zamfara Workings'!N19+'Katsina Workings'!N19+'Yobe Workings'!N19)/3</f>
        <v>12.333333333333334</v>
      </c>
      <c r="O19" s="44">
        <f>('Zamfara Workings'!O19+'Katsina Workings'!O19+'Yobe Workings'!O19)/3</f>
        <v>12.666666666666666</v>
      </c>
      <c r="P19" s="44">
        <f>('Zamfara Workings'!P19+'Katsina Workings'!P19+'Yobe Workings'!P19)/3</f>
        <v>13</v>
      </c>
      <c r="Q19" s="44">
        <f>('Zamfara Workings'!Q19+'Katsina Workings'!Q19+'Yobe Workings'!Q19)/3</f>
        <v>13.333333333333334</v>
      </c>
      <c r="R19" s="43">
        <f>('Zamfara Workings'!R19+'Katsina Workings'!R19+'Yobe Workings'!R19)/3</f>
        <v>13.666666666666666</v>
      </c>
      <c r="S19" s="44">
        <f>('Zamfara Workings'!S19+'Katsina Workings'!S19+'Yobe Workings'!S19)/3</f>
        <v>13.833333333333334</v>
      </c>
      <c r="T19" s="44">
        <f>('Zamfara Workings'!T19+'Katsina Workings'!T19+'Yobe Workings'!T19)/3</f>
        <v>14</v>
      </c>
      <c r="U19" s="44">
        <f>('Zamfara Workings'!U19+'Katsina Workings'!U19+'Yobe Workings'!U19)/3</f>
        <v>14.166666666666664</v>
      </c>
      <c r="V19" s="44">
        <f>('Zamfara Workings'!V19+'Katsina Workings'!V19+'Yobe Workings'!V19)/3</f>
        <v>14.33333333333333</v>
      </c>
      <c r="W19" s="44">
        <f>('Zamfara Workings'!W19+'Katsina Workings'!W19+'Yobe Workings'!W19)/3</f>
        <v>14.499999999999998</v>
      </c>
      <c r="X19" s="44">
        <f>('Zamfara Workings'!X19+'Katsina Workings'!X19+'Yobe Workings'!X19)/3</f>
        <v>14.666666666666663</v>
      </c>
      <c r="Y19" s="43">
        <f>('Zamfara Workings'!Y19+'Katsina Workings'!Y19+'Yobe Workings'!Y19)/3</f>
        <v>14.666666666666666</v>
      </c>
      <c r="Z19" s="44">
        <f>('Zamfara Workings'!Z19+'Katsina Workings'!Z19+'Yobe Workings'!Z19)/3</f>
        <v>14.666666666666666</v>
      </c>
      <c r="AA19" s="38">
        <v>15</v>
      </c>
      <c r="AB19" s="457">
        <f>AA19/22</f>
        <v>0.68181818181818177</v>
      </c>
      <c r="AD19" s="450">
        <f>V19</f>
        <v>14.33333333333333</v>
      </c>
      <c r="AF19" s="339">
        <f t="shared" ref="AF19:AG20" si="5">IF($AG$1=16,R19,IF($AG$1=17,S19,IF($AG$1=18,T19,IF($AG$1=19,U19,IF($AG$1=20,V19,IF($AG$1=21,W19,IF($AG$1=22,X19,0)))))))</f>
        <v>14.499999999999998</v>
      </c>
      <c r="AG19" s="339">
        <f t="shared" si="5"/>
        <v>14.666666666666663</v>
      </c>
      <c r="AI19" s="338"/>
    </row>
    <row r="20" spans="1:35" s="340" customFormat="1" ht="15.75" thickBot="1">
      <c r="A20" s="45"/>
      <c r="B20" s="46" t="s">
        <v>220</v>
      </c>
      <c r="C20" s="79">
        <f>('Zamfara Workings'!C20+'Katsina Workings'!C20+'Yobe Workings'!C20)/3</f>
        <v>0</v>
      </c>
      <c r="D20" s="436">
        <f>('Zamfara Workings'!D20+'Katsina Workings'!D20+'Yobe Workings'!D20)/3</f>
        <v>0</v>
      </c>
      <c r="E20" s="437">
        <f>('Zamfara Workings'!E20+'Katsina Workings'!E20+'Yobe Workings'!E20)/3</f>
        <v>0</v>
      </c>
      <c r="F20" s="437">
        <f>('Zamfara Workings'!F20+'Katsina Workings'!F20+'Yobe Workings'!F20)/3</f>
        <v>0</v>
      </c>
      <c r="G20" s="437">
        <f>('Zamfara Workings'!G20+'Katsina Workings'!G20+'Yobe Workings'!G20)/3</f>
        <v>0</v>
      </c>
      <c r="H20" s="437">
        <f>('Zamfara Workings'!H20+'Katsina Workings'!H20+'Yobe Workings'!H20)/3</f>
        <v>0</v>
      </c>
      <c r="I20" s="437">
        <f>('Zamfara Workings'!I20+'Katsina Workings'!I20+'Yobe Workings'!I20)/3</f>
        <v>0</v>
      </c>
      <c r="J20" s="437">
        <f>('Zamfara Workings'!J20+'Katsina Workings'!J20+'Yobe Workings'!J20)/3</f>
        <v>0</v>
      </c>
      <c r="K20" s="437">
        <f>('Zamfara Workings'!K20+'Katsina Workings'!K20+'Yobe Workings'!K20)/3</f>
        <v>0</v>
      </c>
      <c r="L20" s="437">
        <f>('Zamfara Workings'!L20+'Katsina Workings'!L20+'Yobe Workings'!L20)/3</f>
        <v>0</v>
      </c>
      <c r="M20" s="437">
        <f>('Zamfara Workings'!M20+'Katsina Workings'!M20+'Yobe Workings'!M20)/3</f>
        <v>0</v>
      </c>
      <c r="N20" s="439">
        <f>('Zamfara Workings'!N20+'Katsina Workings'!N20+'Yobe Workings'!N20)/3</f>
        <v>12.333333333333334</v>
      </c>
      <c r="O20" s="440">
        <f>('Zamfara Workings'!O20+'Katsina Workings'!O20+'Yobe Workings'!O20)/3</f>
        <v>12.333333333333334</v>
      </c>
      <c r="P20" s="440">
        <f>('Zamfara Workings'!P20+'Katsina Workings'!P20+'Yobe Workings'!P20)/3</f>
        <v>12.5</v>
      </c>
      <c r="Q20" s="440">
        <f>('Zamfara Workings'!Q20+'Katsina Workings'!Q20+'Yobe Workings'!Q20)/3</f>
        <v>13</v>
      </c>
      <c r="R20" s="437">
        <f>('Zamfara Workings'!R20+'Katsina Workings'!R20+'Yobe Workings'!R20)/3</f>
        <v>13.333333333333334</v>
      </c>
      <c r="S20" s="437">
        <f>('Zamfara Workings'!S20+'Katsina Workings'!S20+'Yobe Workings'!S20)/3</f>
        <v>13.333333333333334</v>
      </c>
      <c r="T20" s="437">
        <f>('Zamfara Workings'!T20+'Katsina Workings'!T20+'Yobe Workings'!T20)/3</f>
        <v>14.166666666666666</v>
      </c>
      <c r="U20" s="437">
        <f>('Zamfara Workings'!U20+'Katsina Workings'!U20+'Yobe Workings'!U20)/3</f>
        <v>14.166666666666666</v>
      </c>
      <c r="V20" s="438">
        <f>('Zamfara Workings'!V20+'Katsina Workings'!V20+'Yobe Workings'!V20)/3</f>
        <v>14.333333333333334</v>
      </c>
      <c r="W20" s="80">
        <f>('Zamfara Workings'!W20+'Katsina Workings'!W20+'Yobe Workings'!W20)/3</f>
        <v>14.666666666666666</v>
      </c>
      <c r="X20" s="69">
        <f>('Zamfara Workings'!X20+'Katsina Workings'!X20+'Yobe Workings'!X20)/3</f>
        <v>14.666666666666666</v>
      </c>
      <c r="Y20" s="69">
        <f>('Zamfara Workings'!Y20+'Katsina Workings'!Y20+'Yobe Workings'!Y20)/3</f>
        <v>0</v>
      </c>
      <c r="Z20" s="69">
        <f>('Zamfara Workings'!Z20+'Katsina Workings'!Z20+'Yobe Workings'!Z20)/3</f>
        <v>0</v>
      </c>
      <c r="AA20" s="49"/>
      <c r="AB20" s="421"/>
      <c r="AD20" s="341">
        <f>V20</f>
        <v>14.333333333333334</v>
      </c>
      <c r="AE20" s="335"/>
      <c r="AF20" s="341">
        <f t="shared" si="5"/>
        <v>14.666666666666666</v>
      </c>
      <c r="AG20" s="341">
        <f t="shared" si="5"/>
        <v>14.666666666666666</v>
      </c>
      <c r="AH20" s="342">
        <f>AG20</f>
        <v>14.666666666666666</v>
      </c>
      <c r="AI20" s="342">
        <f>AG20</f>
        <v>14.666666666666666</v>
      </c>
    </row>
    <row r="21" spans="1:35" s="340" customFormat="1">
      <c r="A21" s="45"/>
      <c r="B21" s="46"/>
      <c r="C21" s="48"/>
      <c r="D21" s="422"/>
      <c r="E21" s="422"/>
      <c r="F21" s="422"/>
      <c r="G21" s="83"/>
      <c r="H21" s="83"/>
      <c r="I21" s="83"/>
      <c r="J21" s="83"/>
      <c r="K21" s="83"/>
      <c r="L21" s="48"/>
      <c r="M21" s="48"/>
      <c r="N21" s="48"/>
      <c r="O21" s="48"/>
      <c r="P21" s="48"/>
      <c r="Q21" s="48"/>
      <c r="R21" s="48"/>
      <c r="S21" s="48"/>
      <c r="T21" s="48"/>
      <c r="U21" s="48"/>
      <c r="V21" s="48"/>
      <c r="W21" s="48"/>
      <c r="X21" s="48"/>
      <c r="Y21" s="48"/>
      <c r="Z21" s="48"/>
      <c r="AA21" s="49"/>
      <c r="AB21" s="421"/>
      <c r="AE21" s="335"/>
      <c r="AF21" s="343"/>
      <c r="AG21" s="343"/>
      <c r="AH21" s="335"/>
      <c r="AI21" s="338"/>
    </row>
    <row r="22" spans="1:35" ht="15.75" thickBot="1">
      <c r="A22" s="41" t="s">
        <v>22</v>
      </c>
      <c r="B22" s="42" t="s">
        <v>139</v>
      </c>
      <c r="C22" s="43" t="e">
        <f>('Zamfara Workings'!C22+'Katsina Workings'!C22+'Yobe Workings'!C22)/3</f>
        <v>#VALUE!</v>
      </c>
      <c r="D22" s="81" t="e">
        <f>('Zamfara Workings'!D22+'Katsina Workings'!D22+'Yobe Workings'!D22)/3</f>
        <v>#VALUE!</v>
      </c>
      <c r="E22" s="81" t="e">
        <f>('Zamfara Workings'!E22+'Katsina Workings'!E22+'Yobe Workings'!E22)/3</f>
        <v>#VALUE!</v>
      </c>
      <c r="F22" s="81" t="e">
        <f>('Zamfara Workings'!F22+'Katsina Workings'!F22+'Yobe Workings'!F22)/3</f>
        <v>#VALUE!</v>
      </c>
      <c r="G22" s="81" t="e">
        <f>('Zamfara Workings'!G22+'Katsina Workings'!G22+'Yobe Workings'!G22)/3</f>
        <v>#VALUE!</v>
      </c>
      <c r="H22" s="81" t="e">
        <f>('Zamfara Workings'!H22+'Katsina Workings'!H22+'Yobe Workings'!H22)/3</f>
        <v>#VALUE!</v>
      </c>
      <c r="I22" s="82">
        <f>('Zamfara Workings'!I22+'Katsina Workings'!I22+'Yobe Workings'!I22)/3</f>
        <v>2.1666666666666665</v>
      </c>
      <c r="J22" s="81">
        <f>('Zamfara Workings'!J22+'Katsina Workings'!J22+'Yobe Workings'!J22)/3</f>
        <v>2.1666666666666665</v>
      </c>
      <c r="K22" s="81">
        <f>('Zamfara Workings'!K22+'Katsina Workings'!K22+'Yobe Workings'!K22)/3</f>
        <v>2.1666666666666665</v>
      </c>
      <c r="L22" s="44">
        <f>('Zamfara Workings'!L22+'Katsina Workings'!L22+'Yobe Workings'!L22)/3</f>
        <v>2.1666666666666665</v>
      </c>
      <c r="M22" s="44">
        <f>('Zamfara Workings'!M22+'Katsina Workings'!M22+'Yobe Workings'!M22)/3</f>
        <v>2.1666666666666665</v>
      </c>
      <c r="N22" s="43">
        <f>('Zamfara Workings'!N22+'Katsina Workings'!N22+'Yobe Workings'!N22)/3</f>
        <v>2.1666666666666665</v>
      </c>
      <c r="O22" s="44">
        <f>('Zamfara Workings'!O22+'Katsina Workings'!O22+'Yobe Workings'!O22)/3</f>
        <v>2.2166666666666663</v>
      </c>
      <c r="P22" s="44">
        <f>('Zamfara Workings'!P22+'Katsina Workings'!P22+'Yobe Workings'!P22)/3</f>
        <v>2.2666666666666666</v>
      </c>
      <c r="Q22" s="44">
        <f>('Zamfara Workings'!Q22+'Katsina Workings'!Q22+'Yobe Workings'!Q22)/3</f>
        <v>2.3166666666666664</v>
      </c>
      <c r="R22" s="43">
        <f>('Zamfara Workings'!R22+'Katsina Workings'!R22+'Yobe Workings'!R22)/3</f>
        <v>2.3666666666666667</v>
      </c>
      <c r="S22" s="44">
        <f>('Zamfara Workings'!S22+'Katsina Workings'!S22+'Yobe Workings'!S22)/3</f>
        <v>2.4277777777777776</v>
      </c>
      <c r="T22" s="44">
        <f>('Zamfara Workings'!T22+'Katsina Workings'!T22+'Yobe Workings'!T22)/3</f>
        <v>2.4888888888888889</v>
      </c>
      <c r="U22" s="44">
        <f>('Zamfara Workings'!U22+'Katsina Workings'!U22+'Yobe Workings'!U22)/3</f>
        <v>2.5499999999999998</v>
      </c>
      <c r="V22" s="44">
        <f>('Zamfara Workings'!V22+'Katsina Workings'!V22+'Yobe Workings'!V22)/3</f>
        <v>2.6111111111111107</v>
      </c>
      <c r="W22" s="44">
        <f>('Zamfara Workings'!W22+'Katsina Workings'!W22+'Yobe Workings'!W22)/3</f>
        <v>2.8666666666666658</v>
      </c>
      <c r="X22" s="44">
        <f>('Zamfara Workings'!X22+'Katsina Workings'!X22+'Yobe Workings'!X22)/3</f>
        <v>2.9666666666666663</v>
      </c>
      <c r="Y22" s="43">
        <f>('Zamfara Workings'!Y22+'Katsina Workings'!Y22+'Yobe Workings'!Y22)/3</f>
        <v>2.9666666666666668</v>
      </c>
      <c r="Z22" s="44">
        <f>('Zamfara Workings'!Z22+'Katsina Workings'!Z22+'Yobe Workings'!Z22)/3</f>
        <v>2.9666666666666668</v>
      </c>
      <c r="AA22" s="38">
        <v>5</v>
      </c>
      <c r="AB22" s="420">
        <f>AA22/22</f>
        <v>0.22727272727272727</v>
      </c>
      <c r="AD22" s="450">
        <f>V22</f>
        <v>2.6111111111111107</v>
      </c>
      <c r="AF22" s="339">
        <f t="shared" ref="AF22:AG23" si="6">IF($AG$1=16,R22,IF($AG$1=17,S22,IF($AG$1=18,T22,IF($AG$1=19,U22,IF($AG$1=20,V22,IF($AG$1=21,W22,IF($AG$1=22,X22,0)))))))</f>
        <v>2.8666666666666658</v>
      </c>
      <c r="AG22" s="339">
        <f t="shared" si="6"/>
        <v>2.9666666666666663</v>
      </c>
      <c r="AI22" s="338"/>
    </row>
    <row r="23" spans="1:35" s="340" customFormat="1" ht="15.75" thickBot="1">
      <c r="A23" s="45"/>
      <c r="B23" s="46" t="s">
        <v>140</v>
      </c>
      <c r="C23" s="79" t="e">
        <f>('Zamfara Workings'!C23+'Katsina Workings'!C23+'Yobe Workings'!C23)/3</f>
        <v>#VALUE!</v>
      </c>
      <c r="D23" s="436">
        <f>('Zamfara Workings'!D23+'Katsina Workings'!D23+'Yobe Workings'!D23)/3</f>
        <v>0</v>
      </c>
      <c r="E23" s="437">
        <f>('Zamfara Workings'!E23+'Katsina Workings'!E23+'Yobe Workings'!E23)/3</f>
        <v>0</v>
      </c>
      <c r="F23" s="437">
        <f>('Zamfara Workings'!F23+'Katsina Workings'!F23+'Yobe Workings'!F23)/3</f>
        <v>0</v>
      </c>
      <c r="G23" s="437">
        <f>('Zamfara Workings'!G23+'Katsina Workings'!G23+'Yobe Workings'!G23)/3</f>
        <v>0</v>
      </c>
      <c r="H23" s="437">
        <f>('Zamfara Workings'!H23+'Katsina Workings'!H23+'Yobe Workings'!H23)/3</f>
        <v>0</v>
      </c>
      <c r="I23" s="437">
        <f>('Zamfara Workings'!I23+'Katsina Workings'!I23+'Yobe Workings'!I23)/3</f>
        <v>0</v>
      </c>
      <c r="J23" s="437">
        <f>('Zamfara Workings'!J23+'Katsina Workings'!J23+'Yobe Workings'!J23)/3</f>
        <v>0</v>
      </c>
      <c r="K23" s="437">
        <f>('Zamfara Workings'!K23+'Katsina Workings'!K23+'Yobe Workings'!K23)/3</f>
        <v>0</v>
      </c>
      <c r="L23" s="437">
        <f>('Zamfara Workings'!L23+'Katsina Workings'!L23+'Yobe Workings'!L23)/3</f>
        <v>0</v>
      </c>
      <c r="M23" s="437">
        <f>('Zamfara Workings'!M23+'Katsina Workings'!M23+'Yobe Workings'!M23)/3</f>
        <v>0</v>
      </c>
      <c r="N23" s="439">
        <f>('Zamfara Workings'!N23+'Katsina Workings'!N23+'Yobe Workings'!N23)/3</f>
        <v>2.1666666666666665</v>
      </c>
      <c r="O23" s="440">
        <f>('Zamfara Workings'!O23+'Katsina Workings'!O23+'Yobe Workings'!O23)/3</f>
        <v>2.1666666666666665</v>
      </c>
      <c r="P23" s="440">
        <f>('Zamfara Workings'!P23+'Katsina Workings'!P23+'Yobe Workings'!P23)/3</f>
        <v>2.3333333333333335</v>
      </c>
      <c r="Q23" s="440">
        <f>('Zamfara Workings'!Q23+'Katsina Workings'!Q23+'Yobe Workings'!Q23)/3</f>
        <v>2.6</v>
      </c>
      <c r="R23" s="437">
        <f>('Zamfara Workings'!R23+'Katsina Workings'!R23+'Yobe Workings'!R23)/3</f>
        <v>2.3000000000000003</v>
      </c>
      <c r="S23" s="437">
        <f>('Zamfara Workings'!S23+'Katsina Workings'!S23+'Yobe Workings'!S23)/3</f>
        <v>2.3000000000000003</v>
      </c>
      <c r="T23" s="437">
        <f>('Zamfara Workings'!T23+'Katsina Workings'!T23+'Yobe Workings'!T23)/3</f>
        <v>3</v>
      </c>
      <c r="U23" s="437">
        <f>('Zamfara Workings'!U23+'Katsina Workings'!U23+'Yobe Workings'!U23)/3</f>
        <v>3.0333333333333337</v>
      </c>
      <c r="V23" s="438">
        <f>('Zamfara Workings'!V23+'Katsina Workings'!V23+'Yobe Workings'!V23)/3</f>
        <v>3.5</v>
      </c>
      <c r="W23" s="80">
        <f>('Zamfara Workings'!W23+'Katsina Workings'!W23+'Yobe Workings'!W23)/3</f>
        <v>3.5</v>
      </c>
      <c r="X23" s="69">
        <f>('Zamfara Workings'!X23+'Katsina Workings'!X23+'Yobe Workings'!X23)/3</f>
        <v>3.1333333333333333</v>
      </c>
      <c r="Y23" s="69">
        <f>('Zamfara Workings'!Y23+'Katsina Workings'!Y23+'Yobe Workings'!Y23)/3</f>
        <v>0</v>
      </c>
      <c r="Z23" s="69">
        <f>('Zamfara Workings'!Z23+'Katsina Workings'!Z23+'Yobe Workings'!Z23)/3</f>
        <v>0</v>
      </c>
      <c r="AA23" s="49"/>
      <c r="AB23" s="421"/>
      <c r="AD23" s="341">
        <f>V23</f>
        <v>3.5</v>
      </c>
      <c r="AE23" s="335"/>
      <c r="AF23" s="341">
        <f t="shared" si="6"/>
        <v>3.5</v>
      </c>
      <c r="AG23" s="341">
        <f t="shared" si="6"/>
        <v>3.1333333333333333</v>
      </c>
      <c r="AH23" s="342">
        <f>AG23</f>
        <v>3.1333333333333333</v>
      </c>
      <c r="AI23" s="342">
        <f>AG23</f>
        <v>3.1333333333333333</v>
      </c>
    </row>
    <row r="24" spans="1:35" s="340" customFormat="1">
      <c r="A24" s="45"/>
      <c r="B24" s="46"/>
      <c r="C24" s="48"/>
      <c r="D24" s="422"/>
      <c r="E24" s="422"/>
      <c r="F24" s="422"/>
      <c r="G24" s="83"/>
      <c r="H24" s="83"/>
      <c r="I24" s="83"/>
      <c r="J24" s="83"/>
      <c r="K24" s="83"/>
      <c r="L24" s="48"/>
      <c r="M24" s="48"/>
      <c r="N24" s="48"/>
      <c r="O24" s="48"/>
      <c r="P24" s="48"/>
      <c r="Q24" s="48"/>
      <c r="R24" s="48"/>
      <c r="S24" s="48"/>
      <c r="T24" s="48"/>
      <c r="U24" s="48"/>
      <c r="V24" s="48"/>
      <c r="W24" s="48"/>
      <c r="X24" s="48"/>
      <c r="Y24" s="48"/>
      <c r="Z24" s="48"/>
      <c r="AA24" s="49"/>
      <c r="AB24" s="421"/>
      <c r="AE24" s="335"/>
      <c r="AF24" s="343"/>
      <c r="AG24" s="343"/>
      <c r="AH24" s="335"/>
      <c r="AI24" s="338"/>
    </row>
    <row r="25" spans="1:35" ht="15.75" thickBot="1">
      <c r="A25" s="41" t="s">
        <v>23</v>
      </c>
      <c r="B25" s="42" t="s">
        <v>139</v>
      </c>
      <c r="C25" s="43" t="e">
        <f>('Zamfara Workings'!C25+'Katsina Workings'!C25+'Yobe Workings'!C25)/3</f>
        <v>#VALUE!</v>
      </c>
      <c r="D25" s="81" t="e">
        <f>('Zamfara Workings'!D25+'Katsina Workings'!D25+'Yobe Workings'!D25)/3</f>
        <v>#VALUE!</v>
      </c>
      <c r="E25" s="81" t="e">
        <f>('Zamfara Workings'!E25+'Katsina Workings'!E25+'Yobe Workings'!E25)/3</f>
        <v>#VALUE!</v>
      </c>
      <c r="F25" s="81" t="e">
        <f>('Zamfara Workings'!F25+'Katsina Workings'!F25+'Yobe Workings'!F25)/3</f>
        <v>#VALUE!</v>
      </c>
      <c r="G25" s="81" t="e">
        <f>('Zamfara Workings'!G25+'Katsina Workings'!G25+'Yobe Workings'!G25)/3</f>
        <v>#VALUE!</v>
      </c>
      <c r="H25" s="81" t="e">
        <f>('Zamfara Workings'!H25+'Katsina Workings'!H25+'Yobe Workings'!H25)/3</f>
        <v>#VALUE!</v>
      </c>
      <c r="I25" s="82">
        <f>('Zamfara Workings'!I25+'Katsina Workings'!I25+'Yobe Workings'!I25)/3</f>
        <v>1.5999999999999999</v>
      </c>
      <c r="J25" s="81">
        <f>('Zamfara Workings'!J25+'Katsina Workings'!J25+'Yobe Workings'!J25)/3</f>
        <v>1.5999999999999999</v>
      </c>
      <c r="K25" s="81">
        <f>('Zamfara Workings'!K25+'Katsina Workings'!K25+'Yobe Workings'!K25)/3</f>
        <v>1.5999999999999999</v>
      </c>
      <c r="L25" s="44">
        <f>('Zamfara Workings'!L25+'Katsina Workings'!L25+'Yobe Workings'!L25)/3</f>
        <v>1.5999999999999999</v>
      </c>
      <c r="M25" s="44">
        <f>('Zamfara Workings'!M25+'Katsina Workings'!M25+'Yobe Workings'!M25)/3</f>
        <v>1.5999999999999999</v>
      </c>
      <c r="N25" s="43">
        <f>('Zamfara Workings'!N25+'Katsina Workings'!N25+'Yobe Workings'!N25)/3</f>
        <v>1.5999999999999999</v>
      </c>
      <c r="O25" s="44">
        <f>('Zamfara Workings'!O25+'Katsina Workings'!O25+'Yobe Workings'!O25)/3</f>
        <v>1.675</v>
      </c>
      <c r="P25" s="44">
        <f>('Zamfara Workings'!P25+'Katsina Workings'!P25+'Yobe Workings'!P25)/3</f>
        <v>1.75</v>
      </c>
      <c r="Q25" s="44">
        <f>('Zamfara Workings'!Q25+'Katsina Workings'!Q25+'Yobe Workings'!Q25)/3</f>
        <v>1.825</v>
      </c>
      <c r="R25" s="43">
        <f>('Zamfara Workings'!R25+'Katsina Workings'!R25+'Yobe Workings'!R25)/3</f>
        <v>1.9000000000000001</v>
      </c>
      <c r="S25" s="44">
        <f>('Zamfara Workings'!S25+'Katsina Workings'!S25+'Yobe Workings'!S25)/3</f>
        <v>1.9888888888888889</v>
      </c>
      <c r="T25" s="44">
        <f>('Zamfara Workings'!T25+'Katsina Workings'!T25+'Yobe Workings'!T25)/3</f>
        <v>2.0777777777777779</v>
      </c>
      <c r="U25" s="44">
        <f>('Zamfara Workings'!U25+'Katsina Workings'!U25+'Yobe Workings'!U25)/3</f>
        <v>2.1666666666666665</v>
      </c>
      <c r="V25" s="44">
        <f>('Zamfara Workings'!V25+'Katsina Workings'!V25+'Yobe Workings'!V25)/3</f>
        <v>2.2555555555555555</v>
      </c>
      <c r="W25" s="44">
        <f>('Zamfara Workings'!W25+'Katsina Workings'!W25+'Yobe Workings'!W25)/3</f>
        <v>2.7611111111111111</v>
      </c>
      <c r="X25" s="44">
        <f>('Zamfara Workings'!X25+'Katsina Workings'!X25+'Yobe Workings'!X25)/3</f>
        <v>2.9333333333333336</v>
      </c>
      <c r="Y25" s="43">
        <f>('Zamfara Workings'!Y25+'Katsina Workings'!Y25+'Yobe Workings'!Y25)/3</f>
        <v>2.9333333333333336</v>
      </c>
      <c r="Z25" s="44">
        <f>('Zamfara Workings'!Z25+'Katsina Workings'!Z25+'Yobe Workings'!Z25)/3</f>
        <v>2.9333333333333336</v>
      </c>
      <c r="AA25" s="38">
        <v>5</v>
      </c>
      <c r="AB25" s="420">
        <f>AA25/22</f>
        <v>0.22727272727272727</v>
      </c>
      <c r="AD25" s="450">
        <f>V25</f>
        <v>2.2555555555555555</v>
      </c>
      <c r="AF25" s="339">
        <f t="shared" ref="AF25:AG26" si="7">IF($AG$1=16,R25,IF($AG$1=17,S25,IF($AG$1=18,T25,IF($AG$1=19,U25,IF($AG$1=20,V25,IF($AG$1=21,W25,IF($AG$1=22,X25,0)))))))</f>
        <v>2.7611111111111111</v>
      </c>
      <c r="AG25" s="339">
        <f t="shared" si="7"/>
        <v>2.9333333333333336</v>
      </c>
      <c r="AI25" s="338"/>
    </row>
    <row r="26" spans="1:35" s="340" customFormat="1" ht="15.75" thickBot="1">
      <c r="A26" s="45"/>
      <c r="B26" s="46" t="s">
        <v>140</v>
      </c>
      <c r="C26" s="79" t="e">
        <f>('Zamfara Workings'!C26+'Katsina Workings'!C26+'Yobe Workings'!C26)/3</f>
        <v>#VALUE!</v>
      </c>
      <c r="D26" s="436">
        <f>('Zamfara Workings'!D26+'Katsina Workings'!D26+'Yobe Workings'!D26)/3</f>
        <v>0</v>
      </c>
      <c r="E26" s="437">
        <f>('Zamfara Workings'!E26+'Katsina Workings'!E26+'Yobe Workings'!E26)/3</f>
        <v>0</v>
      </c>
      <c r="F26" s="437">
        <f>('Zamfara Workings'!F26+'Katsina Workings'!F26+'Yobe Workings'!F26)/3</f>
        <v>0</v>
      </c>
      <c r="G26" s="437">
        <f>('Zamfara Workings'!G26+'Katsina Workings'!G26+'Yobe Workings'!G26)/3</f>
        <v>0</v>
      </c>
      <c r="H26" s="437">
        <f>('Zamfara Workings'!H26+'Katsina Workings'!H26+'Yobe Workings'!H26)/3</f>
        <v>0</v>
      </c>
      <c r="I26" s="437">
        <f>('Zamfara Workings'!I26+'Katsina Workings'!I26+'Yobe Workings'!I26)/3</f>
        <v>0</v>
      </c>
      <c r="J26" s="437">
        <f>('Zamfara Workings'!J26+'Katsina Workings'!J26+'Yobe Workings'!J26)/3</f>
        <v>0</v>
      </c>
      <c r="K26" s="437">
        <f>('Zamfara Workings'!K26+'Katsina Workings'!K26+'Yobe Workings'!K26)/3</f>
        <v>0</v>
      </c>
      <c r="L26" s="437">
        <f>('Zamfara Workings'!L26+'Katsina Workings'!L26+'Yobe Workings'!L26)/3</f>
        <v>0</v>
      </c>
      <c r="M26" s="437">
        <f>('Zamfara Workings'!M26+'Katsina Workings'!M26+'Yobe Workings'!M26)/3</f>
        <v>0</v>
      </c>
      <c r="N26" s="439">
        <f>('Zamfara Workings'!N26+'Katsina Workings'!N26+'Yobe Workings'!N26)/3</f>
        <v>1.5999999999999999</v>
      </c>
      <c r="O26" s="440">
        <f>('Zamfara Workings'!O26+'Katsina Workings'!O26+'Yobe Workings'!O26)/3</f>
        <v>1.5999999999999999</v>
      </c>
      <c r="P26" s="440">
        <f>('Zamfara Workings'!P26+'Katsina Workings'!P26+'Yobe Workings'!P26)/3</f>
        <v>1.6333333333333335</v>
      </c>
      <c r="Q26" s="440">
        <f>('Zamfara Workings'!Q26+'Katsina Workings'!Q26+'Yobe Workings'!Q26)/3</f>
        <v>2.1</v>
      </c>
      <c r="R26" s="437">
        <f>('Zamfara Workings'!R26+'Katsina Workings'!R26+'Yobe Workings'!R26)/3</f>
        <v>2.2000000000000002</v>
      </c>
      <c r="S26" s="437">
        <f>('Zamfara Workings'!S26+'Katsina Workings'!S26+'Yobe Workings'!S26)/3</f>
        <v>2.2000000000000002</v>
      </c>
      <c r="T26" s="437">
        <f>('Zamfara Workings'!T26+'Katsina Workings'!T26+'Yobe Workings'!T26)/3</f>
        <v>2.8333333333333335</v>
      </c>
      <c r="U26" s="437">
        <f>('Zamfara Workings'!U26+'Katsina Workings'!U26+'Yobe Workings'!U26)/3</f>
        <v>2.8333333333333335</v>
      </c>
      <c r="V26" s="438">
        <f>('Zamfara Workings'!V26+'Katsina Workings'!V26+'Yobe Workings'!V26)/3</f>
        <v>3.1666666666666665</v>
      </c>
      <c r="W26" s="80">
        <f>('Zamfara Workings'!W26+'Katsina Workings'!W26+'Yobe Workings'!W26)/3</f>
        <v>3.1666666666666665</v>
      </c>
      <c r="X26" s="69">
        <f>('Zamfara Workings'!X26+'Katsina Workings'!X26+'Yobe Workings'!X26)/3</f>
        <v>3.1</v>
      </c>
      <c r="Y26" s="69">
        <f>('Zamfara Workings'!Y26+'Katsina Workings'!Y26+'Yobe Workings'!Y26)/3</f>
        <v>0</v>
      </c>
      <c r="Z26" s="69">
        <f>('Zamfara Workings'!Z26+'Katsina Workings'!Z26+'Yobe Workings'!Z26)/3</f>
        <v>0</v>
      </c>
      <c r="AA26" s="49"/>
      <c r="AB26" s="421"/>
      <c r="AD26" s="341">
        <f>V26</f>
        <v>3.1666666666666665</v>
      </c>
      <c r="AE26" s="335"/>
      <c r="AF26" s="341">
        <f t="shared" si="7"/>
        <v>3.1666666666666665</v>
      </c>
      <c r="AG26" s="341">
        <f t="shared" si="7"/>
        <v>3.1</v>
      </c>
      <c r="AH26" s="342">
        <f>AG26</f>
        <v>3.1</v>
      </c>
      <c r="AI26" s="342">
        <f>AG26</f>
        <v>3.1</v>
      </c>
    </row>
    <row r="27" spans="1:35" s="340" customFormat="1">
      <c r="A27" s="45"/>
      <c r="B27" s="46"/>
      <c r="C27" s="48"/>
      <c r="D27" s="422"/>
      <c r="E27" s="422"/>
      <c r="F27" s="422"/>
      <c r="G27" s="83"/>
      <c r="H27" s="83"/>
      <c r="I27" s="83"/>
      <c r="J27" s="83"/>
      <c r="K27" s="83"/>
      <c r="L27" s="48"/>
      <c r="M27" s="48"/>
      <c r="N27" s="48"/>
      <c r="O27" s="48"/>
      <c r="P27" s="48"/>
      <c r="Q27" s="48"/>
      <c r="R27" s="48"/>
      <c r="S27" s="48"/>
      <c r="T27" s="48"/>
      <c r="U27" s="48"/>
      <c r="V27" s="48"/>
      <c r="W27" s="48"/>
      <c r="X27" s="48"/>
      <c r="Y27" s="48"/>
      <c r="Z27" s="48"/>
      <c r="AA27" s="49"/>
      <c r="AB27" s="421"/>
      <c r="AE27" s="335"/>
      <c r="AH27" s="335"/>
      <c r="AI27" s="338"/>
    </row>
    <row r="28" spans="1:35" ht="15.75" thickBot="1">
      <c r="A28" s="41" t="s">
        <v>38</v>
      </c>
      <c r="B28" s="42" t="s">
        <v>139</v>
      </c>
      <c r="C28" s="47"/>
      <c r="D28" s="47"/>
      <c r="E28" s="47"/>
      <c r="F28" s="47"/>
      <c r="G28" s="47"/>
      <c r="H28" s="47"/>
      <c r="I28" s="47"/>
      <c r="J28" s="47"/>
      <c r="K28" s="47"/>
      <c r="L28" s="47"/>
      <c r="M28" s="47"/>
      <c r="N28" s="43">
        <f>('Zamfara Workings'!N28+'Katsina Workings'!N28+'Yobe Workings'!N28)/3</f>
        <v>2.6</v>
      </c>
      <c r="O28" s="44">
        <f>('Zamfara Workings'!O28+'Katsina Workings'!O28+'Yobe Workings'!O28)/3</f>
        <v>2.6750000000000003</v>
      </c>
      <c r="P28" s="44">
        <f>('Zamfara Workings'!P28+'Katsina Workings'!P28+'Yobe Workings'!P28)/3</f>
        <v>2.75</v>
      </c>
      <c r="Q28" s="44">
        <f>('Zamfara Workings'!Q28+'Katsina Workings'!Q28+'Yobe Workings'!Q28)/3</f>
        <v>2.8250000000000006</v>
      </c>
      <c r="R28" s="43">
        <f>('Zamfara Workings'!R28+'Katsina Workings'!R28+'Yobe Workings'!R28)/3</f>
        <v>2.9</v>
      </c>
      <c r="S28" s="44">
        <f>('Zamfara Workings'!S28+'Katsina Workings'!S28+'Yobe Workings'!S28)/3</f>
        <v>2.9722222222222228</v>
      </c>
      <c r="T28" s="44">
        <f>('Zamfara Workings'!T28+'Katsina Workings'!T28+'Yobe Workings'!T28)/3</f>
        <v>3.0444444444444443</v>
      </c>
      <c r="U28" s="44">
        <f>('Zamfara Workings'!U28+'Katsina Workings'!U28+'Yobe Workings'!U28)/3</f>
        <v>3.1166666666666671</v>
      </c>
      <c r="V28" s="44">
        <f>('Zamfara Workings'!V28+'Katsina Workings'!V28+'Yobe Workings'!V28)/3</f>
        <v>3.1888888888888887</v>
      </c>
      <c r="W28" s="44">
        <f>('Zamfara Workings'!W28+'Katsina Workings'!W28+'Yobe Workings'!W28)/3</f>
        <v>3.4</v>
      </c>
      <c r="X28" s="44">
        <f>('Zamfara Workings'!X28+'Katsina Workings'!X28+'Yobe Workings'!X28)/3</f>
        <v>3.5</v>
      </c>
      <c r="Y28" s="43">
        <f>('Zamfara Workings'!Y28+'Katsina Workings'!Y28+'Yobe Workings'!Y28)/3</f>
        <v>3.5</v>
      </c>
      <c r="Z28" s="44">
        <f>('Zamfara Workings'!Z28+'Katsina Workings'!Z28+'Yobe Workings'!Z28)/3</f>
        <v>3.5</v>
      </c>
      <c r="AA28" s="38">
        <v>5</v>
      </c>
      <c r="AB28" s="420">
        <f>AA28/22</f>
        <v>0.22727272727272727</v>
      </c>
      <c r="AD28" s="450">
        <f>V28</f>
        <v>3.1888888888888887</v>
      </c>
      <c r="AF28" s="339">
        <f t="shared" ref="AF28:AG29" si="8">IF($AG$1=16,R28,IF($AG$1=17,S28,IF($AG$1=18,T28,IF($AG$1=19,U28,IF($AG$1=20,V28,IF($AG$1=21,W28,IF($AG$1=22,X28,0)))))))</f>
        <v>3.4</v>
      </c>
      <c r="AG28" s="339">
        <f t="shared" si="8"/>
        <v>3.5</v>
      </c>
      <c r="AI28" s="338"/>
    </row>
    <row r="29" spans="1:35" s="340" customFormat="1" ht="15.75" thickBot="1">
      <c r="A29" s="45"/>
      <c r="B29" s="46" t="s">
        <v>140</v>
      </c>
      <c r="C29" s="47"/>
      <c r="D29" s="47"/>
      <c r="E29" s="47"/>
      <c r="F29" s="47"/>
      <c r="G29" s="47"/>
      <c r="H29" s="47"/>
      <c r="I29" s="47"/>
      <c r="J29" s="47"/>
      <c r="K29" s="47"/>
      <c r="L29" s="47"/>
      <c r="M29" s="47"/>
      <c r="N29" s="47">
        <f>('Zamfara Workings'!N29+'Katsina Workings'!N29+'Yobe Workings'!N29)/3</f>
        <v>2.6</v>
      </c>
      <c r="O29" s="436">
        <f>('Zamfara Workings'!O29+'Katsina Workings'!O29+'Yobe Workings'!O29)/3</f>
        <v>2.6</v>
      </c>
      <c r="P29" s="440">
        <f>('Zamfara Workings'!P29+'Katsina Workings'!P29+'Yobe Workings'!P29)/3</f>
        <v>2.7333333333333329</v>
      </c>
      <c r="Q29" s="440">
        <f>('Zamfara Workings'!Q29+'Katsina Workings'!Q29+'Yobe Workings'!Q29)/3</f>
        <v>2.7666666666666671</v>
      </c>
      <c r="R29" s="437">
        <f>('Zamfara Workings'!R29+'Katsina Workings'!R29+'Yobe Workings'!R29)/3</f>
        <v>2.7666666666666671</v>
      </c>
      <c r="S29" s="437">
        <f>('Zamfara Workings'!S29+'Katsina Workings'!S29+'Yobe Workings'!S29)/3</f>
        <v>2.7666666666666671</v>
      </c>
      <c r="T29" s="437">
        <f>('Zamfara Workings'!T29+'Katsina Workings'!T29+'Yobe Workings'!T29)/3</f>
        <v>3.2333333333333329</v>
      </c>
      <c r="U29" s="437">
        <f>('Zamfara Workings'!U29+'Katsina Workings'!U29+'Yobe Workings'!U29)/3</f>
        <v>3.2333333333333329</v>
      </c>
      <c r="V29" s="438">
        <f>('Zamfara Workings'!V29+'Katsina Workings'!V29+'Yobe Workings'!V29)/3</f>
        <v>3.3666666666666671</v>
      </c>
      <c r="W29" s="80">
        <f>('Zamfara Workings'!W29+'Katsina Workings'!W29+'Yobe Workings'!W29)/3</f>
        <v>3.3666666666666671</v>
      </c>
      <c r="X29" s="69">
        <f>('Zamfara Workings'!X29+'Katsina Workings'!X29+'Yobe Workings'!X29)/3</f>
        <v>3.5666666666666664</v>
      </c>
      <c r="Y29" s="69">
        <f>('Zamfara Workings'!Y29+'Katsina Workings'!Y29+'Yobe Workings'!Y29)/3</f>
        <v>0</v>
      </c>
      <c r="Z29" s="69">
        <f>('Zamfara Workings'!Z29+'Katsina Workings'!Z29+'Yobe Workings'!Z29)/3</f>
        <v>0</v>
      </c>
      <c r="AA29" s="49"/>
      <c r="AB29" s="421"/>
      <c r="AD29" s="341">
        <f>V29</f>
        <v>3.3666666666666671</v>
      </c>
      <c r="AE29" s="335"/>
      <c r="AF29" s="341">
        <f t="shared" si="8"/>
        <v>3.3666666666666671</v>
      </c>
      <c r="AG29" s="341">
        <f t="shared" si="8"/>
        <v>3.5666666666666664</v>
      </c>
      <c r="AH29" s="342">
        <f>AG29</f>
        <v>3.5666666666666664</v>
      </c>
      <c r="AI29" s="342">
        <f>AG29</f>
        <v>3.5666666666666664</v>
      </c>
    </row>
    <row r="30" spans="1:35" s="340" customFormat="1">
      <c r="A30" s="45"/>
      <c r="B30" s="46"/>
      <c r="C30" s="48"/>
      <c r="D30" s="48"/>
      <c r="E30" s="48"/>
      <c r="F30" s="48"/>
      <c r="G30" s="48"/>
      <c r="H30" s="48"/>
      <c r="I30" s="48"/>
      <c r="J30" s="48"/>
      <c r="K30" s="48"/>
      <c r="L30" s="48"/>
      <c r="M30" s="48"/>
      <c r="N30" s="48"/>
      <c r="O30" s="48"/>
      <c r="P30" s="48"/>
      <c r="Q30" s="48"/>
      <c r="R30" s="48"/>
      <c r="S30" s="48"/>
      <c r="T30" s="48"/>
      <c r="U30" s="48"/>
      <c r="V30" s="48"/>
      <c r="W30" s="48"/>
      <c r="X30" s="48"/>
      <c r="Y30" s="48"/>
      <c r="Z30" s="48"/>
      <c r="AA30" s="49"/>
      <c r="AB30" s="421"/>
      <c r="AE30" s="335"/>
      <c r="AF30" s="343"/>
      <c r="AG30" s="343"/>
      <c r="AH30" s="335"/>
      <c r="AI30" s="338"/>
    </row>
    <row r="31" spans="1:35" ht="15.75" thickBot="1">
      <c r="A31" s="41" t="s">
        <v>39</v>
      </c>
      <c r="B31" s="42" t="s">
        <v>139</v>
      </c>
      <c r="C31" s="43">
        <f>('Zamfara Workings'!C31+'Katsina Workings'!C31+'Yobe Workings'!C31)</f>
        <v>0</v>
      </c>
      <c r="D31" s="73">
        <f>('Zamfara Workings'!D31+'Katsina Workings'!D31+'Yobe Workings'!D31)</f>
        <v>0</v>
      </c>
      <c r="E31" s="73">
        <f>('Zamfara Workings'!E31+'Katsina Workings'!E31+'Yobe Workings'!E31)</f>
        <v>0</v>
      </c>
      <c r="F31" s="73">
        <f>('Zamfara Workings'!F31+'Katsina Workings'!F31+'Yobe Workings'!F31)</f>
        <v>0</v>
      </c>
      <c r="G31" s="73">
        <f>('Zamfara Workings'!G31+'Katsina Workings'!G31+'Yobe Workings'!G31)</f>
        <v>0</v>
      </c>
      <c r="H31" s="73">
        <f>('Zamfara Workings'!H31+'Katsina Workings'!H31+'Yobe Workings'!H31)</f>
        <v>0</v>
      </c>
      <c r="I31" s="74">
        <f>('Zamfara Workings'!I31+'Katsina Workings'!I31+'Yobe Workings'!I31)</f>
        <v>0</v>
      </c>
      <c r="J31" s="73">
        <f>('Zamfara Workings'!J31+'Katsina Workings'!J31+'Yobe Workings'!J31)</f>
        <v>0</v>
      </c>
      <c r="K31" s="73">
        <f>('Zamfara Workings'!K31+'Katsina Workings'!K31+'Yobe Workings'!K31)</f>
        <v>0</v>
      </c>
      <c r="L31" s="51">
        <f>('Zamfara Workings'!L31+'Katsina Workings'!L31+'Yobe Workings'!L31)</f>
        <v>0</v>
      </c>
      <c r="M31" s="51">
        <f>('Zamfara Workings'!M31+'Katsina Workings'!M31+'Yobe Workings'!M31)</f>
        <v>0</v>
      </c>
      <c r="N31" s="50">
        <f>('Zamfara Workings'!N31+'Katsina Workings'!N31+'Yobe Workings'!N31)</f>
        <v>0</v>
      </c>
      <c r="O31" s="51">
        <f>('Zamfara Workings'!O31+'Katsina Workings'!O31+'Yobe Workings'!O31)</f>
        <v>1.25</v>
      </c>
      <c r="P31" s="51">
        <f>('Zamfara Workings'!P31+'Katsina Workings'!P31+'Yobe Workings'!P31)</f>
        <v>2.5</v>
      </c>
      <c r="Q31" s="51">
        <f>('Zamfara Workings'!Q31+'Katsina Workings'!Q31+'Yobe Workings'!Q31)</f>
        <v>3.75</v>
      </c>
      <c r="R31" s="50">
        <f>('Zamfara Workings'!R31+'Katsina Workings'!R31+'Yobe Workings'!R31)</f>
        <v>5</v>
      </c>
      <c r="S31" s="51">
        <f>('Zamfara Workings'!S31+'Katsina Workings'!S31+'Yobe Workings'!S31)</f>
        <v>6.166666666666667</v>
      </c>
      <c r="T31" s="51">
        <f>('Zamfara Workings'!T31+'Katsina Workings'!T31+'Yobe Workings'!T31)</f>
        <v>7.3333333333333339</v>
      </c>
      <c r="U31" s="51">
        <f>('Zamfara Workings'!U31+'Katsina Workings'!U31+'Yobe Workings'!U31)</f>
        <v>8.5</v>
      </c>
      <c r="V31" s="51">
        <f>('Zamfara Workings'!V31+'Katsina Workings'!V31+'Yobe Workings'!V31)</f>
        <v>9.6666666666666679</v>
      </c>
      <c r="W31" s="51">
        <f>('Zamfara Workings'!W31+'Katsina Workings'!W31+'Yobe Workings'!W31)</f>
        <v>16.666666666666664</v>
      </c>
      <c r="X31" s="51">
        <f>('Zamfara Workings'!X31+'Katsina Workings'!X31+'Yobe Workings'!X31)</f>
        <v>19</v>
      </c>
      <c r="Y31" s="50">
        <f>('Zamfara Workings'!Y31+'Katsina Workings'!Y31+'Yobe Workings'!Y31)</f>
        <v>19</v>
      </c>
      <c r="Z31" s="51">
        <f>('Zamfara Workings'!Z31+'Katsina Workings'!Z31+'Yobe Workings'!Z31)</f>
        <v>19</v>
      </c>
      <c r="AA31" s="38">
        <f>'Yobe Workings'!AA31*3</f>
        <v>60</v>
      </c>
      <c r="AB31" s="457">
        <f>AA31/22</f>
        <v>2.7272727272727271</v>
      </c>
      <c r="AC31" s="340"/>
      <c r="AD31" s="451">
        <f>V31</f>
        <v>9.6666666666666679</v>
      </c>
      <c r="AE31" s="346"/>
      <c r="AF31" s="453">
        <f t="shared" ref="AF31:AG32" si="9">IF($AG$1=16,R31,IF($AG$1=17,S31,IF($AG$1=18,T31,IF($AG$1=19,U31,IF($AG$1=20,V31,IF($AG$1=21,W31,IF($AG$1=22,X31,0)))))))</f>
        <v>16.666666666666664</v>
      </c>
      <c r="AG31" s="453">
        <f t="shared" si="9"/>
        <v>19</v>
      </c>
      <c r="AI31" s="338"/>
    </row>
    <row r="32" spans="1:35" s="340" customFormat="1" ht="15.75" thickBot="1">
      <c r="A32" s="45"/>
      <c r="B32" s="46" t="s">
        <v>140</v>
      </c>
      <c r="C32" s="79">
        <f>('Zamfara Workings'!C32+'Katsina Workings'!C32+'Yobe Workings'!C32)</f>
        <v>0</v>
      </c>
      <c r="D32" s="441">
        <f>('Zamfara Workings'!D32+'Katsina Workings'!D32+'Yobe Workings'!D32)</f>
        <v>0</v>
      </c>
      <c r="E32" s="442">
        <f>('Zamfara Workings'!E32+'Katsina Workings'!E32+'Yobe Workings'!E32)</f>
        <v>0</v>
      </c>
      <c r="F32" s="442">
        <f>('Zamfara Workings'!F32+'Katsina Workings'!F32+'Yobe Workings'!F32)</f>
        <v>0</v>
      </c>
      <c r="G32" s="442">
        <f>('Zamfara Workings'!G32+'Katsina Workings'!G32+'Yobe Workings'!G32)</f>
        <v>0</v>
      </c>
      <c r="H32" s="442">
        <f>('Zamfara Workings'!H32+'Katsina Workings'!H32+'Yobe Workings'!H32)</f>
        <v>0</v>
      </c>
      <c r="I32" s="442">
        <f>('Zamfara Workings'!I32+'Katsina Workings'!I32+'Yobe Workings'!I32)</f>
        <v>0</v>
      </c>
      <c r="J32" s="442">
        <f>('Zamfara Workings'!J32+'Katsina Workings'!J32+'Yobe Workings'!J32)</f>
        <v>0</v>
      </c>
      <c r="K32" s="442">
        <f>('Zamfara Workings'!K32+'Katsina Workings'!K32+'Yobe Workings'!K32)</f>
        <v>0</v>
      </c>
      <c r="L32" s="442">
        <f>('Zamfara Workings'!L32+'Katsina Workings'!L32+'Yobe Workings'!L32)</f>
        <v>0</v>
      </c>
      <c r="M32" s="442">
        <f>('Zamfara Workings'!M32+'Katsina Workings'!M32+'Yobe Workings'!M32)</f>
        <v>0</v>
      </c>
      <c r="N32" s="443">
        <f>('Zamfara Workings'!N32+'Katsina Workings'!N32+'Yobe Workings'!N32)</f>
        <v>0</v>
      </c>
      <c r="O32" s="444">
        <f>('Zamfara Workings'!O32+'Katsina Workings'!O32+'Yobe Workings'!O32)</f>
        <v>1</v>
      </c>
      <c r="P32" s="444">
        <f>('Zamfara Workings'!P32+'Katsina Workings'!P32+'Yobe Workings'!P32)</f>
        <v>6</v>
      </c>
      <c r="Q32" s="444">
        <f>('Zamfara Workings'!Q32+'Katsina Workings'!Q32+'Yobe Workings'!Q32)</f>
        <v>7</v>
      </c>
      <c r="R32" s="442">
        <f>('Zamfara Workings'!R32+'Katsina Workings'!R32+'Yobe Workings'!R32)</f>
        <v>15</v>
      </c>
      <c r="S32" s="442">
        <f>('Zamfara Workings'!S32+'Katsina Workings'!S32+'Yobe Workings'!S32)</f>
        <v>21</v>
      </c>
      <c r="T32" s="442">
        <f>('Zamfara Workings'!T32+'Katsina Workings'!T32+'Yobe Workings'!T32)</f>
        <v>31</v>
      </c>
      <c r="U32" s="442">
        <f>('Zamfara Workings'!U32+'Katsina Workings'!U32+'Yobe Workings'!U32)</f>
        <v>34</v>
      </c>
      <c r="V32" s="445">
        <f>('Zamfara Workings'!V32+'Katsina Workings'!V32+'Yobe Workings'!V32)</f>
        <v>18</v>
      </c>
      <c r="W32" s="72">
        <f>('Zamfara Workings'!W32+'Katsina Workings'!W32+'Yobe Workings'!W32)</f>
        <v>18</v>
      </c>
      <c r="X32" s="70">
        <f>('Zamfara Workings'!X32+'Katsina Workings'!X32+'Yobe Workings'!X32)</f>
        <v>18</v>
      </c>
      <c r="Y32" s="70">
        <f>('Zamfara Workings'!Y32+'Katsina Workings'!Y32+'Yobe Workings'!Y32)</f>
        <v>0</v>
      </c>
      <c r="Z32" s="70">
        <f>('Zamfara Workings'!Z32+'Katsina Workings'!Z32+'Yobe Workings'!Z32)</f>
        <v>0</v>
      </c>
      <c r="AA32" s="49"/>
      <c r="AB32" s="421"/>
      <c r="AD32" s="452">
        <f>V32</f>
        <v>18</v>
      </c>
      <c r="AE32" s="346"/>
      <c r="AF32" s="452">
        <f t="shared" si="9"/>
        <v>18</v>
      </c>
      <c r="AG32" s="452">
        <f t="shared" si="9"/>
        <v>18</v>
      </c>
      <c r="AH32" s="342">
        <f>AG32</f>
        <v>18</v>
      </c>
      <c r="AI32" s="342">
        <f>AG32</f>
        <v>18</v>
      </c>
    </row>
    <row r="33" spans="1:35" s="340" customFormat="1">
      <c r="A33" s="45"/>
      <c r="B33" s="46"/>
      <c r="C33" s="53"/>
      <c r="D33" s="75"/>
      <c r="E33" s="75"/>
      <c r="F33" s="75"/>
      <c r="G33" s="75"/>
      <c r="H33" s="75"/>
      <c r="I33" s="75"/>
      <c r="J33" s="75"/>
      <c r="K33" s="75"/>
      <c r="L33" s="53"/>
      <c r="M33" s="53"/>
      <c r="N33" s="53"/>
      <c r="O33" s="53"/>
      <c r="P33" s="53"/>
      <c r="Q33" s="53"/>
      <c r="R33" s="53"/>
      <c r="S33" s="53"/>
      <c r="T33" s="53"/>
      <c r="U33" s="53"/>
      <c r="V33" s="53"/>
      <c r="W33" s="53"/>
      <c r="X33" s="53"/>
      <c r="Y33" s="53"/>
      <c r="Z33" s="53"/>
      <c r="AA33" s="49"/>
      <c r="AB33" s="421"/>
      <c r="AD33" s="345"/>
      <c r="AE33" s="346"/>
      <c r="AF33" s="454"/>
      <c r="AG33" s="454"/>
      <c r="AH33" s="335"/>
      <c r="AI33" s="338"/>
    </row>
    <row r="34" spans="1:35" ht="15.75" thickBot="1">
      <c r="A34" s="41" t="s">
        <v>185</v>
      </c>
      <c r="B34" s="42" t="s">
        <v>222</v>
      </c>
      <c r="C34" s="43">
        <f>('Zamfara Workings'!C34+'Katsina Workings'!C34+'Yobe Workings'!C34)</f>
        <v>0</v>
      </c>
      <c r="D34" s="73">
        <f>('Zamfara Workings'!D34+'Katsina Workings'!D34+'Yobe Workings'!D34)</f>
        <v>0</v>
      </c>
      <c r="E34" s="73">
        <f>('Zamfara Workings'!E34+'Katsina Workings'!E34+'Yobe Workings'!E34)</f>
        <v>0</v>
      </c>
      <c r="F34" s="73">
        <f>('Zamfara Workings'!F34+'Katsina Workings'!F34+'Yobe Workings'!F34)</f>
        <v>0</v>
      </c>
      <c r="G34" s="73">
        <f>('Zamfara Workings'!G34+'Katsina Workings'!G34+'Yobe Workings'!G34)</f>
        <v>0</v>
      </c>
      <c r="H34" s="73">
        <f>('Zamfara Workings'!H34+'Katsina Workings'!H34+'Yobe Workings'!H34)</f>
        <v>0</v>
      </c>
      <c r="I34" s="74">
        <f>('Zamfara Workings'!I34+'Katsina Workings'!I34+'Yobe Workings'!I34)</f>
        <v>0</v>
      </c>
      <c r="J34" s="73">
        <f>('Zamfara Workings'!J34+'Katsina Workings'!J34+'Yobe Workings'!J34)</f>
        <v>0</v>
      </c>
      <c r="K34" s="73">
        <f>('Zamfara Workings'!K34+'Katsina Workings'!K34+'Yobe Workings'!K34)</f>
        <v>0</v>
      </c>
      <c r="L34" s="51">
        <f>('Zamfara Workings'!L34+'Katsina Workings'!L34+'Yobe Workings'!L34)</f>
        <v>0</v>
      </c>
      <c r="M34" s="51">
        <f>('Zamfara Workings'!M34+'Katsina Workings'!M34+'Yobe Workings'!M34)</f>
        <v>0</v>
      </c>
      <c r="N34" s="50">
        <f>('Zamfara Workings'!N34+'Katsina Workings'!N34+'Yobe Workings'!N34)</f>
        <v>0</v>
      </c>
      <c r="O34" s="51">
        <f>('Zamfara Workings'!O34+'Katsina Workings'!O34+'Yobe Workings'!O34)</f>
        <v>0.5</v>
      </c>
      <c r="P34" s="51">
        <f>('Zamfara Workings'!P34+'Katsina Workings'!P34+'Yobe Workings'!P34)</f>
        <v>1</v>
      </c>
      <c r="Q34" s="51">
        <f>('Zamfara Workings'!Q34+'Katsina Workings'!Q34+'Yobe Workings'!Q34)</f>
        <v>1.5</v>
      </c>
      <c r="R34" s="50">
        <f>('Zamfara Workings'!R34+'Katsina Workings'!R34+'Yobe Workings'!R34)</f>
        <v>2</v>
      </c>
      <c r="S34" s="51">
        <f>('Zamfara Workings'!S34+'Katsina Workings'!S34+'Yobe Workings'!S34)</f>
        <v>2.833333333333333</v>
      </c>
      <c r="T34" s="51">
        <f>('Zamfara Workings'!T34+'Katsina Workings'!T34+'Yobe Workings'!T34)</f>
        <v>3.6666666666666661</v>
      </c>
      <c r="U34" s="51">
        <f>('Zamfara Workings'!U34+'Katsina Workings'!U34+'Yobe Workings'!U34)</f>
        <v>4.5</v>
      </c>
      <c r="V34" s="51">
        <f>('Zamfara Workings'!V34+'Katsina Workings'!V34+'Yobe Workings'!V34)</f>
        <v>5.3333333333333321</v>
      </c>
      <c r="W34" s="51">
        <f>('Zamfara Workings'!W34+'Katsina Workings'!W34+'Yobe Workings'!W34)</f>
        <v>6.1666666666666661</v>
      </c>
      <c r="X34" s="51">
        <f>('Zamfara Workings'!X34+'Katsina Workings'!X34+'Yobe Workings'!X34)</f>
        <v>7</v>
      </c>
      <c r="Y34" s="50">
        <f>('Zamfara Workings'!Y34+'Katsina Workings'!Y34+'Yobe Workings'!Y34)</f>
        <v>7</v>
      </c>
      <c r="Z34" s="51">
        <f>('Zamfara Workings'!Z34+'Katsina Workings'!Z34+'Yobe Workings'!Z34)</f>
        <v>7</v>
      </c>
      <c r="AA34" s="38">
        <f>'Yobe Workings'!AA34*3</f>
        <v>45</v>
      </c>
      <c r="AB34" s="457">
        <f>AA34/22</f>
        <v>2.0454545454545454</v>
      </c>
      <c r="AC34" s="340"/>
      <c r="AD34" s="451">
        <f>V34</f>
        <v>5.3333333333333321</v>
      </c>
      <c r="AE34" s="346"/>
      <c r="AF34" s="453">
        <f t="shared" ref="AF34:AG35" si="10">IF($AG$1=16,R34,IF($AG$1=17,S34,IF($AG$1=18,T34,IF($AG$1=19,U34,IF($AG$1=20,V34,IF($AG$1=21,W34,IF($AG$1=22,X34,0)))))))</f>
        <v>6.1666666666666661</v>
      </c>
      <c r="AG34" s="453">
        <f t="shared" si="10"/>
        <v>7</v>
      </c>
      <c r="AI34" s="338"/>
    </row>
    <row r="35" spans="1:35" s="340" customFormat="1" ht="15.75" thickBot="1">
      <c r="A35" s="45"/>
      <c r="B35" s="46" t="s">
        <v>223</v>
      </c>
      <c r="C35" s="79">
        <f>('Zamfara Workings'!C35+'Katsina Workings'!C35+'Yobe Workings'!C35)</f>
        <v>0</v>
      </c>
      <c r="D35" s="441">
        <f>('Zamfara Workings'!D35+'Katsina Workings'!D35+'Yobe Workings'!D35)</f>
        <v>0</v>
      </c>
      <c r="E35" s="442">
        <f>('Zamfara Workings'!E35+'Katsina Workings'!E35+'Yobe Workings'!E35)</f>
        <v>0</v>
      </c>
      <c r="F35" s="442">
        <f>('Zamfara Workings'!F35+'Katsina Workings'!F35+'Yobe Workings'!F35)</f>
        <v>0</v>
      </c>
      <c r="G35" s="442">
        <f>('Zamfara Workings'!G35+'Katsina Workings'!G35+'Yobe Workings'!G35)</f>
        <v>0</v>
      </c>
      <c r="H35" s="442">
        <f>('Zamfara Workings'!H35+'Katsina Workings'!H35+'Yobe Workings'!H35)</f>
        <v>0</v>
      </c>
      <c r="I35" s="442">
        <f>('Zamfara Workings'!I35+'Katsina Workings'!I35+'Yobe Workings'!I35)</f>
        <v>0</v>
      </c>
      <c r="J35" s="442">
        <f>('Zamfara Workings'!J35+'Katsina Workings'!J35+'Yobe Workings'!J35)</f>
        <v>0</v>
      </c>
      <c r="K35" s="442">
        <f>('Zamfara Workings'!K35+'Katsina Workings'!K35+'Yobe Workings'!K35)</f>
        <v>0</v>
      </c>
      <c r="L35" s="442">
        <f>('Zamfara Workings'!L35+'Katsina Workings'!L35+'Yobe Workings'!L35)</f>
        <v>0</v>
      </c>
      <c r="M35" s="442">
        <f>('Zamfara Workings'!M35+'Katsina Workings'!M35+'Yobe Workings'!M35)</f>
        <v>0</v>
      </c>
      <c r="N35" s="443">
        <f>('Zamfara Workings'!N35+'Katsina Workings'!N35+'Yobe Workings'!N35)</f>
        <v>0</v>
      </c>
      <c r="O35" s="444">
        <f>('Zamfara Workings'!O35+'Katsina Workings'!O35+'Yobe Workings'!O35)</f>
        <v>1</v>
      </c>
      <c r="P35" s="444">
        <f>('Zamfara Workings'!P35+'Katsina Workings'!P35+'Yobe Workings'!P35)</f>
        <v>3</v>
      </c>
      <c r="Q35" s="444">
        <f>('Zamfara Workings'!Q35+'Katsina Workings'!Q35+'Yobe Workings'!Q35)</f>
        <v>1</v>
      </c>
      <c r="R35" s="442">
        <f>('Zamfara Workings'!R35+'Katsina Workings'!R35+'Yobe Workings'!R35)</f>
        <v>4</v>
      </c>
      <c r="S35" s="442">
        <f>('Zamfara Workings'!S35+'Katsina Workings'!S35+'Yobe Workings'!S35)</f>
        <v>6</v>
      </c>
      <c r="T35" s="442">
        <f>('Zamfara Workings'!T35+'Katsina Workings'!T35+'Yobe Workings'!T35)</f>
        <v>8</v>
      </c>
      <c r="U35" s="442">
        <f>('Zamfara Workings'!U35+'Katsina Workings'!U35+'Yobe Workings'!U35)</f>
        <v>10</v>
      </c>
      <c r="V35" s="445">
        <f>('Zamfara Workings'!V35+'Katsina Workings'!V35+'Yobe Workings'!V35)</f>
        <v>7</v>
      </c>
      <c r="W35" s="72">
        <f>('Zamfara Workings'!W35+'Katsina Workings'!W35+'Yobe Workings'!W35)</f>
        <v>7</v>
      </c>
      <c r="X35" s="70">
        <f>('Zamfara Workings'!X35+'Katsina Workings'!X35+'Yobe Workings'!X35)</f>
        <v>7</v>
      </c>
      <c r="Y35" s="70">
        <f>('Zamfara Workings'!Y35+'Katsina Workings'!Y35+'Yobe Workings'!Y35)</f>
        <v>0</v>
      </c>
      <c r="Z35" s="70">
        <f>('Zamfara Workings'!Z35+'Katsina Workings'!Z35+'Yobe Workings'!Z35)</f>
        <v>0</v>
      </c>
      <c r="AA35" s="49"/>
      <c r="AB35" s="421"/>
      <c r="AD35" s="452">
        <f>V35</f>
        <v>7</v>
      </c>
      <c r="AE35" s="346"/>
      <c r="AF35" s="452">
        <f t="shared" si="10"/>
        <v>7</v>
      </c>
      <c r="AG35" s="452">
        <f t="shared" si="10"/>
        <v>7</v>
      </c>
      <c r="AH35" s="342">
        <f>AG35</f>
        <v>7</v>
      </c>
      <c r="AI35" s="342">
        <f>AG35</f>
        <v>7</v>
      </c>
    </row>
    <row r="36" spans="1:35" s="340" customFormat="1">
      <c r="A36" s="45"/>
      <c r="B36" s="46"/>
      <c r="C36" s="53"/>
      <c r="D36" s="75"/>
      <c r="E36" s="75"/>
      <c r="F36" s="75"/>
      <c r="G36" s="75"/>
      <c r="H36" s="75"/>
      <c r="I36" s="75"/>
      <c r="J36" s="75"/>
      <c r="K36" s="75"/>
      <c r="L36" s="53"/>
      <c r="M36" s="53"/>
      <c r="N36" s="53"/>
      <c r="O36" s="53"/>
      <c r="P36" s="53"/>
      <c r="Q36" s="53"/>
      <c r="R36" s="53"/>
      <c r="S36" s="53"/>
      <c r="T36" s="53"/>
      <c r="U36" s="53"/>
      <c r="V36" s="53"/>
      <c r="W36" s="53"/>
      <c r="X36" s="53"/>
      <c r="Y36" s="53"/>
      <c r="Z36" s="53"/>
      <c r="AA36" s="49"/>
      <c r="AB36" s="421"/>
      <c r="AD36" s="345"/>
      <c r="AE36" s="346"/>
      <c r="AF36" s="454"/>
      <c r="AG36" s="454"/>
      <c r="AH36" s="335"/>
      <c r="AI36" s="338"/>
    </row>
    <row r="37" spans="1:35" ht="15.75" thickBot="1">
      <c r="A37" s="41" t="s">
        <v>184</v>
      </c>
      <c r="B37" s="42" t="s">
        <v>226</v>
      </c>
      <c r="C37" s="43">
        <f>('Zamfara Workings'!C37+'Katsina Workings'!C37+'Yobe Workings'!C37)</f>
        <v>0</v>
      </c>
      <c r="D37" s="73">
        <f>('Zamfara Workings'!D37+'Katsina Workings'!D37+'Yobe Workings'!D37)</f>
        <v>0</v>
      </c>
      <c r="E37" s="73">
        <f>('Zamfara Workings'!E37+'Katsina Workings'!E37+'Yobe Workings'!E37)</f>
        <v>0</v>
      </c>
      <c r="F37" s="73">
        <f>('Zamfara Workings'!F37+'Katsina Workings'!F37+'Yobe Workings'!F37)</f>
        <v>0</v>
      </c>
      <c r="G37" s="73">
        <f>('Zamfara Workings'!G37+'Katsina Workings'!G37+'Yobe Workings'!G37)</f>
        <v>0</v>
      </c>
      <c r="H37" s="73">
        <f>('Zamfara Workings'!H37+'Katsina Workings'!H37+'Yobe Workings'!H37)</f>
        <v>0</v>
      </c>
      <c r="I37" s="74">
        <f>('Zamfara Workings'!I37+'Katsina Workings'!I37+'Yobe Workings'!I37)</f>
        <v>0</v>
      </c>
      <c r="J37" s="73">
        <f>('Zamfara Workings'!J37+'Katsina Workings'!J37+'Yobe Workings'!J37)</f>
        <v>0</v>
      </c>
      <c r="K37" s="73">
        <f>('Zamfara Workings'!K37+'Katsina Workings'!K37+'Yobe Workings'!K37)</f>
        <v>0</v>
      </c>
      <c r="L37" s="51">
        <f>('Zamfara Workings'!L37+'Katsina Workings'!L37+'Yobe Workings'!L37)</f>
        <v>0</v>
      </c>
      <c r="M37" s="51">
        <f>('Zamfara Workings'!M37+'Katsina Workings'!M37+'Yobe Workings'!M37)</f>
        <v>0</v>
      </c>
      <c r="N37" s="50">
        <f>('Zamfara Workings'!N37+'Katsina Workings'!N37+'Yobe Workings'!N37)</f>
        <v>0</v>
      </c>
      <c r="O37" s="51">
        <f>('Zamfara Workings'!O37+'Katsina Workings'!O37+'Yobe Workings'!O37)</f>
        <v>0.25</v>
      </c>
      <c r="P37" s="51">
        <f>('Zamfara Workings'!P37+'Katsina Workings'!P37+'Yobe Workings'!P37)</f>
        <v>0.5</v>
      </c>
      <c r="Q37" s="51">
        <f>('Zamfara Workings'!Q37+'Katsina Workings'!Q37+'Yobe Workings'!Q37)</f>
        <v>0.75</v>
      </c>
      <c r="R37" s="50">
        <f>('Zamfara Workings'!R37+'Katsina Workings'!R37+'Yobe Workings'!R37)</f>
        <v>1</v>
      </c>
      <c r="S37" s="51">
        <f>('Zamfara Workings'!S37+'Katsina Workings'!S37+'Yobe Workings'!S37)</f>
        <v>1.5</v>
      </c>
      <c r="T37" s="51">
        <f>('Zamfara Workings'!T37+'Katsina Workings'!T37+'Yobe Workings'!T37)</f>
        <v>2</v>
      </c>
      <c r="U37" s="51">
        <f>('Zamfara Workings'!U37+'Katsina Workings'!U37+'Yobe Workings'!U37)</f>
        <v>2.5</v>
      </c>
      <c r="V37" s="51">
        <f>('Zamfara Workings'!V37+'Katsina Workings'!V37+'Yobe Workings'!V37)</f>
        <v>3</v>
      </c>
      <c r="W37" s="51">
        <f>('Zamfara Workings'!W37+'Katsina Workings'!W37+'Yobe Workings'!W37)</f>
        <v>3.5</v>
      </c>
      <c r="X37" s="51">
        <f>('Zamfara Workings'!X37+'Katsina Workings'!X37+'Yobe Workings'!X37)</f>
        <v>4</v>
      </c>
      <c r="Y37" s="50">
        <f>('Zamfara Workings'!Y37+'Katsina Workings'!Y37+'Yobe Workings'!Y37)</f>
        <v>4</v>
      </c>
      <c r="Z37" s="51">
        <f>('Zamfara Workings'!Z37+'Katsina Workings'!Z37+'Yobe Workings'!Z37)</f>
        <v>4</v>
      </c>
      <c r="AA37" s="38">
        <f>'Yobe Workings'!AA37*3</f>
        <v>30</v>
      </c>
      <c r="AB37" s="457">
        <f>AA37/22</f>
        <v>1.3636363636363635</v>
      </c>
      <c r="AC37" s="340"/>
      <c r="AD37" s="451">
        <f>V37</f>
        <v>3</v>
      </c>
      <c r="AE37" s="346"/>
      <c r="AF37" s="453">
        <f t="shared" ref="AF37:AG38" si="11">IF($AG$1=16,R37,IF($AG$1=17,S37,IF($AG$1=18,T37,IF($AG$1=19,U37,IF($AG$1=20,V37,IF($AG$1=21,W37,IF($AG$1=22,X37,0)))))))</f>
        <v>3.5</v>
      </c>
      <c r="AG37" s="453">
        <f t="shared" si="11"/>
        <v>4</v>
      </c>
      <c r="AI37" s="338"/>
    </row>
    <row r="38" spans="1:35" s="340" customFormat="1" ht="15.75" thickBot="1">
      <c r="A38" s="45"/>
      <c r="B38" s="46" t="s">
        <v>227</v>
      </c>
      <c r="C38" s="79">
        <f>('Zamfara Workings'!C38+'Katsina Workings'!C38+'Yobe Workings'!C38)</f>
        <v>0</v>
      </c>
      <c r="D38" s="441">
        <f>('Zamfara Workings'!D38+'Katsina Workings'!D38+'Yobe Workings'!D38)</f>
        <v>0</v>
      </c>
      <c r="E38" s="442">
        <f>('Zamfara Workings'!E38+'Katsina Workings'!E38+'Yobe Workings'!E38)</f>
        <v>0</v>
      </c>
      <c r="F38" s="442">
        <f>('Zamfara Workings'!F38+'Katsina Workings'!F38+'Yobe Workings'!F38)</f>
        <v>0</v>
      </c>
      <c r="G38" s="442">
        <f>('Zamfara Workings'!G38+'Katsina Workings'!G38+'Yobe Workings'!G38)</f>
        <v>0</v>
      </c>
      <c r="H38" s="442">
        <f>('Zamfara Workings'!H38+'Katsina Workings'!H38+'Yobe Workings'!H38)</f>
        <v>0</v>
      </c>
      <c r="I38" s="442">
        <f>('Zamfara Workings'!I38+'Katsina Workings'!I38+'Yobe Workings'!I38)</f>
        <v>0</v>
      </c>
      <c r="J38" s="442">
        <f>('Zamfara Workings'!J38+'Katsina Workings'!J38+'Yobe Workings'!J38)</f>
        <v>0</v>
      </c>
      <c r="K38" s="442">
        <f>('Zamfara Workings'!K38+'Katsina Workings'!K38+'Yobe Workings'!K38)</f>
        <v>0</v>
      </c>
      <c r="L38" s="442">
        <f>('Zamfara Workings'!L38+'Katsina Workings'!L38+'Yobe Workings'!L38)</f>
        <v>0</v>
      </c>
      <c r="M38" s="442">
        <f>('Zamfara Workings'!M38+'Katsina Workings'!M38+'Yobe Workings'!M38)</f>
        <v>0</v>
      </c>
      <c r="N38" s="443">
        <f>('Zamfara Workings'!N38+'Katsina Workings'!N38+'Yobe Workings'!N38)</f>
        <v>0</v>
      </c>
      <c r="O38" s="444">
        <f>('Zamfara Workings'!O38+'Katsina Workings'!O38+'Yobe Workings'!O38)</f>
        <v>0</v>
      </c>
      <c r="P38" s="444">
        <f>('Zamfara Workings'!P38+'Katsina Workings'!P38+'Yobe Workings'!P38)</f>
        <v>3</v>
      </c>
      <c r="Q38" s="444">
        <f>('Zamfara Workings'!Q38+'Katsina Workings'!Q38+'Yobe Workings'!Q38)</f>
        <v>0</v>
      </c>
      <c r="R38" s="442">
        <f>('Zamfara Workings'!R38+'Katsina Workings'!R38+'Yobe Workings'!R38)</f>
        <v>1</v>
      </c>
      <c r="S38" s="442">
        <f>('Zamfara Workings'!S38+'Katsina Workings'!S38+'Yobe Workings'!S38)</f>
        <v>3</v>
      </c>
      <c r="T38" s="442">
        <f>('Zamfara Workings'!T38+'Katsina Workings'!T38+'Yobe Workings'!T38)</f>
        <v>4</v>
      </c>
      <c r="U38" s="442">
        <f>('Zamfara Workings'!U38+'Katsina Workings'!U38+'Yobe Workings'!U38)</f>
        <v>5</v>
      </c>
      <c r="V38" s="445">
        <f>('Zamfara Workings'!V38+'Katsina Workings'!V38+'Yobe Workings'!V38)</f>
        <v>6</v>
      </c>
      <c r="W38" s="72">
        <f>('Zamfara Workings'!W38+'Katsina Workings'!W38+'Yobe Workings'!W38)</f>
        <v>6</v>
      </c>
      <c r="X38" s="70">
        <f>('Zamfara Workings'!X38+'Katsina Workings'!X38+'Yobe Workings'!X38)</f>
        <v>6</v>
      </c>
      <c r="Y38" s="70">
        <f>('Zamfara Workings'!Y38+'Katsina Workings'!Y38+'Yobe Workings'!Y38)</f>
        <v>0</v>
      </c>
      <c r="Z38" s="70">
        <f>('Zamfara Workings'!Z38+'Katsina Workings'!Z38+'Yobe Workings'!Z38)</f>
        <v>0</v>
      </c>
      <c r="AA38" s="49"/>
      <c r="AB38" s="421"/>
      <c r="AD38" s="452">
        <f>V38</f>
        <v>6</v>
      </c>
      <c r="AE38" s="346"/>
      <c r="AF38" s="452">
        <f t="shared" si="11"/>
        <v>6</v>
      </c>
      <c r="AG38" s="452">
        <f t="shared" si="11"/>
        <v>6</v>
      </c>
      <c r="AH38" s="342">
        <f>AG38</f>
        <v>6</v>
      </c>
      <c r="AI38" s="342">
        <f>AG38</f>
        <v>6</v>
      </c>
    </row>
    <row r="39" spans="1:35" s="340" customFormat="1">
      <c r="A39" s="45"/>
      <c r="B39" s="46"/>
      <c r="C39" s="53"/>
      <c r="D39" s="75"/>
      <c r="E39" s="75"/>
      <c r="F39" s="75"/>
      <c r="G39" s="75"/>
      <c r="H39" s="75"/>
      <c r="I39" s="75"/>
      <c r="J39" s="75"/>
      <c r="K39" s="75"/>
      <c r="L39" s="53"/>
      <c r="M39" s="53"/>
      <c r="N39" s="53"/>
      <c r="O39" s="53"/>
      <c r="P39" s="53"/>
      <c r="Q39" s="53"/>
      <c r="R39" s="53"/>
      <c r="S39" s="53"/>
      <c r="T39" s="53"/>
      <c r="U39" s="53"/>
      <c r="V39" s="53"/>
      <c r="W39" s="53"/>
      <c r="X39" s="53"/>
      <c r="Y39" s="53"/>
      <c r="Z39" s="53"/>
      <c r="AA39" s="49"/>
      <c r="AB39" s="421"/>
      <c r="AD39" s="345"/>
      <c r="AE39" s="346"/>
      <c r="AF39" s="454"/>
      <c r="AG39" s="454"/>
      <c r="AH39" s="335"/>
      <c r="AI39" s="338"/>
    </row>
    <row r="40" spans="1:35" ht="15.75" thickBot="1">
      <c r="A40" s="41" t="s">
        <v>183</v>
      </c>
      <c r="B40" s="42" t="s">
        <v>224</v>
      </c>
      <c r="C40" s="43">
        <f>('Zamfara Workings'!C40+'Katsina Workings'!C40+'Yobe Workings'!C40)</f>
        <v>0</v>
      </c>
      <c r="D40" s="73">
        <f>('Zamfara Workings'!D40+'Katsina Workings'!D40+'Yobe Workings'!D40)</f>
        <v>0</v>
      </c>
      <c r="E40" s="73">
        <f>('Zamfara Workings'!E40+'Katsina Workings'!E40+'Yobe Workings'!E40)</f>
        <v>0</v>
      </c>
      <c r="F40" s="73">
        <f>('Zamfara Workings'!F40+'Katsina Workings'!F40+'Yobe Workings'!F40)</f>
        <v>0</v>
      </c>
      <c r="G40" s="73">
        <f>('Zamfara Workings'!G40+'Katsina Workings'!G40+'Yobe Workings'!G40)</f>
        <v>0</v>
      </c>
      <c r="H40" s="73">
        <f>('Zamfara Workings'!H40+'Katsina Workings'!H40+'Yobe Workings'!H40)</f>
        <v>0</v>
      </c>
      <c r="I40" s="74">
        <f>('Zamfara Workings'!I40+'Katsina Workings'!I40+'Yobe Workings'!I40)</f>
        <v>0</v>
      </c>
      <c r="J40" s="73">
        <f>('Zamfara Workings'!J40+'Katsina Workings'!J40+'Yobe Workings'!J40)</f>
        <v>0</v>
      </c>
      <c r="K40" s="73">
        <f>('Zamfara Workings'!K40+'Katsina Workings'!K40+'Yobe Workings'!K40)</f>
        <v>0</v>
      </c>
      <c r="L40" s="51">
        <f>('Zamfara Workings'!L40+'Katsina Workings'!L40+'Yobe Workings'!L40)</f>
        <v>0</v>
      </c>
      <c r="M40" s="51">
        <f>('Zamfara Workings'!M40+'Katsina Workings'!M40+'Yobe Workings'!M40)</f>
        <v>0</v>
      </c>
      <c r="N40" s="50">
        <f>('Zamfara Workings'!N40+'Katsina Workings'!N40+'Yobe Workings'!N40)</f>
        <v>0</v>
      </c>
      <c r="O40" s="51">
        <f>('Zamfara Workings'!O40+'Katsina Workings'!O40+'Yobe Workings'!O40)</f>
        <v>0</v>
      </c>
      <c r="P40" s="51">
        <f>('Zamfara Workings'!P40+'Katsina Workings'!P40+'Yobe Workings'!P40)</f>
        <v>0</v>
      </c>
      <c r="Q40" s="51">
        <f>('Zamfara Workings'!Q40+'Katsina Workings'!Q40+'Yobe Workings'!Q40)</f>
        <v>0</v>
      </c>
      <c r="R40" s="50">
        <f>('Zamfara Workings'!R40+'Katsina Workings'!R40+'Yobe Workings'!R40)</f>
        <v>0</v>
      </c>
      <c r="S40" s="51">
        <f>('Zamfara Workings'!S40+'Katsina Workings'!S40+'Yobe Workings'!S40)</f>
        <v>0.16666666666666666</v>
      </c>
      <c r="T40" s="51">
        <f>('Zamfara Workings'!T40+'Katsina Workings'!T40+'Yobe Workings'!T40)</f>
        <v>0.33333333333333331</v>
      </c>
      <c r="U40" s="51">
        <f>('Zamfara Workings'!U40+'Katsina Workings'!U40+'Yobe Workings'!U40)</f>
        <v>0.5</v>
      </c>
      <c r="V40" s="51">
        <f>('Zamfara Workings'!V40+'Katsina Workings'!V40+'Yobe Workings'!V40)</f>
        <v>0.66666666666666663</v>
      </c>
      <c r="W40" s="51">
        <f>('Zamfara Workings'!W40+'Katsina Workings'!W40+'Yobe Workings'!W40)</f>
        <v>0.83333333333333326</v>
      </c>
      <c r="X40" s="51">
        <f>('Zamfara Workings'!X40+'Katsina Workings'!X40+'Yobe Workings'!X40)</f>
        <v>0.99999999999999989</v>
      </c>
      <c r="Y40" s="50">
        <f>('Zamfara Workings'!Y40+'Katsina Workings'!Y40+'Yobe Workings'!Y40)</f>
        <v>1</v>
      </c>
      <c r="Z40" s="51">
        <f>('Zamfara Workings'!Z40+'Katsina Workings'!Z40+'Yobe Workings'!Z40)</f>
        <v>1</v>
      </c>
      <c r="AA40" s="38">
        <f>'Yobe Workings'!AA40*3</f>
        <v>15</v>
      </c>
      <c r="AB40" s="457">
        <f>AA40/22</f>
        <v>0.68181818181818177</v>
      </c>
      <c r="AC40" s="340"/>
      <c r="AD40" s="451">
        <f>V40</f>
        <v>0.66666666666666663</v>
      </c>
      <c r="AE40" s="346"/>
      <c r="AF40" s="453">
        <f t="shared" ref="AF40:AG41" si="12">IF($AG$1=16,R40,IF($AG$1=17,S40,IF($AG$1=18,T40,IF($AG$1=19,U40,IF($AG$1=20,V40,IF($AG$1=21,W40,IF($AG$1=22,X40,0)))))))</f>
        <v>0.83333333333333326</v>
      </c>
      <c r="AG40" s="453">
        <f t="shared" si="12"/>
        <v>0.99999999999999989</v>
      </c>
      <c r="AI40" s="338"/>
    </row>
    <row r="41" spans="1:35" s="340" customFormat="1" ht="15.75" thickBot="1">
      <c r="A41" s="45"/>
      <c r="B41" s="46" t="s">
        <v>225</v>
      </c>
      <c r="C41" s="79">
        <f>('Zamfara Workings'!C41+'Katsina Workings'!C41+'Yobe Workings'!C41)</f>
        <v>0</v>
      </c>
      <c r="D41" s="441">
        <f>('Zamfara Workings'!D41+'Katsina Workings'!D41+'Yobe Workings'!D41)</f>
        <v>0</v>
      </c>
      <c r="E41" s="442">
        <f>('Zamfara Workings'!E41+'Katsina Workings'!E41+'Yobe Workings'!E41)</f>
        <v>0</v>
      </c>
      <c r="F41" s="442">
        <f>('Zamfara Workings'!F41+'Katsina Workings'!F41+'Yobe Workings'!F41)</f>
        <v>0</v>
      </c>
      <c r="G41" s="442">
        <f>('Zamfara Workings'!G41+'Katsina Workings'!G41+'Yobe Workings'!G41)</f>
        <v>0</v>
      </c>
      <c r="H41" s="442">
        <f>('Zamfara Workings'!H41+'Katsina Workings'!H41+'Yobe Workings'!H41)</f>
        <v>0</v>
      </c>
      <c r="I41" s="442">
        <f>('Zamfara Workings'!I41+'Katsina Workings'!I41+'Yobe Workings'!I41)</f>
        <v>0</v>
      </c>
      <c r="J41" s="442">
        <f>('Zamfara Workings'!J41+'Katsina Workings'!J41+'Yobe Workings'!J41)</f>
        <v>0</v>
      </c>
      <c r="K41" s="442">
        <f>('Zamfara Workings'!K41+'Katsina Workings'!K41+'Yobe Workings'!K41)</f>
        <v>0</v>
      </c>
      <c r="L41" s="442">
        <f>('Zamfara Workings'!L41+'Katsina Workings'!L41+'Yobe Workings'!L41)</f>
        <v>0</v>
      </c>
      <c r="M41" s="442">
        <f>('Zamfara Workings'!M41+'Katsina Workings'!M41+'Yobe Workings'!M41)</f>
        <v>0</v>
      </c>
      <c r="N41" s="443">
        <f>('Zamfara Workings'!N41+'Katsina Workings'!N41+'Yobe Workings'!N41)</f>
        <v>0</v>
      </c>
      <c r="O41" s="444">
        <f>('Zamfara Workings'!O41+'Katsina Workings'!O41+'Yobe Workings'!O41)</f>
        <v>0</v>
      </c>
      <c r="P41" s="444">
        <f>('Zamfara Workings'!P41+'Katsina Workings'!P41+'Yobe Workings'!P41)</f>
        <v>0</v>
      </c>
      <c r="Q41" s="444">
        <f>('Zamfara Workings'!Q41+'Katsina Workings'!Q41+'Yobe Workings'!Q41)</f>
        <v>0</v>
      </c>
      <c r="R41" s="442">
        <f>('Zamfara Workings'!R41+'Katsina Workings'!R41+'Yobe Workings'!R41)</f>
        <v>0</v>
      </c>
      <c r="S41" s="442">
        <f>('Zamfara Workings'!S41+'Katsina Workings'!S41+'Yobe Workings'!S41)</f>
        <v>1</v>
      </c>
      <c r="T41" s="442">
        <f>('Zamfara Workings'!T41+'Katsina Workings'!T41+'Yobe Workings'!T41)</f>
        <v>2</v>
      </c>
      <c r="U41" s="442">
        <f>('Zamfara Workings'!U41+'Katsina Workings'!U41+'Yobe Workings'!U41)</f>
        <v>4</v>
      </c>
      <c r="V41" s="445">
        <f>('Zamfara Workings'!V41+'Katsina Workings'!V41+'Yobe Workings'!V41)</f>
        <v>0</v>
      </c>
      <c r="W41" s="72">
        <f>('Zamfara Workings'!W41+'Katsina Workings'!W41+'Yobe Workings'!W41)</f>
        <v>0</v>
      </c>
      <c r="X41" s="70">
        <f>('Zamfara Workings'!X41+'Katsina Workings'!X41+'Yobe Workings'!X41)</f>
        <v>0</v>
      </c>
      <c r="Y41" s="70">
        <f>('Zamfara Workings'!Y41+'Katsina Workings'!Y41+'Yobe Workings'!Y41)</f>
        <v>0</v>
      </c>
      <c r="Z41" s="70">
        <f>('Zamfara Workings'!Z41+'Katsina Workings'!Z41+'Yobe Workings'!Z41)</f>
        <v>0</v>
      </c>
      <c r="AA41" s="49"/>
      <c r="AB41" s="421"/>
      <c r="AD41" s="452">
        <f>V41</f>
        <v>0</v>
      </c>
      <c r="AE41" s="346"/>
      <c r="AF41" s="452">
        <f t="shared" si="12"/>
        <v>0</v>
      </c>
      <c r="AG41" s="452">
        <f t="shared" si="12"/>
        <v>0</v>
      </c>
      <c r="AH41" s="342">
        <f>AG41</f>
        <v>0</v>
      </c>
      <c r="AI41" s="342">
        <f>AG41</f>
        <v>0</v>
      </c>
    </row>
    <row r="42" spans="1:35" s="340" customFormat="1">
      <c r="A42" s="45"/>
      <c r="B42" s="46"/>
      <c r="C42" s="48"/>
      <c r="D42" s="83"/>
      <c r="E42" s="83"/>
      <c r="F42" s="83"/>
      <c r="G42" s="83"/>
      <c r="H42" s="83"/>
      <c r="I42" s="83"/>
      <c r="J42" s="83"/>
      <c r="K42" s="83"/>
      <c r="L42" s="48"/>
      <c r="M42" s="48"/>
      <c r="N42" s="48"/>
      <c r="O42" s="48"/>
      <c r="P42" s="48"/>
      <c r="Q42" s="48"/>
      <c r="R42" s="48"/>
      <c r="S42" s="48"/>
      <c r="T42" s="48"/>
      <c r="U42" s="48"/>
      <c r="V42" s="48"/>
      <c r="W42" s="48"/>
      <c r="X42" s="48"/>
      <c r="Y42" s="48"/>
      <c r="Z42" s="48"/>
      <c r="AA42" s="49"/>
      <c r="AB42" s="421"/>
      <c r="AE42" s="335"/>
      <c r="AH42" s="335"/>
      <c r="AI42" s="338"/>
    </row>
    <row r="43" spans="1:35" ht="15.75" thickBot="1">
      <c r="A43" s="41" t="s">
        <v>16</v>
      </c>
      <c r="B43" s="42" t="s">
        <v>139</v>
      </c>
      <c r="C43" s="43" t="e">
        <f>('Zamfara Workings'!C43+'Katsina Workings'!C43+'Yobe Workings'!C43)/3</f>
        <v>#VALUE!</v>
      </c>
      <c r="D43" s="81" t="e">
        <f>('Zamfara Workings'!D43+'Katsina Workings'!D43+'Yobe Workings'!D43)/3</f>
        <v>#VALUE!</v>
      </c>
      <c r="E43" s="81" t="e">
        <f>('Zamfara Workings'!E43+'Katsina Workings'!E43+'Yobe Workings'!E43)/3</f>
        <v>#VALUE!</v>
      </c>
      <c r="F43" s="81" t="e">
        <f>('Zamfara Workings'!F43+'Katsina Workings'!F43+'Yobe Workings'!F43)/3</f>
        <v>#VALUE!</v>
      </c>
      <c r="G43" s="81" t="e">
        <f>('Zamfara Workings'!G43+'Katsina Workings'!G43+'Yobe Workings'!G43)/3</f>
        <v>#VALUE!</v>
      </c>
      <c r="H43" s="81" t="e">
        <f>('Zamfara Workings'!H43+'Katsina Workings'!H43+'Yobe Workings'!H43)/3</f>
        <v>#VALUE!</v>
      </c>
      <c r="I43" s="82">
        <f>('Zamfara Workings'!I43+'Katsina Workings'!I43+'Yobe Workings'!I43)/3</f>
        <v>1</v>
      </c>
      <c r="J43" s="81">
        <f>('Zamfara Workings'!J43+'Katsina Workings'!J43+'Yobe Workings'!J43)/3</f>
        <v>1.0277777777777777</v>
      </c>
      <c r="K43" s="81">
        <f>('Zamfara Workings'!K43+'Katsina Workings'!K43+'Yobe Workings'!K43)/3</f>
        <v>1.0555555555555556</v>
      </c>
      <c r="L43" s="44">
        <f>('Zamfara Workings'!L43+'Katsina Workings'!L43+'Yobe Workings'!L43)/3</f>
        <v>1.0833333333333333</v>
      </c>
      <c r="M43" s="44">
        <f>('Zamfara Workings'!M43+'Katsina Workings'!M43+'Yobe Workings'!M43)/3</f>
        <v>1.1111111111111109</v>
      </c>
      <c r="N43" s="43">
        <f>('Zamfara Workings'!N43+'Katsina Workings'!N43+'Yobe Workings'!N43)/3</f>
        <v>1.1666666666666667</v>
      </c>
      <c r="O43" s="44">
        <f>('Zamfara Workings'!O43+'Katsina Workings'!O43+'Yobe Workings'!O43)/3</f>
        <v>1.2583333333333335</v>
      </c>
      <c r="P43" s="44">
        <f>('Zamfara Workings'!P43+'Katsina Workings'!P43+'Yobe Workings'!P43)/3</f>
        <v>1.3500000000000003</v>
      </c>
      <c r="Q43" s="44">
        <f>('Zamfara Workings'!Q43+'Katsina Workings'!Q43+'Yobe Workings'!Q43)/3</f>
        <v>1.4416666666666667</v>
      </c>
      <c r="R43" s="43">
        <f>('Zamfara Workings'!R43+'Katsina Workings'!R43+'Yobe Workings'!R43)/3</f>
        <v>1.5333333333333332</v>
      </c>
      <c r="S43" s="44">
        <f>('Zamfara Workings'!S43+'Katsina Workings'!S43+'Yobe Workings'!S43)/3</f>
        <v>1.7277777777777779</v>
      </c>
      <c r="T43" s="44">
        <f>('Zamfara Workings'!T43+'Katsina Workings'!T43+'Yobe Workings'!T43)/3</f>
        <v>1.9222222222222223</v>
      </c>
      <c r="U43" s="44">
        <f>('Zamfara Workings'!U43+'Katsina Workings'!U43+'Yobe Workings'!U43)/3</f>
        <v>2.1166666666666667</v>
      </c>
      <c r="V43" s="44">
        <f>('Zamfara Workings'!V43+'Katsina Workings'!V43+'Yobe Workings'!V43)/3</f>
        <v>2.3111111111111113</v>
      </c>
      <c r="W43" s="44">
        <f>('Zamfara Workings'!W43+'Katsina Workings'!W43+'Yobe Workings'!W43)/3</f>
        <v>2.6999999999999997</v>
      </c>
      <c r="X43" s="44">
        <f>('Zamfara Workings'!X43+'Katsina Workings'!X43+'Yobe Workings'!X43)/3</f>
        <v>2.9333333333333336</v>
      </c>
      <c r="Y43" s="43">
        <f>('Zamfara Workings'!Y43+'Katsina Workings'!Y43+'Yobe Workings'!Y43)/3</f>
        <v>2.9333333333333336</v>
      </c>
      <c r="Z43" s="44">
        <f>('Zamfara Workings'!Z43+'Katsina Workings'!Z43+'Yobe Workings'!Z43)/3</f>
        <v>2.9333333333333336</v>
      </c>
      <c r="AA43" s="38">
        <v>5</v>
      </c>
      <c r="AB43" s="420">
        <f>AA43/22</f>
        <v>0.22727272727272727</v>
      </c>
      <c r="AC43" s="340"/>
      <c r="AD43" s="450">
        <f>V43</f>
        <v>2.3111111111111113</v>
      </c>
      <c r="AF43" s="339">
        <f t="shared" ref="AF43:AG44" si="13">IF($AG$1=16,R43,IF($AG$1=17,S43,IF($AG$1=18,T43,IF($AG$1=19,U43,IF($AG$1=20,V43,IF($AG$1=21,W43,IF($AG$1=22,X43,0)))))))</f>
        <v>2.6999999999999997</v>
      </c>
      <c r="AG43" s="339">
        <f t="shared" si="13"/>
        <v>2.9333333333333336</v>
      </c>
      <c r="AI43" s="338"/>
    </row>
    <row r="44" spans="1:35" s="340" customFormat="1" ht="15.75" thickBot="1">
      <c r="A44" s="45"/>
      <c r="B44" s="46" t="s">
        <v>140</v>
      </c>
      <c r="C44" s="79" t="e">
        <f>('Zamfara Workings'!C44+'Katsina Workings'!C44+'Yobe Workings'!C44)/3</f>
        <v>#VALUE!</v>
      </c>
      <c r="D44" s="436">
        <f>('Zamfara Workings'!D44+'Katsina Workings'!D44+'Yobe Workings'!D44)/3</f>
        <v>0</v>
      </c>
      <c r="E44" s="437">
        <f>('Zamfara Workings'!E44+'Katsina Workings'!E44+'Yobe Workings'!E44)/3</f>
        <v>0</v>
      </c>
      <c r="F44" s="437">
        <f>('Zamfara Workings'!F44+'Katsina Workings'!F44+'Yobe Workings'!F44)/3</f>
        <v>0</v>
      </c>
      <c r="G44" s="437">
        <f>('Zamfara Workings'!G44+'Katsina Workings'!G44+'Yobe Workings'!G44)/3</f>
        <v>0</v>
      </c>
      <c r="H44" s="437">
        <f>('Zamfara Workings'!H44+'Katsina Workings'!H44+'Yobe Workings'!H44)/3</f>
        <v>0</v>
      </c>
      <c r="I44" s="437">
        <f>('Zamfara Workings'!I44+'Katsina Workings'!I44+'Yobe Workings'!I44)/3</f>
        <v>0</v>
      </c>
      <c r="J44" s="437">
        <f>('Zamfara Workings'!J44+'Katsina Workings'!J44+'Yobe Workings'!J44)/3</f>
        <v>0</v>
      </c>
      <c r="K44" s="437">
        <f>('Zamfara Workings'!K44+'Katsina Workings'!K44+'Yobe Workings'!K44)/3</f>
        <v>0</v>
      </c>
      <c r="L44" s="437">
        <f>('Zamfara Workings'!L44+'Katsina Workings'!L44+'Yobe Workings'!L44)/3</f>
        <v>0</v>
      </c>
      <c r="M44" s="437">
        <f>('Zamfara Workings'!M44+'Katsina Workings'!M44+'Yobe Workings'!M44)/3</f>
        <v>0</v>
      </c>
      <c r="N44" s="439">
        <f>('Zamfara Workings'!N44+'Katsina Workings'!N44+'Yobe Workings'!N44)/3</f>
        <v>1.1666666666666667</v>
      </c>
      <c r="O44" s="440">
        <f>('Zamfara Workings'!O44+'Katsina Workings'!O44+'Yobe Workings'!O44)/3</f>
        <v>1.1666666666666667</v>
      </c>
      <c r="P44" s="440">
        <f>('Zamfara Workings'!P44+'Katsina Workings'!P44+'Yobe Workings'!P44)/3</f>
        <v>1.2666666666666666</v>
      </c>
      <c r="Q44" s="440">
        <f>('Zamfara Workings'!Q44+'Katsina Workings'!Q44+'Yobe Workings'!Q44)/3</f>
        <v>1.5999999999999999</v>
      </c>
      <c r="R44" s="437">
        <f>('Zamfara Workings'!R44+'Katsina Workings'!R44+'Yobe Workings'!R44)/3</f>
        <v>1.4666666666666668</v>
      </c>
      <c r="S44" s="437">
        <f>('Zamfara Workings'!S44+'Katsina Workings'!S44+'Yobe Workings'!S44)/3</f>
        <v>2.2333333333333334</v>
      </c>
      <c r="T44" s="437">
        <f>('Zamfara Workings'!T44+'Katsina Workings'!T44+'Yobe Workings'!T44)/3</f>
        <v>2.4</v>
      </c>
      <c r="U44" s="437">
        <f>('Zamfara Workings'!U44+'Katsina Workings'!U44+'Yobe Workings'!U44)/3</f>
        <v>2.6666666666666665</v>
      </c>
      <c r="V44" s="438">
        <f>('Zamfara Workings'!V44+'Katsina Workings'!V44+'Yobe Workings'!V44)/3</f>
        <v>2.9</v>
      </c>
      <c r="W44" s="80">
        <f>('Zamfara Workings'!W44+'Katsina Workings'!W44+'Yobe Workings'!W44)/3</f>
        <v>3.0333333333333332</v>
      </c>
      <c r="X44" s="69">
        <f>('Zamfara Workings'!X44+'Katsina Workings'!X44+'Yobe Workings'!X44)/3</f>
        <v>3.3666666666666671</v>
      </c>
      <c r="Y44" s="69">
        <f>('Zamfara Workings'!Y44+'Katsina Workings'!Y44+'Yobe Workings'!Y44)/3</f>
        <v>0</v>
      </c>
      <c r="Z44" s="69">
        <f>('Zamfara Workings'!Z44+'Katsina Workings'!Z44+'Yobe Workings'!Z44)/3</f>
        <v>0</v>
      </c>
      <c r="AA44" s="49"/>
      <c r="AB44" s="421"/>
      <c r="AD44" s="341">
        <f>V44</f>
        <v>2.9</v>
      </c>
      <c r="AE44" s="335"/>
      <c r="AF44" s="341">
        <f t="shared" si="13"/>
        <v>3.0333333333333332</v>
      </c>
      <c r="AG44" s="341">
        <f t="shared" si="13"/>
        <v>3.3666666666666671</v>
      </c>
      <c r="AH44" s="342">
        <f>AG44</f>
        <v>3.3666666666666671</v>
      </c>
      <c r="AI44" s="342">
        <f>AG44</f>
        <v>3.3666666666666671</v>
      </c>
    </row>
    <row r="45" spans="1:35" s="340" customFormat="1">
      <c r="A45" s="45"/>
      <c r="B45" s="46"/>
      <c r="C45" s="48"/>
      <c r="D45" s="83"/>
      <c r="E45" s="83"/>
      <c r="F45" s="83"/>
      <c r="G45" s="83"/>
      <c r="H45" s="83"/>
      <c r="I45" s="83"/>
      <c r="J45" s="83"/>
      <c r="K45" s="83"/>
      <c r="L45" s="48"/>
      <c r="M45" s="48"/>
      <c r="N45" s="48"/>
      <c r="O45" s="48"/>
      <c r="P45" s="48"/>
      <c r="Q45" s="48"/>
      <c r="R45" s="48"/>
      <c r="S45" s="48"/>
      <c r="T45" s="48"/>
      <c r="U45" s="48"/>
      <c r="V45" s="48"/>
      <c r="W45" s="48"/>
      <c r="X45" s="48"/>
      <c r="Y45" s="48"/>
      <c r="Z45" s="48"/>
      <c r="AA45" s="49"/>
      <c r="AB45" s="421"/>
      <c r="AE45" s="335"/>
      <c r="AH45" s="335"/>
      <c r="AI45" s="338"/>
    </row>
    <row r="46" spans="1:35" ht="15.75" thickBot="1">
      <c r="A46" s="41" t="s">
        <v>17</v>
      </c>
      <c r="B46" s="42" t="s">
        <v>139</v>
      </c>
      <c r="C46" s="43" t="e">
        <f>('Zamfara Workings'!C46+'Katsina Workings'!C46+'Yobe Workings'!C46)/3</f>
        <v>#VALUE!</v>
      </c>
      <c r="D46" s="81" t="e">
        <f>('Zamfara Workings'!D46+'Katsina Workings'!D46+'Yobe Workings'!D46)/3</f>
        <v>#VALUE!</v>
      </c>
      <c r="E46" s="81" t="e">
        <f>('Zamfara Workings'!E46+'Katsina Workings'!E46+'Yobe Workings'!E46)/3</f>
        <v>#VALUE!</v>
      </c>
      <c r="F46" s="81" t="e">
        <f>('Zamfara Workings'!F46+'Katsina Workings'!F46+'Yobe Workings'!F46)/3</f>
        <v>#VALUE!</v>
      </c>
      <c r="G46" s="81" t="e">
        <f>('Zamfara Workings'!G46+'Katsina Workings'!G46+'Yobe Workings'!G46)/3</f>
        <v>#VALUE!</v>
      </c>
      <c r="H46" s="81" t="e">
        <f>('Zamfara Workings'!H46+'Katsina Workings'!H46+'Yobe Workings'!H46)/3</f>
        <v>#VALUE!</v>
      </c>
      <c r="I46" s="82">
        <f>('Zamfara Workings'!I46+'Katsina Workings'!I46+'Yobe Workings'!I46)/3</f>
        <v>1</v>
      </c>
      <c r="J46" s="81">
        <f>('Zamfara Workings'!J46+'Katsina Workings'!J46+'Yobe Workings'!J46)/3</f>
        <v>1</v>
      </c>
      <c r="K46" s="81">
        <f>('Zamfara Workings'!K46+'Katsina Workings'!K46+'Yobe Workings'!K46)/3</f>
        <v>1</v>
      </c>
      <c r="L46" s="44">
        <f>('Zamfara Workings'!L46+'Katsina Workings'!L46+'Yobe Workings'!L46)/3</f>
        <v>1</v>
      </c>
      <c r="M46" s="44">
        <f>('Zamfara Workings'!M46+'Katsina Workings'!M46+'Yobe Workings'!M46)/3</f>
        <v>1</v>
      </c>
      <c r="N46" s="43">
        <f>('Zamfara Workings'!N46+'Katsina Workings'!N46+'Yobe Workings'!N46)/3</f>
        <v>1</v>
      </c>
      <c r="O46" s="44">
        <f>('Zamfara Workings'!O46+'Katsina Workings'!O46+'Yobe Workings'!O46)/3</f>
        <v>1.1000000000000001</v>
      </c>
      <c r="P46" s="44">
        <f>('Zamfara Workings'!P46+'Katsina Workings'!P46+'Yobe Workings'!P46)/3</f>
        <v>1.2</v>
      </c>
      <c r="Q46" s="44">
        <f>('Zamfara Workings'!Q46+'Katsina Workings'!Q46+'Yobe Workings'!Q46)/3</f>
        <v>1.3</v>
      </c>
      <c r="R46" s="43">
        <f>('Zamfara Workings'!R46+'Katsina Workings'!R46+'Yobe Workings'!R46)/3</f>
        <v>1.3999999999999997</v>
      </c>
      <c r="S46" s="44">
        <f>('Zamfara Workings'!S46+'Katsina Workings'!S46+'Yobe Workings'!S46)/3</f>
        <v>1.5666666666666667</v>
      </c>
      <c r="T46" s="44">
        <f>('Zamfara Workings'!T46+'Katsina Workings'!T46+'Yobe Workings'!T46)/3</f>
        <v>1.7333333333333334</v>
      </c>
      <c r="U46" s="44">
        <f>('Zamfara Workings'!U46+'Katsina Workings'!U46+'Yobe Workings'!U46)/3</f>
        <v>1.9000000000000001</v>
      </c>
      <c r="V46" s="44">
        <f>('Zamfara Workings'!V46+'Katsina Workings'!V46+'Yobe Workings'!V46)/3</f>
        <v>2.0666666666666664</v>
      </c>
      <c r="W46" s="44">
        <f>('Zamfara Workings'!W46+'Katsina Workings'!W46+'Yobe Workings'!W46)/3</f>
        <v>2.5944444444444446</v>
      </c>
      <c r="X46" s="44">
        <f>('Zamfara Workings'!X46+'Katsina Workings'!X46+'Yobe Workings'!X46)/3</f>
        <v>2.8333333333333335</v>
      </c>
      <c r="Y46" s="43">
        <f>('Zamfara Workings'!Y46+'Katsina Workings'!Y46+'Yobe Workings'!Y46)/3</f>
        <v>2.8333333333333335</v>
      </c>
      <c r="Z46" s="44">
        <f>('Zamfara Workings'!Z46+'Katsina Workings'!Z46+'Yobe Workings'!Z46)/3</f>
        <v>2.8333333333333335</v>
      </c>
      <c r="AA46" s="38">
        <v>5</v>
      </c>
      <c r="AB46" s="420">
        <f>AA46/22</f>
        <v>0.22727272727272727</v>
      </c>
      <c r="AC46" s="340"/>
      <c r="AD46" s="450">
        <f>V46</f>
        <v>2.0666666666666664</v>
      </c>
      <c r="AF46" s="339">
        <f t="shared" ref="AF46:AG47" si="14">IF($AG$1=16,R46,IF($AG$1=17,S46,IF($AG$1=18,T46,IF($AG$1=19,U46,IF($AG$1=20,V46,IF($AG$1=21,W46,IF($AG$1=22,X46,0)))))))</f>
        <v>2.5944444444444446</v>
      </c>
      <c r="AG46" s="339">
        <f t="shared" si="14"/>
        <v>2.8333333333333335</v>
      </c>
      <c r="AI46" s="338"/>
    </row>
    <row r="47" spans="1:35" s="340" customFormat="1" ht="15.75" thickBot="1">
      <c r="A47" s="45"/>
      <c r="B47" s="46" t="s">
        <v>140</v>
      </c>
      <c r="C47" s="79" t="e">
        <f>('Zamfara Workings'!C47+'Katsina Workings'!C47+'Yobe Workings'!C47)/3</f>
        <v>#VALUE!</v>
      </c>
      <c r="D47" s="436">
        <f>('Zamfara Workings'!D47+'Katsina Workings'!D47+'Yobe Workings'!D47)/3</f>
        <v>0</v>
      </c>
      <c r="E47" s="437">
        <f>('Zamfara Workings'!E47+'Katsina Workings'!E47+'Yobe Workings'!E47)/3</f>
        <v>0</v>
      </c>
      <c r="F47" s="437">
        <f>('Zamfara Workings'!F47+'Katsina Workings'!F47+'Yobe Workings'!F47)/3</f>
        <v>0</v>
      </c>
      <c r="G47" s="437">
        <f>('Zamfara Workings'!G47+'Katsina Workings'!G47+'Yobe Workings'!G47)/3</f>
        <v>0</v>
      </c>
      <c r="H47" s="437">
        <f>('Zamfara Workings'!H47+'Katsina Workings'!H47+'Yobe Workings'!H47)/3</f>
        <v>0</v>
      </c>
      <c r="I47" s="437">
        <f>('Zamfara Workings'!I47+'Katsina Workings'!I47+'Yobe Workings'!I47)/3</f>
        <v>0</v>
      </c>
      <c r="J47" s="437">
        <f>('Zamfara Workings'!J47+'Katsina Workings'!J47+'Yobe Workings'!J47)/3</f>
        <v>0</v>
      </c>
      <c r="K47" s="437">
        <f>('Zamfara Workings'!K47+'Katsina Workings'!K47+'Yobe Workings'!K47)/3</f>
        <v>0</v>
      </c>
      <c r="L47" s="437">
        <f>('Zamfara Workings'!L47+'Katsina Workings'!L47+'Yobe Workings'!L47)/3</f>
        <v>0</v>
      </c>
      <c r="M47" s="437">
        <f>('Zamfara Workings'!M47+'Katsina Workings'!M47+'Yobe Workings'!M47)/3</f>
        <v>0</v>
      </c>
      <c r="N47" s="439">
        <f>('Zamfara Workings'!N47+'Katsina Workings'!N47+'Yobe Workings'!N47)/3</f>
        <v>1</v>
      </c>
      <c r="O47" s="440">
        <f>('Zamfara Workings'!O47+'Katsina Workings'!O47+'Yobe Workings'!O47)/3</f>
        <v>1.1666666666666667</v>
      </c>
      <c r="P47" s="440">
        <f>('Zamfara Workings'!P47+'Katsina Workings'!P47+'Yobe Workings'!P47)/3</f>
        <v>1.1666666666666667</v>
      </c>
      <c r="Q47" s="440">
        <f>('Zamfara Workings'!Q47+'Katsina Workings'!Q47+'Yobe Workings'!Q47)/3</f>
        <v>1.3333333333333333</v>
      </c>
      <c r="R47" s="437">
        <f>('Zamfara Workings'!R47+'Katsina Workings'!R47+'Yobe Workings'!R47)/3</f>
        <v>1.2666666666666668</v>
      </c>
      <c r="S47" s="437">
        <f>('Zamfara Workings'!S47+'Katsina Workings'!S47+'Yobe Workings'!S47)/3</f>
        <v>2.1666666666666665</v>
      </c>
      <c r="T47" s="437">
        <f>('Zamfara Workings'!T47+'Katsina Workings'!T47+'Yobe Workings'!T47)/3</f>
        <v>2.5333333333333332</v>
      </c>
      <c r="U47" s="437">
        <f>('Zamfara Workings'!U47+'Katsina Workings'!U47+'Yobe Workings'!U47)/3</f>
        <v>2.8000000000000003</v>
      </c>
      <c r="V47" s="438">
        <f>('Zamfara Workings'!V47+'Katsina Workings'!V47+'Yobe Workings'!V47)/3</f>
        <v>2.9333333333333336</v>
      </c>
      <c r="W47" s="80">
        <f>('Zamfara Workings'!W47+'Katsina Workings'!W47+'Yobe Workings'!W47)/3</f>
        <v>3.1333333333333329</v>
      </c>
      <c r="X47" s="69">
        <f>('Zamfara Workings'!X47+'Katsina Workings'!X47+'Yobe Workings'!X47)/3</f>
        <v>3.3000000000000003</v>
      </c>
      <c r="Y47" s="69">
        <f>('Zamfara Workings'!Y47+'Katsina Workings'!Y47+'Yobe Workings'!Y47)/3</f>
        <v>0</v>
      </c>
      <c r="Z47" s="69">
        <f>('Zamfara Workings'!Z47+'Katsina Workings'!Z47+'Yobe Workings'!Z47)/3</f>
        <v>0</v>
      </c>
      <c r="AA47" s="49"/>
      <c r="AB47" s="421"/>
      <c r="AD47" s="341">
        <f>V47</f>
        <v>2.9333333333333336</v>
      </c>
      <c r="AE47" s="335"/>
      <c r="AF47" s="341">
        <f t="shared" si="14"/>
        <v>3.1333333333333329</v>
      </c>
      <c r="AG47" s="341">
        <f t="shared" si="14"/>
        <v>3.3000000000000003</v>
      </c>
      <c r="AH47" s="342">
        <f>AG47</f>
        <v>3.3000000000000003</v>
      </c>
      <c r="AI47" s="342">
        <f>AG47</f>
        <v>3.3000000000000003</v>
      </c>
    </row>
    <row r="48" spans="1:35" s="340" customFormat="1">
      <c r="A48" s="45"/>
      <c r="B48" s="46"/>
      <c r="C48" s="48"/>
      <c r="D48" s="83"/>
      <c r="E48" s="83"/>
      <c r="F48" s="83"/>
      <c r="G48" s="83"/>
      <c r="H48" s="83"/>
      <c r="I48" s="83"/>
      <c r="J48" s="83"/>
      <c r="K48" s="83"/>
      <c r="L48" s="48"/>
      <c r="M48" s="48"/>
      <c r="N48" s="48"/>
      <c r="O48" s="48"/>
      <c r="P48" s="48"/>
      <c r="Q48" s="48"/>
      <c r="R48" s="48"/>
      <c r="S48" s="48"/>
      <c r="T48" s="48"/>
      <c r="U48" s="48"/>
      <c r="V48" s="48"/>
      <c r="W48" s="48"/>
      <c r="X48" s="48"/>
      <c r="Y48" s="48"/>
      <c r="Z48" s="48"/>
      <c r="AA48" s="49"/>
      <c r="AB48" s="421"/>
      <c r="AE48" s="335"/>
      <c r="AH48" s="335"/>
      <c r="AI48" s="338"/>
    </row>
    <row r="49" spans="1:35" ht="15.75" thickBot="1">
      <c r="A49" s="41" t="s">
        <v>18</v>
      </c>
      <c r="B49" s="42" t="s">
        <v>139</v>
      </c>
      <c r="C49" s="43" t="e">
        <f>('Zamfara Workings'!C49+'Katsina Workings'!C49+'Yobe Workings'!C49)</f>
        <v>#VALUE!</v>
      </c>
      <c r="D49" s="73" t="e">
        <f>('Zamfara Workings'!D49+'Katsina Workings'!D49+'Yobe Workings'!D49)</f>
        <v>#VALUE!</v>
      </c>
      <c r="E49" s="73" t="e">
        <f>('Zamfara Workings'!E49+'Katsina Workings'!E49+'Yobe Workings'!E49)</f>
        <v>#VALUE!</v>
      </c>
      <c r="F49" s="73" t="e">
        <f>('Zamfara Workings'!F49+'Katsina Workings'!F49+'Yobe Workings'!F49)</f>
        <v>#VALUE!</v>
      </c>
      <c r="G49" s="73" t="e">
        <f>('Zamfara Workings'!G49+'Katsina Workings'!G49+'Yobe Workings'!G49)</f>
        <v>#VALUE!</v>
      </c>
      <c r="H49" s="73" t="e">
        <f>('Zamfara Workings'!H49+'Katsina Workings'!H49+'Yobe Workings'!H49)</f>
        <v>#VALUE!</v>
      </c>
      <c r="I49" s="74">
        <f>('Zamfara Workings'!I49+'Katsina Workings'!I49+'Yobe Workings'!I49)</f>
        <v>1</v>
      </c>
      <c r="J49" s="73">
        <f>('Zamfara Workings'!J49+'Katsina Workings'!J49+'Yobe Workings'!J49)</f>
        <v>1</v>
      </c>
      <c r="K49" s="73">
        <f>('Zamfara Workings'!K49+'Katsina Workings'!K49+'Yobe Workings'!K49)</f>
        <v>1</v>
      </c>
      <c r="L49" s="51">
        <f>('Zamfara Workings'!L49+'Katsina Workings'!L49+'Yobe Workings'!L49)</f>
        <v>1</v>
      </c>
      <c r="M49" s="51">
        <f>('Zamfara Workings'!M49+'Katsina Workings'!M49+'Yobe Workings'!M49)</f>
        <v>1</v>
      </c>
      <c r="N49" s="50">
        <f>('Zamfara Workings'!N49+'Katsina Workings'!N49+'Yobe Workings'!N49)</f>
        <v>1</v>
      </c>
      <c r="O49" s="51">
        <f>('Zamfara Workings'!O49+'Katsina Workings'!O49+'Yobe Workings'!O49)</f>
        <v>1.625</v>
      </c>
      <c r="P49" s="51">
        <f>('Zamfara Workings'!P49+'Katsina Workings'!P49+'Yobe Workings'!P49)</f>
        <v>2.25</v>
      </c>
      <c r="Q49" s="51">
        <f>('Zamfara Workings'!Q49+'Katsina Workings'!Q49+'Yobe Workings'!Q49)</f>
        <v>2.875</v>
      </c>
      <c r="R49" s="50">
        <f>('Zamfara Workings'!R49+'Katsina Workings'!R49+'Yobe Workings'!R49)</f>
        <v>3.5</v>
      </c>
      <c r="S49" s="51">
        <f>('Zamfara Workings'!S49+'Katsina Workings'!S49+'Yobe Workings'!S49)</f>
        <v>4.2333333333333334</v>
      </c>
      <c r="T49" s="51">
        <f>('Zamfara Workings'!T49+'Katsina Workings'!T49+'Yobe Workings'!T49)</f>
        <v>4.9666666666666668</v>
      </c>
      <c r="U49" s="51">
        <f>('Zamfara Workings'!U49+'Katsina Workings'!U49+'Yobe Workings'!U49)</f>
        <v>5.7000000000000011</v>
      </c>
      <c r="V49" s="51">
        <f>('Zamfara Workings'!V49+'Katsina Workings'!V49+'Yobe Workings'!V49)</f>
        <v>6.4333333333333336</v>
      </c>
      <c r="W49" s="51">
        <f>('Zamfara Workings'!W49+'Katsina Workings'!W49+'Yobe Workings'!W49)</f>
        <v>6.3333333333333339</v>
      </c>
      <c r="X49" s="51">
        <f>('Zamfara Workings'!X49+'Katsina Workings'!X49+'Yobe Workings'!X49)</f>
        <v>7.0000000000000018</v>
      </c>
      <c r="Y49" s="50">
        <f>('Zamfara Workings'!Y49+'Katsina Workings'!Y49+'Yobe Workings'!Y49)</f>
        <v>7</v>
      </c>
      <c r="Z49" s="51">
        <f>('Zamfara Workings'!Z49+'Katsina Workings'!Z49+'Yobe Workings'!Z49)</f>
        <v>7</v>
      </c>
      <c r="AA49" s="38">
        <f>'Yobe Workings'!AA49*3</f>
        <v>30</v>
      </c>
      <c r="AB49" s="457">
        <f>AA49/22</f>
        <v>1.3636363636363635</v>
      </c>
      <c r="AC49" s="340"/>
      <c r="AD49" s="451">
        <f>V49</f>
        <v>6.4333333333333336</v>
      </c>
      <c r="AE49" s="346"/>
      <c r="AF49" s="453">
        <f t="shared" ref="AF49:AG50" si="15">IF($AG$1=16,R49,IF($AG$1=17,S49,IF($AG$1=18,T49,IF($AG$1=19,U49,IF($AG$1=20,V49,IF($AG$1=21,W49,IF($AG$1=22,X49,0)))))))</f>
        <v>6.3333333333333339</v>
      </c>
      <c r="AG49" s="453">
        <f t="shared" si="15"/>
        <v>7.0000000000000018</v>
      </c>
      <c r="AI49" s="338"/>
    </row>
    <row r="50" spans="1:35" s="340" customFormat="1" ht="15.75" thickBot="1">
      <c r="A50" s="45"/>
      <c r="B50" s="46" t="s">
        <v>140</v>
      </c>
      <c r="C50" s="79" t="e">
        <f>('Zamfara Workings'!C50+'Katsina Workings'!C50+'Yobe Workings'!C50)</f>
        <v>#VALUE!</v>
      </c>
      <c r="D50" s="441">
        <f>('Zamfara Workings'!D50+'Katsina Workings'!D50+'Yobe Workings'!D50)</f>
        <v>0</v>
      </c>
      <c r="E50" s="442">
        <f>('Zamfara Workings'!E50+'Katsina Workings'!E50+'Yobe Workings'!E50)</f>
        <v>0</v>
      </c>
      <c r="F50" s="442">
        <f>('Zamfara Workings'!F50+'Katsina Workings'!F50+'Yobe Workings'!F50)</f>
        <v>0</v>
      </c>
      <c r="G50" s="442">
        <f>('Zamfara Workings'!G50+'Katsina Workings'!G50+'Yobe Workings'!G50)</f>
        <v>0</v>
      </c>
      <c r="H50" s="442">
        <f>('Zamfara Workings'!H50+'Katsina Workings'!H50+'Yobe Workings'!H50)</f>
        <v>0</v>
      </c>
      <c r="I50" s="442">
        <f>('Zamfara Workings'!I50+'Katsina Workings'!I50+'Yobe Workings'!I50)</f>
        <v>0</v>
      </c>
      <c r="J50" s="442">
        <f>('Zamfara Workings'!J50+'Katsina Workings'!J50+'Yobe Workings'!J50)</f>
        <v>0</v>
      </c>
      <c r="K50" s="442">
        <f>('Zamfara Workings'!K50+'Katsina Workings'!K50+'Yobe Workings'!K50)</f>
        <v>0</v>
      </c>
      <c r="L50" s="442">
        <f>('Zamfara Workings'!L50+'Katsina Workings'!L50+'Yobe Workings'!L50)</f>
        <v>0</v>
      </c>
      <c r="M50" s="442">
        <f>('Zamfara Workings'!M50+'Katsina Workings'!M50+'Yobe Workings'!M50)</f>
        <v>0</v>
      </c>
      <c r="N50" s="443">
        <f>('Zamfara Workings'!N50+'Katsina Workings'!N50+'Yobe Workings'!N50)</f>
        <v>0</v>
      </c>
      <c r="O50" s="444">
        <f>('Zamfara Workings'!O50+'Katsina Workings'!O50+'Yobe Workings'!O50)</f>
        <v>0</v>
      </c>
      <c r="P50" s="444">
        <f>('Zamfara Workings'!P50+'Katsina Workings'!P50+'Yobe Workings'!P50)</f>
        <v>1</v>
      </c>
      <c r="Q50" s="444">
        <f>('Zamfara Workings'!Q50+'Katsina Workings'!Q50+'Yobe Workings'!Q50)</f>
        <v>2</v>
      </c>
      <c r="R50" s="442">
        <f>('Zamfara Workings'!R50+'Katsina Workings'!R50+'Yobe Workings'!R50)</f>
        <v>4</v>
      </c>
      <c r="S50" s="442">
        <f>('Zamfara Workings'!S50+'Katsina Workings'!S50+'Yobe Workings'!S50)</f>
        <v>4</v>
      </c>
      <c r="T50" s="442">
        <f>('Zamfara Workings'!T50+'Katsina Workings'!T50+'Yobe Workings'!T50)</f>
        <v>5</v>
      </c>
      <c r="U50" s="442">
        <f>('Zamfara Workings'!U50+'Katsina Workings'!U50+'Yobe Workings'!U50)</f>
        <v>5</v>
      </c>
      <c r="V50" s="445">
        <f>('Zamfara Workings'!V50+'Katsina Workings'!V50+'Yobe Workings'!V50)</f>
        <v>9</v>
      </c>
      <c r="W50" s="72">
        <f>('Zamfara Workings'!W50+'Katsina Workings'!W50+'Yobe Workings'!W50)</f>
        <v>9</v>
      </c>
      <c r="X50" s="70">
        <f>('Zamfara Workings'!X50+'Katsina Workings'!X50+'Yobe Workings'!X50)</f>
        <v>10</v>
      </c>
      <c r="Y50" s="70">
        <f>('Zamfara Workings'!Y50+'Katsina Workings'!Y50+'Yobe Workings'!Y50)</f>
        <v>0</v>
      </c>
      <c r="Z50" s="70">
        <f>('Zamfara Workings'!Z50+'Katsina Workings'!Z50+'Yobe Workings'!Z50)</f>
        <v>0</v>
      </c>
      <c r="AA50" s="49"/>
      <c r="AB50" s="421"/>
      <c r="AD50" s="452">
        <f>V50</f>
        <v>9</v>
      </c>
      <c r="AE50" s="346"/>
      <c r="AF50" s="452">
        <f t="shared" si="15"/>
        <v>9</v>
      </c>
      <c r="AG50" s="452">
        <f t="shared" si="15"/>
        <v>10</v>
      </c>
      <c r="AH50" s="342">
        <f>AG50</f>
        <v>10</v>
      </c>
      <c r="AI50" s="342">
        <f>AG50</f>
        <v>10</v>
      </c>
    </row>
    <row r="51" spans="1:35" s="340" customFormat="1">
      <c r="A51" s="45"/>
      <c r="B51" s="46"/>
      <c r="C51" s="48"/>
      <c r="D51" s="83"/>
      <c r="E51" s="83"/>
      <c r="F51" s="83"/>
      <c r="G51" s="83"/>
      <c r="H51" s="83"/>
      <c r="I51" s="83"/>
      <c r="J51" s="83"/>
      <c r="K51" s="83"/>
      <c r="L51" s="48"/>
      <c r="M51" s="48"/>
      <c r="N51" s="48"/>
      <c r="O51" s="48"/>
      <c r="P51" s="48"/>
      <c r="Q51" s="48"/>
      <c r="R51" s="48"/>
      <c r="S51" s="48"/>
      <c r="T51" s="48"/>
      <c r="U51" s="48"/>
      <c r="V51" s="48"/>
      <c r="W51" s="48"/>
      <c r="X51" s="48"/>
      <c r="Y51" s="48"/>
      <c r="Z51" s="48"/>
      <c r="AA51" s="49"/>
      <c r="AB51" s="421"/>
      <c r="AE51" s="335"/>
      <c r="AH51" s="335"/>
      <c r="AI51" s="338"/>
    </row>
    <row r="52" spans="1:35" ht="15.75" thickBot="1">
      <c r="A52" s="41" t="s">
        <v>19</v>
      </c>
      <c r="B52" s="42" t="s">
        <v>139</v>
      </c>
      <c r="C52" s="43" t="e">
        <f>('Zamfara Workings'!C52+'Katsina Workings'!C52+'Yobe Workings'!C52)/3</f>
        <v>#VALUE!</v>
      </c>
      <c r="D52" s="81" t="e">
        <f>('Zamfara Workings'!D52+'Katsina Workings'!D52+'Yobe Workings'!D52)/3</f>
        <v>#VALUE!</v>
      </c>
      <c r="E52" s="81" t="e">
        <f>('Zamfara Workings'!E52+'Katsina Workings'!E52+'Yobe Workings'!E52)/3</f>
        <v>#VALUE!</v>
      </c>
      <c r="F52" s="81" t="e">
        <f>('Zamfara Workings'!F52+'Katsina Workings'!F52+'Yobe Workings'!F52)/3</f>
        <v>#VALUE!</v>
      </c>
      <c r="G52" s="81" t="e">
        <f>('Zamfara Workings'!G52+'Katsina Workings'!G52+'Yobe Workings'!G52)/3</f>
        <v>#VALUE!</v>
      </c>
      <c r="H52" s="81" t="e">
        <f>('Zamfara Workings'!H52+'Katsina Workings'!H52+'Yobe Workings'!H52)/3</f>
        <v>#VALUE!</v>
      </c>
      <c r="I52" s="82">
        <f>('Zamfara Workings'!I52+'Katsina Workings'!I52+'Yobe Workings'!I52)/3</f>
        <v>1</v>
      </c>
      <c r="J52" s="81">
        <f>('Zamfara Workings'!J52+'Katsina Workings'!J52+'Yobe Workings'!J52)/3</f>
        <v>1</v>
      </c>
      <c r="K52" s="81">
        <f>('Zamfara Workings'!K52+'Katsina Workings'!K52+'Yobe Workings'!K52)/3</f>
        <v>1</v>
      </c>
      <c r="L52" s="44">
        <f>('Zamfara Workings'!L52+'Katsina Workings'!L52+'Yobe Workings'!L52)/3</f>
        <v>1</v>
      </c>
      <c r="M52" s="44">
        <f>('Zamfara Workings'!M52+'Katsina Workings'!M52+'Yobe Workings'!M52)/3</f>
        <v>1</v>
      </c>
      <c r="N52" s="43">
        <f>('Zamfara Workings'!N52+'Katsina Workings'!N52+'Yobe Workings'!N52)/3</f>
        <v>1</v>
      </c>
      <c r="O52" s="44">
        <f>('Zamfara Workings'!O52+'Katsina Workings'!O52+'Yobe Workings'!O52)/3</f>
        <v>1.1083333333333334</v>
      </c>
      <c r="P52" s="44">
        <f>('Zamfara Workings'!P52+'Katsina Workings'!P52+'Yobe Workings'!P52)/3</f>
        <v>1.2166666666666666</v>
      </c>
      <c r="Q52" s="44">
        <f>('Zamfara Workings'!Q52+'Katsina Workings'!Q52+'Yobe Workings'!Q52)/3</f>
        <v>1.325</v>
      </c>
      <c r="R52" s="43">
        <f>('Zamfara Workings'!R52+'Katsina Workings'!R52+'Yobe Workings'!R52)/3</f>
        <v>1.4333333333333333</v>
      </c>
      <c r="S52" s="44">
        <f>('Zamfara Workings'!S52+'Katsina Workings'!S52+'Yobe Workings'!S52)/3</f>
        <v>1.622222222222222</v>
      </c>
      <c r="T52" s="44">
        <f>('Zamfara Workings'!T52+'Katsina Workings'!T52+'Yobe Workings'!T52)/3</f>
        <v>1.8111111111111111</v>
      </c>
      <c r="U52" s="44">
        <f>('Zamfara Workings'!U52+'Katsina Workings'!U52+'Yobe Workings'!U52)/3</f>
        <v>2</v>
      </c>
      <c r="V52" s="44">
        <f>('Zamfara Workings'!V52+'Katsina Workings'!V52+'Yobe Workings'!V52)/3</f>
        <v>2.1888888888888887</v>
      </c>
      <c r="W52" s="44">
        <f>('Zamfara Workings'!W52+'Katsina Workings'!W52+'Yobe Workings'!W52)/3</f>
        <v>3.0166666666666662</v>
      </c>
      <c r="X52" s="44">
        <f>('Zamfara Workings'!X52+'Katsina Workings'!X52+'Yobe Workings'!X52)/3</f>
        <v>3.3333333333333335</v>
      </c>
      <c r="Y52" s="43">
        <f>('Zamfara Workings'!Y52+'Katsina Workings'!Y52+'Yobe Workings'!Y52)/3</f>
        <v>3.3333333333333335</v>
      </c>
      <c r="Z52" s="44">
        <f>('Zamfara Workings'!Z52+'Katsina Workings'!Z52+'Yobe Workings'!Z52)/3</f>
        <v>3.3333333333333335</v>
      </c>
      <c r="AA52" s="38">
        <v>5</v>
      </c>
      <c r="AB52" s="420">
        <f>AA52/22</f>
        <v>0.22727272727272727</v>
      </c>
      <c r="AC52" s="340"/>
      <c r="AD52" s="450">
        <f>V52</f>
        <v>2.1888888888888887</v>
      </c>
      <c r="AF52" s="339">
        <f t="shared" ref="AF52:AG53" si="16">IF($AG$1=16,R52,IF($AG$1=17,S52,IF($AG$1=18,T52,IF($AG$1=19,U52,IF($AG$1=20,V52,IF($AG$1=21,W52,IF($AG$1=22,X52,0)))))))</f>
        <v>3.0166666666666662</v>
      </c>
      <c r="AG52" s="339">
        <f t="shared" si="16"/>
        <v>3.3333333333333335</v>
      </c>
      <c r="AI52" s="338"/>
    </row>
    <row r="53" spans="1:35" s="340" customFormat="1" ht="15.75" thickBot="1">
      <c r="A53" s="45"/>
      <c r="B53" s="46" t="s">
        <v>140</v>
      </c>
      <c r="C53" s="79" t="e">
        <f>('Zamfara Workings'!C53+'Katsina Workings'!C53+'Yobe Workings'!C53)/3</f>
        <v>#VALUE!</v>
      </c>
      <c r="D53" s="436">
        <f>('Zamfara Workings'!D53+'Katsina Workings'!D53+'Yobe Workings'!D53)/3</f>
        <v>0</v>
      </c>
      <c r="E53" s="437">
        <f>('Zamfara Workings'!E53+'Katsina Workings'!E53+'Yobe Workings'!E53)/3</f>
        <v>0</v>
      </c>
      <c r="F53" s="437">
        <f>('Zamfara Workings'!F53+'Katsina Workings'!F53+'Yobe Workings'!F53)/3</f>
        <v>0</v>
      </c>
      <c r="G53" s="437">
        <f>('Zamfara Workings'!G53+'Katsina Workings'!G53+'Yobe Workings'!G53)/3</f>
        <v>0</v>
      </c>
      <c r="H53" s="437">
        <f>('Zamfara Workings'!H53+'Katsina Workings'!H53+'Yobe Workings'!H53)/3</f>
        <v>0</v>
      </c>
      <c r="I53" s="437">
        <f>('Zamfara Workings'!I53+'Katsina Workings'!I53+'Yobe Workings'!I53)/3</f>
        <v>0</v>
      </c>
      <c r="J53" s="437">
        <f>('Zamfara Workings'!J53+'Katsina Workings'!J53+'Yobe Workings'!J53)/3</f>
        <v>0</v>
      </c>
      <c r="K53" s="437">
        <f>('Zamfara Workings'!K53+'Katsina Workings'!K53+'Yobe Workings'!K53)/3</f>
        <v>0</v>
      </c>
      <c r="L53" s="437">
        <f>('Zamfara Workings'!L53+'Katsina Workings'!L53+'Yobe Workings'!L53)/3</f>
        <v>0</v>
      </c>
      <c r="M53" s="437">
        <f>('Zamfara Workings'!M53+'Katsina Workings'!M53+'Yobe Workings'!M53)/3</f>
        <v>0</v>
      </c>
      <c r="N53" s="439">
        <f>('Zamfara Workings'!N53+'Katsina Workings'!N53+'Yobe Workings'!N53)/3</f>
        <v>1</v>
      </c>
      <c r="O53" s="440">
        <f>('Zamfara Workings'!O53+'Katsina Workings'!O53+'Yobe Workings'!O53)/3</f>
        <v>1</v>
      </c>
      <c r="P53" s="440">
        <f>('Zamfara Workings'!P53+'Katsina Workings'!P53+'Yobe Workings'!P53)/3</f>
        <v>1.1666666666666667</v>
      </c>
      <c r="Q53" s="440">
        <f>('Zamfara Workings'!Q53+'Katsina Workings'!Q53+'Yobe Workings'!Q53)/3</f>
        <v>1.4666666666666668</v>
      </c>
      <c r="R53" s="437">
        <f>('Zamfara Workings'!R53+'Katsina Workings'!R53+'Yobe Workings'!R53)/3</f>
        <v>1.6666666666666667</v>
      </c>
      <c r="S53" s="437">
        <f>('Zamfara Workings'!S53+'Katsina Workings'!S53+'Yobe Workings'!S53)/3</f>
        <v>2.4</v>
      </c>
      <c r="T53" s="437">
        <f>('Zamfara Workings'!T53+'Katsina Workings'!T53+'Yobe Workings'!T53)/3</f>
        <v>2.6333333333333333</v>
      </c>
      <c r="U53" s="437">
        <f>('Zamfara Workings'!U53+'Katsina Workings'!U53+'Yobe Workings'!U53)/3</f>
        <v>3.1</v>
      </c>
      <c r="V53" s="438">
        <f>('Zamfara Workings'!V53+'Katsina Workings'!V53+'Yobe Workings'!V53)/3</f>
        <v>3.3333333333333335</v>
      </c>
      <c r="W53" s="80">
        <f>('Zamfara Workings'!W53+'Katsina Workings'!W53+'Yobe Workings'!W53)/3</f>
        <v>3.4</v>
      </c>
      <c r="X53" s="69">
        <f>('Zamfara Workings'!X53+'Katsina Workings'!X53+'Yobe Workings'!X53)/3</f>
        <v>3.6</v>
      </c>
      <c r="Y53" s="69">
        <f>('Zamfara Workings'!Y53+'Katsina Workings'!Y53+'Yobe Workings'!Y53)/3</f>
        <v>0</v>
      </c>
      <c r="Z53" s="69">
        <f>('Zamfara Workings'!Z53+'Katsina Workings'!Z53+'Yobe Workings'!Z53)/3</f>
        <v>0</v>
      </c>
      <c r="AA53" s="49"/>
      <c r="AB53" s="421"/>
      <c r="AD53" s="341">
        <f>V53</f>
        <v>3.3333333333333335</v>
      </c>
      <c r="AE53" s="335"/>
      <c r="AF53" s="341">
        <f t="shared" si="16"/>
        <v>3.4</v>
      </c>
      <c r="AG53" s="341">
        <f t="shared" si="16"/>
        <v>3.6</v>
      </c>
      <c r="AH53" s="342">
        <f>AG53</f>
        <v>3.6</v>
      </c>
      <c r="AI53" s="342">
        <f>AG53</f>
        <v>3.6</v>
      </c>
    </row>
    <row r="54" spans="1:35" s="340" customFormat="1">
      <c r="A54" s="45"/>
      <c r="B54" s="46"/>
      <c r="C54" s="48"/>
      <c r="D54" s="83"/>
      <c r="E54" s="83"/>
      <c r="F54" s="83"/>
      <c r="G54" s="83"/>
      <c r="H54" s="83"/>
      <c r="I54" s="83"/>
      <c r="J54" s="83"/>
      <c r="K54" s="83"/>
      <c r="L54" s="48"/>
      <c r="M54" s="48"/>
      <c r="N54" s="48"/>
      <c r="O54" s="48"/>
      <c r="P54" s="48"/>
      <c r="Q54" s="48"/>
      <c r="R54" s="48"/>
      <c r="S54" s="48"/>
      <c r="T54" s="48"/>
      <c r="U54" s="48"/>
      <c r="V54" s="48"/>
      <c r="W54" s="48"/>
      <c r="X54" s="48"/>
      <c r="Y54" s="48"/>
      <c r="Z54" s="48"/>
      <c r="AA54" s="49"/>
      <c r="AB54" s="421"/>
      <c r="AE54" s="335"/>
      <c r="AH54" s="335"/>
      <c r="AI54" s="338"/>
    </row>
    <row r="55" spans="1:35" ht="15.75" thickBot="1">
      <c r="A55" s="41" t="s">
        <v>20</v>
      </c>
      <c r="B55" s="42" t="s">
        <v>139</v>
      </c>
      <c r="C55" s="43" t="e">
        <f>('Zamfara Workings'!C55+'Katsina Workings'!C55+'Yobe Workings'!C55)/3</f>
        <v>#VALUE!</v>
      </c>
      <c r="D55" s="81" t="e">
        <f>('Zamfara Workings'!D55+'Katsina Workings'!D55+'Yobe Workings'!D55)/3</f>
        <v>#VALUE!</v>
      </c>
      <c r="E55" s="81" t="e">
        <f>('Zamfara Workings'!E55+'Katsina Workings'!E55+'Yobe Workings'!E55)/3</f>
        <v>#VALUE!</v>
      </c>
      <c r="F55" s="81" t="e">
        <f>('Zamfara Workings'!F55+'Katsina Workings'!F55+'Yobe Workings'!F55)/3</f>
        <v>#VALUE!</v>
      </c>
      <c r="G55" s="81" t="e">
        <f>('Zamfara Workings'!G55+'Katsina Workings'!G55+'Yobe Workings'!G55)/3</f>
        <v>#VALUE!</v>
      </c>
      <c r="H55" s="81" t="e">
        <f>('Zamfara Workings'!H55+'Katsina Workings'!H55+'Yobe Workings'!H55)/3</f>
        <v>#VALUE!</v>
      </c>
      <c r="I55" s="82">
        <f>('Zamfara Workings'!I55+'Katsina Workings'!I55+'Yobe Workings'!I55)/3</f>
        <v>1</v>
      </c>
      <c r="J55" s="81">
        <f>('Zamfara Workings'!J55+'Katsina Workings'!J55+'Yobe Workings'!J55)/3</f>
        <v>1</v>
      </c>
      <c r="K55" s="81">
        <f>('Zamfara Workings'!K55+'Katsina Workings'!K55+'Yobe Workings'!K55)/3</f>
        <v>1</v>
      </c>
      <c r="L55" s="44">
        <f>('Zamfara Workings'!L55+'Katsina Workings'!L55+'Yobe Workings'!L55)/3</f>
        <v>1</v>
      </c>
      <c r="M55" s="44">
        <f>('Zamfara Workings'!M55+'Katsina Workings'!M55+'Yobe Workings'!M55)/3</f>
        <v>1</v>
      </c>
      <c r="N55" s="43">
        <f>('Zamfara Workings'!N55+'Katsina Workings'!N55+'Yobe Workings'!N55)/3</f>
        <v>1</v>
      </c>
      <c r="O55" s="44">
        <f>('Zamfara Workings'!O55+'Katsina Workings'!O55+'Yobe Workings'!O55)/3</f>
        <v>1.075</v>
      </c>
      <c r="P55" s="44">
        <f>('Zamfara Workings'!P55+'Katsina Workings'!P55+'Yobe Workings'!P55)/3</f>
        <v>1.1500000000000001</v>
      </c>
      <c r="Q55" s="44">
        <f>('Zamfara Workings'!Q55+'Katsina Workings'!Q55+'Yobe Workings'!Q55)/3</f>
        <v>1.2250000000000001</v>
      </c>
      <c r="R55" s="43">
        <f>('Zamfara Workings'!R55+'Katsina Workings'!R55+'Yobe Workings'!R55)/3</f>
        <v>1.3</v>
      </c>
      <c r="S55" s="44">
        <f>('Zamfara Workings'!S55+'Katsina Workings'!S55+'Yobe Workings'!S55)/3</f>
        <v>1.4888888888888889</v>
      </c>
      <c r="T55" s="44">
        <f>('Zamfara Workings'!T55+'Katsina Workings'!T55+'Yobe Workings'!T55)/3</f>
        <v>1.6777777777777778</v>
      </c>
      <c r="U55" s="44">
        <f>('Zamfara Workings'!U55+'Katsina Workings'!U55+'Yobe Workings'!U55)/3</f>
        <v>1.8666666666666665</v>
      </c>
      <c r="V55" s="44">
        <f>('Zamfara Workings'!V55+'Katsina Workings'!V55+'Yobe Workings'!V55)/3</f>
        <v>2.0555555555555554</v>
      </c>
      <c r="W55" s="44">
        <f>('Zamfara Workings'!W55+'Katsina Workings'!W55+'Yobe Workings'!W55)/3</f>
        <v>2.7999999999999994</v>
      </c>
      <c r="X55" s="44">
        <f>('Zamfara Workings'!X55+'Katsina Workings'!X55+'Yobe Workings'!X55)/3</f>
        <v>3.0999999999999996</v>
      </c>
      <c r="Y55" s="43">
        <f>('Zamfara Workings'!Y55+'Katsina Workings'!Y55+'Yobe Workings'!Y55)/3</f>
        <v>3.1</v>
      </c>
      <c r="Z55" s="44">
        <f>('Zamfara Workings'!Z55+'Katsina Workings'!Z55+'Yobe Workings'!Z55)/3</f>
        <v>3.1</v>
      </c>
      <c r="AA55" s="38">
        <v>5</v>
      </c>
      <c r="AB55" s="420">
        <f>AA55/22</f>
        <v>0.22727272727272727</v>
      </c>
      <c r="AC55" s="340"/>
      <c r="AD55" s="450">
        <f>V55</f>
        <v>2.0555555555555554</v>
      </c>
      <c r="AF55" s="339">
        <f t="shared" ref="AF55:AG56" si="17">IF($AG$1=16,R55,IF($AG$1=17,S55,IF($AG$1=18,T55,IF($AG$1=19,U55,IF($AG$1=20,V55,IF($AG$1=21,W55,IF($AG$1=22,X55,0)))))))</f>
        <v>2.7999999999999994</v>
      </c>
      <c r="AG55" s="339">
        <f t="shared" si="17"/>
        <v>3.0999999999999996</v>
      </c>
      <c r="AI55" s="338"/>
    </row>
    <row r="56" spans="1:35" s="340" customFormat="1" ht="15.75" thickBot="1">
      <c r="A56" s="45"/>
      <c r="B56" s="46" t="s">
        <v>140</v>
      </c>
      <c r="C56" s="79" t="e">
        <f>('Zamfara Workings'!C56+'Katsina Workings'!C56+'Yobe Workings'!C56)/3</f>
        <v>#VALUE!</v>
      </c>
      <c r="D56" s="436">
        <f>('Zamfara Workings'!D56+'Katsina Workings'!D56+'Yobe Workings'!D56)/3</f>
        <v>0</v>
      </c>
      <c r="E56" s="437">
        <f>('Zamfara Workings'!E56+'Katsina Workings'!E56+'Yobe Workings'!E56)/3</f>
        <v>0</v>
      </c>
      <c r="F56" s="437">
        <f>('Zamfara Workings'!F56+'Katsina Workings'!F56+'Yobe Workings'!F56)/3</f>
        <v>0</v>
      </c>
      <c r="G56" s="437">
        <f>('Zamfara Workings'!G56+'Katsina Workings'!G56+'Yobe Workings'!G56)/3</f>
        <v>0</v>
      </c>
      <c r="H56" s="437">
        <f>('Zamfara Workings'!H56+'Katsina Workings'!H56+'Yobe Workings'!H56)/3</f>
        <v>0</v>
      </c>
      <c r="I56" s="437">
        <f>('Zamfara Workings'!I56+'Katsina Workings'!I56+'Yobe Workings'!I56)/3</f>
        <v>0</v>
      </c>
      <c r="J56" s="437">
        <f>('Zamfara Workings'!J56+'Katsina Workings'!J56+'Yobe Workings'!J56)/3</f>
        <v>0</v>
      </c>
      <c r="K56" s="437">
        <f>('Zamfara Workings'!K56+'Katsina Workings'!K56+'Yobe Workings'!K56)/3</f>
        <v>0</v>
      </c>
      <c r="L56" s="437">
        <f>('Zamfara Workings'!L56+'Katsina Workings'!L56+'Yobe Workings'!L56)/3</f>
        <v>0</v>
      </c>
      <c r="M56" s="437">
        <f>('Zamfara Workings'!M56+'Katsina Workings'!M56+'Yobe Workings'!M56)/3</f>
        <v>0</v>
      </c>
      <c r="N56" s="439">
        <f>('Zamfara Workings'!N56+'Katsina Workings'!N56+'Yobe Workings'!N56)/3</f>
        <v>1</v>
      </c>
      <c r="O56" s="440">
        <f>('Zamfara Workings'!O56+'Katsina Workings'!O56+'Yobe Workings'!O56)/3</f>
        <v>1</v>
      </c>
      <c r="P56" s="440">
        <f>('Zamfara Workings'!P56+'Katsina Workings'!P56+'Yobe Workings'!P56)/3</f>
        <v>1.0666666666666667</v>
      </c>
      <c r="Q56" s="440">
        <f>('Zamfara Workings'!Q56+'Katsina Workings'!Q56+'Yobe Workings'!Q56)/3</f>
        <v>1.5</v>
      </c>
      <c r="R56" s="437">
        <f>('Zamfara Workings'!R56+'Katsina Workings'!R56+'Yobe Workings'!R56)/3</f>
        <v>2.6666666666666665</v>
      </c>
      <c r="S56" s="437">
        <f>('Zamfara Workings'!S56+'Katsina Workings'!S56+'Yobe Workings'!S56)/3</f>
        <v>3.0333333333333332</v>
      </c>
      <c r="T56" s="437">
        <f>('Zamfara Workings'!T56+'Katsina Workings'!T56+'Yobe Workings'!T56)/3</f>
        <v>3.1333333333333333</v>
      </c>
      <c r="U56" s="437">
        <f>('Zamfara Workings'!U56+'Katsina Workings'!U56+'Yobe Workings'!U56)/3</f>
        <v>3.2666666666666671</v>
      </c>
      <c r="V56" s="438">
        <f>('Zamfara Workings'!V56+'Katsina Workings'!V56+'Yobe Workings'!V56)/3</f>
        <v>3</v>
      </c>
      <c r="W56" s="80">
        <f>('Zamfara Workings'!W56+'Katsina Workings'!W56+'Yobe Workings'!W56)/3</f>
        <v>3.2666666666666671</v>
      </c>
      <c r="X56" s="69">
        <f>('Zamfara Workings'!X56+'Katsina Workings'!X56+'Yobe Workings'!X56)/3</f>
        <v>3.2666666666666671</v>
      </c>
      <c r="Y56" s="69">
        <f>('Zamfara Workings'!Y56+'Katsina Workings'!Y56+'Yobe Workings'!Y56)/3</f>
        <v>0</v>
      </c>
      <c r="Z56" s="69">
        <f>('Zamfara Workings'!Z56+'Katsina Workings'!Z56+'Yobe Workings'!Z56)/3</f>
        <v>0</v>
      </c>
      <c r="AA56" s="49"/>
      <c r="AB56" s="421"/>
      <c r="AD56" s="341">
        <f>V56</f>
        <v>3</v>
      </c>
      <c r="AE56" s="335"/>
      <c r="AF56" s="341">
        <f t="shared" si="17"/>
        <v>3.2666666666666671</v>
      </c>
      <c r="AG56" s="341">
        <f t="shared" si="17"/>
        <v>3.2666666666666671</v>
      </c>
      <c r="AH56" s="342">
        <f>AG56</f>
        <v>3.2666666666666671</v>
      </c>
      <c r="AI56" s="342">
        <f>AG56</f>
        <v>3.2666666666666671</v>
      </c>
    </row>
    <row r="57" spans="1:35" s="340" customFormat="1">
      <c r="A57" s="45"/>
      <c r="B57" s="46"/>
      <c r="C57" s="48"/>
      <c r="D57" s="83"/>
      <c r="E57" s="83"/>
      <c r="F57" s="83"/>
      <c r="G57" s="83"/>
      <c r="H57" s="83"/>
      <c r="I57" s="83"/>
      <c r="J57" s="83"/>
      <c r="K57" s="83"/>
      <c r="L57" s="48"/>
      <c r="M57" s="48"/>
      <c r="N57" s="48"/>
      <c r="O57" s="48"/>
      <c r="P57" s="48"/>
      <c r="Q57" s="48"/>
      <c r="R57" s="48"/>
      <c r="S57" s="48"/>
      <c r="T57" s="48"/>
      <c r="U57" s="48"/>
      <c r="V57" s="48"/>
      <c r="W57" s="48"/>
      <c r="X57" s="48"/>
      <c r="Y57" s="48"/>
      <c r="Z57" s="48"/>
      <c r="AA57" s="49"/>
      <c r="AB57" s="421"/>
      <c r="AE57" s="335"/>
      <c r="AH57" s="335"/>
      <c r="AI57" s="338"/>
    </row>
    <row r="58" spans="1:35" ht="15.75" thickBot="1">
      <c r="A58" s="41" t="s">
        <v>21</v>
      </c>
      <c r="B58" s="42" t="s">
        <v>139</v>
      </c>
      <c r="C58" s="43" t="e">
        <f>('Zamfara Workings'!C58+'Katsina Workings'!C58+'Yobe Workings'!C58)</f>
        <v>#VALUE!</v>
      </c>
      <c r="D58" s="73" t="e">
        <f>('Zamfara Workings'!D58+'Katsina Workings'!D58+'Yobe Workings'!D58)</f>
        <v>#VALUE!</v>
      </c>
      <c r="E58" s="73" t="e">
        <f>('Zamfara Workings'!E58+'Katsina Workings'!E58+'Yobe Workings'!E58)</f>
        <v>#VALUE!</v>
      </c>
      <c r="F58" s="73" t="e">
        <f>('Zamfara Workings'!F58+'Katsina Workings'!F58+'Yobe Workings'!F58)</f>
        <v>#VALUE!</v>
      </c>
      <c r="G58" s="73" t="e">
        <f>('Zamfara Workings'!G58+'Katsina Workings'!G58+'Yobe Workings'!G58)</f>
        <v>#VALUE!</v>
      </c>
      <c r="H58" s="73" t="e">
        <f>('Zamfara Workings'!H58+'Katsina Workings'!H58+'Yobe Workings'!H58)</f>
        <v>#VALUE!</v>
      </c>
      <c r="I58" s="74">
        <f>('Zamfara Workings'!I58+'Katsina Workings'!I58+'Yobe Workings'!I58)</f>
        <v>0</v>
      </c>
      <c r="J58" s="73">
        <f>('Zamfara Workings'!J58+'Katsina Workings'!J58+'Yobe Workings'!J58)</f>
        <v>0</v>
      </c>
      <c r="K58" s="73">
        <f>('Zamfara Workings'!K58+'Katsina Workings'!K58+'Yobe Workings'!K58)</f>
        <v>0</v>
      </c>
      <c r="L58" s="51">
        <f>('Zamfara Workings'!L58+'Katsina Workings'!L58+'Yobe Workings'!L58)</f>
        <v>0</v>
      </c>
      <c r="M58" s="51">
        <f>('Zamfara Workings'!M58+'Katsina Workings'!M58+'Yobe Workings'!M58)</f>
        <v>0</v>
      </c>
      <c r="N58" s="50">
        <f>('Zamfara Workings'!N58+'Katsina Workings'!N58+'Yobe Workings'!N58)</f>
        <v>0</v>
      </c>
      <c r="O58" s="51">
        <f>('Zamfara Workings'!O58+'Katsina Workings'!O58+'Yobe Workings'!O58)</f>
        <v>0.5</v>
      </c>
      <c r="P58" s="51">
        <f>('Zamfara Workings'!P58+'Katsina Workings'!P58+'Yobe Workings'!P58)</f>
        <v>1</v>
      </c>
      <c r="Q58" s="51">
        <f>('Zamfara Workings'!Q58+'Katsina Workings'!Q58+'Yobe Workings'!Q58)</f>
        <v>1.5</v>
      </c>
      <c r="R58" s="50">
        <f>('Zamfara Workings'!R58+'Katsina Workings'!R58+'Yobe Workings'!R58)</f>
        <v>2</v>
      </c>
      <c r="S58" s="51">
        <f>('Zamfara Workings'!S58+'Katsina Workings'!S58+'Yobe Workings'!S58)</f>
        <v>3</v>
      </c>
      <c r="T58" s="51">
        <f>('Zamfara Workings'!T58+'Katsina Workings'!T58+'Yobe Workings'!T58)</f>
        <v>3.9999999999999996</v>
      </c>
      <c r="U58" s="51">
        <f>('Zamfara Workings'!U58+'Katsina Workings'!U58+'Yobe Workings'!U58)</f>
        <v>5</v>
      </c>
      <c r="V58" s="51">
        <f>('Zamfara Workings'!V58+'Katsina Workings'!V58+'Yobe Workings'!V58)</f>
        <v>5.9999999999999991</v>
      </c>
      <c r="W58" s="51">
        <f>('Zamfara Workings'!W58+'Katsina Workings'!W58+'Yobe Workings'!W58)</f>
        <v>5.3333333333333339</v>
      </c>
      <c r="X58" s="51">
        <f>('Zamfara Workings'!X58+'Katsina Workings'!X58+'Yobe Workings'!X58)</f>
        <v>6</v>
      </c>
      <c r="Y58" s="50">
        <f>('Zamfara Workings'!Y58+'Katsina Workings'!Y58+'Yobe Workings'!Y58)</f>
        <v>6</v>
      </c>
      <c r="Z58" s="51">
        <f>('Zamfara Workings'!Z58+'Katsina Workings'!Z58+'Yobe Workings'!Z58)</f>
        <v>6</v>
      </c>
      <c r="AA58" s="38">
        <f>'Yobe Workings'!AA58*3</f>
        <v>30</v>
      </c>
      <c r="AB58" s="457">
        <f>AA58/22</f>
        <v>1.3636363636363635</v>
      </c>
      <c r="AC58" s="340"/>
      <c r="AD58" s="451">
        <f>V58</f>
        <v>5.9999999999999991</v>
      </c>
      <c r="AE58" s="346"/>
      <c r="AF58" s="453">
        <f t="shared" ref="AF58:AG59" si="18">IF($AG$1=16,R58,IF($AG$1=17,S58,IF($AG$1=18,T58,IF($AG$1=19,U58,IF($AG$1=20,V58,IF($AG$1=21,W58,IF($AG$1=22,X58,0)))))))</f>
        <v>5.3333333333333339</v>
      </c>
      <c r="AG58" s="453">
        <f t="shared" si="18"/>
        <v>6</v>
      </c>
      <c r="AI58" s="338"/>
    </row>
    <row r="59" spans="1:35" s="340" customFormat="1" ht="15.75" thickBot="1">
      <c r="A59" s="45"/>
      <c r="B59" s="46" t="s">
        <v>140</v>
      </c>
      <c r="C59" s="79" t="e">
        <f>('Zamfara Workings'!C59+'Katsina Workings'!C59+'Yobe Workings'!C59)</f>
        <v>#VALUE!</v>
      </c>
      <c r="D59" s="441">
        <f>('Zamfara Workings'!D59+'Katsina Workings'!D59+'Yobe Workings'!D59)</f>
        <v>0</v>
      </c>
      <c r="E59" s="442">
        <f>('Zamfara Workings'!E59+'Katsina Workings'!E59+'Yobe Workings'!E59)</f>
        <v>0</v>
      </c>
      <c r="F59" s="442">
        <f>('Zamfara Workings'!F59+'Katsina Workings'!F59+'Yobe Workings'!F59)</f>
        <v>0</v>
      </c>
      <c r="G59" s="442">
        <f>('Zamfara Workings'!G59+'Katsina Workings'!G59+'Yobe Workings'!G59)</f>
        <v>0</v>
      </c>
      <c r="H59" s="442">
        <f>('Zamfara Workings'!H59+'Katsina Workings'!H59+'Yobe Workings'!H59)</f>
        <v>0</v>
      </c>
      <c r="I59" s="442">
        <f>('Zamfara Workings'!I59+'Katsina Workings'!I59+'Yobe Workings'!I59)</f>
        <v>0</v>
      </c>
      <c r="J59" s="442">
        <f>('Zamfara Workings'!J59+'Katsina Workings'!J59+'Yobe Workings'!J59)</f>
        <v>0</v>
      </c>
      <c r="K59" s="442">
        <f>('Zamfara Workings'!K59+'Katsina Workings'!K59+'Yobe Workings'!K59)</f>
        <v>0</v>
      </c>
      <c r="L59" s="442">
        <f>('Zamfara Workings'!L59+'Katsina Workings'!L59+'Yobe Workings'!L59)</f>
        <v>0</v>
      </c>
      <c r="M59" s="442">
        <f>('Zamfara Workings'!M59+'Katsina Workings'!M59+'Yobe Workings'!M59)</f>
        <v>0</v>
      </c>
      <c r="N59" s="443">
        <f>('Zamfara Workings'!N59+'Katsina Workings'!N59+'Yobe Workings'!N59)</f>
        <v>0</v>
      </c>
      <c r="O59" s="444">
        <f>('Zamfara Workings'!O59+'Katsina Workings'!O59+'Yobe Workings'!O59)</f>
        <v>0</v>
      </c>
      <c r="P59" s="444">
        <f>('Zamfara Workings'!P59+'Katsina Workings'!P59+'Yobe Workings'!P59)</f>
        <v>2</v>
      </c>
      <c r="Q59" s="444">
        <f>('Zamfara Workings'!Q59+'Katsina Workings'!Q59+'Yobe Workings'!Q59)</f>
        <v>2</v>
      </c>
      <c r="R59" s="442">
        <f>('Zamfara Workings'!R59+'Katsina Workings'!R59+'Yobe Workings'!R59)</f>
        <v>3</v>
      </c>
      <c r="S59" s="442">
        <f>('Zamfara Workings'!S59+'Katsina Workings'!S59+'Yobe Workings'!S59)</f>
        <v>5</v>
      </c>
      <c r="T59" s="442">
        <f>('Zamfara Workings'!T59+'Katsina Workings'!T59+'Yobe Workings'!T59)</f>
        <v>7</v>
      </c>
      <c r="U59" s="442">
        <f>('Zamfara Workings'!U59+'Katsina Workings'!U59+'Yobe Workings'!U59)</f>
        <v>7</v>
      </c>
      <c r="V59" s="445">
        <f>('Zamfara Workings'!V59+'Katsina Workings'!V59+'Yobe Workings'!V59)</f>
        <v>8</v>
      </c>
      <c r="W59" s="72">
        <f>('Zamfara Workings'!W59+'Katsina Workings'!W59+'Yobe Workings'!W59)</f>
        <v>8</v>
      </c>
      <c r="X59" s="70">
        <f>('Zamfara Workings'!X59+'Katsina Workings'!X59+'Yobe Workings'!X59)</f>
        <v>8</v>
      </c>
      <c r="Y59" s="70">
        <f>('Zamfara Workings'!Y59+'Katsina Workings'!Y59+'Yobe Workings'!Y59)</f>
        <v>0</v>
      </c>
      <c r="Z59" s="70">
        <f>('Zamfara Workings'!Z59+'Katsina Workings'!Z59+'Yobe Workings'!Z59)</f>
        <v>0</v>
      </c>
      <c r="AA59" s="49"/>
      <c r="AB59" s="421"/>
      <c r="AD59" s="452">
        <f>V59</f>
        <v>8</v>
      </c>
      <c r="AE59" s="346"/>
      <c r="AF59" s="452">
        <f t="shared" si="18"/>
        <v>8</v>
      </c>
      <c r="AG59" s="452">
        <f t="shared" si="18"/>
        <v>8</v>
      </c>
      <c r="AH59" s="342">
        <f>AG59</f>
        <v>8</v>
      </c>
      <c r="AI59" s="342">
        <f>AG59</f>
        <v>8</v>
      </c>
    </row>
    <row r="60" spans="1:35" s="340" customFormat="1">
      <c r="A60" s="45"/>
      <c r="B60" s="46"/>
      <c r="C60" s="53"/>
      <c r="D60" s="83"/>
      <c r="E60" s="83"/>
      <c r="F60" s="83"/>
      <c r="G60" s="83"/>
      <c r="H60" s="83"/>
      <c r="I60" s="83"/>
      <c r="J60" s="83"/>
      <c r="K60" s="83"/>
      <c r="L60" s="53"/>
      <c r="M60" s="53"/>
      <c r="N60" s="53"/>
      <c r="O60" s="53"/>
      <c r="P60" s="53"/>
      <c r="Q60" s="53"/>
      <c r="R60" s="48"/>
      <c r="S60" s="48"/>
      <c r="T60" s="48"/>
      <c r="U60" s="48"/>
      <c r="V60" s="48"/>
      <c r="W60" s="48"/>
      <c r="X60" s="48"/>
      <c r="Y60" s="48"/>
      <c r="Z60" s="48"/>
      <c r="AA60" s="49"/>
      <c r="AB60" s="421"/>
      <c r="AE60" s="335"/>
      <c r="AH60" s="335"/>
      <c r="AI60" s="338"/>
    </row>
    <row r="61" spans="1:35" ht="15.75" thickBot="1">
      <c r="A61" s="41" t="s">
        <v>166</v>
      </c>
      <c r="B61" s="42" t="s">
        <v>202</v>
      </c>
      <c r="C61" s="43" t="e">
        <f>('Zamfara Workings'!C61+'Katsina Workings'!C61+'Yobe Workings'!C61)</f>
        <v>#VALUE!</v>
      </c>
      <c r="D61" s="73" t="e">
        <f>('Zamfara Workings'!D61+'Katsina Workings'!D61+'Yobe Workings'!D61)</f>
        <v>#VALUE!</v>
      </c>
      <c r="E61" s="73" t="e">
        <f>('Zamfara Workings'!E61+'Katsina Workings'!E61+'Yobe Workings'!E61)</f>
        <v>#VALUE!</v>
      </c>
      <c r="F61" s="73" t="e">
        <f>('Zamfara Workings'!F61+'Katsina Workings'!F61+'Yobe Workings'!F61)</f>
        <v>#VALUE!</v>
      </c>
      <c r="G61" s="73" t="e">
        <f>('Zamfara Workings'!G61+'Katsina Workings'!G61+'Yobe Workings'!G61)</f>
        <v>#VALUE!</v>
      </c>
      <c r="H61" s="73" t="e">
        <f>('Zamfara Workings'!H61+'Katsina Workings'!H61+'Yobe Workings'!H61)</f>
        <v>#VALUE!</v>
      </c>
      <c r="I61" s="74">
        <f>('Zamfara Workings'!I61+'Katsina Workings'!I61+'Yobe Workings'!I61)</f>
        <v>2</v>
      </c>
      <c r="J61" s="73">
        <f>('Zamfara Workings'!J61+'Katsina Workings'!J61+'Yobe Workings'!J61)</f>
        <v>2.5</v>
      </c>
      <c r="K61" s="73">
        <f>('Zamfara Workings'!K61+'Katsina Workings'!K61+'Yobe Workings'!K61)</f>
        <v>3</v>
      </c>
      <c r="L61" s="51">
        <f>('Zamfara Workings'!L61+'Katsina Workings'!L61+'Yobe Workings'!L61)</f>
        <v>3.5</v>
      </c>
      <c r="M61" s="51">
        <f>('Zamfara Workings'!M61+'Katsina Workings'!M61+'Yobe Workings'!M61)</f>
        <v>4</v>
      </c>
      <c r="N61" s="50">
        <f>('Zamfara Workings'!N61+'Katsina Workings'!N61+'Yobe Workings'!N61)</f>
        <v>5</v>
      </c>
      <c r="O61" s="51">
        <f>('Zamfara Workings'!O61+'Katsina Workings'!O61+'Yobe Workings'!O61)</f>
        <v>6.75</v>
      </c>
      <c r="P61" s="51">
        <f>('Zamfara Workings'!P61+'Katsina Workings'!P61+'Yobe Workings'!P61)</f>
        <v>8.5</v>
      </c>
      <c r="Q61" s="51">
        <f>('Zamfara Workings'!Q61+'Katsina Workings'!Q61+'Yobe Workings'!Q61)</f>
        <v>10.25</v>
      </c>
      <c r="R61" s="50">
        <f>('Zamfara Workings'!R61+'Katsina Workings'!R61+'Yobe Workings'!R61)</f>
        <v>12</v>
      </c>
      <c r="S61" s="51">
        <f>('Zamfara Workings'!S61+'Katsina Workings'!S61+'Yobe Workings'!S61)</f>
        <v>13.166666666666668</v>
      </c>
      <c r="T61" s="51">
        <f>('Zamfara Workings'!T61+'Katsina Workings'!T61+'Yobe Workings'!T61)</f>
        <v>14.333333333333334</v>
      </c>
      <c r="U61" s="51">
        <f>('Zamfara Workings'!U61+'Katsina Workings'!U61+'Yobe Workings'!U61)</f>
        <v>15.5</v>
      </c>
      <c r="V61" s="51">
        <f>('Zamfara Workings'!V61+'Katsina Workings'!V61+'Yobe Workings'!V61)</f>
        <v>16.666666666666668</v>
      </c>
      <c r="W61" s="51">
        <f>('Zamfara Workings'!W61+'Katsina Workings'!W61+'Yobe Workings'!W61)</f>
        <v>24.5</v>
      </c>
      <c r="X61" s="51">
        <f>('Zamfara Workings'!X61+'Katsina Workings'!X61+'Yobe Workings'!X61)</f>
        <v>27</v>
      </c>
      <c r="Y61" s="50">
        <f>('Zamfara Workings'!Y61+'Katsina Workings'!Y61+'Yobe Workings'!Y61)</f>
        <v>27</v>
      </c>
      <c r="Z61" s="51">
        <f>('Zamfara Workings'!Z61+'Katsina Workings'!Z61+'Yobe Workings'!Z61)</f>
        <v>27</v>
      </c>
      <c r="AA61" s="38">
        <f>'Yobe Workings'!AA61*3</f>
        <v>60</v>
      </c>
      <c r="AB61" s="457">
        <f>AA61/22</f>
        <v>2.7272727272727271</v>
      </c>
      <c r="AC61" s="340"/>
      <c r="AD61" s="451">
        <f>V61</f>
        <v>16.666666666666668</v>
      </c>
      <c r="AE61" s="346"/>
      <c r="AF61" s="453">
        <f t="shared" ref="AF61:AG62" si="19">IF($AG$1=16,R61,IF($AG$1=17,S61,IF($AG$1=18,T61,IF($AG$1=19,U61,IF($AG$1=20,V61,IF($AG$1=21,W61,IF($AG$1=22,X61,0)))))))</f>
        <v>24.5</v>
      </c>
      <c r="AG61" s="453">
        <f t="shared" si="19"/>
        <v>27</v>
      </c>
      <c r="AI61" s="338"/>
    </row>
    <row r="62" spans="1:35" s="340" customFormat="1" ht="15.75" thickBot="1">
      <c r="A62" s="45"/>
      <c r="B62" s="46" t="s">
        <v>203</v>
      </c>
      <c r="C62" s="79" t="e">
        <f>('Zamfara Workings'!C62+'Katsina Workings'!C62+'Yobe Workings'!C62)</f>
        <v>#VALUE!</v>
      </c>
      <c r="D62" s="441">
        <f>('Zamfara Workings'!D62+'Katsina Workings'!D62+'Yobe Workings'!D62)</f>
        <v>0</v>
      </c>
      <c r="E62" s="442">
        <f>('Zamfara Workings'!E62+'Katsina Workings'!E62+'Yobe Workings'!E62)</f>
        <v>0</v>
      </c>
      <c r="F62" s="442">
        <f>('Zamfara Workings'!F62+'Katsina Workings'!F62+'Yobe Workings'!F62)</f>
        <v>0</v>
      </c>
      <c r="G62" s="442">
        <f>('Zamfara Workings'!G62+'Katsina Workings'!G62+'Yobe Workings'!G62)</f>
        <v>0</v>
      </c>
      <c r="H62" s="442">
        <f>('Zamfara Workings'!H62+'Katsina Workings'!H62+'Yobe Workings'!H62)</f>
        <v>0</v>
      </c>
      <c r="I62" s="442">
        <f>('Zamfara Workings'!I62+'Katsina Workings'!I62+'Yobe Workings'!I62)</f>
        <v>0</v>
      </c>
      <c r="J62" s="442">
        <f>('Zamfara Workings'!J62+'Katsina Workings'!J62+'Yobe Workings'!J62)</f>
        <v>0</v>
      </c>
      <c r="K62" s="442">
        <f>('Zamfara Workings'!K62+'Katsina Workings'!K62+'Yobe Workings'!K62)</f>
        <v>0</v>
      </c>
      <c r="L62" s="442">
        <f>('Zamfara Workings'!L62+'Katsina Workings'!L62+'Yobe Workings'!L62)</f>
        <v>0</v>
      </c>
      <c r="M62" s="442">
        <f>('Zamfara Workings'!M62+'Katsina Workings'!M62+'Yobe Workings'!M62)</f>
        <v>0</v>
      </c>
      <c r="N62" s="443">
        <f>('Zamfara Workings'!N62+'Katsina Workings'!N62+'Yobe Workings'!N62)</f>
        <v>2</v>
      </c>
      <c r="O62" s="444">
        <f>('Zamfara Workings'!O62+'Katsina Workings'!O62+'Yobe Workings'!O62)</f>
        <v>3</v>
      </c>
      <c r="P62" s="444">
        <f>('Zamfara Workings'!P62+'Katsina Workings'!P62+'Yobe Workings'!P62)</f>
        <v>5</v>
      </c>
      <c r="Q62" s="444">
        <f>('Zamfara Workings'!Q62+'Katsina Workings'!Q62+'Yobe Workings'!Q62)</f>
        <v>23</v>
      </c>
      <c r="R62" s="442">
        <f>('Zamfara Workings'!R62+'Katsina Workings'!R62+'Yobe Workings'!R62)</f>
        <v>28</v>
      </c>
      <c r="S62" s="442">
        <f>('Zamfara Workings'!S62+'Katsina Workings'!S62+'Yobe Workings'!S62)</f>
        <v>31</v>
      </c>
      <c r="T62" s="442">
        <f>('Zamfara Workings'!T62+'Katsina Workings'!T62+'Yobe Workings'!T62)</f>
        <v>35</v>
      </c>
      <c r="U62" s="442">
        <f>('Zamfara Workings'!U62+'Katsina Workings'!U62+'Yobe Workings'!U62)</f>
        <v>36</v>
      </c>
      <c r="V62" s="445">
        <f>('Zamfara Workings'!V62+'Katsina Workings'!V62+'Yobe Workings'!V62)</f>
        <v>32</v>
      </c>
      <c r="W62" s="72">
        <f>('Zamfara Workings'!W62+'Katsina Workings'!W62+'Yobe Workings'!W62)</f>
        <v>33</v>
      </c>
      <c r="X62" s="70">
        <f>('Zamfara Workings'!X62+'Katsina Workings'!X62+'Yobe Workings'!X62)</f>
        <v>37</v>
      </c>
      <c r="Y62" s="70">
        <f>('Zamfara Workings'!Y62+'Katsina Workings'!Y62+'Yobe Workings'!Y62)</f>
        <v>0</v>
      </c>
      <c r="Z62" s="70">
        <f>('Zamfara Workings'!Z62+'Katsina Workings'!Z62+'Yobe Workings'!Z62)</f>
        <v>0</v>
      </c>
      <c r="AA62" s="49"/>
      <c r="AB62" s="421"/>
      <c r="AD62" s="452">
        <f>V62</f>
        <v>32</v>
      </c>
      <c r="AE62" s="346"/>
      <c r="AF62" s="452">
        <f t="shared" si="19"/>
        <v>33</v>
      </c>
      <c r="AG62" s="452">
        <f t="shared" si="19"/>
        <v>37</v>
      </c>
      <c r="AH62" s="342">
        <f>AG62</f>
        <v>37</v>
      </c>
      <c r="AI62" s="342">
        <f>AG62</f>
        <v>37</v>
      </c>
    </row>
    <row r="63" spans="1:35" s="340" customFormat="1">
      <c r="A63" s="45"/>
      <c r="B63" s="46"/>
      <c r="C63" s="53"/>
      <c r="D63" s="427"/>
      <c r="E63" s="427"/>
      <c r="F63" s="427"/>
      <c r="G63" s="75"/>
      <c r="H63" s="75"/>
      <c r="I63" s="75"/>
      <c r="J63" s="75"/>
      <c r="K63" s="75"/>
      <c r="L63" s="53"/>
      <c r="M63" s="53"/>
      <c r="N63" s="53"/>
      <c r="O63" s="53"/>
      <c r="P63" s="53"/>
      <c r="Q63" s="53"/>
      <c r="R63" s="53"/>
      <c r="S63" s="53"/>
      <c r="T63" s="53"/>
      <c r="U63" s="53"/>
      <c r="V63" s="53"/>
      <c r="W63" s="53"/>
      <c r="X63" s="53"/>
      <c r="Y63" s="53"/>
      <c r="Z63" s="53"/>
      <c r="AA63" s="49"/>
      <c r="AB63" s="421"/>
      <c r="AD63" s="345"/>
      <c r="AE63" s="346"/>
      <c r="AF63" s="345"/>
      <c r="AG63" s="345"/>
      <c r="AH63" s="335"/>
      <c r="AI63" s="338"/>
    </row>
    <row r="64" spans="1:35" ht="15.75" thickBot="1">
      <c r="A64" s="41" t="s">
        <v>167</v>
      </c>
      <c r="B64" s="42" t="s">
        <v>213</v>
      </c>
      <c r="C64" s="43">
        <f>('Zamfara Workings'!C64+'Katsina Workings'!C64+'Yobe Workings'!C64)</f>
        <v>0</v>
      </c>
      <c r="D64" s="73">
        <f>('Zamfara Workings'!D64+'Katsina Workings'!D64+'Yobe Workings'!D64)</f>
        <v>0</v>
      </c>
      <c r="E64" s="73">
        <f>('Zamfara Workings'!E64+'Katsina Workings'!E64+'Yobe Workings'!E64)</f>
        <v>0</v>
      </c>
      <c r="F64" s="73">
        <f>('Zamfara Workings'!F64+'Katsina Workings'!F64+'Yobe Workings'!F64)</f>
        <v>0</v>
      </c>
      <c r="G64" s="73">
        <f>('Zamfara Workings'!G64+'Katsina Workings'!G64+'Yobe Workings'!G64)</f>
        <v>0</v>
      </c>
      <c r="H64" s="73">
        <f>('Zamfara Workings'!H64+'Katsina Workings'!H64+'Yobe Workings'!H64)</f>
        <v>0</v>
      </c>
      <c r="I64" s="74">
        <f>('Zamfara Workings'!I64+'Katsina Workings'!I64+'Yobe Workings'!I64)</f>
        <v>0</v>
      </c>
      <c r="J64" s="73">
        <f>('Zamfara Workings'!J64+'Katsina Workings'!J64+'Yobe Workings'!J64)</f>
        <v>0.33333333333333331</v>
      </c>
      <c r="K64" s="73">
        <f>('Zamfara Workings'!K64+'Katsina Workings'!K64+'Yobe Workings'!K64)</f>
        <v>0.66666666666666663</v>
      </c>
      <c r="L64" s="51">
        <f>('Zamfara Workings'!L64+'Katsina Workings'!L64+'Yobe Workings'!L64)</f>
        <v>1</v>
      </c>
      <c r="M64" s="51">
        <f>('Zamfara Workings'!M64+'Katsina Workings'!M64+'Yobe Workings'!M64)</f>
        <v>1.3333333333333333</v>
      </c>
      <c r="N64" s="50">
        <f>('Zamfara Workings'!N64+'Katsina Workings'!N64+'Yobe Workings'!N64)</f>
        <v>2</v>
      </c>
      <c r="O64" s="51">
        <f>('Zamfara Workings'!O64+'Katsina Workings'!O64+'Yobe Workings'!O64)</f>
        <v>3</v>
      </c>
      <c r="P64" s="51">
        <f>('Zamfara Workings'!P64+'Katsina Workings'!P64+'Yobe Workings'!P64)</f>
        <v>4</v>
      </c>
      <c r="Q64" s="51">
        <f>('Zamfara Workings'!Q64+'Katsina Workings'!Q64+'Yobe Workings'!Q64)</f>
        <v>5</v>
      </c>
      <c r="R64" s="50">
        <f>('Zamfara Workings'!R64+'Katsina Workings'!R64+'Yobe Workings'!R64)</f>
        <v>6</v>
      </c>
      <c r="S64" s="51">
        <f>('Zamfara Workings'!S64+'Katsina Workings'!S64+'Yobe Workings'!S64)</f>
        <v>7</v>
      </c>
      <c r="T64" s="51">
        <f>('Zamfara Workings'!T64+'Katsina Workings'!T64+'Yobe Workings'!T64)</f>
        <v>8</v>
      </c>
      <c r="U64" s="51">
        <f>('Zamfara Workings'!U64+'Katsina Workings'!U64+'Yobe Workings'!U64)</f>
        <v>9.0000000000000018</v>
      </c>
      <c r="V64" s="51">
        <f>('Zamfara Workings'!V64+'Katsina Workings'!V64+'Yobe Workings'!V64)</f>
        <v>10.000000000000002</v>
      </c>
      <c r="W64" s="51">
        <f>('Zamfara Workings'!W64+'Katsina Workings'!W64+'Yobe Workings'!W64)</f>
        <v>21</v>
      </c>
      <c r="X64" s="51">
        <f>('Zamfara Workings'!X64+'Katsina Workings'!X64+'Yobe Workings'!X64)</f>
        <v>24</v>
      </c>
      <c r="Y64" s="50">
        <f>('Zamfara Workings'!Y64+'Katsina Workings'!Y64+'Yobe Workings'!Y64)</f>
        <v>24</v>
      </c>
      <c r="Z64" s="51">
        <f>('Zamfara Workings'!Z64+'Katsina Workings'!Z64+'Yobe Workings'!Z64)</f>
        <v>24</v>
      </c>
      <c r="AA64" s="38">
        <f>'Yobe Workings'!AA64*3</f>
        <v>60</v>
      </c>
      <c r="AB64" s="457">
        <f>AA64/22</f>
        <v>2.7272727272727271</v>
      </c>
      <c r="AC64" s="340"/>
      <c r="AD64" s="451">
        <f>V64</f>
        <v>10.000000000000002</v>
      </c>
      <c r="AE64" s="346"/>
      <c r="AF64" s="453">
        <f t="shared" ref="AF64:AG65" si="20">IF($AG$1=16,R64,IF($AG$1=17,S64,IF($AG$1=18,T64,IF($AG$1=19,U64,IF($AG$1=20,V64,IF($AG$1=21,W64,IF($AG$1=22,X64,0)))))))</f>
        <v>21</v>
      </c>
      <c r="AG64" s="453">
        <f t="shared" si="20"/>
        <v>24</v>
      </c>
      <c r="AI64" s="338"/>
    </row>
    <row r="65" spans="1:35" s="340" customFormat="1" ht="15.75" thickBot="1">
      <c r="A65" s="45"/>
      <c r="B65" s="46" t="s">
        <v>212</v>
      </c>
      <c r="C65" s="79">
        <f>('Zamfara Workings'!C65+'Katsina Workings'!C65+'Yobe Workings'!C65)</f>
        <v>0</v>
      </c>
      <c r="D65" s="441">
        <f>('Zamfara Workings'!D65+'Katsina Workings'!D65+'Yobe Workings'!D65)</f>
        <v>0</v>
      </c>
      <c r="E65" s="442">
        <f>('Zamfara Workings'!E65+'Katsina Workings'!E65+'Yobe Workings'!E65)</f>
        <v>0</v>
      </c>
      <c r="F65" s="442">
        <f>('Zamfara Workings'!F65+'Katsina Workings'!F65+'Yobe Workings'!F65)</f>
        <v>0</v>
      </c>
      <c r="G65" s="442">
        <f>('Zamfara Workings'!G65+'Katsina Workings'!G65+'Yobe Workings'!G65)</f>
        <v>0</v>
      </c>
      <c r="H65" s="442">
        <f>('Zamfara Workings'!H65+'Katsina Workings'!H65+'Yobe Workings'!H65)</f>
        <v>0</v>
      </c>
      <c r="I65" s="442">
        <f>('Zamfara Workings'!I65+'Katsina Workings'!I65+'Yobe Workings'!I65)</f>
        <v>0</v>
      </c>
      <c r="J65" s="442">
        <f>('Zamfara Workings'!J65+'Katsina Workings'!J65+'Yobe Workings'!J65)</f>
        <v>0</v>
      </c>
      <c r="K65" s="442">
        <f>('Zamfara Workings'!K65+'Katsina Workings'!K65+'Yobe Workings'!K65)</f>
        <v>0</v>
      </c>
      <c r="L65" s="442">
        <f>('Zamfara Workings'!L65+'Katsina Workings'!L65+'Yobe Workings'!L65)</f>
        <v>0</v>
      </c>
      <c r="M65" s="442">
        <f>('Zamfara Workings'!M65+'Katsina Workings'!M65+'Yobe Workings'!M65)</f>
        <v>0</v>
      </c>
      <c r="N65" s="443">
        <f>('Zamfara Workings'!N65+'Katsina Workings'!N65+'Yobe Workings'!N65)</f>
        <v>0</v>
      </c>
      <c r="O65" s="444">
        <f>('Zamfara Workings'!O65+'Katsina Workings'!O65+'Yobe Workings'!O65)</f>
        <v>1</v>
      </c>
      <c r="P65" s="444">
        <f>('Zamfara Workings'!P65+'Katsina Workings'!P65+'Yobe Workings'!P65)</f>
        <v>3</v>
      </c>
      <c r="Q65" s="444">
        <f>('Zamfara Workings'!Q65+'Katsina Workings'!Q65+'Yobe Workings'!Q65)</f>
        <v>12</v>
      </c>
      <c r="R65" s="442">
        <f>('Zamfara Workings'!R65+'Katsina Workings'!R65+'Yobe Workings'!R65)</f>
        <v>18</v>
      </c>
      <c r="S65" s="442">
        <f>('Zamfara Workings'!S65+'Katsina Workings'!S65+'Yobe Workings'!S65)</f>
        <v>20</v>
      </c>
      <c r="T65" s="442">
        <f>('Zamfara Workings'!T65+'Katsina Workings'!T65+'Yobe Workings'!T65)</f>
        <v>26</v>
      </c>
      <c r="U65" s="442">
        <f>('Zamfara Workings'!U65+'Katsina Workings'!U65+'Yobe Workings'!U65)</f>
        <v>27</v>
      </c>
      <c r="V65" s="445">
        <f>('Zamfara Workings'!V65+'Katsina Workings'!V65+'Yobe Workings'!V65)</f>
        <v>29</v>
      </c>
      <c r="W65" s="72">
        <f>('Zamfara Workings'!W65+'Katsina Workings'!W65+'Yobe Workings'!W65)</f>
        <v>29</v>
      </c>
      <c r="X65" s="70">
        <f>('Zamfara Workings'!X65+'Katsina Workings'!X65+'Yobe Workings'!X65)</f>
        <v>34</v>
      </c>
      <c r="Y65" s="70">
        <f>('Zamfara Workings'!Y65+'Katsina Workings'!Y65+'Yobe Workings'!Y65)</f>
        <v>0</v>
      </c>
      <c r="Z65" s="70">
        <f>('Zamfara Workings'!Z65+'Katsina Workings'!Z65+'Yobe Workings'!Z65)</f>
        <v>0</v>
      </c>
      <c r="AA65" s="49"/>
      <c r="AB65" s="421"/>
      <c r="AD65" s="452">
        <f>V65</f>
        <v>29</v>
      </c>
      <c r="AE65" s="346"/>
      <c r="AF65" s="452">
        <f t="shared" si="20"/>
        <v>29</v>
      </c>
      <c r="AG65" s="452">
        <f t="shared" si="20"/>
        <v>34</v>
      </c>
      <c r="AH65" s="342">
        <f>AG65</f>
        <v>34</v>
      </c>
      <c r="AI65" s="342">
        <f>AG65</f>
        <v>34</v>
      </c>
    </row>
    <row r="66" spans="1:35" s="340" customFormat="1">
      <c r="A66" s="45"/>
      <c r="B66" s="46"/>
      <c r="C66" s="53"/>
      <c r="D66" s="427"/>
      <c r="E66" s="427"/>
      <c r="F66" s="427"/>
      <c r="G66" s="75"/>
      <c r="H66" s="75"/>
      <c r="I66" s="75"/>
      <c r="J66" s="75"/>
      <c r="K66" s="75"/>
      <c r="L66" s="53"/>
      <c r="M66" s="53"/>
      <c r="N66" s="53"/>
      <c r="O66" s="53"/>
      <c r="P66" s="53"/>
      <c r="Q66" s="53"/>
      <c r="R66" s="53"/>
      <c r="S66" s="53"/>
      <c r="T66" s="53"/>
      <c r="U66" s="53"/>
      <c r="V66" s="53"/>
      <c r="W66" s="53"/>
      <c r="X66" s="53"/>
      <c r="Y66" s="53"/>
      <c r="Z66" s="53"/>
      <c r="AA66" s="49"/>
      <c r="AB66" s="421"/>
      <c r="AD66" s="345"/>
      <c r="AE66" s="346"/>
      <c r="AF66" s="345"/>
      <c r="AG66" s="345"/>
      <c r="AH66" s="335"/>
      <c r="AI66" s="338"/>
    </row>
    <row r="67" spans="1:35" ht="15.75" thickBot="1">
      <c r="A67" s="41" t="s">
        <v>168</v>
      </c>
      <c r="B67" s="42" t="s">
        <v>211</v>
      </c>
      <c r="C67" s="43">
        <f>('Zamfara Workings'!C67+'Katsina Workings'!C67+'Yobe Workings'!C67)</f>
        <v>0</v>
      </c>
      <c r="D67" s="73">
        <f>('Zamfara Workings'!D67+'Katsina Workings'!D67+'Yobe Workings'!D67)</f>
        <v>0</v>
      </c>
      <c r="E67" s="73">
        <f>('Zamfara Workings'!E67+'Katsina Workings'!E67+'Yobe Workings'!E67)</f>
        <v>0</v>
      </c>
      <c r="F67" s="73">
        <f>('Zamfara Workings'!F67+'Katsina Workings'!F67+'Yobe Workings'!F67)</f>
        <v>0</v>
      </c>
      <c r="G67" s="73">
        <f>('Zamfara Workings'!G67+'Katsina Workings'!G67+'Yobe Workings'!G67)</f>
        <v>0</v>
      </c>
      <c r="H67" s="73">
        <f>('Zamfara Workings'!H67+'Katsina Workings'!H67+'Yobe Workings'!H67)</f>
        <v>0</v>
      </c>
      <c r="I67" s="74">
        <f>('Zamfara Workings'!I67+'Katsina Workings'!I67+'Yobe Workings'!I67)</f>
        <v>0</v>
      </c>
      <c r="J67" s="73">
        <f>('Zamfara Workings'!J67+'Katsina Workings'!J67+'Yobe Workings'!J67)</f>
        <v>0</v>
      </c>
      <c r="K67" s="73">
        <f>('Zamfara Workings'!K67+'Katsina Workings'!K67+'Yobe Workings'!K67)</f>
        <v>0</v>
      </c>
      <c r="L67" s="51">
        <f>('Zamfara Workings'!L67+'Katsina Workings'!L67+'Yobe Workings'!L67)</f>
        <v>0</v>
      </c>
      <c r="M67" s="51">
        <f>('Zamfara Workings'!M67+'Katsina Workings'!M67+'Yobe Workings'!M67)</f>
        <v>0</v>
      </c>
      <c r="N67" s="50">
        <f>('Zamfara Workings'!N67+'Katsina Workings'!N67+'Yobe Workings'!N67)</f>
        <v>0</v>
      </c>
      <c r="O67" s="51">
        <f>('Zamfara Workings'!O67+'Katsina Workings'!O67+'Yobe Workings'!O67)</f>
        <v>0.75</v>
      </c>
      <c r="P67" s="51">
        <f>('Zamfara Workings'!P67+'Katsina Workings'!P67+'Yobe Workings'!P67)</f>
        <v>1.5</v>
      </c>
      <c r="Q67" s="51">
        <f>('Zamfara Workings'!Q67+'Katsina Workings'!Q67+'Yobe Workings'!Q67)</f>
        <v>2.25</v>
      </c>
      <c r="R67" s="50">
        <f>('Zamfara Workings'!R67+'Katsina Workings'!R67+'Yobe Workings'!R67)</f>
        <v>3</v>
      </c>
      <c r="S67" s="51">
        <f>('Zamfara Workings'!S67+'Katsina Workings'!S67+'Yobe Workings'!S67)</f>
        <v>4</v>
      </c>
      <c r="T67" s="51">
        <f>('Zamfara Workings'!T67+'Katsina Workings'!T67+'Yobe Workings'!T67)</f>
        <v>5</v>
      </c>
      <c r="U67" s="51">
        <f>('Zamfara Workings'!U67+'Katsina Workings'!U67+'Yobe Workings'!U67)</f>
        <v>5.9999999999999991</v>
      </c>
      <c r="V67" s="51">
        <f>('Zamfara Workings'!V67+'Katsina Workings'!V67+'Yobe Workings'!V67)</f>
        <v>6.9999999999999991</v>
      </c>
      <c r="W67" s="51">
        <f>('Zamfara Workings'!W67+'Katsina Workings'!W67+'Yobe Workings'!W67)</f>
        <v>10.5</v>
      </c>
      <c r="X67" s="51">
        <f>('Zamfara Workings'!X67+'Katsina Workings'!X67+'Yobe Workings'!X67)</f>
        <v>12</v>
      </c>
      <c r="Y67" s="50">
        <f>('Zamfara Workings'!Y67+'Katsina Workings'!Y67+'Yobe Workings'!Y67)</f>
        <v>12</v>
      </c>
      <c r="Z67" s="51">
        <f>('Zamfara Workings'!Z67+'Katsina Workings'!Z67+'Yobe Workings'!Z67)</f>
        <v>12</v>
      </c>
      <c r="AA67" s="38">
        <f>'Yobe Workings'!AA67*3</f>
        <v>60</v>
      </c>
      <c r="AB67" s="457">
        <f>AA67/22</f>
        <v>2.7272727272727271</v>
      </c>
      <c r="AC67" s="340"/>
      <c r="AD67" s="451">
        <f>V67</f>
        <v>6.9999999999999991</v>
      </c>
      <c r="AE67" s="346"/>
      <c r="AF67" s="453">
        <f t="shared" ref="AF67:AG68" si="21">IF($AG$1=16,R67,IF($AG$1=17,S67,IF($AG$1=18,T67,IF($AG$1=19,U67,IF($AG$1=20,V67,IF($AG$1=21,W67,IF($AG$1=22,X67,0)))))))</f>
        <v>10.5</v>
      </c>
      <c r="AG67" s="453">
        <f t="shared" si="21"/>
        <v>12</v>
      </c>
      <c r="AI67" s="338"/>
    </row>
    <row r="68" spans="1:35" s="340" customFormat="1" ht="15.75" thickBot="1">
      <c r="A68" s="45"/>
      <c r="B68" s="46" t="s">
        <v>210</v>
      </c>
      <c r="C68" s="79">
        <f>('Zamfara Workings'!C68+'Katsina Workings'!C68+'Yobe Workings'!C68)</f>
        <v>0</v>
      </c>
      <c r="D68" s="441">
        <f>('Zamfara Workings'!D68+'Katsina Workings'!D68+'Yobe Workings'!D68)</f>
        <v>0</v>
      </c>
      <c r="E68" s="442">
        <f>('Zamfara Workings'!E68+'Katsina Workings'!E68+'Yobe Workings'!E68)</f>
        <v>0</v>
      </c>
      <c r="F68" s="442">
        <f>('Zamfara Workings'!F68+'Katsina Workings'!F68+'Yobe Workings'!F68)</f>
        <v>0</v>
      </c>
      <c r="G68" s="442">
        <f>('Zamfara Workings'!G68+'Katsina Workings'!G68+'Yobe Workings'!G68)</f>
        <v>0</v>
      </c>
      <c r="H68" s="442">
        <f>('Zamfara Workings'!H68+'Katsina Workings'!H68+'Yobe Workings'!H68)</f>
        <v>0</v>
      </c>
      <c r="I68" s="442">
        <f>('Zamfara Workings'!I68+'Katsina Workings'!I68+'Yobe Workings'!I68)</f>
        <v>0</v>
      </c>
      <c r="J68" s="442">
        <f>('Zamfara Workings'!J68+'Katsina Workings'!J68+'Yobe Workings'!J68)</f>
        <v>0</v>
      </c>
      <c r="K68" s="442">
        <f>('Zamfara Workings'!K68+'Katsina Workings'!K68+'Yobe Workings'!K68)</f>
        <v>0</v>
      </c>
      <c r="L68" s="442">
        <f>('Zamfara Workings'!L68+'Katsina Workings'!L68+'Yobe Workings'!L68)</f>
        <v>0</v>
      </c>
      <c r="M68" s="442">
        <f>('Zamfara Workings'!M68+'Katsina Workings'!M68+'Yobe Workings'!M68)</f>
        <v>0</v>
      </c>
      <c r="N68" s="443">
        <f>('Zamfara Workings'!N68+'Katsina Workings'!N68+'Yobe Workings'!N68)</f>
        <v>0</v>
      </c>
      <c r="O68" s="444">
        <f>('Zamfara Workings'!O68+'Katsina Workings'!O68+'Yobe Workings'!O68)</f>
        <v>0</v>
      </c>
      <c r="P68" s="444">
        <f>('Zamfara Workings'!P68+'Katsina Workings'!P68+'Yobe Workings'!P68)</f>
        <v>0</v>
      </c>
      <c r="Q68" s="444">
        <f>('Zamfara Workings'!Q68+'Katsina Workings'!Q68+'Yobe Workings'!Q68)</f>
        <v>2</v>
      </c>
      <c r="R68" s="442">
        <f>('Zamfara Workings'!R68+'Katsina Workings'!R68+'Yobe Workings'!R68)</f>
        <v>4</v>
      </c>
      <c r="S68" s="442">
        <f>('Zamfara Workings'!S68+'Katsina Workings'!S68+'Yobe Workings'!S68)</f>
        <v>13</v>
      </c>
      <c r="T68" s="442">
        <f>('Zamfara Workings'!T68+'Katsina Workings'!T68+'Yobe Workings'!T68)</f>
        <v>15</v>
      </c>
      <c r="U68" s="442">
        <f>('Zamfara Workings'!U68+'Katsina Workings'!U68+'Yobe Workings'!U68)</f>
        <v>8</v>
      </c>
      <c r="V68" s="445">
        <f>('Zamfara Workings'!V68+'Katsina Workings'!V68+'Yobe Workings'!V68)</f>
        <v>16</v>
      </c>
      <c r="W68" s="72">
        <f>('Zamfara Workings'!W68+'Katsina Workings'!W68+'Yobe Workings'!W68)</f>
        <v>17</v>
      </c>
      <c r="X68" s="70">
        <f>('Zamfara Workings'!X68+'Katsina Workings'!X68+'Yobe Workings'!X68)</f>
        <v>24</v>
      </c>
      <c r="Y68" s="70">
        <f>('Zamfara Workings'!Y68+'Katsina Workings'!Y68+'Yobe Workings'!Y68)</f>
        <v>0</v>
      </c>
      <c r="Z68" s="70">
        <f>('Zamfara Workings'!Z68+'Katsina Workings'!Z68+'Yobe Workings'!Z68)</f>
        <v>0</v>
      </c>
      <c r="AA68" s="49"/>
      <c r="AB68" s="421"/>
      <c r="AD68" s="452">
        <f>V68</f>
        <v>16</v>
      </c>
      <c r="AE68" s="346"/>
      <c r="AF68" s="452">
        <f t="shared" si="21"/>
        <v>17</v>
      </c>
      <c r="AG68" s="452">
        <f t="shared" si="21"/>
        <v>24</v>
      </c>
      <c r="AH68" s="342">
        <f>AG68</f>
        <v>24</v>
      </c>
      <c r="AI68" s="342">
        <f>AG68</f>
        <v>24</v>
      </c>
    </row>
    <row r="69" spans="1:35" s="340" customFormat="1">
      <c r="A69" s="45"/>
      <c r="B69" s="46"/>
      <c r="C69" s="53"/>
      <c r="D69" s="427"/>
      <c r="E69" s="427"/>
      <c r="F69" s="427"/>
      <c r="G69" s="75"/>
      <c r="H69" s="75"/>
      <c r="I69" s="75"/>
      <c r="J69" s="75"/>
      <c r="K69" s="75"/>
      <c r="L69" s="53"/>
      <c r="M69" s="53"/>
      <c r="N69" s="53"/>
      <c r="O69" s="53"/>
      <c r="P69" s="53"/>
      <c r="Q69" s="53"/>
      <c r="R69" s="53"/>
      <c r="S69" s="53"/>
      <c r="T69" s="53"/>
      <c r="U69" s="53"/>
      <c r="V69" s="53"/>
      <c r="W69" s="53"/>
      <c r="X69" s="53"/>
      <c r="Y69" s="53"/>
      <c r="Z69" s="53"/>
      <c r="AA69" s="49"/>
      <c r="AB69" s="421"/>
      <c r="AD69" s="345"/>
      <c r="AE69" s="346"/>
      <c r="AF69" s="345"/>
      <c r="AG69" s="345"/>
      <c r="AH69" s="335"/>
      <c r="AI69" s="338"/>
    </row>
    <row r="70" spans="1:35" ht="15.75" thickBot="1">
      <c r="A70" s="41" t="s">
        <v>169</v>
      </c>
      <c r="B70" s="42" t="s">
        <v>209</v>
      </c>
      <c r="C70" s="43">
        <f>('Zamfara Workings'!C70+'Katsina Workings'!C70+'Yobe Workings'!C70)</f>
        <v>0</v>
      </c>
      <c r="D70" s="73">
        <f>('Zamfara Workings'!D70+'Katsina Workings'!D70+'Yobe Workings'!D70)</f>
        <v>0</v>
      </c>
      <c r="E70" s="73">
        <f>('Zamfara Workings'!E70+'Katsina Workings'!E70+'Yobe Workings'!E70)</f>
        <v>0</v>
      </c>
      <c r="F70" s="73">
        <f>('Zamfara Workings'!F70+'Katsina Workings'!F70+'Yobe Workings'!F70)</f>
        <v>0</v>
      </c>
      <c r="G70" s="73">
        <f>('Zamfara Workings'!G70+'Katsina Workings'!G70+'Yobe Workings'!G70)</f>
        <v>0</v>
      </c>
      <c r="H70" s="73">
        <f>('Zamfara Workings'!H70+'Katsina Workings'!H70+'Yobe Workings'!H70)</f>
        <v>0</v>
      </c>
      <c r="I70" s="74">
        <f>('Zamfara Workings'!I70+'Katsina Workings'!I70+'Yobe Workings'!I70)</f>
        <v>0</v>
      </c>
      <c r="J70" s="73">
        <f>('Zamfara Workings'!J70+'Katsina Workings'!J70+'Yobe Workings'!J70)</f>
        <v>0</v>
      </c>
      <c r="K70" s="73">
        <f>('Zamfara Workings'!K70+'Katsina Workings'!K70+'Yobe Workings'!K70)</f>
        <v>0</v>
      </c>
      <c r="L70" s="51">
        <f>('Zamfara Workings'!L70+'Katsina Workings'!L70+'Yobe Workings'!L70)</f>
        <v>0</v>
      </c>
      <c r="M70" s="51">
        <f>('Zamfara Workings'!M70+'Katsina Workings'!M70+'Yobe Workings'!M70)</f>
        <v>0</v>
      </c>
      <c r="N70" s="50">
        <f>('Zamfara Workings'!N70+'Katsina Workings'!N70+'Yobe Workings'!N70)</f>
        <v>0</v>
      </c>
      <c r="O70" s="51">
        <f>('Zamfara Workings'!O70+'Katsina Workings'!O70+'Yobe Workings'!O70)</f>
        <v>0.25</v>
      </c>
      <c r="P70" s="51">
        <f>('Zamfara Workings'!P70+'Katsina Workings'!P70+'Yobe Workings'!P70)</f>
        <v>0.5</v>
      </c>
      <c r="Q70" s="51">
        <f>('Zamfara Workings'!Q70+'Katsina Workings'!Q70+'Yobe Workings'!Q70)</f>
        <v>0.75</v>
      </c>
      <c r="R70" s="50">
        <f>('Zamfara Workings'!R70+'Katsina Workings'!R70+'Yobe Workings'!R70)</f>
        <v>1</v>
      </c>
      <c r="S70" s="51">
        <f>('Zamfara Workings'!S70+'Katsina Workings'!S70+'Yobe Workings'!S70)</f>
        <v>1.8333333333333333</v>
      </c>
      <c r="T70" s="51">
        <f>('Zamfara Workings'!T70+'Katsina Workings'!T70+'Yobe Workings'!T70)</f>
        <v>2.6666666666666665</v>
      </c>
      <c r="U70" s="51">
        <f>('Zamfara Workings'!U70+'Katsina Workings'!U70+'Yobe Workings'!U70)</f>
        <v>3.5</v>
      </c>
      <c r="V70" s="51">
        <f>('Zamfara Workings'!V70+'Katsina Workings'!V70+'Yobe Workings'!V70)</f>
        <v>4.333333333333333</v>
      </c>
      <c r="W70" s="51">
        <f>('Zamfara Workings'!W70+'Katsina Workings'!W70+'Yobe Workings'!W70)</f>
        <v>4.3333333333333339</v>
      </c>
      <c r="X70" s="51">
        <f>('Zamfara Workings'!X70+'Katsina Workings'!X70+'Yobe Workings'!X70)</f>
        <v>5</v>
      </c>
      <c r="Y70" s="50">
        <f>('Zamfara Workings'!Y70+'Katsina Workings'!Y70+'Yobe Workings'!Y70)</f>
        <v>5</v>
      </c>
      <c r="Z70" s="51">
        <f>('Zamfara Workings'!Z70+'Katsina Workings'!Z70+'Yobe Workings'!Z70)</f>
        <v>5</v>
      </c>
      <c r="AA70" s="38">
        <f>'Yobe Workings'!AA70*3</f>
        <v>60</v>
      </c>
      <c r="AB70" s="457">
        <f>AA70/22</f>
        <v>2.7272727272727271</v>
      </c>
      <c r="AC70" s="340"/>
      <c r="AD70" s="451">
        <f>V70</f>
        <v>4.333333333333333</v>
      </c>
      <c r="AE70" s="346"/>
      <c r="AF70" s="453">
        <f t="shared" ref="AF70:AG71" si="22">IF($AG$1=16,R70,IF($AG$1=17,S70,IF($AG$1=18,T70,IF($AG$1=19,U70,IF($AG$1=20,V70,IF($AG$1=21,W70,IF($AG$1=22,X70,0)))))))</f>
        <v>4.3333333333333339</v>
      </c>
      <c r="AG70" s="453">
        <f t="shared" si="22"/>
        <v>5</v>
      </c>
      <c r="AI70" s="338"/>
    </row>
    <row r="71" spans="1:35" s="340" customFormat="1" ht="15.75" thickBot="1">
      <c r="A71" s="45"/>
      <c r="B71" s="46" t="s">
        <v>208</v>
      </c>
      <c r="C71" s="79">
        <f>('Zamfara Workings'!C71+'Katsina Workings'!C71+'Yobe Workings'!C71)</f>
        <v>0</v>
      </c>
      <c r="D71" s="441">
        <f>('Zamfara Workings'!D71+'Katsina Workings'!D71+'Yobe Workings'!D71)</f>
        <v>0</v>
      </c>
      <c r="E71" s="442">
        <f>('Zamfara Workings'!E71+'Katsina Workings'!E71+'Yobe Workings'!E71)</f>
        <v>0</v>
      </c>
      <c r="F71" s="442">
        <f>('Zamfara Workings'!F71+'Katsina Workings'!F71+'Yobe Workings'!F71)</f>
        <v>0</v>
      </c>
      <c r="G71" s="442">
        <f>('Zamfara Workings'!G71+'Katsina Workings'!G71+'Yobe Workings'!G71)</f>
        <v>0</v>
      </c>
      <c r="H71" s="442">
        <f>('Zamfara Workings'!H71+'Katsina Workings'!H71+'Yobe Workings'!H71)</f>
        <v>0</v>
      </c>
      <c r="I71" s="442">
        <f>('Zamfara Workings'!I71+'Katsina Workings'!I71+'Yobe Workings'!I71)</f>
        <v>0</v>
      </c>
      <c r="J71" s="442">
        <f>('Zamfara Workings'!J71+'Katsina Workings'!J71+'Yobe Workings'!J71)</f>
        <v>0</v>
      </c>
      <c r="K71" s="442">
        <f>('Zamfara Workings'!K71+'Katsina Workings'!K71+'Yobe Workings'!K71)</f>
        <v>0</v>
      </c>
      <c r="L71" s="442">
        <f>('Zamfara Workings'!L71+'Katsina Workings'!L71+'Yobe Workings'!L71)</f>
        <v>0</v>
      </c>
      <c r="M71" s="442">
        <f>('Zamfara Workings'!M71+'Katsina Workings'!M71+'Yobe Workings'!M71)</f>
        <v>0</v>
      </c>
      <c r="N71" s="443">
        <f>('Zamfara Workings'!N71+'Katsina Workings'!N71+'Yobe Workings'!N71)</f>
        <v>0</v>
      </c>
      <c r="O71" s="444">
        <f>('Zamfara Workings'!O71+'Katsina Workings'!O71+'Yobe Workings'!O71)</f>
        <v>0</v>
      </c>
      <c r="P71" s="444">
        <f>('Zamfara Workings'!P71+'Katsina Workings'!P71+'Yobe Workings'!P71)</f>
        <v>0</v>
      </c>
      <c r="Q71" s="444">
        <f>('Zamfara Workings'!Q71+'Katsina Workings'!Q71+'Yobe Workings'!Q71)</f>
        <v>1</v>
      </c>
      <c r="R71" s="442">
        <f>('Zamfara Workings'!R71+'Katsina Workings'!R71+'Yobe Workings'!R71)</f>
        <v>1</v>
      </c>
      <c r="S71" s="442">
        <f>('Zamfara Workings'!S71+'Katsina Workings'!S71+'Yobe Workings'!S71)</f>
        <v>4</v>
      </c>
      <c r="T71" s="442">
        <f>('Zamfara Workings'!T71+'Katsina Workings'!T71+'Yobe Workings'!T71)</f>
        <v>5</v>
      </c>
      <c r="U71" s="442">
        <f>('Zamfara Workings'!U71+'Katsina Workings'!U71+'Yobe Workings'!U71)</f>
        <v>8</v>
      </c>
      <c r="V71" s="445">
        <f>('Zamfara Workings'!V71+'Katsina Workings'!V71+'Yobe Workings'!V71)</f>
        <v>5</v>
      </c>
      <c r="W71" s="72">
        <f>('Zamfara Workings'!W71+'Katsina Workings'!W71+'Yobe Workings'!W71)</f>
        <v>4</v>
      </c>
      <c r="X71" s="70">
        <f>('Zamfara Workings'!X71+'Katsina Workings'!X71+'Yobe Workings'!X71)</f>
        <v>5</v>
      </c>
      <c r="Y71" s="70">
        <f>('Zamfara Workings'!Y71+'Katsina Workings'!Y71+'Yobe Workings'!Y71)</f>
        <v>0</v>
      </c>
      <c r="Z71" s="70">
        <f>('Zamfara Workings'!Z71+'Katsina Workings'!Z71+'Yobe Workings'!Z71)</f>
        <v>0</v>
      </c>
      <c r="AA71" s="49"/>
      <c r="AB71" s="421"/>
      <c r="AD71" s="452">
        <f>V71</f>
        <v>5</v>
      </c>
      <c r="AE71" s="346"/>
      <c r="AF71" s="452">
        <f t="shared" si="22"/>
        <v>4</v>
      </c>
      <c r="AG71" s="452">
        <f t="shared" si="22"/>
        <v>5</v>
      </c>
      <c r="AH71" s="342">
        <f>AG71</f>
        <v>5</v>
      </c>
      <c r="AI71" s="342">
        <f>AG71</f>
        <v>5</v>
      </c>
    </row>
    <row r="72" spans="1:35" s="340" customFormat="1">
      <c r="A72" s="45"/>
      <c r="B72" s="46"/>
      <c r="C72" s="53"/>
      <c r="D72" s="427"/>
      <c r="E72" s="427"/>
      <c r="F72" s="427"/>
      <c r="G72" s="75"/>
      <c r="H72" s="75"/>
      <c r="I72" s="75"/>
      <c r="J72" s="75"/>
      <c r="K72" s="75"/>
      <c r="L72" s="53"/>
      <c r="M72" s="53"/>
      <c r="N72" s="53"/>
      <c r="O72" s="53"/>
      <c r="P72" s="53"/>
      <c r="Q72" s="53"/>
      <c r="R72" s="53"/>
      <c r="S72" s="53"/>
      <c r="T72" s="53"/>
      <c r="U72" s="53"/>
      <c r="V72" s="53"/>
      <c r="W72" s="53"/>
      <c r="X72" s="53"/>
      <c r="Y72" s="53"/>
      <c r="Z72" s="53"/>
      <c r="AA72" s="49"/>
      <c r="AB72" s="421"/>
      <c r="AD72" s="345"/>
      <c r="AE72" s="346"/>
      <c r="AF72" s="345"/>
      <c r="AG72" s="345"/>
      <c r="AH72" s="335"/>
      <c r="AI72" s="338"/>
    </row>
    <row r="73" spans="1:35" ht="15.75" thickBot="1">
      <c r="A73" s="41" t="s">
        <v>162</v>
      </c>
      <c r="B73" s="42" t="s">
        <v>202</v>
      </c>
      <c r="C73" s="43" t="e">
        <f>('Zamfara Workings'!C73+'Katsina Workings'!C73+'Yobe Workings'!C73)</f>
        <v>#VALUE!</v>
      </c>
      <c r="D73" s="73" t="e">
        <f>('Zamfara Workings'!D73+'Katsina Workings'!D73+'Yobe Workings'!D73)</f>
        <v>#VALUE!</v>
      </c>
      <c r="E73" s="73" t="e">
        <f>('Zamfara Workings'!E73+'Katsina Workings'!E73+'Yobe Workings'!E73)</f>
        <v>#VALUE!</v>
      </c>
      <c r="F73" s="73" t="e">
        <f>('Zamfara Workings'!F73+'Katsina Workings'!F73+'Yobe Workings'!F73)</f>
        <v>#VALUE!</v>
      </c>
      <c r="G73" s="73" t="e">
        <f>('Zamfara Workings'!G73+'Katsina Workings'!G73+'Yobe Workings'!G73)</f>
        <v>#VALUE!</v>
      </c>
      <c r="H73" s="73" t="e">
        <f>('Zamfara Workings'!H73+'Katsina Workings'!H73+'Yobe Workings'!H73)</f>
        <v>#VALUE!</v>
      </c>
      <c r="I73" s="74">
        <f>('Zamfara Workings'!I73+'Katsina Workings'!I73+'Yobe Workings'!I73)</f>
        <v>1</v>
      </c>
      <c r="J73" s="73">
        <f>('Zamfara Workings'!J73+'Katsina Workings'!J73+'Yobe Workings'!J73)</f>
        <v>1.5</v>
      </c>
      <c r="K73" s="73">
        <f>('Zamfara Workings'!K73+'Katsina Workings'!K73+'Yobe Workings'!K73)</f>
        <v>2</v>
      </c>
      <c r="L73" s="51">
        <f>('Zamfara Workings'!L73+'Katsina Workings'!L73+'Yobe Workings'!L73)</f>
        <v>2.5</v>
      </c>
      <c r="M73" s="51">
        <f>('Zamfara Workings'!M73+'Katsina Workings'!M73+'Yobe Workings'!M73)</f>
        <v>3</v>
      </c>
      <c r="N73" s="50">
        <f>('Zamfara Workings'!N73+'Katsina Workings'!N73+'Yobe Workings'!N73)</f>
        <v>4</v>
      </c>
      <c r="O73" s="51">
        <f>('Zamfara Workings'!O73+'Katsina Workings'!O73+'Yobe Workings'!O73)</f>
        <v>4.75</v>
      </c>
      <c r="P73" s="51">
        <f>('Zamfara Workings'!P73+'Katsina Workings'!P73+'Yobe Workings'!P73)</f>
        <v>5.5</v>
      </c>
      <c r="Q73" s="51">
        <f>('Zamfara Workings'!Q73+'Katsina Workings'!Q73+'Yobe Workings'!Q73)</f>
        <v>6.25</v>
      </c>
      <c r="R73" s="50">
        <f>('Zamfara Workings'!R73+'Katsina Workings'!R73+'Yobe Workings'!R73)</f>
        <v>7</v>
      </c>
      <c r="S73" s="51">
        <f>('Zamfara Workings'!S73+'Katsina Workings'!S73+'Yobe Workings'!S73)</f>
        <v>7.8333333333333339</v>
      </c>
      <c r="T73" s="51">
        <f>('Zamfara Workings'!T73+'Katsina Workings'!T73+'Yobe Workings'!T73)</f>
        <v>8.6666666666666679</v>
      </c>
      <c r="U73" s="51">
        <f>('Zamfara Workings'!U73+'Katsina Workings'!U73+'Yobe Workings'!U73)</f>
        <v>9.5</v>
      </c>
      <c r="V73" s="51">
        <f>('Zamfara Workings'!V73+'Katsina Workings'!V73+'Yobe Workings'!V73)</f>
        <v>10.333333333333334</v>
      </c>
      <c r="W73" s="51">
        <f>('Zamfara Workings'!W73+'Katsina Workings'!W73+'Yobe Workings'!W73)</f>
        <v>20.333333333333336</v>
      </c>
      <c r="X73" s="51">
        <f>('Zamfara Workings'!X73+'Katsina Workings'!X73+'Yobe Workings'!X73)</f>
        <v>23</v>
      </c>
      <c r="Y73" s="50">
        <f>('Zamfara Workings'!Y73+'Katsina Workings'!Y73+'Yobe Workings'!Y73)</f>
        <v>23</v>
      </c>
      <c r="Z73" s="51">
        <f>('Zamfara Workings'!Z73+'Katsina Workings'!Z73+'Yobe Workings'!Z73)</f>
        <v>23</v>
      </c>
      <c r="AA73" s="38">
        <f>'Yobe Workings'!AA73*3</f>
        <v>60</v>
      </c>
      <c r="AB73" s="457">
        <f>AA73/22</f>
        <v>2.7272727272727271</v>
      </c>
      <c r="AC73" s="340"/>
      <c r="AD73" s="451">
        <f>V73</f>
        <v>10.333333333333334</v>
      </c>
      <c r="AE73" s="346"/>
      <c r="AF73" s="453">
        <f t="shared" ref="AF73:AG74" si="23">IF($AG$1=16,R73,IF($AG$1=17,S73,IF($AG$1=18,T73,IF($AG$1=19,U73,IF($AG$1=20,V73,IF($AG$1=21,W73,IF($AG$1=22,X73,0)))))))</f>
        <v>20.333333333333336</v>
      </c>
      <c r="AG73" s="453">
        <f t="shared" si="23"/>
        <v>23</v>
      </c>
      <c r="AI73" s="338"/>
    </row>
    <row r="74" spans="1:35" s="340" customFormat="1" ht="15.75" thickBot="1">
      <c r="A74" s="45"/>
      <c r="B74" s="46" t="s">
        <v>203</v>
      </c>
      <c r="C74" s="79" t="e">
        <f>('Zamfara Workings'!C74+'Katsina Workings'!C74+'Yobe Workings'!C74)</f>
        <v>#VALUE!</v>
      </c>
      <c r="D74" s="441">
        <f>('Zamfara Workings'!D74+'Katsina Workings'!D74+'Yobe Workings'!D74)</f>
        <v>0</v>
      </c>
      <c r="E74" s="442">
        <f>('Zamfara Workings'!E74+'Katsina Workings'!E74+'Yobe Workings'!E74)</f>
        <v>0</v>
      </c>
      <c r="F74" s="442">
        <f>('Zamfara Workings'!F74+'Katsina Workings'!F74+'Yobe Workings'!F74)</f>
        <v>0</v>
      </c>
      <c r="G74" s="442">
        <f>('Zamfara Workings'!G74+'Katsina Workings'!G74+'Yobe Workings'!G74)</f>
        <v>0</v>
      </c>
      <c r="H74" s="442">
        <f>('Zamfara Workings'!H74+'Katsina Workings'!H74+'Yobe Workings'!H74)</f>
        <v>0</v>
      </c>
      <c r="I74" s="442">
        <f>('Zamfara Workings'!I74+'Katsina Workings'!I74+'Yobe Workings'!I74)</f>
        <v>0</v>
      </c>
      <c r="J74" s="442">
        <f>('Zamfara Workings'!J74+'Katsina Workings'!J74+'Yobe Workings'!J74)</f>
        <v>0</v>
      </c>
      <c r="K74" s="442">
        <f>('Zamfara Workings'!K74+'Katsina Workings'!K74+'Yobe Workings'!K74)</f>
        <v>0</v>
      </c>
      <c r="L74" s="442">
        <f>('Zamfara Workings'!L74+'Katsina Workings'!L74+'Yobe Workings'!L74)</f>
        <v>0</v>
      </c>
      <c r="M74" s="442">
        <f>('Zamfara Workings'!M74+'Katsina Workings'!M74+'Yobe Workings'!M74)</f>
        <v>0</v>
      </c>
      <c r="N74" s="443">
        <f>('Zamfara Workings'!N74+'Katsina Workings'!N74+'Yobe Workings'!N74)</f>
        <v>1</v>
      </c>
      <c r="O74" s="444">
        <f>('Zamfara Workings'!O74+'Katsina Workings'!O74+'Yobe Workings'!O74)</f>
        <v>1</v>
      </c>
      <c r="P74" s="444">
        <f>('Zamfara Workings'!P74+'Katsina Workings'!P74+'Yobe Workings'!P74)</f>
        <v>3</v>
      </c>
      <c r="Q74" s="444">
        <f>('Zamfara Workings'!Q74+'Katsina Workings'!Q74+'Yobe Workings'!Q74)</f>
        <v>7</v>
      </c>
      <c r="R74" s="442">
        <f>('Zamfara Workings'!R74+'Katsina Workings'!R74+'Yobe Workings'!R74)</f>
        <v>9</v>
      </c>
      <c r="S74" s="442">
        <f>('Zamfara Workings'!S74+'Katsina Workings'!S74+'Yobe Workings'!S74)</f>
        <v>17</v>
      </c>
      <c r="T74" s="442">
        <f>('Zamfara Workings'!T74+'Katsina Workings'!T74+'Yobe Workings'!T74)</f>
        <v>25</v>
      </c>
      <c r="U74" s="442">
        <f>('Zamfara Workings'!U74+'Katsina Workings'!U74+'Yobe Workings'!U74)</f>
        <v>19</v>
      </c>
      <c r="V74" s="445">
        <f>('Zamfara Workings'!V74+'Katsina Workings'!V74+'Yobe Workings'!V74)</f>
        <v>28</v>
      </c>
      <c r="W74" s="72">
        <f>('Zamfara Workings'!W74+'Katsina Workings'!W74+'Yobe Workings'!W74)</f>
        <v>28</v>
      </c>
      <c r="X74" s="70">
        <f>('Zamfara Workings'!X74+'Katsina Workings'!X74+'Yobe Workings'!X74)</f>
        <v>26</v>
      </c>
      <c r="Y74" s="70">
        <f>('Zamfara Workings'!Y74+'Katsina Workings'!Y74+'Yobe Workings'!Y74)</f>
        <v>0</v>
      </c>
      <c r="Z74" s="70">
        <f>('Zamfara Workings'!Z74+'Katsina Workings'!Z74+'Yobe Workings'!Z74)</f>
        <v>0</v>
      </c>
      <c r="AA74" s="49"/>
      <c r="AB74" s="421"/>
      <c r="AD74" s="452">
        <f>V74</f>
        <v>28</v>
      </c>
      <c r="AE74" s="346"/>
      <c r="AF74" s="452">
        <f t="shared" si="23"/>
        <v>28</v>
      </c>
      <c r="AG74" s="452">
        <f t="shared" si="23"/>
        <v>26</v>
      </c>
      <c r="AH74" s="342">
        <f>AG74</f>
        <v>26</v>
      </c>
      <c r="AI74" s="342">
        <f>AG74</f>
        <v>26</v>
      </c>
    </row>
    <row r="75" spans="1:35" s="340" customFormat="1">
      <c r="A75" s="45"/>
      <c r="B75" s="46"/>
      <c r="C75" s="53"/>
      <c r="D75" s="428"/>
      <c r="E75" s="428"/>
      <c r="F75" s="428"/>
      <c r="G75" s="53"/>
      <c r="H75" s="53"/>
      <c r="I75" s="53"/>
      <c r="J75" s="53"/>
      <c r="K75" s="53"/>
      <c r="L75" s="53"/>
      <c r="M75" s="53"/>
      <c r="N75" s="53"/>
      <c r="O75" s="53"/>
      <c r="P75" s="53"/>
      <c r="Q75" s="53"/>
      <c r="R75" s="53"/>
      <c r="S75" s="53"/>
      <c r="T75" s="53"/>
      <c r="U75" s="53"/>
      <c r="V75" s="53"/>
      <c r="W75" s="53"/>
      <c r="X75" s="53"/>
      <c r="Y75" s="53"/>
      <c r="Z75" s="53"/>
      <c r="AA75" s="49"/>
      <c r="AB75" s="421"/>
      <c r="AD75" s="345"/>
      <c r="AE75" s="346"/>
      <c r="AF75" s="345"/>
      <c r="AG75" s="345"/>
      <c r="AH75" s="335"/>
      <c r="AI75" s="338"/>
    </row>
    <row r="76" spans="1:35" ht="15.75" thickBot="1">
      <c r="A76" s="41" t="s">
        <v>163</v>
      </c>
      <c r="B76" s="42" t="s">
        <v>213</v>
      </c>
      <c r="C76" s="43">
        <f>('Zamfara Workings'!C76+'Katsina Workings'!C76+'Yobe Workings'!C76)</f>
        <v>0</v>
      </c>
      <c r="D76" s="73">
        <f>('Zamfara Workings'!D76+'Katsina Workings'!D76+'Yobe Workings'!D76)</f>
        <v>0</v>
      </c>
      <c r="E76" s="73">
        <f>('Zamfara Workings'!E76+'Katsina Workings'!E76+'Yobe Workings'!E76)</f>
        <v>0</v>
      </c>
      <c r="F76" s="73">
        <f>('Zamfara Workings'!F76+'Katsina Workings'!F76+'Yobe Workings'!F76)</f>
        <v>0</v>
      </c>
      <c r="G76" s="73">
        <f>('Zamfara Workings'!G76+'Katsina Workings'!G76+'Yobe Workings'!G76)</f>
        <v>0</v>
      </c>
      <c r="H76" s="73">
        <f>('Zamfara Workings'!H76+'Katsina Workings'!H76+'Yobe Workings'!H76)</f>
        <v>0</v>
      </c>
      <c r="I76" s="74">
        <f>('Zamfara Workings'!I76+'Katsina Workings'!I76+'Yobe Workings'!I76)</f>
        <v>0</v>
      </c>
      <c r="J76" s="73">
        <f>('Zamfara Workings'!J76+'Katsina Workings'!J76+'Yobe Workings'!J76)</f>
        <v>0.33333333333333331</v>
      </c>
      <c r="K76" s="73">
        <f>('Zamfara Workings'!K76+'Katsina Workings'!K76+'Yobe Workings'!K76)</f>
        <v>0.66666666666666663</v>
      </c>
      <c r="L76" s="51">
        <f>('Zamfara Workings'!L76+'Katsina Workings'!L76+'Yobe Workings'!L76)</f>
        <v>1</v>
      </c>
      <c r="M76" s="51">
        <f>('Zamfara Workings'!M76+'Katsina Workings'!M76+'Yobe Workings'!M76)</f>
        <v>1.3333333333333333</v>
      </c>
      <c r="N76" s="50">
        <f>('Zamfara Workings'!N76+'Katsina Workings'!N76+'Yobe Workings'!N76)</f>
        <v>2</v>
      </c>
      <c r="O76" s="51">
        <f>('Zamfara Workings'!O76+'Katsina Workings'!O76+'Yobe Workings'!O76)</f>
        <v>2.5</v>
      </c>
      <c r="P76" s="51">
        <f>('Zamfara Workings'!P76+'Katsina Workings'!P76+'Yobe Workings'!P76)</f>
        <v>3</v>
      </c>
      <c r="Q76" s="51">
        <f>('Zamfara Workings'!Q76+'Katsina Workings'!Q76+'Yobe Workings'!Q76)</f>
        <v>3.5</v>
      </c>
      <c r="R76" s="50">
        <f>('Zamfara Workings'!R76+'Katsina Workings'!R76+'Yobe Workings'!R76)</f>
        <v>4</v>
      </c>
      <c r="S76" s="51">
        <f>('Zamfara Workings'!S76+'Katsina Workings'!S76+'Yobe Workings'!S76)</f>
        <v>4.5</v>
      </c>
      <c r="T76" s="51">
        <f>('Zamfara Workings'!T76+'Katsina Workings'!T76+'Yobe Workings'!T76)</f>
        <v>5</v>
      </c>
      <c r="U76" s="51">
        <f>('Zamfara Workings'!U76+'Katsina Workings'!U76+'Yobe Workings'!U76)</f>
        <v>5.5</v>
      </c>
      <c r="V76" s="51">
        <f>('Zamfara Workings'!V76+'Katsina Workings'!V76+'Yobe Workings'!V76)</f>
        <v>6</v>
      </c>
      <c r="W76" s="51">
        <f>('Zamfara Workings'!W76+'Katsina Workings'!W76+'Yobe Workings'!W76)</f>
        <v>15.666666666666668</v>
      </c>
      <c r="X76" s="51">
        <f>('Zamfara Workings'!X76+'Katsina Workings'!X76+'Yobe Workings'!X76)</f>
        <v>18</v>
      </c>
      <c r="Y76" s="50">
        <f>('Zamfara Workings'!Y76+'Katsina Workings'!Y76+'Yobe Workings'!Y76)</f>
        <v>18</v>
      </c>
      <c r="Z76" s="51">
        <f>('Zamfara Workings'!Z76+'Katsina Workings'!Z76+'Yobe Workings'!Z76)</f>
        <v>18</v>
      </c>
      <c r="AA76" s="38">
        <f>'Yobe Workings'!AA76*3</f>
        <v>60</v>
      </c>
      <c r="AB76" s="457">
        <f>AA76/22</f>
        <v>2.7272727272727271</v>
      </c>
      <c r="AC76" s="340"/>
      <c r="AD76" s="451">
        <f>V76</f>
        <v>6</v>
      </c>
      <c r="AE76" s="346"/>
      <c r="AF76" s="453">
        <f t="shared" ref="AF76:AG77" si="24">IF($AG$1=16,R76,IF($AG$1=17,S76,IF($AG$1=18,T76,IF($AG$1=19,U76,IF($AG$1=20,V76,IF($AG$1=21,W76,IF($AG$1=22,X76,0)))))))</f>
        <v>15.666666666666668</v>
      </c>
      <c r="AG76" s="453">
        <f t="shared" si="24"/>
        <v>18</v>
      </c>
      <c r="AI76" s="338"/>
    </row>
    <row r="77" spans="1:35" s="340" customFormat="1" ht="15.75" thickBot="1">
      <c r="A77" s="45"/>
      <c r="B77" s="46" t="s">
        <v>212</v>
      </c>
      <c r="C77" s="79">
        <f>('Zamfara Workings'!C77+'Katsina Workings'!C77+'Yobe Workings'!C77)</f>
        <v>0</v>
      </c>
      <c r="D77" s="441">
        <f>('Zamfara Workings'!D77+'Katsina Workings'!D77+'Yobe Workings'!D77)</f>
        <v>0</v>
      </c>
      <c r="E77" s="442">
        <f>('Zamfara Workings'!E77+'Katsina Workings'!E77+'Yobe Workings'!E77)</f>
        <v>0</v>
      </c>
      <c r="F77" s="442">
        <f>('Zamfara Workings'!F77+'Katsina Workings'!F77+'Yobe Workings'!F77)</f>
        <v>0</v>
      </c>
      <c r="G77" s="442">
        <f>('Zamfara Workings'!G77+'Katsina Workings'!G77+'Yobe Workings'!G77)</f>
        <v>0</v>
      </c>
      <c r="H77" s="442">
        <f>('Zamfara Workings'!H77+'Katsina Workings'!H77+'Yobe Workings'!H77)</f>
        <v>0</v>
      </c>
      <c r="I77" s="442">
        <f>('Zamfara Workings'!I77+'Katsina Workings'!I77+'Yobe Workings'!I77)</f>
        <v>0</v>
      </c>
      <c r="J77" s="442">
        <f>('Zamfara Workings'!J77+'Katsina Workings'!J77+'Yobe Workings'!J77)</f>
        <v>0</v>
      </c>
      <c r="K77" s="442">
        <f>('Zamfara Workings'!K77+'Katsina Workings'!K77+'Yobe Workings'!K77)</f>
        <v>0</v>
      </c>
      <c r="L77" s="442">
        <f>('Zamfara Workings'!L77+'Katsina Workings'!L77+'Yobe Workings'!L77)</f>
        <v>0</v>
      </c>
      <c r="M77" s="442">
        <f>('Zamfara Workings'!M77+'Katsina Workings'!M77+'Yobe Workings'!M77)</f>
        <v>0</v>
      </c>
      <c r="N77" s="443">
        <f>('Zamfara Workings'!N77+'Katsina Workings'!N77+'Yobe Workings'!N77)</f>
        <v>0</v>
      </c>
      <c r="O77" s="444">
        <f>('Zamfara Workings'!O77+'Katsina Workings'!O77+'Yobe Workings'!O77)</f>
        <v>0</v>
      </c>
      <c r="P77" s="444">
        <f>('Zamfara Workings'!P77+'Katsina Workings'!P77+'Yobe Workings'!P77)</f>
        <v>1</v>
      </c>
      <c r="Q77" s="444">
        <f>('Zamfara Workings'!Q77+'Katsina Workings'!Q77+'Yobe Workings'!Q77)</f>
        <v>1</v>
      </c>
      <c r="R77" s="442">
        <f>('Zamfara Workings'!R77+'Katsina Workings'!R77+'Yobe Workings'!R77)</f>
        <v>4</v>
      </c>
      <c r="S77" s="442">
        <f>('Zamfara Workings'!S77+'Katsina Workings'!S77+'Yobe Workings'!S77)</f>
        <v>11</v>
      </c>
      <c r="T77" s="442">
        <f>('Zamfara Workings'!T77+'Katsina Workings'!T77+'Yobe Workings'!T77)</f>
        <v>13</v>
      </c>
      <c r="U77" s="442">
        <f>('Zamfara Workings'!U77+'Katsina Workings'!U77+'Yobe Workings'!U77)</f>
        <v>8</v>
      </c>
      <c r="V77" s="445">
        <f>('Zamfara Workings'!V77+'Katsina Workings'!V77+'Yobe Workings'!V77)</f>
        <v>22</v>
      </c>
      <c r="W77" s="72">
        <f>('Zamfara Workings'!W77+'Katsina Workings'!W77+'Yobe Workings'!W77)</f>
        <v>22</v>
      </c>
      <c r="X77" s="70">
        <f>('Zamfara Workings'!X77+'Katsina Workings'!X77+'Yobe Workings'!X77)</f>
        <v>18</v>
      </c>
      <c r="Y77" s="70">
        <f>('Zamfara Workings'!Y77+'Katsina Workings'!Y77+'Yobe Workings'!Y77)</f>
        <v>0</v>
      </c>
      <c r="Z77" s="70">
        <f>('Zamfara Workings'!Z77+'Katsina Workings'!Z77+'Yobe Workings'!Z77)</f>
        <v>0</v>
      </c>
      <c r="AA77" s="49"/>
      <c r="AB77" s="421"/>
      <c r="AD77" s="452">
        <f>V77</f>
        <v>22</v>
      </c>
      <c r="AE77" s="346"/>
      <c r="AF77" s="452">
        <f t="shared" si="24"/>
        <v>22</v>
      </c>
      <c r="AG77" s="452">
        <f t="shared" si="24"/>
        <v>18</v>
      </c>
      <c r="AH77" s="342">
        <f>AG77</f>
        <v>18</v>
      </c>
      <c r="AI77" s="342">
        <f>AG77</f>
        <v>18</v>
      </c>
    </row>
    <row r="78" spans="1:35" s="340" customFormat="1">
      <c r="A78" s="45"/>
      <c r="B78" s="46"/>
      <c r="C78" s="53"/>
      <c r="D78" s="428"/>
      <c r="E78" s="428"/>
      <c r="F78" s="428"/>
      <c r="G78" s="53"/>
      <c r="H78" s="53"/>
      <c r="I78" s="53"/>
      <c r="J78" s="53"/>
      <c r="K78" s="53"/>
      <c r="L78" s="53"/>
      <c r="M78" s="53"/>
      <c r="N78" s="53"/>
      <c r="O78" s="53"/>
      <c r="P78" s="53"/>
      <c r="Q78" s="53"/>
      <c r="R78" s="53"/>
      <c r="S78" s="53"/>
      <c r="T78" s="53"/>
      <c r="U78" s="53"/>
      <c r="V78" s="53"/>
      <c r="W78" s="53"/>
      <c r="X78" s="53"/>
      <c r="Y78" s="53"/>
      <c r="Z78" s="53"/>
      <c r="AA78" s="49"/>
      <c r="AB78" s="421"/>
      <c r="AD78" s="345"/>
      <c r="AE78" s="346"/>
      <c r="AF78" s="345"/>
      <c r="AG78" s="345"/>
      <c r="AH78" s="335"/>
      <c r="AI78" s="338"/>
    </row>
    <row r="79" spans="1:35" ht="15.75" thickBot="1">
      <c r="A79" s="41" t="s">
        <v>164</v>
      </c>
      <c r="B79" s="42" t="s">
        <v>211</v>
      </c>
      <c r="C79" s="43">
        <f>('Zamfara Workings'!C79+'Katsina Workings'!C79+'Yobe Workings'!C79)</f>
        <v>0</v>
      </c>
      <c r="D79" s="73">
        <f>('Zamfara Workings'!D79+'Katsina Workings'!D79+'Yobe Workings'!D79)</f>
        <v>0</v>
      </c>
      <c r="E79" s="73">
        <f>('Zamfara Workings'!E79+'Katsina Workings'!E79+'Yobe Workings'!E79)</f>
        <v>0</v>
      </c>
      <c r="F79" s="73">
        <f>('Zamfara Workings'!F79+'Katsina Workings'!F79+'Yobe Workings'!F79)</f>
        <v>0</v>
      </c>
      <c r="G79" s="73">
        <f>('Zamfara Workings'!G79+'Katsina Workings'!G79+'Yobe Workings'!G79)</f>
        <v>0</v>
      </c>
      <c r="H79" s="73">
        <f>('Zamfara Workings'!H79+'Katsina Workings'!H79+'Yobe Workings'!H79)</f>
        <v>0</v>
      </c>
      <c r="I79" s="74">
        <f>('Zamfara Workings'!I79+'Katsina Workings'!I79+'Yobe Workings'!I79)</f>
        <v>0</v>
      </c>
      <c r="J79" s="73">
        <f>('Zamfara Workings'!J79+'Katsina Workings'!J79+'Yobe Workings'!J79)</f>
        <v>0</v>
      </c>
      <c r="K79" s="73">
        <f>('Zamfara Workings'!K79+'Katsina Workings'!K79+'Yobe Workings'!K79)</f>
        <v>0</v>
      </c>
      <c r="L79" s="51">
        <f>('Zamfara Workings'!L79+'Katsina Workings'!L79+'Yobe Workings'!L79)</f>
        <v>0</v>
      </c>
      <c r="M79" s="51">
        <f>('Zamfara Workings'!M79+'Katsina Workings'!M79+'Yobe Workings'!M79)</f>
        <v>0</v>
      </c>
      <c r="N79" s="50">
        <f>('Zamfara Workings'!N79+'Katsina Workings'!N79+'Yobe Workings'!N79)</f>
        <v>0</v>
      </c>
      <c r="O79" s="51">
        <f>('Zamfara Workings'!O79+'Katsina Workings'!O79+'Yobe Workings'!O79)</f>
        <v>0.25</v>
      </c>
      <c r="P79" s="51">
        <f>('Zamfara Workings'!P79+'Katsina Workings'!P79+'Yobe Workings'!P79)</f>
        <v>0.5</v>
      </c>
      <c r="Q79" s="51">
        <f>('Zamfara Workings'!Q79+'Katsina Workings'!Q79+'Yobe Workings'!Q79)</f>
        <v>0.75</v>
      </c>
      <c r="R79" s="50">
        <f>('Zamfara Workings'!R79+'Katsina Workings'!R79+'Yobe Workings'!R79)</f>
        <v>1</v>
      </c>
      <c r="S79" s="51">
        <f>('Zamfara Workings'!S79+'Katsina Workings'!S79+'Yobe Workings'!S79)</f>
        <v>1.5000000000000002</v>
      </c>
      <c r="T79" s="51">
        <f>('Zamfara Workings'!T79+'Katsina Workings'!T79+'Yobe Workings'!T79)</f>
        <v>2</v>
      </c>
      <c r="U79" s="51">
        <f>('Zamfara Workings'!U79+'Katsina Workings'!U79+'Yobe Workings'!U79)</f>
        <v>2.5</v>
      </c>
      <c r="V79" s="51">
        <f>('Zamfara Workings'!V79+'Katsina Workings'!V79+'Yobe Workings'!V79)</f>
        <v>3</v>
      </c>
      <c r="W79" s="51">
        <f>('Zamfara Workings'!W79+'Katsina Workings'!W79+'Yobe Workings'!W79)</f>
        <v>7.6666666666666661</v>
      </c>
      <c r="X79" s="51">
        <f>('Zamfara Workings'!X79+'Katsina Workings'!X79+'Yobe Workings'!X79)</f>
        <v>9</v>
      </c>
      <c r="Y79" s="50">
        <f>('Zamfara Workings'!Y79+'Katsina Workings'!Y79+'Yobe Workings'!Y79)</f>
        <v>9</v>
      </c>
      <c r="Z79" s="51">
        <f>('Zamfara Workings'!Z79+'Katsina Workings'!Z79+'Yobe Workings'!Z79)</f>
        <v>9</v>
      </c>
      <c r="AA79" s="38">
        <f>'Yobe Workings'!AA79*3</f>
        <v>60</v>
      </c>
      <c r="AB79" s="457">
        <f>AA79/22</f>
        <v>2.7272727272727271</v>
      </c>
      <c r="AC79" s="340"/>
      <c r="AD79" s="451">
        <f>V79</f>
        <v>3</v>
      </c>
      <c r="AE79" s="346"/>
      <c r="AF79" s="453">
        <f t="shared" ref="AF79:AG80" si="25">IF($AG$1=16,R79,IF($AG$1=17,S79,IF($AG$1=18,T79,IF($AG$1=19,U79,IF($AG$1=20,V79,IF($AG$1=21,W79,IF($AG$1=22,X79,0)))))))</f>
        <v>7.6666666666666661</v>
      </c>
      <c r="AG79" s="453">
        <f t="shared" si="25"/>
        <v>9</v>
      </c>
      <c r="AI79" s="338"/>
    </row>
    <row r="80" spans="1:35" s="340" customFormat="1" ht="15.75" thickBot="1">
      <c r="A80" s="45"/>
      <c r="B80" s="46" t="s">
        <v>210</v>
      </c>
      <c r="C80" s="79">
        <f>('Zamfara Workings'!C80+'Katsina Workings'!C80+'Yobe Workings'!C80)</f>
        <v>0</v>
      </c>
      <c r="D80" s="441">
        <f>('Zamfara Workings'!D80+'Katsina Workings'!D80+'Yobe Workings'!D80)</f>
        <v>0</v>
      </c>
      <c r="E80" s="442">
        <f>('Zamfara Workings'!E80+'Katsina Workings'!E80+'Yobe Workings'!E80)</f>
        <v>0</v>
      </c>
      <c r="F80" s="442">
        <f>('Zamfara Workings'!F80+'Katsina Workings'!F80+'Yobe Workings'!F80)</f>
        <v>0</v>
      </c>
      <c r="G80" s="442">
        <f>('Zamfara Workings'!G80+'Katsina Workings'!G80+'Yobe Workings'!G80)</f>
        <v>0</v>
      </c>
      <c r="H80" s="442">
        <f>('Zamfara Workings'!H80+'Katsina Workings'!H80+'Yobe Workings'!H80)</f>
        <v>0</v>
      </c>
      <c r="I80" s="442">
        <f>('Zamfara Workings'!I80+'Katsina Workings'!I80+'Yobe Workings'!I80)</f>
        <v>0</v>
      </c>
      <c r="J80" s="442">
        <f>('Zamfara Workings'!J80+'Katsina Workings'!J80+'Yobe Workings'!J80)</f>
        <v>0</v>
      </c>
      <c r="K80" s="442">
        <f>('Zamfara Workings'!K80+'Katsina Workings'!K80+'Yobe Workings'!K80)</f>
        <v>0</v>
      </c>
      <c r="L80" s="442">
        <f>('Zamfara Workings'!L80+'Katsina Workings'!L80+'Yobe Workings'!L80)</f>
        <v>0</v>
      </c>
      <c r="M80" s="442">
        <f>('Zamfara Workings'!M80+'Katsina Workings'!M80+'Yobe Workings'!M80)</f>
        <v>0</v>
      </c>
      <c r="N80" s="443">
        <f>('Zamfara Workings'!N80+'Katsina Workings'!N80+'Yobe Workings'!N80)</f>
        <v>0</v>
      </c>
      <c r="O80" s="444">
        <f>('Zamfara Workings'!O80+'Katsina Workings'!O80+'Yobe Workings'!O80)</f>
        <v>0</v>
      </c>
      <c r="P80" s="444">
        <f>('Zamfara Workings'!P80+'Katsina Workings'!P80+'Yobe Workings'!P80)</f>
        <v>0</v>
      </c>
      <c r="Q80" s="444">
        <f>('Zamfara Workings'!Q80+'Katsina Workings'!Q80+'Yobe Workings'!Q80)</f>
        <v>0</v>
      </c>
      <c r="R80" s="442">
        <f>('Zamfara Workings'!R80+'Katsina Workings'!R80+'Yobe Workings'!R80)</f>
        <v>2</v>
      </c>
      <c r="S80" s="442">
        <f>('Zamfara Workings'!S80+'Katsina Workings'!S80+'Yobe Workings'!S80)</f>
        <v>8</v>
      </c>
      <c r="T80" s="442">
        <f>('Zamfara Workings'!T80+'Katsina Workings'!T80+'Yobe Workings'!T80)</f>
        <v>11</v>
      </c>
      <c r="U80" s="442">
        <f>('Zamfara Workings'!U80+'Katsina Workings'!U80+'Yobe Workings'!U80)</f>
        <v>3</v>
      </c>
      <c r="V80" s="445">
        <f>('Zamfara Workings'!V80+'Katsina Workings'!V80+'Yobe Workings'!V80)</f>
        <v>13</v>
      </c>
      <c r="W80" s="72">
        <f>('Zamfara Workings'!W80+'Katsina Workings'!W80+'Yobe Workings'!W80)</f>
        <v>13</v>
      </c>
      <c r="X80" s="70">
        <f>('Zamfara Workings'!X80+'Katsina Workings'!X80+'Yobe Workings'!X80)</f>
        <v>9</v>
      </c>
      <c r="Y80" s="70">
        <f>('Zamfara Workings'!Y80+'Katsina Workings'!Y80+'Yobe Workings'!Y80)</f>
        <v>0</v>
      </c>
      <c r="Z80" s="70">
        <f>('Zamfara Workings'!Z80+'Katsina Workings'!Z80+'Yobe Workings'!Z80)</f>
        <v>0</v>
      </c>
      <c r="AA80" s="49"/>
      <c r="AB80" s="421"/>
      <c r="AD80" s="452">
        <f>V80</f>
        <v>13</v>
      </c>
      <c r="AE80" s="346"/>
      <c r="AF80" s="452">
        <f t="shared" si="25"/>
        <v>13</v>
      </c>
      <c r="AG80" s="452">
        <f t="shared" si="25"/>
        <v>9</v>
      </c>
      <c r="AH80" s="342">
        <f>AG80</f>
        <v>9</v>
      </c>
      <c r="AI80" s="342">
        <f>AG80</f>
        <v>9</v>
      </c>
    </row>
    <row r="81" spans="1:35" s="340" customFormat="1">
      <c r="A81" s="45"/>
      <c r="B81" s="46"/>
      <c r="C81" s="53"/>
      <c r="D81" s="428"/>
      <c r="E81" s="428"/>
      <c r="F81" s="428"/>
      <c r="G81" s="53"/>
      <c r="H81" s="53"/>
      <c r="I81" s="53"/>
      <c r="J81" s="53"/>
      <c r="K81" s="53"/>
      <c r="L81" s="53"/>
      <c r="M81" s="53"/>
      <c r="N81" s="53"/>
      <c r="O81" s="53"/>
      <c r="P81" s="53"/>
      <c r="Q81" s="53"/>
      <c r="R81" s="53"/>
      <c r="S81" s="53"/>
      <c r="T81" s="53"/>
      <c r="U81" s="53"/>
      <c r="V81" s="53"/>
      <c r="W81" s="53"/>
      <c r="X81" s="53"/>
      <c r="Y81" s="53"/>
      <c r="Z81" s="53"/>
      <c r="AA81" s="49"/>
      <c r="AB81" s="421"/>
      <c r="AD81" s="345"/>
      <c r="AE81" s="346"/>
      <c r="AF81" s="345"/>
      <c r="AG81" s="345"/>
      <c r="AH81" s="335"/>
      <c r="AI81" s="338"/>
    </row>
    <row r="82" spans="1:35" ht="15.75" thickBot="1">
      <c r="A82" s="41" t="s">
        <v>165</v>
      </c>
      <c r="B82" s="42" t="s">
        <v>209</v>
      </c>
      <c r="C82" s="43">
        <f>('Zamfara Workings'!C82+'Katsina Workings'!C82+'Yobe Workings'!C82)</f>
        <v>0</v>
      </c>
      <c r="D82" s="73">
        <f>('Zamfara Workings'!D82+'Katsina Workings'!D82+'Yobe Workings'!D82)</f>
        <v>0</v>
      </c>
      <c r="E82" s="73">
        <f>('Zamfara Workings'!E82+'Katsina Workings'!E82+'Yobe Workings'!E82)</f>
        <v>0</v>
      </c>
      <c r="F82" s="73">
        <f>('Zamfara Workings'!F82+'Katsina Workings'!F82+'Yobe Workings'!F82)</f>
        <v>0</v>
      </c>
      <c r="G82" s="73">
        <f>('Zamfara Workings'!G82+'Katsina Workings'!G82+'Yobe Workings'!G82)</f>
        <v>0</v>
      </c>
      <c r="H82" s="73">
        <f>('Zamfara Workings'!H82+'Katsina Workings'!H82+'Yobe Workings'!H82)</f>
        <v>0</v>
      </c>
      <c r="I82" s="74">
        <f>('Zamfara Workings'!I82+'Katsina Workings'!I82+'Yobe Workings'!I82)</f>
        <v>0</v>
      </c>
      <c r="J82" s="73">
        <f>('Zamfara Workings'!J82+'Katsina Workings'!J82+'Yobe Workings'!J82)</f>
        <v>0</v>
      </c>
      <c r="K82" s="73">
        <f>('Zamfara Workings'!K82+'Katsina Workings'!K82+'Yobe Workings'!K82)</f>
        <v>0</v>
      </c>
      <c r="L82" s="51">
        <f>('Zamfara Workings'!L82+'Katsina Workings'!L82+'Yobe Workings'!L82)</f>
        <v>0</v>
      </c>
      <c r="M82" s="51">
        <f>('Zamfara Workings'!M82+'Katsina Workings'!M82+'Yobe Workings'!M82)</f>
        <v>0</v>
      </c>
      <c r="N82" s="50">
        <f>('Zamfara Workings'!N82+'Katsina Workings'!N82+'Yobe Workings'!N82)</f>
        <v>0</v>
      </c>
      <c r="O82" s="51">
        <f>('Zamfara Workings'!O82+'Katsina Workings'!O82+'Yobe Workings'!O82)</f>
        <v>0</v>
      </c>
      <c r="P82" s="51">
        <f>('Zamfara Workings'!P82+'Katsina Workings'!P82+'Yobe Workings'!P82)</f>
        <v>0</v>
      </c>
      <c r="Q82" s="51">
        <f>('Zamfara Workings'!Q82+'Katsina Workings'!Q82+'Yobe Workings'!Q82)</f>
        <v>0</v>
      </c>
      <c r="R82" s="50">
        <f>('Zamfara Workings'!R82+'Katsina Workings'!R82+'Yobe Workings'!R82)</f>
        <v>0</v>
      </c>
      <c r="S82" s="51">
        <f>('Zamfara Workings'!S82+'Katsina Workings'!S82+'Yobe Workings'!S82)</f>
        <v>0.5</v>
      </c>
      <c r="T82" s="51">
        <f>('Zamfara Workings'!T82+'Katsina Workings'!T82+'Yobe Workings'!T82)</f>
        <v>1</v>
      </c>
      <c r="U82" s="51">
        <f>('Zamfara Workings'!U82+'Katsina Workings'!U82+'Yobe Workings'!U82)</f>
        <v>1.5</v>
      </c>
      <c r="V82" s="51">
        <f>('Zamfara Workings'!V82+'Katsina Workings'!V82+'Yobe Workings'!V82)</f>
        <v>2</v>
      </c>
      <c r="W82" s="51">
        <f>('Zamfara Workings'!W82+'Katsina Workings'!W82+'Yobe Workings'!W82)</f>
        <v>2.5</v>
      </c>
      <c r="X82" s="51">
        <f>('Zamfara Workings'!X82+'Katsina Workings'!X82+'Yobe Workings'!X82)</f>
        <v>2.9999999999999996</v>
      </c>
      <c r="Y82" s="50">
        <f>('Zamfara Workings'!Y82+'Katsina Workings'!Y82+'Yobe Workings'!Y82)</f>
        <v>3</v>
      </c>
      <c r="Z82" s="51">
        <f>('Zamfara Workings'!Z82+'Katsina Workings'!Z82+'Yobe Workings'!Z82)</f>
        <v>3</v>
      </c>
      <c r="AA82" s="38">
        <f>'Yobe Workings'!AA82*3</f>
        <v>60</v>
      </c>
      <c r="AB82" s="457">
        <f>AA82/22</f>
        <v>2.7272727272727271</v>
      </c>
      <c r="AC82" s="340"/>
      <c r="AD82" s="451">
        <f>V82</f>
        <v>2</v>
      </c>
      <c r="AE82" s="346"/>
      <c r="AF82" s="453">
        <f t="shared" ref="AF82:AG83" si="26">IF($AG$1=16,R82,IF($AG$1=17,S82,IF($AG$1=18,T82,IF($AG$1=19,U82,IF($AG$1=20,V82,IF($AG$1=21,W82,IF($AG$1=22,X82,0)))))))</f>
        <v>2.5</v>
      </c>
      <c r="AG82" s="453">
        <f t="shared" si="26"/>
        <v>2.9999999999999996</v>
      </c>
      <c r="AI82" s="338"/>
    </row>
    <row r="83" spans="1:35" s="340" customFormat="1" ht="15.75" thickBot="1">
      <c r="A83" s="45"/>
      <c r="B83" s="46" t="s">
        <v>208</v>
      </c>
      <c r="C83" s="79">
        <f>('Zamfara Workings'!C83+'Katsina Workings'!C83+'Yobe Workings'!C83)</f>
        <v>0</v>
      </c>
      <c r="D83" s="441">
        <f>('Zamfara Workings'!D83+'Katsina Workings'!D83+'Yobe Workings'!D83)</f>
        <v>0</v>
      </c>
      <c r="E83" s="442">
        <f>('Zamfara Workings'!E83+'Katsina Workings'!E83+'Yobe Workings'!E83)</f>
        <v>0</v>
      </c>
      <c r="F83" s="442">
        <f>('Zamfara Workings'!F83+'Katsina Workings'!F83+'Yobe Workings'!F83)</f>
        <v>0</v>
      </c>
      <c r="G83" s="442">
        <f>('Zamfara Workings'!G83+'Katsina Workings'!G83+'Yobe Workings'!G83)</f>
        <v>0</v>
      </c>
      <c r="H83" s="442">
        <f>('Zamfara Workings'!H83+'Katsina Workings'!H83+'Yobe Workings'!H83)</f>
        <v>0</v>
      </c>
      <c r="I83" s="442">
        <f>('Zamfara Workings'!I83+'Katsina Workings'!I83+'Yobe Workings'!I83)</f>
        <v>0</v>
      </c>
      <c r="J83" s="442">
        <f>('Zamfara Workings'!J83+'Katsina Workings'!J83+'Yobe Workings'!J83)</f>
        <v>0</v>
      </c>
      <c r="K83" s="442">
        <f>('Zamfara Workings'!K83+'Katsina Workings'!K83+'Yobe Workings'!K83)</f>
        <v>0</v>
      </c>
      <c r="L83" s="442">
        <f>('Zamfara Workings'!L83+'Katsina Workings'!L83+'Yobe Workings'!L83)</f>
        <v>0</v>
      </c>
      <c r="M83" s="442">
        <f>('Zamfara Workings'!M83+'Katsina Workings'!M83+'Yobe Workings'!M83)</f>
        <v>0</v>
      </c>
      <c r="N83" s="443">
        <f>('Zamfara Workings'!N83+'Katsina Workings'!N83+'Yobe Workings'!N83)</f>
        <v>0</v>
      </c>
      <c r="O83" s="444">
        <f>('Zamfara Workings'!O83+'Katsina Workings'!O83+'Yobe Workings'!O83)</f>
        <v>0</v>
      </c>
      <c r="P83" s="444">
        <f>('Zamfara Workings'!P83+'Katsina Workings'!P83+'Yobe Workings'!P83)</f>
        <v>0</v>
      </c>
      <c r="Q83" s="444">
        <f>('Zamfara Workings'!Q83+'Katsina Workings'!Q83+'Yobe Workings'!Q83)</f>
        <v>0</v>
      </c>
      <c r="R83" s="442">
        <f>('Zamfara Workings'!R83+'Katsina Workings'!R83+'Yobe Workings'!R83)</f>
        <v>0</v>
      </c>
      <c r="S83" s="442">
        <f>('Zamfara Workings'!S83+'Katsina Workings'!S83+'Yobe Workings'!S83)</f>
        <v>2</v>
      </c>
      <c r="T83" s="442">
        <f>('Zamfara Workings'!T83+'Katsina Workings'!T83+'Yobe Workings'!T83)</f>
        <v>5</v>
      </c>
      <c r="U83" s="442">
        <f>('Zamfara Workings'!U83+'Katsina Workings'!U83+'Yobe Workings'!U83)</f>
        <v>4</v>
      </c>
      <c r="V83" s="445">
        <f>('Zamfara Workings'!V83+'Katsina Workings'!V83+'Yobe Workings'!V83)</f>
        <v>1</v>
      </c>
      <c r="W83" s="72">
        <f>('Zamfara Workings'!W83+'Katsina Workings'!W83+'Yobe Workings'!W83)</f>
        <v>1</v>
      </c>
      <c r="X83" s="70">
        <f>('Zamfara Workings'!X83+'Katsina Workings'!X83+'Yobe Workings'!X83)</f>
        <v>0</v>
      </c>
      <c r="Y83" s="70">
        <f>('Zamfara Workings'!Y83+'Katsina Workings'!Y83+'Yobe Workings'!Y83)</f>
        <v>0</v>
      </c>
      <c r="Z83" s="70">
        <f>('Zamfara Workings'!Z83+'Katsina Workings'!Z83+'Yobe Workings'!Z83)</f>
        <v>0</v>
      </c>
      <c r="AA83" s="49"/>
      <c r="AB83" s="421"/>
      <c r="AD83" s="452">
        <f>V83</f>
        <v>1</v>
      </c>
      <c r="AE83" s="346"/>
      <c r="AF83" s="452">
        <f t="shared" si="26"/>
        <v>1</v>
      </c>
      <c r="AG83" s="452">
        <f t="shared" si="26"/>
        <v>0</v>
      </c>
      <c r="AH83" s="342">
        <f>AG83</f>
        <v>0</v>
      </c>
      <c r="AI83" s="342">
        <f>AG83</f>
        <v>0</v>
      </c>
    </row>
    <row r="84" spans="1:35" s="340" customFormat="1">
      <c r="A84" s="45"/>
      <c r="B84" s="46"/>
      <c r="C84" s="53"/>
      <c r="D84" s="428"/>
      <c r="E84" s="428"/>
      <c r="F84" s="428"/>
      <c r="G84" s="53"/>
      <c r="H84" s="53"/>
      <c r="I84" s="53"/>
      <c r="J84" s="53"/>
      <c r="K84" s="53"/>
      <c r="L84" s="53"/>
      <c r="M84" s="53"/>
      <c r="N84" s="53"/>
      <c r="O84" s="53"/>
      <c r="P84" s="53"/>
      <c r="Q84" s="53"/>
      <c r="R84" s="53"/>
      <c r="S84" s="53"/>
      <c r="T84" s="53"/>
      <c r="U84" s="53"/>
      <c r="V84" s="53"/>
      <c r="W84" s="53"/>
      <c r="X84" s="53"/>
      <c r="Y84" s="53"/>
      <c r="Z84" s="53"/>
      <c r="AA84" s="49"/>
      <c r="AB84" s="421"/>
      <c r="AD84" s="345"/>
      <c r="AE84" s="346"/>
      <c r="AF84" s="345"/>
      <c r="AG84" s="345"/>
      <c r="AH84" s="335"/>
      <c r="AI84" s="338"/>
    </row>
    <row r="85" spans="1:35" ht="15.75" thickBot="1">
      <c r="A85" s="41" t="s">
        <v>160</v>
      </c>
      <c r="B85" s="42" t="s">
        <v>201</v>
      </c>
      <c r="C85" s="52"/>
      <c r="D85" s="52"/>
      <c r="E85" s="52"/>
      <c r="F85" s="52"/>
      <c r="G85" s="52"/>
      <c r="H85" s="52"/>
      <c r="I85" s="52"/>
      <c r="J85" s="52"/>
      <c r="K85" s="52"/>
      <c r="L85" s="52"/>
      <c r="M85" s="52"/>
      <c r="N85" s="50">
        <f>('Zamfara Workings'!N85+'Katsina Workings'!N85+'Yobe Workings'!N85)/3</f>
        <v>28.333333333333332</v>
      </c>
      <c r="O85" s="51">
        <f>('Zamfara Workings'!O85+'Katsina Workings'!O85+'Yobe Workings'!O85)/3</f>
        <v>31.666666666666668</v>
      </c>
      <c r="P85" s="51">
        <f>('Zamfara Workings'!P85+'Katsina Workings'!P85+'Yobe Workings'!P85)/3</f>
        <v>35</v>
      </c>
      <c r="Q85" s="51">
        <f>('Zamfara Workings'!Q85+'Katsina Workings'!Q85+'Yobe Workings'!Q85)/3</f>
        <v>38.333333333333336</v>
      </c>
      <c r="R85" s="50">
        <f>('Zamfara Workings'!R85+'Katsina Workings'!R85+'Yobe Workings'!R85)/3</f>
        <v>41.666666666666664</v>
      </c>
      <c r="S85" s="51">
        <f>('Zamfara Workings'!S85+'Katsina Workings'!S85+'Yobe Workings'!S85)/3</f>
        <v>47.222222222222221</v>
      </c>
      <c r="T85" s="51">
        <f>('Zamfara Workings'!T85+'Katsina Workings'!T85+'Yobe Workings'!T85)/3</f>
        <v>52.777777777777771</v>
      </c>
      <c r="U85" s="51">
        <f>('Zamfara Workings'!U85+'Katsina Workings'!U85+'Yobe Workings'!U85)/3</f>
        <v>58.333333333333336</v>
      </c>
      <c r="V85" s="51">
        <f>('Zamfara Workings'!V85+'Katsina Workings'!V85+'Yobe Workings'!V85)/3</f>
        <v>63.888888888888886</v>
      </c>
      <c r="W85" s="51">
        <f>('Zamfara Workings'!W85+'Katsina Workings'!W85+'Yobe Workings'!W85)/3</f>
        <v>69.444444444444443</v>
      </c>
      <c r="X85" s="51">
        <f>('Zamfara Workings'!X85+'Katsina Workings'!X85+'Yobe Workings'!X85)/3</f>
        <v>75</v>
      </c>
      <c r="Y85" s="50">
        <f>('Zamfara Workings'!Y85+'Katsina Workings'!Y85+'Yobe Workings'!Y85)/3</f>
        <v>75</v>
      </c>
      <c r="Z85" s="51">
        <f>('Zamfara Workings'!Z85+'Katsina Workings'!Z85+'Yobe Workings'!Z85)/3</f>
        <v>75</v>
      </c>
      <c r="AA85" s="38">
        <v>100</v>
      </c>
      <c r="AB85" s="457">
        <f>AA85/22</f>
        <v>4.5454545454545459</v>
      </c>
      <c r="AC85" s="340"/>
      <c r="AD85" s="451">
        <f>V85</f>
        <v>63.888888888888886</v>
      </c>
      <c r="AE85" s="346"/>
      <c r="AF85" s="453">
        <f t="shared" ref="AF85:AG86" si="27">IF($AG$1=16,R85,IF($AG$1=17,S85,IF($AG$1=18,T85,IF($AG$1=19,U85,IF($AG$1=20,V85,IF($AG$1=21,W85,IF($AG$1=22,X85,0)))))))</f>
        <v>69.444444444444443</v>
      </c>
      <c r="AG85" s="453">
        <f t="shared" si="27"/>
        <v>75</v>
      </c>
      <c r="AI85" s="338"/>
    </row>
    <row r="86" spans="1:35" s="340" customFormat="1" ht="15.75" thickBot="1">
      <c r="A86" s="45"/>
      <c r="B86" s="46" t="s">
        <v>200</v>
      </c>
      <c r="C86" s="52"/>
      <c r="D86" s="52"/>
      <c r="E86" s="52"/>
      <c r="F86" s="52"/>
      <c r="G86" s="52"/>
      <c r="H86" s="52"/>
      <c r="I86" s="52"/>
      <c r="J86" s="52"/>
      <c r="K86" s="52"/>
      <c r="L86" s="52"/>
      <c r="M86" s="52"/>
      <c r="N86" s="52">
        <f>('Zamfara Workings'!N86+'Katsina Workings'!N86+'Yobe Workings'!N86)/3</f>
        <v>28.333333333333332</v>
      </c>
      <c r="O86" s="441">
        <f>('Zamfara Workings'!O86+'Katsina Workings'!O86+'Yobe Workings'!O86)/3</f>
        <v>28.333333333333332</v>
      </c>
      <c r="P86" s="444">
        <f>('Zamfara Workings'!P86+'Katsina Workings'!P86+'Yobe Workings'!P86)/3</f>
        <v>36.666666666666664</v>
      </c>
      <c r="Q86" s="444">
        <f>('Zamfara Workings'!Q86+'Katsina Workings'!Q86+'Yobe Workings'!Q86)/3</f>
        <v>41</v>
      </c>
      <c r="R86" s="442">
        <f>('Zamfara Workings'!R86+'Katsina Workings'!R86+'Yobe Workings'!R86)/3</f>
        <v>42.666666666666664</v>
      </c>
      <c r="S86" s="442">
        <f>('Zamfara Workings'!S86+'Katsina Workings'!S86+'Yobe Workings'!S86)/3</f>
        <v>42.666666666666664</v>
      </c>
      <c r="T86" s="442">
        <f>('Zamfara Workings'!T86+'Katsina Workings'!T86+'Yobe Workings'!T86)/3</f>
        <v>46</v>
      </c>
      <c r="U86" s="442">
        <f>('Zamfara Workings'!U86+'Katsina Workings'!U86+'Yobe Workings'!U86)/3</f>
        <v>47.333333333333336</v>
      </c>
      <c r="V86" s="445">
        <f>('Zamfara Workings'!V86+'Katsina Workings'!V86+'Yobe Workings'!V86)/3</f>
        <v>65</v>
      </c>
      <c r="W86" s="72">
        <f>('Zamfara Workings'!W86+'Katsina Workings'!W86+'Yobe Workings'!W86)/3</f>
        <v>65</v>
      </c>
      <c r="X86" s="70">
        <f>('Zamfara Workings'!X86+'Katsina Workings'!X86+'Yobe Workings'!X86)/3</f>
        <v>67.166666666666671</v>
      </c>
      <c r="Y86" s="70">
        <f>('Zamfara Workings'!Y86+'Katsina Workings'!Y86+'Yobe Workings'!Y86)/3</f>
        <v>0</v>
      </c>
      <c r="Z86" s="70">
        <f>('Zamfara Workings'!Z86+'Katsina Workings'!Z86+'Yobe Workings'!Z86)/3</f>
        <v>0</v>
      </c>
      <c r="AA86" s="49"/>
      <c r="AB86" s="421"/>
      <c r="AD86" s="452">
        <f>V86</f>
        <v>65</v>
      </c>
      <c r="AE86" s="346"/>
      <c r="AF86" s="452">
        <f t="shared" si="27"/>
        <v>65</v>
      </c>
      <c r="AG86" s="452">
        <f t="shared" si="27"/>
        <v>67.166666666666671</v>
      </c>
      <c r="AH86" s="342">
        <f>AG86</f>
        <v>67.166666666666671</v>
      </c>
      <c r="AI86" s="342">
        <f>AG86</f>
        <v>67.166666666666671</v>
      </c>
    </row>
    <row r="87" spans="1:35" s="340" customFormat="1">
      <c r="A87" s="45"/>
      <c r="B87" s="46"/>
      <c r="C87" s="53"/>
      <c r="D87" s="428"/>
      <c r="E87" s="428"/>
      <c r="F87" s="428"/>
      <c r="G87" s="53"/>
      <c r="H87" s="53"/>
      <c r="I87" s="53"/>
      <c r="J87" s="53"/>
      <c r="K87" s="53"/>
      <c r="L87" s="53"/>
      <c r="M87" s="53"/>
      <c r="N87" s="53"/>
      <c r="O87" s="53"/>
      <c r="P87" s="53"/>
      <c r="Q87" s="53"/>
      <c r="R87" s="53"/>
      <c r="S87" s="53"/>
      <c r="T87" s="53"/>
      <c r="U87" s="53"/>
      <c r="V87" s="53"/>
      <c r="W87" s="53"/>
      <c r="X87" s="53"/>
      <c r="Y87" s="53"/>
      <c r="Z87" s="53"/>
      <c r="AA87" s="49"/>
      <c r="AB87" s="421"/>
      <c r="AD87" s="345"/>
      <c r="AE87" s="346"/>
      <c r="AF87" s="454"/>
      <c r="AG87" s="454"/>
      <c r="AH87" s="335"/>
      <c r="AI87" s="338"/>
    </row>
    <row r="88" spans="1:35" ht="15.75" thickBot="1">
      <c r="A88" s="41" t="s">
        <v>161</v>
      </c>
      <c r="B88" s="42" t="s">
        <v>198</v>
      </c>
      <c r="C88" s="52"/>
      <c r="D88" s="52"/>
      <c r="E88" s="52"/>
      <c r="F88" s="52"/>
      <c r="G88" s="52"/>
      <c r="H88" s="52"/>
      <c r="I88" s="52"/>
      <c r="J88" s="52"/>
      <c r="K88" s="52"/>
      <c r="L88" s="52"/>
      <c r="M88" s="52"/>
      <c r="N88" s="50">
        <f>('Zamfara Workings'!N88+'Katsina Workings'!N88+'Yobe Workings'!N88)/3</f>
        <v>20.666666666666668</v>
      </c>
      <c r="O88" s="51">
        <f>('Zamfara Workings'!O88+'Katsina Workings'!O88+'Yobe Workings'!O88)/3</f>
        <v>22.583333333333332</v>
      </c>
      <c r="P88" s="51">
        <f>('Zamfara Workings'!P88+'Katsina Workings'!P88+'Yobe Workings'!P88)/3</f>
        <v>24.5</v>
      </c>
      <c r="Q88" s="51">
        <f>('Zamfara Workings'!Q88+'Katsina Workings'!Q88+'Yobe Workings'!Q88)/3</f>
        <v>26.416666666666668</v>
      </c>
      <c r="R88" s="50">
        <f>('Zamfara Workings'!R88+'Katsina Workings'!R88+'Yobe Workings'!R88)/3</f>
        <v>28.333333333333332</v>
      </c>
      <c r="S88" s="51">
        <f>('Zamfara Workings'!S88+'Katsina Workings'!S88+'Yobe Workings'!S88)/3</f>
        <v>31.944444444444446</v>
      </c>
      <c r="T88" s="51">
        <f>('Zamfara Workings'!T88+'Katsina Workings'!T88+'Yobe Workings'!T88)/3</f>
        <v>35.555555555555557</v>
      </c>
      <c r="U88" s="51">
        <f>('Zamfara Workings'!U88+'Katsina Workings'!U88+'Yobe Workings'!U88)/3</f>
        <v>39.166666666666664</v>
      </c>
      <c r="V88" s="51">
        <f>('Zamfara Workings'!V88+'Katsina Workings'!V88+'Yobe Workings'!V88)/3</f>
        <v>42.777777777777779</v>
      </c>
      <c r="W88" s="51">
        <f>('Zamfara Workings'!W88+'Katsina Workings'!W88+'Yobe Workings'!W88)/3</f>
        <v>46.388888888888893</v>
      </c>
      <c r="X88" s="51">
        <f>('Zamfara Workings'!X88+'Katsina Workings'!X88+'Yobe Workings'!X88)/3</f>
        <v>50</v>
      </c>
      <c r="Y88" s="50">
        <f>('Zamfara Workings'!Y88+'Katsina Workings'!Y88+'Yobe Workings'!Y88)/3</f>
        <v>50</v>
      </c>
      <c r="Z88" s="51">
        <f>('Zamfara Workings'!Z88+'Katsina Workings'!Z88+'Yobe Workings'!Z88)/3</f>
        <v>50</v>
      </c>
      <c r="AA88" s="38">
        <v>100</v>
      </c>
      <c r="AB88" s="457">
        <f>AA88/22</f>
        <v>4.5454545454545459</v>
      </c>
      <c r="AC88" s="340"/>
      <c r="AD88" s="451">
        <f>V88</f>
        <v>42.777777777777779</v>
      </c>
      <c r="AE88" s="346"/>
      <c r="AF88" s="453">
        <f t="shared" ref="AF88:AG89" si="28">IF($AG$1=16,R88,IF($AG$1=17,S88,IF($AG$1=18,T88,IF($AG$1=19,U88,IF($AG$1=20,V88,IF($AG$1=21,W88,IF($AG$1=22,X88,0)))))))</f>
        <v>46.388888888888893</v>
      </c>
      <c r="AG88" s="453">
        <f t="shared" si="28"/>
        <v>50</v>
      </c>
      <c r="AI88" s="338"/>
    </row>
    <row r="89" spans="1:35" s="340" customFormat="1" ht="15.75" thickBot="1">
      <c r="A89" s="45"/>
      <c r="B89" s="46" t="s">
        <v>199</v>
      </c>
      <c r="C89" s="52"/>
      <c r="D89" s="52"/>
      <c r="E89" s="52"/>
      <c r="F89" s="52"/>
      <c r="G89" s="52"/>
      <c r="H89" s="52"/>
      <c r="I89" s="52"/>
      <c r="J89" s="52"/>
      <c r="K89" s="52"/>
      <c r="L89" s="52"/>
      <c r="M89" s="52"/>
      <c r="N89" s="52">
        <f>('Zamfara Workings'!N89+'Katsina Workings'!N89+'Yobe Workings'!N89)/3</f>
        <v>20.666666666666668</v>
      </c>
      <c r="O89" s="441">
        <f>('Zamfara Workings'!O89+'Katsina Workings'!O89+'Yobe Workings'!O89)/3</f>
        <v>20.666666666666668</v>
      </c>
      <c r="P89" s="444">
        <f>('Zamfara Workings'!P89+'Katsina Workings'!P89+'Yobe Workings'!P89)/3</f>
        <v>22.333333333333332</v>
      </c>
      <c r="Q89" s="444">
        <f>('Zamfara Workings'!Q89+'Katsina Workings'!Q89+'Yobe Workings'!Q89)/3</f>
        <v>24.666666666666668</v>
      </c>
      <c r="R89" s="442">
        <f>('Zamfara Workings'!R89+'Katsina Workings'!R89+'Yobe Workings'!R89)/3</f>
        <v>27.333333333333332</v>
      </c>
      <c r="S89" s="442">
        <f>('Zamfara Workings'!S89+'Katsina Workings'!S89+'Yobe Workings'!S89)/3</f>
        <v>27.333333333333332</v>
      </c>
      <c r="T89" s="442">
        <f>('Zamfara Workings'!T89+'Katsina Workings'!T89+'Yobe Workings'!T89)/3</f>
        <v>31.666666666666668</v>
      </c>
      <c r="U89" s="442">
        <f>('Zamfara Workings'!U89+'Katsina Workings'!U89+'Yobe Workings'!U89)/3</f>
        <v>45.666666666666664</v>
      </c>
      <c r="V89" s="445">
        <f>('Zamfara Workings'!V89+'Katsina Workings'!V89+'Yobe Workings'!V89)/3</f>
        <v>61.666666666666664</v>
      </c>
      <c r="W89" s="72">
        <f>('Zamfara Workings'!W89+'Katsina Workings'!W89+'Yobe Workings'!W89)/3</f>
        <v>63.666666666666664</v>
      </c>
      <c r="X89" s="70">
        <f>('Zamfara Workings'!X89+'Katsina Workings'!X89+'Yobe Workings'!X89)/3</f>
        <v>67.777777777777771</v>
      </c>
      <c r="Y89" s="70">
        <f>('Zamfara Workings'!Y89+'Katsina Workings'!Y89+'Yobe Workings'!Y89)/3</f>
        <v>0</v>
      </c>
      <c r="Z89" s="70">
        <f>('Zamfara Workings'!Z89+'Katsina Workings'!Z89+'Yobe Workings'!Z89)/3</f>
        <v>0</v>
      </c>
      <c r="AA89" s="49"/>
      <c r="AB89" s="421"/>
      <c r="AD89" s="452">
        <f>V89</f>
        <v>61.666666666666664</v>
      </c>
      <c r="AE89" s="346"/>
      <c r="AF89" s="452">
        <f t="shared" si="28"/>
        <v>63.666666666666664</v>
      </c>
      <c r="AG89" s="452">
        <f t="shared" si="28"/>
        <v>67.777777777777771</v>
      </c>
      <c r="AH89" s="342">
        <f>AG89</f>
        <v>67.777777777777771</v>
      </c>
      <c r="AI89" s="342">
        <f>AG89</f>
        <v>67.777777777777771</v>
      </c>
    </row>
    <row r="90" spans="1:35" s="340" customFormat="1">
      <c r="A90" s="45"/>
      <c r="B90" s="46"/>
      <c r="C90" s="53"/>
      <c r="D90" s="428"/>
      <c r="E90" s="428"/>
      <c r="F90" s="428"/>
      <c r="G90" s="53"/>
      <c r="H90" s="53"/>
      <c r="I90" s="53"/>
      <c r="J90" s="53"/>
      <c r="K90" s="53"/>
      <c r="L90" s="53"/>
      <c r="M90" s="53"/>
      <c r="N90" s="53"/>
      <c r="O90" s="53"/>
      <c r="P90" s="53"/>
      <c r="Q90" s="53"/>
      <c r="R90" s="48"/>
      <c r="S90" s="48"/>
      <c r="T90" s="48"/>
      <c r="U90" s="48"/>
      <c r="V90" s="48"/>
      <c r="W90" s="48"/>
      <c r="X90" s="48"/>
      <c r="Y90" s="48"/>
      <c r="Z90" s="48"/>
      <c r="AA90" s="49"/>
      <c r="AB90" s="421"/>
      <c r="AE90" s="335"/>
      <c r="AF90" s="343"/>
      <c r="AG90" s="343"/>
      <c r="AH90" s="335"/>
      <c r="AI90" s="338"/>
    </row>
    <row r="91" spans="1:35" ht="15.75" thickBot="1">
      <c r="A91" s="41" t="s">
        <v>40</v>
      </c>
      <c r="B91" s="42" t="s">
        <v>139</v>
      </c>
      <c r="C91" s="52"/>
      <c r="D91" s="52"/>
      <c r="E91" s="52"/>
      <c r="F91" s="52"/>
      <c r="G91" s="52"/>
      <c r="H91" s="52"/>
      <c r="I91" s="52"/>
      <c r="J91" s="52"/>
      <c r="K91" s="52"/>
      <c r="L91" s="52"/>
      <c r="M91" s="52"/>
      <c r="N91" s="43">
        <f>('Zamfara Workings'!N91+'Katsina Workings'!N91+'Yobe Workings'!N91)/3</f>
        <v>2.0333333333333332</v>
      </c>
      <c r="O91" s="44">
        <f>('Zamfara Workings'!O91+'Katsina Workings'!O91+'Yobe Workings'!O91)/3</f>
        <v>2.1083333333333338</v>
      </c>
      <c r="P91" s="44">
        <f>('Zamfara Workings'!P91+'Katsina Workings'!P91+'Yobe Workings'!P91)/3</f>
        <v>2.1833333333333336</v>
      </c>
      <c r="Q91" s="44">
        <f>('Zamfara Workings'!Q91+'Katsina Workings'!Q91+'Yobe Workings'!Q91)/3</f>
        <v>2.2583333333333342</v>
      </c>
      <c r="R91" s="43">
        <f>('Zamfara Workings'!R91+'Katsina Workings'!R91+'Yobe Workings'!R91)/3</f>
        <v>2.3333333333333335</v>
      </c>
      <c r="S91" s="44">
        <f>('Zamfara Workings'!S91+'Katsina Workings'!S91+'Yobe Workings'!S91)/3</f>
        <v>2.4166666666666665</v>
      </c>
      <c r="T91" s="44">
        <f>('Zamfara Workings'!T91+'Katsina Workings'!T91+'Yobe Workings'!T91)/3</f>
        <v>2.5</v>
      </c>
      <c r="U91" s="44">
        <f>('Zamfara Workings'!U91+'Katsina Workings'!U91+'Yobe Workings'!U91)/3</f>
        <v>2.5833333333333335</v>
      </c>
      <c r="V91" s="44">
        <f>('Zamfara Workings'!V91+'Katsina Workings'!V91+'Yobe Workings'!V91)/3</f>
        <v>2.6666666666666665</v>
      </c>
      <c r="W91" s="44">
        <f>('Zamfara Workings'!W91+'Katsina Workings'!W91+'Yobe Workings'!W91)/3</f>
        <v>3.0277777777777772</v>
      </c>
      <c r="X91" s="44">
        <f>('Zamfara Workings'!X91+'Katsina Workings'!X91+'Yobe Workings'!X91)/3</f>
        <v>3.1666666666666665</v>
      </c>
      <c r="Y91" s="43">
        <f>('Zamfara Workings'!Y91+'Katsina Workings'!Y91+'Yobe Workings'!Y91)/3</f>
        <v>3.1666666666666665</v>
      </c>
      <c r="Z91" s="44">
        <f>('Zamfara Workings'!Z91+'Katsina Workings'!Z91+'Yobe Workings'!Z91)/3</f>
        <v>3.1666666666666665</v>
      </c>
      <c r="AA91" s="38">
        <v>5</v>
      </c>
      <c r="AB91" s="420">
        <f>AA91/22</f>
        <v>0.22727272727272727</v>
      </c>
      <c r="AC91" s="340"/>
      <c r="AD91" s="450">
        <f>V91</f>
        <v>2.6666666666666665</v>
      </c>
      <c r="AF91" s="339">
        <f t="shared" ref="AF91:AG92" si="29">IF($AG$1=16,R91,IF($AG$1=17,S91,IF($AG$1=18,T91,IF($AG$1=19,U91,IF($AG$1=20,V91,IF($AG$1=21,W91,IF($AG$1=22,X91,0)))))))</f>
        <v>3.0277777777777772</v>
      </c>
      <c r="AG91" s="339">
        <f t="shared" si="29"/>
        <v>3.1666666666666665</v>
      </c>
      <c r="AI91" s="338"/>
    </row>
    <row r="92" spans="1:35" s="340" customFormat="1" ht="15.75" thickBot="1">
      <c r="A92" s="45"/>
      <c r="B92" s="46" t="s">
        <v>140</v>
      </c>
      <c r="C92" s="52"/>
      <c r="D92" s="52"/>
      <c r="E92" s="52"/>
      <c r="F92" s="52"/>
      <c r="G92" s="52"/>
      <c r="H92" s="52"/>
      <c r="I92" s="52"/>
      <c r="J92" s="52"/>
      <c r="K92" s="52"/>
      <c r="L92" s="52"/>
      <c r="M92" s="52"/>
      <c r="N92" s="47">
        <f>('Zamfara Workings'!N92+'Katsina Workings'!N92+'Yobe Workings'!N92)/3</f>
        <v>2.0333333333333332</v>
      </c>
      <c r="O92" s="436">
        <f>('Zamfara Workings'!O92+'Katsina Workings'!O92+'Yobe Workings'!O92)/3</f>
        <v>2.0333333333333332</v>
      </c>
      <c r="P92" s="440">
        <f>('Zamfara Workings'!P92+'Katsina Workings'!P92+'Yobe Workings'!P92)/3</f>
        <v>2.1333333333333333</v>
      </c>
      <c r="Q92" s="440">
        <f>('Zamfara Workings'!Q92+'Katsina Workings'!Q92+'Yobe Workings'!Q92)/3</f>
        <v>2.4</v>
      </c>
      <c r="R92" s="437">
        <f>('Zamfara Workings'!R92+'Katsina Workings'!R92+'Yobe Workings'!R92)/3</f>
        <v>2.5</v>
      </c>
      <c r="S92" s="437">
        <f>('Zamfara Workings'!S92+'Katsina Workings'!S92+'Yobe Workings'!S92)/3</f>
        <v>2.5666666666666664</v>
      </c>
      <c r="T92" s="437">
        <f>('Zamfara Workings'!T92+'Katsina Workings'!T92+'Yobe Workings'!T92)/3</f>
        <v>2.9</v>
      </c>
      <c r="U92" s="437">
        <f>('Zamfara Workings'!U92+'Katsina Workings'!U92+'Yobe Workings'!U92)/3</f>
        <v>3.0666666666666664</v>
      </c>
      <c r="V92" s="438">
        <f>('Zamfara Workings'!V92+'Katsina Workings'!V92+'Yobe Workings'!V92)/3</f>
        <v>3.5666666666666664</v>
      </c>
      <c r="W92" s="80">
        <f>('Zamfara Workings'!W92+'Katsina Workings'!W92+'Yobe Workings'!W92)/3</f>
        <v>3.6</v>
      </c>
      <c r="X92" s="69">
        <f>('Zamfara Workings'!X92+'Katsina Workings'!X92+'Yobe Workings'!X92)/3</f>
        <v>3.7333333333333329</v>
      </c>
      <c r="Y92" s="69">
        <f>('Zamfara Workings'!Y92+'Katsina Workings'!Y92+'Yobe Workings'!Y92)/3</f>
        <v>0</v>
      </c>
      <c r="Z92" s="69">
        <f>('Zamfara Workings'!Z92+'Katsina Workings'!Z92+'Yobe Workings'!Z92)/3</f>
        <v>0</v>
      </c>
      <c r="AA92" s="49"/>
      <c r="AB92" s="421"/>
      <c r="AD92" s="341">
        <f>V92</f>
        <v>3.5666666666666664</v>
      </c>
      <c r="AE92" s="335"/>
      <c r="AF92" s="341">
        <f t="shared" si="29"/>
        <v>3.6</v>
      </c>
      <c r="AG92" s="341">
        <f t="shared" si="29"/>
        <v>3.7333333333333329</v>
      </c>
      <c r="AH92" s="342">
        <f>AG92</f>
        <v>3.7333333333333329</v>
      </c>
      <c r="AI92" s="342">
        <f>AG92</f>
        <v>3.7333333333333329</v>
      </c>
    </row>
    <row r="93" spans="1:35" s="340" customFormat="1">
      <c r="A93" s="45"/>
      <c r="B93" s="46"/>
      <c r="C93" s="48"/>
      <c r="D93" s="48"/>
      <c r="E93" s="48"/>
      <c r="F93" s="48"/>
      <c r="G93" s="48"/>
      <c r="H93" s="48"/>
      <c r="I93" s="48"/>
      <c r="J93" s="48"/>
      <c r="K93" s="48"/>
      <c r="L93" s="48"/>
      <c r="M93" s="48"/>
      <c r="N93" s="48"/>
      <c r="O93" s="48"/>
      <c r="P93" s="48"/>
      <c r="Q93" s="48"/>
      <c r="R93" s="48"/>
      <c r="S93" s="48"/>
      <c r="T93" s="48"/>
      <c r="U93" s="48"/>
      <c r="V93" s="48"/>
      <c r="W93" s="48"/>
      <c r="X93" s="48"/>
      <c r="Y93" s="48"/>
      <c r="Z93" s="48"/>
      <c r="AA93" s="49"/>
      <c r="AB93" s="421"/>
      <c r="AE93" s="335"/>
      <c r="AF93" s="343"/>
      <c r="AG93" s="343"/>
      <c r="AH93" s="335"/>
      <c r="AI93" s="338"/>
    </row>
    <row r="94" spans="1:35" ht="15.75" thickBot="1">
      <c r="A94" s="41" t="s">
        <v>32</v>
      </c>
      <c r="B94" s="42" t="s">
        <v>139</v>
      </c>
      <c r="C94" s="43" t="e">
        <f>('Zamfara Workings'!C94+'Katsina Workings'!C94+'Yobe Workings'!C94)/3</f>
        <v>#VALUE!</v>
      </c>
      <c r="D94" s="81" t="e">
        <f>('Zamfara Workings'!D94+'Katsina Workings'!D94+'Yobe Workings'!D94)/3</f>
        <v>#VALUE!</v>
      </c>
      <c r="E94" s="81" t="e">
        <f>('Zamfara Workings'!E94+'Katsina Workings'!E94+'Yobe Workings'!E94)/3</f>
        <v>#VALUE!</v>
      </c>
      <c r="F94" s="81" t="e">
        <f>('Zamfara Workings'!F94+'Katsina Workings'!F94+'Yobe Workings'!F94)/3</f>
        <v>#VALUE!</v>
      </c>
      <c r="G94" s="81" t="e">
        <f>('Zamfara Workings'!G94+'Katsina Workings'!G94+'Yobe Workings'!G94)/3</f>
        <v>#VALUE!</v>
      </c>
      <c r="H94" s="81" t="e">
        <f>('Zamfara Workings'!H94+'Katsina Workings'!H94+'Yobe Workings'!H94)/3</f>
        <v>#VALUE!</v>
      </c>
      <c r="I94" s="82">
        <f>('Zamfara Workings'!I94+'Katsina Workings'!I94+'Yobe Workings'!I94)/3</f>
        <v>1.5</v>
      </c>
      <c r="J94" s="81">
        <f>('Zamfara Workings'!J94+'Katsina Workings'!J94+'Yobe Workings'!J94)/3</f>
        <v>1.5</v>
      </c>
      <c r="K94" s="81">
        <f>('Zamfara Workings'!K94+'Katsina Workings'!K94+'Yobe Workings'!K94)/3</f>
        <v>1.5</v>
      </c>
      <c r="L94" s="44">
        <f>('Zamfara Workings'!L94+'Katsina Workings'!L94+'Yobe Workings'!L94)/3</f>
        <v>1.5</v>
      </c>
      <c r="M94" s="44">
        <f>('Zamfara Workings'!M94+'Katsina Workings'!M94+'Yobe Workings'!M94)/3</f>
        <v>1.5</v>
      </c>
      <c r="N94" s="43">
        <f>('Zamfara Workings'!N94+'Katsina Workings'!N94+'Yobe Workings'!N94)/3</f>
        <v>1.5</v>
      </c>
      <c r="O94" s="44">
        <f>('Zamfara Workings'!O94+'Katsina Workings'!O94+'Yobe Workings'!O94)/3</f>
        <v>1.5833333333333333</v>
      </c>
      <c r="P94" s="44">
        <f>('Zamfara Workings'!P94+'Katsina Workings'!P94+'Yobe Workings'!P94)/3</f>
        <v>1.6666666666666667</v>
      </c>
      <c r="Q94" s="44">
        <f>('Zamfara Workings'!Q94+'Katsina Workings'!Q94+'Yobe Workings'!Q94)/3</f>
        <v>1.7499999999999998</v>
      </c>
      <c r="R94" s="43">
        <f>('Zamfara Workings'!R94+'Katsina Workings'!R94+'Yobe Workings'!R94)/3</f>
        <v>1.8333333333333333</v>
      </c>
      <c r="S94" s="44">
        <f>('Zamfara Workings'!S94+'Katsina Workings'!S94+'Yobe Workings'!S94)/3</f>
        <v>1.9722222222222223</v>
      </c>
      <c r="T94" s="44">
        <f>('Zamfara Workings'!T94+'Katsina Workings'!T94+'Yobe Workings'!T94)/3</f>
        <v>2.1111111111111112</v>
      </c>
      <c r="U94" s="44">
        <f>('Zamfara Workings'!U94+'Katsina Workings'!U94+'Yobe Workings'!U94)/3</f>
        <v>2.25</v>
      </c>
      <c r="V94" s="44">
        <f>('Zamfara Workings'!V94+'Katsina Workings'!V94+'Yobe Workings'!V94)/3</f>
        <v>2.3888888888888888</v>
      </c>
      <c r="W94" s="44">
        <f>('Zamfara Workings'!W94+'Katsina Workings'!W94+'Yobe Workings'!W94)/3</f>
        <v>3.1388888888888888</v>
      </c>
      <c r="X94" s="44">
        <f>('Zamfara Workings'!X94+'Katsina Workings'!X94+'Yobe Workings'!X94)/3</f>
        <v>3.4</v>
      </c>
      <c r="Y94" s="43">
        <f>('Zamfara Workings'!Y94+'Katsina Workings'!Y94+'Yobe Workings'!Y94)/3</f>
        <v>3.4</v>
      </c>
      <c r="Z94" s="44">
        <f>('Zamfara Workings'!Z94+'Katsina Workings'!Z94+'Yobe Workings'!Z94)/3</f>
        <v>3.4</v>
      </c>
      <c r="AA94" s="38">
        <v>5</v>
      </c>
      <c r="AB94" s="420">
        <f>AA94/22</f>
        <v>0.22727272727272727</v>
      </c>
      <c r="AC94" s="340"/>
      <c r="AD94" s="450">
        <f>V94</f>
        <v>2.3888888888888888</v>
      </c>
      <c r="AF94" s="339">
        <f t="shared" ref="AF94:AG95" si="30">IF($AG$1=16,R94,IF($AG$1=17,S94,IF($AG$1=18,T94,IF($AG$1=19,U94,IF($AG$1=20,V94,IF($AG$1=21,W94,IF($AG$1=22,X94,0)))))))</f>
        <v>3.1388888888888888</v>
      </c>
      <c r="AG94" s="339">
        <f t="shared" si="30"/>
        <v>3.4</v>
      </c>
      <c r="AI94" s="338"/>
    </row>
    <row r="95" spans="1:35" s="340" customFormat="1" ht="15.75" thickBot="1">
      <c r="A95" s="45"/>
      <c r="B95" s="46" t="s">
        <v>140</v>
      </c>
      <c r="C95" s="79" t="e">
        <f>('Zamfara Workings'!C95+'Katsina Workings'!C95+'Yobe Workings'!C95)/3</f>
        <v>#VALUE!</v>
      </c>
      <c r="D95" s="436">
        <f>('Zamfara Workings'!D95+'Katsina Workings'!D95+'Yobe Workings'!D95)/3</f>
        <v>0</v>
      </c>
      <c r="E95" s="437">
        <f>('Zamfara Workings'!E95+'Katsina Workings'!E95+'Yobe Workings'!E95)/3</f>
        <v>0</v>
      </c>
      <c r="F95" s="437">
        <f>('Zamfara Workings'!F95+'Katsina Workings'!F95+'Yobe Workings'!F95)/3</f>
        <v>0</v>
      </c>
      <c r="G95" s="437">
        <f>('Zamfara Workings'!G95+'Katsina Workings'!G95+'Yobe Workings'!G95)/3</f>
        <v>0</v>
      </c>
      <c r="H95" s="437">
        <f>('Zamfara Workings'!H95+'Katsina Workings'!H95+'Yobe Workings'!H95)/3</f>
        <v>0</v>
      </c>
      <c r="I95" s="437">
        <f>('Zamfara Workings'!I95+'Katsina Workings'!I95+'Yobe Workings'!I95)/3</f>
        <v>0</v>
      </c>
      <c r="J95" s="437">
        <f>('Zamfara Workings'!J95+'Katsina Workings'!J95+'Yobe Workings'!J95)/3</f>
        <v>0</v>
      </c>
      <c r="K95" s="437">
        <f>('Zamfara Workings'!K95+'Katsina Workings'!K95+'Yobe Workings'!K95)/3</f>
        <v>0</v>
      </c>
      <c r="L95" s="437">
        <f>('Zamfara Workings'!L95+'Katsina Workings'!L95+'Yobe Workings'!L95)/3</f>
        <v>0</v>
      </c>
      <c r="M95" s="437">
        <f>('Zamfara Workings'!M95+'Katsina Workings'!M95+'Yobe Workings'!M95)/3</f>
        <v>0</v>
      </c>
      <c r="N95" s="439">
        <f>('Zamfara Workings'!N95+'Katsina Workings'!N95+'Yobe Workings'!N95)/3</f>
        <v>1.5</v>
      </c>
      <c r="O95" s="440">
        <f>('Zamfara Workings'!O95+'Katsina Workings'!O95+'Yobe Workings'!O95)/3</f>
        <v>1.3333333333333333</v>
      </c>
      <c r="P95" s="440">
        <f>('Zamfara Workings'!P95+'Katsina Workings'!P95+'Yobe Workings'!P95)/3</f>
        <v>1.5333333333333332</v>
      </c>
      <c r="Q95" s="440">
        <f>('Zamfara Workings'!Q95+'Katsina Workings'!Q95+'Yobe Workings'!Q95)/3</f>
        <v>1.7</v>
      </c>
      <c r="R95" s="437">
        <f>('Zamfara Workings'!R95+'Katsina Workings'!R95+'Yobe Workings'!R95)/3</f>
        <v>2.6999999999999997</v>
      </c>
      <c r="S95" s="437">
        <f>('Zamfara Workings'!S95+'Katsina Workings'!S95+'Yobe Workings'!S95)/3</f>
        <v>2.6</v>
      </c>
      <c r="T95" s="437">
        <f>('Zamfara Workings'!T95+'Katsina Workings'!T95+'Yobe Workings'!T95)/3</f>
        <v>3.3666666666666667</v>
      </c>
      <c r="U95" s="437">
        <f>('Zamfara Workings'!U95+'Katsina Workings'!U95+'Yobe Workings'!U95)/3</f>
        <v>3.3666666666666667</v>
      </c>
      <c r="V95" s="438">
        <f>('Zamfara Workings'!V95+'Katsina Workings'!V95+'Yobe Workings'!V95)/3</f>
        <v>3.7666666666666671</v>
      </c>
      <c r="W95" s="80">
        <f>('Zamfara Workings'!W95+'Katsina Workings'!W95+'Yobe Workings'!W95)/3</f>
        <v>3.7666666666666671</v>
      </c>
      <c r="X95" s="69">
        <f>('Zamfara Workings'!X95+'Katsina Workings'!X95+'Yobe Workings'!X95)/3</f>
        <v>3.7666666666666671</v>
      </c>
      <c r="Y95" s="69">
        <f>('Zamfara Workings'!Y95+'Katsina Workings'!Y95+'Yobe Workings'!Y95)/3</f>
        <v>0</v>
      </c>
      <c r="Z95" s="69">
        <f>('Zamfara Workings'!Z95+'Katsina Workings'!Z95+'Yobe Workings'!Z95)/3</f>
        <v>0</v>
      </c>
      <c r="AA95" s="49"/>
      <c r="AB95" s="421"/>
      <c r="AD95" s="341">
        <f>V95</f>
        <v>3.7666666666666671</v>
      </c>
      <c r="AE95" s="335"/>
      <c r="AF95" s="341">
        <f t="shared" si="30"/>
        <v>3.7666666666666671</v>
      </c>
      <c r="AG95" s="341">
        <f t="shared" si="30"/>
        <v>3.7666666666666671</v>
      </c>
      <c r="AH95" s="342">
        <f>AG95</f>
        <v>3.7666666666666671</v>
      </c>
      <c r="AI95" s="342">
        <f>AG95</f>
        <v>3.7666666666666671</v>
      </c>
    </row>
    <row r="96" spans="1:35" s="340" customFormat="1">
      <c r="A96" s="45"/>
      <c r="B96" s="46"/>
      <c r="C96" s="48"/>
      <c r="D96" s="83"/>
      <c r="E96" s="83"/>
      <c r="F96" s="83"/>
      <c r="G96" s="83"/>
      <c r="H96" s="83"/>
      <c r="I96" s="83"/>
      <c r="J96" s="83"/>
      <c r="K96" s="83"/>
      <c r="L96" s="48"/>
      <c r="M96" s="48"/>
      <c r="N96" s="48"/>
      <c r="O96" s="48"/>
      <c r="P96" s="48"/>
      <c r="Q96" s="48"/>
      <c r="R96" s="48"/>
      <c r="S96" s="48"/>
      <c r="T96" s="48"/>
      <c r="U96" s="48"/>
      <c r="V96" s="48"/>
      <c r="W96" s="48"/>
      <c r="X96" s="48"/>
      <c r="Y96" s="48"/>
      <c r="Z96" s="48"/>
      <c r="AA96" s="49"/>
      <c r="AB96" s="421"/>
      <c r="AE96" s="335"/>
      <c r="AF96" s="343"/>
      <c r="AG96" s="343"/>
      <c r="AH96" s="335"/>
      <c r="AI96" s="338"/>
    </row>
    <row r="97" spans="1:35" ht="15.75" thickBot="1">
      <c r="A97" s="41" t="s">
        <v>33</v>
      </c>
      <c r="B97" s="42" t="s">
        <v>139</v>
      </c>
      <c r="C97" s="43" t="e">
        <f>('Zamfara Workings'!C97+'Katsina Workings'!C97+'Yobe Workings'!C97)/3</f>
        <v>#VALUE!</v>
      </c>
      <c r="D97" s="81" t="e">
        <f>('Zamfara Workings'!D97+'Katsina Workings'!D97+'Yobe Workings'!D97)/3</f>
        <v>#VALUE!</v>
      </c>
      <c r="E97" s="81" t="e">
        <f>('Zamfara Workings'!E97+'Katsina Workings'!E97+'Yobe Workings'!E97)/3</f>
        <v>#VALUE!</v>
      </c>
      <c r="F97" s="81" t="e">
        <f>('Zamfara Workings'!F97+'Katsina Workings'!F97+'Yobe Workings'!F97)/3</f>
        <v>#VALUE!</v>
      </c>
      <c r="G97" s="81" t="e">
        <f>('Zamfara Workings'!G97+'Katsina Workings'!G97+'Yobe Workings'!G97)/3</f>
        <v>#VALUE!</v>
      </c>
      <c r="H97" s="81" t="e">
        <f>('Zamfara Workings'!H97+'Katsina Workings'!H97+'Yobe Workings'!H97)/3</f>
        <v>#VALUE!</v>
      </c>
      <c r="I97" s="82">
        <f>('Zamfara Workings'!I97+'Katsina Workings'!I97+'Yobe Workings'!I97)/3</f>
        <v>2.4666666666666668</v>
      </c>
      <c r="J97" s="81">
        <f>('Zamfara Workings'!J97+'Katsina Workings'!J97+'Yobe Workings'!J97)/3</f>
        <v>2.4666666666666668</v>
      </c>
      <c r="K97" s="81">
        <f>('Zamfara Workings'!K97+'Katsina Workings'!K97+'Yobe Workings'!K97)/3</f>
        <v>2.4666666666666668</v>
      </c>
      <c r="L97" s="44">
        <f>('Zamfara Workings'!L97+'Katsina Workings'!L97+'Yobe Workings'!L97)/3</f>
        <v>2.4666666666666668</v>
      </c>
      <c r="M97" s="44">
        <f>('Zamfara Workings'!M97+'Katsina Workings'!M97+'Yobe Workings'!M97)/3</f>
        <v>2.4666666666666668</v>
      </c>
      <c r="N97" s="43">
        <f>('Zamfara Workings'!N97+'Katsina Workings'!N97+'Yobe Workings'!N97)/3</f>
        <v>2.4666666666666668</v>
      </c>
      <c r="O97" s="44">
        <f>('Zamfara Workings'!O97+'Katsina Workings'!O97+'Yobe Workings'!O97)/3</f>
        <v>2.5500000000000003</v>
      </c>
      <c r="P97" s="44">
        <f>('Zamfara Workings'!P97+'Katsina Workings'!P97+'Yobe Workings'!P97)/3</f>
        <v>2.6333333333333333</v>
      </c>
      <c r="Q97" s="44">
        <f>('Zamfara Workings'!Q97+'Katsina Workings'!Q97+'Yobe Workings'!Q97)/3</f>
        <v>2.7166666666666672</v>
      </c>
      <c r="R97" s="43">
        <f>('Zamfara Workings'!R97+'Katsina Workings'!R97+'Yobe Workings'!R97)/3</f>
        <v>2.8000000000000003</v>
      </c>
      <c r="S97" s="44">
        <f>('Zamfara Workings'!S97+'Katsina Workings'!S97+'Yobe Workings'!S97)/3</f>
        <v>2.8888888888888888</v>
      </c>
      <c r="T97" s="44">
        <f>('Zamfara Workings'!T97+'Katsina Workings'!T97+'Yobe Workings'!T97)/3</f>
        <v>2.9777777777777779</v>
      </c>
      <c r="U97" s="44">
        <f>('Zamfara Workings'!U97+'Katsina Workings'!U97+'Yobe Workings'!U97)/3</f>
        <v>3.0666666666666664</v>
      </c>
      <c r="V97" s="44">
        <f>('Zamfara Workings'!V97+'Katsina Workings'!V97+'Yobe Workings'!V97)/3</f>
        <v>3.1555555555555554</v>
      </c>
      <c r="W97" s="44">
        <f>('Zamfara Workings'!W97+'Katsina Workings'!W97+'Yobe Workings'!W97)/3</f>
        <v>3.661111111111111</v>
      </c>
      <c r="X97" s="44">
        <f>('Zamfara Workings'!X97+'Katsina Workings'!X97+'Yobe Workings'!X97)/3</f>
        <v>3.8333333333333326</v>
      </c>
      <c r="Y97" s="43">
        <f>('Zamfara Workings'!Y97+'Katsina Workings'!Y97+'Yobe Workings'!Y97)/3</f>
        <v>3.8333333333333335</v>
      </c>
      <c r="Z97" s="44">
        <f>('Zamfara Workings'!Z97+'Katsina Workings'!Z97+'Yobe Workings'!Z97)/3</f>
        <v>3.8333333333333335</v>
      </c>
      <c r="AA97" s="38">
        <v>5</v>
      </c>
      <c r="AB97" s="420">
        <f>AA97/22</f>
        <v>0.22727272727272727</v>
      </c>
      <c r="AC97" s="340"/>
      <c r="AD97" s="450">
        <f>V97</f>
        <v>3.1555555555555554</v>
      </c>
      <c r="AF97" s="339">
        <f t="shared" ref="AF97:AG98" si="31">IF($AG$1=16,R97,IF($AG$1=17,S97,IF($AG$1=18,T97,IF($AG$1=19,U97,IF($AG$1=20,V97,IF($AG$1=21,W97,IF($AG$1=22,X97,0)))))))</f>
        <v>3.661111111111111</v>
      </c>
      <c r="AG97" s="339">
        <f t="shared" si="31"/>
        <v>3.8333333333333326</v>
      </c>
      <c r="AI97" s="338"/>
    </row>
    <row r="98" spans="1:35" s="340" customFormat="1" ht="15.75" thickBot="1">
      <c r="A98" s="45"/>
      <c r="B98" s="46" t="s">
        <v>140</v>
      </c>
      <c r="C98" s="79" t="e">
        <f>('Zamfara Workings'!C98+'Katsina Workings'!C98+'Yobe Workings'!C98)/3</f>
        <v>#VALUE!</v>
      </c>
      <c r="D98" s="436">
        <f>('Zamfara Workings'!D98+'Katsina Workings'!D98+'Yobe Workings'!D98)/3</f>
        <v>0</v>
      </c>
      <c r="E98" s="437">
        <f>('Zamfara Workings'!E98+'Katsina Workings'!E98+'Yobe Workings'!E98)/3</f>
        <v>0</v>
      </c>
      <c r="F98" s="437">
        <f>('Zamfara Workings'!F98+'Katsina Workings'!F98+'Yobe Workings'!F98)/3</f>
        <v>0</v>
      </c>
      <c r="G98" s="437">
        <f>('Zamfara Workings'!G98+'Katsina Workings'!G98+'Yobe Workings'!G98)/3</f>
        <v>0</v>
      </c>
      <c r="H98" s="437">
        <f>('Zamfara Workings'!H98+'Katsina Workings'!H98+'Yobe Workings'!H98)/3</f>
        <v>0</v>
      </c>
      <c r="I98" s="437">
        <f>('Zamfara Workings'!I98+'Katsina Workings'!I98+'Yobe Workings'!I98)/3</f>
        <v>0</v>
      </c>
      <c r="J98" s="437">
        <f>('Zamfara Workings'!J98+'Katsina Workings'!J98+'Yobe Workings'!J98)/3</f>
        <v>0</v>
      </c>
      <c r="K98" s="437">
        <f>('Zamfara Workings'!K98+'Katsina Workings'!K98+'Yobe Workings'!K98)/3</f>
        <v>0</v>
      </c>
      <c r="L98" s="437">
        <f>('Zamfara Workings'!L98+'Katsina Workings'!L98+'Yobe Workings'!L98)/3</f>
        <v>0</v>
      </c>
      <c r="M98" s="437">
        <f>('Zamfara Workings'!M98+'Katsina Workings'!M98+'Yobe Workings'!M98)/3</f>
        <v>0</v>
      </c>
      <c r="N98" s="439">
        <f>('Zamfara Workings'!N98+'Katsina Workings'!N98+'Yobe Workings'!N98)/3</f>
        <v>2.4666666666666668</v>
      </c>
      <c r="O98" s="440">
        <f>('Zamfara Workings'!O98+'Katsina Workings'!O98+'Yobe Workings'!O98)/3</f>
        <v>2.9</v>
      </c>
      <c r="P98" s="440">
        <f>('Zamfara Workings'!P98+'Katsina Workings'!P98+'Yobe Workings'!P98)/3</f>
        <v>3</v>
      </c>
      <c r="Q98" s="440">
        <f>('Zamfara Workings'!Q98+'Katsina Workings'!Q98+'Yobe Workings'!Q98)/3</f>
        <v>2.7999999999999994</v>
      </c>
      <c r="R98" s="437">
        <f>('Zamfara Workings'!R98+'Katsina Workings'!R98+'Yobe Workings'!R98)/3</f>
        <v>3.0666666666666664</v>
      </c>
      <c r="S98" s="437">
        <f>('Zamfara Workings'!S98+'Katsina Workings'!S98+'Yobe Workings'!S98)/3</f>
        <v>2.7999999999999994</v>
      </c>
      <c r="T98" s="437">
        <f>('Zamfara Workings'!T98+'Katsina Workings'!T98+'Yobe Workings'!T98)/3</f>
        <v>3.6666666666666665</v>
      </c>
      <c r="U98" s="437">
        <f>('Zamfara Workings'!U98+'Katsina Workings'!U98+'Yobe Workings'!U98)/3</f>
        <v>3.6666666666666665</v>
      </c>
      <c r="V98" s="438">
        <f>('Zamfara Workings'!V98+'Katsina Workings'!V98+'Yobe Workings'!V98)/3</f>
        <v>4.3</v>
      </c>
      <c r="W98" s="80">
        <f>('Zamfara Workings'!W98+'Katsina Workings'!W98+'Yobe Workings'!W98)/3</f>
        <v>4.3</v>
      </c>
      <c r="X98" s="69">
        <f>('Zamfara Workings'!X98+'Katsina Workings'!X98+'Yobe Workings'!X98)/3</f>
        <v>4.3</v>
      </c>
      <c r="Y98" s="69">
        <f>('Zamfara Workings'!Y98+'Katsina Workings'!Y98+'Yobe Workings'!Y98)/3</f>
        <v>0</v>
      </c>
      <c r="Z98" s="69">
        <f>('Zamfara Workings'!Z98+'Katsina Workings'!Z98+'Yobe Workings'!Z98)/3</f>
        <v>0</v>
      </c>
      <c r="AA98" s="49"/>
      <c r="AB98" s="421"/>
      <c r="AD98" s="341">
        <f>V98</f>
        <v>4.3</v>
      </c>
      <c r="AE98" s="335"/>
      <c r="AF98" s="341">
        <f t="shared" si="31"/>
        <v>4.3</v>
      </c>
      <c r="AG98" s="341">
        <f t="shared" si="31"/>
        <v>4.3</v>
      </c>
      <c r="AH98" s="342">
        <f>AG98</f>
        <v>4.3</v>
      </c>
      <c r="AI98" s="342">
        <f>AG98</f>
        <v>4.3</v>
      </c>
    </row>
    <row r="99" spans="1:35" s="340" customFormat="1">
      <c r="A99" s="45"/>
      <c r="B99" s="46"/>
      <c r="C99" s="48"/>
      <c r="D99" s="83"/>
      <c r="E99" s="83"/>
      <c r="F99" s="83"/>
      <c r="G99" s="83"/>
      <c r="H99" s="83"/>
      <c r="I99" s="83"/>
      <c r="J99" s="83"/>
      <c r="K99" s="83"/>
      <c r="L99" s="48"/>
      <c r="M99" s="48"/>
      <c r="N99" s="48"/>
      <c r="O99" s="48"/>
      <c r="P99" s="48"/>
      <c r="Q99" s="48"/>
      <c r="R99" s="48"/>
      <c r="S99" s="48"/>
      <c r="T99" s="48"/>
      <c r="U99" s="48"/>
      <c r="V99" s="48"/>
      <c r="W99" s="48"/>
      <c r="X99" s="48"/>
      <c r="Y99" s="48"/>
      <c r="Z99" s="48"/>
      <c r="AA99" s="49"/>
      <c r="AB99" s="421"/>
      <c r="AE99" s="335"/>
      <c r="AF99" s="343"/>
      <c r="AG99" s="343"/>
      <c r="AH99" s="335"/>
      <c r="AI99" s="338"/>
    </row>
    <row r="100" spans="1:35" ht="15.75" thickBot="1">
      <c r="A100" s="41" t="s">
        <v>34</v>
      </c>
      <c r="B100" s="42" t="s">
        <v>139</v>
      </c>
      <c r="C100" s="43" t="e">
        <f>('Zamfara Workings'!C100+'Katsina Workings'!C100+'Yobe Workings'!C100)/3</f>
        <v>#VALUE!</v>
      </c>
      <c r="D100" s="81" t="e">
        <f>('Zamfara Workings'!D100+'Katsina Workings'!D100+'Yobe Workings'!D100)/3</f>
        <v>#VALUE!</v>
      </c>
      <c r="E100" s="81" t="e">
        <f>('Zamfara Workings'!E100+'Katsina Workings'!E100+'Yobe Workings'!E100)/3</f>
        <v>#VALUE!</v>
      </c>
      <c r="F100" s="81" t="e">
        <f>('Zamfara Workings'!F100+'Katsina Workings'!F100+'Yobe Workings'!F100)/3</f>
        <v>#VALUE!</v>
      </c>
      <c r="G100" s="81" t="e">
        <f>('Zamfara Workings'!G100+'Katsina Workings'!G100+'Yobe Workings'!G100)/3</f>
        <v>#VALUE!</v>
      </c>
      <c r="H100" s="81" t="e">
        <f>('Zamfara Workings'!H100+'Katsina Workings'!H100+'Yobe Workings'!H100)/3</f>
        <v>#VALUE!</v>
      </c>
      <c r="I100" s="82">
        <f>('Zamfara Workings'!I100+'Katsina Workings'!I100+'Yobe Workings'!I100)/3</f>
        <v>1.5999999999999999</v>
      </c>
      <c r="J100" s="81">
        <f>('Zamfara Workings'!J100+'Katsina Workings'!J100+'Yobe Workings'!J100)/3</f>
        <v>1.5999999999999999</v>
      </c>
      <c r="K100" s="81">
        <f>('Zamfara Workings'!K100+'Katsina Workings'!K100+'Yobe Workings'!K100)/3</f>
        <v>1.5999999999999999</v>
      </c>
      <c r="L100" s="44">
        <f>('Zamfara Workings'!L100+'Katsina Workings'!L100+'Yobe Workings'!L100)/3</f>
        <v>1.5999999999999999</v>
      </c>
      <c r="M100" s="44">
        <f>('Zamfara Workings'!M100+'Katsina Workings'!M100+'Yobe Workings'!M100)/3</f>
        <v>1.5999999999999999</v>
      </c>
      <c r="N100" s="43">
        <f>('Zamfara Workings'!N100+'Katsina Workings'!N100+'Yobe Workings'!N100)/3</f>
        <v>1.5999999999999999</v>
      </c>
      <c r="O100" s="44">
        <f>('Zamfara Workings'!O100+'Katsina Workings'!O100+'Yobe Workings'!O100)/3</f>
        <v>1.6916666666666667</v>
      </c>
      <c r="P100" s="44">
        <f>('Zamfara Workings'!P100+'Katsina Workings'!P100+'Yobe Workings'!P100)/3</f>
        <v>1.7833333333333332</v>
      </c>
      <c r="Q100" s="44">
        <f>('Zamfara Workings'!Q100+'Katsina Workings'!Q100+'Yobe Workings'!Q100)/3</f>
        <v>1.875</v>
      </c>
      <c r="R100" s="43">
        <f>('Zamfara Workings'!R100+'Katsina Workings'!R100+'Yobe Workings'!R100)/3</f>
        <v>1.9666666666666668</v>
      </c>
      <c r="S100" s="44">
        <f>('Zamfara Workings'!S100+'Katsina Workings'!S100+'Yobe Workings'!S100)/3</f>
        <v>2.0722222222222224</v>
      </c>
      <c r="T100" s="44">
        <f>('Zamfara Workings'!T100+'Katsina Workings'!T100+'Yobe Workings'!T100)/3</f>
        <v>2.1777777777777776</v>
      </c>
      <c r="U100" s="44">
        <f>('Zamfara Workings'!U100+'Katsina Workings'!U100+'Yobe Workings'!U100)/3</f>
        <v>2.2833333333333337</v>
      </c>
      <c r="V100" s="44">
        <f>('Zamfara Workings'!V100+'Katsina Workings'!V100+'Yobe Workings'!V100)/3</f>
        <v>2.3888888888888893</v>
      </c>
      <c r="W100" s="44">
        <f>('Zamfara Workings'!W100+'Katsina Workings'!W100+'Yobe Workings'!W100)/3</f>
        <v>2.994444444444444</v>
      </c>
      <c r="X100" s="44">
        <f>('Zamfara Workings'!X100+'Katsina Workings'!X100+'Yobe Workings'!X100)/3</f>
        <v>3.1999999999999997</v>
      </c>
      <c r="Y100" s="43">
        <f>('Zamfara Workings'!Y100+'Katsina Workings'!Y100+'Yobe Workings'!Y100)/3</f>
        <v>3.1999999999999997</v>
      </c>
      <c r="Z100" s="44">
        <f>('Zamfara Workings'!Z100+'Katsina Workings'!Z100+'Yobe Workings'!Z100)/3</f>
        <v>3.1999999999999997</v>
      </c>
      <c r="AA100" s="38">
        <v>5</v>
      </c>
      <c r="AB100" s="420">
        <f>AA100/22</f>
        <v>0.22727272727272727</v>
      </c>
      <c r="AC100" s="340"/>
      <c r="AD100" s="450">
        <f>V100</f>
        <v>2.3888888888888893</v>
      </c>
      <c r="AF100" s="339">
        <f t="shared" ref="AF100:AG101" si="32">IF($AG$1=16,R100,IF($AG$1=17,S100,IF($AG$1=18,T100,IF($AG$1=19,U100,IF($AG$1=20,V100,IF($AG$1=21,W100,IF($AG$1=22,X100,0)))))))</f>
        <v>2.994444444444444</v>
      </c>
      <c r="AG100" s="339">
        <f t="shared" si="32"/>
        <v>3.1999999999999997</v>
      </c>
      <c r="AI100" s="338"/>
    </row>
    <row r="101" spans="1:35" s="340" customFormat="1" ht="15.75" thickBot="1">
      <c r="A101" s="45"/>
      <c r="B101" s="46" t="s">
        <v>140</v>
      </c>
      <c r="C101" s="79" t="e">
        <f>('Zamfara Workings'!C101+'Katsina Workings'!C101+'Yobe Workings'!C101)/3</f>
        <v>#VALUE!</v>
      </c>
      <c r="D101" s="436">
        <f>('Zamfara Workings'!D101+'Katsina Workings'!D101+'Yobe Workings'!D101)/3</f>
        <v>0</v>
      </c>
      <c r="E101" s="437">
        <f>('Zamfara Workings'!E101+'Katsina Workings'!E101+'Yobe Workings'!E101)/3</f>
        <v>0</v>
      </c>
      <c r="F101" s="437">
        <f>('Zamfara Workings'!F101+'Katsina Workings'!F101+'Yobe Workings'!F101)/3</f>
        <v>0</v>
      </c>
      <c r="G101" s="437">
        <f>('Zamfara Workings'!G101+'Katsina Workings'!G101+'Yobe Workings'!G101)/3</f>
        <v>0</v>
      </c>
      <c r="H101" s="437">
        <f>('Zamfara Workings'!H101+'Katsina Workings'!H101+'Yobe Workings'!H101)/3</f>
        <v>0</v>
      </c>
      <c r="I101" s="437">
        <f>('Zamfara Workings'!I101+'Katsina Workings'!I101+'Yobe Workings'!I101)/3</f>
        <v>0</v>
      </c>
      <c r="J101" s="437">
        <f>('Zamfara Workings'!J101+'Katsina Workings'!J101+'Yobe Workings'!J101)/3</f>
        <v>0</v>
      </c>
      <c r="K101" s="437">
        <f>('Zamfara Workings'!K101+'Katsina Workings'!K101+'Yobe Workings'!K101)/3</f>
        <v>0</v>
      </c>
      <c r="L101" s="437">
        <f>('Zamfara Workings'!L101+'Katsina Workings'!L101+'Yobe Workings'!L101)/3</f>
        <v>0</v>
      </c>
      <c r="M101" s="437">
        <f>('Zamfara Workings'!M101+'Katsina Workings'!M101+'Yobe Workings'!M101)/3</f>
        <v>0</v>
      </c>
      <c r="N101" s="439">
        <f>('Zamfara Workings'!N101+'Katsina Workings'!N101+'Yobe Workings'!N101)/3</f>
        <v>1.5999999999999999</v>
      </c>
      <c r="O101" s="440">
        <f>('Zamfara Workings'!O101+'Katsina Workings'!O101+'Yobe Workings'!O101)/3</f>
        <v>1.7666666666666666</v>
      </c>
      <c r="P101" s="440">
        <f>('Zamfara Workings'!P101+'Katsina Workings'!P101+'Yobe Workings'!P101)/3</f>
        <v>1.8666666666666665</v>
      </c>
      <c r="Q101" s="440">
        <f>('Zamfara Workings'!Q101+'Katsina Workings'!Q101+'Yobe Workings'!Q101)/3</f>
        <v>2.3666666666666667</v>
      </c>
      <c r="R101" s="437">
        <f>('Zamfara Workings'!R101+'Katsina Workings'!R101+'Yobe Workings'!R101)/3</f>
        <v>2.3333333333333335</v>
      </c>
      <c r="S101" s="437">
        <f>('Zamfara Workings'!S101+'Katsina Workings'!S101+'Yobe Workings'!S101)/3</f>
        <v>2.4333333333333336</v>
      </c>
      <c r="T101" s="437">
        <f>('Zamfara Workings'!T101+'Katsina Workings'!T101+'Yobe Workings'!T101)/3</f>
        <v>2.8666666666666667</v>
      </c>
      <c r="U101" s="437">
        <f>('Zamfara Workings'!U101+'Katsina Workings'!U101+'Yobe Workings'!U101)/3</f>
        <v>3.0666666666666664</v>
      </c>
      <c r="V101" s="438">
        <f>('Zamfara Workings'!V101+'Katsina Workings'!V101+'Yobe Workings'!V101)/3</f>
        <v>3.6666666666666665</v>
      </c>
      <c r="W101" s="80">
        <f>('Zamfara Workings'!W101+'Katsina Workings'!W101+'Yobe Workings'!W101)/3</f>
        <v>3.6666666666666665</v>
      </c>
      <c r="X101" s="69">
        <f>('Zamfara Workings'!X101+'Katsina Workings'!X101+'Yobe Workings'!X101)/3</f>
        <v>3.6999999999999997</v>
      </c>
      <c r="Y101" s="69">
        <f>('Zamfara Workings'!Y101+'Katsina Workings'!Y101+'Yobe Workings'!Y101)/3</f>
        <v>0</v>
      </c>
      <c r="Z101" s="69">
        <f>('Zamfara Workings'!Z101+'Katsina Workings'!Z101+'Yobe Workings'!Z101)/3</f>
        <v>0</v>
      </c>
      <c r="AA101" s="49"/>
      <c r="AB101" s="421"/>
      <c r="AD101" s="341">
        <f>V101</f>
        <v>3.6666666666666665</v>
      </c>
      <c r="AE101" s="335"/>
      <c r="AF101" s="341">
        <f t="shared" si="32"/>
        <v>3.6666666666666665</v>
      </c>
      <c r="AG101" s="341">
        <f t="shared" si="32"/>
        <v>3.6999999999999997</v>
      </c>
      <c r="AH101" s="342">
        <f>AG101</f>
        <v>3.6999999999999997</v>
      </c>
      <c r="AI101" s="342">
        <f>AG101</f>
        <v>3.6999999999999997</v>
      </c>
    </row>
    <row r="102" spans="1:35" s="340" customFormat="1">
      <c r="A102" s="45"/>
      <c r="B102" s="46"/>
      <c r="C102" s="48"/>
      <c r="D102" s="83"/>
      <c r="E102" s="83"/>
      <c r="F102" s="83"/>
      <c r="G102" s="83"/>
      <c r="H102" s="83"/>
      <c r="I102" s="83"/>
      <c r="J102" s="83"/>
      <c r="K102" s="83"/>
      <c r="L102" s="48"/>
      <c r="M102" s="48"/>
      <c r="N102" s="48"/>
      <c r="O102" s="48"/>
      <c r="P102" s="48"/>
      <c r="Q102" s="48"/>
      <c r="R102" s="48"/>
      <c r="S102" s="48"/>
      <c r="T102" s="48"/>
      <c r="U102" s="48"/>
      <c r="V102" s="48"/>
      <c r="W102" s="48"/>
      <c r="X102" s="48"/>
      <c r="Y102" s="48"/>
      <c r="Z102" s="48"/>
      <c r="AA102" s="49"/>
      <c r="AB102" s="421"/>
      <c r="AE102" s="335"/>
      <c r="AF102" s="343"/>
      <c r="AG102" s="343"/>
      <c r="AH102" s="335"/>
      <c r="AI102" s="338"/>
    </row>
    <row r="103" spans="1:35" ht="15.75" thickBot="1">
      <c r="A103" s="41" t="s">
        <v>41</v>
      </c>
      <c r="B103" s="42" t="s">
        <v>139</v>
      </c>
      <c r="C103" s="43" t="e">
        <f>('Zamfara Workings'!C103+'Katsina Workings'!C103+'Yobe Workings'!C103)/3</f>
        <v>#VALUE!</v>
      </c>
      <c r="D103" s="81" t="e">
        <f>('Zamfara Workings'!D103+'Katsina Workings'!D103+'Yobe Workings'!D103)/3</f>
        <v>#VALUE!</v>
      </c>
      <c r="E103" s="81" t="e">
        <f>('Zamfara Workings'!E103+'Katsina Workings'!E103+'Yobe Workings'!E103)/3</f>
        <v>#VALUE!</v>
      </c>
      <c r="F103" s="81" t="e">
        <f>('Zamfara Workings'!F103+'Katsina Workings'!F103+'Yobe Workings'!F103)/3</f>
        <v>#VALUE!</v>
      </c>
      <c r="G103" s="81" t="e">
        <f>('Zamfara Workings'!G103+'Katsina Workings'!G103+'Yobe Workings'!G103)/3</f>
        <v>#VALUE!</v>
      </c>
      <c r="H103" s="81" t="e">
        <f>('Zamfara Workings'!H103+'Katsina Workings'!H103+'Yobe Workings'!H103)/3</f>
        <v>#VALUE!</v>
      </c>
      <c r="I103" s="82">
        <f>('Zamfara Workings'!I103+'Katsina Workings'!I103+'Yobe Workings'!I103)/3</f>
        <v>1.7333333333333332</v>
      </c>
      <c r="J103" s="81">
        <f>('Zamfara Workings'!J103+'Katsina Workings'!J103+'Yobe Workings'!J103)/3</f>
        <v>1.7333333333333332</v>
      </c>
      <c r="K103" s="81">
        <f>('Zamfara Workings'!K103+'Katsina Workings'!K103+'Yobe Workings'!K103)/3</f>
        <v>1.7333333333333332</v>
      </c>
      <c r="L103" s="44">
        <f>('Zamfara Workings'!L103+'Katsina Workings'!L103+'Yobe Workings'!L103)/3</f>
        <v>1.7333333333333332</v>
      </c>
      <c r="M103" s="44">
        <f>('Zamfara Workings'!M103+'Katsina Workings'!M103+'Yobe Workings'!M103)/3</f>
        <v>1.7333333333333332</v>
      </c>
      <c r="N103" s="43">
        <f>('Zamfara Workings'!N103+'Katsina Workings'!N103+'Yobe Workings'!N103)/3</f>
        <v>1.7333333333333332</v>
      </c>
      <c r="O103" s="44">
        <f>('Zamfara Workings'!O103+'Katsina Workings'!O103+'Yobe Workings'!O103)/3</f>
        <v>1.8083333333333333</v>
      </c>
      <c r="P103" s="44">
        <f>('Zamfara Workings'!P103+'Katsina Workings'!P103+'Yobe Workings'!P103)/3</f>
        <v>1.8833333333333331</v>
      </c>
      <c r="Q103" s="44">
        <f>('Zamfara Workings'!Q103+'Katsina Workings'!Q103+'Yobe Workings'!Q103)/3</f>
        <v>1.958333333333333</v>
      </c>
      <c r="R103" s="43">
        <f>('Zamfara Workings'!R103+'Katsina Workings'!R103+'Yobe Workings'!R103)/3</f>
        <v>2.0333333333333332</v>
      </c>
      <c r="S103" s="44">
        <f>('Zamfara Workings'!S103+'Katsina Workings'!S103+'Yobe Workings'!S103)/3</f>
        <v>2.1666666666666665</v>
      </c>
      <c r="T103" s="44">
        <f>('Zamfara Workings'!T103+'Katsina Workings'!T103+'Yobe Workings'!T103)/3</f>
        <v>2.3000000000000003</v>
      </c>
      <c r="U103" s="44">
        <f>('Zamfara Workings'!U103+'Katsina Workings'!U103+'Yobe Workings'!U103)/3</f>
        <v>2.4333333333333336</v>
      </c>
      <c r="V103" s="44">
        <f>('Zamfara Workings'!V103+'Katsina Workings'!V103+'Yobe Workings'!V103)/3</f>
        <v>2.5666666666666669</v>
      </c>
      <c r="W103" s="44">
        <f>('Zamfara Workings'!W103+'Katsina Workings'!W103+'Yobe Workings'!W103)/3</f>
        <v>2.9777777777777779</v>
      </c>
      <c r="X103" s="44">
        <f>('Zamfara Workings'!X103+'Katsina Workings'!X103+'Yobe Workings'!X103)/3</f>
        <v>3.1666666666666665</v>
      </c>
      <c r="Y103" s="43">
        <f>('Zamfara Workings'!Y103+'Katsina Workings'!Y103+'Yobe Workings'!Y103)/3</f>
        <v>3.1666666666666665</v>
      </c>
      <c r="Z103" s="44">
        <f>('Zamfara Workings'!Z103+'Katsina Workings'!Z103+'Yobe Workings'!Z103)/3</f>
        <v>3.1666666666666665</v>
      </c>
      <c r="AA103" s="38">
        <v>5</v>
      </c>
      <c r="AB103" s="420">
        <f>AA103/22</f>
        <v>0.22727272727272727</v>
      </c>
      <c r="AC103" s="340"/>
      <c r="AD103" s="450">
        <f>V103</f>
        <v>2.5666666666666669</v>
      </c>
      <c r="AF103" s="339">
        <f t="shared" ref="AF103:AG104" si="33">IF($AG$1=16,R103,IF($AG$1=17,S103,IF($AG$1=18,T103,IF($AG$1=19,U103,IF($AG$1=20,V103,IF($AG$1=21,W103,IF($AG$1=22,X103,0)))))))</f>
        <v>2.9777777777777779</v>
      </c>
      <c r="AG103" s="339">
        <f t="shared" si="33"/>
        <v>3.1666666666666665</v>
      </c>
      <c r="AI103" s="338"/>
    </row>
    <row r="104" spans="1:35" s="340" customFormat="1" ht="15.75" thickBot="1">
      <c r="A104" s="45"/>
      <c r="B104" s="46" t="s">
        <v>140</v>
      </c>
      <c r="C104" s="79" t="e">
        <f>('Zamfara Workings'!C104+'Katsina Workings'!C104+'Yobe Workings'!C104)/3</f>
        <v>#VALUE!</v>
      </c>
      <c r="D104" s="436">
        <f>('Zamfara Workings'!D104+'Katsina Workings'!D104+'Yobe Workings'!D104)/3</f>
        <v>0</v>
      </c>
      <c r="E104" s="437">
        <f>('Zamfara Workings'!E104+'Katsina Workings'!E104+'Yobe Workings'!E104)/3</f>
        <v>0</v>
      </c>
      <c r="F104" s="437">
        <f>('Zamfara Workings'!F104+'Katsina Workings'!F104+'Yobe Workings'!F104)/3</f>
        <v>0</v>
      </c>
      <c r="G104" s="437">
        <f>('Zamfara Workings'!G104+'Katsina Workings'!G104+'Yobe Workings'!G104)/3</f>
        <v>0</v>
      </c>
      <c r="H104" s="437">
        <f>('Zamfara Workings'!H104+'Katsina Workings'!H104+'Yobe Workings'!H104)/3</f>
        <v>0</v>
      </c>
      <c r="I104" s="437">
        <f>('Zamfara Workings'!I104+'Katsina Workings'!I104+'Yobe Workings'!I104)/3</f>
        <v>0</v>
      </c>
      <c r="J104" s="437">
        <f>('Zamfara Workings'!J104+'Katsina Workings'!J104+'Yobe Workings'!J104)/3</f>
        <v>0</v>
      </c>
      <c r="K104" s="437">
        <f>('Zamfara Workings'!K104+'Katsina Workings'!K104+'Yobe Workings'!K104)/3</f>
        <v>0</v>
      </c>
      <c r="L104" s="437">
        <f>('Zamfara Workings'!L104+'Katsina Workings'!L104+'Yobe Workings'!L104)/3</f>
        <v>0</v>
      </c>
      <c r="M104" s="437">
        <f>('Zamfara Workings'!M104+'Katsina Workings'!M104+'Yobe Workings'!M104)/3</f>
        <v>0</v>
      </c>
      <c r="N104" s="439">
        <f>('Zamfara Workings'!N104+'Katsina Workings'!N104+'Yobe Workings'!N104)/3</f>
        <v>1.7333333333333332</v>
      </c>
      <c r="O104" s="440">
        <f>('Zamfara Workings'!O104+'Katsina Workings'!O104+'Yobe Workings'!O104)/3</f>
        <v>1.9666666666666668</v>
      </c>
      <c r="P104" s="440">
        <f>('Zamfara Workings'!P104+'Katsina Workings'!P104+'Yobe Workings'!P104)/3</f>
        <v>2.1333333333333333</v>
      </c>
      <c r="Q104" s="440">
        <f>('Zamfara Workings'!Q104+'Katsina Workings'!Q104+'Yobe Workings'!Q104)/3</f>
        <v>2.5333333333333332</v>
      </c>
      <c r="R104" s="437">
        <f>('Zamfara Workings'!R104+'Katsina Workings'!R104+'Yobe Workings'!R104)/3</f>
        <v>2.2333333333333329</v>
      </c>
      <c r="S104" s="437">
        <f>('Zamfara Workings'!S104+'Katsina Workings'!S104+'Yobe Workings'!S104)/3</f>
        <v>2.4333333333333336</v>
      </c>
      <c r="T104" s="437">
        <f>('Zamfara Workings'!T104+'Katsina Workings'!T104+'Yobe Workings'!T104)/3</f>
        <v>2.6666666666666665</v>
      </c>
      <c r="U104" s="437">
        <f>('Zamfara Workings'!U104+'Katsina Workings'!U104+'Yobe Workings'!U104)/3</f>
        <v>3</v>
      </c>
      <c r="V104" s="438">
        <f>('Zamfara Workings'!V104+'Katsina Workings'!V104+'Yobe Workings'!V104)/3</f>
        <v>3.5333333333333337</v>
      </c>
      <c r="W104" s="80">
        <f>('Zamfara Workings'!W104+'Katsina Workings'!W104+'Yobe Workings'!W104)/3</f>
        <v>3.5333333333333337</v>
      </c>
      <c r="X104" s="69">
        <f>('Zamfara Workings'!X104+'Katsina Workings'!X104+'Yobe Workings'!X104)/3</f>
        <v>3.5666666666666669</v>
      </c>
      <c r="Y104" s="69">
        <f>('Zamfara Workings'!Y104+'Katsina Workings'!Y104+'Yobe Workings'!Y104)/3</f>
        <v>0</v>
      </c>
      <c r="Z104" s="69">
        <f>('Zamfara Workings'!Z104+'Katsina Workings'!Z104+'Yobe Workings'!Z104)/3</f>
        <v>0</v>
      </c>
      <c r="AA104" s="49"/>
      <c r="AB104" s="421"/>
      <c r="AD104" s="341">
        <f>V104</f>
        <v>3.5333333333333337</v>
      </c>
      <c r="AE104" s="335"/>
      <c r="AF104" s="341">
        <f t="shared" si="33"/>
        <v>3.5333333333333337</v>
      </c>
      <c r="AG104" s="341">
        <f t="shared" si="33"/>
        <v>3.5666666666666669</v>
      </c>
      <c r="AH104" s="342">
        <f>AG104</f>
        <v>3.5666666666666669</v>
      </c>
      <c r="AI104" s="342">
        <f>AG104</f>
        <v>3.5666666666666669</v>
      </c>
    </row>
    <row r="105" spans="1:35" s="340" customFormat="1">
      <c r="A105" s="45"/>
      <c r="B105" s="46"/>
      <c r="C105" s="48"/>
      <c r="D105" s="83"/>
      <c r="E105" s="83"/>
      <c r="F105" s="83"/>
      <c r="G105" s="83"/>
      <c r="H105" s="83"/>
      <c r="I105" s="83"/>
      <c r="J105" s="83"/>
      <c r="K105" s="83"/>
      <c r="L105" s="48"/>
      <c r="M105" s="48"/>
      <c r="N105" s="48"/>
      <c r="O105" s="48"/>
      <c r="P105" s="48"/>
      <c r="Q105" s="48"/>
      <c r="R105" s="48"/>
      <c r="S105" s="48"/>
      <c r="T105" s="48"/>
      <c r="U105" s="48"/>
      <c r="V105" s="48"/>
      <c r="W105" s="48"/>
      <c r="X105" s="48"/>
      <c r="Y105" s="48"/>
      <c r="Z105" s="48"/>
      <c r="AA105" s="49"/>
      <c r="AB105" s="421"/>
      <c r="AE105" s="335"/>
      <c r="AF105" s="343"/>
      <c r="AG105" s="343"/>
      <c r="AH105" s="335"/>
      <c r="AI105" s="338"/>
    </row>
    <row r="106" spans="1:35" ht="15.75" thickBot="1">
      <c r="A106" s="41" t="s">
        <v>181</v>
      </c>
      <c r="B106" s="42" t="s">
        <v>204</v>
      </c>
      <c r="C106" s="43" t="e">
        <f>('Zamfara Workings'!C106+'Katsina Workings'!C106+'Yobe Workings'!C106)</f>
        <v>#VALUE!</v>
      </c>
      <c r="D106" s="73" t="e">
        <f>('Zamfara Workings'!D106+'Katsina Workings'!D106+'Yobe Workings'!D106)</f>
        <v>#VALUE!</v>
      </c>
      <c r="E106" s="73" t="e">
        <f>('Zamfara Workings'!E106+'Katsina Workings'!E106+'Yobe Workings'!E106)</f>
        <v>#VALUE!</v>
      </c>
      <c r="F106" s="73" t="e">
        <f>('Zamfara Workings'!F106+'Katsina Workings'!F106+'Yobe Workings'!F106)</f>
        <v>#VALUE!</v>
      </c>
      <c r="G106" s="73" t="e">
        <f>('Zamfara Workings'!G106+'Katsina Workings'!G106+'Yobe Workings'!G106)</f>
        <v>#VALUE!</v>
      </c>
      <c r="H106" s="73" t="e">
        <f>('Zamfara Workings'!H106+'Katsina Workings'!H106+'Yobe Workings'!H106)</f>
        <v>#VALUE!</v>
      </c>
      <c r="I106" s="74">
        <f>('Zamfara Workings'!I106+'Katsina Workings'!I106+'Yobe Workings'!I106)</f>
        <v>0</v>
      </c>
      <c r="J106" s="73">
        <f>('Zamfara Workings'!J106+'Katsina Workings'!J106+'Yobe Workings'!J106)</f>
        <v>0.83333333333333326</v>
      </c>
      <c r="K106" s="73">
        <f>('Zamfara Workings'!K106+'Katsina Workings'!K106+'Yobe Workings'!K106)</f>
        <v>1.6666666666666665</v>
      </c>
      <c r="L106" s="51">
        <f>('Zamfara Workings'!L106+'Katsina Workings'!L106+'Yobe Workings'!L106)</f>
        <v>2.5</v>
      </c>
      <c r="M106" s="51">
        <f>('Zamfara Workings'!M106+'Katsina Workings'!M106+'Yobe Workings'!M106)</f>
        <v>3.333333333333333</v>
      </c>
      <c r="N106" s="50">
        <f>('Zamfara Workings'!N106+'Katsina Workings'!N106+'Yobe Workings'!N106)</f>
        <v>5</v>
      </c>
      <c r="O106" s="51">
        <f>('Zamfara Workings'!O106+'Katsina Workings'!O106+'Yobe Workings'!O106)</f>
        <v>6</v>
      </c>
      <c r="P106" s="51">
        <f>('Zamfara Workings'!P106+'Katsina Workings'!P106+'Yobe Workings'!P106)</f>
        <v>7</v>
      </c>
      <c r="Q106" s="51">
        <f>('Zamfara Workings'!Q106+'Katsina Workings'!Q106+'Yobe Workings'!Q106)</f>
        <v>8</v>
      </c>
      <c r="R106" s="50">
        <f>('Zamfara Workings'!R106+'Katsina Workings'!R106+'Yobe Workings'!R106)</f>
        <v>9</v>
      </c>
      <c r="S106" s="51">
        <f>('Zamfara Workings'!S106+'Katsina Workings'!S106+'Yobe Workings'!S106)</f>
        <v>9.8333333333333339</v>
      </c>
      <c r="T106" s="51">
        <f>('Zamfara Workings'!T106+'Katsina Workings'!T106+'Yobe Workings'!T106)</f>
        <v>10.666666666666668</v>
      </c>
      <c r="U106" s="51">
        <f>('Zamfara Workings'!U106+'Katsina Workings'!U106+'Yobe Workings'!U106)</f>
        <v>11.5</v>
      </c>
      <c r="V106" s="51">
        <f>('Zamfara Workings'!V106+'Katsina Workings'!V106+'Yobe Workings'!V106)</f>
        <v>12.333333333333334</v>
      </c>
      <c r="W106" s="51">
        <f>('Zamfara Workings'!W106+'Katsina Workings'!W106+'Yobe Workings'!W106)</f>
        <v>13.166666666666668</v>
      </c>
      <c r="X106" s="51">
        <f>('Zamfara Workings'!X106+'Katsina Workings'!X106+'Yobe Workings'!X106)</f>
        <v>14</v>
      </c>
      <c r="Y106" s="50">
        <f>('Zamfara Workings'!Y106+'Katsina Workings'!Y106+'Yobe Workings'!Y106)</f>
        <v>14</v>
      </c>
      <c r="Z106" s="51">
        <f>('Zamfara Workings'!Z106+'Katsina Workings'!Z106+'Yobe Workings'!Z106)</f>
        <v>14</v>
      </c>
      <c r="AA106" s="38">
        <f>'Yobe Workings'!AA106*3</f>
        <v>60</v>
      </c>
      <c r="AB106" s="457">
        <f>AA106/22</f>
        <v>2.7272727272727271</v>
      </c>
      <c r="AC106" s="340"/>
      <c r="AD106" s="451">
        <f>V106</f>
        <v>12.333333333333334</v>
      </c>
      <c r="AE106" s="346"/>
      <c r="AF106" s="453">
        <f t="shared" ref="AF106:AG107" si="34">IF($AG$1=16,R106,IF($AG$1=17,S106,IF($AG$1=18,T106,IF($AG$1=19,U106,IF($AG$1=20,V106,IF($AG$1=21,W106,IF($AG$1=22,X106,0)))))))</f>
        <v>13.166666666666668</v>
      </c>
      <c r="AG106" s="453">
        <f t="shared" si="34"/>
        <v>14</v>
      </c>
      <c r="AI106" s="338"/>
    </row>
    <row r="107" spans="1:35" s="340" customFormat="1" ht="15.75" thickBot="1">
      <c r="A107" s="45"/>
      <c r="B107" s="46" t="s">
        <v>205</v>
      </c>
      <c r="C107" s="79" t="e">
        <f>('Zamfara Workings'!C107+'Katsina Workings'!C107+'Yobe Workings'!C107)</f>
        <v>#VALUE!</v>
      </c>
      <c r="D107" s="441">
        <f>('Zamfara Workings'!D107+'Katsina Workings'!D107+'Yobe Workings'!D107)</f>
        <v>0</v>
      </c>
      <c r="E107" s="442">
        <f>('Zamfara Workings'!E107+'Katsina Workings'!E107+'Yobe Workings'!E107)</f>
        <v>0</v>
      </c>
      <c r="F107" s="442">
        <f>('Zamfara Workings'!F107+'Katsina Workings'!F107+'Yobe Workings'!F107)</f>
        <v>0</v>
      </c>
      <c r="G107" s="442">
        <f>('Zamfara Workings'!G107+'Katsina Workings'!G107+'Yobe Workings'!G107)</f>
        <v>0</v>
      </c>
      <c r="H107" s="442">
        <f>('Zamfara Workings'!H107+'Katsina Workings'!H107+'Yobe Workings'!H107)</f>
        <v>0</v>
      </c>
      <c r="I107" s="442">
        <f>('Zamfara Workings'!I107+'Katsina Workings'!I107+'Yobe Workings'!I107)</f>
        <v>0</v>
      </c>
      <c r="J107" s="442">
        <f>('Zamfara Workings'!J107+'Katsina Workings'!J107+'Yobe Workings'!J107)</f>
        <v>0</v>
      </c>
      <c r="K107" s="442">
        <f>('Zamfara Workings'!K107+'Katsina Workings'!K107+'Yobe Workings'!K107)</f>
        <v>0</v>
      </c>
      <c r="L107" s="442">
        <f>('Zamfara Workings'!L107+'Katsina Workings'!L107+'Yobe Workings'!L107)</f>
        <v>0</v>
      </c>
      <c r="M107" s="442">
        <f>('Zamfara Workings'!M107+'Katsina Workings'!M107+'Yobe Workings'!M107)</f>
        <v>0</v>
      </c>
      <c r="N107" s="443">
        <f>('Zamfara Workings'!N107+'Katsina Workings'!N107+'Yobe Workings'!N107)</f>
        <v>2</v>
      </c>
      <c r="O107" s="444">
        <f>('Zamfara Workings'!O107+'Katsina Workings'!O107+'Yobe Workings'!O107)</f>
        <v>2</v>
      </c>
      <c r="P107" s="444">
        <f>('Zamfara Workings'!P107+'Katsina Workings'!P107+'Yobe Workings'!P107)</f>
        <v>4</v>
      </c>
      <c r="Q107" s="444">
        <f>('Zamfara Workings'!Q107+'Katsina Workings'!Q107+'Yobe Workings'!Q107)</f>
        <v>8.5</v>
      </c>
      <c r="R107" s="442">
        <f>('Zamfara Workings'!R107+'Katsina Workings'!R107+'Yobe Workings'!R107)</f>
        <v>8.8000000000000007</v>
      </c>
      <c r="S107" s="442">
        <f>('Zamfara Workings'!S107+'Katsina Workings'!S107+'Yobe Workings'!S107)</f>
        <v>10</v>
      </c>
      <c r="T107" s="442">
        <f>('Zamfara Workings'!T107+'Katsina Workings'!T107+'Yobe Workings'!T107)</f>
        <v>15</v>
      </c>
      <c r="U107" s="442">
        <f>('Zamfara Workings'!U107+'Katsina Workings'!U107+'Yobe Workings'!U107)</f>
        <v>16</v>
      </c>
      <c r="V107" s="445">
        <f>('Zamfara Workings'!V107+'Katsina Workings'!V107+'Yobe Workings'!V107)</f>
        <v>17</v>
      </c>
      <c r="W107" s="72">
        <f>('Zamfara Workings'!W107+'Katsina Workings'!W107+'Yobe Workings'!W107)</f>
        <v>17</v>
      </c>
      <c r="X107" s="70">
        <f>('Zamfara Workings'!X107+'Katsina Workings'!X107+'Yobe Workings'!X107)</f>
        <v>18</v>
      </c>
      <c r="Y107" s="70">
        <f>('Zamfara Workings'!Y107+'Katsina Workings'!Y107+'Yobe Workings'!Y107)</f>
        <v>0</v>
      </c>
      <c r="Z107" s="70">
        <f>('Zamfara Workings'!Z107+'Katsina Workings'!Z107+'Yobe Workings'!Z107)</f>
        <v>0</v>
      </c>
      <c r="AA107" s="49"/>
      <c r="AB107" s="421"/>
      <c r="AD107" s="452">
        <f>V107</f>
        <v>17</v>
      </c>
      <c r="AE107" s="346"/>
      <c r="AF107" s="452">
        <f t="shared" si="34"/>
        <v>17</v>
      </c>
      <c r="AG107" s="452">
        <f t="shared" si="34"/>
        <v>18</v>
      </c>
      <c r="AH107" s="342">
        <f>AG107</f>
        <v>18</v>
      </c>
      <c r="AI107" s="342">
        <f>AG107</f>
        <v>18</v>
      </c>
    </row>
    <row r="108" spans="1:35" s="340" customFormat="1">
      <c r="A108" s="45"/>
      <c r="B108" s="46"/>
      <c r="C108" s="53"/>
      <c r="D108" s="75"/>
      <c r="E108" s="75"/>
      <c r="F108" s="75"/>
      <c r="G108" s="75"/>
      <c r="H108" s="75"/>
      <c r="I108" s="75"/>
      <c r="J108" s="75"/>
      <c r="K108" s="75"/>
      <c r="L108" s="53"/>
      <c r="M108" s="53"/>
      <c r="N108" s="53"/>
      <c r="O108" s="53"/>
      <c r="P108" s="53"/>
      <c r="Q108" s="53"/>
      <c r="R108" s="53"/>
      <c r="S108" s="53"/>
      <c r="T108" s="53"/>
      <c r="U108" s="53"/>
      <c r="V108" s="53"/>
      <c r="W108" s="53"/>
      <c r="X108" s="53"/>
      <c r="Y108" s="53"/>
      <c r="Z108" s="53"/>
      <c r="AA108" s="49"/>
      <c r="AB108" s="421"/>
      <c r="AD108" s="345"/>
      <c r="AE108" s="346"/>
      <c r="AF108" s="454"/>
      <c r="AG108" s="454"/>
      <c r="AH108" s="335"/>
      <c r="AI108" s="338"/>
    </row>
    <row r="109" spans="1:35" ht="15.75" thickBot="1">
      <c r="A109" s="41" t="s">
        <v>182</v>
      </c>
      <c r="B109" s="42" t="s">
        <v>206</v>
      </c>
      <c r="C109" s="43" t="e">
        <f>('Zamfara Workings'!C109+'Katsina Workings'!C109+'Yobe Workings'!C109)</f>
        <v>#VALUE!</v>
      </c>
      <c r="D109" s="73" t="e">
        <f>('Zamfara Workings'!D109+'Katsina Workings'!D109+'Yobe Workings'!D109)</f>
        <v>#VALUE!</v>
      </c>
      <c r="E109" s="73" t="e">
        <f>('Zamfara Workings'!E109+'Katsina Workings'!E109+'Yobe Workings'!E109)</f>
        <v>#VALUE!</v>
      </c>
      <c r="F109" s="73" t="e">
        <f>('Zamfara Workings'!F109+'Katsina Workings'!F109+'Yobe Workings'!F109)</f>
        <v>#VALUE!</v>
      </c>
      <c r="G109" s="73" t="e">
        <f>('Zamfara Workings'!G109+'Katsina Workings'!G109+'Yobe Workings'!G109)</f>
        <v>#VALUE!</v>
      </c>
      <c r="H109" s="73" t="e">
        <f>('Zamfara Workings'!H109+'Katsina Workings'!H109+'Yobe Workings'!H109)</f>
        <v>#VALUE!</v>
      </c>
      <c r="I109" s="74">
        <f>('Zamfara Workings'!I109+'Katsina Workings'!I109+'Yobe Workings'!I109)</f>
        <v>0</v>
      </c>
      <c r="J109" s="73">
        <f>('Zamfara Workings'!J109+'Katsina Workings'!J109+'Yobe Workings'!J109)</f>
        <v>0.33333333333333331</v>
      </c>
      <c r="K109" s="73">
        <f>('Zamfara Workings'!K109+'Katsina Workings'!K109+'Yobe Workings'!K109)</f>
        <v>0.66666666666666663</v>
      </c>
      <c r="L109" s="51">
        <f>('Zamfara Workings'!L109+'Katsina Workings'!L109+'Yobe Workings'!L109)</f>
        <v>1</v>
      </c>
      <c r="M109" s="51">
        <f>('Zamfara Workings'!M109+'Katsina Workings'!M109+'Yobe Workings'!M109)</f>
        <v>1.3333333333333333</v>
      </c>
      <c r="N109" s="50">
        <f>('Zamfara Workings'!N109+'Katsina Workings'!N109+'Yobe Workings'!N109)</f>
        <v>2</v>
      </c>
      <c r="O109" s="51">
        <f>('Zamfara Workings'!O109+'Katsina Workings'!O109+'Yobe Workings'!O109)</f>
        <v>2.25</v>
      </c>
      <c r="P109" s="51">
        <f>('Zamfara Workings'!P109+'Katsina Workings'!P109+'Yobe Workings'!P109)</f>
        <v>2.5</v>
      </c>
      <c r="Q109" s="51">
        <f>('Zamfara Workings'!Q109+'Katsina Workings'!Q109+'Yobe Workings'!Q109)</f>
        <v>2.75</v>
      </c>
      <c r="R109" s="50">
        <f>('Zamfara Workings'!R109+'Katsina Workings'!R109+'Yobe Workings'!R109)</f>
        <v>3</v>
      </c>
      <c r="S109" s="51">
        <f>('Zamfara Workings'!S109+'Katsina Workings'!S109+'Yobe Workings'!S109)</f>
        <v>3.5</v>
      </c>
      <c r="T109" s="51">
        <f>('Zamfara Workings'!T109+'Katsina Workings'!T109+'Yobe Workings'!T109)</f>
        <v>4</v>
      </c>
      <c r="U109" s="51">
        <f>('Zamfara Workings'!U109+'Katsina Workings'!U109+'Yobe Workings'!U109)</f>
        <v>4.5000000000000009</v>
      </c>
      <c r="V109" s="51">
        <f>('Zamfara Workings'!V109+'Katsina Workings'!V109+'Yobe Workings'!V109)</f>
        <v>5.0000000000000009</v>
      </c>
      <c r="W109" s="51">
        <f>('Zamfara Workings'!W109+'Katsina Workings'!W109+'Yobe Workings'!W109)</f>
        <v>5.5000000000000009</v>
      </c>
      <c r="X109" s="51">
        <f>('Zamfara Workings'!X109+'Katsina Workings'!X109+'Yobe Workings'!X109)</f>
        <v>6.0000000000000018</v>
      </c>
      <c r="Y109" s="50">
        <f>('Zamfara Workings'!Y109+'Katsina Workings'!Y109+'Yobe Workings'!Y109)</f>
        <v>6</v>
      </c>
      <c r="Z109" s="51">
        <f>('Zamfara Workings'!Z109+'Katsina Workings'!Z109+'Yobe Workings'!Z109)</f>
        <v>6</v>
      </c>
      <c r="AA109" s="38">
        <f>'Yobe Workings'!AA109*3</f>
        <v>30</v>
      </c>
      <c r="AB109" s="457">
        <f>AA109/22</f>
        <v>1.3636363636363635</v>
      </c>
      <c r="AC109" s="340"/>
      <c r="AD109" s="451">
        <f>V109</f>
        <v>5.0000000000000009</v>
      </c>
      <c r="AE109" s="346"/>
      <c r="AF109" s="453">
        <f t="shared" ref="AF109:AG110" si="35">IF($AG$1=16,R109,IF($AG$1=17,S109,IF($AG$1=18,T109,IF($AG$1=19,U109,IF($AG$1=20,V109,IF($AG$1=21,W109,IF($AG$1=22,X109,0)))))))</f>
        <v>5.5000000000000009</v>
      </c>
      <c r="AG109" s="453">
        <f t="shared" si="35"/>
        <v>6.0000000000000018</v>
      </c>
      <c r="AI109" s="338"/>
    </row>
    <row r="110" spans="1:35" s="340" customFormat="1" ht="15.75" thickBot="1">
      <c r="A110" s="45"/>
      <c r="B110" s="46" t="s">
        <v>207</v>
      </c>
      <c r="C110" s="79" t="e">
        <f>('Zamfara Workings'!C110+'Katsina Workings'!C110+'Yobe Workings'!C110)</f>
        <v>#VALUE!</v>
      </c>
      <c r="D110" s="441">
        <f>('Zamfara Workings'!D110+'Katsina Workings'!D110+'Yobe Workings'!D110)</f>
        <v>0</v>
      </c>
      <c r="E110" s="442">
        <f>('Zamfara Workings'!E110+'Katsina Workings'!E110+'Yobe Workings'!E110)</f>
        <v>0</v>
      </c>
      <c r="F110" s="442">
        <f>('Zamfara Workings'!F110+'Katsina Workings'!F110+'Yobe Workings'!F110)</f>
        <v>0</v>
      </c>
      <c r="G110" s="442">
        <f>('Zamfara Workings'!G110+'Katsina Workings'!G110+'Yobe Workings'!G110)</f>
        <v>0</v>
      </c>
      <c r="H110" s="442">
        <f>('Zamfara Workings'!H110+'Katsina Workings'!H110+'Yobe Workings'!H110)</f>
        <v>0</v>
      </c>
      <c r="I110" s="442">
        <f>('Zamfara Workings'!I110+'Katsina Workings'!I110+'Yobe Workings'!I110)</f>
        <v>0</v>
      </c>
      <c r="J110" s="442">
        <f>('Zamfara Workings'!J110+'Katsina Workings'!J110+'Yobe Workings'!J110)</f>
        <v>0</v>
      </c>
      <c r="K110" s="442">
        <f>('Zamfara Workings'!K110+'Katsina Workings'!K110+'Yobe Workings'!K110)</f>
        <v>0</v>
      </c>
      <c r="L110" s="442">
        <f>('Zamfara Workings'!L110+'Katsina Workings'!L110+'Yobe Workings'!L110)</f>
        <v>0</v>
      </c>
      <c r="M110" s="442">
        <f>('Zamfara Workings'!M110+'Katsina Workings'!M110+'Yobe Workings'!M110)</f>
        <v>0</v>
      </c>
      <c r="N110" s="443">
        <f>('Zamfara Workings'!N110+'Katsina Workings'!N110+'Yobe Workings'!N110)</f>
        <v>1</v>
      </c>
      <c r="O110" s="444">
        <f>('Zamfara Workings'!O110+'Katsina Workings'!O110+'Yobe Workings'!O110)</f>
        <v>3</v>
      </c>
      <c r="P110" s="444">
        <f>('Zamfara Workings'!P110+'Katsina Workings'!P110+'Yobe Workings'!P110)</f>
        <v>4</v>
      </c>
      <c r="Q110" s="444">
        <f>('Zamfara Workings'!Q110+'Katsina Workings'!Q110+'Yobe Workings'!Q110)</f>
        <v>4</v>
      </c>
      <c r="R110" s="442">
        <f>('Zamfara Workings'!R110+'Katsina Workings'!R110+'Yobe Workings'!R110)</f>
        <v>5</v>
      </c>
      <c r="S110" s="442">
        <f>('Zamfara Workings'!S110+'Katsina Workings'!S110+'Yobe Workings'!S110)</f>
        <v>5</v>
      </c>
      <c r="T110" s="442">
        <f>('Zamfara Workings'!T110+'Katsina Workings'!T110+'Yobe Workings'!T110)</f>
        <v>5</v>
      </c>
      <c r="U110" s="442">
        <f>('Zamfara Workings'!U110+'Katsina Workings'!U110+'Yobe Workings'!U110)</f>
        <v>7</v>
      </c>
      <c r="V110" s="445">
        <f>('Zamfara Workings'!V110+'Katsina Workings'!V110+'Yobe Workings'!V110)</f>
        <v>6</v>
      </c>
      <c r="W110" s="72">
        <f>('Zamfara Workings'!W110+'Katsina Workings'!W110+'Yobe Workings'!W110)</f>
        <v>8</v>
      </c>
      <c r="X110" s="70">
        <f>('Zamfara Workings'!X110+'Katsina Workings'!X110+'Yobe Workings'!X110)</f>
        <v>9</v>
      </c>
      <c r="Y110" s="70">
        <f>('Zamfara Workings'!Y110+'Katsina Workings'!Y110+'Yobe Workings'!Y110)</f>
        <v>0</v>
      </c>
      <c r="Z110" s="70">
        <f>('Zamfara Workings'!Z110+'Katsina Workings'!Z110+'Yobe Workings'!Z110)</f>
        <v>0</v>
      </c>
      <c r="AA110" s="49"/>
      <c r="AB110" s="421"/>
      <c r="AD110" s="452">
        <f>V110</f>
        <v>6</v>
      </c>
      <c r="AE110" s="346"/>
      <c r="AF110" s="452">
        <f t="shared" si="35"/>
        <v>8</v>
      </c>
      <c r="AG110" s="452">
        <f t="shared" si="35"/>
        <v>9</v>
      </c>
      <c r="AH110" s="342">
        <f>AG110</f>
        <v>9</v>
      </c>
      <c r="AI110" s="342">
        <f>AG110</f>
        <v>9</v>
      </c>
    </row>
    <row r="111" spans="1:35" s="340" customFormat="1">
      <c r="A111" s="45"/>
      <c r="B111" s="46"/>
      <c r="C111" s="53"/>
      <c r="D111" s="75"/>
      <c r="E111" s="75"/>
      <c r="F111" s="75"/>
      <c r="G111" s="75"/>
      <c r="H111" s="75"/>
      <c r="I111" s="75"/>
      <c r="J111" s="75"/>
      <c r="K111" s="75"/>
      <c r="L111" s="53"/>
      <c r="M111" s="53"/>
      <c r="N111" s="53"/>
      <c r="O111" s="53"/>
      <c r="P111" s="53"/>
      <c r="Q111" s="53"/>
      <c r="R111" s="53"/>
      <c r="S111" s="53"/>
      <c r="T111" s="53"/>
      <c r="U111" s="53"/>
      <c r="V111" s="53"/>
      <c r="W111" s="53"/>
      <c r="X111" s="53"/>
      <c r="Y111" s="53"/>
      <c r="Z111" s="53"/>
      <c r="AA111" s="49"/>
      <c r="AB111" s="421"/>
      <c r="AD111" s="345"/>
      <c r="AE111" s="346"/>
      <c r="AF111" s="454"/>
      <c r="AG111" s="454"/>
      <c r="AH111" s="335"/>
      <c r="AI111" s="338"/>
    </row>
    <row r="112" spans="1:35" ht="15.75" thickBot="1">
      <c r="A112" s="41" t="s">
        <v>695</v>
      </c>
      <c r="B112" s="42" t="s">
        <v>816</v>
      </c>
      <c r="C112" s="43">
        <f>('Zamfara Workings'!C112+'Katsina Workings'!C112+'Yobe Workings'!C112)</f>
        <v>0</v>
      </c>
      <c r="D112" s="73">
        <f>('Zamfara Workings'!D112+'Katsina Workings'!D112+'Yobe Workings'!D112)</f>
        <v>0</v>
      </c>
      <c r="E112" s="73">
        <f>('Zamfara Workings'!E112+'Katsina Workings'!E112+'Yobe Workings'!E112)</f>
        <v>0</v>
      </c>
      <c r="F112" s="73">
        <f>('Zamfara Workings'!F112+'Katsina Workings'!F112+'Yobe Workings'!F112)</f>
        <v>0</v>
      </c>
      <c r="G112" s="73">
        <f>('Zamfara Workings'!G112+'Katsina Workings'!G112+'Yobe Workings'!G112)</f>
        <v>0</v>
      </c>
      <c r="H112" s="73">
        <f>('Zamfara Workings'!H112+'Katsina Workings'!H112+'Yobe Workings'!H112)</f>
        <v>0</v>
      </c>
      <c r="I112" s="74">
        <f>('Zamfara Workings'!I112+'Katsina Workings'!I112+'Yobe Workings'!I112)</f>
        <v>0</v>
      </c>
      <c r="J112" s="73">
        <f>('Zamfara Workings'!J112+'Katsina Workings'!J112+'Yobe Workings'!J112)</f>
        <v>0</v>
      </c>
      <c r="K112" s="73">
        <f>('Zamfara Workings'!K112+'Katsina Workings'!K112+'Yobe Workings'!K112)</f>
        <v>0</v>
      </c>
      <c r="L112" s="51">
        <f>('Zamfara Workings'!L112+'Katsina Workings'!L112+'Yobe Workings'!L112)</f>
        <v>0</v>
      </c>
      <c r="M112" s="51">
        <f>('Zamfara Workings'!M112+'Katsina Workings'!M112+'Yobe Workings'!M112)</f>
        <v>0</v>
      </c>
      <c r="N112" s="50">
        <f>('Zamfara Workings'!N112+'Katsina Workings'!N112+'Yobe Workings'!N112)</f>
        <v>0</v>
      </c>
      <c r="O112" s="51">
        <f>('Zamfara Workings'!O112+'Katsina Workings'!O112+'Yobe Workings'!O112)</f>
        <v>2</v>
      </c>
      <c r="P112" s="51">
        <f>('Zamfara Workings'!P112+'Katsina Workings'!P112+'Yobe Workings'!P112)</f>
        <v>4</v>
      </c>
      <c r="Q112" s="51">
        <f>('Zamfara Workings'!Q112+'Katsina Workings'!Q112+'Yobe Workings'!Q112)</f>
        <v>6</v>
      </c>
      <c r="R112" s="50">
        <f>('Zamfara Workings'!R112+'Katsina Workings'!R112+'Yobe Workings'!R112)</f>
        <v>8</v>
      </c>
      <c r="S112" s="51">
        <f>('Zamfara Workings'!S112+'Katsina Workings'!S112+'Yobe Workings'!S112)</f>
        <v>10.833333333333336</v>
      </c>
      <c r="T112" s="51">
        <f>('Zamfara Workings'!T112+'Katsina Workings'!T112+'Yobe Workings'!T112)</f>
        <v>13.666666666666668</v>
      </c>
      <c r="U112" s="51">
        <f>('Zamfara Workings'!U112+'Katsina Workings'!U112+'Yobe Workings'!U112)</f>
        <v>16.5</v>
      </c>
      <c r="V112" s="51">
        <f>('Zamfara Workings'!V112+'Katsina Workings'!V112+'Yobe Workings'!V112)</f>
        <v>19.333333333333336</v>
      </c>
      <c r="W112" s="51">
        <f>('Zamfara Workings'!W112+'Katsina Workings'!W112+'Yobe Workings'!W112)</f>
        <v>21.333333333333336</v>
      </c>
      <c r="X112" s="51">
        <f>('Zamfara Workings'!X112+'Katsina Workings'!X112+'Yobe Workings'!X112)</f>
        <v>24</v>
      </c>
      <c r="Y112" s="50">
        <f>('Zamfara Workings'!Y112+'Katsina Workings'!Y112+'Yobe Workings'!Y112)</f>
        <v>24</v>
      </c>
      <c r="Z112" s="51">
        <f>('Zamfara Workings'!Z112+'Katsina Workings'!Z112+'Yobe Workings'!Z112)</f>
        <v>24</v>
      </c>
      <c r="AA112" s="38">
        <f>'Yobe Workings'!AA112*3</f>
        <v>60</v>
      </c>
      <c r="AB112" s="457">
        <f>AA112/22</f>
        <v>2.7272727272727271</v>
      </c>
      <c r="AC112" s="340"/>
      <c r="AD112" s="451">
        <f>V112</f>
        <v>19.333333333333336</v>
      </c>
      <c r="AE112" s="346"/>
      <c r="AF112" s="453">
        <f t="shared" ref="AF112:AG113" si="36">IF($AG$1=16,R112,IF($AG$1=17,S112,IF($AG$1=18,T112,IF($AG$1=19,U112,IF($AG$1=20,V112,IF($AG$1=21,W112,IF($AG$1=22,X112,0)))))))</f>
        <v>21.333333333333336</v>
      </c>
      <c r="AG112" s="453">
        <f t="shared" si="36"/>
        <v>24</v>
      </c>
      <c r="AI112" s="338"/>
    </row>
    <row r="113" spans="1:35" s="340" customFormat="1" ht="15.75" thickBot="1">
      <c r="A113" s="45"/>
      <c r="B113" s="46" t="s">
        <v>817</v>
      </c>
      <c r="C113" s="79">
        <f>('Zamfara Workings'!C113+'Katsina Workings'!C113+'Yobe Workings'!C113)</f>
        <v>0</v>
      </c>
      <c r="D113" s="441">
        <f>('Zamfara Workings'!D113+'Katsina Workings'!D113+'Yobe Workings'!D113)</f>
        <v>0</v>
      </c>
      <c r="E113" s="442">
        <f>('Zamfara Workings'!E113+'Katsina Workings'!E113+'Yobe Workings'!E113)</f>
        <v>0</v>
      </c>
      <c r="F113" s="442">
        <f>('Zamfara Workings'!F113+'Katsina Workings'!F113+'Yobe Workings'!F113)</f>
        <v>0</v>
      </c>
      <c r="G113" s="442">
        <f>('Zamfara Workings'!G113+'Katsina Workings'!G113+'Yobe Workings'!G113)</f>
        <v>0</v>
      </c>
      <c r="H113" s="442">
        <f>('Zamfara Workings'!H113+'Katsina Workings'!H113+'Yobe Workings'!H113)</f>
        <v>0</v>
      </c>
      <c r="I113" s="442">
        <f>('Zamfara Workings'!I113+'Katsina Workings'!I113+'Yobe Workings'!I113)</f>
        <v>0</v>
      </c>
      <c r="J113" s="442">
        <f>('Zamfara Workings'!J113+'Katsina Workings'!J113+'Yobe Workings'!J113)</f>
        <v>0</v>
      </c>
      <c r="K113" s="442">
        <f>('Zamfara Workings'!K113+'Katsina Workings'!K113+'Yobe Workings'!K113)</f>
        <v>0</v>
      </c>
      <c r="L113" s="442">
        <f>('Zamfara Workings'!L113+'Katsina Workings'!L113+'Yobe Workings'!L113)</f>
        <v>0</v>
      </c>
      <c r="M113" s="442">
        <f>('Zamfara Workings'!M113+'Katsina Workings'!M113+'Yobe Workings'!M113)</f>
        <v>0</v>
      </c>
      <c r="N113" s="443">
        <f>('Zamfara Workings'!N113+'Katsina Workings'!N113+'Yobe Workings'!N113)</f>
        <v>4</v>
      </c>
      <c r="O113" s="444">
        <f>('Zamfara Workings'!O113+'Katsina Workings'!O113+'Yobe Workings'!O113)</f>
        <v>4</v>
      </c>
      <c r="P113" s="444">
        <f>('Zamfara Workings'!P113+'Katsina Workings'!P113+'Yobe Workings'!P113)</f>
        <v>4</v>
      </c>
      <c r="Q113" s="444">
        <f>('Zamfara Workings'!Q113+'Katsina Workings'!Q113+'Yobe Workings'!Q113)</f>
        <v>4</v>
      </c>
      <c r="R113" s="442">
        <f>('Zamfara Workings'!R113+'Katsina Workings'!R113+'Yobe Workings'!R113)</f>
        <v>6</v>
      </c>
      <c r="S113" s="442">
        <f>('Zamfara Workings'!S113+'Katsina Workings'!S113+'Yobe Workings'!S113)</f>
        <v>12</v>
      </c>
      <c r="T113" s="442">
        <f>('Zamfara Workings'!T113+'Katsina Workings'!T113+'Yobe Workings'!T113)</f>
        <v>14</v>
      </c>
      <c r="U113" s="442">
        <f>('Zamfara Workings'!U113+'Katsina Workings'!U113+'Yobe Workings'!U113)</f>
        <v>19</v>
      </c>
      <c r="V113" s="445">
        <f>('Zamfara Workings'!V113+'Katsina Workings'!V113+'Yobe Workings'!V113)</f>
        <v>21</v>
      </c>
      <c r="W113" s="72">
        <f>('Zamfara Workings'!W113+'Katsina Workings'!W113+'Yobe Workings'!W113)</f>
        <v>23</v>
      </c>
      <c r="X113" s="70">
        <f>('Zamfara Workings'!X113+'Katsina Workings'!X113+'Yobe Workings'!X113)</f>
        <v>28</v>
      </c>
      <c r="Y113" s="70">
        <f>('Zamfara Workings'!Y113+'Katsina Workings'!Y113+'Yobe Workings'!Y113)</f>
        <v>0</v>
      </c>
      <c r="Z113" s="70">
        <f>('Zamfara Workings'!Z113+'Katsina Workings'!Z113+'Yobe Workings'!Z113)</f>
        <v>0</v>
      </c>
      <c r="AA113" s="429"/>
      <c r="AB113" s="430"/>
      <c r="AD113" s="452">
        <f>V113</f>
        <v>21</v>
      </c>
      <c r="AE113" s="346"/>
      <c r="AF113" s="452">
        <f t="shared" si="36"/>
        <v>23</v>
      </c>
      <c r="AG113" s="452">
        <f t="shared" si="36"/>
        <v>28</v>
      </c>
      <c r="AH113" s="342">
        <f>AG113</f>
        <v>28</v>
      </c>
      <c r="AI113" s="342">
        <f>AG113</f>
        <v>28</v>
      </c>
    </row>
    <row r="114" spans="1:35" s="340" customFormat="1">
      <c r="A114" s="45"/>
      <c r="B114" s="46"/>
      <c r="C114" s="53"/>
      <c r="D114" s="75"/>
      <c r="E114" s="75"/>
      <c r="F114" s="75"/>
      <c r="G114" s="75"/>
      <c r="H114" s="75"/>
      <c r="I114" s="75"/>
      <c r="J114" s="75"/>
      <c r="K114" s="75"/>
      <c r="L114" s="53"/>
      <c r="M114" s="53"/>
      <c r="N114" s="53"/>
      <c r="O114" s="53"/>
      <c r="P114" s="53"/>
      <c r="Q114" s="53"/>
      <c r="R114" s="53"/>
      <c r="S114" s="53"/>
      <c r="T114" s="53"/>
      <c r="U114" s="53"/>
      <c r="V114" s="53"/>
      <c r="W114" s="53"/>
      <c r="X114" s="53"/>
      <c r="Y114" s="53"/>
      <c r="Z114" s="53"/>
      <c r="AA114" s="429"/>
      <c r="AB114" s="430"/>
      <c r="AD114" s="345"/>
      <c r="AE114" s="346"/>
      <c r="AF114" s="454"/>
      <c r="AG114" s="454"/>
      <c r="AH114" s="335"/>
      <c r="AI114" s="338"/>
    </row>
    <row r="115" spans="1:35" ht="15.75" thickBot="1">
      <c r="A115" s="41" t="s">
        <v>696</v>
      </c>
      <c r="B115" s="42" t="s">
        <v>818</v>
      </c>
      <c r="C115" s="52"/>
      <c r="D115" s="52"/>
      <c r="E115" s="52"/>
      <c r="F115" s="52"/>
      <c r="G115" s="52"/>
      <c r="H115" s="52"/>
      <c r="I115" s="52"/>
      <c r="J115" s="52"/>
      <c r="K115" s="52"/>
      <c r="L115" s="52"/>
      <c r="M115" s="52"/>
      <c r="N115" s="52"/>
      <c r="O115" s="52"/>
      <c r="P115" s="52"/>
      <c r="Q115" s="52"/>
      <c r="R115" s="50">
        <f>('Zamfara Workings'!R115+'Katsina Workings'!R115+'Yobe Workings'!R115)</f>
        <v>7</v>
      </c>
      <c r="S115" s="51">
        <f>('Zamfara Workings'!S115+'Katsina Workings'!S115+'Yobe Workings'!S115)</f>
        <v>7.3333333333333339</v>
      </c>
      <c r="T115" s="51">
        <f>('Zamfara Workings'!T115+'Katsina Workings'!T115+'Yobe Workings'!T115)</f>
        <v>7.666666666666667</v>
      </c>
      <c r="U115" s="51">
        <f>('Zamfara Workings'!U115+'Katsina Workings'!U115+'Yobe Workings'!U115)</f>
        <v>8</v>
      </c>
      <c r="V115" s="51">
        <f>('Zamfara Workings'!V115+'Katsina Workings'!V115+'Yobe Workings'!V115)</f>
        <v>8.3333333333333321</v>
      </c>
      <c r="W115" s="51">
        <f>('Zamfara Workings'!W115+'Katsina Workings'!W115+'Yobe Workings'!W115)</f>
        <v>10.5</v>
      </c>
      <c r="X115" s="51">
        <f>('Zamfara Workings'!X115+'Katsina Workings'!X115+'Yobe Workings'!X115)</f>
        <v>12</v>
      </c>
      <c r="Y115" s="50">
        <f>('Zamfara Workings'!Y115+'Katsina Workings'!Y115+'Yobe Workings'!Y115)</f>
        <v>12</v>
      </c>
      <c r="Z115" s="51">
        <f>('Zamfara Workings'!Z115+'Katsina Workings'!Z115+'Yobe Workings'!Z115)</f>
        <v>12</v>
      </c>
      <c r="AA115" s="38">
        <f>'Yobe Workings'!AA115*3</f>
        <v>60</v>
      </c>
      <c r="AB115" s="457">
        <f>AA115/22</f>
        <v>2.7272727272727271</v>
      </c>
      <c r="AC115" s="340"/>
      <c r="AD115" s="451">
        <f>V115</f>
        <v>8.3333333333333321</v>
      </c>
      <c r="AE115" s="346"/>
      <c r="AF115" s="453">
        <f t="shared" ref="AF115:AG116" si="37">IF($AG$1=16,R115,IF($AG$1=17,S115,IF($AG$1=18,T115,IF($AG$1=19,U115,IF($AG$1=20,V115,IF($AG$1=21,W115,IF($AG$1=22,X115,0)))))))</f>
        <v>10.5</v>
      </c>
      <c r="AG115" s="453">
        <f t="shared" si="37"/>
        <v>12</v>
      </c>
      <c r="AI115" s="338"/>
    </row>
    <row r="116" spans="1:35" s="340" customFormat="1" ht="15.75" thickBot="1">
      <c r="A116" s="45"/>
      <c r="B116" s="46" t="s">
        <v>819</v>
      </c>
      <c r="C116" s="52"/>
      <c r="D116" s="52"/>
      <c r="E116" s="52"/>
      <c r="F116" s="52"/>
      <c r="G116" s="52"/>
      <c r="H116" s="52"/>
      <c r="I116" s="52"/>
      <c r="J116" s="52"/>
      <c r="K116" s="52"/>
      <c r="L116" s="52"/>
      <c r="M116" s="52"/>
      <c r="N116" s="52"/>
      <c r="O116" s="52"/>
      <c r="P116" s="52"/>
      <c r="Q116" s="52"/>
      <c r="R116" s="52">
        <f>('Zamfara Workings'!R116+'Katsina Workings'!R116+'Yobe Workings'!R116)</f>
        <v>7</v>
      </c>
      <c r="S116" s="442">
        <f>('Zamfara Workings'!S116+'Katsina Workings'!S116+'Yobe Workings'!S116)</f>
        <v>5</v>
      </c>
      <c r="T116" s="442">
        <f>('Zamfara Workings'!T116+'Katsina Workings'!T116+'Yobe Workings'!T116)</f>
        <v>9</v>
      </c>
      <c r="U116" s="442">
        <f>('Zamfara Workings'!U116+'Katsina Workings'!U116+'Yobe Workings'!U116)</f>
        <v>11</v>
      </c>
      <c r="V116" s="445">
        <f>('Zamfara Workings'!V116+'Katsina Workings'!V116+'Yobe Workings'!V116)</f>
        <v>18</v>
      </c>
      <c r="W116" s="72">
        <f>('Zamfara Workings'!W116+'Katsina Workings'!W116+'Yobe Workings'!W116)</f>
        <v>18</v>
      </c>
      <c r="X116" s="70">
        <f>('Zamfara Workings'!X116+'Katsina Workings'!X116+'Yobe Workings'!X116)</f>
        <v>23</v>
      </c>
      <c r="Y116" s="70">
        <f>('Zamfara Workings'!Y116+'Katsina Workings'!Y116+'Yobe Workings'!Y116)</f>
        <v>0</v>
      </c>
      <c r="Z116" s="70">
        <f>('Zamfara Workings'!Z116+'Katsina Workings'!Z116+'Yobe Workings'!Z116)</f>
        <v>0</v>
      </c>
      <c r="AA116" s="49"/>
      <c r="AB116" s="421"/>
      <c r="AD116" s="452">
        <f>V116</f>
        <v>18</v>
      </c>
      <c r="AE116" s="346"/>
      <c r="AF116" s="452">
        <f t="shared" si="37"/>
        <v>18</v>
      </c>
      <c r="AG116" s="452">
        <f t="shared" si="37"/>
        <v>23</v>
      </c>
      <c r="AH116" s="342">
        <f>AG116</f>
        <v>23</v>
      </c>
      <c r="AI116" s="342">
        <f>AG116</f>
        <v>23</v>
      </c>
    </row>
    <row r="117" spans="1:35">
      <c r="A117" s="45"/>
      <c r="B117" s="46"/>
      <c r="C117" s="53"/>
      <c r="D117" s="75"/>
      <c r="E117" s="75"/>
      <c r="F117" s="75"/>
      <c r="G117" s="75"/>
      <c r="H117" s="75"/>
      <c r="I117" s="75"/>
      <c r="J117" s="75"/>
      <c r="K117" s="75"/>
      <c r="L117" s="53"/>
      <c r="M117" s="53"/>
      <c r="N117" s="53"/>
      <c r="O117" s="53"/>
      <c r="P117" s="53"/>
      <c r="Q117" s="53"/>
      <c r="R117" s="53"/>
      <c r="S117" s="53"/>
      <c r="T117" s="53"/>
      <c r="U117" s="53"/>
      <c r="V117" s="53"/>
      <c r="W117" s="53"/>
      <c r="X117" s="53"/>
      <c r="Y117" s="53"/>
      <c r="Z117" s="53"/>
      <c r="AA117" s="49"/>
      <c r="AB117" s="421"/>
      <c r="AC117" s="340"/>
      <c r="AD117" s="346"/>
      <c r="AE117" s="346"/>
      <c r="AF117" s="346"/>
      <c r="AG117" s="346"/>
      <c r="AI117" s="338"/>
    </row>
    <row r="118" spans="1:35" ht="15.75" thickBot="1">
      <c r="A118" s="41" t="s">
        <v>697</v>
      </c>
      <c r="B118" s="42" t="s">
        <v>820</v>
      </c>
      <c r="C118" s="52"/>
      <c r="D118" s="52"/>
      <c r="E118" s="52"/>
      <c r="F118" s="52"/>
      <c r="G118" s="52"/>
      <c r="H118" s="52"/>
      <c r="I118" s="52"/>
      <c r="J118" s="52"/>
      <c r="K118" s="52"/>
      <c r="L118" s="52"/>
      <c r="M118" s="52"/>
      <c r="N118" s="52"/>
      <c r="O118" s="52"/>
      <c r="P118" s="52"/>
      <c r="Q118" s="52"/>
      <c r="R118" s="50">
        <f>('Zamfara Workings'!R118+'Katsina Workings'!R118+'Yobe Workings'!R118)</f>
        <v>7</v>
      </c>
      <c r="S118" s="51">
        <f>('Zamfara Workings'!S118+'Katsina Workings'!S118+'Yobe Workings'!S118)</f>
        <v>6.8333333333333339</v>
      </c>
      <c r="T118" s="51">
        <f>('Zamfara Workings'!T118+'Katsina Workings'!T118+'Yobe Workings'!T118)</f>
        <v>6.666666666666667</v>
      </c>
      <c r="U118" s="51">
        <f>('Zamfara Workings'!U118+'Katsina Workings'!U118+'Yobe Workings'!U118)</f>
        <v>6.5</v>
      </c>
      <c r="V118" s="51">
        <f>('Zamfara Workings'!V118+'Katsina Workings'!V118+'Yobe Workings'!V118)</f>
        <v>6.3333333333333339</v>
      </c>
      <c r="W118" s="51">
        <f>('Zamfara Workings'!W118+'Katsina Workings'!W118+'Yobe Workings'!W118)</f>
        <v>8.8333333333333321</v>
      </c>
      <c r="X118" s="51">
        <f>('Zamfara Workings'!X118+'Katsina Workings'!X118+'Yobe Workings'!X118)</f>
        <v>10</v>
      </c>
      <c r="Y118" s="50">
        <f>('Zamfara Workings'!Y118+'Katsina Workings'!Y118+'Yobe Workings'!Y118)</f>
        <v>10</v>
      </c>
      <c r="Z118" s="51">
        <f>('Zamfara Workings'!Z118+'Katsina Workings'!Z118+'Yobe Workings'!Z118)</f>
        <v>10</v>
      </c>
      <c r="AA118" s="38">
        <f>'Yobe Workings'!AA118*3</f>
        <v>30</v>
      </c>
      <c r="AB118" s="457">
        <f>AA118/22</f>
        <v>1.3636363636363635</v>
      </c>
      <c r="AC118" s="340"/>
      <c r="AD118" s="451">
        <f>V118</f>
        <v>6.3333333333333339</v>
      </c>
      <c r="AE118" s="346"/>
      <c r="AF118" s="453">
        <f t="shared" ref="AF118:AG119" si="38">IF($AG$1=16,R118,IF($AG$1=17,S118,IF($AG$1=18,T118,IF($AG$1=19,U118,IF($AG$1=20,V118,IF($AG$1=21,W118,IF($AG$1=22,X118,0)))))))</f>
        <v>8.8333333333333321</v>
      </c>
      <c r="AG118" s="453">
        <f t="shared" si="38"/>
        <v>10</v>
      </c>
      <c r="AI118" s="338"/>
    </row>
    <row r="119" spans="1:35" ht="15.75" thickBot="1">
      <c r="A119" s="45"/>
      <c r="B119" s="46" t="s">
        <v>821</v>
      </c>
      <c r="C119" s="52"/>
      <c r="D119" s="52"/>
      <c r="E119" s="52"/>
      <c r="F119" s="52"/>
      <c r="G119" s="52"/>
      <c r="H119" s="52"/>
      <c r="I119" s="52"/>
      <c r="J119" s="52"/>
      <c r="K119" s="52"/>
      <c r="L119" s="52"/>
      <c r="M119" s="52"/>
      <c r="N119" s="52"/>
      <c r="O119" s="52"/>
      <c r="P119" s="52"/>
      <c r="Q119" s="52"/>
      <c r="R119" s="52">
        <f>('Zamfara Workings'!R119+'Katsina Workings'!R119+'Yobe Workings'!R119)</f>
        <v>7</v>
      </c>
      <c r="S119" s="442">
        <f>('Zamfara Workings'!S119+'Katsina Workings'!S119+'Yobe Workings'!S119)</f>
        <v>2</v>
      </c>
      <c r="T119" s="442">
        <f>('Zamfara Workings'!T119+'Katsina Workings'!T119+'Yobe Workings'!T119)</f>
        <v>3</v>
      </c>
      <c r="U119" s="442">
        <f>('Zamfara Workings'!U119+'Katsina Workings'!U119+'Yobe Workings'!U119)</f>
        <v>4</v>
      </c>
      <c r="V119" s="445">
        <f>('Zamfara Workings'!V119+'Katsina Workings'!V119+'Yobe Workings'!V119)</f>
        <v>13</v>
      </c>
      <c r="W119" s="72">
        <f>('Zamfara Workings'!W119+'Katsina Workings'!W119+'Yobe Workings'!W119)</f>
        <v>15</v>
      </c>
      <c r="X119" s="70">
        <f>('Zamfara Workings'!X119+'Katsina Workings'!X119+'Yobe Workings'!X119)</f>
        <v>18</v>
      </c>
      <c r="Y119" s="70">
        <f>('Zamfara Workings'!Y119+'Katsina Workings'!Y119+'Yobe Workings'!Y119)</f>
        <v>0</v>
      </c>
      <c r="Z119" s="70">
        <f>('Zamfara Workings'!Z119+'Katsina Workings'!Z119+'Yobe Workings'!Z119)</f>
        <v>0</v>
      </c>
      <c r="AA119" s="49"/>
      <c r="AB119" s="421"/>
      <c r="AC119" s="340"/>
      <c r="AD119" s="452">
        <f>V119</f>
        <v>13</v>
      </c>
      <c r="AE119" s="346"/>
      <c r="AF119" s="452">
        <f t="shared" si="38"/>
        <v>15</v>
      </c>
      <c r="AG119" s="452">
        <f t="shared" si="38"/>
        <v>18</v>
      </c>
      <c r="AH119" s="342">
        <f>AG119</f>
        <v>18</v>
      </c>
      <c r="AI119" s="342">
        <f>AG119</f>
        <v>18</v>
      </c>
    </row>
    <row r="120" spans="1:35">
      <c r="A120" s="45"/>
      <c r="B120" s="46"/>
      <c r="C120" s="53"/>
      <c r="D120" s="75"/>
      <c r="E120" s="75"/>
      <c r="F120" s="75"/>
      <c r="G120" s="75"/>
      <c r="H120" s="75"/>
      <c r="I120" s="75"/>
      <c r="J120" s="75"/>
      <c r="K120" s="75"/>
      <c r="L120" s="53"/>
      <c r="M120" s="53"/>
      <c r="N120" s="53"/>
      <c r="O120" s="53"/>
      <c r="P120" s="53"/>
      <c r="Q120" s="53"/>
      <c r="R120" s="53"/>
      <c r="S120" s="53"/>
      <c r="T120" s="53"/>
      <c r="U120" s="53"/>
      <c r="V120" s="53"/>
      <c r="W120" s="53"/>
      <c r="X120" s="53"/>
      <c r="Y120" s="53"/>
      <c r="Z120" s="53"/>
      <c r="AA120" s="49"/>
      <c r="AB120" s="421"/>
      <c r="AC120" s="340"/>
      <c r="AD120" s="345"/>
      <c r="AE120" s="346"/>
      <c r="AF120" s="454"/>
      <c r="AG120" s="454"/>
      <c r="AI120" s="338"/>
    </row>
    <row r="121" spans="1:35" ht="15.75" thickBot="1">
      <c r="A121" s="41" t="s">
        <v>698</v>
      </c>
      <c r="B121" s="42" t="s">
        <v>822</v>
      </c>
      <c r="C121" s="52"/>
      <c r="D121" s="52"/>
      <c r="E121" s="52"/>
      <c r="F121" s="52"/>
      <c r="G121" s="52"/>
      <c r="H121" s="52"/>
      <c r="I121" s="52"/>
      <c r="J121" s="52"/>
      <c r="K121" s="52"/>
      <c r="L121" s="52"/>
      <c r="M121" s="52"/>
      <c r="N121" s="52"/>
      <c r="O121" s="52"/>
      <c r="P121" s="52"/>
      <c r="Q121" s="52"/>
      <c r="R121" s="50">
        <f>('Zamfara Workings'!R121+'Katsina Workings'!R121+'Yobe Workings'!R121)</f>
        <v>7</v>
      </c>
      <c r="S121" s="51">
        <f>('Zamfara Workings'!S121+'Katsina Workings'!S121+'Yobe Workings'!S121)</f>
        <v>6.666666666666667</v>
      </c>
      <c r="T121" s="51">
        <f>('Zamfara Workings'!T121+'Katsina Workings'!T121+'Yobe Workings'!T121)</f>
        <v>6.3333333333333321</v>
      </c>
      <c r="U121" s="51">
        <f>('Zamfara Workings'!U121+'Katsina Workings'!U121+'Yobe Workings'!U121)</f>
        <v>5.9999999999999991</v>
      </c>
      <c r="V121" s="51">
        <f>('Zamfara Workings'!V121+'Katsina Workings'!V121+'Yobe Workings'!V121)</f>
        <v>5.6666666666666652</v>
      </c>
      <c r="W121" s="51">
        <f>('Zamfara Workings'!W121+'Katsina Workings'!W121+'Yobe Workings'!W121)</f>
        <v>5.833333333333333</v>
      </c>
      <c r="X121" s="51">
        <f>('Zamfara Workings'!X121+'Katsina Workings'!X121+'Yobe Workings'!X121)</f>
        <v>7</v>
      </c>
      <c r="Y121" s="50">
        <f>('Zamfara Workings'!Y121+'Katsina Workings'!Y121+'Yobe Workings'!Y121)</f>
        <v>7</v>
      </c>
      <c r="Z121" s="51">
        <f>('Zamfara Workings'!Z121+'Katsina Workings'!Z121+'Yobe Workings'!Z121)</f>
        <v>7</v>
      </c>
      <c r="AA121" s="38">
        <f>'Yobe Workings'!AA121*3</f>
        <v>30</v>
      </c>
      <c r="AB121" s="457">
        <f>AA121/22</f>
        <v>1.3636363636363635</v>
      </c>
      <c r="AC121" s="340"/>
      <c r="AD121" s="451">
        <f>V121</f>
        <v>5.6666666666666652</v>
      </c>
      <c r="AE121" s="346"/>
      <c r="AF121" s="453">
        <f t="shared" ref="AF121:AG122" si="39">IF($AG$1=16,R121,IF($AG$1=17,S121,IF($AG$1=18,T121,IF($AG$1=19,U121,IF($AG$1=20,V121,IF($AG$1=21,W121,IF($AG$1=22,X121,0)))))))</f>
        <v>5.833333333333333</v>
      </c>
      <c r="AG121" s="453">
        <f t="shared" si="39"/>
        <v>7</v>
      </c>
      <c r="AI121" s="338"/>
    </row>
    <row r="122" spans="1:35" ht="15.75" thickBot="1">
      <c r="A122" s="45"/>
      <c r="B122" s="46" t="s">
        <v>823</v>
      </c>
      <c r="C122" s="52"/>
      <c r="D122" s="52"/>
      <c r="E122" s="52"/>
      <c r="F122" s="52"/>
      <c r="G122" s="52"/>
      <c r="H122" s="52"/>
      <c r="I122" s="52"/>
      <c r="J122" s="52"/>
      <c r="K122" s="52"/>
      <c r="L122" s="52"/>
      <c r="M122" s="52"/>
      <c r="N122" s="52"/>
      <c r="O122" s="52"/>
      <c r="P122" s="52"/>
      <c r="Q122" s="52"/>
      <c r="R122" s="52">
        <f>('Zamfara Workings'!R122+'Katsina Workings'!R122+'Yobe Workings'!R122)</f>
        <v>7</v>
      </c>
      <c r="S122" s="442">
        <f>('Zamfara Workings'!S122+'Katsina Workings'!S122+'Yobe Workings'!S122)</f>
        <v>0</v>
      </c>
      <c r="T122" s="442">
        <f>('Zamfara Workings'!T122+'Katsina Workings'!T122+'Yobe Workings'!T122)</f>
        <v>0</v>
      </c>
      <c r="U122" s="442">
        <f>('Zamfara Workings'!U122+'Katsina Workings'!U122+'Yobe Workings'!U122)</f>
        <v>2</v>
      </c>
      <c r="V122" s="445">
        <f>('Zamfara Workings'!V122+'Katsina Workings'!V122+'Yobe Workings'!V122)</f>
        <v>7</v>
      </c>
      <c r="W122" s="72">
        <f>('Zamfara Workings'!W122+'Katsina Workings'!W122+'Yobe Workings'!W122)</f>
        <v>9</v>
      </c>
      <c r="X122" s="70">
        <f>('Zamfara Workings'!X122+'Katsina Workings'!X122+'Yobe Workings'!X122)</f>
        <v>12</v>
      </c>
      <c r="Y122" s="70">
        <f>('Zamfara Workings'!Y122+'Katsina Workings'!Y122+'Yobe Workings'!Y122)</f>
        <v>0</v>
      </c>
      <c r="Z122" s="70">
        <f>('Zamfara Workings'!Z122+'Katsina Workings'!Z122+'Yobe Workings'!Z122)</f>
        <v>0</v>
      </c>
      <c r="AA122" s="49"/>
      <c r="AB122" s="421"/>
      <c r="AC122" s="340"/>
      <c r="AD122" s="452">
        <f>V122</f>
        <v>7</v>
      </c>
      <c r="AE122" s="346"/>
      <c r="AF122" s="452">
        <f t="shared" si="39"/>
        <v>9</v>
      </c>
      <c r="AG122" s="452">
        <f t="shared" si="39"/>
        <v>12</v>
      </c>
      <c r="AH122" s="342">
        <f>AG122</f>
        <v>12</v>
      </c>
      <c r="AI122" s="342">
        <f>AG122</f>
        <v>12</v>
      </c>
    </row>
    <row r="123" spans="1:35" ht="14.25" customHeight="1">
      <c r="A123" s="45"/>
      <c r="B123" s="46"/>
      <c r="C123" s="53"/>
      <c r="D123" s="75"/>
      <c r="E123" s="75"/>
      <c r="F123" s="75"/>
      <c r="G123" s="75"/>
      <c r="H123" s="75"/>
      <c r="I123" s="75"/>
      <c r="J123" s="75"/>
      <c r="K123" s="75"/>
      <c r="L123" s="53"/>
      <c r="M123" s="53"/>
      <c r="N123" s="53"/>
      <c r="O123" s="53"/>
      <c r="P123" s="53"/>
      <c r="Q123" s="53"/>
      <c r="R123" s="53"/>
      <c r="S123" s="53"/>
      <c r="T123" s="53"/>
      <c r="U123" s="53"/>
      <c r="V123" s="53"/>
      <c r="W123" s="53"/>
      <c r="X123" s="53"/>
      <c r="Y123" s="53"/>
      <c r="Z123" s="53"/>
      <c r="AA123" s="49"/>
      <c r="AB123" s="421"/>
      <c r="AC123" s="340"/>
      <c r="AD123" s="345"/>
      <c r="AE123" s="346"/>
      <c r="AF123" s="454"/>
      <c r="AG123" s="454"/>
      <c r="AI123" s="338"/>
    </row>
    <row r="124" spans="1:35" ht="15.75" thickBot="1">
      <c r="A124" s="41" t="s">
        <v>699</v>
      </c>
      <c r="B124" s="42" t="s">
        <v>202</v>
      </c>
      <c r="C124" s="43" t="e">
        <f>('Zamfara Workings'!C124+'Katsina Workings'!C124+'Yobe Workings'!C124)</f>
        <v>#VALUE!</v>
      </c>
      <c r="D124" s="73" t="e">
        <f>('Zamfara Workings'!D124+'Katsina Workings'!D124+'Yobe Workings'!D124)</f>
        <v>#VALUE!</v>
      </c>
      <c r="E124" s="73" t="e">
        <f>('Zamfara Workings'!E124+'Katsina Workings'!E124+'Yobe Workings'!E124)</f>
        <v>#VALUE!</v>
      </c>
      <c r="F124" s="73" t="e">
        <f>('Zamfara Workings'!F124+'Katsina Workings'!F124+'Yobe Workings'!F124)</f>
        <v>#VALUE!</v>
      </c>
      <c r="G124" s="73" t="e">
        <f>('Zamfara Workings'!G124+'Katsina Workings'!G124+'Yobe Workings'!G124)</f>
        <v>#VALUE!</v>
      </c>
      <c r="H124" s="73" t="e">
        <f>('Zamfara Workings'!H124+'Katsina Workings'!H124+'Yobe Workings'!H124)</f>
        <v>#VALUE!</v>
      </c>
      <c r="I124" s="74">
        <f>('Zamfara Workings'!I124+'Katsina Workings'!I124+'Yobe Workings'!I124)</f>
        <v>0</v>
      </c>
      <c r="J124" s="73">
        <f>('Zamfara Workings'!J124+'Katsina Workings'!J124+'Yobe Workings'!J124)</f>
        <v>0.16666666666666666</v>
      </c>
      <c r="K124" s="73">
        <f>('Zamfara Workings'!K124+'Katsina Workings'!K124+'Yobe Workings'!K124)</f>
        <v>0.33333333333333331</v>
      </c>
      <c r="L124" s="51">
        <f>('Zamfara Workings'!L124+'Katsina Workings'!L124+'Yobe Workings'!L124)</f>
        <v>0.5</v>
      </c>
      <c r="M124" s="51">
        <f>('Zamfara Workings'!M124+'Katsina Workings'!M124+'Yobe Workings'!M124)</f>
        <v>0.66666666666666663</v>
      </c>
      <c r="N124" s="50">
        <f>('Zamfara Workings'!N124+'Katsina Workings'!N124+'Yobe Workings'!N124)</f>
        <v>1</v>
      </c>
      <c r="O124" s="51">
        <f>('Zamfara Workings'!O124+'Katsina Workings'!O124+'Yobe Workings'!O124)</f>
        <v>1.25</v>
      </c>
      <c r="P124" s="51">
        <f>('Zamfara Workings'!P124+'Katsina Workings'!P124+'Yobe Workings'!P124)</f>
        <v>1.5</v>
      </c>
      <c r="Q124" s="51">
        <f>('Zamfara Workings'!Q124+'Katsina Workings'!Q124+'Yobe Workings'!Q124)</f>
        <v>1.75</v>
      </c>
      <c r="R124" s="50">
        <f>('Zamfara Workings'!R124+'Katsina Workings'!R124+'Yobe Workings'!R124)</f>
        <v>2</v>
      </c>
      <c r="S124" s="51">
        <f>('Zamfara Workings'!S124+'Katsina Workings'!S124+'Yobe Workings'!S124)</f>
        <v>4.166666666666667</v>
      </c>
      <c r="T124" s="51">
        <f>('Zamfara Workings'!T124+'Katsina Workings'!T124+'Yobe Workings'!T124)</f>
        <v>6.333333333333333</v>
      </c>
      <c r="U124" s="51">
        <f>('Zamfara Workings'!U124+'Katsina Workings'!U124+'Yobe Workings'!U124)</f>
        <v>8.5</v>
      </c>
      <c r="V124" s="51">
        <f>('Zamfara Workings'!V124+'Katsina Workings'!V124+'Yobe Workings'!V124)</f>
        <v>10.666666666666666</v>
      </c>
      <c r="W124" s="51">
        <f>('Zamfara Workings'!W124+'Katsina Workings'!W124+'Yobe Workings'!W124)</f>
        <v>12.833333333333332</v>
      </c>
      <c r="X124" s="51">
        <f>('Zamfara Workings'!X124+'Katsina Workings'!X124+'Yobe Workings'!X124)</f>
        <v>15</v>
      </c>
      <c r="Y124" s="50">
        <f>('Zamfara Workings'!Y124+'Katsina Workings'!Y124+'Yobe Workings'!Y124)</f>
        <v>15</v>
      </c>
      <c r="Z124" s="51">
        <f>('Zamfara Workings'!Z124+'Katsina Workings'!Z124+'Yobe Workings'!Z124)</f>
        <v>15</v>
      </c>
      <c r="AA124" s="38">
        <f>'Yobe Workings'!AA124*3</f>
        <v>30</v>
      </c>
      <c r="AB124" s="457">
        <f>AA124/22</f>
        <v>1.3636363636363635</v>
      </c>
      <c r="AC124" s="340"/>
      <c r="AD124" s="451">
        <f>V124</f>
        <v>10.666666666666666</v>
      </c>
      <c r="AE124" s="346"/>
      <c r="AF124" s="453">
        <f t="shared" ref="AF124:AG125" si="40">IF($AG$1=16,R124,IF($AG$1=17,S124,IF($AG$1=18,T124,IF($AG$1=19,U124,IF($AG$1=20,V124,IF($AG$1=21,W124,IF($AG$1=22,X124,0)))))))</f>
        <v>12.833333333333332</v>
      </c>
      <c r="AG124" s="453">
        <f t="shared" si="40"/>
        <v>15</v>
      </c>
      <c r="AI124" s="338"/>
    </row>
    <row r="125" spans="1:35" ht="15.75" thickBot="1">
      <c r="A125" s="45"/>
      <c r="B125" s="46" t="s">
        <v>203</v>
      </c>
      <c r="C125" s="79" t="e">
        <f>('Zamfara Workings'!C125+'Katsina Workings'!C125+'Yobe Workings'!C125)</f>
        <v>#VALUE!</v>
      </c>
      <c r="D125" s="441">
        <f>('Zamfara Workings'!D125+'Katsina Workings'!D125+'Yobe Workings'!D125)</f>
        <v>0</v>
      </c>
      <c r="E125" s="442">
        <f>('Zamfara Workings'!E125+'Katsina Workings'!E125+'Yobe Workings'!E125)</f>
        <v>0</v>
      </c>
      <c r="F125" s="442">
        <f>('Zamfara Workings'!F125+'Katsina Workings'!F125+'Yobe Workings'!F125)</f>
        <v>0</v>
      </c>
      <c r="G125" s="442">
        <f>('Zamfara Workings'!G125+'Katsina Workings'!G125+'Yobe Workings'!G125)</f>
        <v>0</v>
      </c>
      <c r="H125" s="442">
        <f>('Zamfara Workings'!H125+'Katsina Workings'!H125+'Yobe Workings'!H125)</f>
        <v>0</v>
      </c>
      <c r="I125" s="442">
        <f>('Zamfara Workings'!I125+'Katsina Workings'!I125+'Yobe Workings'!I125)</f>
        <v>0</v>
      </c>
      <c r="J125" s="442">
        <f>('Zamfara Workings'!J125+'Katsina Workings'!J125+'Yobe Workings'!J125)</f>
        <v>0</v>
      </c>
      <c r="K125" s="442">
        <f>('Zamfara Workings'!K125+'Katsina Workings'!K125+'Yobe Workings'!K125)</f>
        <v>0</v>
      </c>
      <c r="L125" s="442">
        <f>('Zamfara Workings'!L125+'Katsina Workings'!L125+'Yobe Workings'!L125)</f>
        <v>0</v>
      </c>
      <c r="M125" s="442">
        <f>('Zamfara Workings'!M125+'Katsina Workings'!M125+'Yobe Workings'!M125)</f>
        <v>0</v>
      </c>
      <c r="N125" s="442">
        <f>('Zamfara Workings'!N125+'Katsina Workings'!N125+'Yobe Workings'!N125)</f>
        <v>1</v>
      </c>
      <c r="O125" s="442">
        <f>('Zamfara Workings'!O125+'Katsina Workings'!O125+'Yobe Workings'!O125)</f>
        <v>1</v>
      </c>
      <c r="P125" s="442">
        <f>('Zamfara Workings'!P125+'Katsina Workings'!P125+'Yobe Workings'!P125)</f>
        <v>3</v>
      </c>
      <c r="Q125" s="442">
        <f>('Zamfara Workings'!Q125+'Katsina Workings'!Q125+'Yobe Workings'!Q125)</f>
        <v>4</v>
      </c>
      <c r="R125" s="442">
        <f>('Zamfara Workings'!R125+'Katsina Workings'!R125+'Yobe Workings'!R125)</f>
        <v>5</v>
      </c>
      <c r="S125" s="442">
        <f>('Zamfara Workings'!S125+'Katsina Workings'!S125+'Yobe Workings'!S125)</f>
        <v>6</v>
      </c>
      <c r="T125" s="442">
        <f>('Zamfara Workings'!T125+'Katsina Workings'!T125+'Yobe Workings'!T125)</f>
        <v>6</v>
      </c>
      <c r="U125" s="442">
        <f>('Zamfara Workings'!U125+'Katsina Workings'!U125+'Yobe Workings'!U125)</f>
        <v>7</v>
      </c>
      <c r="V125" s="445">
        <f>('Zamfara Workings'!V125+'Katsina Workings'!V125+'Yobe Workings'!V125)</f>
        <v>15</v>
      </c>
      <c r="W125" s="72">
        <f>('Zamfara Workings'!W125+'Katsina Workings'!W125+'Yobe Workings'!W125)</f>
        <v>17</v>
      </c>
      <c r="X125" s="70">
        <f>('Zamfara Workings'!X125+'Katsina Workings'!X125+'Yobe Workings'!X125)</f>
        <v>19</v>
      </c>
      <c r="Y125" s="70">
        <f>('Zamfara Workings'!Y125+'Katsina Workings'!Y125+'Yobe Workings'!Y125)</f>
        <v>0</v>
      </c>
      <c r="Z125" s="70">
        <f>('Zamfara Workings'!Z125+'Katsina Workings'!Z125+'Yobe Workings'!Z125)</f>
        <v>0</v>
      </c>
      <c r="AA125" s="49"/>
      <c r="AB125" s="421"/>
      <c r="AC125" s="340"/>
      <c r="AD125" s="452">
        <f>V125</f>
        <v>15</v>
      </c>
      <c r="AE125" s="346"/>
      <c r="AF125" s="452">
        <f t="shared" si="40"/>
        <v>17</v>
      </c>
      <c r="AG125" s="452">
        <f t="shared" si="40"/>
        <v>19</v>
      </c>
      <c r="AH125" s="342">
        <f>AG125</f>
        <v>19</v>
      </c>
      <c r="AI125" s="342">
        <f>AG125</f>
        <v>19</v>
      </c>
    </row>
    <row r="126" spans="1:35">
      <c r="B126" s="46"/>
      <c r="R126" s="53"/>
      <c r="S126" s="53"/>
      <c r="T126" s="53"/>
      <c r="U126" s="53"/>
      <c r="V126" s="53"/>
      <c r="W126" s="53"/>
      <c r="X126" s="53"/>
      <c r="Y126" s="53"/>
      <c r="Z126" s="53"/>
      <c r="AB126" s="420"/>
      <c r="AC126" s="340"/>
      <c r="AD126" s="345"/>
      <c r="AE126" s="346"/>
      <c r="AF126" s="454"/>
      <c r="AG126" s="454"/>
      <c r="AI126" s="338"/>
    </row>
    <row r="127" spans="1:35" ht="15.75" thickBot="1">
      <c r="A127" s="41" t="s">
        <v>700</v>
      </c>
      <c r="B127" s="42" t="s">
        <v>213</v>
      </c>
      <c r="C127" s="52"/>
      <c r="D127" s="52"/>
      <c r="E127" s="52"/>
      <c r="F127" s="52"/>
      <c r="G127" s="52"/>
      <c r="H127" s="52"/>
      <c r="I127" s="52"/>
      <c r="J127" s="52"/>
      <c r="K127" s="52"/>
      <c r="L127" s="52"/>
      <c r="M127" s="52"/>
      <c r="N127" s="52"/>
      <c r="O127" s="52"/>
      <c r="P127" s="52"/>
      <c r="Q127" s="52"/>
      <c r="R127" s="50">
        <f>('Zamfara Workings'!R127+'Katsina Workings'!R127+'Yobe Workings'!R127)</f>
        <v>4</v>
      </c>
      <c r="S127" s="51">
        <f>('Zamfara Workings'!S127+'Katsina Workings'!S127+'Yobe Workings'!S127)</f>
        <v>4.5</v>
      </c>
      <c r="T127" s="51">
        <f>('Zamfara Workings'!T127+'Katsina Workings'!T127+'Yobe Workings'!T127)</f>
        <v>5</v>
      </c>
      <c r="U127" s="51">
        <f>('Zamfara Workings'!U127+'Katsina Workings'!U127+'Yobe Workings'!U127)</f>
        <v>5.5</v>
      </c>
      <c r="V127" s="51">
        <f>('Zamfara Workings'!V127+'Katsina Workings'!V127+'Yobe Workings'!V127)</f>
        <v>6</v>
      </c>
      <c r="W127" s="51">
        <f>('Zamfara Workings'!W127+'Katsina Workings'!W127+'Yobe Workings'!W127)</f>
        <v>8.1666666666666661</v>
      </c>
      <c r="X127" s="51">
        <f>('Zamfara Workings'!X127+'Katsina Workings'!X127+'Yobe Workings'!X127)</f>
        <v>9</v>
      </c>
      <c r="Y127" s="50">
        <f>('Zamfara Workings'!Y127+'Katsina Workings'!Y127+'Yobe Workings'!Y127)</f>
        <v>9</v>
      </c>
      <c r="Z127" s="51">
        <f>('Zamfara Workings'!Z127+'Katsina Workings'!Z127+'Yobe Workings'!Z127)</f>
        <v>9</v>
      </c>
      <c r="AA127" s="38">
        <f>'Yobe Workings'!AA127*3</f>
        <v>30</v>
      </c>
      <c r="AB127" s="457">
        <f>AA127/22</f>
        <v>1.3636363636363635</v>
      </c>
      <c r="AC127" s="340"/>
      <c r="AD127" s="451">
        <f>V127</f>
        <v>6</v>
      </c>
      <c r="AE127" s="346"/>
      <c r="AF127" s="453">
        <f t="shared" ref="AF127:AG128" si="41">IF($AG$1=16,R127,IF($AG$1=17,S127,IF($AG$1=18,T127,IF($AG$1=19,U127,IF($AG$1=20,V127,IF($AG$1=21,W127,IF($AG$1=22,X127,0)))))))</f>
        <v>8.1666666666666661</v>
      </c>
      <c r="AG127" s="453">
        <f t="shared" si="41"/>
        <v>9</v>
      </c>
      <c r="AI127" s="338"/>
    </row>
    <row r="128" spans="1:35" ht="15.75" thickBot="1">
      <c r="A128" s="45"/>
      <c r="B128" s="46" t="s">
        <v>212</v>
      </c>
      <c r="C128" s="52"/>
      <c r="D128" s="52"/>
      <c r="E128" s="52"/>
      <c r="F128" s="52"/>
      <c r="G128" s="52"/>
      <c r="H128" s="52"/>
      <c r="I128" s="52"/>
      <c r="J128" s="52"/>
      <c r="K128" s="52"/>
      <c r="L128" s="52"/>
      <c r="M128" s="52"/>
      <c r="N128" s="52"/>
      <c r="O128" s="52"/>
      <c r="P128" s="52"/>
      <c r="Q128" s="52"/>
      <c r="R128" s="52">
        <f>('Zamfara Workings'!R128+'Katsina Workings'!R128+'Yobe Workings'!R128)</f>
        <v>4</v>
      </c>
      <c r="S128" s="442">
        <f>('Zamfara Workings'!S128+'Katsina Workings'!S128+'Yobe Workings'!S128)</f>
        <v>3</v>
      </c>
      <c r="T128" s="442">
        <f>('Zamfara Workings'!T128+'Katsina Workings'!T128+'Yobe Workings'!T128)</f>
        <v>3</v>
      </c>
      <c r="U128" s="442">
        <f>('Zamfara Workings'!U128+'Katsina Workings'!U128+'Yobe Workings'!U128)</f>
        <v>3</v>
      </c>
      <c r="V128" s="445">
        <f>('Zamfara Workings'!V128+'Katsina Workings'!V128+'Yobe Workings'!V128)</f>
        <v>12</v>
      </c>
      <c r="W128" s="72">
        <f>('Zamfara Workings'!W128+'Katsina Workings'!W128+'Yobe Workings'!W128)</f>
        <v>13</v>
      </c>
      <c r="X128" s="70">
        <f>('Zamfara Workings'!X128+'Katsina Workings'!X128+'Yobe Workings'!X128)</f>
        <v>15</v>
      </c>
      <c r="Y128" s="70">
        <f>('Zamfara Workings'!Y128+'Katsina Workings'!Y128+'Yobe Workings'!Y128)</f>
        <v>0</v>
      </c>
      <c r="Z128" s="70">
        <f>('Zamfara Workings'!Z128+'Katsina Workings'!Z128+'Yobe Workings'!Z128)</f>
        <v>0</v>
      </c>
      <c r="AA128" s="49"/>
      <c r="AB128" s="421"/>
      <c r="AC128" s="340"/>
      <c r="AD128" s="452">
        <f>V128</f>
        <v>12</v>
      </c>
      <c r="AE128" s="346"/>
      <c r="AF128" s="452">
        <f t="shared" si="41"/>
        <v>13</v>
      </c>
      <c r="AG128" s="452">
        <f t="shared" si="41"/>
        <v>15</v>
      </c>
      <c r="AH128" s="342">
        <f>AG128</f>
        <v>15</v>
      </c>
      <c r="AI128" s="342">
        <f>AG128</f>
        <v>15</v>
      </c>
    </row>
    <row r="129" spans="1:35" ht="15" customHeight="1">
      <c r="A129" s="45"/>
      <c r="B129" s="46"/>
      <c r="C129" s="53"/>
      <c r="D129" s="75"/>
      <c r="E129" s="75"/>
      <c r="F129" s="75"/>
      <c r="G129" s="75"/>
      <c r="H129" s="75"/>
      <c r="I129" s="75"/>
      <c r="J129" s="75"/>
      <c r="K129" s="75"/>
      <c r="L129" s="53"/>
      <c r="M129" s="53"/>
      <c r="N129" s="53"/>
      <c r="O129" s="53"/>
      <c r="P129" s="53"/>
      <c r="Q129" s="53"/>
      <c r="R129" s="53"/>
      <c r="S129" s="53"/>
      <c r="T129" s="53"/>
      <c r="U129" s="53"/>
      <c r="V129" s="53"/>
      <c r="W129" s="53"/>
      <c r="X129" s="53"/>
      <c r="Y129" s="53"/>
      <c r="Z129" s="53"/>
      <c r="AA129" s="49"/>
      <c r="AB129" s="421"/>
      <c r="AC129" s="340"/>
      <c r="AD129" s="346"/>
      <c r="AE129" s="346"/>
      <c r="AF129" s="346"/>
      <c r="AG129" s="346"/>
      <c r="AI129" s="338"/>
    </row>
    <row r="130" spans="1:35" ht="15" customHeight="1" thickBot="1">
      <c r="A130" s="41" t="s">
        <v>701</v>
      </c>
      <c r="B130" s="42" t="s">
        <v>211</v>
      </c>
      <c r="C130" s="52"/>
      <c r="D130" s="52"/>
      <c r="E130" s="52"/>
      <c r="F130" s="52"/>
      <c r="G130" s="52"/>
      <c r="H130" s="52"/>
      <c r="I130" s="52"/>
      <c r="J130" s="52"/>
      <c r="K130" s="52"/>
      <c r="L130" s="52"/>
      <c r="M130" s="52"/>
      <c r="N130" s="52"/>
      <c r="O130" s="52"/>
      <c r="P130" s="52"/>
      <c r="Q130" s="52"/>
      <c r="R130" s="50">
        <f>('Zamfara Workings'!R130+'Katsina Workings'!R130+'Yobe Workings'!R130)</f>
        <v>1</v>
      </c>
      <c r="S130" s="51">
        <f>('Zamfara Workings'!S130+'Katsina Workings'!S130+'Yobe Workings'!S130)</f>
        <v>1.5</v>
      </c>
      <c r="T130" s="51">
        <f>('Zamfara Workings'!T130+'Katsina Workings'!T130+'Yobe Workings'!T130)</f>
        <v>2</v>
      </c>
      <c r="U130" s="51">
        <f>('Zamfara Workings'!U130+'Katsina Workings'!U130+'Yobe Workings'!U130)</f>
        <v>2.5</v>
      </c>
      <c r="V130" s="51">
        <f>('Zamfara Workings'!V130+'Katsina Workings'!V130+'Yobe Workings'!V130)</f>
        <v>3</v>
      </c>
      <c r="W130" s="51">
        <f>('Zamfara Workings'!W130+'Katsina Workings'!W130+'Yobe Workings'!W130)</f>
        <v>4.1666666666666661</v>
      </c>
      <c r="X130" s="51">
        <f>('Zamfara Workings'!X130+'Katsina Workings'!X130+'Yobe Workings'!X130)</f>
        <v>5</v>
      </c>
      <c r="Y130" s="50">
        <f>('Zamfara Workings'!Y130+'Katsina Workings'!Y130+'Yobe Workings'!Y130)</f>
        <v>5</v>
      </c>
      <c r="Z130" s="51">
        <f>('Zamfara Workings'!Z130+'Katsina Workings'!Z130+'Yobe Workings'!Z130)</f>
        <v>5</v>
      </c>
      <c r="AA130" s="38">
        <f>'Yobe Workings'!AA130*3</f>
        <v>15</v>
      </c>
      <c r="AB130" s="457">
        <f>AA130/22</f>
        <v>0.68181818181818177</v>
      </c>
      <c r="AC130" s="340"/>
      <c r="AD130" s="451">
        <f>V130</f>
        <v>3</v>
      </c>
      <c r="AE130" s="346"/>
      <c r="AF130" s="453">
        <f t="shared" ref="AF130:AG131" si="42">IF($AG$1=16,R130,IF($AG$1=17,S130,IF($AG$1=18,T130,IF($AG$1=19,U130,IF($AG$1=20,V130,IF($AG$1=21,W130,IF($AG$1=22,X130,0)))))))</f>
        <v>4.1666666666666661</v>
      </c>
      <c r="AG130" s="453">
        <f t="shared" si="42"/>
        <v>5</v>
      </c>
      <c r="AI130" s="338"/>
    </row>
    <row r="131" spans="1:35" ht="15" customHeight="1" thickBot="1">
      <c r="A131" s="45"/>
      <c r="B131" s="46" t="s">
        <v>210</v>
      </c>
      <c r="C131" s="52"/>
      <c r="D131" s="52"/>
      <c r="E131" s="52"/>
      <c r="F131" s="52"/>
      <c r="G131" s="52"/>
      <c r="H131" s="52"/>
      <c r="I131" s="52"/>
      <c r="J131" s="52"/>
      <c r="K131" s="52"/>
      <c r="L131" s="52"/>
      <c r="M131" s="52"/>
      <c r="N131" s="52"/>
      <c r="O131" s="52"/>
      <c r="P131" s="52"/>
      <c r="Q131" s="52"/>
      <c r="R131" s="52">
        <f>('Zamfara Workings'!R131+'Katsina Workings'!R131+'Yobe Workings'!R131)</f>
        <v>1</v>
      </c>
      <c r="S131" s="442">
        <f>('Zamfara Workings'!S131+'Katsina Workings'!S131+'Yobe Workings'!S131)</f>
        <v>0</v>
      </c>
      <c r="T131" s="442">
        <f>('Zamfara Workings'!T131+'Katsina Workings'!T131+'Yobe Workings'!T131)</f>
        <v>0</v>
      </c>
      <c r="U131" s="442">
        <f>('Zamfara Workings'!U131+'Katsina Workings'!U131+'Yobe Workings'!U131)</f>
        <v>0</v>
      </c>
      <c r="V131" s="445">
        <f>('Zamfara Workings'!V131+'Katsina Workings'!V131+'Yobe Workings'!V131)</f>
        <v>7</v>
      </c>
      <c r="W131" s="72">
        <f>('Zamfara Workings'!W131+'Katsina Workings'!W131+'Yobe Workings'!W131)</f>
        <v>7</v>
      </c>
      <c r="X131" s="70">
        <f>('Zamfara Workings'!X131+'Katsina Workings'!X131+'Yobe Workings'!X131)</f>
        <v>9</v>
      </c>
      <c r="Y131" s="70">
        <f>('Zamfara Workings'!Y131+'Katsina Workings'!Y131+'Yobe Workings'!Y131)</f>
        <v>0</v>
      </c>
      <c r="Z131" s="70">
        <f>('Zamfara Workings'!Z131+'Katsina Workings'!Z131+'Yobe Workings'!Z131)</f>
        <v>0</v>
      </c>
      <c r="AA131" s="49"/>
      <c r="AB131" s="421"/>
      <c r="AC131" s="340"/>
      <c r="AD131" s="452">
        <f>V131</f>
        <v>7</v>
      </c>
      <c r="AE131" s="346"/>
      <c r="AF131" s="452">
        <f t="shared" si="42"/>
        <v>7</v>
      </c>
      <c r="AG131" s="452">
        <f t="shared" si="42"/>
        <v>9</v>
      </c>
      <c r="AH131" s="342">
        <f>AG131</f>
        <v>9</v>
      </c>
      <c r="AI131" s="342">
        <f>AG131</f>
        <v>9</v>
      </c>
    </row>
    <row r="132" spans="1:35" ht="15" customHeight="1">
      <c r="A132" s="45"/>
      <c r="B132" s="46"/>
      <c r="C132" s="53"/>
      <c r="D132" s="75"/>
      <c r="E132" s="75"/>
      <c r="F132" s="75"/>
      <c r="G132" s="75"/>
      <c r="H132" s="75"/>
      <c r="I132" s="75"/>
      <c r="J132" s="75"/>
      <c r="K132" s="75"/>
      <c r="L132" s="53"/>
      <c r="M132" s="53"/>
      <c r="N132" s="53"/>
      <c r="O132" s="53"/>
      <c r="P132" s="53"/>
      <c r="Q132" s="53"/>
      <c r="R132" s="53"/>
      <c r="S132" s="53"/>
      <c r="T132" s="53"/>
      <c r="U132" s="53"/>
      <c r="V132" s="53"/>
      <c r="W132" s="53"/>
      <c r="X132" s="53"/>
      <c r="Y132" s="53"/>
      <c r="Z132" s="53"/>
      <c r="AA132" s="49"/>
      <c r="AB132" s="421"/>
      <c r="AC132" s="340"/>
      <c r="AD132" s="345"/>
      <c r="AE132" s="346"/>
      <c r="AF132" s="454"/>
      <c r="AG132" s="454"/>
      <c r="AI132" s="338"/>
    </row>
    <row r="133" spans="1:35" ht="15" customHeight="1" thickBot="1">
      <c r="A133" s="41" t="s">
        <v>702</v>
      </c>
      <c r="B133" s="42" t="s">
        <v>209</v>
      </c>
      <c r="C133" s="52"/>
      <c r="D133" s="52"/>
      <c r="E133" s="52"/>
      <c r="F133" s="52"/>
      <c r="G133" s="52"/>
      <c r="H133" s="52"/>
      <c r="I133" s="52"/>
      <c r="J133" s="52"/>
      <c r="K133" s="52"/>
      <c r="L133" s="52"/>
      <c r="M133" s="52"/>
      <c r="N133" s="52"/>
      <c r="O133" s="52"/>
      <c r="P133" s="52"/>
      <c r="Q133" s="52"/>
      <c r="R133" s="50">
        <f>('Zamfara Workings'!R133+'Katsina Workings'!R133+'Yobe Workings'!R133)</f>
        <v>1</v>
      </c>
      <c r="S133" s="51">
        <f>('Zamfara Workings'!S133+'Katsina Workings'!S133+'Yobe Workings'!S133)</f>
        <v>1</v>
      </c>
      <c r="T133" s="51">
        <f>('Zamfara Workings'!T133+'Katsina Workings'!T133+'Yobe Workings'!T133)</f>
        <v>1</v>
      </c>
      <c r="U133" s="51">
        <f>('Zamfara Workings'!U133+'Katsina Workings'!U133+'Yobe Workings'!U133)</f>
        <v>1</v>
      </c>
      <c r="V133" s="51">
        <f>('Zamfara Workings'!V133+'Katsina Workings'!V133+'Yobe Workings'!V133)</f>
        <v>1</v>
      </c>
      <c r="W133" s="51">
        <f>('Zamfara Workings'!W133+'Katsina Workings'!W133+'Yobe Workings'!W133)</f>
        <v>3.333333333333333</v>
      </c>
      <c r="X133" s="51">
        <f>('Zamfara Workings'!X133+'Katsina Workings'!X133+'Yobe Workings'!X133)</f>
        <v>4</v>
      </c>
      <c r="Y133" s="50">
        <f>('Zamfara Workings'!Y133+'Katsina Workings'!Y133+'Yobe Workings'!Y133)</f>
        <v>4</v>
      </c>
      <c r="Z133" s="51">
        <f>('Zamfara Workings'!Z133+'Katsina Workings'!Z133+'Yobe Workings'!Z133)</f>
        <v>4</v>
      </c>
      <c r="AA133" s="38">
        <f>'Yobe Workings'!AA133*3</f>
        <v>15</v>
      </c>
      <c r="AB133" s="457">
        <f>AA133/22</f>
        <v>0.68181818181818177</v>
      </c>
      <c r="AC133" s="340"/>
      <c r="AD133" s="451">
        <f>V133</f>
        <v>1</v>
      </c>
      <c r="AE133" s="346"/>
      <c r="AF133" s="453">
        <f t="shared" ref="AF133:AG134" si="43">IF($AG$1=16,R133,IF($AG$1=17,S133,IF($AG$1=18,T133,IF($AG$1=19,U133,IF($AG$1=20,V133,IF($AG$1=21,W133,IF($AG$1=22,X133,0)))))))</f>
        <v>3.333333333333333</v>
      </c>
      <c r="AG133" s="453">
        <f t="shared" si="43"/>
        <v>4</v>
      </c>
      <c r="AI133" s="338"/>
    </row>
    <row r="134" spans="1:35" ht="15" customHeight="1" thickBot="1">
      <c r="A134" s="45"/>
      <c r="B134" s="46" t="s">
        <v>208</v>
      </c>
      <c r="C134" s="52"/>
      <c r="D134" s="52"/>
      <c r="E134" s="52"/>
      <c r="F134" s="52"/>
      <c r="G134" s="52"/>
      <c r="H134" s="52"/>
      <c r="I134" s="52"/>
      <c r="J134" s="52"/>
      <c r="K134" s="52"/>
      <c r="L134" s="52"/>
      <c r="M134" s="52"/>
      <c r="N134" s="52"/>
      <c r="O134" s="52"/>
      <c r="P134" s="52"/>
      <c r="Q134" s="52"/>
      <c r="R134" s="52">
        <f>('Zamfara Workings'!R134+'Katsina Workings'!R134+'Yobe Workings'!R134)</f>
        <v>1</v>
      </c>
      <c r="S134" s="442">
        <f>('Zamfara Workings'!S134+'Katsina Workings'!S134+'Yobe Workings'!S134)</f>
        <v>0</v>
      </c>
      <c r="T134" s="442">
        <f>('Zamfara Workings'!T134+'Katsina Workings'!T134+'Yobe Workings'!T134)</f>
        <v>0</v>
      </c>
      <c r="U134" s="442">
        <f>('Zamfara Workings'!U134+'Katsina Workings'!U134+'Yobe Workings'!U134)</f>
        <v>0</v>
      </c>
      <c r="V134" s="445">
        <f>('Zamfara Workings'!V134+'Katsina Workings'!V134+'Yobe Workings'!V134)</f>
        <v>3</v>
      </c>
      <c r="W134" s="72">
        <f>('Zamfara Workings'!W134+'Katsina Workings'!W134+'Yobe Workings'!W134)</f>
        <v>3</v>
      </c>
      <c r="X134" s="70">
        <f>('Zamfara Workings'!X134+'Katsina Workings'!X134+'Yobe Workings'!X134)</f>
        <v>5</v>
      </c>
      <c r="Y134" s="70">
        <f>('Zamfara Workings'!Y134+'Katsina Workings'!Y134+'Yobe Workings'!Y134)</f>
        <v>0</v>
      </c>
      <c r="Z134" s="70">
        <f>('Zamfara Workings'!Z134+'Katsina Workings'!Z134+'Yobe Workings'!Z134)</f>
        <v>0</v>
      </c>
      <c r="AA134" s="49"/>
      <c r="AB134" s="421"/>
      <c r="AC134" s="340"/>
      <c r="AD134" s="452">
        <f>V134</f>
        <v>3</v>
      </c>
      <c r="AE134" s="346"/>
      <c r="AF134" s="452">
        <f t="shared" si="43"/>
        <v>3</v>
      </c>
      <c r="AG134" s="452">
        <f t="shared" si="43"/>
        <v>5</v>
      </c>
      <c r="AH134" s="342">
        <f>AG134</f>
        <v>5</v>
      </c>
      <c r="AI134" s="342">
        <f>AG134</f>
        <v>5</v>
      </c>
    </row>
    <row r="135" spans="1:35" ht="15" customHeight="1">
      <c r="A135" s="45"/>
      <c r="B135" s="46"/>
      <c r="C135" s="53"/>
      <c r="D135" s="75"/>
      <c r="E135" s="75"/>
      <c r="F135" s="75"/>
      <c r="G135" s="75"/>
      <c r="H135" s="75"/>
      <c r="I135" s="75"/>
      <c r="J135" s="75"/>
      <c r="K135" s="75"/>
      <c r="L135" s="53"/>
      <c r="M135" s="53"/>
      <c r="N135" s="53"/>
      <c r="O135" s="53"/>
      <c r="P135" s="53"/>
      <c r="Q135" s="53"/>
      <c r="R135" s="53"/>
      <c r="S135" s="53"/>
      <c r="T135" s="53"/>
      <c r="U135" s="53"/>
      <c r="V135" s="53"/>
      <c r="W135" s="53"/>
      <c r="X135" s="53"/>
      <c r="Y135" s="53"/>
      <c r="Z135" s="53"/>
      <c r="AA135" s="49"/>
      <c r="AB135" s="421"/>
      <c r="AC135" s="340"/>
      <c r="AD135" s="345"/>
      <c r="AE135" s="346"/>
      <c r="AF135" s="454"/>
      <c r="AG135" s="454"/>
      <c r="AI135" s="338"/>
    </row>
    <row r="136" spans="1:35" ht="15" customHeight="1" thickBot="1">
      <c r="A136" s="41" t="s">
        <v>703</v>
      </c>
      <c r="B136" s="42" t="s">
        <v>824</v>
      </c>
      <c r="C136" s="52"/>
      <c r="D136" s="52"/>
      <c r="E136" s="52"/>
      <c r="F136" s="52"/>
      <c r="G136" s="52"/>
      <c r="H136" s="52"/>
      <c r="I136" s="52"/>
      <c r="J136" s="52"/>
      <c r="K136" s="52"/>
      <c r="L136" s="52"/>
      <c r="M136" s="52"/>
      <c r="N136" s="52"/>
      <c r="O136" s="52"/>
      <c r="P136" s="52"/>
      <c r="Q136" s="52"/>
      <c r="R136" s="50">
        <f>('Zamfara Workings'!R136+'Katsina Workings'!R136+'Yobe Workings'!R136)</f>
        <v>4</v>
      </c>
      <c r="S136" s="51">
        <f>('Zamfara Workings'!S136+'Katsina Workings'!S136+'Yobe Workings'!S136)</f>
        <v>5</v>
      </c>
      <c r="T136" s="51">
        <f>('Zamfara Workings'!T136+'Katsina Workings'!T136+'Yobe Workings'!T136)</f>
        <v>6</v>
      </c>
      <c r="U136" s="51">
        <f>('Zamfara Workings'!U136+'Katsina Workings'!U136+'Yobe Workings'!U136)</f>
        <v>6.9999999999999991</v>
      </c>
      <c r="V136" s="51">
        <f>('Zamfara Workings'!V136+'Katsina Workings'!V136+'Yobe Workings'!V136)</f>
        <v>7.9999999999999991</v>
      </c>
      <c r="W136" s="51">
        <f>('Zamfara Workings'!W136+'Katsina Workings'!W136+'Yobe Workings'!W136)</f>
        <v>7.333333333333333</v>
      </c>
      <c r="X136" s="51">
        <f>('Zamfara Workings'!X136+'Katsina Workings'!X136+'Yobe Workings'!X136)</f>
        <v>8</v>
      </c>
      <c r="Y136" s="50">
        <f>('Zamfara Workings'!Y136+'Katsina Workings'!Y136+'Yobe Workings'!Y136)</f>
        <v>8</v>
      </c>
      <c r="Z136" s="51">
        <f>('Zamfara Workings'!Z136+'Katsina Workings'!Z136+'Yobe Workings'!Z136)</f>
        <v>8</v>
      </c>
      <c r="AA136" s="38">
        <f>'Yobe Workings'!AA136*3</f>
        <v>30</v>
      </c>
      <c r="AB136" s="457">
        <f>AA136/22</f>
        <v>1.3636363636363635</v>
      </c>
      <c r="AC136" s="340"/>
      <c r="AD136" s="451">
        <f>V136</f>
        <v>7.9999999999999991</v>
      </c>
      <c r="AE136" s="346"/>
      <c r="AF136" s="453">
        <f t="shared" ref="AF136:AG137" si="44">IF($AG$1=16,R136,IF($AG$1=17,S136,IF($AG$1=18,T136,IF($AG$1=19,U136,IF($AG$1=20,V136,IF($AG$1=21,W136,IF($AG$1=22,X136,0)))))))</f>
        <v>7.333333333333333</v>
      </c>
      <c r="AG136" s="453">
        <f t="shared" si="44"/>
        <v>8</v>
      </c>
      <c r="AI136" s="338"/>
    </row>
    <row r="137" spans="1:35" ht="15" customHeight="1" thickBot="1">
      <c r="A137" s="45"/>
      <c r="B137" s="46" t="s">
        <v>825</v>
      </c>
      <c r="C137" s="52"/>
      <c r="D137" s="52"/>
      <c r="E137" s="52"/>
      <c r="F137" s="52"/>
      <c r="G137" s="52"/>
      <c r="H137" s="52"/>
      <c r="I137" s="52"/>
      <c r="J137" s="52"/>
      <c r="K137" s="52"/>
      <c r="L137" s="52"/>
      <c r="M137" s="52"/>
      <c r="N137" s="52"/>
      <c r="O137" s="52"/>
      <c r="P137" s="52"/>
      <c r="Q137" s="52"/>
      <c r="R137" s="52">
        <f>('Zamfara Workings'!R137+'Katsina Workings'!R137+'Yobe Workings'!R137)</f>
        <v>4</v>
      </c>
      <c r="S137" s="442">
        <f>('Zamfara Workings'!S137+'Katsina Workings'!S137+'Yobe Workings'!S137)</f>
        <v>5</v>
      </c>
      <c r="T137" s="442">
        <f>('Zamfara Workings'!T137+'Katsina Workings'!T137+'Yobe Workings'!T137)</f>
        <v>6</v>
      </c>
      <c r="U137" s="442">
        <f>('Zamfara Workings'!U137+'Katsina Workings'!U137+'Yobe Workings'!U137)</f>
        <v>6</v>
      </c>
      <c r="V137" s="445">
        <f>('Zamfara Workings'!V137+'Katsina Workings'!V137+'Yobe Workings'!V137)</f>
        <v>6</v>
      </c>
      <c r="W137" s="72">
        <f>('Zamfara Workings'!W137+'Katsina Workings'!W137+'Yobe Workings'!W137)</f>
        <v>12</v>
      </c>
      <c r="X137" s="70">
        <f>('Zamfara Workings'!X137+'Katsina Workings'!X137+'Yobe Workings'!X137)</f>
        <v>12</v>
      </c>
      <c r="Y137" s="70">
        <f>('Zamfara Workings'!Y137+'Katsina Workings'!Y137+'Yobe Workings'!Y137)</f>
        <v>0</v>
      </c>
      <c r="Z137" s="70">
        <f>('Zamfara Workings'!Z137+'Katsina Workings'!Z137+'Yobe Workings'!Z137)</f>
        <v>0</v>
      </c>
      <c r="AA137" s="49"/>
      <c r="AB137" s="421"/>
      <c r="AC137" s="340"/>
      <c r="AD137" s="452">
        <f>V137</f>
        <v>6</v>
      </c>
      <c r="AE137" s="346"/>
      <c r="AF137" s="452">
        <f t="shared" si="44"/>
        <v>12</v>
      </c>
      <c r="AG137" s="452">
        <f t="shared" si="44"/>
        <v>12</v>
      </c>
      <c r="AH137" s="342">
        <f>AG137</f>
        <v>12</v>
      </c>
      <c r="AI137" s="342">
        <f>AG137</f>
        <v>12</v>
      </c>
    </row>
    <row r="138" spans="1:35" ht="15" customHeight="1">
      <c r="R138" s="455"/>
      <c r="S138" s="53"/>
      <c r="T138" s="53"/>
      <c r="U138" s="53"/>
      <c r="V138" s="53"/>
      <c r="W138" s="53"/>
      <c r="X138" s="53"/>
      <c r="Y138" s="53"/>
      <c r="Z138" s="53"/>
      <c r="AB138" s="420"/>
      <c r="AC138" s="340"/>
      <c r="AD138" s="345"/>
      <c r="AE138" s="346"/>
      <c r="AF138" s="454"/>
      <c r="AG138" s="454"/>
      <c r="AI138" s="338"/>
    </row>
    <row r="139" spans="1:35" ht="15" customHeight="1" thickBot="1">
      <c r="A139" s="41" t="s">
        <v>704</v>
      </c>
      <c r="B139" s="42" t="s">
        <v>826</v>
      </c>
      <c r="C139" s="52"/>
      <c r="D139" s="52"/>
      <c r="E139" s="52"/>
      <c r="F139" s="52"/>
      <c r="G139" s="52"/>
      <c r="H139" s="52"/>
      <c r="I139" s="52"/>
      <c r="J139" s="52"/>
      <c r="K139" s="52"/>
      <c r="L139" s="52"/>
      <c r="M139" s="52"/>
      <c r="N139" s="52"/>
      <c r="O139" s="52"/>
      <c r="P139" s="52"/>
      <c r="Q139" s="52"/>
      <c r="R139" s="50">
        <f>('Zamfara Workings'!R139+'Katsina Workings'!R139+'Yobe Workings'!R139)</f>
        <v>1</v>
      </c>
      <c r="S139" s="51">
        <f>('Zamfara Workings'!S139+'Katsina Workings'!S139+'Yobe Workings'!S139)</f>
        <v>1.8333333333333333</v>
      </c>
      <c r="T139" s="51">
        <f>('Zamfara Workings'!T139+'Katsina Workings'!T139+'Yobe Workings'!T139)</f>
        <v>2.6666666666666665</v>
      </c>
      <c r="U139" s="51">
        <f>('Zamfara Workings'!U139+'Katsina Workings'!U139+'Yobe Workings'!U139)</f>
        <v>3.5</v>
      </c>
      <c r="V139" s="51">
        <f>('Zamfara Workings'!V139+'Katsina Workings'!V139+'Yobe Workings'!V139)</f>
        <v>4.333333333333333</v>
      </c>
      <c r="W139" s="51">
        <f>('Zamfara Workings'!W139+'Katsina Workings'!W139+'Yobe Workings'!W139)</f>
        <v>5.1666666666666661</v>
      </c>
      <c r="X139" s="51">
        <f>('Zamfara Workings'!X139+'Katsina Workings'!X139+'Yobe Workings'!X139)</f>
        <v>6</v>
      </c>
      <c r="Y139" s="50">
        <f>('Zamfara Workings'!Y139+'Katsina Workings'!Y139+'Yobe Workings'!Y139)</f>
        <v>6</v>
      </c>
      <c r="Z139" s="51">
        <f>('Zamfara Workings'!Z139+'Katsina Workings'!Z139+'Yobe Workings'!Z139)</f>
        <v>6</v>
      </c>
      <c r="AA139" s="38">
        <f>'Yobe Workings'!AA139*3</f>
        <v>30</v>
      </c>
      <c r="AB139" s="457">
        <f>AA139/22</f>
        <v>1.3636363636363635</v>
      </c>
      <c r="AC139" s="340"/>
      <c r="AD139" s="451">
        <f>V139</f>
        <v>4.333333333333333</v>
      </c>
      <c r="AE139" s="346"/>
      <c r="AF139" s="453">
        <f t="shared" ref="AF139:AG140" si="45">IF($AG$1=16,R139,IF($AG$1=17,S139,IF($AG$1=18,T139,IF($AG$1=19,U139,IF($AG$1=20,V139,IF($AG$1=21,W139,IF($AG$1=22,X139,0)))))))</f>
        <v>5.1666666666666661</v>
      </c>
      <c r="AG139" s="453">
        <f t="shared" si="45"/>
        <v>6</v>
      </c>
      <c r="AI139" s="338"/>
    </row>
    <row r="140" spans="1:35" ht="15" customHeight="1" thickBot="1">
      <c r="A140" s="45"/>
      <c r="B140" s="46" t="s">
        <v>827</v>
      </c>
      <c r="C140" s="52"/>
      <c r="D140" s="52"/>
      <c r="E140" s="52"/>
      <c r="F140" s="52"/>
      <c r="G140" s="52"/>
      <c r="H140" s="52"/>
      <c r="I140" s="52"/>
      <c r="J140" s="52"/>
      <c r="K140" s="52"/>
      <c r="L140" s="52"/>
      <c r="M140" s="52"/>
      <c r="N140" s="52"/>
      <c r="O140" s="52"/>
      <c r="P140" s="52"/>
      <c r="Q140" s="52"/>
      <c r="R140" s="52">
        <f>('Zamfara Workings'!R140+'Katsina Workings'!R140+'Yobe Workings'!R140)</f>
        <v>1</v>
      </c>
      <c r="S140" s="442">
        <f>('Zamfara Workings'!S140+'Katsina Workings'!S140+'Yobe Workings'!S140)</f>
        <v>1</v>
      </c>
      <c r="T140" s="442">
        <f>('Zamfara Workings'!T140+'Katsina Workings'!T140+'Yobe Workings'!T140)</f>
        <v>2</v>
      </c>
      <c r="U140" s="442">
        <f>('Zamfara Workings'!U140+'Katsina Workings'!U140+'Yobe Workings'!U140)</f>
        <v>2</v>
      </c>
      <c r="V140" s="445">
        <f>('Zamfara Workings'!V140+'Katsina Workings'!V140+'Yobe Workings'!V140)</f>
        <v>10</v>
      </c>
      <c r="W140" s="72">
        <f>('Zamfara Workings'!W140+'Katsina Workings'!W140+'Yobe Workings'!W140)</f>
        <v>10</v>
      </c>
      <c r="X140" s="70">
        <f>('Zamfara Workings'!X140+'Katsina Workings'!X140+'Yobe Workings'!X140)</f>
        <v>10</v>
      </c>
      <c r="Y140" s="70">
        <f>('Zamfara Workings'!Y140+'Katsina Workings'!Y140+'Yobe Workings'!Y140)</f>
        <v>0</v>
      </c>
      <c r="Z140" s="70">
        <f>('Zamfara Workings'!Z140+'Katsina Workings'!Z140+'Yobe Workings'!Z140)</f>
        <v>0</v>
      </c>
      <c r="AA140" s="49"/>
      <c r="AB140" s="421"/>
      <c r="AC140" s="340"/>
      <c r="AD140" s="452">
        <f>V140</f>
        <v>10</v>
      </c>
      <c r="AE140" s="346"/>
      <c r="AF140" s="452">
        <f t="shared" si="45"/>
        <v>10</v>
      </c>
      <c r="AG140" s="452">
        <f t="shared" si="45"/>
        <v>10</v>
      </c>
      <c r="AH140" s="342">
        <f>AG140</f>
        <v>10</v>
      </c>
      <c r="AI140" s="342">
        <f>AG140</f>
        <v>10</v>
      </c>
    </row>
    <row r="141" spans="1:35" ht="15" customHeight="1">
      <c r="A141" s="45"/>
      <c r="B141" s="46"/>
      <c r="C141" s="53"/>
      <c r="D141" s="75"/>
      <c r="E141" s="75"/>
      <c r="F141" s="75"/>
      <c r="G141" s="75"/>
      <c r="H141" s="75"/>
      <c r="I141" s="75"/>
      <c r="J141" s="75"/>
      <c r="K141" s="75"/>
      <c r="L141" s="53"/>
      <c r="M141" s="53"/>
      <c r="N141" s="53"/>
      <c r="O141" s="53"/>
      <c r="P141" s="53"/>
      <c r="Q141" s="53"/>
      <c r="R141" s="53"/>
      <c r="S141" s="53"/>
      <c r="T141" s="53"/>
      <c r="U141" s="53"/>
      <c r="V141" s="53"/>
      <c r="W141" s="53"/>
      <c r="X141" s="53"/>
      <c r="Y141" s="53"/>
      <c r="Z141" s="53"/>
      <c r="AA141" s="49"/>
      <c r="AB141" s="421"/>
      <c r="AC141" s="340"/>
      <c r="AD141" s="346"/>
      <c r="AE141" s="346"/>
      <c r="AF141" s="346"/>
      <c r="AG141" s="346"/>
      <c r="AI141" s="338"/>
    </row>
    <row r="142" spans="1:35" ht="15" customHeight="1" thickBot="1">
      <c r="A142" s="41" t="s">
        <v>705</v>
      </c>
      <c r="B142" s="42" t="s">
        <v>828</v>
      </c>
      <c r="C142" s="52"/>
      <c r="D142" s="52"/>
      <c r="E142" s="52"/>
      <c r="F142" s="52"/>
      <c r="G142" s="52"/>
      <c r="H142" s="52"/>
      <c r="I142" s="52"/>
      <c r="J142" s="52"/>
      <c r="K142" s="52"/>
      <c r="L142" s="52"/>
      <c r="M142" s="52"/>
      <c r="N142" s="52"/>
      <c r="O142" s="52"/>
      <c r="P142" s="52"/>
      <c r="Q142" s="52"/>
      <c r="R142" s="50">
        <f>('Zamfara Workings'!R142+'Katsina Workings'!R142+'Yobe Workings'!R142)</f>
        <v>0</v>
      </c>
      <c r="S142" s="51">
        <f>('Zamfara Workings'!S142+'Katsina Workings'!S142+'Yobe Workings'!S142)</f>
        <v>0.33333333333333331</v>
      </c>
      <c r="T142" s="51">
        <f>('Zamfara Workings'!T142+'Katsina Workings'!T142+'Yobe Workings'!T142)</f>
        <v>0.66666666666666663</v>
      </c>
      <c r="U142" s="51">
        <f>('Zamfara Workings'!U142+'Katsina Workings'!U142+'Yobe Workings'!U142)</f>
        <v>1</v>
      </c>
      <c r="V142" s="51">
        <f>('Zamfara Workings'!V142+'Katsina Workings'!V142+'Yobe Workings'!V142)</f>
        <v>1.3333333333333333</v>
      </c>
      <c r="W142" s="51">
        <f>('Zamfara Workings'!W142+'Katsina Workings'!W142+'Yobe Workings'!W142)</f>
        <v>1.6666666666666665</v>
      </c>
      <c r="X142" s="51">
        <f>('Zamfara Workings'!X142+'Katsina Workings'!X142+'Yobe Workings'!X142)</f>
        <v>1.9999999999999998</v>
      </c>
      <c r="Y142" s="50">
        <f>('Zamfara Workings'!Y142+'Katsina Workings'!Y142+'Yobe Workings'!Y142)</f>
        <v>2</v>
      </c>
      <c r="Z142" s="51">
        <f>('Zamfara Workings'!Z142+'Katsina Workings'!Z142+'Yobe Workings'!Z142)</f>
        <v>2</v>
      </c>
      <c r="AA142" s="38">
        <f>'Yobe Workings'!AA142*3</f>
        <v>15</v>
      </c>
      <c r="AB142" s="457">
        <f>AA142/22</f>
        <v>0.68181818181818177</v>
      </c>
      <c r="AC142" s="340"/>
      <c r="AD142" s="451">
        <f>V142</f>
        <v>1.3333333333333333</v>
      </c>
      <c r="AE142" s="346"/>
      <c r="AF142" s="453">
        <f t="shared" ref="AF142:AG143" si="46">IF($AG$1=16,R142,IF($AG$1=17,S142,IF($AG$1=18,T142,IF($AG$1=19,U142,IF($AG$1=20,V142,IF($AG$1=21,W142,IF($AG$1=22,X142,0)))))))</f>
        <v>1.6666666666666665</v>
      </c>
      <c r="AG142" s="453">
        <f t="shared" si="46"/>
        <v>1.9999999999999998</v>
      </c>
      <c r="AI142" s="338"/>
    </row>
    <row r="143" spans="1:35" ht="15" customHeight="1" thickBot="1">
      <c r="A143" s="45"/>
      <c r="B143" s="46" t="s">
        <v>829</v>
      </c>
      <c r="C143" s="52"/>
      <c r="D143" s="52"/>
      <c r="E143" s="52"/>
      <c r="F143" s="52"/>
      <c r="G143" s="52"/>
      <c r="H143" s="52"/>
      <c r="I143" s="52"/>
      <c r="J143" s="52"/>
      <c r="K143" s="52"/>
      <c r="L143" s="52"/>
      <c r="M143" s="52"/>
      <c r="N143" s="52"/>
      <c r="O143" s="52"/>
      <c r="P143" s="52"/>
      <c r="Q143" s="52"/>
      <c r="R143" s="52">
        <f>('Zamfara Workings'!R143+'Katsina Workings'!R143+'Yobe Workings'!R143)</f>
        <v>0</v>
      </c>
      <c r="S143" s="442">
        <f>('Zamfara Workings'!S143+'Katsina Workings'!S143+'Yobe Workings'!S143)</f>
        <v>0</v>
      </c>
      <c r="T143" s="442">
        <f>('Zamfara Workings'!T143+'Katsina Workings'!T143+'Yobe Workings'!T143)</f>
        <v>0</v>
      </c>
      <c r="U143" s="442">
        <f>('Zamfara Workings'!U143+'Katsina Workings'!U143+'Yobe Workings'!U143)</f>
        <v>0</v>
      </c>
      <c r="V143" s="445">
        <f>('Zamfara Workings'!V143+'Katsina Workings'!V143+'Yobe Workings'!V143)</f>
        <v>0</v>
      </c>
      <c r="W143" s="72">
        <f>('Zamfara Workings'!W143+'Katsina Workings'!W143+'Yobe Workings'!W143)</f>
        <v>0</v>
      </c>
      <c r="X143" s="70">
        <f>('Zamfara Workings'!X143+'Katsina Workings'!X143+'Yobe Workings'!X143)</f>
        <v>1</v>
      </c>
      <c r="Y143" s="70">
        <f>('Zamfara Workings'!Y143+'Katsina Workings'!Y143+'Yobe Workings'!Y143)</f>
        <v>0</v>
      </c>
      <c r="Z143" s="70">
        <f>('Zamfara Workings'!Z143+'Katsina Workings'!Z143+'Yobe Workings'!Z143)</f>
        <v>0</v>
      </c>
      <c r="AA143" s="49"/>
      <c r="AB143" s="421"/>
      <c r="AC143" s="340"/>
      <c r="AD143" s="452">
        <f>V143</f>
        <v>0</v>
      </c>
      <c r="AE143" s="346"/>
      <c r="AF143" s="452">
        <f t="shared" si="46"/>
        <v>0</v>
      </c>
      <c r="AG143" s="452">
        <f t="shared" si="46"/>
        <v>1</v>
      </c>
      <c r="AH143" s="342">
        <f>AG143</f>
        <v>1</v>
      </c>
      <c r="AI143" s="342">
        <f>AG143</f>
        <v>1</v>
      </c>
    </row>
    <row r="144" spans="1:35" ht="15" customHeight="1">
      <c r="A144" s="45"/>
      <c r="B144" s="46"/>
      <c r="C144" s="53"/>
      <c r="D144" s="75"/>
      <c r="E144" s="75"/>
      <c r="F144" s="75"/>
      <c r="G144" s="75"/>
      <c r="H144" s="75"/>
      <c r="I144" s="75"/>
      <c r="J144" s="75"/>
      <c r="K144" s="75"/>
      <c r="L144" s="53"/>
      <c r="M144" s="53"/>
      <c r="N144" s="53"/>
      <c r="O144" s="53"/>
      <c r="P144" s="53"/>
      <c r="Q144" s="53"/>
      <c r="R144" s="53"/>
      <c r="S144" s="53"/>
      <c r="T144" s="53"/>
      <c r="U144" s="53"/>
      <c r="V144" s="53"/>
      <c r="W144" s="53"/>
      <c r="X144" s="53"/>
      <c r="Y144" s="53"/>
      <c r="Z144" s="53"/>
      <c r="AA144" s="49"/>
      <c r="AB144" s="421"/>
      <c r="AC144" s="340"/>
      <c r="AD144" s="345"/>
      <c r="AE144" s="346"/>
      <c r="AF144" s="454"/>
      <c r="AG144" s="454"/>
      <c r="AI144" s="338"/>
    </row>
    <row r="145" spans="1:35" ht="15" customHeight="1" thickBot="1">
      <c r="A145" s="41" t="s">
        <v>706</v>
      </c>
      <c r="B145" s="42" t="s">
        <v>830</v>
      </c>
      <c r="C145" s="52"/>
      <c r="D145" s="52"/>
      <c r="E145" s="52"/>
      <c r="F145" s="52"/>
      <c r="G145" s="52"/>
      <c r="H145" s="52"/>
      <c r="I145" s="52"/>
      <c r="J145" s="52"/>
      <c r="K145" s="52"/>
      <c r="L145" s="52"/>
      <c r="M145" s="52"/>
      <c r="N145" s="52"/>
      <c r="O145" s="52"/>
      <c r="P145" s="52"/>
      <c r="Q145" s="52"/>
      <c r="R145" s="50">
        <f>('Zamfara Workings'!R145+'Katsina Workings'!R145+'Yobe Workings'!R145)</f>
        <v>0</v>
      </c>
      <c r="S145" s="51">
        <f>('Zamfara Workings'!S145+'Katsina Workings'!S145+'Yobe Workings'!S145)</f>
        <v>0</v>
      </c>
      <c r="T145" s="51">
        <f>('Zamfara Workings'!T145+'Katsina Workings'!T145+'Yobe Workings'!T145)</f>
        <v>0</v>
      </c>
      <c r="U145" s="51">
        <f>('Zamfara Workings'!U145+'Katsina Workings'!U145+'Yobe Workings'!U145)</f>
        <v>0</v>
      </c>
      <c r="V145" s="51">
        <f>('Zamfara Workings'!V145+'Katsina Workings'!V145+'Yobe Workings'!V145)</f>
        <v>0</v>
      </c>
      <c r="W145" s="51">
        <f>('Zamfara Workings'!W145+'Katsina Workings'!W145+'Yobe Workings'!W145)</f>
        <v>0</v>
      </c>
      <c r="X145" s="51">
        <f>('Zamfara Workings'!X145+'Katsina Workings'!X145+'Yobe Workings'!X145)</f>
        <v>0</v>
      </c>
      <c r="Y145" s="50">
        <f>('Zamfara Workings'!Y145+'Katsina Workings'!Y145+'Yobe Workings'!Y145)</f>
        <v>0</v>
      </c>
      <c r="Z145" s="51">
        <f>('Zamfara Workings'!Z145+'Katsina Workings'!Z145+'Yobe Workings'!Z145)</f>
        <v>0</v>
      </c>
      <c r="AA145" s="38">
        <f>'Yobe Workings'!AA145*3</f>
        <v>15</v>
      </c>
      <c r="AB145" s="457">
        <f>AA145/22</f>
        <v>0.68181818181818177</v>
      </c>
      <c r="AC145" s="340"/>
      <c r="AD145" s="451">
        <f>V145</f>
        <v>0</v>
      </c>
      <c r="AE145" s="346"/>
      <c r="AF145" s="453">
        <f t="shared" ref="AF145:AG146" si="47">IF($AG$1=16,R145,IF($AG$1=17,S145,IF($AG$1=18,T145,IF($AG$1=19,U145,IF($AG$1=20,V145,IF($AG$1=21,W145,IF($AG$1=22,X145,0)))))))</f>
        <v>0</v>
      </c>
      <c r="AG145" s="453">
        <f t="shared" si="47"/>
        <v>0</v>
      </c>
      <c r="AI145" s="338"/>
    </row>
    <row r="146" spans="1:35" ht="15" customHeight="1" thickBot="1">
      <c r="A146" s="45"/>
      <c r="B146" s="46" t="s">
        <v>831</v>
      </c>
      <c r="C146" s="52"/>
      <c r="D146" s="52"/>
      <c r="E146" s="52"/>
      <c r="F146" s="52"/>
      <c r="G146" s="52"/>
      <c r="H146" s="52"/>
      <c r="I146" s="52"/>
      <c r="J146" s="52"/>
      <c r="K146" s="52"/>
      <c r="L146" s="52"/>
      <c r="M146" s="52"/>
      <c r="N146" s="52"/>
      <c r="O146" s="52"/>
      <c r="P146" s="52"/>
      <c r="Q146" s="52"/>
      <c r="R146" s="52">
        <f>('Zamfara Workings'!R146+'Katsina Workings'!R146+'Yobe Workings'!R146)</f>
        <v>0</v>
      </c>
      <c r="S146" s="442">
        <f>('Zamfara Workings'!S146+'Katsina Workings'!S146+'Yobe Workings'!S146)</f>
        <v>0</v>
      </c>
      <c r="T146" s="442">
        <f>('Zamfara Workings'!T146+'Katsina Workings'!T146+'Yobe Workings'!T146)</f>
        <v>0</v>
      </c>
      <c r="U146" s="442">
        <f>('Zamfara Workings'!U146+'Katsina Workings'!U146+'Yobe Workings'!U146)</f>
        <v>0</v>
      </c>
      <c r="V146" s="445">
        <f>('Zamfara Workings'!V146+'Katsina Workings'!V146+'Yobe Workings'!V146)</f>
        <v>0</v>
      </c>
      <c r="W146" s="72">
        <f>('Zamfara Workings'!W146+'Katsina Workings'!W146+'Yobe Workings'!W146)</f>
        <v>0</v>
      </c>
      <c r="X146" s="70">
        <f>('Zamfara Workings'!X146+'Katsina Workings'!X146+'Yobe Workings'!X146)</f>
        <v>1</v>
      </c>
      <c r="Y146" s="70">
        <f>('Zamfara Workings'!Y146+'Katsina Workings'!Y146+'Yobe Workings'!Y146)</f>
        <v>0</v>
      </c>
      <c r="Z146" s="70">
        <f>('Zamfara Workings'!Z146+'Katsina Workings'!Z146+'Yobe Workings'!Z146)</f>
        <v>0</v>
      </c>
      <c r="AA146" s="49"/>
      <c r="AB146" s="421"/>
      <c r="AC146" s="340"/>
      <c r="AD146" s="452">
        <f>V146</f>
        <v>0</v>
      </c>
      <c r="AE146" s="346"/>
      <c r="AF146" s="452">
        <f t="shared" si="47"/>
        <v>0</v>
      </c>
      <c r="AG146" s="452">
        <f t="shared" si="47"/>
        <v>1</v>
      </c>
      <c r="AH146" s="342">
        <f>AG146</f>
        <v>1</v>
      </c>
      <c r="AI146" s="342">
        <f>AG146</f>
        <v>1</v>
      </c>
    </row>
    <row r="147" spans="1:35" ht="15" customHeight="1">
      <c r="A147" s="45"/>
      <c r="B147" s="46"/>
      <c r="C147" s="53"/>
      <c r="D147" s="75"/>
      <c r="E147" s="75"/>
      <c r="F147" s="75"/>
      <c r="G147" s="75"/>
      <c r="H147" s="75"/>
      <c r="I147" s="75"/>
      <c r="J147" s="75"/>
      <c r="K147" s="75"/>
      <c r="L147" s="53"/>
      <c r="M147" s="53"/>
      <c r="N147" s="53"/>
      <c r="O147" s="53"/>
      <c r="P147" s="53"/>
      <c r="Q147" s="53"/>
      <c r="R147" s="53"/>
      <c r="S147" s="48"/>
      <c r="T147" s="48"/>
      <c r="U147" s="48"/>
      <c r="V147" s="48"/>
      <c r="W147" s="48"/>
      <c r="X147" s="48"/>
      <c r="Y147" s="48"/>
      <c r="Z147" s="48"/>
      <c r="AA147" s="49"/>
      <c r="AB147" s="421"/>
      <c r="AI147" s="338"/>
    </row>
    <row r="148" spans="1:35" ht="15" customHeight="1">
      <c r="A148" s="38"/>
      <c r="AI148" s="338"/>
    </row>
    <row r="149" spans="1:35" ht="15" customHeight="1">
      <c r="C149" s="55" t="s">
        <v>194</v>
      </c>
      <c r="D149" s="431"/>
      <c r="E149" s="432"/>
      <c r="F149" s="433"/>
    </row>
    <row r="150" spans="1:35" ht="15" customHeight="1">
      <c r="C150" s="55" t="s">
        <v>195</v>
      </c>
      <c r="D150" s="434" t="s">
        <v>196</v>
      </c>
      <c r="E150" s="435" t="s">
        <v>153</v>
      </c>
      <c r="F150" s="435" t="s">
        <v>154</v>
      </c>
      <c r="G150" s="435" t="s">
        <v>158</v>
      </c>
      <c r="H150" s="434" t="s">
        <v>197</v>
      </c>
    </row>
    <row r="151" spans="1:35" ht="15" customHeight="1">
      <c r="C151" s="55"/>
      <c r="D151" s="434"/>
      <c r="E151" s="435"/>
      <c r="F151" s="435"/>
      <c r="G151" s="435"/>
      <c r="H151" s="434"/>
    </row>
    <row r="152" spans="1:35" ht="15" customHeight="1"/>
    <row r="153" spans="1:35" ht="15" customHeight="1">
      <c r="A153" s="1356" t="s">
        <v>727</v>
      </c>
      <c r="B153" s="1356"/>
    </row>
    <row r="154" spans="1:35" ht="15" customHeight="1">
      <c r="A154" s="1356"/>
      <c r="B154" s="1356"/>
    </row>
    <row r="155" spans="1:35" ht="15" customHeight="1">
      <c r="A155" s="1356"/>
      <c r="B155" s="1356"/>
    </row>
    <row r="156" spans="1:35" ht="15" customHeight="1">
      <c r="A156" s="1356"/>
      <c r="B156" s="1356"/>
    </row>
    <row r="157" spans="1:35" ht="15" customHeight="1">
      <c r="A157" s="1356"/>
      <c r="B157" s="1356"/>
    </row>
  </sheetData>
  <sheetProtection password="CB23" sheet="1" objects="1" scenarios="1" selectLockedCells="1"/>
  <mergeCells count="7">
    <mergeCell ref="W1:Z1"/>
    <mergeCell ref="S1:V1"/>
    <mergeCell ref="A153:B157"/>
    <mergeCell ref="D1:G1"/>
    <mergeCell ref="H1:K1"/>
    <mergeCell ref="L1:N1"/>
    <mergeCell ref="O1:R1"/>
  </mergeCells>
  <conditionalFormatting sqref="AH5">
    <cfRule type="iconSet" priority="381">
      <iconSet iconSet="5ArrowsGray" showValue="0">
        <cfvo type="percent" val="0"/>
        <cfvo type="formula" val="$AF$5-$AB$4" gte="0"/>
        <cfvo type="formula" val="$AF$5"/>
        <cfvo type="formula" val="$AF$5" gte="0"/>
        <cfvo type="formula" val="$AF$5+$AB$4"/>
      </iconSet>
    </cfRule>
  </conditionalFormatting>
  <conditionalFormatting sqref="AH5">
    <cfRule type="cellIs" dxfId="1127" priority="382" stopIfTrue="1" operator="greaterThanOrEqual">
      <formula>AG4</formula>
    </cfRule>
    <cfRule type="cellIs" dxfId="1126" priority="384" stopIfTrue="1" operator="lessThan">
      <formula>AG4</formula>
    </cfRule>
  </conditionalFormatting>
  <conditionalFormatting sqref="AH5">
    <cfRule type="cellIs" dxfId="1125" priority="383" stopIfTrue="1" operator="lessThan">
      <formula>AD4</formula>
    </cfRule>
  </conditionalFormatting>
  <conditionalFormatting sqref="AI5">
    <cfRule type="iconSet" priority="377">
      <iconSet iconSet="5ArrowsGray" showValue="0">
        <cfvo type="percent" val="0"/>
        <cfvo type="formula" val="$AF$5-$AB$4" gte="0"/>
        <cfvo type="formula" val="$AF$5"/>
        <cfvo type="formula" val="$AF$5" gte="0"/>
        <cfvo type="formula" val="$AF$5+$AB$4"/>
      </iconSet>
    </cfRule>
  </conditionalFormatting>
  <conditionalFormatting sqref="AI5">
    <cfRule type="cellIs" dxfId="1124" priority="378" stopIfTrue="1" operator="greaterThanOrEqual">
      <formula>AG4</formula>
    </cfRule>
    <cfRule type="cellIs" dxfId="1123" priority="380" stopIfTrue="1" operator="lessThan">
      <formula>AG4</formula>
    </cfRule>
  </conditionalFormatting>
  <conditionalFormatting sqref="AI5">
    <cfRule type="cellIs" dxfId="1122" priority="379" stopIfTrue="1" operator="lessThanOrEqual">
      <formula>AD4</formula>
    </cfRule>
  </conditionalFormatting>
  <conditionalFormatting sqref="AH8">
    <cfRule type="iconSet" priority="373">
      <iconSet iconSet="5ArrowsGray" showValue="0">
        <cfvo type="percent" val="0"/>
        <cfvo type="formula" val="$AF$8-$AB$7" gte="0"/>
        <cfvo type="formula" val="$AF$8"/>
        <cfvo type="formula" val="$AF$8" gte="0"/>
        <cfvo type="formula" val="$AF$8+$AB$7"/>
      </iconSet>
    </cfRule>
  </conditionalFormatting>
  <conditionalFormatting sqref="AH8">
    <cfRule type="cellIs" dxfId="1121" priority="374" stopIfTrue="1" operator="greaterThanOrEqual">
      <formula>AG7</formula>
    </cfRule>
    <cfRule type="cellIs" dxfId="1120" priority="376" stopIfTrue="1" operator="lessThan">
      <formula>AG7</formula>
    </cfRule>
  </conditionalFormatting>
  <conditionalFormatting sqref="AH8">
    <cfRule type="cellIs" dxfId="1119" priority="375" stopIfTrue="1" operator="lessThan">
      <formula>AD7</formula>
    </cfRule>
  </conditionalFormatting>
  <conditionalFormatting sqref="AI8">
    <cfRule type="iconSet" priority="369">
      <iconSet iconSet="5ArrowsGray" showValue="0">
        <cfvo type="percent" val="0"/>
        <cfvo type="formula" val="$AF$8-$AB$7" gte="0"/>
        <cfvo type="formula" val="$AF$8"/>
        <cfvo type="formula" val="$AF$8" gte="0"/>
        <cfvo type="formula" val="$AF$8+$AB$7"/>
      </iconSet>
    </cfRule>
  </conditionalFormatting>
  <conditionalFormatting sqref="AI8">
    <cfRule type="cellIs" dxfId="1118" priority="370" stopIfTrue="1" operator="greaterThanOrEqual">
      <formula>AG7</formula>
    </cfRule>
    <cfRule type="cellIs" dxfId="1117" priority="372" stopIfTrue="1" operator="lessThan">
      <formula>AG7</formula>
    </cfRule>
  </conditionalFormatting>
  <conditionalFormatting sqref="AI8">
    <cfRule type="cellIs" dxfId="1116" priority="371" stopIfTrue="1" operator="lessThanOrEqual">
      <formula>AD7</formula>
    </cfRule>
  </conditionalFormatting>
  <conditionalFormatting sqref="AH11">
    <cfRule type="iconSet" priority="365">
      <iconSet iconSet="5ArrowsGray" showValue="0">
        <cfvo type="percent" val="0"/>
        <cfvo type="formula" val="$AF$11-$AB$10" gte="0"/>
        <cfvo type="formula" val="$AF$11"/>
        <cfvo type="formula" val="$AF$11" gte="0"/>
        <cfvo type="formula" val="$AF$11+$AB$10"/>
      </iconSet>
    </cfRule>
  </conditionalFormatting>
  <conditionalFormatting sqref="AH11">
    <cfRule type="cellIs" dxfId="1115" priority="366" stopIfTrue="1" operator="greaterThanOrEqual">
      <formula>AG10</formula>
    </cfRule>
    <cfRule type="cellIs" dxfId="1114" priority="368" stopIfTrue="1" operator="lessThan">
      <formula>AG10</formula>
    </cfRule>
  </conditionalFormatting>
  <conditionalFormatting sqref="AH11">
    <cfRule type="cellIs" dxfId="1113" priority="367" stopIfTrue="1" operator="lessThan">
      <formula>AD10</formula>
    </cfRule>
  </conditionalFormatting>
  <conditionalFormatting sqref="AI11">
    <cfRule type="iconSet" priority="361">
      <iconSet iconSet="5ArrowsGray" showValue="0">
        <cfvo type="percent" val="0"/>
        <cfvo type="formula" val="$AF$11-$AB$10" gte="0"/>
        <cfvo type="formula" val="$AF$11"/>
        <cfvo type="formula" val="$AF$11" gte="0"/>
        <cfvo type="formula" val="$AF$11+$AB$10"/>
      </iconSet>
    </cfRule>
  </conditionalFormatting>
  <conditionalFormatting sqref="AI11">
    <cfRule type="cellIs" dxfId="1112" priority="362" stopIfTrue="1" operator="greaterThanOrEqual">
      <formula>AG10</formula>
    </cfRule>
    <cfRule type="cellIs" dxfId="1111" priority="364" stopIfTrue="1" operator="lessThan">
      <formula>AG10</formula>
    </cfRule>
  </conditionalFormatting>
  <conditionalFormatting sqref="AI11">
    <cfRule type="cellIs" dxfId="1110" priority="363" stopIfTrue="1" operator="lessThanOrEqual">
      <formula>AD10</formula>
    </cfRule>
  </conditionalFormatting>
  <conditionalFormatting sqref="AH14">
    <cfRule type="iconSet" priority="357">
      <iconSet iconSet="5ArrowsGray" showValue="0">
        <cfvo type="percent" val="0"/>
        <cfvo type="formula" val="$AF$14-$AB$13" gte="0"/>
        <cfvo type="formula" val="$AF$14"/>
        <cfvo type="formula" val="$AF$14" gte="0"/>
        <cfvo type="formula" val="$AF$14+$AB$13"/>
      </iconSet>
    </cfRule>
  </conditionalFormatting>
  <conditionalFormatting sqref="AH14">
    <cfRule type="cellIs" dxfId="1109" priority="358" stopIfTrue="1" operator="greaterThanOrEqual">
      <formula>AG13</formula>
    </cfRule>
    <cfRule type="cellIs" dxfId="1108" priority="360" stopIfTrue="1" operator="lessThan">
      <formula>AG13</formula>
    </cfRule>
  </conditionalFormatting>
  <conditionalFormatting sqref="AH14">
    <cfRule type="cellIs" dxfId="1107" priority="359" stopIfTrue="1" operator="lessThan">
      <formula>AD13</formula>
    </cfRule>
  </conditionalFormatting>
  <conditionalFormatting sqref="AI14">
    <cfRule type="iconSet" priority="353">
      <iconSet iconSet="5ArrowsGray" showValue="0">
        <cfvo type="percent" val="0"/>
        <cfvo type="formula" val="$AF$14-$AB$13" gte="0"/>
        <cfvo type="formula" val="$AF$14"/>
        <cfvo type="formula" val="$AF$14" gte="0"/>
        <cfvo type="formula" val="$AF$14+$AB$13"/>
      </iconSet>
    </cfRule>
  </conditionalFormatting>
  <conditionalFormatting sqref="AI14">
    <cfRule type="cellIs" dxfId="1106" priority="354" stopIfTrue="1" operator="greaterThanOrEqual">
      <formula>AG13</formula>
    </cfRule>
    <cfRule type="cellIs" dxfId="1105" priority="356" stopIfTrue="1" operator="lessThan">
      <formula>AG13</formula>
    </cfRule>
  </conditionalFormatting>
  <conditionalFormatting sqref="AI14">
    <cfRule type="cellIs" dxfId="1104" priority="355" stopIfTrue="1" operator="lessThanOrEqual">
      <formula>AD13</formula>
    </cfRule>
  </conditionalFormatting>
  <conditionalFormatting sqref="AH17">
    <cfRule type="iconSet" priority="349">
      <iconSet iconSet="5ArrowsGray" showValue="0">
        <cfvo type="percent" val="0"/>
        <cfvo type="formula" val="$AF$17-$AB$16" gte="0"/>
        <cfvo type="formula" val="$AF$17"/>
        <cfvo type="formula" val="$AF$17" gte="0"/>
        <cfvo type="formula" val="$AF$17+$AB$16"/>
      </iconSet>
    </cfRule>
  </conditionalFormatting>
  <conditionalFormatting sqref="AH17">
    <cfRule type="cellIs" dxfId="1103" priority="350" stopIfTrue="1" operator="greaterThanOrEqual">
      <formula>AG16</formula>
    </cfRule>
    <cfRule type="cellIs" dxfId="1102" priority="352" stopIfTrue="1" operator="lessThan">
      <formula>AG16</formula>
    </cfRule>
  </conditionalFormatting>
  <conditionalFormatting sqref="AH17">
    <cfRule type="cellIs" dxfId="1101" priority="351" stopIfTrue="1" operator="lessThan">
      <formula>AD16</formula>
    </cfRule>
  </conditionalFormatting>
  <conditionalFormatting sqref="AI17">
    <cfRule type="iconSet" priority="345">
      <iconSet iconSet="5ArrowsGray" showValue="0">
        <cfvo type="percent" val="0"/>
        <cfvo type="formula" val="$AF$17-$AB$16" gte="0"/>
        <cfvo type="formula" val="$AF$17"/>
        <cfvo type="formula" val="$AF$17" gte="0"/>
        <cfvo type="formula" val="$AF$17+$AB$16"/>
      </iconSet>
    </cfRule>
  </conditionalFormatting>
  <conditionalFormatting sqref="AI17">
    <cfRule type="cellIs" dxfId="1100" priority="346" stopIfTrue="1" operator="greaterThanOrEqual">
      <formula>AG16</formula>
    </cfRule>
    <cfRule type="cellIs" dxfId="1099" priority="348" stopIfTrue="1" operator="lessThan">
      <formula>AG16</formula>
    </cfRule>
  </conditionalFormatting>
  <conditionalFormatting sqref="AI17">
    <cfRule type="cellIs" dxfId="1098" priority="347" stopIfTrue="1" operator="lessThanOrEqual">
      <formula>AD16</formula>
    </cfRule>
  </conditionalFormatting>
  <conditionalFormatting sqref="AH20">
    <cfRule type="iconSet" priority="341">
      <iconSet iconSet="5ArrowsGray" showValue="0">
        <cfvo type="percent" val="0"/>
        <cfvo type="formula" val="$AF$20-$AB$19" gte="0"/>
        <cfvo type="formula" val="$AF$20"/>
        <cfvo type="formula" val="$AF$20" gte="0"/>
        <cfvo type="formula" val="$AF$20+$AB$19"/>
      </iconSet>
    </cfRule>
  </conditionalFormatting>
  <conditionalFormatting sqref="AH20">
    <cfRule type="cellIs" dxfId="1097" priority="342" stopIfTrue="1" operator="greaterThanOrEqual">
      <formula>AG19</formula>
    </cfRule>
    <cfRule type="cellIs" dxfId="1096" priority="344" stopIfTrue="1" operator="lessThan">
      <formula>AG19</formula>
    </cfRule>
  </conditionalFormatting>
  <conditionalFormatting sqref="AH20">
    <cfRule type="cellIs" dxfId="1095" priority="343" stopIfTrue="1" operator="lessThan">
      <formula>AD19</formula>
    </cfRule>
  </conditionalFormatting>
  <conditionalFormatting sqref="AI20">
    <cfRule type="iconSet" priority="337">
      <iconSet iconSet="5ArrowsGray" showValue="0">
        <cfvo type="percent" val="0"/>
        <cfvo type="formula" val="$AF$20-$AB$19" gte="0"/>
        <cfvo type="formula" val="$AF$20"/>
        <cfvo type="formula" val="$AF$20" gte="0"/>
        <cfvo type="formula" val="$AF$20+$AB$19"/>
      </iconSet>
    </cfRule>
  </conditionalFormatting>
  <conditionalFormatting sqref="AI20">
    <cfRule type="cellIs" dxfId="1094" priority="338" stopIfTrue="1" operator="greaterThanOrEqual">
      <formula>AG19</formula>
    </cfRule>
    <cfRule type="cellIs" dxfId="1093" priority="340" stopIfTrue="1" operator="lessThan">
      <formula>AG19</formula>
    </cfRule>
  </conditionalFormatting>
  <conditionalFormatting sqref="AI20">
    <cfRule type="cellIs" dxfId="1092" priority="339" stopIfTrue="1" operator="lessThanOrEqual">
      <formula>AD19</formula>
    </cfRule>
  </conditionalFormatting>
  <conditionalFormatting sqref="AH23">
    <cfRule type="iconSet" priority="333">
      <iconSet iconSet="5ArrowsGray" showValue="0">
        <cfvo type="percent" val="0"/>
        <cfvo type="formula" val="$AF$23-$AB$22" gte="0"/>
        <cfvo type="formula" val="$AF$23"/>
        <cfvo type="formula" val="$AF$23" gte="0"/>
        <cfvo type="formula" val="$AF$23+$AB$22"/>
      </iconSet>
    </cfRule>
  </conditionalFormatting>
  <conditionalFormatting sqref="AH23">
    <cfRule type="cellIs" dxfId="1091" priority="334" stopIfTrue="1" operator="greaterThanOrEqual">
      <formula>AG22</formula>
    </cfRule>
    <cfRule type="cellIs" dxfId="1090" priority="336" stopIfTrue="1" operator="lessThan">
      <formula>AG22</formula>
    </cfRule>
  </conditionalFormatting>
  <conditionalFormatting sqref="AH23">
    <cfRule type="cellIs" dxfId="1089" priority="335" stopIfTrue="1" operator="lessThan">
      <formula>AD22</formula>
    </cfRule>
  </conditionalFormatting>
  <conditionalFormatting sqref="AI23">
    <cfRule type="iconSet" priority="329">
      <iconSet iconSet="5ArrowsGray" showValue="0">
        <cfvo type="percent" val="0"/>
        <cfvo type="formula" val="$AF$23-$AB$22" gte="0"/>
        <cfvo type="formula" val="$AF$23"/>
        <cfvo type="formula" val="$AF$23" gte="0"/>
        <cfvo type="formula" val="$AF$23+$AB$22"/>
      </iconSet>
    </cfRule>
  </conditionalFormatting>
  <conditionalFormatting sqref="AI23">
    <cfRule type="cellIs" dxfId="1088" priority="330" stopIfTrue="1" operator="greaterThanOrEqual">
      <formula>AG22</formula>
    </cfRule>
    <cfRule type="cellIs" dxfId="1087" priority="332" stopIfTrue="1" operator="lessThan">
      <formula>AG22</formula>
    </cfRule>
  </conditionalFormatting>
  <conditionalFormatting sqref="AI23">
    <cfRule type="cellIs" dxfId="1086" priority="331" stopIfTrue="1" operator="lessThanOrEqual">
      <formula>AD22</formula>
    </cfRule>
  </conditionalFormatting>
  <conditionalFormatting sqref="AH26">
    <cfRule type="iconSet" priority="325">
      <iconSet iconSet="5ArrowsGray" showValue="0">
        <cfvo type="percent" val="0"/>
        <cfvo type="formula" val="$AF$26-$AB$25" gte="0"/>
        <cfvo type="formula" val="$AF$26"/>
        <cfvo type="formula" val="$AF$26" gte="0"/>
        <cfvo type="formula" val="$AF$26+$AB$25"/>
      </iconSet>
    </cfRule>
  </conditionalFormatting>
  <conditionalFormatting sqref="AH26">
    <cfRule type="cellIs" dxfId="1085" priority="326" stopIfTrue="1" operator="greaterThanOrEqual">
      <formula>AG25</formula>
    </cfRule>
    <cfRule type="cellIs" dxfId="1084" priority="328" stopIfTrue="1" operator="lessThan">
      <formula>AG25</formula>
    </cfRule>
  </conditionalFormatting>
  <conditionalFormatting sqref="AH26">
    <cfRule type="cellIs" dxfId="1083" priority="327" stopIfTrue="1" operator="lessThan">
      <formula>AD25</formula>
    </cfRule>
  </conditionalFormatting>
  <conditionalFormatting sqref="AI26">
    <cfRule type="iconSet" priority="321">
      <iconSet iconSet="5ArrowsGray" showValue="0">
        <cfvo type="percent" val="0"/>
        <cfvo type="formula" val="$AF$26-$AB$25" gte="0"/>
        <cfvo type="formula" val="$AF$26"/>
        <cfvo type="formula" val="$AF$26" gte="0"/>
        <cfvo type="formula" val="$AF$26+$AB$25"/>
      </iconSet>
    </cfRule>
  </conditionalFormatting>
  <conditionalFormatting sqref="AI26">
    <cfRule type="cellIs" dxfId="1082" priority="322" stopIfTrue="1" operator="greaterThanOrEqual">
      <formula>AG25</formula>
    </cfRule>
    <cfRule type="cellIs" dxfId="1081" priority="324" stopIfTrue="1" operator="lessThan">
      <formula>AG25</formula>
    </cfRule>
  </conditionalFormatting>
  <conditionalFormatting sqref="AI26">
    <cfRule type="cellIs" dxfId="1080" priority="323" stopIfTrue="1" operator="lessThanOrEqual">
      <formula>AD25</formula>
    </cfRule>
  </conditionalFormatting>
  <conditionalFormatting sqref="AH29">
    <cfRule type="iconSet" priority="317">
      <iconSet iconSet="5ArrowsGray" showValue="0">
        <cfvo type="percent" val="0"/>
        <cfvo type="formula" val="$AF$29-$AB$28" gte="0"/>
        <cfvo type="formula" val="$AF$29"/>
        <cfvo type="formula" val="$AF$29" gte="0"/>
        <cfvo type="formula" val="$AF$29+$AB$28"/>
      </iconSet>
    </cfRule>
  </conditionalFormatting>
  <conditionalFormatting sqref="AH29">
    <cfRule type="cellIs" dxfId="1079" priority="318" stopIfTrue="1" operator="greaterThanOrEqual">
      <formula>AG28</formula>
    </cfRule>
    <cfRule type="cellIs" dxfId="1078" priority="320" stopIfTrue="1" operator="lessThan">
      <formula>AG28</formula>
    </cfRule>
  </conditionalFormatting>
  <conditionalFormatting sqref="AH29">
    <cfRule type="cellIs" dxfId="1077" priority="319" stopIfTrue="1" operator="lessThan">
      <formula>AD28</formula>
    </cfRule>
  </conditionalFormatting>
  <conditionalFormatting sqref="AI29">
    <cfRule type="iconSet" priority="313">
      <iconSet iconSet="5ArrowsGray" showValue="0">
        <cfvo type="percent" val="0"/>
        <cfvo type="formula" val="$AF$29-$AB$28" gte="0"/>
        <cfvo type="formula" val="$AF$29"/>
        <cfvo type="formula" val="$AF$29" gte="0"/>
        <cfvo type="formula" val="$AF$29+$AB$28"/>
      </iconSet>
    </cfRule>
  </conditionalFormatting>
  <conditionalFormatting sqref="AI29">
    <cfRule type="cellIs" dxfId="1076" priority="314" stopIfTrue="1" operator="greaterThanOrEqual">
      <formula>AG28</formula>
    </cfRule>
    <cfRule type="cellIs" dxfId="1075" priority="316" stopIfTrue="1" operator="lessThan">
      <formula>AG28</formula>
    </cfRule>
  </conditionalFormatting>
  <conditionalFormatting sqref="AI29">
    <cfRule type="cellIs" dxfId="1074" priority="315" stopIfTrue="1" operator="lessThanOrEqual">
      <formula>AD28</formula>
    </cfRule>
  </conditionalFormatting>
  <conditionalFormatting sqref="AH32">
    <cfRule type="iconSet" priority="309">
      <iconSet iconSet="5ArrowsGray" showValue="0">
        <cfvo type="percent" val="0"/>
        <cfvo type="formula" val="$AF$32-$AB$31" gte="0"/>
        <cfvo type="formula" val="$AF$32"/>
        <cfvo type="formula" val="$AF$32" gte="0"/>
        <cfvo type="formula" val="$AF$32+$AB$31"/>
      </iconSet>
    </cfRule>
  </conditionalFormatting>
  <conditionalFormatting sqref="AH32">
    <cfRule type="cellIs" dxfId="1073" priority="310" stopIfTrue="1" operator="greaterThanOrEqual">
      <formula>AG31</formula>
    </cfRule>
    <cfRule type="cellIs" dxfId="1072" priority="312" stopIfTrue="1" operator="lessThan">
      <formula>AG31</formula>
    </cfRule>
  </conditionalFormatting>
  <conditionalFormatting sqref="AH32">
    <cfRule type="cellIs" dxfId="1071" priority="311" stopIfTrue="1" operator="lessThan">
      <formula>AD31</formula>
    </cfRule>
  </conditionalFormatting>
  <conditionalFormatting sqref="AI32">
    <cfRule type="iconSet" priority="305">
      <iconSet iconSet="5ArrowsGray" showValue="0">
        <cfvo type="percent" val="0"/>
        <cfvo type="formula" val="$AF$32-$AB$31" gte="0"/>
        <cfvo type="formula" val="$AF$32"/>
        <cfvo type="formula" val="$AF$32" gte="0"/>
        <cfvo type="formula" val="$AF$32+$AB$31"/>
      </iconSet>
    </cfRule>
  </conditionalFormatting>
  <conditionalFormatting sqref="AI32">
    <cfRule type="cellIs" dxfId="1070" priority="306" stopIfTrue="1" operator="greaterThanOrEqual">
      <formula>AG31</formula>
    </cfRule>
    <cfRule type="cellIs" dxfId="1069" priority="308" stopIfTrue="1" operator="lessThan">
      <formula>AG31</formula>
    </cfRule>
  </conditionalFormatting>
  <conditionalFormatting sqref="AI32">
    <cfRule type="cellIs" dxfId="1068" priority="307" stopIfTrue="1" operator="lessThanOrEqual">
      <formula>AD31</formula>
    </cfRule>
  </conditionalFormatting>
  <conditionalFormatting sqref="AH35">
    <cfRule type="iconSet" priority="301">
      <iconSet iconSet="5ArrowsGray" showValue="0">
        <cfvo type="percent" val="0"/>
        <cfvo type="formula" val="$AF$35-$AB$34" gte="0"/>
        <cfvo type="formula" val="$AF$35"/>
        <cfvo type="formula" val="$AF$35" gte="0"/>
        <cfvo type="formula" val="$AF$35+$AB$34"/>
      </iconSet>
    </cfRule>
  </conditionalFormatting>
  <conditionalFormatting sqref="AH35">
    <cfRule type="cellIs" dxfId="1067" priority="302" stopIfTrue="1" operator="greaterThanOrEqual">
      <formula>AG34</formula>
    </cfRule>
    <cfRule type="cellIs" dxfId="1066" priority="304" stopIfTrue="1" operator="lessThan">
      <formula>AG34</formula>
    </cfRule>
  </conditionalFormatting>
  <conditionalFormatting sqref="AH35">
    <cfRule type="cellIs" dxfId="1065" priority="303" stopIfTrue="1" operator="lessThan">
      <formula>AD34</formula>
    </cfRule>
  </conditionalFormatting>
  <conditionalFormatting sqref="AI35">
    <cfRule type="iconSet" priority="297">
      <iconSet iconSet="5ArrowsGray" showValue="0">
        <cfvo type="percent" val="0"/>
        <cfvo type="formula" val="$AF$35-$AB$34" gte="0"/>
        <cfvo type="formula" val="$AF$35"/>
        <cfvo type="formula" val="$AF$35" gte="0"/>
        <cfvo type="formula" val="$AF$35+$AB$34"/>
      </iconSet>
    </cfRule>
  </conditionalFormatting>
  <conditionalFormatting sqref="AI35">
    <cfRule type="cellIs" dxfId="1064" priority="298" stopIfTrue="1" operator="greaterThanOrEqual">
      <formula>AG34</formula>
    </cfRule>
    <cfRule type="cellIs" dxfId="1063" priority="300" stopIfTrue="1" operator="lessThan">
      <formula>AG34</formula>
    </cfRule>
  </conditionalFormatting>
  <conditionalFormatting sqref="AI35">
    <cfRule type="cellIs" dxfId="1062" priority="299" stopIfTrue="1" operator="lessThanOrEqual">
      <formula>AD34</formula>
    </cfRule>
  </conditionalFormatting>
  <conditionalFormatting sqref="AH38">
    <cfRule type="iconSet" priority="293">
      <iconSet iconSet="5ArrowsGray" showValue="0">
        <cfvo type="percent" val="0"/>
        <cfvo type="formula" val="$AF$38-$AB$37" gte="0"/>
        <cfvo type="formula" val="$AF$37"/>
        <cfvo type="formula" val="$AF$38" gte="0"/>
        <cfvo type="formula" val="$AF$38+$AB$37"/>
      </iconSet>
    </cfRule>
  </conditionalFormatting>
  <conditionalFormatting sqref="AH38">
    <cfRule type="cellIs" dxfId="1061" priority="294" stopIfTrue="1" operator="greaterThanOrEqual">
      <formula>AG37</formula>
    </cfRule>
    <cfRule type="cellIs" dxfId="1060" priority="296" stopIfTrue="1" operator="lessThan">
      <formula>AG37</formula>
    </cfRule>
  </conditionalFormatting>
  <conditionalFormatting sqref="AH38">
    <cfRule type="cellIs" dxfId="1059" priority="295" stopIfTrue="1" operator="lessThan">
      <formula>AD37</formula>
    </cfRule>
  </conditionalFormatting>
  <conditionalFormatting sqref="AI38">
    <cfRule type="iconSet" priority="289">
      <iconSet iconSet="5ArrowsGray" showValue="0">
        <cfvo type="percent" val="0"/>
        <cfvo type="formula" val="$AF$38-$AB$37" gte="0"/>
        <cfvo type="formula" val="$AF$38"/>
        <cfvo type="formula" val="$AF$38" gte="0"/>
        <cfvo type="formula" val="$AF$38+$AB$37"/>
      </iconSet>
    </cfRule>
  </conditionalFormatting>
  <conditionalFormatting sqref="AI38">
    <cfRule type="cellIs" dxfId="1058" priority="290" stopIfTrue="1" operator="greaterThanOrEqual">
      <formula>AG37</formula>
    </cfRule>
    <cfRule type="cellIs" dxfId="1057" priority="292" stopIfTrue="1" operator="lessThan">
      <formula>AG37</formula>
    </cfRule>
  </conditionalFormatting>
  <conditionalFormatting sqref="AI38">
    <cfRule type="cellIs" dxfId="1056" priority="291" stopIfTrue="1" operator="lessThanOrEqual">
      <formula>AD37</formula>
    </cfRule>
  </conditionalFormatting>
  <conditionalFormatting sqref="AH41">
    <cfRule type="iconSet" priority="285">
      <iconSet iconSet="5ArrowsGray" showValue="0">
        <cfvo type="percent" val="0"/>
        <cfvo type="formula" val="$AF$41-$AB$40" gte="0"/>
        <cfvo type="formula" val="$AF$41"/>
        <cfvo type="formula" val="$AF$41" gte="0"/>
        <cfvo type="formula" val="$AF$41+$AB$40"/>
      </iconSet>
    </cfRule>
  </conditionalFormatting>
  <conditionalFormatting sqref="AH41">
    <cfRule type="cellIs" dxfId="1055" priority="286" stopIfTrue="1" operator="greaterThanOrEqual">
      <formula>AG40</formula>
    </cfRule>
    <cfRule type="cellIs" dxfId="1054" priority="288" stopIfTrue="1" operator="lessThan">
      <formula>AG40</formula>
    </cfRule>
  </conditionalFormatting>
  <conditionalFormatting sqref="AH41">
    <cfRule type="cellIs" dxfId="1053" priority="287" stopIfTrue="1" operator="lessThan">
      <formula>AD40</formula>
    </cfRule>
  </conditionalFormatting>
  <conditionalFormatting sqref="AI41">
    <cfRule type="iconSet" priority="281">
      <iconSet iconSet="5ArrowsGray" showValue="0">
        <cfvo type="percent" val="0"/>
        <cfvo type="formula" val="$AF$41-$AB$40" gte="0"/>
        <cfvo type="formula" val="$AF$41"/>
        <cfvo type="formula" val="$AF$41" gte="0"/>
        <cfvo type="formula" val="$AF$41+$AB$40"/>
      </iconSet>
    </cfRule>
  </conditionalFormatting>
  <conditionalFormatting sqref="AI41">
    <cfRule type="cellIs" dxfId="1052" priority="282" stopIfTrue="1" operator="greaterThanOrEqual">
      <formula>AG40</formula>
    </cfRule>
    <cfRule type="cellIs" dxfId="1051" priority="284" stopIfTrue="1" operator="lessThan">
      <formula>AG40</formula>
    </cfRule>
  </conditionalFormatting>
  <conditionalFormatting sqref="AI41">
    <cfRule type="cellIs" dxfId="1050" priority="283" stopIfTrue="1" operator="lessThanOrEqual">
      <formula>AD40</formula>
    </cfRule>
  </conditionalFormatting>
  <conditionalFormatting sqref="AH44">
    <cfRule type="iconSet" priority="277">
      <iconSet iconSet="5ArrowsGray" showValue="0">
        <cfvo type="percent" val="0"/>
        <cfvo type="formula" val="$AF$44-$AB$43" gte="0"/>
        <cfvo type="formula" val="$AF$44"/>
        <cfvo type="formula" val="$AF$44" gte="0"/>
        <cfvo type="formula" val="$AF$44+$AB$43"/>
      </iconSet>
    </cfRule>
  </conditionalFormatting>
  <conditionalFormatting sqref="AH44">
    <cfRule type="cellIs" dxfId="1049" priority="278" stopIfTrue="1" operator="greaterThanOrEqual">
      <formula>AG43</formula>
    </cfRule>
    <cfRule type="cellIs" dxfId="1048" priority="280" stopIfTrue="1" operator="lessThan">
      <formula>AG43</formula>
    </cfRule>
  </conditionalFormatting>
  <conditionalFormatting sqref="AH44">
    <cfRule type="cellIs" dxfId="1047" priority="279" stopIfTrue="1" operator="lessThan">
      <formula>AD43</formula>
    </cfRule>
  </conditionalFormatting>
  <conditionalFormatting sqref="AI44">
    <cfRule type="iconSet" priority="273">
      <iconSet iconSet="5ArrowsGray" showValue="0">
        <cfvo type="percent" val="0"/>
        <cfvo type="formula" val="$AF$44-$AB$43" gte="0"/>
        <cfvo type="formula" val="$AF$44"/>
        <cfvo type="formula" val="$AF$44" gte="0"/>
        <cfvo type="formula" val="$AF$44+$AB$43"/>
      </iconSet>
    </cfRule>
  </conditionalFormatting>
  <conditionalFormatting sqref="AI44">
    <cfRule type="cellIs" dxfId="1046" priority="274" stopIfTrue="1" operator="greaterThanOrEqual">
      <formula>AG43</formula>
    </cfRule>
    <cfRule type="cellIs" dxfId="1045" priority="276" stopIfTrue="1" operator="lessThan">
      <formula>AG43</formula>
    </cfRule>
  </conditionalFormatting>
  <conditionalFormatting sqref="AI44">
    <cfRule type="cellIs" dxfId="1044" priority="275" stopIfTrue="1" operator="lessThanOrEqual">
      <formula>AD43</formula>
    </cfRule>
  </conditionalFormatting>
  <conditionalFormatting sqref="AH47">
    <cfRule type="iconSet" priority="269">
      <iconSet iconSet="5ArrowsGray" showValue="0">
        <cfvo type="percent" val="0"/>
        <cfvo type="formula" val="$AF$47-$AB$46" gte="0"/>
        <cfvo type="formula" val="$AF$47"/>
        <cfvo type="formula" val="$AF$47" gte="0"/>
        <cfvo type="formula" val="$AF$47+$AB$46"/>
      </iconSet>
    </cfRule>
  </conditionalFormatting>
  <conditionalFormatting sqref="AH47">
    <cfRule type="cellIs" dxfId="1043" priority="270" stopIfTrue="1" operator="greaterThanOrEqual">
      <formula>AG46</formula>
    </cfRule>
    <cfRule type="cellIs" dxfId="1042" priority="272" stopIfTrue="1" operator="lessThan">
      <formula>AG46</formula>
    </cfRule>
  </conditionalFormatting>
  <conditionalFormatting sqref="AH47">
    <cfRule type="cellIs" dxfId="1041" priority="271" stopIfTrue="1" operator="lessThan">
      <formula>AD46</formula>
    </cfRule>
  </conditionalFormatting>
  <conditionalFormatting sqref="AI47">
    <cfRule type="iconSet" priority="265">
      <iconSet iconSet="5ArrowsGray" showValue="0">
        <cfvo type="percent" val="0"/>
        <cfvo type="formula" val="$AF$47-$AB$46" gte="0"/>
        <cfvo type="formula" val="$AF$47"/>
        <cfvo type="formula" val="$AF$47" gte="0"/>
        <cfvo type="formula" val="$AF$47+$AB$46"/>
      </iconSet>
    </cfRule>
  </conditionalFormatting>
  <conditionalFormatting sqref="AI47">
    <cfRule type="cellIs" dxfId="1040" priority="266" stopIfTrue="1" operator="greaterThanOrEqual">
      <formula>AG46</formula>
    </cfRule>
    <cfRule type="cellIs" dxfId="1039" priority="268" stopIfTrue="1" operator="lessThan">
      <formula>AG46</formula>
    </cfRule>
  </conditionalFormatting>
  <conditionalFormatting sqref="AI47">
    <cfRule type="cellIs" dxfId="1038" priority="267" stopIfTrue="1" operator="lessThanOrEqual">
      <formula>AD46</formula>
    </cfRule>
  </conditionalFormatting>
  <conditionalFormatting sqref="AH50">
    <cfRule type="iconSet" priority="261">
      <iconSet iconSet="5ArrowsGray" showValue="0">
        <cfvo type="percent" val="0"/>
        <cfvo type="formula" val="$AF$50-$AB$49" gte="0"/>
        <cfvo type="formula" val="$AF$50"/>
        <cfvo type="formula" val="$AF$50" gte="0"/>
        <cfvo type="formula" val="$AF$50+$AB$49"/>
      </iconSet>
    </cfRule>
  </conditionalFormatting>
  <conditionalFormatting sqref="AH50">
    <cfRule type="cellIs" dxfId="1037" priority="262" stopIfTrue="1" operator="greaterThanOrEqual">
      <formula>AG49</formula>
    </cfRule>
    <cfRule type="cellIs" dxfId="1036" priority="264" stopIfTrue="1" operator="lessThan">
      <formula>AG49</formula>
    </cfRule>
  </conditionalFormatting>
  <conditionalFormatting sqref="AH50">
    <cfRule type="cellIs" dxfId="1035" priority="263" stopIfTrue="1" operator="lessThan">
      <formula>AD49</formula>
    </cfRule>
  </conditionalFormatting>
  <conditionalFormatting sqref="AI50">
    <cfRule type="iconSet" priority="257">
      <iconSet iconSet="5ArrowsGray" showValue="0">
        <cfvo type="percent" val="0"/>
        <cfvo type="formula" val="$AF$50-$AB$49" gte="0"/>
        <cfvo type="formula" val="$AF$50"/>
        <cfvo type="formula" val="$AF$50" gte="0"/>
        <cfvo type="formula" val="$AF$50+$AB$49"/>
      </iconSet>
    </cfRule>
  </conditionalFormatting>
  <conditionalFormatting sqref="AI50">
    <cfRule type="cellIs" dxfId="1034" priority="258" stopIfTrue="1" operator="greaterThanOrEqual">
      <formula>AG49</formula>
    </cfRule>
    <cfRule type="cellIs" dxfId="1033" priority="260" stopIfTrue="1" operator="lessThan">
      <formula>AG49</formula>
    </cfRule>
  </conditionalFormatting>
  <conditionalFormatting sqref="AI50">
    <cfRule type="cellIs" dxfId="1032" priority="259" stopIfTrue="1" operator="lessThanOrEqual">
      <formula>AD49</formula>
    </cfRule>
  </conditionalFormatting>
  <conditionalFormatting sqref="AH53">
    <cfRule type="iconSet" priority="253">
      <iconSet iconSet="5ArrowsGray" showValue="0">
        <cfvo type="percent" val="0"/>
        <cfvo type="formula" val="$AF$53-$AB$52" gte="0"/>
        <cfvo type="formula" val="$AF$53"/>
        <cfvo type="formula" val="$AF$53" gte="0"/>
        <cfvo type="formula" val="$AF$53+$AB$52"/>
      </iconSet>
    </cfRule>
  </conditionalFormatting>
  <conditionalFormatting sqref="AH53">
    <cfRule type="cellIs" dxfId="1031" priority="254" stopIfTrue="1" operator="greaterThanOrEqual">
      <formula>AG52</formula>
    </cfRule>
    <cfRule type="cellIs" dxfId="1030" priority="256" stopIfTrue="1" operator="lessThan">
      <formula>AG52</formula>
    </cfRule>
  </conditionalFormatting>
  <conditionalFormatting sqref="AH53">
    <cfRule type="cellIs" dxfId="1029" priority="255" stopIfTrue="1" operator="lessThan">
      <formula>AD52</formula>
    </cfRule>
  </conditionalFormatting>
  <conditionalFormatting sqref="AI53">
    <cfRule type="iconSet" priority="249">
      <iconSet iconSet="5ArrowsGray" showValue="0">
        <cfvo type="percent" val="0"/>
        <cfvo type="formula" val="$AF$53-$AB$52" gte="0"/>
        <cfvo type="formula" val="$AF$53"/>
        <cfvo type="formula" val="$AF$53" gte="0"/>
        <cfvo type="formula" val="$AF$53+$AB$52"/>
      </iconSet>
    </cfRule>
  </conditionalFormatting>
  <conditionalFormatting sqref="AI53">
    <cfRule type="cellIs" dxfId="1028" priority="250" stopIfTrue="1" operator="greaterThanOrEqual">
      <formula>AG52</formula>
    </cfRule>
    <cfRule type="cellIs" dxfId="1027" priority="252" stopIfTrue="1" operator="lessThan">
      <formula>AG52</formula>
    </cfRule>
  </conditionalFormatting>
  <conditionalFormatting sqref="AI53">
    <cfRule type="cellIs" dxfId="1026" priority="251" stopIfTrue="1" operator="lessThanOrEqual">
      <formula>AD52</formula>
    </cfRule>
  </conditionalFormatting>
  <conditionalFormatting sqref="AH56">
    <cfRule type="iconSet" priority="245">
      <iconSet iconSet="5ArrowsGray" showValue="0">
        <cfvo type="percent" val="0"/>
        <cfvo type="formula" val="$AF$56-$AB$55" gte="0"/>
        <cfvo type="formula" val="$AF$56"/>
        <cfvo type="formula" val="$AF$56" gte="0"/>
        <cfvo type="formula" val="$AF$56+$AB$55"/>
      </iconSet>
    </cfRule>
  </conditionalFormatting>
  <conditionalFormatting sqref="AH56">
    <cfRule type="cellIs" dxfId="1025" priority="246" stopIfTrue="1" operator="greaterThanOrEqual">
      <formula>AG55</formula>
    </cfRule>
    <cfRule type="cellIs" dxfId="1024" priority="248" stopIfTrue="1" operator="lessThan">
      <formula>AG55</formula>
    </cfRule>
  </conditionalFormatting>
  <conditionalFormatting sqref="AH56">
    <cfRule type="cellIs" dxfId="1023" priority="247" stopIfTrue="1" operator="lessThan">
      <formula>AD55</formula>
    </cfRule>
  </conditionalFormatting>
  <conditionalFormatting sqref="AI56">
    <cfRule type="iconSet" priority="241">
      <iconSet iconSet="5ArrowsGray" showValue="0">
        <cfvo type="percent" val="0"/>
        <cfvo type="formula" val="$AF$5-$AB$4" gte="0"/>
        <cfvo type="formula" val="$AF$5"/>
        <cfvo type="formula" val="$AF$5" gte="0"/>
        <cfvo type="formula" val="$AF$5+$AB$4"/>
      </iconSet>
    </cfRule>
  </conditionalFormatting>
  <conditionalFormatting sqref="AI56">
    <cfRule type="cellIs" dxfId="1022" priority="242" stopIfTrue="1" operator="greaterThanOrEqual">
      <formula>AG55</formula>
    </cfRule>
    <cfRule type="cellIs" dxfId="1021" priority="244" stopIfTrue="1" operator="lessThan">
      <formula>AG55</formula>
    </cfRule>
  </conditionalFormatting>
  <conditionalFormatting sqref="AI56">
    <cfRule type="cellIs" dxfId="1020" priority="243" stopIfTrue="1" operator="lessThanOrEqual">
      <formula>AD55</formula>
    </cfRule>
  </conditionalFormatting>
  <conditionalFormatting sqref="AH59">
    <cfRule type="iconSet" priority="237">
      <iconSet iconSet="5ArrowsGray" showValue="0">
        <cfvo type="percent" val="0"/>
        <cfvo type="formula" val="$AF$59-$AB$58" gte="0"/>
        <cfvo type="formula" val="$AF$59"/>
        <cfvo type="formula" val="$AF$59" gte="0"/>
        <cfvo type="formula" val="$AF$59+$AB$58"/>
      </iconSet>
    </cfRule>
  </conditionalFormatting>
  <conditionalFormatting sqref="AH59">
    <cfRule type="cellIs" dxfId="1019" priority="238" stopIfTrue="1" operator="greaterThanOrEqual">
      <formula>AG58</formula>
    </cfRule>
    <cfRule type="cellIs" dxfId="1018" priority="240" stopIfTrue="1" operator="lessThan">
      <formula>AG58</formula>
    </cfRule>
  </conditionalFormatting>
  <conditionalFormatting sqref="AH59">
    <cfRule type="cellIs" dxfId="1017" priority="239" stopIfTrue="1" operator="lessThan">
      <formula>AD58</formula>
    </cfRule>
  </conditionalFormatting>
  <conditionalFormatting sqref="AI59">
    <cfRule type="iconSet" priority="233">
      <iconSet iconSet="5ArrowsGray" showValue="0">
        <cfvo type="percent" val="0"/>
        <cfvo type="formula" val="$AF$59-$AB$58" gte="0"/>
        <cfvo type="formula" val="$AF$59"/>
        <cfvo type="formula" val="$AF$59" gte="0"/>
        <cfvo type="formula" val="$AF$59+$AB$58"/>
      </iconSet>
    </cfRule>
  </conditionalFormatting>
  <conditionalFormatting sqref="AI59">
    <cfRule type="cellIs" dxfId="1016" priority="234" stopIfTrue="1" operator="greaterThanOrEqual">
      <formula>AG58</formula>
    </cfRule>
    <cfRule type="cellIs" dxfId="1015" priority="236" stopIfTrue="1" operator="lessThan">
      <formula>AG58</formula>
    </cfRule>
  </conditionalFormatting>
  <conditionalFormatting sqref="AI59">
    <cfRule type="cellIs" dxfId="1014" priority="235" stopIfTrue="1" operator="lessThanOrEqual">
      <formula>AD58</formula>
    </cfRule>
  </conditionalFormatting>
  <conditionalFormatting sqref="AH62">
    <cfRule type="iconSet" priority="229">
      <iconSet iconSet="5ArrowsGray" showValue="0">
        <cfvo type="percent" val="0"/>
        <cfvo type="formula" val="$AF$62-$AB$61" gte="0"/>
        <cfvo type="formula" val="$AF$62"/>
        <cfvo type="formula" val="$AF$62" gte="0"/>
        <cfvo type="formula" val="$AF$62+$AB$61"/>
      </iconSet>
    </cfRule>
  </conditionalFormatting>
  <conditionalFormatting sqref="AH62">
    <cfRule type="cellIs" dxfId="1013" priority="230" stopIfTrue="1" operator="greaterThanOrEqual">
      <formula>AG61</formula>
    </cfRule>
    <cfRule type="cellIs" dxfId="1012" priority="232" stopIfTrue="1" operator="lessThan">
      <formula>AG61</formula>
    </cfRule>
  </conditionalFormatting>
  <conditionalFormatting sqref="AH62">
    <cfRule type="cellIs" dxfId="1011" priority="231" stopIfTrue="1" operator="lessThan">
      <formula>AD61</formula>
    </cfRule>
  </conditionalFormatting>
  <conditionalFormatting sqref="AI62">
    <cfRule type="iconSet" priority="225">
      <iconSet iconSet="5ArrowsGray" showValue="0">
        <cfvo type="percent" val="0"/>
        <cfvo type="formula" val="$AF$62-$AB$61" gte="0"/>
        <cfvo type="formula" val="$AF$62"/>
        <cfvo type="formula" val="$AF$62" gte="0"/>
        <cfvo type="formula" val="$AF$62+$AB$61"/>
      </iconSet>
    </cfRule>
  </conditionalFormatting>
  <conditionalFormatting sqref="AI62">
    <cfRule type="cellIs" dxfId="1010" priority="226" stopIfTrue="1" operator="greaterThanOrEqual">
      <formula>AG61</formula>
    </cfRule>
    <cfRule type="cellIs" dxfId="1009" priority="228" stopIfTrue="1" operator="lessThan">
      <formula>AG61</formula>
    </cfRule>
  </conditionalFormatting>
  <conditionalFormatting sqref="AI62">
    <cfRule type="cellIs" dxfId="1008" priority="227" stopIfTrue="1" operator="lessThanOrEqual">
      <formula>AD61</formula>
    </cfRule>
  </conditionalFormatting>
  <conditionalFormatting sqref="AH65">
    <cfRule type="iconSet" priority="221">
      <iconSet iconSet="5ArrowsGray" showValue="0">
        <cfvo type="percent" val="0"/>
        <cfvo type="formula" val="$AF$65-$AB$64" gte="0"/>
        <cfvo type="formula" val="$AF$65"/>
        <cfvo type="formula" val="$AF$65" gte="0"/>
        <cfvo type="formula" val="$AF$65+$AB$64"/>
      </iconSet>
    </cfRule>
  </conditionalFormatting>
  <conditionalFormatting sqref="AH65">
    <cfRule type="cellIs" dxfId="1007" priority="222" stopIfTrue="1" operator="greaterThanOrEqual">
      <formula>AG64</formula>
    </cfRule>
    <cfRule type="cellIs" dxfId="1006" priority="224" stopIfTrue="1" operator="lessThan">
      <formula>AG64</formula>
    </cfRule>
  </conditionalFormatting>
  <conditionalFormatting sqref="AH65">
    <cfRule type="cellIs" dxfId="1005" priority="223" stopIfTrue="1" operator="lessThan">
      <formula>AD64</formula>
    </cfRule>
  </conditionalFormatting>
  <conditionalFormatting sqref="AI65">
    <cfRule type="iconSet" priority="217">
      <iconSet iconSet="5ArrowsGray" showValue="0">
        <cfvo type="percent" val="0"/>
        <cfvo type="formula" val="$AF$65-$AB$64" gte="0"/>
        <cfvo type="formula" val="$AF$65"/>
        <cfvo type="formula" val="$AF$65" gte="0"/>
        <cfvo type="formula" val="$AF$65+$AB$64"/>
      </iconSet>
    </cfRule>
  </conditionalFormatting>
  <conditionalFormatting sqref="AI65">
    <cfRule type="cellIs" dxfId="1004" priority="218" stopIfTrue="1" operator="greaterThanOrEqual">
      <formula>AG64</formula>
    </cfRule>
    <cfRule type="cellIs" dxfId="1003" priority="220" stopIfTrue="1" operator="lessThan">
      <formula>AG64</formula>
    </cfRule>
  </conditionalFormatting>
  <conditionalFormatting sqref="AI65">
    <cfRule type="cellIs" dxfId="1002" priority="219" stopIfTrue="1" operator="lessThanOrEqual">
      <formula>AD64</formula>
    </cfRule>
  </conditionalFormatting>
  <conditionalFormatting sqref="AH68">
    <cfRule type="iconSet" priority="213">
      <iconSet iconSet="5ArrowsGray" showValue="0">
        <cfvo type="percent" val="0"/>
        <cfvo type="formula" val="$AF$68-$AB$67" gte="0"/>
        <cfvo type="formula" val="$AF$68"/>
        <cfvo type="formula" val="$AF$68" gte="0"/>
        <cfvo type="formula" val="$AF$68+$AB$67"/>
      </iconSet>
    </cfRule>
  </conditionalFormatting>
  <conditionalFormatting sqref="AH68">
    <cfRule type="cellIs" dxfId="1001" priority="214" stopIfTrue="1" operator="greaterThanOrEqual">
      <formula>AG67</formula>
    </cfRule>
    <cfRule type="cellIs" dxfId="1000" priority="216" stopIfTrue="1" operator="lessThan">
      <formula>AG67</formula>
    </cfRule>
  </conditionalFormatting>
  <conditionalFormatting sqref="AH68">
    <cfRule type="cellIs" dxfId="999" priority="215" stopIfTrue="1" operator="lessThan">
      <formula>AD67</formula>
    </cfRule>
  </conditionalFormatting>
  <conditionalFormatting sqref="AI68">
    <cfRule type="iconSet" priority="209">
      <iconSet iconSet="5ArrowsGray" showValue="0">
        <cfvo type="percent" val="0"/>
        <cfvo type="formula" val="$AF$68-$AB$67" gte="0"/>
        <cfvo type="formula" val="$AF$68"/>
        <cfvo type="formula" val="$AF$68" gte="0"/>
        <cfvo type="formula" val="$AF$68+$AB$67"/>
      </iconSet>
    </cfRule>
  </conditionalFormatting>
  <conditionalFormatting sqref="AI68">
    <cfRule type="cellIs" dxfId="998" priority="210" stopIfTrue="1" operator="greaterThanOrEqual">
      <formula>AG67</formula>
    </cfRule>
    <cfRule type="cellIs" dxfId="997" priority="212" stopIfTrue="1" operator="lessThan">
      <formula>AG67</formula>
    </cfRule>
  </conditionalFormatting>
  <conditionalFormatting sqref="AI68">
    <cfRule type="cellIs" dxfId="996" priority="211" stopIfTrue="1" operator="lessThanOrEqual">
      <formula>AD67</formula>
    </cfRule>
  </conditionalFormatting>
  <conditionalFormatting sqref="AH71">
    <cfRule type="iconSet" priority="205">
      <iconSet iconSet="5ArrowsGray" showValue="0">
        <cfvo type="percent" val="0"/>
        <cfvo type="formula" val="$AF$71-$AB$70" gte="0"/>
        <cfvo type="formula" val="$AF$71"/>
        <cfvo type="formula" val="$AF$71" gte="0"/>
        <cfvo type="formula" val="$AF$71+$AB$70"/>
      </iconSet>
    </cfRule>
  </conditionalFormatting>
  <conditionalFormatting sqref="AH71">
    <cfRule type="cellIs" dxfId="995" priority="206" stopIfTrue="1" operator="greaterThanOrEqual">
      <formula>AG70</formula>
    </cfRule>
    <cfRule type="cellIs" dxfId="994" priority="208" stopIfTrue="1" operator="lessThan">
      <formula>AG70</formula>
    </cfRule>
  </conditionalFormatting>
  <conditionalFormatting sqref="AH71">
    <cfRule type="cellIs" dxfId="993" priority="207" stopIfTrue="1" operator="lessThan">
      <formula>AD70</formula>
    </cfRule>
  </conditionalFormatting>
  <conditionalFormatting sqref="AI71">
    <cfRule type="iconSet" priority="201">
      <iconSet iconSet="5ArrowsGray" showValue="0">
        <cfvo type="percent" val="0"/>
        <cfvo type="formula" val="$AF$71-$AB$70" gte="0"/>
        <cfvo type="formula" val="$AF$71"/>
        <cfvo type="formula" val="$AF$71" gte="0"/>
        <cfvo type="formula" val="$AF$71+$AB$70"/>
      </iconSet>
    </cfRule>
  </conditionalFormatting>
  <conditionalFormatting sqref="AI71">
    <cfRule type="cellIs" dxfId="992" priority="202" stopIfTrue="1" operator="greaterThanOrEqual">
      <formula>AG70</formula>
    </cfRule>
    <cfRule type="cellIs" dxfId="991" priority="204" stopIfTrue="1" operator="lessThan">
      <formula>AG70</formula>
    </cfRule>
  </conditionalFormatting>
  <conditionalFormatting sqref="AI71">
    <cfRule type="cellIs" dxfId="990" priority="203" stopIfTrue="1" operator="lessThanOrEqual">
      <formula>AD70</formula>
    </cfRule>
  </conditionalFormatting>
  <conditionalFormatting sqref="AH74">
    <cfRule type="iconSet" priority="197">
      <iconSet iconSet="5ArrowsGray" showValue="0">
        <cfvo type="percent" val="0"/>
        <cfvo type="formula" val="$AF$74-$AB$73" gte="0"/>
        <cfvo type="formula" val="$AF$74"/>
        <cfvo type="formula" val="$AF$74" gte="0"/>
        <cfvo type="formula" val="$AF$74+$AB$73"/>
      </iconSet>
    </cfRule>
  </conditionalFormatting>
  <conditionalFormatting sqref="AH74">
    <cfRule type="cellIs" dxfId="989" priority="198" stopIfTrue="1" operator="greaterThanOrEqual">
      <formula>AG73</formula>
    </cfRule>
    <cfRule type="cellIs" dxfId="988" priority="200" stopIfTrue="1" operator="lessThan">
      <formula>AG73</formula>
    </cfRule>
  </conditionalFormatting>
  <conditionalFormatting sqref="AH74">
    <cfRule type="cellIs" dxfId="987" priority="199" stopIfTrue="1" operator="lessThan">
      <formula>AD73</formula>
    </cfRule>
  </conditionalFormatting>
  <conditionalFormatting sqref="AI74">
    <cfRule type="iconSet" priority="193">
      <iconSet iconSet="5ArrowsGray" showValue="0">
        <cfvo type="percent" val="0"/>
        <cfvo type="formula" val="$AF$74-$AB$73" gte="0"/>
        <cfvo type="formula" val="$AF$74"/>
        <cfvo type="formula" val="$AF$74" gte="0"/>
        <cfvo type="formula" val="$AF$74+$AB$73"/>
      </iconSet>
    </cfRule>
  </conditionalFormatting>
  <conditionalFormatting sqref="AI74">
    <cfRule type="cellIs" dxfId="986" priority="194" stopIfTrue="1" operator="greaterThanOrEqual">
      <formula>AG73</formula>
    </cfRule>
    <cfRule type="cellIs" dxfId="985" priority="196" stopIfTrue="1" operator="lessThan">
      <formula>AG73</formula>
    </cfRule>
  </conditionalFormatting>
  <conditionalFormatting sqref="AI74">
    <cfRule type="cellIs" dxfId="984" priority="195" stopIfTrue="1" operator="lessThanOrEqual">
      <formula>AD73</formula>
    </cfRule>
  </conditionalFormatting>
  <conditionalFormatting sqref="AH77">
    <cfRule type="iconSet" priority="189">
      <iconSet iconSet="5ArrowsGray" showValue="0">
        <cfvo type="percent" val="0"/>
        <cfvo type="formula" val="$AF$77-$AB$76" gte="0"/>
        <cfvo type="formula" val="$AF$77"/>
        <cfvo type="formula" val="$AF$77" gte="0"/>
        <cfvo type="formula" val="$AF$77+$AB$76"/>
      </iconSet>
    </cfRule>
  </conditionalFormatting>
  <conditionalFormatting sqref="AH77">
    <cfRule type="cellIs" dxfId="983" priority="190" stopIfTrue="1" operator="greaterThanOrEqual">
      <formula>AG76</formula>
    </cfRule>
    <cfRule type="cellIs" dxfId="982" priority="192" stopIfTrue="1" operator="lessThan">
      <formula>AG76</formula>
    </cfRule>
  </conditionalFormatting>
  <conditionalFormatting sqref="AH77">
    <cfRule type="cellIs" dxfId="981" priority="191" stopIfTrue="1" operator="lessThan">
      <formula>AD76</formula>
    </cfRule>
  </conditionalFormatting>
  <conditionalFormatting sqref="AI77">
    <cfRule type="iconSet" priority="185">
      <iconSet iconSet="5ArrowsGray" showValue="0">
        <cfvo type="percent" val="0"/>
        <cfvo type="formula" val="$AF$77-$AB$76" gte="0"/>
        <cfvo type="formula" val="$AF$77"/>
        <cfvo type="formula" val="$AF$77" gte="0"/>
        <cfvo type="formula" val="$AF$77+$AB$76"/>
      </iconSet>
    </cfRule>
  </conditionalFormatting>
  <conditionalFormatting sqref="AI77">
    <cfRule type="cellIs" dxfId="980" priority="186" stopIfTrue="1" operator="greaterThanOrEqual">
      <formula>AG76</formula>
    </cfRule>
    <cfRule type="cellIs" dxfId="979" priority="188" stopIfTrue="1" operator="lessThan">
      <formula>AG76</formula>
    </cfRule>
  </conditionalFormatting>
  <conditionalFormatting sqref="AI77">
    <cfRule type="cellIs" dxfId="978" priority="187" stopIfTrue="1" operator="lessThanOrEqual">
      <formula>AD76</formula>
    </cfRule>
  </conditionalFormatting>
  <conditionalFormatting sqref="AH80">
    <cfRule type="iconSet" priority="181">
      <iconSet iconSet="5ArrowsGray" showValue="0">
        <cfvo type="percent" val="0"/>
        <cfvo type="formula" val="$AF$80-$AB$79" gte="0"/>
        <cfvo type="formula" val="$AF$80"/>
        <cfvo type="formula" val="$AF$80" gte="0"/>
        <cfvo type="formula" val="$AF$80+$AB$79"/>
      </iconSet>
    </cfRule>
  </conditionalFormatting>
  <conditionalFormatting sqref="AH80">
    <cfRule type="cellIs" dxfId="977" priority="182" stopIfTrue="1" operator="greaterThanOrEqual">
      <formula>AG79</formula>
    </cfRule>
    <cfRule type="cellIs" dxfId="976" priority="184" stopIfTrue="1" operator="lessThan">
      <formula>AG79</formula>
    </cfRule>
  </conditionalFormatting>
  <conditionalFormatting sqref="AH80">
    <cfRule type="cellIs" dxfId="975" priority="183" stopIfTrue="1" operator="lessThan">
      <formula>AD79</formula>
    </cfRule>
  </conditionalFormatting>
  <conditionalFormatting sqref="AI80">
    <cfRule type="iconSet" priority="177">
      <iconSet iconSet="5ArrowsGray" showValue="0">
        <cfvo type="percent" val="0"/>
        <cfvo type="formula" val="$AF$80-$AB$79" gte="0"/>
        <cfvo type="formula" val="$AF$80"/>
        <cfvo type="formula" val="$AF$80" gte="0"/>
        <cfvo type="formula" val="$AF$80+$AB$79"/>
      </iconSet>
    </cfRule>
  </conditionalFormatting>
  <conditionalFormatting sqref="AI80">
    <cfRule type="cellIs" dxfId="974" priority="178" stopIfTrue="1" operator="greaterThanOrEqual">
      <formula>AG79</formula>
    </cfRule>
    <cfRule type="cellIs" dxfId="973" priority="180" stopIfTrue="1" operator="lessThan">
      <formula>AG79</formula>
    </cfRule>
  </conditionalFormatting>
  <conditionalFormatting sqref="AI80">
    <cfRule type="cellIs" dxfId="972" priority="179" stopIfTrue="1" operator="lessThanOrEqual">
      <formula>AD79</formula>
    </cfRule>
  </conditionalFormatting>
  <conditionalFormatting sqref="AH83">
    <cfRule type="iconSet" priority="173">
      <iconSet iconSet="5ArrowsGray" showValue="0">
        <cfvo type="percent" val="0"/>
        <cfvo type="formula" val="$AF$83-$AB$82" gte="0"/>
        <cfvo type="formula" val="$AF$83"/>
        <cfvo type="formula" val="$AF$83" gte="0"/>
        <cfvo type="formula" val="$AF$83+$AB$82"/>
      </iconSet>
    </cfRule>
  </conditionalFormatting>
  <conditionalFormatting sqref="AH83">
    <cfRule type="cellIs" dxfId="971" priority="174" stopIfTrue="1" operator="greaterThanOrEqual">
      <formula>AG82</formula>
    </cfRule>
    <cfRule type="cellIs" dxfId="970" priority="176" stopIfTrue="1" operator="lessThan">
      <formula>AG82</formula>
    </cfRule>
  </conditionalFormatting>
  <conditionalFormatting sqref="AH83">
    <cfRule type="cellIs" dxfId="969" priority="175" stopIfTrue="1" operator="lessThan">
      <formula>AD82</formula>
    </cfRule>
  </conditionalFormatting>
  <conditionalFormatting sqref="AI83">
    <cfRule type="iconSet" priority="169">
      <iconSet iconSet="5ArrowsGray" showValue="0">
        <cfvo type="percent" val="0"/>
        <cfvo type="formula" val="$AF$83-$AB$82" gte="0"/>
        <cfvo type="formula" val="$AF$83"/>
        <cfvo type="formula" val="$AF$83" gte="0"/>
        <cfvo type="formula" val="$AF$83+$AB$82"/>
      </iconSet>
    </cfRule>
  </conditionalFormatting>
  <conditionalFormatting sqref="AI83">
    <cfRule type="cellIs" dxfId="968" priority="170" stopIfTrue="1" operator="greaterThanOrEqual">
      <formula>AG82</formula>
    </cfRule>
    <cfRule type="cellIs" dxfId="967" priority="172" stopIfTrue="1" operator="lessThan">
      <formula>AG82</formula>
    </cfRule>
  </conditionalFormatting>
  <conditionalFormatting sqref="AI83">
    <cfRule type="cellIs" dxfId="966" priority="171" stopIfTrue="1" operator="lessThanOrEqual">
      <formula>AD82</formula>
    </cfRule>
  </conditionalFormatting>
  <conditionalFormatting sqref="AH86">
    <cfRule type="iconSet" priority="165">
      <iconSet iconSet="5ArrowsGray" showValue="0">
        <cfvo type="percent" val="0"/>
        <cfvo type="formula" val="$AF$86-$AB$85" gte="0"/>
        <cfvo type="formula" val="$AF$86"/>
        <cfvo type="formula" val="$AF$86" gte="0"/>
        <cfvo type="formula" val="$AF$86+$AB$85"/>
      </iconSet>
    </cfRule>
  </conditionalFormatting>
  <conditionalFormatting sqref="AH86">
    <cfRule type="cellIs" dxfId="965" priority="166" stopIfTrue="1" operator="greaterThanOrEqual">
      <formula>AG85</formula>
    </cfRule>
    <cfRule type="cellIs" dxfId="964" priority="168" stopIfTrue="1" operator="lessThan">
      <formula>AG85</formula>
    </cfRule>
  </conditionalFormatting>
  <conditionalFormatting sqref="AH86">
    <cfRule type="cellIs" dxfId="963" priority="167" stopIfTrue="1" operator="lessThan">
      <formula>AD85</formula>
    </cfRule>
  </conditionalFormatting>
  <conditionalFormatting sqref="AI86">
    <cfRule type="iconSet" priority="161">
      <iconSet iconSet="5ArrowsGray" showValue="0">
        <cfvo type="percent" val="0"/>
        <cfvo type="formula" val="$AF$86-$AB$85" gte="0"/>
        <cfvo type="formula" val="$AF$86"/>
        <cfvo type="formula" val="$AF$86" gte="0"/>
        <cfvo type="formula" val="$AF$86+$AB$85"/>
      </iconSet>
    </cfRule>
  </conditionalFormatting>
  <conditionalFormatting sqref="AI86">
    <cfRule type="cellIs" dxfId="962" priority="162" stopIfTrue="1" operator="greaterThanOrEqual">
      <formula>AG85</formula>
    </cfRule>
    <cfRule type="cellIs" dxfId="961" priority="164" stopIfTrue="1" operator="lessThan">
      <formula>AG85</formula>
    </cfRule>
  </conditionalFormatting>
  <conditionalFormatting sqref="AI86">
    <cfRule type="cellIs" dxfId="960" priority="163" stopIfTrue="1" operator="lessThanOrEqual">
      <formula>AD85</formula>
    </cfRule>
  </conditionalFormatting>
  <conditionalFormatting sqref="AH89">
    <cfRule type="iconSet" priority="157">
      <iconSet iconSet="5ArrowsGray" showValue="0">
        <cfvo type="percent" val="0"/>
        <cfvo type="formula" val="$AF$89-$AB$88" gte="0"/>
        <cfvo type="formula" val="$AF$89"/>
        <cfvo type="formula" val="$AF$89" gte="0"/>
        <cfvo type="formula" val="$AF$89+$AB$88"/>
      </iconSet>
    </cfRule>
  </conditionalFormatting>
  <conditionalFormatting sqref="AH89">
    <cfRule type="cellIs" dxfId="959" priority="158" stopIfTrue="1" operator="greaterThanOrEqual">
      <formula>AG88</formula>
    </cfRule>
    <cfRule type="cellIs" dxfId="958" priority="160" stopIfTrue="1" operator="lessThan">
      <formula>AG88</formula>
    </cfRule>
  </conditionalFormatting>
  <conditionalFormatting sqref="AH89">
    <cfRule type="cellIs" dxfId="957" priority="159" stopIfTrue="1" operator="lessThan">
      <formula>AD88</formula>
    </cfRule>
  </conditionalFormatting>
  <conditionalFormatting sqref="AI89">
    <cfRule type="iconSet" priority="153">
      <iconSet iconSet="5ArrowsGray" showValue="0">
        <cfvo type="percent" val="0"/>
        <cfvo type="formula" val="$AF$89-$AB$88" gte="0"/>
        <cfvo type="formula" val="$AF$89"/>
        <cfvo type="formula" val="$AF$89" gte="0"/>
        <cfvo type="formula" val="$AF$89+$AB$88"/>
      </iconSet>
    </cfRule>
  </conditionalFormatting>
  <conditionalFormatting sqref="AI89">
    <cfRule type="cellIs" dxfId="956" priority="154" stopIfTrue="1" operator="greaterThanOrEqual">
      <formula>AG88</formula>
    </cfRule>
    <cfRule type="cellIs" dxfId="955" priority="156" stopIfTrue="1" operator="lessThan">
      <formula>AG88</formula>
    </cfRule>
  </conditionalFormatting>
  <conditionalFormatting sqref="AI89">
    <cfRule type="cellIs" dxfId="954" priority="155" stopIfTrue="1" operator="lessThanOrEqual">
      <formula>AD88</formula>
    </cfRule>
  </conditionalFormatting>
  <conditionalFormatting sqref="AH92">
    <cfRule type="iconSet" priority="149">
      <iconSet iconSet="5ArrowsGray" showValue="0">
        <cfvo type="percent" val="0"/>
        <cfvo type="formula" val="$AF$92-$AB$91" gte="0"/>
        <cfvo type="formula" val="$AF$92"/>
        <cfvo type="formula" val="$AF$92" gte="0"/>
        <cfvo type="formula" val="$AF$92+$AB$91"/>
      </iconSet>
    </cfRule>
  </conditionalFormatting>
  <conditionalFormatting sqref="AH92">
    <cfRule type="cellIs" dxfId="953" priority="150" stopIfTrue="1" operator="greaterThanOrEqual">
      <formula>AG91</formula>
    </cfRule>
    <cfRule type="cellIs" dxfId="952" priority="152" stopIfTrue="1" operator="lessThan">
      <formula>AG91</formula>
    </cfRule>
  </conditionalFormatting>
  <conditionalFormatting sqref="AH92">
    <cfRule type="cellIs" dxfId="951" priority="151" stopIfTrue="1" operator="lessThan">
      <formula>AD91</formula>
    </cfRule>
  </conditionalFormatting>
  <conditionalFormatting sqref="AI92">
    <cfRule type="iconSet" priority="145">
      <iconSet iconSet="5ArrowsGray" showValue="0">
        <cfvo type="percent" val="0"/>
        <cfvo type="formula" val="$AF$92-$AB$91" gte="0"/>
        <cfvo type="formula" val="$AF$92"/>
        <cfvo type="formula" val="$AF$92" gte="0"/>
        <cfvo type="formula" val="$AF$92+$AB$91"/>
      </iconSet>
    </cfRule>
  </conditionalFormatting>
  <conditionalFormatting sqref="AI92">
    <cfRule type="cellIs" dxfId="950" priority="146" stopIfTrue="1" operator="greaterThanOrEqual">
      <formula>AG91</formula>
    </cfRule>
    <cfRule type="cellIs" dxfId="949" priority="148" stopIfTrue="1" operator="lessThan">
      <formula>AG91</formula>
    </cfRule>
  </conditionalFormatting>
  <conditionalFormatting sqref="AI92">
    <cfRule type="cellIs" dxfId="948" priority="147" stopIfTrue="1" operator="lessThanOrEqual">
      <formula>AD91</formula>
    </cfRule>
  </conditionalFormatting>
  <conditionalFormatting sqref="AH95">
    <cfRule type="iconSet" priority="141">
      <iconSet iconSet="5ArrowsGray" showValue="0">
        <cfvo type="percent" val="0"/>
        <cfvo type="formula" val="$AF$95-$AB$94" gte="0"/>
        <cfvo type="formula" val="$AF$95"/>
        <cfvo type="formula" val="$AF$95" gte="0"/>
        <cfvo type="formula" val="$AF$95+$AB$94"/>
      </iconSet>
    </cfRule>
  </conditionalFormatting>
  <conditionalFormatting sqref="AH95">
    <cfRule type="cellIs" dxfId="947" priority="142" stopIfTrue="1" operator="greaterThanOrEqual">
      <formula>AG94</formula>
    </cfRule>
    <cfRule type="cellIs" dxfId="946" priority="144" stopIfTrue="1" operator="lessThan">
      <formula>AG94</formula>
    </cfRule>
  </conditionalFormatting>
  <conditionalFormatting sqref="AH95">
    <cfRule type="cellIs" dxfId="945" priority="143" stopIfTrue="1" operator="lessThan">
      <formula>AD94</formula>
    </cfRule>
  </conditionalFormatting>
  <conditionalFormatting sqref="AI95">
    <cfRule type="iconSet" priority="137">
      <iconSet iconSet="5ArrowsGray" showValue="0">
        <cfvo type="percent" val="0"/>
        <cfvo type="formula" val="$AF$95-$AB$94" gte="0"/>
        <cfvo type="formula" val="$AF$95"/>
        <cfvo type="formula" val="$AF$95" gte="0"/>
        <cfvo type="formula" val="$AF$95+$AB$94"/>
      </iconSet>
    </cfRule>
  </conditionalFormatting>
  <conditionalFormatting sqref="AI95">
    <cfRule type="cellIs" dxfId="944" priority="138" stopIfTrue="1" operator="greaterThanOrEqual">
      <formula>AG94</formula>
    </cfRule>
    <cfRule type="cellIs" dxfId="943" priority="140" stopIfTrue="1" operator="lessThan">
      <formula>AG94</formula>
    </cfRule>
  </conditionalFormatting>
  <conditionalFormatting sqref="AI95">
    <cfRule type="cellIs" dxfId="942" priority="139" stopIfTrue="1" operator="lessThanOrEqual">
      <formula>AD94</formula>
    </cfRule>
  </conditionalFormatting>
  <conditionalFormatting sqref="AH98">
    <cfRule type="iconSet" priority="133">
      <iconSet iconSet="5ArrowsGray" showValue="0">
        <cfvo type="percent" val="0"/>
        <cfvo type="formula" val="$AF$98-$AB$97" gte="0"/>
        <cfvo type="formula" val="$AF$98"/>
        <cfvo type="formula" val="$AF$98" gte="0"/>
        <cfvo type="formula" val="$AF$98+$AB$97"/>
      </iconSet>
    </cfRule>
  </conditionalFormatting>
  <conditionalFormatting sqref="AH98">
    <cfRule type="cellIs" dxfId="941" priority="134" stopIfTrue="1" operator="greaterThanOrEqual">
      <formula>AG97</formula>
    </cfRule>
    <cfRule type="cellIs" dxfId="940" priority="136" stopIfTrue="1" operator="lessThan">
      <formula>AG97</formula>
    </cfRule>
  </conditionalFormatting>
  <conditionalFormatting sqref="AH98">
    <cfRule type="cellIs" dxfId="939" priority="135" stopIfTrue="1" operator="lessThan">
      <formula>AD97</formula>
    </cfRule>
  </conditionalFormatting>
  <conditionalFormatting sqref="AI98">
    <cfRule type="iconSet" priority="129">
      <iconSet iconSet="5ArrowsGray" showValue="0">
        <cfvo type="percent" val="0"/>
        <cfvo type="formula" val="$AF$98-$AB$97" gte="0"/>
        <cfvo type="formula" val="$AF$98"/>
        <cfvo type="formula" val="$AF$98" gte="0"/>
        <cfvo type="formula" val="$AF$98+$AB$97"/>
      </iconSet>
    </cfRule>
  </conditionalFormatting>
  <conditionalFormatting sqref="AI98">
    <cfRule type="cellIs" dxfId="938" priority="130" stopIfTrue="1" operator="greaterThanOrEqual">
      <formula>AG97</formula>
    </cfRule>
    <cfRule type="cellIs" dxfId="937" priority="132" stopIfTrue="1" operator="lessThan">
      <formula>AG97</formula>
    </cfRule>
  </conditionalFormatting>
  <conditionalFormatting sqref="AI98">
    <cfRule type="cellIs" dxfId="936" priority="131" stopIfTrue="1" operator="lessThanOrEqual">
      <formula>AD97</formula>
    </cfRule>
  </conditionalFormatting>
  <conditionalFormatting sqref="AH101">
    <cfRule type="iconSet" priority="125">
      <iconSet iconSet="5ArrowsGray" showValue="0">
        <cfvo type="percent" val="0"/>
        <cfvo type="formula" val="$AF$101-$AB$100" gte="0"/>
        <cfvo type="formula" val="$AF$101"/>
        <cfvo type="formula" val="$AF$101" gte="0"/>
        <cfvo type="formula" val="$AF$101+$AB$100"/>
      </iconSet>
    </cfRule>
  </conditionalFormatting>
  <conditionalFormatting sqref="AH101">
    <cfRule type="cellIs" dxfId="935" priority="126" stopIfTrue="1" operator="greaterThanOrEqual">
      <formula>AG100</formula>
    </cfRule>
    <cfRule type="cellIs" dxfId="934" priority="128" stopIfTrue="1" operator="lessThan">
      <formula>AG100</formula>
    </cfRule>
  </conditionalFormatting>
  <conditionalFormatting sqref="AH101">
    <cfRule type="cellIs" dxfId="933" priority="127" stopIfTrue="1" operator="lessThan">
      <formula>AD100</formula>
    </cfRule>
  </conditionalFormatting>
  <conditionalFormatting sqref="AI101">
    <cfRule type="iconSet" priority="121">
      <iconSet iconSet="5ArrowsGray" showValue="0">
        <cfvo type="percent" val="0"/>
        <cfvo type="formula" val="$AF$101-$AB$100" gte="0"/>
        <cfvo type="formula" val="$AF$101"/>
        <cfvo type="formula" val="$AF$101" gte="0"/>
        <cfvo type="formula" val="$AF$101+$AB$100"/>
      </iconSet>
    </cfRule>
  </conditionalFormatting>
  <conditionalFormatting sqref="AI101">
    <cfRule type="cellIs" dxfId="932" priority="122" stopIfTrue="1" operator="greaterThanOrEqual">
      <formula>AG100</formula>
    </cfRule>
    <cfRule type="cellIs" dxfId="931" priority="124" stopIfTrue="1" operator="lessThan">
      <formula>AG100</formula>
    </cfRule>
  </conditionalFormatting>
  <conditionalFormatting sqref="AI101">
    <cfRule type="cellIs" dxfId="930" priority="123" stopIfTrue="1" operator="lessThanOrEqual">
      <formula>AD100</formula>
    </cfRule>
  </conditionalFormatting>
  <conditionalFormatting sqref="AH104">
    <cfRule type="iconSet" priority="117">
      <iconSet iconSet="5ArrowsGray" showValue="0">
        <cfvo type="percent" val="0"/>
        <cfvo type="formula" val="$AF$104-$AB$103" gte="0"/>
        <cfvo type="formula" val="$AF$104"/>
        <cfvo type="formula" val="$AF$104" gte="0"/>
        <cfvo type="formula" val="$AF$104+$AB$103"/>
      </iconSet>
    </cfRule>
  </conditionalFormatting>
  <conditionalFormatting sqref="AH104">
    <cfRule type="cellIs" dxfId="929" priority="118" stopIfTrue="1" operator="greaterThanOrEqual">
      <formula>AG103</formula>
    </cfRule>
    <cfRule type="cellIs" dxfId="928" priority="120" stopIfTrue="1" operator="lessThan">
      <formula>AG103</formula>
    </cfRule>
  </conditionalFormatting>
  <conditionalFormatting sqref="AH104">
    <cfRule type="cellIs" dxfId="927" priority="119" stopIfTrue="1" operator="lessThan">
      <formula>AD103</formula>
    </cfRule>
  </conditionalFormatting>
  <conditionalFormatting sqref="AI104">
    <cfRule type="iconSet" priority="113">
      <iconSet iconSet="5ArrowsGray" showValue="0">
        <cfvo type="percent" val="0"/>
        <cfvo type="formula" val="$AF$104-$AB$103" gte="0"/>
        <cfvo type="formula" val="$AF$104"/>
        <cfvo type="formula" val="$AF$104" gte="0"/>
        <cfvo type="formula" val="$AF$104+$AB$103"/>
      </iconSet>
    </cfRule>
  </conditionalFormatting>
  <conditionalFormatting sqref="AI104">
    <cfRule type="cellIs" dxfId="926" priority="114" stopIfTrue="1" operator="greaterThanOrEqual">
      <formula>AG103</formula>
    </cfRule>
    <cfRule type="cellIs" dxfId="925" priority="116" stopIfTrue="1" operator="lessThan">
      <formula>AG103</formula>
    </cfRule>
  </conditionalFormatting>
  <conditionalFormatting sqref="AI104">
    <cfRule type="cellIs" dxfId="924" priority="115" stopIfTrue="1" operator="lessThanOrEqual">
      <formula>AD103</formula>
    </cfRule>
  </conditionalFormatting>
  <conditionalFormatting sqref="AH107">
    <cfRule type="iconSet" priority="109">
      <iconSet iconSet="5ArrowsGray" showValue="0">
        <cfvo type="percent" val="0"/>
        <cfvo type="formula" val="$AF$107-$AB$106" gte="0"/>
        <cfvo type="formula" val="$AF$107"/>
        <cfvo type="formula" val="$AF$107" gte="0"/>
        <cfvo type="formula" val="$AF$107+$AB$106"/>
      </iconSet>
    </cfRule>
  </conditionalFormatting>
  <conditionalFormatting sqref="AH107">
    <cfRule type="cellIs" dxfId="923" priority="110" stopIfTrue="1" operator="greaterThanOrEqual">
      <formula>AG106</formula>
    </cfRule>
    <cfRule type="cellIs" dxfId="922" priority="112" stopIfTrue="1" operator="lessThan">
      <formula>AG106</formula>
    </cfRule>
  </conditionalFormatting>
  <conditionalFormatting sqref="AH107">
    <cfRule type="cellIs" dxfId="921" priority="111" stopIfTrue="1" operator="lessThan">
      <formula>AD106</formula>
    </cfRule>
  </conditionalFormatting>
  <conditionalFormatting sqref="AI107">
    <cfRule type="iconSet" priority="105">
      <iconSet iconSet="5ArrowsGray" showValue="0">
        <cfvo type="percent" val="0"/>
        <cfvo type="formula" val="$AF$107-$AB$106" gte="0"/>
        <cfvo type="formula" val="$AF$107"/>
        <cfvo type="formula" val="$AF$107" gte="0"/>
        <cfvo type="formula" val="$AF$107+$AB$106"/>
      </iconSet>
    </cfRule>
  </conditionalFormatting>
  <conditionalFormatting sqref="AI107">
    <cfRule type="cellIs" dxfId="920" priority="106" stopIfTrue="1" operator="greaterThanOrEqual">
      <formula>AG106</formula>
    </cfRule>
    <cfRule type="cellIs" dxfId="919" priority="108" stopIfTrue="1" operator="lessThan">
      <formula>AG106</formula>
    </cfRule>
  </conditionalFormatting>
  <conditionalFormatting sqref="AI107">
    <cfRule type="cellIs" dxfId="918" priority="107" stopIfTrue="1" operator="lessThanOrEqual">
      <formula>AD106</formula>
    </cfRule>
  </conditionalFormatting>
  <conditionalFormatting sqref="AH110">
    <cfRule type="iconSet" priority="101">
      <iconSet iconSet="5ArrowsGray" showValue="0">
        <cfvo type="percent" val="0"/>
        <cfvo type="formula" val="$AF$110-$AB$109" gte="0"/>
        <cfvo type="formula" val="$AF$110"/>
        <cfvo type="formula" val="$AF$110" gte="0"/>
        <cfvo type="formula" val="$AF$110+$AB$109"/>
      </iconSet>
    </cfRule>
  </conditionalFormatting>
  <conditionalFormatting sqref="AH110">
    <cfRule type="cellIs" dxfId="917" priority="102" stopIfTrue="1" operator="greaterThanOrEqual">
      <formula>AG109</formula>
    </cfRule>
    <cfRule type="cellIs" dxfId="916" priority="104" stopIfTrue="1" operator="lessThan">
      <formula>AG109</formula>
    </cfRule>
  </conditionalFormatting>
  <conditionalFormatting sqref="AH110">
    <cfRule type="cellIs" dxfId="915" priority="103" stopIfTrue="1" operator="lessThan">
      <formula>AD109</formula>
    </cfRule>
  </conditionalFormatting>
  <conditionalFormatting sqref="AI110">
    <cfRule type="iconSet" priority="97">
      <iconSet iconSet="5ArrowsGray" showValue="0">
        <cfvo type="percent" val="0"/>
        <cfvo type="formula" val="$AF$110-$AB$109" gte="0"/>
        <cfvo type="formula" val="$AF$110"/>
        <cfvo type="formula" val="$AF$110" gte="0"/>
        <cfvo type="formula" val="$AF$110+$AB$109"/>
      </iconSet>
    </cfRule>
  </conditionalFormatting>
  <conditionalFormatting sqref="AI110">
    <cfRule type="cellIs" dxfId="914" priority="98" stopIfTrue="1" operator="greaterThanOrEqual">
      <formula>AG109</formula>
    </cfRule>
    <cfRule type="cellIs" dxfId="913" priority="100" stopIfTrue="1" operator="lessThan">
      <formula>AG109</formula>
    </cfRule>
  </conditionalFormatting>
  <conditionalFormatting sqref="AI110">
    <cfRule type="cellIs" dxfId="912" priority="99" stopIfTrue="1" operator="lessThanOrEqual">
      <formula>AD109</formula>
    </cfRule>
  </conditionalFormatting>
  <conditionalFormatting sqref="AH113">
    <cfRule type="iconSet" priority="93">
      <iconSet iconSet="5ArrowsGray" showValue="0">
        <cfvo type="percent" val="0"/>
        <cfvo type="formula" val="$AF$113-$AB$112" gte="0"/>
        <cfvo type="formula" val="$AF$113"/>
        <cfvo type="formula" val="$AF$113" gte="0"/>
        <cfvo type="formula" val="$AF$113+$AB$112"/>
      </iconSet>
    </cfRule>
  </conditionalFormatting>
  <conditionalFormatting sqref="AH113">
    <cfRule type="cellIs" dxfId="911" priority="94" stopIfTrue="1" operator="greaterThanOrEqual">
      <formula>AG112</formula>
    </cfRule>
    <cfRule type="cellIs" dxfId="910" priority="96" stopIfTrue="1" operator="lessThan">
      <formula>AG112</formula>
    </cfRule>
  </conditionalFormatting>
  <conditionalFormatting sqref="AH113">
    <cfRule type="cellIs" dxfId="909" priority="95" stopIfTrue="1" operator="lessThan">
      <formula>AD112</formula>
    </cfRule>
  </conditionalFormatting>
  <conditionalFormatting sqref="AI113">
    <cfRule type="iconSet" priority="89">
      <iconSet iconSet="5ArrowsGray" showValue="0">
        <cfvo type="percent" val="0"/>
        <cfvo type="formula" val="$AF$113-$AB$112" gte="0"/>
        <cfvo type="formula" val="$AF$113"/>
        <cfvo type="formula" val="$AF$113" gte="0"/>
        <cfvo type="formula" val="$AF$113+$AB$112"/>
      </iconSet>
    </cfRule>
  </conditionalFormatting>
  <conditionalFormatting sqref="AI113">
    <cfRule type="cellIs" dxfId="908" priority="90" stopIfTrue="1" operator="greaterThanOrEqual">
      <formula>AG112</formula>
    </cfRule>
    <cfRule type="cellIs" dxfId="907" priority="92" stopIfTrue="1" operator="lessThan">
      <formula>AG112</formula>
    </cfRule>
  </conditionalFormatting>
  <conditionalFormatting sqref="AI113">
    <cfRule type="cellIs" dxfId="906" priority="91" stopIfTrue="1" operator="lessThanOrEqual">
      <formula>AD112</formula>
    </cfRule>
  </conditionalFormatting>
  <conditionalFormatting sqref="AH116">
    <cfRule type="iconSet" priority="85">
      <iconSet iconSet="5ArrowsGray" showValue="0">
        <cfvo type="percent" val="0"/>
        <cfvo type="formula" val="$AF$116-$AB$115" gte="0"/>
        <cfvo type="formula" val="$AF$116"/>
        <cfvo type="formula" val="$AF$116" gte="0"/>
        <cfvo type="formula" val="$AF$116+$AB$115"/>
      </iconSet>
    </cfRule>
  </conditionalFormatting>
  <conditionalFormatting sqref="AH116">
    <cfRule type="cellIs" dxfId="905" priority="86" stopIfTrue="1" operator="greaterThanOrEqual">
      <formula>AG115</formula>
    </cfRule>
    <cfRule type="cellIs" dxfId="904" priority="88" stopIfTrue="1" operator="lessThan">
      <formula>AG115</formula>
    </cfRule>
  </conditionalFormatting>
  <conditionalFormatting sqref="AH116">
    <cfRule type="cellIs" dxfId="903" priority="87" stopIfTrue="1" operator="lessThan">
      <formula>AD115</formula>
    </cfRule>
  </conditionalFormatting>
  <conditionalFormatting sqref="AI116">
    <cfRule type="iconSet" priority="81">
      <iconSet iconSet="5ArrowsGray" showValue="0">
        <cfvo type="percent" val="0"/>
        <cfvo type="formula" val="$AF$116-$AB$115" gte="0"/>
        <cfvo type="formula" val="$AF$116"/>
        <cfvo type="formula" val="$AF$116" gte="0"/>
        <cfvo type="formula" val="$AF$116+$AB$115"/>
      </iconSet>
    </cfRule>
  </conditionalFormatting>
  <conditionalFormatting sqref="AI116">
    <cfRule type="cellIs" dxfId="902" priority="82" stopIfTrue="1" operator="greaterThanOrEqual">
      <formula>AG115</formula>
    </cfRule>
    <cfRule type="cellIs" dxfId="901" priority="84" stopIfTrue="1" operator="lessThan">
      <formula>AG115</formula>
    </cfRule>
  </conditionalFormatting>
  <conditionalFormatting sqref="AI116">
    <cfRule type="cellIs" dxfId="900" priority="83" stopIfTrue="1" operator="lessThanOrEqual">
      <formula>AD115</formula>
    </cfRule>
  </conditionalFormatting>
  <conditionalFormatting sqref="AH119">
    <cfRule type="iconSet" priority="77">
      <iconSet iconSet="5ArrowsGray" showValue="0">
        <cfvo type="percent" val="0"/>
        <cfvo type="formula" val="$AF$119-$AB$118" gte="0"/>
        <cfvo type="formula" val="$AF$119"/>
        <cfvo type="formula" val="$AF$119" gte="0"/>
        <cfvo type="formula" val="$AF$119+$AB$118"/>
      </iconSet>
    </cfRule>
  </conditionalFormatting>
  <conditionalFormatting sqref="AH119">
    <cfRule type="cellIs" dxfId="899" priority="78" stopIfTrue="1" operator="greaterThanOrEqual">
      <formula>AG118</formula>
    </cfRule>
    <cfRule type="cellIs" dxfId="898" priority="80" stopIfTrue="1" operator="lessThan">
      <formula>AG118</formula>
    </cfRule>
  </conditionalFormatting>
  <conditionalFormatting sqref="AH119">
    <cfRule type="cellIs" dxfId="897" priority="79" stopIfTrue="1" operator="lessThan">
      <formula>AD118</formula>
    </cfRule>
  </conditionalFormatting>
  <conditionalFormatting sqref="AI119">
    <cfRule type="iconSet" priority="73">
      <iconSet iconSet="5ArrowsGray" showValue="0">
        <cfvo type="percent" val="0"/>
        <cfvo type="formula" val="$AF$119-$AB$118" gte="0"/>
        <cfvo type="formula" val="$AF$119"/>
        <cfvo type="formula" val="$AF$119" gte="0"/>
        <cfvo type="formula" val="$AF$119+$AB$118"/>
      </iconSet>
    </cfRule>
  </conditionalFormatting>
  <conditionalFormatting sqref="AI119">
    <cfRule type="cellIs" dxfId="896" priority="74" stopIfTrue="1" operator="greaterThanOrEqual">
      <formula>AG118</formula>
    </cfRule>
    <cfRule type="cellIs" dxfId="895" priority="76" stopIfTrue="1" operator="lessThan">
      <formula>AG118</formula>
    </cfRule>
  </conditionalFormatting>
  <conditionalFormatting sqref="AI119">
    <cfRule type="cellIs" dxfId="894" priority="75" stopIfTrue="1" operator="lessThanOrEqual">
      <formula>AD118</formula>
    </cfRule>
  </conditionalFormatting>
  <conditionalFormatting sqref="AH122">
    <cfRule type="iconSet" priority="69">
      <iconSet iconSet="5ArrowsGray" showValue="0">
        <cfvo type="percent" val="0"/>
        <cfvo type="formula" val="$AF$122-$AB$121" gte="0"/>
        <cfvo type="formula" val="$AF$122"/>
        <cfvo type="formula" val="$AF$122" gte="0"/>
        <cfvo type="formula" val="$AF$122+$AB$121"/>
      </iconSet>
    </cfRule>
  </conditionalFormatting>
  <conditionalFormatting sqref="AH122">
    <cfRule type="cellIs" dxfId="893" priority="70" stopIfTrue="1" operator="greaterThanOrEqual">
      <formula>AG121</formula>
    </cfRule>
    <cfRule type="cellIs" dxfId="892" priority="72" stopIfTrue="1" operator="lessThan">
      <formula>AG121</formula>
    </cfRule>
  </conditionalFormatting>
  <conditionalFormatting sqref="AH122">
    <cfRule type="cellIs" dxfId="891" priority="71" stopIfTrue="1" operator="lessThan">
      <formula>AD121</formula>
    </cfRule>
  </conditionalFormatting>
  <conditionalFormatting sqref="AI122">
    <cfRule type="iconSet" priority="65">
      <iconSet iconSet="5ArrowsGray" showValue="0">
        <cfvo type="percent" val="0"/>
        <cfvo type="formula" val="$AF$122-$AB$121" gte="0"/>
        <cfvo type="formula" val="$AF$122"/>
        <cfvo type="formula" val="$AF$122" gte="0"/>
        <cfvo type="formula" val="$AF$122+$AB$121"/>
      </iconSet>
    </cfRule>
  </conditionalFormatting>
  <conditionalFormatting sqref="AI122">
    <cfRule type="cellIs" dxfId="890" priority="66" stopIfTrue="1" operator="greaterThanOrEqual">
      <formula>AG121</formula>
    </cfRule>
    <cfRule type="cellIs" dxfId="889" priority="68" stopIfTrue="1" operator="lessThan">
      <formula>AG121</formula>
    </cfRule>
  </conditionalFormatting>
  <conditionalFormatting sqref="AI122">
    <cfRule type="cellIs" dxfId="888" priority="67" stopIfTrue="1" operator="lessThanOrEqual">
      <formula>AD121</formula>
    </cfRule>
  </conditionalFormatting>
  <conditionalFormatting sqref="AH125">
    <cfRule type="iconSet" priority="61">
      <iconSet iconSet="5ArrowsGray" showValue="0">
        <cfvo type="percent" val="0"/>
        <cfvo type="formula" val="$AF$125-$AB$124" gte="0"/>
        <cfvo type="formula" val="$AF$125"/>
        <cfvo type="formula" val="$AF$125" gte="0"/>
        <cfvo type="formula" val="$AF$125+$AB$124"/>
      </iconSet>
    </cfRule>
  </conditionalFormatting>
  <conditionalFormatting sqref="AH125">
    <cfRule type="cellIs" dxfId="887" priority="62" stopIfTrue="1" operator="greaterThanOrEqual">
      <formula>AG124</formula>
    </cfRule>
    <cfRule type="cellIs" dxfId="886" priority="64" stopIfTrue="1" operator="lessThan">
      <formula>AG124</formula>
    </cfRule>
  </conditionalFormatting>
  <conditionalFormatting sqref="AH125">
    <cfRule type="cellIs" dxfId="885" priority="63" stopIfTrue="1" operator="lessThan">
      <formula>AD124</formula>
    </cfRule>
  </conditionalFormatting>
  <conditionalFormatting sqref="AI125">
    <cfRule type="iconSet" priority="57">
      <iconSet iconSet="5ArrowsGray" showValue="0">
        <cfvo type="percent" val="0"/>
        <cfvo type="formula" val="$AF$125-$AB$124" gte="0"/>
        <cfvo type="formula" val="$AF$125"/>
        <cfvo type="formula" val="$AF$125" gte="0"/>
        <cfvo type="formula" val="$AF$125+$AB$124"/>
      </iconSet>
    </cfRule>
  </conditionalFormatting>
  <conditionalFormatting sqref="AI125">
    <cfRule type="cellIs" dxfId="884" priority="58" stopIfTrue="1" operator="greaterThanOrEqual">
      <formula>AG124</formula>
    </cfRule>
    <cfRule type="cellIs" dxfId="883" priority="60" stopIfTrue="1" operator="lessThan">
      <formula>AG124</formula>
    </cfRule>
  </conditionalFormatting>
  <conditionalFormatting sqref="AI125">
    <cfRule type="cellIs" dxfId="882" priority="59" stopIfTrue="1" operator="lessThanOrEqual">
      <formula>AD124</formula>
    </cfRule>
  </conditionalFormatting>
  <conditionalFormatting sqref="AH128">
    <cfRule type="iconSet" priority="53">
      <iconSet iconSet="5ArrowsGray" showValue="0">
        <cfvo type="percent" val="0"/>
        <cfvo type="formula" val="$AF$128-$AB$127" gte="0"/>
        <cfvo type="formula" val="$AF$128"/>
        <cfvo type="formula" val="$AF$128" gte="0"/>
        <cfvo type="formula" val="$AF$128+$AB$127"/>
      </iconSet>
    </cfRule>
  </conditionalFormatting>
  <conditionalFormatting sqref="AH128">
    <cfRule type="cellIs" dxfId="881" priority="54" stopIfTrue="1" operator="greaterThanOrEqual">
      <formula>AG127</formula>
    </cfRule>
    <cfRule type="cellIs" dxfId="880" priority="56" stopIfTrue="1" operator="lessThan">
      <formula>AG127</formula>
    </cfRule>
  </conditionalFormatting>
  <conditionalFormatting sqref="AH128">
    <cfRule type="cellIs" dxfId="879" priority="55" stopIfTrue="1" operator="lessThan">
      <formula>AD127</formula>
    </cfRule>
  </conditionalFormatting>
  <conditionalFormatting sqref="AI128">
    <cfRule type="iconSet" priority="49">
      <iconSet iconSet="5ArrowsGray" showValue="0">
        <cfvo type="percent" val="0"/>
        <cfvo type="formula" val="$AF$128-$AB$127" gte="0"/>
        <cfvo type="formula" val="$AF$128"/>
        <cfvo type="formula" val="$AF$128" gte="0"/>
        <cfvo type="formula" val="$AF$128+$AB$127"/>
      </iconSet>
    </cfRule>
  </conditionalFormatting>
  <conditionalFormatting sqref="AI128">
    <cfRule type="cellIs" dxfId="878" priority="50" stopIfTrue="1" operator="greaterThanOrEqual">
      <formula>AG127</formula>
    </cfRule>
    <cfRule type="cellIs" dxfId="877" priority="52" stopIfTrue="1" operator="lessThan">
      <formula>AG127</formula>
    </cfRule>
  </conditionalFormatting>
  <conditionalFormatting sqref="AI128">
    <cfRule type="cellIs" dxfId="876" priority="51" stopIfTrue="1" operator="lessThanOrEqual">
      <formula>AD127</formula>
    </cfRule>
  </conditionalFormatting>
  <conditionalFormatting sqref="AH131">
    <cfRule type="iconSet" priority="45">
      <iconSet iconSet="5ArrowsGray" showValue="0">
        <cfvo type="percent" val="0"/>
        <cfvo type="formula" val="$AF$131-$AB$130" gte="0"/>
        <cfvo type="formula" val="$AF$131"/>
        <cfvo type="formula" val="$AF$131" gte="0"/>
        <cfvo type="formula" val="$AF$131+$AB$130"/>
      </iconSet>
    </cfRule>
  </conditionalFormatting>
  <conditionalFormatting sqref="AH131">
    <cfRule type="cellIs" dxfId="875" priority="46" stopIfTrue="1" operator="greaterThanOrEqual">
      <formula>AG130</formula>
    </cfRule>
    <cfRule type="cellIs" dxfId="874" priority="48" stopIfTrue="1" operator="lessThan">
      <formula>AG130</formula>
    </cfRule>
  </conditionalFormatting>
  <conditionalFormatting sqref="AH131">
    <cfRule type="cellIs" dxfId="873" priority="47" stopIfTrue="1" operator="lessThan">
      <formula>AD130</formula>
    </cfRule>
  </conditionalFormatting>
  <conditionalFormatting sqref="AI131">
    <cfRule type="iconSet" priority="41">
      <iconSet iconSet="5ArrowsGray" showValue="0">
        <cfvo type="percent" val="0"/>
        <cfvo type="formula" val="$AF$131-$AB$130" gte="0"/>
        <cfvo type="formula" val="$AF$131"/>
        <cfvo type="formula" val="$AF$131" gte="0"/>
        <cfvo type="formula" val="$AF$131+$AB$130"/>
      </iconSet>
    </cfRule>
  </conditionalFormatting>
  <conditionalFormatting sqref="AI131">
    <cfRule type="cellIs" dxfId="872" priority="42" stopIfTrue="1" operator="greaterThanOrEqual">
      <formula>AG130</formula>
    </cfRule>
    <cfRule type="cellIs" dxfId="871" priority="44" stopIfTrue="1" operator="lessThan">
      <formula>AG130</formula>
    </cfRule>
  </conditionalFormatting>
  <conditionalFormatting sqref="AI131">
    <cfRule type="cellIs" dxfId="870" priority="43" stopIfTrue="1" operator="lessThanOrEqual">
      <formula>AD130</formula>
    </cfRule>
  </conditionalFormatting>
  <conditionalFormatting sqref="AH134">
    <cfRule type="iconSet" priority="37">
      <iconSet iconSet="5ArrowsGray" showValue="0">
        <cfvo type="percent" val="0"/>
        <cfvo type="formula" val="$AF$134-$AB$133" gte="0"/>
        <cfvo type="formula" val="$AF$134"/>
        <cfvo type="formula" val="$AF$134" gte="0"/>
        <cfvo type="formula" val="$AF$134+$AB$133"/>
      </iconSet>
    </cfRule>
  </conditionalFormatting>
  <conditionalFormatting sqref="AH134">
    <cfRule type="cellIs" dxfId="869" priority="38" stopIfTrue="1" operator="greaterThanOrEqual">
      <formula>AG133</formula>
    </cfRule>
    <cfRule type="cellIs" dxfId="868" priority="40" stopIfTrue="1" operator="lessThan">
      <formula>AG133</formula>
    </cfRule>
  </conditionalFormatting>
  <conditionalFormatting sqref="AH134">
    <cfRule type="cellIs" dxfId="867" priority="39" stopIfTrue="1" operator="lessThan">
      <formula>AD133</formula>
    </cfRule>
  </conditionalFormatting>
  <conditionalFormatting sqref="AI134">
    <cfRule type="iconSet" priority="33">
      <iconSet iconSet="5ArrowsGray" showValue="0">
        <cfvo type="percent" val="0"/>
        <cfvo type="formula" val="$AF$134-$AB$133" gte="0"/>
        <cfvo type="formula" val="$AF$134"/>
        <cfvo type="formula" val="$AF$134" gte="0"/>
        <cfvo type="formula" val="$AF$134+$AB$133"/>
      </iconSet>
    </cfRule>
  </conditionalFormatting>
  <conditionalFormatting sqref="AI134">
    <cfRule type="cellIs" dxfId="866" priority="34" stopIfTrue="1" operator="greaterThanOrEqual">
      <formula>AG133</formula>
    </cfRule>
    <cfRule type="cellIs" dxfId="865" priority="36" stopIfTrue="1" operator="lessThan">
      <formula>AG133</formula>
    </cfRule>
  </conditionalFormatting>
  <conditionalFormatting sqref="AI134">
    <cfRule type="cellIs" dxfId="864" priority="35" stopIfTrue="1" operator="lessThanOrEqual">
      <formula>AD133</formula>
    </cfRule>
  </conditionalFormatting>
  <conditionalFormatting sqref="AH137">
    <cfRule type="iconSet" priority="29">
      <iconSet iconSet="5ArrowsGray" showValue="0">
        <cfvo type="percent" val="0"/>
        <cfvo type="formula" val="$AF$137-$AB$136" gte="0"/>
        <cfvo type="formula" val="$AF$137"/>
        <cfvo type="formula" val="$AF$137" gte="0"/>
        <cfvo type="formula" val="$AF$137+$AB$136"/>
      </iconSet>
    </cfRule>
  </conditionalFormatting>
  <conditionalFormatting sqref="AH137">
    <cfRule type="cellIs" dxfId="863" priority="30" stopIfTrue="1" operator="greaterThanOrEqual">
      <formula>AG136</formula>
    </cfRule>
    <cfRule type="cellIs" dxfId="862" priority="32" stopIfTrue="1" operator="lessThan">
      <formula>AG136</formula>
    </cfRule>
  </conditionalFormatting>
  <conditionalFormatting sqref="AH137">
    <cfRule type="cellIs" dxfId="861" priority="31" stopIfTrue="1" operator="lessThan">
      <formula>AD136</formula>
    </cfRule>
  </conditionalFormatting>
  <conditionalFormatting sqref="AI137">
    <cfRule type="iconSet" priority="25">
      <iconSet iconSet="5ArrowsGray" showValue="0">
        <cfvo type="percent" val="0"/>
        <cfvo type="formula" val="$AF$137-$AB$136" gte="0"/>
        <cfvo type="formula" val="$AF$137"/>
        <cfvo type="formula" val="$AF$137" gte="0"/>
        <cfvo type="formula" val="$AF$137+$AB$136"/>
      </iconSet>
    </cfRule>
  </conditionalFormatting>
  <conditionalFormatting sqref="AI137">
    <cfRule type="cellIs" dxfId="860" priority="26" stopIfTrue="1" operator="greaterThanOrEqual">
      <formula>AG136</formula>
    </cfRule>
    <cfRule type="cellIs" dxfId="859" priority="28" stopIfTrue="1" operator="lessThan">
      <formula>AG136</formula>
    </cfRule>
  </conditionalFormatting>
  <conditionalFormatting sqref="AI137">
    <cfRule type="cellIs" dxfId="858" priority="27" stopIfTrue="1" operator="lessThanOrEqual">
      <formula>AD136</formula>
    </cfRule>
  </conditionalFormatting>
  <conditionalFormatting sqref="AH140">
    <cfRule type="iconSet" priority="21">
      <iconSet iconSet="5ArrowsGray" showValue="0">
        <cfvo type="percent" val="0"/>
        <cfvo type="formula" val="$AF$140-$AB$139" gte="0"/>
        <cfvo type="formula" val="$AF$140"/>
        <cfvo type="formula" val="$AF$140" gte="0"/>
        <cfvo type="formula" val="$AF$140+$AB$139"/>
      </iconSet>
    </cfRule>
  </conditionalFormatting>
  <conditionalFormatting sqref="AH140">
    <cfRule type="cellIs" dxfId="857" priority="22" stopIfTrue="1" operator="greaterThanOrEqual">
      <formula>AG139</formula>
    </cfRule>
    <cfRule type="cellIs" dxfId="856" priority="24" stopIfTrue="1" operator="lessThan">
      <formula>AG139</formula>
    </cfRule>
  </conditionalFormatting>
  <conditionalFormatting sqref="AH140">
    <cfRule type="cellIs" dxfId="855" priority="23" stopIfTrue="1" operator="lessThan">
      <formula>AD139</formula>
    </cfRule>
  </conditionalFormatting>
  <conditionalFormatting sqref="AI140">
    <cfRule type="iconSet" priority="17">
      <iconSet iconSet="5ArrowsGray" showValue="0">
        <cfvo type="percent" val="0"/>
        <cfvo type="formula" val="$AF$140-$AB$139" gte="0"/>
        <cfvo type="formula" val="$AF$140"/>
        <cfvo type="formula" val="$AF$140" gte="0"/>
        <cfvo type="formula" val="$AF$140+$AB$139"/>
      </iconSet>
    </cfRule>
  </conditionalFormatting>
  <conditionalFormatting sqref="AI140">
    <cfRule type="cellIs" dxfId="854" priority="18" stopIfTrue="1" operator="greaterThanOrEqual">
      <formula>AG139</formula>
    </cfRule>
    <cfRule type="cellIs" dxfId="853" priority="20" stopIfTrue="1" operator="lessThan">
      <formula>AG139</formula>
    </cfRule>
  </conditionalFormatting>
  <conditionalFormatting sqref="AI140">
    <cfRule type="cellIs" dxfId="852" priority="19" stopIfTrue="1" operator="lessThanOrEqual">
      <formula>AD139</formula>
    </cfRule>
  </conditionalFormatting>
  <conditionalFormatting sqref="AH143">
    <cfRule type="iconSet" priority="13">
      <iconSet iconSet="5ArrowsGray" showValue="0">
        <cfvo type="percent" val="0"/>
        <cfvo type="formula" val="$AF$143-$AB$142" gte="0"/>
        <cfvo type="formula" val="$AF$143"/>
        <cfvo type="formula" val="$AF$143" gte="0"/>
        <cfvo type="formula" val="$AF$143+$AB$142"/>
      </iconSet>
    </cfRule>
  </conditionalFormatting>
  <conditionalFormatting sqref="AH143">
    <cfRule type="cellIs" dxfId="851" priority="14" stopIfTrue="1" operator="greaterThanOrEqual">
      <formula>AG142</formula>
    </cfRule>
    <cfRule type="cellIs" dxfId="850" priority="16" stopIfTrue="1" operator="lessThan">
      <formula>AG142</formula>
    </cfRule>
  </conditionalFormatting>
  <conditionalFormatting sqref="AH143">
    <cfRule type="cellIs" dxfId="849" priority="15" stopIfTrue="1" operator="lessThan">
      <formula>AD142</formula>
    </cfRule>
  </conditionalFormatting>
  <conditionalFormatting sqref="AI143">
    <cfRule type="iconSet" priority="9">
      <iconSet iconSet="5ArrowsGray" showValue="0">
        <cfvo type="percent" val="0"/>
        <cfvo type="formula" val="$AF$143-$AB$142" gte="0"/>
        <cfvo type="formula" val="$AF$143"/>
        <cfvo type="formula" val="$AF$143" gte="0"/>
        <cfvo type="formula" val="$AF$143+$AB$142"/>
      </iconSet>
    </cfRule>
  </conditionalFormatting>
  <conditionalFormatting sqref="AI143">
    <cfRule type="cellIs" dxfId="848" priority="10" stopIfTrue="1" operator="greaterThanOrEqual">
      <formula>AG142</formula>
    </cfRule>
    <cfRule type="cellIs" dxfId="847" priority="12" stopIfTrue="1" operator="lessThan">
      <formula>AG142</formula>
    </cfRule>
  </conditionalFormatting>
  <conditionalFormatting sqref="AI143">
    <cfRule type="cellIs" dxfId="846" priority="11" stopIfTrue="1" operator="lessThanOrEqual">
      <formula>AD142</formula>
    </cfRule>
  </conditionalFormatting>
  <conditionalFormatting sqref="AH146">
    <cfRule type="iconSet" priority="5">
      <iconSet iconSet="5ArrowsGray" showValue="0">
        <cfvo type="percent" val="0"/>
        <cfvo type="formula" val="$AF$146-$AB$145" gte="0"/>
        <cfvo type="formula" val="$AF$146"/>
        <cfvo type="formula" val="$AF$146" gte="0"/>
        <cfvo type="formula" val="$AF$146+$AB$145"/>
      </iconSet>
    </cfRule>
  </conditionalFormatting>
  <conditionalFormatting sqref="AH146">
    <cfRule type="cellIs" dxfId="845" priority="6" stopIfTrue="1" operator="greaterThanOrEqual">
      <formula>AG145</formula>
    </cfRule>
    <cfRule type="cellIs" dxfId="844" priority="8" stopIfTrue="1" operator="lessThan">
      <formula>AG145</formula>
    </cfRule>
  </conditionalFormatting>
  <conditionalFormatting sqref="AH146">
    <cfRule type="cellIs" dxfId="843" priority="7" stopIfTrue="1" operator="lessThan">
      <formula>AD145</formula>
    </cfRule>
  </conditionalFormatting>
  <conditionalFormatting sqref="AI146">
    <cfRule type="iconSet" priority="1">
      <iconSet iconSet="5ArrowsGray" showValue="0">
        <cfvo type="percent" val="0"/>
        <cfvo type="formula" val="$AF$146-$AB$145" gte="0"/>
        <cfvo type="formula" val="$AF$146"/>
        <cfvo type="formula" val="$AF$146" gte="0"/>
        <cfvo type="formula" val="$AF$146+$AB$145"/>
      </iconSet>
    </cfRule>
  </conditionalFormatting>
  <conditionalFormatting sqref="AI146">
    <cfRule type="cellIs" dxfId="842" priority="2" stopIfTrue="1" operator="greaterThanOrEqual">
      <formula>AG145</formula>
    </cfRule>
    <cfRule type="cellIs" dxfId="841" priority="4" stopIfTrue="1" operator="lessThan">
      <formula>AG145</formula>
    </cfRule>
  </conditionalFormatting>
  <conditionalFormatting sqref="AI146">
    <cfRule type="cellIs" dxfId="840" priority="3" stopIfTrue="1" operator="lessThanOrEqual">
      <formula>AD145</formula>
    </cfRule>
  </conditionalFormatting>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tint="0.39997558519241921"/>
  </sheetPr>
  <dimension ref="A1:AB157"/>
  <sheetViews>
    <sheetView workbookViewId="0">
      <pane xSplit="2" ySplit="2" topLeftCell="E98" activePane="bottomRight" state="frozen"/>
      <selection activeCell="L92" sqref="L92:O92"/>
      <selection pane="topRight" activeCell="L92" sqref="L92:O92"/>
      <selection pane="bottomLeft" activeCell="L92" sqref="L92:O92"/>
      <selection pane="bottomRight" activeCell="L92" sqref="L92:O92"/>
    </sheetView>
  </sheetViews>
  <sheetFormatPr defaultColWidth="11.42578125" defaultRowHeight="15"/>
  <cols>
    <col min="1" max="1" width="20.85546875" style="39" customWidth="1"/>
    <col min="2" max="2" width="20.85546875" style="38" customWidth="1"/>
    <col min="3" max="3" width="10.85546875" style="54" customWidth="1"/>
    <col min="4" max="8" width="5.85546875" style="54" customWidth="1"/>
    <col min="9" max="9" width="10.85546875" style="54" customWidth="1"/>
    <col min="10" max="13" width="5.85546875" style="54" customWidth="1"/>
    <col min="14" max="14" width="10.85546875" style="54" customWidth="1"/>
    <col min="15" max="17" width="5.85546875" style="54" customWidth="1"/>
    <col min="18" max="18" width="10.85546875" style="54" customWidth="1"/>
    <col min="19" max="24" width="5.85546875" style="54" customWidth="1"/>
    <col min="25" max="25" width="10.85546875" style="54" customWidth="1"/>
    <col min="26" max="26" width="5.85546875" style="54" customWidth="1"/>
    <col min="27" max="28" width="10.85546875" style="38" customWidth="1"/>
    <col min="29" max="16384" width="11.42578125" style="38"/>
  </cols>
  <sheetData>
    <row r="1" spans="1:28">
      <c r="A1" s="57" t="s">
        <v>228</v>
      </c>
      <c r="B1" s="59" t="s">
        <v>192</v>
      </c>
      <c r="C1" s="750" t="s">
        <v>190</v>
      </c>
      <c r="D1" s="1357">
        <v>2010</v>
      </c>
      <c r="E1" s="1357"/>
      <c r="F1" s="1357"/>
      <c r="G1" s="1357"/>
      <c r="H1" s="1358">
        <v>2011</v>
      </c>
      <c r="I1" s="1358"/>
      <c r="J1" s="1358"/>
      <c r="K1" s="1358"/>
      <c r="L1" s="1353">
        <v>2012</v>
      </c>
      <c r="M1" s="1354"/>
      <c r="N1" s="1355"/>
      <c r="O1" s="1359">
        <v>2013</v>
      </c>
      <c r="P1" s="1360"/>
      <c r="Q1" s="1360"/>
      <c r="R1" s="1361"/>
      <c r="S1" s="1353">
        <v>2014</v>
      </c>
      <c r="T1" s="1354"/>
      <c r="U1" s="1354"/>
      <c r="V1" s="1355"/>
      <c r="W1" s="1351">
        <v>2015</v>
      </c>
      <c r="X1" s="1352"/>
      <c r="Y1" s="1352"/>
      <c r="Z1" s="1352"/>
    </row>
    <row r="2" spans="1:28" s="39" customFormat="1" ht="42.75">
      <c r="A2" s="58" t="s">
        <v>193</v>
      </c>
      <c r="B2" s="59" t="s">
        <v>191</v>
      </c>
      <c r="C2" s="418" t="s">
        <v>722</v>
      </c>
      <c r="D2" s="56" t="s">
        <v>141</v>
      </c>
      <c r="E2" s="56" t="s">
        <v>142</v>
      </c>
      <c r="F2" s="56" t="s">
        <v>143</v>
      </c>
      <c r="G2" s="56" t="s">
        <v>144</v>
      </c>
      <c r="H2" s="56" t="s">
        <v>141</v>
      </c>
      <c r="I2" s="418" t="s">
        <v>723</v>
      </c>
      <c r="J2" s="56" t="s">
        <v>143</v>
      </c>
      <c r="K2" s="56" t="s">
        <v>144</v>
      </c>
      <c r="L2" s="56" t="s">
        <v>141</v>
      </c>
      <c r="M2" s="56" t="s">
        <v>142</v>
      </c>
      <c r="N2" s="418" t="s">
        <v>724</v>
      </c>
      <c r="O2" s="56" t="s">
        <v>141</v>
      </c>
      <c r="P2" s="56" t="s">
        <v>142</v>
      </c>
      <c r="Q2" s="56" t="s">
        <v>143</v>
      </c>
      <c r="R2" s="418" t="s">
        <v>725</v>
      </c>
      <c r="S2" s="56" t="s">
        <v>141</v>
      </c>
      <c r="T2" s="56" t="s">
        <v>142</v>
      </c>
      <c r="U2" s="56" t="s">
        <v>143</v>
      </c>
      <c r="V2" s="56" t="s">
        <v>144</v>
      </c>
      <c r="W2" s="56" t="s">
        <v>141</v>
      </c>
      <c r="X2" s="56" t="s">
        <v>142</v>
      </c>
      <c r="Y2" s="418" t="s">
        <v>726</v>
      </c>
      <c r="Z2" s="56" t="s">
        <v>144</v>
      </c>
      <c r="AA2" s="419" t="s">
        <v>814</v>
      </c>
      <c r="AB2" s="419" t="s">
        <v>815</v>
      </c>
    </row>
    <row r="3" spans="1:28" s="39" customFormat="1">
      <c r="B3" s="38"/>
      <c r="C3" s="48"/>
      <c r="D3" s="422"/>
      <c r="E3" s="422"/>
      <c r="F3" s="422"/>
      <c r="G3" s="83"/>
      <c r="H3" s="83"/>
      <c r="I3" s="83"/>
      <c r="J3" s="83"/>
      <c r="K3" s="83"/>
      <c r="L3" s="48"/>
      <c r="M3" s="48"/>
      <c r="N3" s="40"/>
      <c r="O3" s="40"/>
      <c r="P3" s="40"/>
      <c r="Q3" s="40"/>
      <c r="R3" s="40"/>
      <c r="S3" s="40"/>
      <c r="T3" s="40"/>
      <c r="U3" s="40"/>
      <c r="V3" s="40"/>
      <c r="W3" s="40"/>
      <c r="X3" s="40"/>
      <c r="Y3" s="40"/>
      <c r="Z3" s="40"/>
    </row>
    <row r="4" spans="1:28">
      <c r="A4" s="41" t="s">
        <v>24</v>
      </c>
      <c r="B4" s="42" t="s">
        <v>139</v>
      </c>
      <c r="C4" s="47"/>
      <c r="D4" s="47"/>
      <c r="E4" s="47"/>
      <c r="F4" s="47"/>
      <c r="G4" s="47"/>
      <c r="H4" s="47"/>
      <c r="I4" s="47"/>
      <c r="J4" s="47"/>
      <c r="K4" s="47"/>
      <c r="L4" s="47"/>
      <c r="M4" s="47"/>
      <c r="N4" s="47"/>
      <c r="O4" s="47"/>
      <c r="P4" s="47"/>
      <c r="Q4" s="47"/>
      <c r="R4" s="43">
        <v>2.6</v>
      </c>
      <c r="S4" s="44">
        <v>2.6</v>
      </c>
      <c r="T4" s="44">
        <v>2.6</v>
      </c>
      <c r="U4" s="44">
        <v>2.6</v>
      </c>
      <c r="V4" s="44">
        <v>2.6</v>
      </c>
      <c r="W4" s="44">
        <v>2.6333333333333333</v>
      </c>
      <c r="X4" s="44">
        <v>2.6666666666666665</v>
      </c>
      <c r="Y4" s="43">
        <v>2.7</v>
      </c>
      <c r="Z4" s="44">
        <v>2.7</v>
      </c>
      <c r="AA4" s="38">
        <v>5</v>
      </c>
      <c r="AB4" s="420">
        <v>0.16</v>
      </c>
    </row>
    <row r="5" spans="1:28" s="49" customFormat="1">
      <c r="A5" s="45"/>
      <c r="B5" s="46" t="s">
        <v>140</v>
      </c>
      <c r="C5" s="47"/>
      <c r="D5" s="47"/>
      <c r="E5" s="47"/>
      <c r="F5" s="47"/>
      <c r="G5" s="47"/>
      <c r="H5" s="47"/>
      <c r="I5" s="47"/>
      <c r="J5" s="47"/>
      <c r="K5" s="47"/>
      <c r="L5" s="47"/>
      <c r="M5" s="47"/>
      <c r="N5" s="47"/>
      <c r="O5" s="47"/>
      <c r="P5" s="47"/>
      <c r="Q5" s="47"/>
      <c r="R5" s="47">
        <v>2.6</v>
      </c>
      <c r="S5" s="47">
        <v>2.6</v>
      </c>
      <c r="T5" s="47">
        <v>2.6</v>
      </c>
      <c r="U5" s="47">
        <v>2.6</v>
      </c>
      <c r="V5" s="47">
        <v>2.6</v>
      </c>
      <c r="W5" s="69">
        <v>2.6</v>
      </c>
      <c r="X5" s="69">
        <v>2.6</v>
      </c>
      <c r="Y5" s="69">
        <v>0</v>
      </c>
      <c r="Z5" s="69">
        <v>0</v>
      </c>
      <c r="AB5" s="421"/>
    </row>
    <row r="6" spans="1:28" s="49" customFormat="1">
      <c r="A6" s="45"/>
      <c r="B6" s="46"/>
      <c r="C6" s="48"/>
      <c r="D6" s="422"/>
      <c r="E6" s="422"/>
      <c r="F6" s="422"/>
      <c r="G6" s="83"/>
      <c r="H6" s="83"/>
      <c r="I6" s="83"/>
      <c r="J6" s="83"/>
      <c r="K6" s="83"/>
      <c r="L6" s="48"/>
      <c r="M6" s="48"/>
      <c r="N6" s="83"/>
      <c r="O6" s="83"/>
      <c r="P6" s="48"/>
      <c r="Q6" s="48"/>
      <c r="R6" s="48"/>
      <c r="S6" s="48"/>
      <c r="T6" s="48"/>
      <c r="U6" s="48"/>
      <c r="V6" s="48"/>
      <c r="W6" s="48"/>
      <c r="X6" s="48"/>
      <c r="Y6" s="48"/>
      <c r="Z6" s="48"/>
      <c r="AB6" s="421"/>
    </row>
    <row r="7" spans="1:28">
      <c r="A7" s="41" t="s">
        <v>25</v>
      </c>
      <c r="B7" s="42" t="s">
        <v>139</v>
      </c>
      <c r="C7" s="47"/>
      <c r="D7" s="47"/>
      <c r="E7" s="47"/>
      <c r="F7" s="47"/>
      <c r="G7" s="47"/>
      <c r="H7" s="47"/>
      <c r="I7" s="47"/>
      <c r="J7" s="47"/>
      <c r="K7" s="47"/>
      <c r="L7" s="47"/>
      <c r="M7" s="47"/>
      <c r="N7" s="47"/>
      <c r="O7" s="47"/>
      <c r="P7" s="47"/>
      <c r="Q7" s="47"/>
      <c r="R7" s="43">
        <v>2</v>
      </c>
      <c r="S7" s="44">
        <v>2</v>
      </c>
      <c r="T7" s="44">
        <v>2</v>
      </c>
      <c r="U7" s="44">
        <v>2</v>
      </c>
      <c r="V7" s="44">
        <v>2</v>
      </c>
      <c r="W7" s="44">
        <v>2.0333333333333332</v>
      </c>
      <c r="X7" s="44">
        <v>2.0666666666666664</v>
      </c>
      <c r="Y7" s="43">
        <v>2.1</v>
      </c>
      <c r="Z7" s="44">
        <v>2.1</v>
      </c>
      <c r="AA7" s="38">
        <v>5</v>
      </c>
      <c r="AB7" s="420">
        <v>0.16</v>
      </c>
    </row>
    <row r="8" spans="1:28" s="49" customFormat="1">
      <c r="A8" s="45"/>
      <c r="B8" s="46" t="s">
        <v>140</v>
      </c>
      <c r="C8" s="47"/>
      <c r="D8" s="47"/>
      <c r="E8" s="47"/>
      <c r="F8" s="47"/>
      <c r="G8" s="47"/>
      <c r="H8" s="47"/>
      <c r="I8" s="47"/>
      <c r="J8" s="47"/>
      <c r="K8" s="47"/>
      <c r="L8" s="47"/>
      <c r="M8" s="47"/>
      <c r="N8" s="47"/>
      <c r="O8" s="47"/>
      <c r="P8" s="47"/>
      <c r="Q8" s="47"/>
      <c r="R8" s="47">
        <v>2</v>
      </c>
      <c r="S8" s="47">
        <v>2</v>
      </c>
      <c r="T8" s="47">
        <v>2</v>
      </c>
      <c r="U8" s="47">
        <v>2</v>
      </c>
      <c r="V8" s="47">
        <v>2</v>
      </c>
      <c r="W8" s="69">
        <v>2</v>
      </c>
      <c r="X8" s="69">
        <v>2</v>
      </c>
      <c r="Y8" s="69">
        <v>0</v>
      </c>
      <c r="Z8" s="69">
        <v>0</v>
      </c>
      <c r="AB8" s="421"/>
    </row>
    <row r="9" spans="1:28" s="49" customFormat="1">
      <c r="A9" s="45"/>
      <c r="B9" s="46"/>
      <c r="C9" s="48"/>
      <c r="D9" s="422"/>
      <c r="E9" s="422"/>
      <c r="F9" s="422"/>
      <c r="G9" s="83"/>
      <c r="H9" s="83"/>
      <c r="I9" s="83"/>
      <c r="J9" s="83"/>
      <c r="K9" s="83"/>
      <c r="L9" s="48"/>
      <c r="M9" s="48"/>
      <c r="N9" s="83"/>
      <c r="O9" s="83"/>
      <c r="P9" s="48"/>
      <c r="Q9" s="48"/>
      <c r="R9" s="48"/>
      <c r="S9" s="48"/>
      <c r="T9" s="48"/>
      <c r="U9" s="48"/>
      <c r="V9" s="48"/>
      <c r="W9" s="48"/>
      <c r="X9" s="48"/>
      <c r="Y9" s="48"/>
      <c r="Z9" s="48"/>
      <c r="AB9" s="421"/>
    </row>
    <row r="10" spans="1:28">
      <c r="A10" s="41" t="s">
        <v>186</v>
      </c>
      <c r="B10" s="42" t="s">
        <v>214</v>
      </c>
      <c r="C10" s="52"/>
      <c r="D10" s="52"/>
      <c r="E10" s="52"/>
      <c r="F10" s="52"/>
      <c r="G10" s="52"/>
      <c r="H10" s="52"/>
      <c r="I10" s="52"/>
      <c r="J10" s="52"/>
      <c r="K10" s="52"/>
      <c r="L10" s="52"/>
      <c r="M10" s="52"/>
      <c r="N10" s="52"/>
      <c r="O10" s="52"/>
      <c r="P10" s="52"/>
      <c r="Q10" s="52"/>
      <c r="R10" s="50">
        <v>12</v>
      </c>
      <c r="S10" s="51">
        <v>12</v>
      </c>
      <c r="T10" s="51">
        <v>12</v>
      </c>
      <c r="U10" s="51">
        <v>12</v>
      </c>
      <c r="V10" s="51">
        <v>12</v>
      </c>
      <c r="W10" s="51">
        <v>12</v>
      </c>
      <c r="X10" s="51">
        <v>12</v>
      </c>
      <c r="Y10" s="50">
        <v>12</v>
      </c>
      <c r="Z10" s="51">
        <v>12</v>
      </c>
      <c r="AA10" s="38">
        <v>15</v>
      </c>
      <c r="AB10" s="420">
        <v>0.6</v>
      </c>
    </row>
    <row r="11" spans="1:28" s="49" customFormat="1">
      <c r="A11" s="45"/>
      <c r="B11" s="46" t="s">
        <v>215</v>
      </c>
      <c r="C11" s="52"/>
      <c r="D11" s="52"/>
      <c r="E11" s="52"/>
      <c r="F11" s="52"/>
      <c r="G11" s="52"/>
      <c r="H11" s="52"/>
      <c r="I11" s="52"/>
      <c r="J11" s="52"/>
      <c r="K11" s="52"/>
      <c r="L11" s="52"/>
      <c r="M11" s="52"/>
      <c r="N11" s="52"/>
      <c r="O11" s="52"/>
      <c r="P11" s="52"/>
      <c r="Q11" s="52"/>
      <c r="R11" s="52">
        <v>12</v>
      </c>
      <c r="S11" s="52">
        <v>12</v>
      </c>
      <c r="T11" s="52">
        <v>12</v>
      </c>
      <c r="U11" s="52">
        <v>12</v>
      </c>
      <c r="V11" s="52">
        <v>12</v>
      </c>
      <c r="W11" s="70">
        <v>12</v>
      </c>
      <c r="X11" s="70">
        <v>12</v>
      </c>
      <c r="Y11" s="70">
        <v>0</v>
      </c>
      <c r="Z11" s="70">
        <v>0</v>
      </c>
      <c r="AA11" s="38"/>
      <c r="AB11" s="420"/>
    </row>
    <row r="12" spans="1:28" s="49" customFormat="1">
      <c r="A12" s="45"/>
      <c r="B12" s="46"/>
      <c r="C12" s="53"/>
      <c r="D12" s="427"/>
      <c r="E12" s="427"/>
      <c r="F12" s="427"/>
      <c r="G12" s="75"/>
      <c r="H12" s="75"/>
      <c r="I12" s="75"/>
      <c r="J12" s="75"/>
      <c r="K12" s="75"/>
      <c r="L12" s="53"/>
      <c r="M12" s="53"/>
      <c r="N12" s="75"/>
      <c r="O12" s="75"/>
      <c r="P12" s="53"/>
      <c r="Q12" s="53"/>
      <c r="R12" s="53"/>
      <c r="S12" s="53"/>
      <c r="T12" s="53"/>
      <c r="U12" s="53"/>
      <c r="V12" s="53"/>
      <c r="W12" s="53"/>
      <c r="X12" s="53"/>
      <c r="Y12" s="53"/>
      <c r="Z12" s="53"/>
      <c r="AB12" s="421"/>
    </row>
    <row r="13" spans="1:28">
      <c r="A13" s="41" t="s">
        <v>187</v>
      </c>
      <c r="B13" s="42" t="s">
        <v>216</v>
      </c>
      <c r="C13" s="52"/>
      <c r="D13" s="52"/>
      <c r="E13" s="52"/>
      <c r="F13" s="52"/>
      <c r="G13" s="52"/>
      <c r="H13" s="52"/>
      <c r="I13" s="52"/>
      <c r="J13" s="52"/>
      <c r="K13" s="52"/>
      <c r="L13" s="52"/>
      <c r="M13" s="52"/>
      <c r="N13" s="52"/>
      <c r="O13" s="52"/>
      <c r="P13" s="52"/>
      <c r="Q13" s="52"/>
      <c r="R13" s="50">
        <v>12</v>
      </c>
      <c r="S13" s="51">
        <v>12</v>
      </c>
      <c r="T13" s="51">
        <v>12</v>
      </c>
      <c r="U13" s="51">
        <v>12</v>
      </c>
      <c r="V13" s="51">
        <v>12</v>
      </c>
      <c r="W13" s="51">
        <v>12</v>
      </c>
      <c r="X13" s="51">
        <v>12</v>
      </c>
      <c r="Y13" s="50">
        <v>12</v>
      </c>
      <c r="Z13" s="51">
        <v>12</v>
      </c>
      <c r="AA13" s="38">
        <v>15</v>
      </c>
      <c r="AB13" s="420">
        <v>0.6</v>
      </c>
    </row>
    <row r="14" spans="1:28" s="49" customFormat="1">
      <c r="A14" s="45"/>
      <c r="B14" s="46" t="s">
        <v>217</v>
      </c>
      <c r="C14" s="52"/>
      <c r="D14" s="52"/>
      <c r="E14" s="52"/>
      <c r="F14" s="52"/>
      <c r="G14" s="52"/>
      <c r="H14" s="52"/>
      <c r="I14" s="52"/>
      <c r="J14" s="52"/>
      <c r="K14" s="52"/>
      <c r="L14" s="52"/>
      <c r="M14" s="52"/>
      <c r="N14" s="52"/>
      <c r="O14" s="52"/>
      <c r="P14" s="52"/>
      <c r="Q14" s="52"/>
      <c r="R14" s="52">
        <v>12</v>
      </c>
      <c r="S14" s="52">
        <v>12</v>
      </c>
      <c r="T14" s="52">
        <v>12</v>
      </c>
      <c r="U14" s="52">
        <v>12</v>
      </c>
      <c r="V14" s="52">
        <v>12</v>
      </c>
      <c r="W14" s="70">
        <v>12</v>
      </c>
      <c r="X14" s="70">
        <v>12</v>
      </c>
      <c r="Y14" s="70">
        <v>0</v>
      </c>
      <c r="Z14" s="70">
        <v>0</v>
      </c>
      <c r="AB14" s="421"/>
    </row>
    <row r="15" spans="1:28" s="49" customFormat="1">
      <c r="A15" s="45"/>
      <c r="B15" s="46"/>
      <c r="C15" s="53"/>
      <c r="D15" s="427"/>
      <c r="E15" s="427"/>
      <c r="F15" s="427"/>
      <c r="G15" s="75"/>
      <c r="H15" s="75"/>
      <c r="I15" s="75"/>
      <c r="J15" s="75"/>
      <c r="K15" s="75"/>
      <c r="L15" s="53"/>
      <c r="M15" s="53"/>
      <c r="N15" s="75"/>
      <c r="O15" s="75"/>
      <c r="P15" s="53"/>
      <c r="Q15" s="53"/>
      <c r="R15" s="53"/>
      <c r="S15" s="53"/>
      <c r="T15" s="53"/>
      <c r="U15" s="53"/>
      <c r="V15" s="53"/>
      <c r="W15" s="53"/>
      <c r="X15" s="53"/>
      <c r="Y15" s="53"/>
      <c r="Z15" s="53"/>
      <c r="AB15" s="421"/>
    </row>
    <row r="16" spans="1:28">
      <c r="A16" s="41" t="s">
        <v>188</v>
      </c>
      <c r="B16" s="42" t="s">
        <v>218</v>
      </c>
      <c r="C16" s="52"/>
      <c r="D16" s="52"/>
      <c r="E16" s="52"/>
      <c r="F16" s="52"/>
      <c r="G16" s="52"/>
      <c r="H16" s="52"/>
      <c r="I16" s="52"/>
      <c r="J16" s="52"/>
      <c r="K16" s="52"/>
      <c r="L16" s="52"/>
      <c r="M16" s="52"/>
      <c r="N16" s="52"/>
      <c r="O16" s="52"/>
      <c r="P16" s="52"/>
      <c r="Q16" s="52"/>
      <c r="R16" s="50">
        <v>12</v>
      </c>
      <c r="S16" s="51">
        <v>12</v>
      </c>
      <c r="T16" s="51">
        <v>12</v>
      </c>
      <c r="U16" s="51">
        <v>12</v>
      </c>
      <c r="V16" s="51">
        <v>12</v>
      </c>
      <c r="W16" s="51">
        <v>12</v>
      </c>
      <c r="X16" s="51">
        <v>12</v>
      </c>
      <c r="Y16" s="50">
        <v>12</v>
      </c>
      <c r="Z16" s="51">
        <v>12</v>
      </c>
      <c r="AA16" s="38">
        <v>15</v>
      </c>
      <c r="AB16" s="420">
        <v>0.6</v>
      </c>
    </row>
    <row r="17" spans="1:28" s="49" customFormat="1">
      <c r="A17" s="45"/>
      <c r="B17" s="46" t="s">
        <v>219</v>
      </c>
      <c r="C17" s="52"/>
      <c r="D17" s="52"/>
      <c r="E17" s="52"/>
      <c r="F17" s="52"/>
      <c r="G17" s="52"/>
      <c r="H17" s="52"/>
      <c r="I17" s="52"/>
      <c r="J17" s="52"/>
      <c r="K17" s="52"/>
      <c r="L17" s="52"/>
      <c r="M17" s="52"/>
      <c r="N17" s="52"/>
      <c r="O17" s="52"/>
      <c r="P17" s="52"/>
      <c r="Q17" s="52"/>
      <c r="R17" s="52">
        <v>12</v>
      </c>
      <c r="S17" s="52">
        <v>12</v>
      </c>
      <c r="T17" s="52">
        <v>12</v>
      </c>
      <c r="U17" s="52">
        <v>12</v>
      </c>
      <c r="V17" s="52">
        <v>12</v>
      </c>
      <c r="W17" s="70">
        <v>12</v>
      </c>
      <c r="X17" s="70">
        <v>12</v>
      </c>
      <c r="Y17" s="70">
        <v>0</v>
      </c>
      <c r="Z17" s="70">
        <v>0</v>
      </c>
      <c r="AB17" s="421"/>
    </row>
    <row r="18" spans="1:28" s="49" customFormat="1">
      <c r="A18" s="45"/>
      <c r="B18" s="46"/>
      <c r="C18" s="53"/>
      <c r="D18" s="427"/>
      <c r="E18" s="427"/>
      <c r="F18" s="427"/>
      <c r="G18" s="75"/>
      <c r="H18" s="75"/>
      <c r="I18" s="75"/>
      <c r="J18" s="75"/>
      <c r="K18" s="75"/>
      <c r="L18" s="53"/>
      <c r="M18" s="53"/>
      <c r="N18" s="75"/>
      <c r="O18" s="75"/>
      <c r="P18" s="53"/>
      <c r="Q18" s="53"/>
      <c r="R18" s="53"/>
      <c r="S18" s="53"/>
      <c r="T18" s="53"/>
      <c r="U18" s="53"/>
      <c r="V18" s="53"/>
      <c r="W18" s="53"/>
      <c r="X18" s="53"/>
      <c r="Y18" s="53"/>
      <c r="Z18" s="53"/>
      <c r="AB18" s="421"/>
    </row>
    <row r="19" spans="1:28">
      <c r="A19" s="41" t="s">
        <v>189</v>
      </c>
      <c r="B19" s="42" t="s">
        <v>221</v>
      </c>
      <c r="C19" s="52"/>
      <c r="D19" s="52"/>
      <c r="E19" s="52"/>
      <c r="F19" s="52"/>
      <c r="G19" s="52"/>
      <c r="H19" s="52"/>
      <c r="I19" s="52"/>
      <c r="J19" s="52"/>
      <c r="K19" s="52"/>
      <c r="L19" s="52"/>
      <c r="M19" s="52"/>
      <c r="N19" s="52"/>
      <c r="O19" s="52"/>
      <c r="P19" s="52"/>
      <c r="Q19" s="52"/>
      <c r="R19" s="50">
        <v>12</v>
      </c>
      <c r="S19" s="51">
        <v>12</v>
      </c>
      <c r="T19" s="51">
        <v>12</v>
      </c>
      <c r="U19" s="51">
        <v>12</v>
      </c>
      <c r="V19" s="51">
        <v>12</v>
      </c>
      <c r="W19" s="51">
        <v>12</v>
      </c>
      <c r="X19" s="51">
        <v>12</v>
      </c>
      <c r="Y19" s="50">
        <v>12</v>
      </c>
      <c r="Z19" s="51">
        <v>12</v>
      </c>
      <c r="AA19" s="38">
        <v>15</v>
      </c>
      <c r="AB19" s="420">
        <v>0.6</v>
      </c>
    </row>
    <row r="20" spans="1:28" s="49" customFormat="1">
      <c r="A20" s="45"/>
      <c r="B20" s="46" t="s">
        <v>220</v>
      </c>
      <c r="C20" s="52"/>
      <c r="D20" s="52"/>
      <c r="E20" s="52"/>
      <c r="F20" s="52"/>
      <c r="G20" s="52"/>
      <c r="H20" s="52"/>
      <c r="I20" s="52"/>
      <c r="J20" s="52"/>
      <c r="K20" s="52"/>
      <c r="L20" s="52"/>
      <c r="M20" s="52"/>
      <c r="N20" s="52"/>
      <c r="O20" s="52"/>
      <c r="P20" s="52"/>
      <c r="Q20" s="52"/>
      <c r="R20" s="52">
        <v>12</v>
      </c>
      <c r="S20" s="52">
        <v>12</v>
      </c>
      <c r="T20" s="52">
        <v>12</v>
      </c>
      <c r="U20" s="52">
        <v>12</v>
      </c>
      <c r="V20" s="52">
        <v>12</v>
      </c>
      <c r="W20" s="70">
        <v>12</v>
      </c>
      <c r="X20" s="70">
        <v>12</v>
      </c>
      <c r="Y20" s="70">
        <v>0</v>
      </c>
      <c r="Z20" s="70">
        <v>0</v>
      </c>
      <c r="AB20" s="421"/>
    </row>
    <row r="21" spans="1:28" s="49" customFormat="1">
      <c r="A21" s="45"/>
      <c r="B21" s="46"/>
      <c r="C21" s="48"/>
      <c r="D21" s="422"/>
      <c r="E21" s="422"/>
      <c r="F21" s="422"/>
      <c r="G21" s="83"/>
      <c r="H21" s="83"/>
      <c r="I21" s="83"/>
      <c r="J21" s="83"/>
      <c r="K21" s="83"/>
      <c r="L21" s="48"/>
      <c r="M21" s="48"/>
      <c r="N21" s="83"/>
      <c r="O21" s="83"/>
      <c r="P21" s="48"/>
      <c r="Q21" s="48"/>
      <c r="R21" s="48"/>
      <c r="S21" s="48"/>
      <c r="T21" s="48"/>
      <c r="U21" s="48"/>
      <c r="V21" s="48"/>
      <c r="W21" s="48"/>
      <c r="X21" s="48"/>
      <c r="Y21" s="48"/>
      <c r="Z21" s="48"/>
      <c r="AB21" s="421"/>
    </row>
    <row r="22" spans="1:28">
      <c r="A22" s="41" t="s">
        <v>22</v>
      </c>
      <c r="B22" s="42" t="s">
        <v>139</v>
      </c>
      <c r="C22" s="47"/>
      <c r="D22" s="47"/>
      <c r="E22" s="47"/>
      <c r="F22" s="47"/>
      <c r="G22" s="47"/>
      <c r="H22" s="47"/>
      <c r="I22" s="47"/>
      <c r="J22" s="47"/>
      <c r="K22" s="47"/>
      <c r="L22" s="47"/>
      <c r="M22" s="47"/>
      <c r="N22" s="47"/>
      <c r="O22" s="47"/>
      <c r="P22" s="47"/>
      <c r="Q22" s="47"/>
      <c r="R22" s="43">
        <v>2.1</v>
      </c>
      <c r="S22" s="44">
        <v>2.1</v>
      </c>
      <c r="T22" s="44">
        <v>2.1</v>
      </c>
      <c r="U22" s="44">
        <v>2.1</v>
      </c>
      <c r="V22" s="44">
        <v>2.1</v>
      </c>
      <c r="W22" s="44">
        <v>2.1666666666666665</v>
      </c>
      <c r="X22" s="44">
        <v>2.2333333333333329</v>
      </c>
      <c r="Y22" s="43">
        <v>2.2999999999999998</v>
      </c>
      <c r="Z22" s="44">
        <v>2.2999999999999998</v>
      </c>
      <c r="AA22" s="38">
        <v>5</v>
      </c>
      <c r="AB22" s="420">
        <v>0.16</v>
      </c>
    </row>
    <row r="23" spans="1:28" s="49" customFormat="1">
      <c r="A23" s="45"/>
      <c r="B23" s="46" t="s">
        <v>140</v>
      </c>
      <c r="C23" s="47"/>
      <c r="D23" s="47"/>
      <c r="E23" s="47"/>
      <c r="F23" s="47"/>
      <c r="G23" s="47"/>
      <c r="H23" s="47"/>
      <c r="I23" s="47"/>
      <c r="J23" s="47"/>
      <c r="K23" s="47"/>
      <c r="L23" s="47"/>
      <c r="M23" s="47"/>
      <c r="N23" s="47"/>
      <c r="O23" s="47"/>
      <c r="P23" s="47"/>
      <c r="Q23" s="47"/>
      <c r="R23" s="47">
        <v>2.1</v>
      </c>
      <c r="S23" s="47">
        <v>2.1</v>
      </c>
      <c r="T23" s="47">
        <v>2.1</v>
      </c>
      <c r="U23" s="47">
        <v>2.1</v>
      </c>
      <c r="V23" s="47">
        <v>2.1</v>
      </c>
      <c r="W23" s="69">
        <v>2.1</v>
      </c>
      <c r="X23" s="69">
        <v>2.4</v>
      </c>
      <c r="Y23" s="69">
        <v>0</v>
      </c>
      <c r="Z23" s="69">
        <v>0</v>
      </c>
      <c r="AB23" s="421"/>
    </row>
    <row r="24" spans="1:28" s="49" customFormat="1">
      <c r="A24" s="45"/>
      <c r="B24" s="46"/>
      <c r="C24" s="48"/>
      <c r="D24" s="422"/>
      <c r="E24" s="422"/>
      <c r="F24" s="422"/>
      <c r="G24" s="83"/>
      <c r="H24" s="83"/>
      <c r="I24" s="83"/>
      <c r="J24" s="83"/>
      <c r="K24" s="83"/>
      <c r="L24" s="48"/>
      <c r="M24" s="48"/>
      <c r="N24" s="83"/>
      <c r="O24" s="83"/>
      <c r="P24" s="48"/>
      <c r="Q24" s="48"/>
      <c r="R24" s="48"/>
      <c r="S24" s="48"/>
      <c r="T24" s="48"/>
      <c r="U24" s="48"/>
      <c r="V24" s="48"/>
      <c r="W24" s="48"/>
      <c r="X24" s="48"/>
      <c r="Y24" s="48"/>
      <c r="Z24" s="48"/>
      <c r="AB24" s="421"/>
    </row>
    <row r="25" spans="1:28">
      <c r="A25" s="41" t="s">
        <v>23</v>
      </c>
      <c r="B25" s="42" t="s">
        <v>139</v>
      </c>
      <c r="C25" s="47"/>
      <c r="D25" s="47"/>
      <c r="E25" s="47"/>
      <c r="F25" s="47"/>
      <c r="G25" s="47"/>
      <c r="H25" s="47"/>
      <c r="I25" s="47"/>
      <c r="J25" s="47"/>
      <c r="K25" s="47"/>
      <c r="L25" s="47"/>
      <c r="M25" s="47"/>
      <c r="N25" s="47"/>
      <c r="O25" s="47"/>
      <c r="P25" s="47"/>
      <c r="Q25" s="47"/>
      <c r="R25" s="43">
        <v>2.2000000000000002</v>
      </c>
      <c r="S25" s="44">
        <v>2.2000000000000002</v>
      </c>
      <c r="T25" s="44">
        <v>2.2000000000000002</v>
      </c>
      <c r="U25" s="44">
        <v>2.2000000000000002</v>
      </c>
      <c r="V25" s="44">
        <v>2.2000000000000002</v>
      </c>
      <c r="W25" s="44">
        <v>2.3333333333333335</v>
      </c>
      <c r="X25" s="44">
        <v>2.4666666666666668</v>
      </c>
      <c r="Y25" s="43">
        <v>2.6</v>
      </c>
      <c r="Z25" s="44">
        <v>2.6</v>
      </c>
      <c r="AA25" s="38">
        <v>5</v>
      </c>
      <c r="AB25" s="420">
        <v>0.16</v>
      </c>
    </row>
    <row r="26" spans="1:28" s="49" customFormat="1">
      <c r="A26" s="45"/>
      <c r="B26" s="46" t="s">
        <v>140</v>
      </c>
      <c r="C26" s="47"/>
      <c r="D26" s="47"/>
      <c r="E26" s="47"/>
      <c r="F26" s="47"/>
      <c r="G26" s="47"/>
      <c r="H26" s="47"/>
      <c r="I26" s="47"/>
      <c r="J26" s="47"/>
      <c r="K26" s="47"/>
      <c r="L26" s="47"/>
      <c r="M26" s="47"/>
      <c r="N26" s="47"/>
      <c r="O26" s="47"/>
      <c r="P26" s="47"/>
      <c r="Q26" s="47"/>
      <c r="R26" s="47">
        <v>2.2000000000000002</v>
      </c>
      <c r="S26" s="47">
        <v>2.2000000000000002</v>
      </c>
      <c r="T26" s="47">
        <v>2.2000000000000002</v>
      </c>
      <c r="U26" s="47">
        <v>2.2000000000000002</v>
      </c>
      <c r="V26" s="47">
        <v>2.2000000000000002</v>
      </c>
      <c r="W26" s="69">
        <v>2.2000000000000002</v>
      </c>
      <c r="X26" s="69">
        <v>2.5</v>
      </c>
      <c r="Y26" s="69">
        <v>0</v>
      </c>
      <c r="Z26" s="69">
        <v>0</v>
      </c>
      <c r="AB26" s="421"/>
    </row>
    <row r="27" spans="1:28" s="49" customFormat="1">
      <c r="A27" s="45"/>
      <c r="B27" s="46"/>
      <c r="C27" s="48"/>
      <c r="D27" s="422"/>
      <c r="E27" s="422"/>
      <c r="F27" s="422"/>
      <c r="G27" s="83"/>
      <c r="H27" s="83"/>
      <c r="I27" s="83"/>
      <c r="J27" s="83"/>
      <c r="K27" s="83"/>
      <c r="L27" s="48"/>
      <c r="M27" s="48"/>
      <c r="N27" s="83"/>
      <c r="O27" s="83"/>
      <c r="P27" s="48"/>
      <c r="Q27" s="48"/>
      <c r="R27" s="48"/>
      <c r="S27" s="48"/>
      <c r="T27" s="48"/>
      <c r="U27" s="48"/>
      <c r="V27" s="48"/>
      <c r="W27" s="48"/>
      <c r="X27" s="48"/>
      <c r="Y27" s="48"/>
      <c r="Z27" s="48"/>
      <c r="AB27" s="421"/>
    </row>
    <row r="28" spans="1:28">
      <c r="A28" s="41" t="s">
        <v>38</v>
      </c>
      <c r="B28" s="42" t="s">
        <v>139</v>
      </c>
      <c r="C28" s="47"/>
      <c r="D28" s="47"/>
      <c r="E28" s="47"/>
      <c r="F28" s="47"/>
      <c r="G28" s="47"/>
      <c r="H28" s="47"/>
      <c r="I28" s="47"/>
      <c r="J28" s="47"/>
      <c r="K28" s="47"/>
      <c r="L28" s="47"/>
      <c r="M28" s="47"/>
      <c r="N28" s="47"/>
      <c r="O28" s="47"/>
      <c r="P28" s="47"/>
      <c r="Q28" s="47"/>
      <c r="R28" s="43">
        <v>3.1</v>
      </c>
      <c r="S28" s="44">
        <v>3.1</v>
      </c>
      <c r="T28" s="44">
        <v>3.1</v>
      </c>
      <c r="U28" s="44">
        <v>3.1</v>
      </c>
      <c r="V28" s="44">
        <v>3.1</v>
      </c>
      <c r="W28" s="44">
        <v>3.1333333333333333</v>
      </c>
      <c r="X28" s="44">
        <v>3.1666666666666665</v>
      </c>
      <c r="Y28" s="43">
        <v>3.2</v>
      </c>
      <c r="Z28" s="44">
        <v>3.2</v>
      </c>
      <c r="AA28" s="38">
        <v>5</v>
      </c>
      <c r="AB28" s="420">
        <v>0.16</v>
      </c>
    </row>
    <row r="29" spans="1:28" s="49" customFormat="1">
      <c r="A29" s="45"/>
      <c r="B29" s="46" t="s">
        <v>140</v>
      </c>
      <c r="C29" s="47"/>
      <c r="D29" s="47"/>
      <c r="E29" s="47"/>
      <c r="F29" s="47"/>
      <c r="G29" s="47"/>
      <c r="H29" s="47"/>
      <c r="I29" s="47"/>
      <c r="J29" s="47"/>
      <c r="K29" s="47"/>
      <c r="L29" s="47"/>
      <c r="M29" s="47"/>
      <c r="N29" s="47"/>
      <c r="O29" s="47"/>
      <c r="P29" s="47"/>
      <c r="Q29" s="47"/>
      <c r="R29" s="47">
        <v>3.1</v>
      </c>
      <c r="S29" s="47">
        <v>3.1</v>
      </c>
      <c r="T29" s="47">
        <v>3.1</v>
      </c>
      <c r="U29" s="47">
        <v>3.1</v>
      </c>
      <c r="V29" s="47">
        <v>3.1</v>
      </c>
      <c r="W29" s="69">
        <v>3.1</v>
      </c>
      <c r="X29" s="69">
        <v>3.2</v>
      </c>
      <c r="Y29" s="69">
        <v>0</v>
      </c>
      <c r="Z29" s="69">
        <v>0</v>
      </c>
      <c r="AB29" s="421"/>
    </row>
    <row r="30" spans="1:28" s="49" customFormat="1">
      <c r="A30" s="45"/>
      <c r="B30" s="46"/>
      <c r="C30" s="48"/>
      <c r="D30" s="422"/>
      <c r="E30" s="422"/>
      <c r="F30" s="422"/>
      <c r="G30" s="83"/>
      <c r="H30" s="83"/>
      <c r="I30" s="83"/>
      <c r="J30" s="83"/>
      <c r="K30" s="83"/>
      <c r="L30" s="48"/>
      <c r="M30" s="48"/>
      <c r="N30" s="83"/>
      <c r="O30" s="83"/>
      <c r="P30" s="48"/>
      <c r="Q30" s="48"/>
      <c r="R30" s="53"/>
      <c r="S30" s="48"/>
      <c r="T30" s="48"/>
      <c r="U30" s="48"/>
      <c r="V30" s="48"/>
      <c r="W30" s="48"/>
      <c r="X30" s="48"/>
      <c r="Y30" s="48"/>
      <c r="Z30" s="48"/>
      <c r="AB30" s="421"/>
    </row>
    <row r="31" spans="1:28">
      <c r="A31" s="41" t="s">
        <v>39</v>
      </c>
      <c r="B31" s="42" t="s">
        <v>139</v>
      </c>
      <c r="C31" s="47"/>
      <c r="D31" s="47"/>
      <c r="E31" s="47"/>
      <c r="F31" s="47"/>
      <c r="G31" s="47"/>
      <c r="H31" s="47"/>
      <c r="I31" s="47"/>
      <c r="J31" s="47"/>
      <c r="K31" s="47"/>
      <c r="L31" s="47"/>
      <c r="M31" s="47"/>
      <c r="N31" s="47"/>
      <c r="O31" s="47"/>
      <c r="P31" s="47"/>
      <c r="Q31" s="47"/>
      <c r="R31" s="50">
        <v>0</v>
      </c>
      <c r="S31" s="51">
        <v>0</v>
      </c>
      <c r="T31" s="51">
        <v>0</v>
      </c>
      <c r="U31" s="51">
        <v>0</v>
      </c>
      <c r="V31" s="51">
        <v>0</v>
      </c>
      <c r="W31" s="51">
        <v>0.33333333333333331</v>
      </c>
      <c r="X31" s="51">
        <v>0.66666666666666663</v>
      </c>
      <c r="Y31" s="50">
        <v>1</v>
      </c>
      <c r="Z31" s="51">
        <v>1</v>
      </c>
      <c r="AA31" s="38">
        <v>20</v>
      </c>
      <c r="AB31" s="420">
        <v>0.8</v>
      </c>
    </row>
    <row r="32" spans="1:28" s="49" customFormat="1">
      <c r="A32" s="45"/>
      <c r="B32" s="46" t="s">
        <v>140</v>
      </c>
      <c r="C32" s="47"/>
      <c r="D32" s="47"/>
      <c r="E32" s="47"/>
      <c r="F32" s="47"/>
      <c r="G32" s="47"/>
      <c r="H32" s="47"/>
      <c r="I32" s="47"/>
      <c r="J32" s="47"/>
      <c r="K32" s="47"/>
      <c r="L32" s="47"/>
      <c r="M32" s="47"/>
      <c r="N32" s="47"/>
      <c r="O32" s="47"/>
      <c r="P32" s="47"/>
      <c r="Q32" s="47"/>
      <c r="R32" s="52">
        <v>0</v>
      </c>
      <c r="S32" s="52">
        <v>0</v>
      </c>
      <c r="T32" s="52">
        <v>0</v>
      </c>
      <c r="U32" s="52">
        <v>0</v>
      </c>
      <c r="V32" s="52">
        <v>0</v>
      </c>
      <c r="W32" s="70">
        <v>0</v>
      </c>
      <c r="X32" s="70">
        <v>0</v>
      </c>
      <c r="Y32" s="70">
        <v>0</v>
      </c>
      <c r="Z32" s="70">
        <v>0</v>
      </c>
      <c r="AB32" s="421"/>
    </row>
    <row r="33" spans="1:28" s="49" customFormat="1">
      <c r="A33" s="45"/>
      <c r="B33" s="46"/>
      <c r="C33" s="48"/>
      <c r="D33" s="422"/>
      <c r="E33" s="422"/>
      <c r="F33" s="422"/>
      <c r="G33" s="83"/>
      <c r="H33" s="83"/>
      <c r="I33" s="83"/>
      <c r="J33" s="83"/>
      <c r="K33" s="83"/>
      <c r="L33" s="48"/>
      <c r="M33" s="48"/>
      <c r="N33" s="83"/>
      <c r="O33" s="83"/>
      <c r="P33" s="48"/>
      <c r="Q33" s="48"/>
      <c r="R33" s="53"/>
      <c r="S33" s="53"/>
      <c r="T33" s="53"/>
      <c r="U33" s="53"/>
      <c r="V33" s="53"/>
      <c r="W33" s="53"/>
      <c r="X33" s="53"/>
      <c r="Y33" s="53"/>
      <c r="Z33" s="53"/>
      <c r="AB33" s="421"/>
    </row>
    <row r="34" spans="1:28">
      <c r="A34" s="41" t="s">
        <v>185</v>
      </c>
      <c r="B34" s="42" t="s">
        <v>222</v>
      </c>
      <c r="C34" s="47"/>
      <c r="D34" s="47"/>
      <c r="E34" s="47"/>
      <c r="F34" s="47"/>
      <c r="G34" s="47"/>
      <c r="H34" s="47"/>
      <c r="I34" s="47"/>
      <c r="J34" s="47"/>
      <c r="K34" s="47"/>
      <c r="L34" s="47"/>
      <c r="M34" s="47"/>
      <c r="N34" s="47"/>
      <c r="O34" s="47"/>
      <c r="P34" s="47"/>
      <c r="Q34" s="47"/>
      <c r="R34" s="50">
        <v>0</v>
      </c>
      <c r="S34" s="51">
        <v>0</v>
      </c>
      <c r="T34" s="51">
        <v>0</v>
      </c>
      <c r="U34" s="51">
        <v>0</v>
      </c>
      <c r="V34" s="51">
        <v>0</v>
      </c>
      <c r="W34" s="51">
        <v>0.33333333333333331</v>
      </c>
      <c r="X34" s="51">
        <v>0.66666666666666663</v>
      </c>
      <c r="Y34" s="50">
        <v>1</v>
      </c>
      <c r="Z34" s="51">
        <v>1</v>
      </c>
      <c r="AA34" s="38">
        <v>15</v>
      </c>
      <c r="AB34" s="420">
        <v>0.6</v>
      </c>
    </row>
    <row r="35" spans="1:28" s="49" customFormat="1">
      <c r="A35" s="45"/>
      <c r="B35" s="46" t="s">
        <v>223</v>
      </c>
      <c r="C35" s="47"/>
      <c r="D35" s="47"/>
      <c r="E35" s="47"/>
      <c r="F35" s="47"/>
      <c r="G35" s="47"/>
      <c r="H35" s="47"/>
      <c r="I35" s="47"/>
      <c r="J35" s="47"/>
      <c r="K35" s="47"/>
      <c r="L35" s="47"/>
      <c r="M35" s="47"/>
      <c r="N35" s="47"/>
      <c r="O35" s="47"/>
      <c r="P35" s="47"/>
      <c r="Q35" s="47"/>
      <c r="R35" s="52">
        <v>0</v>
      </c>
      <c r="S35" s="52">
        <v>0</v>
      </c>
      <c r="T35" s="52">
        <v>0</v>
      </c>
      <c r="U35" s="52">
        <v>0</v>
      </c>
      <c r="V35" s="52">
        <v>0</v>
      </c>
      <c r="W35" s="70">
        <v>0</v>
      </c>
      <c r="X35" s="70">
        <v>0</v>
      </c>
      <c r="Y35" s="70">
        <v>0</v>
      </c>
      <c r="Z35" s="70">
        <v>0</v>
      </c>
      <c r="AB35" s="421"/>
    </row>
    <row r="36" spans="1:28" s="49" customFormat="1">
      <c r="A36" s="45"/>
      <c r="B36" s="46"/>
      <c r="C36" s="48"/>
      <c r="D36" s="422"/>
      <c r="E36" s="422"/>
      <c r="F36" s="422"/>
      <c r="G36" s="83"/>
      <c r="H36" s="83"/>
      <c r="I36" s="83"/>
      <c r="J36" s="83"/>
      <c r="K36" s="83"/>
      <c r="L36" s="48"/>
      <c r="M36" s="48"/>
      <c r="N36" s="83"/>
      <c r="O36" s="83"/>
      <c r="P36" s="48"/>
      <c r="Q36" s="48"/>
      <c r="R36" s="53"/>
      <c r="S36" s="53"/>
      <c r="T36" s="53"/>
      <c r="U36" s="53"/>
      <c r="V36" s="53"/>
      <c r="W36" s="53"/>
      <c r="X36" s="53"/>
      <c r="Y36" s="53"/>
      <c r="Z36" s="53"/>
      <c r="AB36" s="421"/>
    </row>
    <row r="37" spans="1:28">
      <c r="A37" s="41" t="s">
        <v>184</v>
      </c>
      <c r="B37" s="42" t="s">
        <v>226</v>
      </c>
      <c r="C37" s="47"/>
      <c r="D37" s="47"/>
      <c r="E37" s="47"/>
      <c r="F37" s="47"/>
      <c r="G37" s="47"/>
      <c r="H37" s="47"/>
      <c r="I37" s="47"/>
      <c r="J37" s="47"/>
      <c r="K37" s="47"/>
      <c r="L37" s="47"/>
      <c r="M37" s="47"/>
      <c r="N37" s="47"/>
      <c r="O37" s="47"/>
      <c r="P37" s="47"/>
      <c r="Q37" s="47"/>
      <c r="R37" s="50">
        <v>0</v>
      </c>
      <c r="S37" s="51">
        <v>0</v>
      </c>
      <c r="T37" s="51">
        <v>0</v>
      </c>
      <c r="U37" s="51">
        <v>0</v>
      </c>
      <c r="V37" s="51">
        <v>0</v>
      </c>
      <c r="W37" s="51">
        <v>0</v>
      </c>
      <c r="X37" s="51">
        <v>0</v>
      </c>
      <c r="Y37" s="50">
        <v>0</v>
      </c>
      <c r="Z37" s="51">
        <v>0</v>
      </c>
      <c r="AA37" s="38">
        <v>10</v>
      </c>
      <c r="AB37" s="420">
        <v>0.4</v>
      </c>
    </row>
    <row r="38" spans="1:28" s="49" customFormat="1">
      <c r="A38" s="45"/>
      <c r="B38" s="46" t="s">
        <v>227</v>
      </c>
      <c r="C38" s="47"/>
      <c r="D38" s="47"/>
      <c r="E38" s="47"/>
      <c r="F38" s="47"/>
      <c r="G38" s="47"/>
      <c r="H38" s="47"/>
      <c r="I38" s="47"/>
      <c r="J38" s="47"/>
      <c r="K38" s="47"/>
      <c r="L38" s="47"/>
      <c r="M38" s="47"/>
      <c r="N38" s="47"/>
      <c r="O38" s="47"/>
      <c r="P38" s="47"/>
      <c r="Q38" s="47"/>
      <c r="R38" s="52">
        <v>0</v>
      </c>
      <c r="S38" s="52">
        <v>0</v>
      </c>
      <c r="T38" s="52">
        <v>0</v>
      </c>
      <c r="U38" s="52">
        <v>0</v>
      </c>
      <c r="V38" s="52">
        <v>0</v>
      </c>
      <c r="W38" s="70">
        <v>0</v>
      </c>
      <c r="X38" s="70">
        <v>0</v>
      </c>
      <c r="Y38" s="70">
        <v>0</v>
      </c>
      <c r="Z38" s="70">
        <v>0</v>
      </c>
      <c r="AB38" s="421"/>
    </row>
    <row r="39" spans="1:28" s="49" customFormat="1">
      <c r="A39" s="45"/>
      <c r="B39" s="46"/>
      <c r="C39" s="48"/>
      <c r="D39" s="422"/>
      <c r="E39" s="422"/>
      <c r="F39" s="422"/>
      <c r="G39" s="83"/>
      <c r="H39" s="83"/>
      <c r="I39" s="83"/>
      <c r="J39" s="83"/>
      <c r="K39" s="83"/>
      <c r="L39" s="48"/>
      <c r="M39" s="48"/>
      <c r="N39" s="83"/>
      <c r="O39" s="83"/>
      <c r="P39" s="48"/>
      <c r="Q39" s="48"/>
      <c r="R39" s="53"/>
      <c r="S39" s="53"/>
      <c r="T39" s="53"/>
      <c r="U39" s="53"/>
      <c r="V39" s="53"/>
      <c r="W39" s="53"/>
      <c r="X39" s="53"/>
      <c r="Y39" s="53"/>
      <c r="Z39" s="53"/>
      <c r="AB39" s="421"/>
    </row>
    <row r="40" spans="1:28">
      <c r="A40" s="41" t="s">
        <v>183</v>
      </c>
      <c r="B40" s="42" t="s">
        <v>224</v>
      </c>
      <c r="C40" s="47"/>
      <c r="D40" s="47"/>
      <c r="E40" s="47"/>
      <c r="F40" s="47"/>
      <c r="G40" s="47"/>
      <c r="H40" s="47"/>
      <c r="I40" s="47"/>
      <c r="J40" s="47"/>
      <c r="K40" s="47"/>
      <c r="L40" s="47"/>
      <c r="M40" s="47"/>
      <c r="N40" s="47"/>
      <c r="O40" s="47"/>
      <c r="P40" s="47"/>
      <c r="Q40" s="47"/>
      <c r="R40" s="50">
        <v>0</v>
      </c>
      <c r="S40" s="51">
        <v>0</v>
      </c>
      <c r="T40" s="51">
        <v>0</v>
      </c>
      <c r="U40" s="51">
        <v>0</v>
      </c>
      <c r="V40" s="51">
        <v>0</v>
      </c>
      <c r="W40" s="51">
        <v>0</v>
      </c>
      <c r="X40" s="51">
        <v>0</v>
      </c>
      <c r="Y40" s="50">
        <v>0</v>
      </c>
      <c r="Z40" s="51">
        <v>0</v>
      </c>
      <c r="AA40" s="38">
        <v>5</v>
      </c>
      <c r="AB40" s="420">
        <v>0.2</v>
      </c>
    </row>
    <row r="41" spans="1:28" s="49" customFormat="1">
      <c r="A41" s="45"/>
      <c r="B41" s="46" t="s">
        <v>225</v>
      </c>
      <c r="C41" s="47"/>
      <c r="D41" s="47"/>
      <c r="E41" s="47"/>
      <c r="F41" s="47"/>
      <c r="G41" s="47"/>
      <c r="H41" s="47"/>
      <c r="I41" s="47"/>
      <c r="J41" s="47"/>
      <c r="K41" s="47"/>
      <c r="L41" s="47"/>
      <c r="M41" s="47"/>
      <c r="N41" s="47"/>
      <c r="O41" s="47"/>
      <c r="P41" s="47"/>
      <c r="Q41" s="47"/>
      <c r="R41" s="52">
        <v>0</v>
      </c>
      <c r="S41" s="52">
        <v>0</v>
      </c>
      <c r="T41" s="52">
        <v>0</v>
      </c>
      <c r="U41" s="52">
        <v>0</v>
      </c>
      <c r="V41" s="52">
        <v>0</v>
      </c>
      <c r="W41" s="70">
        <v>0</v>
      </c>
      <c r="X41" s="70">
        <v>0</v>
      </c>
      <c r="Y41" s="70">
        <v>0</v>
      </c>
      <c r="Z41" s="70">
        <v>0</v>
      </c>
      <c r="AB41" s="421"/>
    </row>
    <row r="42" spans="1:28" s="49" customFormat="1">
      <c r="A42" s="45"/>
      <c r="B42" s="46"/>
      <c r="C42" s="48"/>
      <c r="D42" s="422"/>
      <c r="E42" s="422"/>
      <c r="F42" s="422"/>
      <c r="G42" s="83"/>
      <c r="H42" s="83"/>
      <c r="I42" s="83"/>
      <c r="J42" s="83"/>
      <c r="K42" s="83"/>
      <c r="L42" s="48"/>
      <c r="M42" s="48"/>
      <c r="N42" s="83"/>
      <c r="O42" s="83"/>
      <c r="P42" s="48"/>
      <c r="Q42" s="48"/>
      <c r="R42" s="53"/>
      <c r="S42" s="48"/>
      <c r="T42" s="48"/>
      <c r="U42" s="48"/>
      <c r="V42" s="48"/>
      <c r="W42" s="48"/>
      <c r="X42" s="48"/>
      <c r="Y42" s="48"/>
      <c r="Z42" s="48"/>
      <c r="AB42" s="421"/>
    </row>
    <row r="43" spans="1:28">
      <c r="A43" s="41" t="s">
        <v>16</v>
      </c>
      <c r="B43" s="42" t="s">
        <v>139</v>
      </c>
      <c r="C43" s="47"/>
      <c r="D43" s="47"/>
      <c r="E43" s="47"/>
      <c r="F43" s="47"/>
      <c r="G43" s="47"/>
      <c r="H43" s="47"/>
      <c r="I43" s="47"/>
      <c r="J43" s="47"/>
      <c r="K43" s="47"/>
      <c r="L43" s="47"/>
      <c r="M43" s="47"/>
      <c r="N43" s="47"/>
      <c r="O43" s="47"/>
      <c r="P43" s="47"/>
      <c r="Q43" s="47"/>
      <c r="R43" s="43">
        <v>1.2</v>
      </c>
      <c r="S43" s="44">
        <v>1.2</v>
      </c>
      <c r="T43" s="44">
        <v>1.2</v>
      </c>
      <c r="U43" s="44">
        <v>1.2</v>
      </c>
      <c r="V43" s="44">
        <v>1.2</v>
      </c>
      <c r="W43" s="826">
        <v>1.2333333333333334</v>
      </c>
      <c r="X43" s="826">
        <v>1.2666666666666668</v>
      </c>
      <c r="Y43" s="827">
        <v>1.3</v>
      </c>
      <c r="Z43" s="826">
        <v>1.3</v>
      </c>
      <c r="AA43" s="38">
        <v>5</v>
      </c>
      <c r="AB43" s="420">
        <v>0.16</v>
      </c>
    </row>
    <row r="44" spans="1:28" s="49" customFormat="1">
      <c r="A44" s="45"/>
      <c r="B44" s="46" t="s">
        <v>140</v>
      </c>
      <c r="C44" s="47"/>
      <c r="D44" s="47"/>
      <c r="E44" s="47"/>
      <c r="F44" s="47"/>
      <c r="G44" s="47"/>
      <c r="H44" s="47"/>
      <c r="I44" s="47"/>
      <c r="J44" s="47"/>
      <c r="K44" s="47"/>
      <c r="L44" s="47"/>
      <c r="M44" s="47"/>
      <c r="N44" s="47"/>
      <c r="O44" s="47"/>
      <c r="P44" s="47"/>
      <c r="Q44" s="47"/>
      <c r="R44" s="47">
        <v>1.2</v>
      </c>
      <c r="S44" s="47">
        <v>1.2</v>
      </c>
      <c r="T44" s="47">
        <v>1.2</v>
      </c>
      <c r="U44" s="47">
        <v>1.2</v>
      </c>
      <c r="V44" s="47">
        <v>1.2</v>
      </c>
      <c r="W44" s="69">
        <f>W43</f>
        <v>1.2333333333333334</v>
      </c>
      <c r="X44" s="69">
        <v>1.2</v>
      </c>
      <c r="Y44" s="69">
        <v>0</v>
      </c>
      <c r="Z44" s="69">
        <v>0</v>
      </c>
      <c r="AB44" s="421"/>
    </row>
    <row r="45" spans="1:28" s="49" customFormat="1">
      <c r="A45" s="45"/>
      <c r="B45" s="46"/>
      <c r="C45" s="48"/>
      <c r="D45" s="422"/>
      <c r="E45" s="422"/>
      <c r="F45" s="422"/>
      <c r="G45" s="83"/>
      <c r="H45" s="83"/>
      <c r="I45" s="83"/>
      <c r="J45" s="83"/>
      <c r="K45" s="83"/>
      <c r="L45" s="48"/>
      <c r="M45" s="48"/>
      <c r="N45" s="83"/>
      <c r="O45" s="83"/>
      <c r="P45" s="48"/>
      <c r="Q45" s="48"/>
      <c r="R45" s="48"/>
      <c r="S45" s="48"/>
      <c r="T45" s="48"/>
      <c r="U45" s="48"/>
      <c r="V45" s="48"/>
      <c r="W45" s="48"/>
      <c r="X45" s="48"/>
      <c r="Y45" s="48"/>
      <c r="Z45" s="48"/>
      <c r="AB45" s="421"/>
    </row>
    <row r="46" spans="1:28">
      <c r="A46" s="41" t="s">
        <v>17</v>
      </c>
      <c r="B46" s="42" t="s">
        <v>139</v>
      </c>
      <c r="C46" s="47"/>
      <c r="D46" s="47"/>
      <c r="E46" s="47"/>
      <c r="F46" s="47"/>
      <c r="G46" s="47"/>
      <c r="H46" s="47"/>
      <c r="I46" s="47"/>
      <c r="J46" s="47"/>
      <c r="K46" s="47"/>
      <c r="L46" s="47"/>
      <c r="M46" s="47"/>
      <c r="N46" s="47"/>
      <c r="O46" s="47"/>
      <c r="P46" s="47"/>
      <c r="Q46" s="47"/>
      <c r="R46" s="43">
        <v>2</v>
      </c>
      <c r="S46" s="44">
        <v>2</v>
      </c>
      <c r="T46" s="44">
        <v>2</v>
      </c>
      <c r="U46" s="44">
        <v>2</v>
      </c>
      <c r="V46" s="44">
        <v>2</v>
      </c>
      <c r="W46" s="826">
        <v>2.0333333333333332</v>
      </c>
      <c r="X46" s="826">
        <v>2.0666666666666664</v>
      </c>
      <c r="Y46" s="827">
        <v>2.1</v>
      </c>
      <c r="Z46" s="826">
        <v>2.1</v>
      </c>
      <c r="AA46" s="38">
        <v>5</v>
      </c>
      <c r="AB46" s="420">
        <v>0.16</v>
      </c>
    </row>
    <row r="47" spans="1:28" s="49" customFormat="1">
      <c r="A47" s="45"/>
      <c r="B47" s="46" t="s">
        <v>140</v>
      </c>
      <c r="C47" s="47"/>
      <c r="D47" s="47"/>
      <c r="E47" s="47"/>
      <c r="F47" s="47"/>
      <c r="G47" s="47"/>
      <c r="H47" s="47"/>
      <c r="I47" s="47"/>
      <c r="J47" s="47"/>
      <c r="K47" s="47"/>
      <c r="L47" s="47"/>
      <c r="M47" s="47"/>
      <c r="N47" s="47"/>
      <c r="O47" s="47"/>
      <c r="P47" s="47"/>
      <c r="Q47" s="47"/>
      <c r="R47" s="47">
        <v>2</v>
      </c>
      <c r="S47" s="47">
        <v>2</v>
      </c>
      <c r="T47" s="47">
        <v>2</v>
      </c>
      <c r="U47" s="47">
        <v>2</v>
      </c>
      <c r="V47" s="47">
        <v>2</v>
      </c>
      <c r="W47" s="69">
        <f>W46</f>
        <v>2.0333333333333332</v>
      </c>
      <c r="X47" s="69">
        <v>2</v>
      </c>
      <c r="Y47" s="69">
        <v>0</v>
      </c>
      <c r="Z47" s="69">
        <v>0</v>
      </c>
      <c r="AB47" s="421"/>
    </row>
    <row r="48" spans="1:28" s="49" customFormat="1">
      <c r="A48" s="45"/>
      <c r="B48" s="46"/>
      <c r="C48" s="48"/>
      <c r="D48" s="422"/>
      <c r="E48" s="422"/>
      <c r="F48" s="422"/>
      <c r="G48" s="83"/>
      <c r="H48" s="83"/>
      <c r="I48" s="83"/>
      <c r="J48" s="83"/>
      <c r="K48" s="83"/>
      <c r="L48" s="48"/>
      <c r="M48" s="48"/>
      <c r="N48" s="83"/>
      <c r="O48" s="83"/>
      <c r="P48" s="48"/>
      <c r="Q48" s="48"/>
      <c r="R48" s="53"/>
      <c r="S48" s="48"/>
      <c r="T48" s="48"/>
      <c r="U48" s="48"/>
      <c r="V48" s="48"/>
      <c r="W48" s="48"/>
      <c r="X48" s="48"/>
      <c r="Y48" s="48"/>
      <c r="Z48" s="48"/>
      <c r="AB48" s="421"/>
    </row>
    <row r="49" spans="1:28">
      <c r="A49" s="41" t="s">
        <v>18</v>
      </c>
      <c r="B49" s="42" t="s">
        <v>139</v>
      </c>
      <c r="C49" s="47"/>
      <c r="D49" s="47"/>
      <c r="E49" s="47"/>
      <c r="F49" s="47"/>
      <c r="G49" s="47"/>
      <c r="H49" s="47"/>
      <c r="I49" s="47"/>
      <c r="J49" s="47"/>
      <c r="K49" s="47"/>
      <c r="L49" s="47"/>
      <c r="M49" s="47"/>
      <c r="N49" s="47"/>
      <c r="O49" s="47"/>
      <c r="P49" s="47"/>
      <c r="Q49" s="47"/>
      <c r="R49" s="50">
        <v>0</v>
      </c>
      <c r="S49" s="51">
        <v>0</v>
      </c>
      <c r="T49" s="51">
        <v>0</v>
      </c>
      <c r="U49" s="51">
        <v>0</v>
      </c>
      <c r="V49" s="51">
        <v>0</v>
      </c>
      <c r="W49" s="51">
        <v>0</v>
      </c>
      <c r="X49" s="51">
        <v>0</v>
      </c>
      <c r="Y49" s="50">
        <v>0</v>
      </c>
      <c r="Z49" s="51">
        <v>0</v>
      </c>
      <c r="AA49" s="38">
        <v>10</v>
      </c>
      <c r="AB49" s="420">
        <v>0.4</v>
      </c>
    </row>
    <row r="50" spans="1:28" s="49" customFormat="1">
      <c r="A50" s="45"/>
      <c r="B50" s="46" t="s">
        <v>140</v>
      </c>
      <c r="C50" s="47"/>
      <c r="D50" s="47"/>
      <c r="E50" s="47"/>
      <c r="F50" s="47"/>
      <c r="G50" s="47"/>
      <c r="H50" s="47"/>
      <c r="I50" s="47"/>
      <c r="J50" s="47"/>
      <c r="K50" s="47"/>
      <c r="L50" s="47"/>
      <c r="M50" s="47"/>
      <c r="N50" s="47"/>
      <c r="O50" s="47"/>
      <c r="P50" s="47"/>
      <c r="Q50" s="47"/>
      <c r="R50" s="52">
        <v>0</v>
      </c>
      <c r="S50" s="52">
        <v>0</v>
      </c>
      <c r="T50" s="52">
        <v>0</v>
      </c>
      <c r="U50" s="52">
        <v>0</v>
      </c>
      <c r="V50" s="52">
        <v>0</v>
      </c>
      <c r="W50" s="70">
        <v>0</v>
      </c>
      <c r="X50" s="70">
        <v>0</v>
      </c>
      <c r="Y50" s="70">
        <v>0</v>
      </c>
      <c r="Z50" s="70">
        <v>0</v>
      </c>
      <c r="AB50" s="421"/>
    </row>
    <row r="51" spans="1:28" s="49" customFormat="1">
      <c r="A51" s="45"/>
      <c r="B51" s="46"/>
      <c r="C51" s="48"/>
      <c r="D51" s="422"/>
      <c r="E51" s="422"/>
      <c r="F51" s="422"/>
      <c r="G51" s="83"/>
      <c r="H51" s="83"/>
      <c r="I51" s="83"/>
      <c r="J51" s="83"/>
      <c r="K51" s="83"/>
      <c r="L51" s="48"/>
      <c r="M51" s="48"/>
      <c r="N51" s="83"/>
      <c r="O51" s="83"/>
      <c r="P51" s="48"/>
      <c r="Q51" s="48"/>
      <c r="R51" s="53"/>
      <c r="S51" s="48"/>
      <c r="T51" s="48"/>
      <c r="U51" s="48"/>
      <c r="V51" s="48"/>
      <c r="W51" s="48"/>
      <c r="X51" s="48"/>
      <c r="Y51" s="48"/>
      <c r="Z51" s="48"/>
      <c r="AB51" s="421"/>
    </row>
    <row r="52" spans="1:28">
      <c r="A52" s="41" t="s">
        <v>19</v>
      </c>
      <c r="B52" s="42" t="s">
        <v>139</v>
      </c>
      <c r="C52" s="47"/>
      <c r="D52" s="47"/>
      <c r="E52" s="47"/>
      <c r="F52" s="47"/>
      <c r="G52" s="47"/>
      <c r="H52" s="47"/>
      <c r="I52" s="47"/>
      <c r="J52" s="47"/>
      <c r="K52" s="47"/>
      <c r="L52" s="47"/>
      <c r="M52" s="47"/>
      <c r="N52" s="47"/>
      <c r="O52" s="47"/>
      <c r="P52" s="47"/>
      <c r="Q52" s="47"/>
      <c r="R52" s="43">
        <v>1</v>
      </c>
      <c r="S52" s="44">
        <v>1</v>
      </c>
      <c r="T52" s="44">
        <v>1</v>
      </c>
      <c r="U52" s="44">
        <v>1</v>
      </c>
      <c r="V52" s="44">
        <v>1</v>
      </c>
      <c r="W52" s="44">
        <v>1.0333333333333334</v>
      </c>
      <c r="X52" s="44">
        <v>1.0666666666666669</v>
      </c>
      <c r="Y52" s="43">
        <v>1.1000000000000001</v>
      </c>
      <c r="Z52" s="44">
        <v>1.1000000000000001</v>
      </c>
      <c r="AA52" s="38">
        <v>5</v>
      </c>
      <c r="AB52" s="420">
        <v>0.16</v>
      </c>
    </row>
    <row r="53" spans="1:28" s="49" customFormat="1">
      <c r="A53" s="45"/>
      <c r="B53" s="46" t="s">
        <v>140</v>
      </c>
      <c r="C53" s="47"/>
      <c r="D53" s="47"/>
      <c r="E53" s="47"/>
      <c r="F53" s="47"/>
      <c r="G53" s="47"/>
      <c r="H53" s="47"/>
      <c r="I53" s="47"/>
      <c r="J53" s="47"/>
      <c r="K53" s="47"/>
      <c r="L53" s="47"/>
      <c r="M53" s="47"/>
      <c r="N53" s="47"/>
      <c r="O53" s="47"/>
      <c r="P53" s="47"/>
      <c r="Q53" s="47"/>
      <c r="R53" s="47">
        <v>1</v>
      </c>
      <c r="S53" s="47">
        <v>1</v>
      </c>
      <c r="T53" s="47">
        <v>1</v>
      </c>
      <c r="U53" s="47">
        <v>1</v>
      </c>
      <c r="V53" s="47">
        <v>1</v>
      </c>
      <c r="W53" s="69">
        <v>1</v>
      </c>
      <c r="X53" s="69">
        <v>1</v>
      </c>
      <c r="Y53" s="69">
        <v>0</v>
      </c>
      <c r="Z53" s="69">
        <v>0</v>
      </c>
      <c r="AB53" s="421"/>
    </row>
    <row r="54" spans="1:28" s="49" customFormat="1">
      <c r="A54" s="45"/>
      <c r="B54" s="46"/>
      <c r="C54" s="48"/>
      <c r="D54" s="422"/>
      <c r="E54" s="422"/>
      <c r="F54" s="422"/>
      <c r="G54" s="83"/>
      <c r="H54" s="83"/>
      <c r="I54" s="83"/>
      <c r="J54" s="83"/>
      <c r="K54" s="83"/>
      <c r="L54" s="48"/>
      <c r="M54" s="48"/>
      <c r="N54" s="83"/>
      <c r="O54" s="83"/>
      <c r="P54" s="48"/>
      <c r="Q54" s="48"/>
      <c r="R54" s="48"/>
      <c r="S54" s="48"/>
      <c r="T54" s="48"/>
      <c r="U54" s="48"/>
      <c r="V54" s="48"/>
      <c r="W54" s="48"/>
      <c r="X54" s="48"/>
      <c r="Y54" s="48"/>
      <c r="Z54" s="48"/>
      <c r="AB54" s="421"/>
    </row>
    <row r="55" spans="1:28">
      <c r="A55" s="41" t="s">
        <v>20</v>
      </c>
      <c r="B55" s="42" t="s">
        <v>139</v>
      </c>
      <c r="C55" s="47"/>
      <c r="D55" s="47"/>
      <c r="E55" s="47"/>
      <c r="F55" s="47"/>
      <c r="G55" s="47"/>
      <c r="H55" s="47"/>
      <c r="I55" s="47"/>
      <c r="J55" s="47"/>
      <c r="K55" s="47"/>
      <c r="L55" s="47"/>
      <c r="M55" s="47"/>
      <c r="N55" s="47"/>
      <c r="O55" s="47"/>
      <c r="P55" s="47"/>
      <c r="Q55" s="47"/>
      <c r="R55" s="43">
        <v>1</v>
      </c>
      <c r="S55" s="44">
        <v>1</v>
      </c>
      <c r="T55" s="44">
        <v>1</v>
      </c>
      <c r="U55" s="44">
        <v>1</v>
      </c>
      <c r="V55" s="44">
        <v>1</v>
      </c>
      <c r="W55" s="44">
        <v>1.0333333333333334</v>
      </c>
      <c r="X55" s="44">
        <v>1.0666666666666669</v>
      </c>
      <c r="Y55" s="43">
        <v>1.1000000000000001</v>
      </c>
      <c r="Z55" s="44">
        <v>1.1000000000000001</v>
      </c>
      <c r="AA55" s="38">
        <v>5</v>
      </c>
      <c r="AB55" s="420">
        <v>0.16</v>
      </c>
    </row>
    <row r="56" spans="1:28" s="49" customFormat="1">
      <c r="A56" s="45"/>
      <c r="B56" s="46" t="s">
        <v>140</v>
      </c>
      <c r="C56" s="47"/>
      <c r="D56" s="47"/>
      <c r="E56" s="47"/>
      <c r="F56" s="47"/>
      <c r="G56" s="47"/>
      <c r="H56" s="47"/>
      <c r="I56" s="47"/>
      <c r="J56" s="47"/>
      <c r="K56" s="47"/>
      <c r="L56" s="47"/>
      <c r="M56" s="47"/>
      <c r="N56" s="47"/>
      <c r="O56" s="47"/>
      <c r="P56" s="47"/>
      <c r="Q56" s="47"/>
      <c r="R56" s="47">
        <v>1</v>
      </c>
      <c r="S56" s="47">
        <v>1</v>
      </c>
      <c r="T56" s="47">
        <v>1</v>
      </c>
      <c r="U56" s="47">
        <v>1</v>
      </c>
      <c r="V56" s="47">
        <v>1</v>
      </c>
      <c r="W56" s="69">
        <v>1</v>
      </c>
      <c r="X56" s="69">
        <v>1</v>
      </c>
      <c r="Y56" s="69">
        <v>0</v>
      </c>
      <c r="Z56" s="69">
        <v>0</v>
      </c>
      <c r="AB56" s="421"/>
    </row>
    <row r="57" spans="1:28" s="49" customFormat="1">
      <c r="A57" s="45"/>
      <c r="B57" s="46"/>
      <c r="C57" s="48"/>
      <c r="D57" s="422"/>
      <c r="E57" s="422"/>
      <c r="F57" s="422"/>
      <c r="G57" s="83"/>
      <c r="H57" s="83"/>
      <c r="I57" s="83"/>
      <c r="J57" s="83"/>
      <c r="K57" s="83"/>
      <c r="L57" s="48"/>
      <c r="M57" s="48"/>
      <c r="N57" s="83"/>
      <c r="O57" s="83"/>
      <c r="P57" s="48"/>
      <c r="Q57" s="48"/>
      <c r="R57" s="53"/>
      <c r="S57" s="48"/>
      <c r="T57" s="48"/>
      <c r="U57" s="48"/>
      <c r="V57" s="48"/>
      <c r="W57" s="48"/>
      <c r="X57" s="48"/>
      <c r="Y57" s="48"/>
      <c r="Z57" s="48"/>
      <c r="AB57" s="421"/>
    </row>
    <row r="58" spans="1:28">
      <c r="A58" s="41" t="s">
        <v>21</v>
      </c>
      <c r="B58" s="42" t="s">
        <v>139</v>
      </c>
      <c r="C58" s="47"/>
      <c r="D58" s="47"/>
      <c r="E58" s="47"/>
      <c r="F58" s="47"/>
      <c r="G58" s="47"/>
      <c r="H58" s="47"/>
      <c r="I58" s="47"/>
      <c r="J58" s="47"/>
      <c r="K58" s="47"/>
      <c r="L58" s="47"/>
      <c r="M58" s="47"/>
      <c r="N58" s="47"/>
      <c r="O58" s="47"/>
      <c r="P58" s="47"/>
      <c r="Q58" s="47"/>
      <c r="R58" s="50">
        <v>0</v>
      </c>
      <c r="S58" s="51">
        <v>0</v>
      </c>
      <c r="T58" s="51">
        <v>0</v>
      </c>
      <c r="U58" s="51">
        <v>0</v>
      </c>
      <c r="V58" s="51">
        <v>0</v>
      </c>
      <c r="W58" s="51">
        <v>0</v>
      </c>
      <c r="X58" s="51">
        <v>0</v>
      </c>
      <c r="Y58" s="50">
        <v>0</v>
      </c>
      <c r="Z58" s="51">
        <v>0</v>
      </c>
      <c r="AA58" s="38">
        <v>10</v>
      </c>
      <c r="AB58" s="420">
        <v>0.4</v>
      </c>
    </row>
    <row r="59" spans="1:28" s="49" customFormat="1">
      <c r="A59" s="45"/>
      <c r="B59" s="46" t="s">
        <v>140</v>
      </c>
      <c r="C59" s="47"/>
      <c r="D59" s="47"/>
      <c r="E59" s="47"/>
      <c r="F59" s="47"/>
      <c r="G59" s="47"/>
      <c r="H59" s="47"/>
      <c r="I59" s="47"/>
      <c r="J59" s="47"/>
      <c r="K59" s="47"/>
      <c r="L59" s="47"/>
      <c r="M59" s="47"/>
      <c r="N59" s="47"/>
      <c r="O59" s="47"/>
      <c r="P59" s="47"/>
      <c r="Q59" s="47"/>
      <c r="R59" s="52">
        <v>0</v>
      </c>
      <c r="S59" s="52">
        <v>0</v>
      </c>
      <c r="T59" s="52">
        <v>0</v>
      </c>
      <c r="U59" s="52">
        <v>0</v>
      </c>
      <c r="V59" s="52">
        <v>0</v>
      </c>
      <c r="W59" s="70">
        <v>0</v>
      </c>
      <c r="X59" s="70">
        <v>0</v>
      </c>
      <c r="Y59" s="70">
        <v>0</v>
      </c>
      <c r="Z59" s="70">
        <v>0</v>
      </c>
      <c r="AB59" s="421"/>
    </row>
    <row r="60" spans="1:28" s="49" customFormat="1">
      <c r="A60" s="45"/>
      <c r="B60" s="46"/>
      <c r="C60" s="48"/>
      <c r="D60" s="422"/>
      <c r="E60" s="422"/>
      <c r="F60" s="422"/>
      <c r="G60" s="83"/>
      <c r="H60" s="83"/>
      <c r="I60" s="83"/>
      <c r="J60" s="83"/>
      <c r="K60" s="83"/>
      <c r="L60" s="48"/>
      <c r="M60" s="48"/>
      <c r="N60" s="83"/>
      <c r="O60" s="83"/>
      <c r="P60" s="48"/>
      <c r="Q60" s="48"/>
      <c r="R60" s="53"/>
      <c r="S60" s="48"/>
      <c r="T60" s="48"/>
      <c r="U60" s="48"/>
      <c r="V60" s="48"/>
      <c r="W60" s="48"/>
      <c r="X60" s="48"/>
      <c r="Y60" s="48"/>
      <c r="Z60" s="53"/>
      <c r="AB60" s="421"/>
    </row>
    <row r="61" spans="1:28">
      <c r="A61" s="41" t="s">
        <v>166</v>
      </c>
      <c r="B61" s="42" t="s">
        <v>202</v>
      </c>
      <c r="C61" s="47"/>
      <c r="D61" s="47"/>
      <c r="E61" s="47"/>
      <c r="F61" s="47"/>
      <c r="G61" s="47"/>
      <c r="H61" s="47"/>
      <c r="I61" s="47"/>
      <c r="J61" s="47"/>
      <c r="K61" s="47"/>
      <c r="L61" s="47"/>
      <c r="M61" s="47"/>
      <c r="N61" s="47"/>
      <c r="O61" s="47"/>
      <c r="P61" s="47"/>
      <c r="Q61" s="47"/>
      <c r="R61" s="50">
        <v>0</v>
      </c>
      <c r="S61" s="51">
        <v>0</v>
      </c>
      <c r="T61" s="51">
        <v>0</v>
      </c>
      <c r="U61" s="51">
        <v>0</v>
      </c>
      <c r="V61" s="51">
        <v>0</v>
      </c>
      <c r="W61" s="51">
        <v>1.6666666666666667</v>
      </c>
      <c r="X61" s="51">
        <v>3.3333333333333335</v>
      </c>
      <c r="Y61" s="50">
        <v>5</v>
      </c>
      <c r="Z61" s="51">
        <v>5</v>
      </c>
      <c r="AA61" s="38">
        <v>20</v>
      </c>
      <c r="AB61" s="420">
        <v>0.8</v>
      </c>
    </row>
    <row r="62" spans="1:28" s="49" customFormat="1">
      <c r="A62" s="45"/>
      <c r="B62" s="46" t="s">
        <v>203</v>
      </c>
      <c r="C62" s="47"/>
      <c r="D62" s="47"/>
      <c r="E62" s="47"/>
      <c r="F62" s="47"/>
      <c r="G62" s="47"/>
      <c r="H62" s="47"/>
      <c r="I62" s="47"/>
      <c r="J62" s="47"/>
      <c r="K62" s="47"/>
      <c r="L62" s="47"/>
      <c r="M62" s="47"/>
      <c r="N62" s="47"/>
      <c r="O62" s="47"/>
      <c r="P62" s="47"/>
      <c r="Q62" s="47"/>
      <c r="R62" s="52">
        <v>0</v>
      </c>
      <c r="S62" s="52">
        <v>0</v>
      </c>
      <c r="T62" s="52">
        <v>0</v>
      </c>
      <c r="U62" s="52">
        <v>0</v>
      </c>
      <c r="V62" s="52">
        <v>0</v>
      </c>
      <c r="W62" s="70">
        <v>4</v>
      </c>
      <c r="X62" s="70">
        <v>6</v>
      </c>
      <c r="Y62" s="70">
        <v>0</v>
      </c>
      <c r="Z62" s="70">
        <v>0</v>
      </c>
      <c r="AB62" s="421"/>
    </row>
    <row r="63" spans="1:28" s="49" customFormat="1">
      <c r="A63" s="45"/>
      <c r="B63" s="46"/>
      <c r="C63" s="48"/>
      <c r="D63" s="422"/>
      <c r="E63" s="422"/>
      <c r="F63" s="422"/>
      <c r="G63" s="83"/>
      <c r="H63" s="83"/>
      <c r="I63" s="83"/>
      <c r="J63" s="83"/>
      <c r="K63" s="83"/>
      <c r="L63" s="48"/>
      <c r="M63" s="48"/>
      <c r="N63" s="83"/>
      <c r="O63" s="83"/>
      <c r="P63" s="48"/>
      <c r="Q63" s="48"/>
      <c r="R63" s="53"/>
      <c r="S63" s="53"/>
      <c r="T63" s="53"/>
      <c r="U63" s="53"/>
      <c r="V63" s="53"/>
      <c r="W63" s="53"/>
      <c r="X63" s="53"/>
      <c r="Y63" s="53"/>
      <c r="Z63" s="53"/>
      <c r="AB63" s="421"/>
    </row>
    <row r="64" spans="1:28">
      <c r="A64" s="41" t="s">
        <v>167</v>
      </c>
      <c r="B64" s="42" t="s">
        <v>213</v>
      </c>
      <c r="C64" s="47"/>
      <c r="D64" s="47"/>
      <c r="E64" s="47"/>
      <c r="F64" s="47"/>
      <c r="G64" s="47"/>
      <c r="H64" s="47"/>
      <c r="I64" s="47"/>
      <c r="J64" s="47"/>
      <c r="K64" s="47"/>
      <c r="L64" s="47"/>
      <c r="M64" s="47"/>
      <c r="N64" s="47"/>
      <c r="O64" s="47"/>
      <c r="P64" s="47"/>
      <c r="Q64" s="47"/>
      <c r="R64" s="50">
        <v>0</v>
      </c>
      <c r="S64" s="51">
        <v>0</v>
      </c>
      <c r="T64" s="51">
        <v>0</v>
      </c>
      <c r="U64" s="51">
        <v>0</v>
      </c>
      <c r="V64" s="51">
        <v>0</v>
      </c>
      <c r="W64" s="51">
        <v>1.3333333333333333</v>
      </c>
      <c r="X64" s="51">
        <v>2.6666666666666665</v>
      </c>
      <c r="Y64" s="50">
        <v>4</v>
      </c>
      <c r="Z64" s="51">
        <v>4</v>
      </c>
      <c r="AA64" s="38">
        <v>20</v>
      </c>
      <c r="AB64" s="420">
        <v>0.8</v>
      </c>
    </row>
    <row r="65" spans="1:28" s="49" customFormat="1">
      <c r="A65" s="45"/>
      <c r="B65" s="46" t="s">
        <v>212</v>
      </c>
      <c r="C65" s="47"/>
      <c r="D65" s="47"/>
      <c r="E65" s="47"/>
      <c r="F65" s="47"/>
      <c r="G65" s="47"/>
      <c r="H65" s="47"/>
      <c r="I65" s="47"/>
      <c r="J65" s="47"/>
      <c r="K65" s="47"/>
      <c r="L65" s="47"/>
      <c r="M65" s="47"/>
      <c r="N65" s="47"/>
      <c r="O65" s="47"/>
      <c r="P65" s="47"/>
      <c r="Q65" s="47"/>
      <c r="R65" s="52">
        <v>0</v>
      </c>
      <c r="S65" s="52">
        <v>0</v>
      </c>
      <c r="T65" s="52">
        <v>0</v>
      </c>
      <c r="U65" s="52">
        <v>0</v>
      </c>
      <c r="V65" s="52">
        <v>0</v>
      </c>
      <c r="W65" s="70">
        <v>3</v>
      </c>
      <c r="X65" s="70">
        <v>3</v>
      </c>
      <c r="Y65" s="70">
        <v>0</v>
      </c>
      <c r="Z65" s="70">
        <v>0</v>
      </c>
      <c r="AB65" s="421"/>
    </row>
    <row r="66" spans="1:28" s="49" customFormat="1">
      <c r="A66" s="45"/>
      <c r="B66" s="46"/>
      <c r="C66" s="48"/>
      <c r="D66" s="422"/>
      <c r="E66" s="422"/>
      <c r="F66" s="422"/>
      <c r="G66" s="83"/>
      <c r="H66" s="83"/>
      <c r="I66" s="83"/>
      <c r="J66" s="83"/>
      <c r="K66" s="83"/>
      <c r="L66" s="48"/>
      <c r="M66" s="48"/>
      <c r="N66" s="83"/>
      <c r="O66" s="83"/>
      <c r="P66" s="48"/>
      <c r="Q66" s="48"/>
      <c r="R66" s="53"/>
      <c r="S66" s="53"/>
      <c r="T66" s="53"/>
      <c r="U66" s="53"/>
      <c r="V66" s="53"/>
      <c r="W66" s="53"/>
      <c r="X66" s="53"/>
      <c r="Y66" s="53"/>
      <c r="Z66" s="53"/>
      <c r="AB66" s="421"/>
    </row>
    <row r="67" spans="1:28">
      <c r="A67" s="41" t="s">
        <v>168</v>
      </c>
      <c r="B67" s="42" t="s">
        <v>211</v>
      </c>
      <c r="C67" s="47"/>
      <c r="D67" s="47"/>
      <c r="E67" s="47"/>
      <c r="F67" s="47"/>
      <c r="G67" s="47"/>
      <c r="H67" s="47"/>
      <c r="I67" s="47"/>
      <c r="J67" s="47"/>
      <c r="K67" s="47"/>
      <c r="L67" s="47"/>
      <c r="M67" s="47"/>
      <c r="N67" s="47"/>
      <c r="O67" s="47"/>
      <c r="P67" s="47"/>
      <c r="Q67" s="47"/>
      <c r="R67" s="50">
        <v>0</v>
      </c>
      <c r="S67" s="51">
        <v>0</v>
      </c>
      <c r="T67" s="51">
        <v>0</v>
      </c>
      <c r="U67" s="51">
        <v>0</v>
      </c>
      <c r="V67" s="51">
        <v>0</v>
      </c>
      <c r="W67" s="51">
        <v>0.66666666666666663</v>
      </c>
      <c r="X67" s="51">
        <v>1.3333333333333333</v>
      </c>
      <c r="Y67" s="50">
        <v>2</v>
      </c>
      <c r="Z67" s="51">
        <v>2</v>
      </c>
      <c r="AA67" s="38">
        <v>20</v>
      </c>
      <c r="AB67" s="420">
        <v>0.8</v>
      </c>
    </row>
    <row r="68" spans="1:28" s="49" customFormat="1">
      <c r="A68" s="45"/>
      <c r="B68" s="46" t="s">
        <v>210</v>
      </c>
      <c r="C68" s="47"/>
      <c r="D68" s="47"/>
      <c r="E68" s="47"/>
      <c r="F68" s="47"/>
      <c r="G68" s="47"/>
      <c r="H68" s="47"/>
      <c r="I68" s="47"/>
      <c r="J68" s="47"/>
      <c r="K68" s="47"/>
      <c r="L68" s="47"/>
      <c r="M68" s="47"/>
      <c r="N68" s="47"/>
      <c r="O68" s="47"/>
      <c r="P68" s="47"/>
      <c r="Q68" s="47"/>
      <c r="R68" s="52">
        <v>0</v>
      </c>
      <c r="S68" s="52">
        <v>0</v>
      </c>
      <c r="T68" s="52">
        <v>0</v>
      </c>
      <c r="U68" s="52">
        <v>0</v>
      </c>
      <c r="V68" s="52">
        <v>0</v>
      </c>
      <c r="W68" s="70">
        <v>1</v>
      </c>
      <c r="X68" s="70">
        <v>2</v>
      </c>
      <c r="Y68" s="70">
        <v>0</v>
      </c>
      <c r="Z68" s="70">
        <v>0</v>
      </c>
      <c r="AB68" s="421"/>
    </row>
    <row r="69" spans="1:28" s="49" customFormat="1">
      <c r="A69" s="45"/>
      <c r="B69" s="46"/>
      <c r="C69" s="48"/>
      <c r="D69" s="422"/>
      <c r="E69" s="422"/>
      <c r="F69" s="422"/>
      <c r="G69" s="83"/>
      <c r="H69" s="83"/>
      <c r="I69" s="83"/>
      <c r="J69" s="83"/>
      <c r="K69" s="83"/>
      <c r="L69" s="48"/>
      <c r="M69" s="48"/>
      <c r="N69" s="83"/>
      <c r="O69" s="83"/>
      <c r="P69" s="48"/>
      <c r="Q69" s="48"/>
      <c r="R69" s="53"/>
      <c r="S69" s="53"/>
      <c r="T69" s="53"/>
      <c r="U69" s="53"/>
      <c r="V69" s="53"/>
      <c r="W69" s="53"/>
      <c r="X69" s="53"/>
      <c r="Y69" s="53"/>
      <c r="Z69" s="53"/>
      <c r="AB69" s="421"/>
    </row>
    <row r="70" spans="1:28">
      <c r="A70" s="41" t="s">
        <v>169</v>
      </c>
      <c r="B70" s="42" t="s">
        <v>209</v>
      </c>
      <c r="C70" s="47"/>
      <c r="D70" s="47"/>
      <c r="E70" s="47"/>
      <c r="F70" s="47"/>
      <c r="G70" s="47"/>
      <c r="H70" s="47"/>
      <c r="I70" s="47"/>
      <c r="J70" s="47"/>
      <c r="K70" s="47"/>
      <c r="L70" s="47"/>
      <c r="M70" s="47"/>
      <c r="N70" s="47"/>
      <c r="O70" s="47"/>
      <c r="P70" s="47"/>
      <c r="Q70" s="47"/>
      <c r="R70" s="50">
        <v>0</v>
      </c>
      <c r="S70" s="51">
        <v>0</v>
      </c>
      <c r="T70" s="51">
        <v>0</v>
      </c>
      <c r="U70" s="51">
        <v>0</v>
      </c>
      <c r="V70" s="51">
        <v>0</v>
      </c>
      <c r="W70" s="51">
        <v>0</v>
      </c>
      <c r="X70" s="51">
        <v>0</v>
      </c>
      <c r="Y70" s="50">
        <v>0</v>
      </c>
      <c r="Z70" s="51">
        <v>0</v>
      </c>
      <c r="AA70" s="38">
        <v>20</v>
      </c>
      <c r="AB70" s="420">
        <v>0.8</v>
      </c>
    </row>
    <row r="71" spans="1:28" s="49" customFormat="1">
      <c r="A71" s="45"/>
      <c r="B71" s="46" t="s">
        <v>208</v>
      </c>
      <c r="C71" s="47"/>
      <c r="D71" s="47"/>
      <c r="E71" s="47"/>
      <c r="F71" s="47"/>
      <c r="G71" s="47"/>
      <c r="H71" s="47"/>
      <c r="I71" s="47"/>
      <c r="J71" s="47"/>
      <c r="K71" s="47"/>
      <c r="L71" s="47"/>
      <c r="M71" s="47"/>
      <c r="N71" s="47"/>
      <c r="O71" s="47"/>
      <c r="P71" s="47"/>
      <c r="Q71" s="47"/>
      <c r="R71" s="52">
        <v>0</v>
      </c>
      <c r="S71" s="52">
        <v>0</v>
      </c>
      <c r="T71" s="52">
        <v>0</v>
      </c>
      <c r="U71" s="52">
        <v>0</v>
      </c>
      <c r="V71" s="52">
        <v>0</v>
      </c>
      <c r="W71" s="70">
        <v>0</v>
      </c>
      <c r="X71" s="70">
        <v>0</v>
      </c>
      <c r="Y71" s="70">
        <v>0</v>
      </c>
      <c r="Z71" s="70">
        <v>0</v>
      </c>
      <c r="AB71" s="421"/>
    </row>
    <row r="72" spans="1:28" s="49" customFormat="1">
      <c r="A72" s="45"/>
      <c r="B72" s="46"/>
      <c r="C72" s="48"/>
      <c r="D72" s="422"/>
      <c r="E72" s="422"/>
      <c r="F72" s="422"/>
      <c r="G72" s="83"/>
      <c r="H72" s="83"/>
      <c r="I72" s="83"/>
      <c r="J72" s="83"/>
      <c r="K72" s="83"/>
      <c r="L72" s="48"/>
      <c r="M72" s="48"/>
      <c r="N72" s="83"/>
      <c r="O72" s="83"/>
      <c r="P72" s="48"/>
      <c r="Q72" s="48"/>
      <c r="R72" s="53"/>
      <c r="S72" s="53"/>
      <c r="T72" s="53"/>
      <c r="U72" s="53"/>
      <c r="V72" s="53"/>
      <c r="W72" s="53"/>
      <c r="X72" s="53"/>
      <c r="Y72" s="53"/>
      <c r="Z72" s="53"/>
      <c r="AB72" s="421"/>
    </row>
    <row r="73" spans="1:28">
      <c r="A73" s="41" t="s">
        <v>162</v>
      </c>
      <c r="B73" s="42" t="s">
        <v>202</v>
      </c>
      <c r="C73" s="47"/>
      <c r="D73" s="47"/>
      <c r="E73" s="47"/>
      <c r="F73" s="47"/>
      <c r="G73" s="47"/>
      <c r="H73" s="47"/>
      <c r="I73" s="47"/>
      <c r="J73" s="47"/>
      <c r="K73" s="47"/>
      <c r="L73" s="47"/>
      <c r="M73" s="47"/>
      <c r="N73" s="47"/>
      <c r="O73" s="47"/>
      <c r="P73" s="47"/>
      <c r="Q73" s="47"/>
      <c r="R73" s="50">
        <v>4</v>
      </c>
      <c r="S73" s="51">
        <v>4</v>
      </c>
      <c r="T73" s="51">
        <v>4</v>
      </c>
      <c r="U73" s="51">
        <v>4</v>
      </c>
      <c r="V73" s="51">
        <v>4</v>
      </c>
      <c r="W73" s="51">
        <v>4.333333333333333</v>
      </c>
      <c r="X73" s="51">
        <v>4.6666666666666661</v>
      </c>
      <c r="Y73" s="50">
        <v>5</v>
      </c>
      <c r="Z73" s="51">
        <v>5</v>
      </c>
      <c r="AA73" s="38">
        <v>20</v>
      </c>
      <c r="AB73" s="420">
        <v>0.8</v>
      </c>
    </row>
    <row r="74" spans="1:28" s="49" customFormat="1">
      <c r="A74" s="45"/>
      <c r="B74" s="46" t="s">
        <v>203</v>
      </c>
      <c r="C74" s="47"/>
      <c r="D74" s="47"/>
      <c r="E74" s="47"/>
      <c r="F74" s="47"/>
      <c r="G74" s="47"/>
      <c r="H74" s="47"/>
      <c r="I74" s="47"/>
      <c r="J74" s="47"/>
      <c r="K74" s="47"/>
      <c r="L74" s="47"/>
      <c r="M74" s="47"/>
      <c r="N74" s="47"/>
      <c r="O74" s="47"/>
      <c r="P74" s="47"/>
      <c r="Q74" s="47"/>
      <c r="R74" s="52">
        <v>4</v>
      </c>
      <c r="S74" s="52">
        <v>4</v>
      </c>
      <c r="T74" s="52">
        <v>4</v>
      </c>
      <c r="U74" s="52">
        <v>4</v>
      </c>
      <c r="V74" s="52">
        <v>4</v>
      </c>
      <c r="W74" s="70">
        <v>4</v>
      </c>
      <c r="X74" s="70">
        <v>5</v>
      </c>
      <c r="Y74" s="70">
        <v>0</v>
      </c>
      <c r="Z74" s="70">
        <v>0</v>
      </c>
      <c r="AB74" s="421"/>
    </row>
    <row r="75" spans="1:28" s="49" customFormat="1">
      <c r="A75" s="45"/>
      <c r="B75" s="46"/>
      <c r="C75" s="48"/>
      <c r="D75" s="422"/>
      <c r="E75" s="422"/>
      <c r="F75" s="422"/>
      <c r="G75" s="83"/>
      <c r="H75" s="83"/>
      <c r="I75" s="83"/>
      <c r="J75" s="83"/>
      <c r="K75" s="83"/>
      <c r="L75" s="48"/>
      <c r="M75" s="48"/>
      <c r="N75" s="83"/>
      <c r="O75" s="83"/>
      <c r="P75" s="48"/>
      <c r="Q75" s="48"/>
      <c r="R75" s="53"/>
      <c r="S75" s="53"/>
      <c r="T75" s="53"/>
      <c r="U75" s="53"/>
      <c r="V75" s="53"/>
      <c r="W75" s="53"/>
      <c r="X75" s="53"/>
      <c r="Y75" s="53"/>
      <c r="Z75" s="53"/>
      <c r="AB75" s="421"/>
    </row>
    <row r="76" spans="1:28">
      <c r="A76" s="41" t="s">
        <v>163</v>
      </c>
      <c r="B76" s="42" t="s">
        <v>213</v>
      </c>
      <c r="C76" s="47"/>
      <c r="D76" s="47"/>
      <c r="E76" s="47"/>
      <c r="F76" s="47"/>
      <c r="G76" s="47"/>
      <c r="H76" s="47"/>
      <c r="I76" s="47"/>
      <c r="J76" s="47"/>
      <c r="K76" s="47"/>
      <c r="L76" s="47"/>
      <c r="M76" s="47"/>
      <c r="N76" s="47"/>
      <c r="O76" s="47"/>
      <c r="P76" s="47"/>
      <c r="Q76" s="47"/>
      <c r="R76" s="50">
        <v>3</v>
      </c>
      <c r="S76" s="51">
        <v>3</v>
      </c>
      <c r="T76" s="51">
        <v>3</v>
      </c>
      <c r="U76" s="51">
        <v>3</v>
      </c>
      <c r="V76" s="51">
        <v>3</v>
      </c>
      <c r="W76" s="51">
        <v>3.3333333333333335</v>
      </c>
      <c r="X76" s="51">
        <v>3.666666666666667</v>
      </c>
      <c r="Y76" s="50">
        <v>4</v>
      </c>
      <c r="Z76" s="51">
        <v>4</v>
      </c>
      <c r="AA76" s="38">
        <v>20</v>
      </c>
      <c r="AB76" s="420">
        <v>0.8</v>
      </c>
    </row>
    <row r="77" spans="1:28" s="49" customFormat="1">
      <c r="A77" s="45"/>
      <c r="B77" s="46" t="s">
        <v>212</v>
      </c>
      <c r="C77" s="47"/>
      <c r="D77" s="47"/>
      <c r="E77" s="47"/>
      <c r="F77" s="47"/>
      <c r="G77" s="47"/>
      <c r="H77" s="47"/>
      <c r="I77" s="47"/>
      <c r="J77" s="47"/>
      <c r="K77" s="47"/>
      <c r="L77" s="47"/>
      <c r="M77" s="47"/>
      <c r="N77" s="47"/>
      <c r="O77" s="47"/>
      <c r="P77" s="47"/>
      <c r="Q77" s="47"/>
      <c r="R77" s="52">
        <v>3</v>
      </c>
      <c r="S77" s="52">
        <v>3</v>
      </c>
      <c r="T77" s="52">
        <v>3</v>
      </c>
      <c r="U77" s="52">
        <v>3</v>
      </c>
      <c r="V77" s="52">
        <v>3</v>
      </c>
      <c r="W77" s="70">
        <v>3</v>
      </c>
      <c r="X77" s="70">
        <v>3</v>
      </c>
      <c r="Y77" s="70">
        <v>0</v>
      </c>
      <c r="Z77" s="70">
        <v>0</v>
      </c>
      <c r="AB77" s="421"/>
    </row>
    <row r="78" spans="1:28" s="49" customFormat="1">
      <c r="A78" s="45"/>
      <c r="B78" s="46"/>
      <c r="C78" s="48"/>
      <c r="D78" s="422"/>
      <c r="E78" s="422"/>
      <c r="F78" s="422"/>
      <c r="G78" s="83"/>
      <c r="H78" s="83"/>
      <c r="I78" s="83"/>
      <c r="J78" s="83"/>
      <c r="K78" s="83"/>
      <c r="L78" s="48"/>
      <c r="M78" s="48"/>
      <c r="N78" s="83"/>
      <c r="O78" s="83"/>
      <c r="P78" s="48"/>
      <c r="Q78" s="48"/>
      <c r="R78" s="53"/>
      <c r="S78" s="53"/>
      <c r="T78" s="53"/>
      <c r="U78" s="53"/>
      <c r="V78" s="53"/>
      <c r="W78" s="53"/>
      <c r="X78" s="53"/>
      <c r="Y78" s="53"/>
      <c r="Z78" s="53"/>
      <c r="AB78" s="421"/>
    </row>
    <row r="79" spans="1:28">
      <c r="A79" s="41" t="s">
        <v>164</v>
      </c>
      <c r="B79" s="42" t="s">
        <v>211</v>
      </c>
      <c r="C79" s="47"/>
      <c r="D79" s="47"/>
      <c r="E79" s="47"/>
      <c r="F79" s="47"/>
      <c r="G79" s="47"/>
      <c r="H79" s="47"/>
      <c r="I79" s="47"/>
      <c r="J79" s="47"/>
      <c r="K79" s="47"/>
      <c r="L79" s="47"/>
      <c r="M79" s="47"/>
      <c r="N79" s="47"/>
      <c r="O79" s="47"/>
      <c r="P79" s="47"/>
      <c r="Q79" s="47"/>
      <c r="R79" s="50">
        <v>2</v>
      </c>
      <c r="S79" s="51">
        <v>2</v>
      </c>
      <c r="T79" s="51">
        <v>2</v>
      </c>
      <c r="U79" s="51">
        <v>2</v>
      </c>
      <c r="V79" s="51">
        <v>2</v>
      </c>
      <c r="W79" s="51">
        <v>2.3333333333333335</v>
      </c>
      <c r="X79" s="51">
        <v>2.666666666666667</v>
      </c>
      <c r="Y79" s="50">
        <v>3</v>
      </c>
      <c r="Z79" s="51">
        <v>3</v>
      </c>
      <c r="AA79" s="38">
        <v>20</v>
      </c>
      <c r="AB79" s="420">
        <v>0.8</v>
      </c>
    </row>
    <row r="80" spans="1:28" s="49" customFormat="1">
      <c r="A80" s="45"/>
      <c r="B80" s="46" t="s">
        <v>210</v>
      </c>
      <c r="C80" s="47"/>
      <c r="D80" s="47"/>
      <c r="E80" s="47"/>
      <c r="F80" s="47"/>
      <c r="G80" s="47"/>
      <c r="H80" s="47"/>
      <c r="I80" s="47"/>
      <c r="J80" s="47"/>
      <c r="K80" s="47"/>
      <c r="L80" s="47"/>
      <c r="M80" s="47"/>
      <c r="N80" s="47"/>
      <c r="O80" s="47"/>
      <c r="P80" s="47"/>
      <c r="Q80" s="47"/>
      <c r="R80" s="52">
        <v>2</v>
      </c>
      <c r="S80" s="52">
        <v>2</v>
      </c>
      <c r="T80" s="52">
        <v>2</v>
      </c>
      <c r="U80" s="52">
        <v>2</v>
      </c>
      <c r="V80" s="52">
        <v>2</v>
      </c>
      <c r="W80" s="70">
        <v>2</v>
      </c>
      <c r="X80" s="70">
        <v>2</v>
      </c>
      <c r="Y80" s="70">
        <v>0</v>
      </c>
      <c r="Z80" s="70">
        <v>0</v>
      </c>
      <c r="AB80" s="421"/>
    </row>
    <row r="81" spans="1:28" s="49" customFormat="1">
      <c r="A81" s="45"/>
      <c r="B81" s="46"/>
      <c r="C81" s="48"/>
      <c r="D81" s="422"/>
      <c r="E81" s="422"/>
      <c r="F81" s="422"/>
      <c r="G81" s="83"/>
      <c r="H81" s="83"/>
      <c r="I81" s="83"/>
      <c r="J81" s="83"/>
      <c r="K81" s="83"/>
      <c r="L81" s="48"/>
      <c r="M81" s="48"/>
      <c r="N81" s="83"/>
      <c r="O81" s="83"/>
      <c r="P81" s="48"/>
      <c r="Q81" s="48"/>
      <c r="R81" s="53"/>
      <c r="S81" s="53"/>
      <c r="T81" s="53"/>
      <c r="U81" s="53"/>
      <c r="V81" s="53"/>
      <c r="W81" s="53"/>
      <c r="X81" s="53"/>
      <c r="Y81" s="53"/>
      <c r="Z81" s="53"/>
      <c r="AB81" s="421"/>
    </row>
    <row r="82" spans="1:28">
      <c r="A82" s="41" t="s">
        <v>165</v>
      </c>
      <c r="B82" s="42" t="s">
        <v>209</v>
      </c>
      <c r="C82" s="47"/>
      <c r="D82" s="47"/>
      <c r="E82" s="47"/>
      <c r="F82" s="47"/>
      <c r="G82" s="47"/>
      <c r="H82" s="47"/>
      <c r="I82" s="47"/>
      <c r="J82" s="47"/>
      <c r="K82" s="47"/>
      <c r="L82" s="47"/>
      <c r="M82" s="47"/>
      <c r="N82" s="47"/>
      <c r="O82" s="47"/>
      <c r="P82" s="47"/>
      <c r="Q82" s="47"/>
      <c r="R82" s="50">
        <v>0</v>
      </c>
      <c r="S82" s="51">
        <v>0</v>
      </c>
      <c r="T82" s="51">
        <v>0</v>
      </c>
      <c r="U82" s="51">
        <v>0</v>
      </c>
      <c r="V82" s="51">
        <v>0</v>
      </c>
      <c r="W82" s="51">
        <v>0</v>
      </c>
      <c r="X82" s="51">
        <v>0</v>
      </c>
      <c r="Y82" s="50">
        <v>0</v>
      </c>
      <c r="Z82" s="51">
        <v>0</v>
      </c>
      <c r="AA82" s="38">
        <v>20</v>
      </c>
      <c r="AB82" s="420">
        <v>0.8</v>
      </c>
    </row>
    <row r="83" spans="1:28" s="49" customFormat="1">
      <c r="A83" s="45"/>
      <c r="B83" s="46" t="s">
        <v>208</v>
      </c>
      <c r="C83" s="47"/>
      <c r="D83" s="47"/>
      <c r="E83" s="47"/>
      <c r="F83" s="47"/>
      <c r="G83" s="47"/>
      <c r="H83" s="47"/>
      <c r="I83" s="47"/>
      <c r="J83" s="47"/>
      <c r="K83" s="47"/>
      <c r="L83" s="47"/>
      <c r="M83" s="47"/>
      <c r="N83" s="47"/>
      <c r="O83" s="47"/>
      <c r="P83" s="47"/>
      <c r="Q83" s="47"/>
      <c r="R83" s="52">
        <v>0</v>
      </c>
      <c r="S83" s="52">
        <v>0</v>
      </c>
      <c r="T83" s="52">
        <v>0</v>
      </c>
      <c r="U83" s="52">
        <v>0</v>
      </c>
      <c r="V83" s="52">
        <v>0</v>
      </c>
      <c r="W83" s="70">
        <v>0</v>
      </c>
      <c r="X83" s="70">
        <v>0</v>
      </c>
      <c r="Y83" s="70">
        <v>0</v>
      </c>
      <c r="Z83" s="70">
        <v>0</v>
      </c>
      <c r="AB83" s="421"/>
    </row>
    <row r="84" spans="1:28" s="49" customFormat="1">
      <c r="A84" s="45"/>
      <c r="B84" s="46"/>
      <c r="C84" s="48"/>
      <c r="D84" s="422"/>
      <c r="E84" s="422"/>
      <c r="F84" s="422"/>
      <c r="G84" s="83"/>
      <c r="H84" s="83"/>
      <c r="I84" s="83"/>
      <c r="J84" s="83"/>
      <c r="K84" s="83"/>
      <c r="L84" s="48"/>
      <c r="M84" s="48"/>
      <c r="N84" s="83"/>
      <c r="O84" s="83"/>
      <c r="P84" s="48"/>
      <c r="Q84" s="48"/>
      <c r="R84" s="53"/>
      <c r="S84" s="53"/>
      <c r="T84" s="53"/>
      <c r="U84" s="53"/>
      <c r="V84" s="53"/>
      <c r="W84" s="53"/>
      <c r="X84" s="53"/>
      <c r="Y84" s="53"/>
      <c r="Z84" s="53"/>
      <c r="AB84" s="421"/>
    </row>
    <row r="85" spans="1:28">
      <c r="A85" s="41" t="s">
        <v>160</v>
      </c>
      <c r="B85" s="42" t="s">
        <v>201</v>
      </c>
      <c r="C85" s="47"/>
      <c r="D85" s="47"/>
      <c r="E85" s="47"/>
      <c r="F85" s="47"/>
      <c r="G85" s="47"/>
      <c r="H85" s="47"/>
      <c r="I85" s="47"/>
      <c r="J85" s="47"/>
      <c r="K85" s="47"/>
      <c r="L85" s="47"/>
      <c r="M85" s="47"/>
      <c r="N85" s="47"/>
      <c r="O85" s="47"/>
      <c r="P85" s="47"/>
      <c r="Q85" s="47"/>
      <c r="R85" s="50">
        <v>48</v>
      </c>
      <c r="S85" s="51">
        <v>48</v>
      </c>
      <c r="T85" s="51">
        <v>48</v>
      </c>
      <c r="U85" s="51">
        <v>48</v>
      </c>
      <c r="V85" s="51">
        <v>48</v>
      </c>
      <c r="W85" s="51">
        <v>51.333333333333336</v>
      </c>
      <c r="X85" s="51">
        <v>54.666666666666671</v>
      </c>
      <c r="Y85" s="50">
        <v>58</v>
      </c>
      <c r="Z85" s="51">
        <v>58</v>
      </c>
      <c r="AA85" s="38">
        <v>100</v>
      </c>
      <c r="AB85" s="420">
        <v>4</v>
      </c>
    </row>
    <row r="86" spans="1:28" s="49" customFormat="1">
      <c r="A86" s="45"/>
      <c r="B86" s="46" t="s">
        <v>200</v>
      </c>
      <c r="C86" s="47"/>
      <c r="D86" s="47"/>
      <c r="E86" s="47"/>
      <c r="F86" s="47"/>
      <c r="G86" s="47"/>
      <c r="H86" s="47"/>
      <c r="I86" s="47"/>
      <c r="J86" s="47"/>
      <c r="K86" s="47"/>
      <c r="L86" s="47"/>
      <c r="M86" s="47"/>
      <c r="N86" s="47"/>
      <c r="O86" s="47"/>
      <c r="P86" s="47"/>
      <c r="Q86" s="47"/>
      <c r="R86" s="52">
        <v>48</v>
      </c>
      <c r="S86" s="52">
        <v>48</v>
      </c>
      <c r="T86" s="52">
        <v>48</v>
      </c>
      <c r="U86" s="52">
        <v>48</v>
      </c>
      <c r="V86" s="52">
        <v>48</v>
      </c>
      <c r="W86" s="70">
        <v>48.000000000000007</v>
      </c>
      <c r="X86" s="70">
        <v>50</v>
      </c>
      <c r="Y86" s="70">
        <v>0</v>
      </c>
      <c r="Z86" s="70">
        <v>0</v>
      </c>
      <c r="AB86" s="421"/>
    </row>
    <row r="87" spans="1:28" s="49" customFormat="1">
      <c r="A87" s="45"/>
      <c r="B87" s="46"/>
      <c r="C87" s="48"/>
      <c r="D87" s="422"/>
      <c r="E87" s="422"/>
      <c r="F87" s="422"/>
      <c r="G87" s="83"/>
      <c r="H87" s="83"/>
      <c r="I87" s="83"/>
      <c r="J87" s="83"/>
      <c r="K87" s="83"/>
      <c r="L87" s="48"/>
      <c r="M87" s="48"/>
      <c r="N87" s="83"/>
      <c r="O87" s="83"/>
      <c r="P87" s="48"/>
      <c r="Q87" s="48"/>
      <c r="R87" s="53"/>
      <c r="S87" s="53"/>
      <c r="T87" s="53"/>
      <c r="U87" s="53"/>
      <c r="V87" s="53"/>
      <c r="W87" s="53"/>
      <c r="X87" s="53"/>
      <c r="Y87" s="53"/>
      <c r="Z87" s="53"/>
      <c r="AB87" s="421"/>
    </row>
    <row r="88" spans="1:28">
      <c r="A88" s="41" t="s">
        <v>161</v>
      </c>
      <c r="B88" s="42" t="s">
        <v>198</v>
      </c>
      <c r="C88" s="47"/>
      <c r="D88" s="47"/>
      <c r="E88" s="47"/>
      <c r="F88" s="47"/>
      <c r="G88" s="47"/>
      <c r="H88" s="47"/>
      <c r="I88" s="47"/>
      <c r="J88" s="47"/>
      <c r="K88" s="47"/>
      <c r="L88" s="47"/>
      <c r="M88" s="47"/>
      <c r="N88" s="47"/>
      <c r="O88" s="47"/>
      <c r="P88" s="47"/>
      <c r="Q88" s="47"/>
      <c r="R88" s="50">
        <v>70</v>
      </c>
      <c r="S88" s="51">
        <v>70</v>
      </c>
      <c r="T88" s="51">
        <v>70</v>
      </c>
      <c r="U88" s="51">
        <v>70</v>
      </c>
      <c r="V88" s="51">
        <v>70</v>
      </c>
      <c r="W88" s="828">
        <v>71.666666666666671</v>
      </c>
      <c r="X88" s="828">
        <v>73.333333333333343</v>
      </c>
      <c r="Y88" s="829">
        <v>75</v>
      </c>
      <c r="Z88" s="828">
        <v>75</v>
      </c>
      <c r="AA88" s="38">
        <v>100</v>
      </c>
      <c r="AB88" s="420">
        <v>4</v>
      </c>
    </row>
    <row r="89" spans="1:28" s="49" customFormat="1">
      <c r="A89" s="45"/>
      <c r="B89" s="46" t="s">
        <v>199</v>
      </c>
      <c r="C89" s="47"/>
      <c r="D89" s="47"/>
      <c r="E89" s="47"/>
      <c r="F89" s="47"/>
      <c r="G89" s="47"/>
      <c r="H89" s="47"/>
      <c r="I89" s="47"/>
      <c r="J89" s="47"/>
      <c r="K89" s="47"/>
      <c r="L89" s="47"/>
      <c r="M89" s="47"/>
      <c r="N89" s="47"/>
      <c r="O89" s="47"/>
      <c r="P89" s="47"/>
      <c r="Q89" s="47"/>
      <c r="R89" s="52">
        <v>70</v>
      </c>
      <c r="S89" s="52">
        <v>70</v>
      </c>
      <c r="T89" s="52">
        <v>70</v>
      </c>
      <c r="U89" s="52">
        <v>70</v>
      </c>
      <c r="V89" s="52">
        <v>70</v>
      </c>
      <c r="W89" s="70">
        <v>70</v>
      </c>
      <c r="X89" s="70">
        <v>70</v>
      </c>
      <c r="Y89" s="70">
        <v>0</v>
      </c>
      <c r="Z89" s="70">
        <v>0</v>
      </c>
      <c r="AB89" s="421"/>
    </row>
    <row r="90" spans="1:28" s="49" customFormat="1">
      <c r="A90" s="45"/>
      <c r="B90" s="46"/>
      <c r="C90" s="48"/>
      <c r="D90" s="422"/>
      <c r="E90" s="422"/>
      <c r="F90" s="422"/>
      <c r="G90" s="83"/>
      <c r="H90" s="83"/>
      <c r="I90" s="83"/>
      <c r="J90" s="83"/>
      <c r="K90" s="83"/>
      <c r="L90" s="48"/>
      <c r="M90" s="48"/>
      <c r="N90" s="83"/>
      <c r="O90" s="83"/>
      <c r="P90" s="48"/>
      <c r="Q90" s="48"/>
      <c r="R90" s="53"/>
      <c r="S90" s="48"/>
      <c r="T90" s="48"/>
      <c r="U90" s="48"/>
      <c r="V90" s="48"/>
      <c r="W90" s="48"/>
      <c r="X90" s="48"/>
      <c r="Y90" s="48"/>
      <c r="Z90" s="48"/>
      <c r="AB90" s="421"/>
    </row>
    <row r="91" spans="1:28">
      <c r="A91" s="41" t="s">
        <v>40</v>
      </c>
      <c r="B91" s="42" t="s">
        <v>139</v>
      </c>
      <c r="C91" s="47"/>
      <c r="D91" s="47"/>
      <c r="E91" s="47"/>
      <c r="F91" s="47"/>
      <c r="G91" s="47"/>
      <c r="H91" s="47"/>
      <c r="I91" s="47"/>
      <c r="J91" s="47"/>
      <c r="K91" s="47"/>
      <c r="L91" s="47"/>
      <c r="M91" s="47"/>
      <c r="N91" s="47"/>
      <c r="O91" s="47"/>
      <c r="P91" s="47"/>
      <c r="Q91" s="47"/>
      <c r="R91" s="43">
        <v>2.9</v>
      </c>
      <c r="S91" s="44">
        <v>2.9</v>
      </c>
      <c r="T91" s="44">
        <v>2.9</v>
      </c>
      <c r="U91" s="44">
        <v>2.9</v>
      </c>
      <c r="V91" s="44">
        <v>2.9</v>
      </c>
      <c r="W91" s="44">
        <v>3.1</v>
      </c>
      <c r="X91" s="44">
        <v>3.3000000000000003</v>
      </c>
      <c r="Y91" s="43">
        <v>3.5</v>
      </c>
      <c r="Z91" s="44">
        <v>3.5</v>
      </c>
      <c r="AA91" s="38">
        <v>5</v>
      </c>
      <c r="AB91" s="420">
        <v>0.16</v>
      </c>
    </row>
    <row r="92" spans="1:28" s="49" customFormat="1">
      <c r="A92" s="45"/>
      <c r="B92" s="46" t="s">
        <v>140</v>
      </c>
      <c r="C92" s="47"/>
      <c r="D92" s="47"/>
      <c r="E92" s="47"/>
      <c r="F92" s="47"/>
      <c r="G92" s="47"/>
      <c r="H92" s="47"/>
      <c r="I92" s="47"/>
      <c r="J92" s="47"/>
      <c r="K92" s="47"/>
      <c r="L92" s="47"/>
      <c r="M92" s="47"/>
      <c r="N92" s="47"/>
      <c r="O92" s="47"/>
      <c r="P92" s="47"/>
      <c r="Q92" s="47"/>
      <c r="R92" s="47">
        <v>2.9</v>
      </c>
      <c r="S92" s="47">
        <v>2.9</v>
      </c>
      <c r="T92" s="47">
        <v>2.9</v>
      </c>
      <c r="U92" s="47">
        <v>2.9</v>
      </c>
      <c r="V92" s="47">
        <v>2.9</v>
      </c>
      <c r="W92" s="69">
        <v>3.4</v>
      </c>
      <c r="X92" s="69">
        <v>3.4</v>
      </c>
      <c r="Y92" s="69">
        <v>0</v>
      </c>
      <c r="Z92" s="69">
        <v>0</v>
      </c>
      <c r="AB92" s="421"/>
    </row>
    <row r="93" spans="1:28" s="49" customFormat="1">
      <c r="A93" s="45"/>
      <c r="B93" s="46"/>
      <c r="C93" s="48"/>
      <c r="D93" s="422"/>
      <c r="E93" s="422"/>
      <c r="F93" s="422"/>
      <c r="G93" s="83"/>
      <c r="H93" s="83"/>
      <c r="I93" s="83"/>
      <c r="J93" s="83"/>
      <c r="K93" s="83"/>
      <c r="L93" s="48"/>
      <c r="M93" s="48"/>
      <c r="N93" s="83"/>
      <c r="O93" s="83"/>
      <c r="P93" s="48"/>
      <c r="Q93" s="48"/>
      <c r="R93" s="48"/>
      <c r="S93" s="48"/>
      <c r="T93" s="48"/>
      <c r="U93" s="48"/>
      <c r="V93" s="48"/>
      <c r="W93" s="48"/>
      <c r="X93" s="48"/>
      <c r="Y93" s="48"/>
      <c r="Z93" s="48"/>
      <c r="AB93" s="421"/>
    </row>
    <row r="94" spans="1:28">
      <c r="A94" s="41" t="s">
        <v>32</v>
      </c>
      <c r="B94" s="42" t="s">
        <v>139</v>
      </c>
      <c r="C94" s="47"/>
      <c r="D94" s="47"/>
      <c r="E94" s="47"/>
      <c r="F94" s="47"/>
      <c r="G94" s="47"/>
      <c r="H94" s="47"/>
      <c r="I94" s="47"/>
      <c r="J94" s="47"/>
      <c r="K94" s="47"/>
      <c r="L94" s="47"/>
      <c r="M94" s="47"/>
      <c r="N94" s="47"/>
      <c r="O94" s="47"/>
      <c r="P94" s="47"/>
      <c r="Q94" s="47"/>
      <c r="R94" s="43">
        <v>1</v>
      </c>
      <c r="S94" s="44">
        <v>1</v>
      </c>
      <c r="T94" s="44">
        <v>1</v>
      </c>
      <c r="U94" s="44">
        <v>1</v>
      </c>
      <c r="V94" s="44">
        <v>1</v>
      </c>
      <c r="W94" s="44">
        <v>1.2</v>
      </c>
      <c r="X94" s="44">
        <v>1.4</v>
      </c>
      <c r="Y94" s="43">
        <v>1.6</v>
      </c>
      <c r="Z94" s="44">
        <v>1.6</v>
      </c>
      <c r="AA94" s="38">
        <v>5</v>
      </c>
      <c r="AB94" s="420">
        <v>0.16</v>
      </c>
    </row>
    <row r="95" spans="1:28" s="49" customFormat="1">
      <c r="A95" s="45"/>
      <c r="B95" s="46" t="s">
        <v>140</v>
      </c>
      <c r="C95" s="47"/>
      <c r="D95" s="47"/>
      <c r="E95" s="47"/>
      <c r="F95" s="47"/>
      <c r="G95" s="47"/>
      <c r="H95" s="47"/>
      <c r="I95" s="47"/>
      <c r="J95" s="47"/>
      <c r="K95" s="47"/>
      <c r="L95" s="47"/>
      <c r="M95" s="47"/>
      <c r="N95" s="47"/>
      <c r="O95" s="47"/>
      <c r="P95" s="47"/>
      <c r="Q95" s="47"/>
      <c r="R95" s="47">
        <v>1</v>
      </c>
      <c r="S95" s="47">
        <v>1</v>
      </c>
      <c r="T95" s="47">
        <v>1</v>
      </c>
      <c r="U95" s="47">
        <v>1</v>
      </c>
      <c r="V95" s="47">
        <v>1</v>
      </c>
      <c r="W95" s="69">
        <v>1.5</v>
      </c>
      <c r="X95" s="69">
        <v>1.8</v>
      </c>
      <c r="Y95" s="69">
        <v>0</v>
      </c>
      <c r="Z95" s="69">
        <v>0</v>
      </c>
      <c r="AB95" s="421"/>
    </row>
    <row r="96" spans="1:28" s="49" customFormat="1">
      <c r="A96" s="45"/>
      <c r="B96" s="46"/>
      <c r="C96" s="48"/>
      <c r="D96" s="422"/>
      <c r="E96" s="422"/>
      <c r="F96" s="422"/>
      <c r="G96" s="83"/>
      <c r="H96" s="83"/>
      <c r="I96" s="83"/>
      <c r="J96" s="83"/>
      <c r="K96" s="83"/>
      <c r="L96" s="48"/>
      <c r="M96" s="48"/>
      <c r="N96" s="83"/>
      <c r="O96" s="83"/>
      <c r="P96" s="48"/>
      <c r="Q96" s="48"/>
      <c r="R96" s="48"/>
      <c r="S96" s="48"/>
      <c r="T96" s="48"/>
      <c r="U96" s="48"/>
      <c r="V96" s="48"/>
      <c r="W96" s="48"/>
      <c r="X96" s="48"/>
      <c r="Y96" s="48"/>
      <c r="Z96" s="48"/>
      <c r="AB96" s="421"/>
    </row>
    <row r="97" spans="1:28">
      <c r="A97" s="41" t="s">
        <v>33</v>
      </c>
      <c r="B97" s="42" t="s">
        <v>139</v>
      </c>
      <c r="C97" s="47"/>
      <c r="D97" s="47"/>
      <c r="E97" s="47"/>
      <c r="F97" s="47"/>
      <c r="G97" s="47"/>
      <c r="H97" s="47"/>
      <c r="I97" s="47"/>
      <c r="J97" s="47"/>
      <c r="K97" s="47"/>
      <c r="L97" s="47"/>
      <c r="M97" s="47"/>
      <c r="N97" s="47"/>
      <c r="O97" s="47"/>
      <c r="P97" s="47"/>
      <c r="Q97" s="47"/>
      <c r="R97" s="43">
        <v>1.8</v>
      </c>
      <c r="S97" s="44">
        <v>1.8</v>
      </c>
      <c r="T97" s="44">
        <v>1.8</v>
      </c>
      <c r="U97" s="44">
        <v>1.8</v>
      </c>
      <c r="V97" s="44">
        <v>1.8</v>
      </c>
      <c r="W97" s="44">
        <v>2</v>
      </c>
      <c r="X97" s="44">
        <v>2.2000000000000002</v>
      </c>
      <c r="Y97" s="43">
        <v>2.4</v>
      </c>
      <c r="Z97" s="44">
        <v>2.4</v>
      </c>
      <c r="AA97" s="38">
        <v>5</v>
      </c>
      <c r="AB97" s="420">
        <v>0.16</v>
      </c>
    </row>
    <row r="98" spans="1:28" s="49" customFormat="1">
      <c r="A98" s="45"/>
      <c r="B98" s="46" t="s">
        <v>140</v>
      </c>
      <c r="C98" s="47"/>
      <c r="D98" s="47"/>
      <c r="E98" s="47"/>
      <c r="F98" s="47"/>
      <c r="G98" s="47"/>
      <c r="H98" s="47"/>
      <c r="I98" s="47"/>
      <c r="J98" s="47"/>
      <c r="K98" s="47"/>
      <c r="L98" s="47"/>
      <c r="M98" s="47"/>
      <c r="N98" s="47"/>
      <c r="O98" s="47"/>
      <c r="P98" s="47"/>
      <c r="Q98" s="47"/>
      <c r="R98" s="47">
        <v>1.8</v>
      </c>
      <c r="S98" s="47">
        <v>1.8</v>
      </c>
      <c r="T98" s="47">
        <v>1.8</v>
      </c>
      <c r="U98" s="47">
        <v>1.8</v>
      </c>
      <c r="V98" s="47">
        <v>1.8</v>
      </c>
      <c r="W98" s="69">
        <v>2.2999999999999998</v>
      </c>
      <c r="X98" s="69">
        <v>2.8</v>
      </c>
      <c r="Y98" s="69">
        <v>0</v>
      </c>
      <c r="Z98" s="69">
        <v>0</v>
      </c>
      <c r="AB98" s="421"/>
    </row>
    <row r="99" spans="1:28" s="49" customFormat="1">
      <c r="A99" s="45"/>
      <c r="B99" s="46"/>
      <c r="C99" s="48"/>
      <c r="D99" s="422"/>
      <c r="E99" s="422"/>
      <c r="F99" s="422"/>
      <c r="G99" s="83"/>
      <c r="H99" s="83"/>
      <c r="I99" s="83"/>
      <c r="J99" s="83"/>
      <c r="K99" s="83"/>
      <c r="L99" s="48"/>
      <c r="M99" s="48"/>
      <c r="N99" s="83"/>
      <c r="O99" s="83"/>
      <c r="P99" s="48"/>
      <c r="Q99" s="48"/>
      <c r="R99" s="48"/>
      <c r="S99" s="48"/>
      <c r="T99" s="48"/>
      <c r="U99" s="48"/>
      <c r="V99" s="48"/>
      <c r="W99" s="48"/>
      <c r="X99" s="48"/>
      <c r="Y99" s="48"/>
      <c r="Z99" s="48"/>
      <c r="AB99" s="421"/>
    </row>
    <row r="100" spans="1:28">
      <c r="A100" s="41" t="s">
        <v>34</v>
      </c>
      <c r="B100" s="42" t="s">
        <v>139</v>
      </c>
      <c r="C100" s="47"/>
      <c r="D100" s="47"/>
      <c r="E100" s="47"/>
      <c r="F100" s="47"/>
      <c r="G100" s="47"/>
      <c r="H100" s="47"/>
      <c r="I100" s="47"/>
      <c r="J100" s="47"/>
      <c r="K100" s="47"/>
      <c r="L100" s="47"/>
      <c r="M100" s="47"/>
      <c r="N100" s="47"/>
      <c r="O100" s="47"/>
      <c r="P100" s="47"/>
      <c r="Q100" s="47"/>
      <c r="R100" s="43">
        <v>1.1000000000000001</v>
      </c>
      <c r="S100" s="44">
        <v>1.1000000000000001</v>
      </c>
      <c r="T100" s="44">
        <v>1.1000000000000001</v>
      </c>
      <c r="U100" s="44">
        <v>1.1000000000000001</v>
      </c>
      <c r="V100" s="44">
        <v>1.1000000000000001</v>
      </c>
      <c r="W100" s="44">
        <v>1.3</v>
      </c>
      <c r="X100" s="44">
        <v>1.5</v>
      </c>
      <c r="Y100" s="43">
        <v>1.7</v>
      </c>
      <c r="Z100" s="44">
        <v>1.7</v>
      </c>
      <c r="AA100" s="38">
        <v>5</v>
      </c>
      <c r="AB100" s="420">
        <v>0.16</v>
      </c>
    </row>
    <row r="101" spans="1:28" s="49" customFormat="1">
      <c r="A101" s="45"/>
      <c r="B101" s="46" t="s">
        <v>140</v>
      </c>
      <c r="C101" s="47"/>
      <c r="D101" s="47"/>
      <c r="E101" s="47"/>
      <c r="F101" s="47"/>
      <c r="G101" s="47"/>
      <c r="H101" s="47"/>
      <c r="I101" s="47"/>
      <c r="J101" s="47"/>
      <c r="K101" s="47"/>
      <c r="L101" s="47"/>
      <c r="M101" s="47"/>
      <c r="N101" s="47"/>
      <c r="O101" s="47"/>
      <c r="P101" s="47"/>
      <c r="Q101" s="47"/>
      <c r="R101" s="47">
        <v>1.1000000000000001</v>
      </c>
      <c r="S101" s="47">
        <v>1.1000000000000001</v>
      </c>
      <c r="T101" s="47">
        <v>1.1000000000000001</v>
      </c>
      <c r="U101" s="47">
        <v>1.1000000000000001</v>
      </c>
      <c r="V101" s="47">
        <v>1.1000000000000001</v>
      </c>
      <c r="W101" s="69">
        <v>1.6</v>
      </c>
      <c r="X101" s="69">
        <v>1.6</v>
      </c>
      <c r="Y101" s="69">
        <v>0</v>
      </c>
      <c r="Z101" s="69">
        <v>0</v>
      </c>
      <c r="AB101" s="421"/>
    </row>
    <row r="102" spans="1:28" s="49" customFormat="1">
      <c r="A102" s="45"/>
      <c r="B102" s="46"/>
      <c r="C102" s="48"/>
      <c r="D102" s="422"/>
      <c r="E102" s="422"/>
      <c r="F102" s="422"/>
      <c r="G102" s="83"/>
      <c r="H102" s="83"/>
      <c r="I102" s="83"/>
      <c r="J102" s="83"/>
      <c r="K102" s="83"/>
      <c r="L102" s="48"/>
      <c r="M102" s="48"/>
      <c r="N102" s="83"/>
      <c r="O102" s="83"/>
      <c r="P102" s="48"/>
      <c r="Q102" s="48"/>
      <c r="R102" s="48"/>
      <c r="S102" s="48"/>
      <c r="T102" s="48"/>
      <c r="U102" s="48"/>
      <c r="V102" s="48"/>
      <c r="W102" s="48"/>
      <c r="X102" s="48"/>
      <c r="Y102" s="48"/>
      <c r="Z102" s="48"/>
      <c r="AB102" s="421"/>
    </row>
    <row r="103" spans="1:28">
      <c r="A103" s="41" t="s">
        <v>41</v>
      </c>
      <c r="B103" s="42" t="s">
        <v>139</v>
      </c>
      <c r="C103" s="47"/>
      <c r="D103" s="47"/>
      <c r="E103" s="47"/>
      <c r="F103" s="47"/>
      <c r="G103" s="47"/>
      <c r="H103" s="47"/>
      <c r="I103" s="47"/>
      <c r="J103" s="47"/>
      <c r="K103" s="47"/>
      <c r="L103" s="47"/>
      <c r="M103" s="47"/>
      <c r="N103" s="47"/>
      <c r="O103" s="47"/>
      <c r="P103" s="47"/>
      <c r="Q103" s="47"/>
      <c r="R103" s="43">
        <v>1.2</v>
      </c>
      <c r="S103" s="44">
        <v>1.2</v>
      </c>
      <c r="T103" s="44">
        <v>1.2</v>
      </c>
      <c r="U103" s="44">
        <v>1.2</v>
      </c>
      <c r="V103" s="44">
        <v>1.2</v>
      </c>
      <c r="W103" s="44">
        <v>1.3333333333333333</v>
      </c>
      <c r="X103" s="44">
        <v>1.4666666666666666</v>
      </c>
      <c r="Y103" s="43">
        <v>1.6</v>
      </c>
      <c r="Z103" s="44">
        <v>1.6</v>
      </c>
      <c r="AA103" s="38">
        <v>5</v>
      </c>
      <c r="AB103" s="420">
        <v>0.16</v>
      </c>
    </row>
    <row r="104" spans="1:28" s="49" customFormat="1">
      <c r="A104" s="45"/>
      <c r="B104" s="46" t="s">
        <v>140</v>
      </c>
      <c r="C104" s="47"/>
      <c r="D104" s="47"/>
      <c r="E104" s="47"/>
      <c r="F104" s="47"/>
      <c r="G104" s="47"/>
      <c r="H104" s="47"/>
      <c r="I104" s="47"/>
      <c r="J104" s="47"/>
      <c r="K104" s="47"/>
      <c r="L104" s="47"/>
      <c r="M104" s="47"/>
      <c r="N104" s="47"/>
      <c r="O104" s="47"/>
      <c r="P104" s="47"/>
      <c r="Q104" s="47"/>
      <c r="R104" s="47">
        <v>1.2</v>
      </c>
      <c r="S104" s="47">
        <v>1.2</v>
      </c>
      <c r="T104" s="47">
        <v>1.2</v>
      </c>
      <c r="U104" s="47">
        <v>1.2</v>
      </c>
      <c r="V104" s="47">
        <v>1.2</v>
      </c>
      <c r="W104" s="69">
        <v>1.5</v>
      </c>
      <c r="X104" s="69">
        <v>1.6</v>
      </c>
      <c r="Y104" s="69">
        <v>0</v>
      </c>
      <c r="Z104" s="69">
        <v>0</v>
      </c>
      <c r="AB104" s="421"/>
    </row>
    <row r="105" spans="1:28" s="49" customFormat="1">
      <c r="A105" s="45"/>
      <c r="B105" s="46"/>
      <c r="C105" s="48"/>
      <c r="D105" s="422"/>
      <c r="E105" s="422"/>
      <c r="F105" s="422"/>
      <c r="G105" s="83"/>
      <c r="H105" s="83"/>
      <c r="I105" s="83"/>
      <c r="J105" s="83"/>
      <c r="K105" s="83"/>
      <c r="L105" s="48"/>
      <c r="M105" s="48"/>
      <c r="N105" s="83"/>
      <c r="O105" s="83"/>
      <c r="P105" s="48"/>
      <c r="Q105" s="48"/>
      <c r="R105" s="53"/>
      <c r="S105" s="48"/>
      <c r="T105" s="48"/>
      <c r="U105" s="48"/>
      <c r="V105" s="48"/>
      <c r="W105" s="48"/>
      <c r="X105" s="48"/>
      <c r="Y105" s="48"/>
      <c r="Z105" s="48"/>
      <c r="AB105" s="421"/>
    </row>
    <row r="106" spans="1:28">
      <c r="A106" s="41" t="s">
        <v>181</v>
      </c>
      <c r="B106" s="42" t="s">
        <v>204</v>
      </c>
      <c r="C106" s="47"/>
      <c r="D106" s="47"/>
      <c r="E106" s="47"/>
      <c r="F106" s="47"/>
      <c r="G106" s="47"/>
      <c r="H106" s="47"/>
      <c r="I106" s="47"/>
      <c r="J106" s="47"/>
      <c r="K106" s="47"/>
      <c r="L106" s="47"/>
      <c r="M106" s="47"/>
      <c r="N106" s="47"/>
      <c r="O106" s="47"/>
      <c r="P106" s="47"/>
      <c r="Q106" s="47"/>
      <c r="R106" s="50">
        <v>0</v>
      </c>
      <c r="S106" s="51">
        <v>0</v>
      </c>
      <c r="T106" s="51">
        <v>0</v>
      </c>
      <c r="U106" s="51">
        <v>0</v>
      </c>
      <c r="V106" s="51">
        <v>0</v>
      </c>
      <c r="W106" s="51">
        <v>0.66666666666666663</v>
      </c>
      <c r="X106" s="51">
        <v>1.3333333333333333</v>
      </c>
      <c r="Y106" s="50">
        <v>2</v>
      </c>
      <c r="Z106" s="51">
        <v>2</v>
      </c>
      <c r="AA106" s="38">
        <v>20</v>
      </c>
      <c r="AB106" s="420">
        <v>0.8</v>
      </c>
    </row>
    <row r="107" spans="1:28" s="49" customFormat="1">
      <c r="A107" s="45"/>
      <c r="B107" s="46" t="s">
        <v>205</v>
      </c>
      <c r="C107" s="47"/>
      <c r="D107" s="47"/>
      <c r="E107" s="47"/>
      <c r="F107" s="47"/>
      <c r="G107" s="47"/>
      <c r="H107" s="47"/>
      <c r="I107" s="47"/>
      <c r="J107" s="47"/>
      <c r="K107" s="47"/>
      <c r="L107" s="47"/>
      <c r="M107" s="47"/>
      <c r="N107" s="47"/>
      <c r="O107" s="47"/>
      <c r="P107" s="47"/>
      <c r="Q107" s="47"/>
      <c r="R107" s="52">
        <v>0</v>
      </c>
      <c r="S107" s="52">
        <v>0</v>
      </c>
      <c r="T107" s="52">
        <v>0</v>
      </c>
      <c r="U107" s="52">
        <v>0</v>
      </c>
      <c r="V107" s="52">
        <v>0</v>
      </c>
      <c r="W107" s="70">
        <v>1</v>
      </c>
      <c r="X107" s="70">
        <v>1</v>
      </c>
      <c r="Y107" s="70">
        <v>0</v>
      </c>
      <c r="Z107" s="70">
        <v>0</v>
      </c>
      <c r="AB107" s="421"/>
    </row>
    <row r="108" spans="1:28" s="49" customFormat="1">
      <c r="A108" s="45"/>
      <c r="B108" s="46"/>
      <c r="C108" s="48"/>
      <c r="D108" s="422"/>
      <c r="E108" s="422"/>
      <c r="F108" s="422"/>
      <c r="G108" s="83"/>
      <c r="H108" s="83"/>
      <c r="I108" s="83"/>
      <c r="J108" s="83"/>
      <c r="K108" s="83"/>
      <c r="L108" s="48"/>
      <c r="M108" s="48"/>
      <c r="N108" s="83"/>
      <c r="O108" s="83"/>
      <c r="P108" s="48"/>
      <c r="Q108" s="48"/>
      <c r="R108" s="53"/>
      <c r="S108" s="53"/>
      <c r="T108" s="53"/>
      <c r="U108" s="53"/>
      <c r="V108" s="53"/>
      <c r="W108" s="53"/>
      <c r="X108" s="53"/>
      <c r="Y108" s="53"/>
      <c r="Z108" s="53"/>
      <c r="AB108" s="421"/>
    </row>
    <row r="109" spans="1:28">
      <c r="A109" s="41" t="s">
        <v>182</v>
      </c>
      <c r="B109" s="42" t="s">
        <v>206</v>
      </c>
      <c r="C109" s="47"/>
      <c r="D109" s="47"/>
      <c r="E109" s="47"/>
      <c r="F109" s="47"/>
      <c r="G109" s="47"/>
      <c r="H109" s="47"/>
      <c r="I109" s="47"/>
      <c r="J109" s="47"/>
      <c r="K109" s="47"/>
      <c r="L109" s="47"/>
      <c r="M109" s="47"/>
      <c r="N109" s="47"/>
      <c r="O109" s="47"/>
      <c r="P109" s="47"/>
      <c r="Q109" s="47"/>
      <c r="R109" s="50">
        <v>0</v>
      </c>
      <c r="S109" s="51">
        <v>0</v>
      </c>
      <c r="T109" s="51">
        <v>0</v>
      </c>
      <c r="U109" s="51">
        <v>0</v>
      </c>
      <c r="V109" s="51">
        <v>0</v>
      </c>
      <c r="W109" s="51">
        <v>0.33333333333333331</v>
      </c>
      <c r="X109" s="51">
        <v>0.66666666666666663</v>
      </c>
      <c r="Y109" s="50">
        <v>1</v>
      </c>
      <c r="Z109" s="51">
        <v>1</v>
      </c>
      <c r="AA109" s="38">
        <v>10</v>
      </c>
      <c r="AB109" s="420">
        <v>0.4</v>
      </c>
    </row>
    <row r="110" spans="1:28" s="49" customFormat="1">
      <c r="A110" s="45"/>
      <c r="B110" s="46" t="s">
        <v>207</v>
      </c>
      <c r="C110" s="47"/>
      <c r="D110" s="47"/>
      <c r="E110" s="47"/>
      <c r="F110" s="47"/>
      <c r="G110" s="47"/>
      <c r="H110" s="47"/>
      <c r="I110" s="47"/>
      <c r="J110" s="47"/>
      <c r="K110" s="47"/>
      <c r="L110" s="47"/>
      <c r="M110" s="47"/>
      <c r="N110" s="47"/>
      <c r="O110" s="47"/>
      <c r="P110" s="47"/>
      <c r="Q110" s="47"/>
      <c r="R110" s="52">
        <v>0</v>
      </c>
      <c r="S110" s="52">
        <v>0</v>
      </c>
      <c r="T110" s="52">
        <v>0</v>
      </c>
      <c r="U110" s="52">
        <v>0</v>
      </c>
      <c r="V110" s="52">
        <v>0</v>
      </c>
      <c r="W110" s="70">
        <v>0</v>
      </c>
      <c r="X110" s="70">
        <v>0</v>
      </c>
      <c r="Y110" s="70">
        <v>0</v>
      </c>
      <c r="Z110" s="70">
        <v>0</v>
      </c>
      <c r="AB110" s="421"/>
    </row>
    <row r="111" spans="1:28" s="49" customFormat="1">
      <c r="A111" s="45"/>
      <c r="B111" s="46"/>
      <c r="C111" s="48"/>
      <c r="D111" s="422"/>
      <c r="E111" s="422"/>
      <c r="F111" s="422"/>
      <c r="G111" s="83"/>
      <c r="H111" s="83"/>
      <c r="I111" s="83"/>
      <c r="J111" s="83"/>
      <c r="K111" s="83"/>
      <c r="L111" s="48"/>
      <c r="M111" s="48"/>
      <c r="N111" s="83"/>
      <c r="O111" s="83"/>
      <c r="P111" s="48"/>
      <c r="Q111" s="48"/>
      <c r="R111" s="53"/>
      <c r="S111" s="53"/>
      <c r="T111" s="53"/>
      <c r="U111" s="53"/>
      <c r="V111" s="53"/>
      <c r="W111" s="53"/>
      <c r="X111" s="53"/>
      <c r="Y111" s="53"/>
      <c r="Z111" s="53"/>
      <c r="AB111" s="421"/>
    </row>
    <row r="112" spans="1:28">
      <c r="A112" s="41" t="s">
        <v>695</v>
      </c>
      <c r="B112" s="42" t="s">
        <v>816</v>
      </c>
      <c r="C112" s="47"/>
      <c r="D112" s="47"/>
      <c r="E112" s="47"/>
      <c r="F112" s="47"/>
      <c r="G112" s="47"/>
      <c r="H112" s="47"/>
      <c r="I112" s="47"/>
      <c r="J112" s="47"/>
      <c r="K112" s="47"/>
      <c r="L112" s="47"/>
      <c r="M112" s="47"/>
      <c r="N112" s="47"/>
      <c r="O112" s="47"/>
      <c r="P112" s="47"/>
      <c r="Q112" s="47"/>
      <c r="R112" s="50">
        <v>0</v>
      </c>
      <c r="S112" s="51">
        <v>0</v>
      </c>
      <c r="T112" s="51">
        <v>0</v>
      </c>
      <c r="U112" s="51">
        <v>0</v>
      </c>
      <c r="V112" s="51">
        <v>0</v>
      </c>
      <c r="W112" s="51">
        <v>2</v>
      </c>
      <c r="X112" s="51">
        <v>4</v>
      </c>
      <c r="Y112" s="50">
        <v>6</v>
      </c>
      <c r="Z112" s="51">
        <v>6</v>
      </c>
      <c r="AA112" s="38">
        <v>20</v>
      </c>
      <c r="AB112" s="420">
        <v>0.8</v>
      </c>
    </row>
    <row r="113" spans="1:28" s="49" customFormat="1">
      <c r="A113" s="45"/>
      <c r="B113" s="46" t="s">
        <v>817</v>
      </c>
      <c r="C113" s="47"/>
      <c r="D113" s="47"/>
      <c r="E113" s="47"/>
      <c r="F113" s="47"/>
      <c r="G113" s="47"/>
      <c r="H113" s="47"/>
      <c r="I113" s="47"/>
      <c r="J113" s="47"/>
      <c r="K113" s="47"/>
      <c r="L113" s="47"/>
      <c r="M113" s="47"/>
      <c r="N113" s="47"/>
      <c r="O113" s="47"/>
      <c r="P113" s="47"/>
      <c r="Q113" s="47"/>
      <c r="R113" s="52">
        <v>0</v>
      </c>
      <c r="S113" s="52">
        <v>0</v>
      </c>
      <c r="T113" s="52">
        <v>0</v>
      </c>
      <c r="U113" s="52">
        <v>0</v>
      </c>
      <c r="V113" s="52">
        <v>0</v>
      </c>
      <c r="W113" s="70">
        <v>6</v>
      </c>
      <c r="X113" s="70">
        <v>6</v>
      </c>
      <c r="Y113" s="70">
        <v>0</v>
      </c>
      <c r="Z113" s="70">
        <v>0</v>
      </c>
      <c r="AA113" s="429"/>
      <c r="AB113" s="430"/>
    </row>
    <row r="114" spans="1:28" s="49" customFormat="1">
      <c r="A114" s="45"/>
      <c r="B114" s="46"/>
      <c r="C114" s="48"/>
      <c r="D114" s="422"/>
      <c r="E114" s="422"/>
      <c r="F114" s="422"/>
      <c r="G114" s="83"/>
      <c r="H114" s="83"/>
      <c r="I114" s="83"/>
      <c r="J114" s="83"/>
      <c r="K114" s="83"/>
      <c r="L114" s="48"/>
      <c r="M114" s="48"/>
      <c r="N114" s="83"/>
      <c r="O114" s="83"/>
      <c r="P114" s="48"/>
      <c r="Q114" s="48"/>
      <c r="R114" s="53"/>
      <c r="S114" s="53"/>
      <c r="T114" s="53"/>
      <c r="U114" s="53"/>
      <c r="V114" s="53"/>
      <c r="W114" s="53"/>
      <c r="X114" s="53"/>
      <c r="Y114" s="53"/>
      <c r="Z114" s="53"/>
      <c r="AA114" s="429"/>
      <c r="AB114" s="430"/>
    </row>
    <row r="115" spans="1:28">
      <c r="A115" s="41" t="s">
        <v>696</v>
      </c>
      <c r="B115" s="42" t="s">
        <v>818</v>
      </c>
      <c r="C115" s="47"/>
      <c r="D115" s="47"/>
      <c r="E115" s="47"/>
      <c r="F115" s="47"/>
      <c r="G115" s="47"/>
      <c r="H115" s="47"/>
      <c r="I115" s="47"/>
      <c r="J115" s="47"/>
      <c r="K115" s="47"/>
      <c r="L115" s="47"/>
      <c r="M115" s="47"/>
      <c r="N115" s="47"/>
      <c r="O115" s="47"/>
      <c r="P115" s="47"/>
      <c r="Q115" s="47"/>
      <c r="R115" s="50">
        <v>0</v>
      </c>
      <c r="S115" s="51">
        <v>0</v>
      </c>
      <c r="T115" s="51">
        <v>0</v>
      </c>
      <c r="U115" s="51">
        <v>0</v>
      </c>
      <c r="V115" s="51">
        <v>0</v>
      </c>
      <c r="W115" s="51">
        <v>0.66666666666666663</v>
      </c>
      <c r="X115" s="51">
        <v>1.3333333333333333</v>
      </c>
      <c r="Y115" s="50">
        <v>2</v>
      </c>
      <c r="Z115" s="51">
        <v>2</v>
      </c>
      <c r="AA115" s="38">
        <v>20</v>
      </c>
      <c r="AB115" s="420">
        <v>0.8</v>
      </c>
    </row>
    <row r="116" spans="1:28" s="49" customFormat="1">
      <c r="A116" s="45"/>
      <c r="B116" s="46" t="s">
        <v>819</v>
      </c>
      <c r="C116" s="47"/>
      <c r="D116" s="47"/>
      <c r="E116" s="47"/>
      <c r="F116" s="47"/>
      <c r="G116" s="47"/>
      <c r="H116" s="47"/>
      <c r="I116" s="47"/>
      <c r="J116" s="47"/>
      <c r="K116" s="47"/>
      <c r="L116" s="47"/>
      <c r="M116" s="47"/>
      <c r="N116" s="47"/>
      <c r="O116" s="47"/>
      <c r="P116" s="47"/>
      <c r="Q116" s="47"/>
      <c r="R116" s="52">
        <v>0</v>
      </c>
      <c r="S116" s="52">
        <v>0</v>
      </c>
      <c r="T116" s="52">
        <v>0</v>
      </c>
      <c r="U116" s="52">
        <v>0</v>
      </c>
      <c r="V116" s="52">
        <v>0</v>
      </c>
      <c r="W116" s="70">
        <v>3</v>
      </c>
      <c r="X116" s="70">
        <v>3</v>
      </c>
      <c r="Y116" s="70">
        <v>0</v>
      </c>
      <c r="Z116" s="70">
        <v>0</v>
      </c>
      <c r="AB116" s="421"/>
    </row>
    <row r="117" spans="1:28" s="49" customFormat="1">
      <c r="A117" s="45"/>
      <c r="B117" s="46"/>
      <c r="C117" s="48"/>
      <c r="D117" s="422"/>
      <c r="E117" s="422"/>
      <c r="F117" s="422"/>
      <c r="G117" s="83"/>
      <c r="H117" s="83"/>
      <c r="I117" s="83"/>
      <c r="J117" s="83"/>
      <c r="K117" s="83"/>
      <c r="L117" s="48"/>
      <c r="M117" s="48"/>
      <c r="N117" s="83"/>
      <c r="O117" s="83"/>
      <c r="P117" s="48"/>
      <c r="Q117" s="48"/>
      <c r="R117" s="53"/>
      <c r="S117" s="53"/>
      <c r="T117" s="53"/>
      <c r="U117" s="53"/>
      <c r="V117" s="53"/>
      <c r="W117" s="53"/>
      <c r="X117" s="53"/>
      <c r="Y117" s="53"/>
      <c r="Z117" s="53"/>
      <c r="AB117" s="421"/>
    </row>
    <row r="118" spans="1:28">
      <c r="A118" s="41" t="s">
        <v>697</v>
      </c>
      <c r="B118" s="42" t="s">
        <v>820</v>
      </c>
      <c r="C118" s="47"/>
      <c r="D118" s="47"/>
      <c r="E118" s="47"/>
      <c r="F118" s="47"/>
      <c r="G118" s="47"/>
      <c r="H118" s="47"/>
      <c r="I118" s="47"/>
      <c r="J118" s="47"/>
      <c r="K118" s="47"/>
      <c r="L118" s="47"/>
      <c r="M118" s="47"/>
      <c r="N118" s="47"/>
      <c r="O118" s="47"/>
      <c r="P118" s="47"/>
      <c r="Q118" s="47"/>
      <c r="R118" s="50">
        <v>0</v>
      </c>
      <c r="S118" s="51">
        <v>0</v>
      </c>
      <c r="T118" s="51">
        <v>0</v>
      </c>
      <c r="U118" s="51">
        <v>0</v>
      </c>
      <c r="V118" s="51">
        <v>0</v>
      </c>
      <c r="W118" s="51">
        <v>0.33333333333333331</v>
      </c>
      <c r="X118" s="51">
        <v>0.66666666666666663</v>
      </c>
      <c r="Y118" s="50">
        <v>1</v>
      </c>
      <c r="Z118" s="51">
        <v>1</v>
      </c>
      <c r="AA118" s="38">
        <v>10</v>
      </c>
      <c r="AB118" s="420">
        <v>0.4</v>
      </c>
    </row>
    <row r="119" spans="1:28" s="49" customFormat="1">
      <c r="A119" s="45"/>
      <c r="B119" s="46" t="s">
        <v>821</v>
      </c>
      <c r="C119" s="47"/>
      <c r="D119" s="47"/>
      <c r="E119" s="47"/>
      <c r="F119" s="47"/>
      <c r="G119" s="47"/>
      <c r="H119" s="47"/>
      <c r="I119" s="47"/>
      <c r="J119" s="47"/>
      <c r="K119" s="47"/>
      <c r="L119" s="47"/>
      <c r="M119" s="47"/>
      <c r="N119" s="47"/>
      <c r="O119" s="47"/>
      <c r="P119" s="47"/>
      <c r="Q119" s="47"/>
      <c r="R119" s="52">
        <v>0</v>
      </c>
      <c r="S119" s="52">
        <v>0</v>
      </c>
      <c r="T119" s="52">
        <v>0</v>
      </c>
      <c r="U119" s="52">
        <v>0</v>
      </c>
      <c r="V119" s="52">
        <v>0</v>
      </c>
      <c r="W119" s="70">
        <v>2</v>
      </c>
      <c r="X119" s="70">
        <v>2</v>
      </c>
      <c r="Y119" s="70">
        <v>0</v>
      </c>
      <c r="Z119" s="70">
        <v>0</v>
      </c>
      <c r="AB119" s="421"/>
    </row>
    <row r="120" spans="1:28" s="49" customFormat="1">
      <c r="A120" s="45"/>
      <c r="B120" s="46"/>
      <c r="C120" s="48"/>
      <c r="D120" s="422"/>
      <c r="E120" s="422"/>
      <c r="F120" s="422"/>
      <c r="G120" s="83"/>
      <c r="H120" s="83"/>
      <c r="I120" s="83"/>
      <c r="J120" s="83"/>
      <c r="K120" s="83"/>
      <c r="L120" s="48"/>
      <c r="M120" s="48"/>
      <c r="N120" s="83"/>
      <c r="O120" s="83"/>
      <c r="P120" s="48"/>
      <c r="Q120" s="48"/>
      <c r="R120" s="53"/>
      <c r="S120" s="53"/>
      <c r="T120" s="53"/>
      <c r="U120" s="53"/>
      <c r="V120" s="53"/>
      <c r="W120" s="53"/>
      <c r="X120" s="53"/>
      <c r="Y120" s="53"/>
      <c r="Z120" s="53"/>
      <c r="AB120" s="421"/>
    </row>
    <row r="121" spans="1:28">
      <c r="A121" s="41" t="s">
        <v>698</v>
      </c>
      <c r="B121" s="42" t="s">
        <v>822</v>
      </c>
      <c r="C121" s="47"/>
      <c r="D121" s="47"/>
      <c r="E121" s="47"/>
      <c r="F121" s="47"/>
      <c r="G121" s="47"/>
      <c r="H121" s="47"/>
      <c r="I121" s="47"/>
      <c r="J121" s="47"/>
      <c r="K121" s="47"/>
      <c r="L121" s="47"/>
      <c r="M121" s="47"/>
      <c r="N121" s="47"/>
      <c r="O121" s="47"/>
      <c r="P121" s="47"/>
      <c r="Q121" s="47"/>
      <c r="R121" s="50">
        <v>0</v>
      </c>
      <c r="S121" s="51">
        <v>0</v>
      </c>
      <c r="T121" s="51">
        <v>0</v>
      </c>
      <c r="U121" s="51">
        <v>0</v>
      </c>
      <c r="V121" s="51">
        <v>0</v>
      </c>
      <c r="W121" s="51">
        <v>0</v>
      </c>
      <c r="X121" s="51">
        <v>0</v>
      </c>
      <c r="Y121" s="50">
        <v>0</v>
      </c>
      <c r="Z121" s="51">
        <v>0</v>
      </c>
      <c r="AA121" s="38">
        <v>10</v>
      </c>
      <c r="AB121" s="420">
        <v>0.4</v>
      </c>
    </row>
    <row r="122" spans="1:28" s="49" customFormat="1">
      <c r="A122" s="45"/>
      <c r="B122" s="46" t="s">
        <v>823</v>
      </c>
      <c r="C122" s="47"/>
      <c r="D122" s="47"/>
      <c r="E122" s="47"/>
      <c r="F122" s="47"/>
      <c r="G122" s="47"/>
      <c r="H122" s="47"/>
      <c r="I122" s="47"/>
      <c r="J122" s="47"/>
      <c r="K122" s="47"/>
      <c r="L122" s="47"/>
      <c r="M122" s="47"/>
      <c r="N122" s="47"/>
      <c r="O122" s="47"/>
      <c r="P122" s="47"/>
      <c r="Q122" s="47"/>
      <c r="R122" s="52">
        <v>0</v>
      </c>
      <c r="S122" s="52">
        <v>0</v>
      </c>
      <c r="T122" s="52">
        <v>0</v>
      </c>
      <c r="U122" s="52">
        <v>0</v>
      </c>
      <c r="V122" s="52">
        <v>0</v>
      </c>
      <c r="W122" s="70">
        <v>2</v>
      </c>
      <c r="X122" s="70">
        <v>2</v>
      </c>
      <c r="Y122" s="70">
        <v>0</v>
      </c>
      <c r="Z122" s="70">
        <v>0</v>
      </c>
      <c r="AB122" s="421"/>
    </row>
    <row r="123" spans="1:28" s="49" customFormat="1">
      <c r="A123" s="45"/>
      <c r="B123" s="46"/>
      <c r="C123" s="48"/>
      <c r="D123" s="422"/>
      <c r="E123" s="422"/>
      <c r="F123" s="422"/>
      <c r="G123" s="83"/>
      <c r="H123" s="83"/>
      <c r="I123" s="83"/>
      <c r="J123" s="83"/>
      <c r="K123" s="83"/>
      <c r="L123" s="48"/>
      <c r="M123" s="48"/>
      <c r="N123" s="83"/>
      <c r="O123" s="83"/>
      <c r="P123" s="48"/>
      <c r="Q123" s="48"/>
      <c r="R123" s="53"/>
      <c r="S123" s="53"/>
      <c r="T123" s="53"/>
      <c r="U123" s="53"/>
      <c r="V123" s="53"/>
      <c r="W123" s="53"/>
      <c r="X123" s="53"/>
      <c r="Y123" s="53"/>
      <c r="Z123" s="53"/>
      <c r="AB123" s="421"/>
    </row>
    <row r="124" spans="1:28">
      <c r="A124" s="41" t="s">
        <v>699</v>
      </c>
      <c r="B124" s="42" t="s">
        <v>202</v>
      </c>
      <c r="C124" s="47"/>
      <c r="D124" s="47"/>
      <c r="E124" s="47"/>
      <c r="F124" s="47"/>
      <c r="G124" s="47"/>
      <c r="H124" s="47"/>
      <c r="I124" s="47"/>
      <c r="J124" s="47"/>
      <c r="K124" s="47"/>
      <c r="L124" s="47"/>
      <c r="M124" s="47"/>
      <c r="N124" s="47"/>
      <c r="O124" s="47"/>
      <c r="P124" s="47"/>
      <c r="Q124" s="47"/>
      <c r="R124" s="50">
        <v>0</v>
      </c>
      <c r="S124" s="51">
        <v>0</v>
      </c>
      <c r="T124" s="51">
        <v>0</v>
      </c>
      <c r="U124" s="51">
        <v>0</v>
      </c>
      <c r="V124" s="51">
        <v>0</v>
      </c>
      <c r="W124" s="51">
        <v>1.3333333333333333</v>
      </c>
      <c r="X124" s="51">
        <v>2.6666666666666665</v>
      </c>
      <c r="Y124" s="50">
        <v>4</v>
      </c>
      <c r="Z124" s="51">
        <v>4</v>
      </c>
      <c r="AA124" s="38">
        <v>10</v>
      </c>
      <c r="AB124" s="420">
        <v>0.4</v>
      </c>
    </row>
    <row r="125" spans="1:28" s="49" customFormat="1">
      <c r="A125" s="45"/>
      <c r="B125" s="46" t="s">
        <v>203</v>
      </c>
      <c r="C125" s="47"/>
      <c r="D125" s="47"/>
      <c r="E125" s="47"/>
      <c r="F125" s="47"/>
      <c r="G125" s="47"/>
      <c r="H125" s="47"/>
      <c r="I125" s="47"/>
      <c r="J125" s="47"/>
      <c r="K125" s="47"/>
      <c r="L125" s="47"/>
      <c r="M125" s="47"/>
      <c r="N125" s="47"/>
      <c r="O125" s="47"/>
      <c r="P125" s="47"/>
      <c r="Q125" s="47"/>
      <c r="R125" s="52">
        <v>0</v>
      </c>
      <c r="S125" s="52">
        <v>0</v>
      </c>
      <c r="T125" s="52">
        <v>0</v>
      </c>
      <c r="U125" s="52">
        <v>0</v>
      </c>
      <c r="V125" s="52">
        <v>0</v>
      </c>
      <c r="W125" s="70">
        <v>4</v>
      </c>
      <c r="X125" s="70">
        <v>6</v>
      </c>
      <c r="Y125" s="70">
        <v>0</v>
      </c>
      <c r="Z125" s="70">
        <v>0</v>
      </c>
      <c r="AB125" s="421"/>
    </row>
    <row r="126" spans="1:28">
      <c r="B126" s="46"/>
      <c r="C126" s="48"/>
      <c r="D126" s="422"/>
      <c r="E126" s="422"/>
      <c r="F126" s="422"/>
      <c r="G126" s="83"/>
      <c r="H126" s="83"/>
      <c r="I126" s="83"/>
      <c r="J126" s="83"/>
      <c r="K126" s="83"/>
      <c r="L126" s="48"/>
      <c r="M126" s="48"/>
      <c r="N126" s="83"/>
      <c r="O126" s="83"/>
      <c r="P126" s="48"/>
      <c r="Q126" s="48"/>
      <c r="R126" s="53"/>
      <c r="S126" s="53"/>
      <c r="T126" s="53"/>
      <c r="U126" s="53"/>
      <c r="V126" s="53"/>
      <c r="W126" s="53"/>
      <c r="X126" s="53"/>
      <c r="Y126" s="53"/>
      <c r="Z126" s="53"/>
      <c r="AB126" s="420"/>
    </row>
    <row r="127" spans="1:28">
      <c r="A127" s="41" t="s">
        <v>700</v>
      </c>
      <c r="B127" s="42" t="s">
        <v>213</v>
      </c>
      <c r="C127" s="47"/>
      <c r="D127" s="47"/>
      <c r="E127" s="47"/>
      <c r="F127" s="47"/>
      <c r="G127" s="47"/>
      <c r="H127" s="47"/>
      <c r="I127" s="47"/>
      <c r="J127" s="47"/>
      <c r="K127" s="47"/>
      <c r="L127" s="47"/>
      <c r="M127" s="47"/>
      <c r="N127" s="47"/>
      <c r="O127" s="47"/>
      <c r="P127" s="47"/>
      <c r="Q127" s="47"/>
      <c r="R127" s="50">
        <v>0</v>
      </c>
      <c r="S127" s="51">
        <v>0</v>
      </c>
      <c r="T127" s="51">
        <v>0</v>
      </c>
      <c r="U127" s="51">
        <v>0</v>
      </c>
      <c r="V127" s="51">
        <v>0</v>
      </c>
      <c r="W127" s="51">
        <v>0.33333333333333331</v>
      </c>
      <c r="X127" s="51">
        <v>0.66666666666666663</v>
      </c>
      <c r="Y127" s="50">
        <v>1</v>
      </c>
      <c r="Z127" s="51">
        <v>1</v>
      </c>
      <c r="AA127" s="38">
        <v>10</v>
      </c>
      <c r="AB127" s="420">
        <v>0.4</v>
      </c>
    </row>
    <row r="128" spans="1:28" s="49" customFormat="1">
      <c r="A128" s="45"/>
      <c r="B128" s="46" t="s">
        <v>212</v>
      </c>
      <c r="C128" s="47"/>
      <c r="D128" s="47"/>
      <c r="E128" s="47"/>
      <c r="F128" s="47"/>
      <c r="G128" s="47"/>
      <c r="H128" s="47"/>
      <c r="I128" s="47"/>
      <c r="J128" s="47"/>
      <c r="K128" s="47"/>
      <c r="L128" s="47"/>
      <c r="M128" s="47"/>
      <c r="N128" s="47"/>
      <c r="O128" s="47"/>
      <c r="P128" s="47"/>
      <c r="Q128" s="47"/>
      <c r="R128" s="52">
        <v>0</v>
      </c>
      <c r="S128" s="52">
        <v>0</v>
      </c>
      <c r="T128" s="52">
        <v>0</v>
      </c>
      <c r="U128" s="52">
        <v>0</v>
      </c>
      <c r="V128" s="52">
        <v>0</v>
      </c>
      <c r="W128" s="70">
        <v>2</v>
      </c>
      <c r="X128" s="70">
        <v>4</v>
      </c>
      <c r="Y128" s="70">
        <v>0</v>
      </c>
      <c r="Z128" s="70">
        <v>0</v>
      </c>
      <c r="AB128" s="421"/>
    </row>
    <row r="129" spans="1:28" s="49" customFormat="1">
      <c r="A129" s="45"/>
      <c r="B129" s="46"/>
      <c r="C129" s="48"/>
      <c r="D129" s="422"/>
      <c r="E129" s="422"/>
      <c r="F129" s="422"/>
      <c r="G129" s="83"/>
      <c r="H129" s="83"/>
      <c r="I129" s="83"/>
      <c r="J129" s="83"/>
      <c r="K129" s="83"/>
      <c r="L129" s="48"/>
      <c r="M129" s="48"/>
      <c r="N129" s="83"/>
      <c r="O129" s="83"/>
      <c r="P129" s="48"/>
      <c r="Q129" s="48"/>
      <c r="R129" s="53"/>
      <c r="S129" s="53"/>
      <c r="T129" s="53"/>
      <c r="U129" s="53"/>
      <c r="V129" s="53"/>
      <c r="W129" s="53"/>
      <c r="X129" s="53"/>
      <c r="Y129" s="53"/>
      <c r="Z129" s="53"/>
      <c r="AB129" s="421"/>
    </row>
    <row r="130" spans="1:28">
      <c r="A130" s="41" t="s">
        <v>701</v>
      </c>
      <c r="B130" s="42" t="s">
        <v>211</v>
      </c>
      <c r="C130" s="47"/>
      <c r="D130" s="47"/>
      <c r="E130" s="47"/>
      <c r="F130" s="47"/>
      <c r="G130" s="47"/>
      <c r="H130" s="47"/>
      <c r="I130" s="47"/>
      <c r="J130" s="47"/>
      <c r="K130" s="47"/>
      <c r="L130" s="47"/>
      <c r="M130" s="47"/>
      <c r="N130" s="47"/>
      <c r="O130" s="47"/>
      <c r="P130" s="47"/>
      <c r="Q130" s="47"/>
      <c r="R130" s="50">
        <v>0</v>
      </c>
      <c r="S130" s="51">
        <v>0</v>
      </c>
      <c r="T130" s="51">
        <v>0</v>
      </c>
      <c r="U130" s="51">
        <v>0</v>
      </c>
      <c r="V130" s="51">
        <v>0</v>
      </c>
      <c r="W130" s="51">
        <v>0</v>
      </c>
      <c r="X130" s="51">
        <v>0</v>
      </c>
      <c r="Y130" s="50">
        <v>0</v>
      </c>
      <c r="Z130" s="51">
        <v>0</v>
      </c>
      <c r="AA130" s="38">
        <v>5</v>
      </c>
      <c r="AB130" s="420">
        <v>0.2</v>
      </c>
    </row>
    <row r="131" spans="1:28" s="49" customFormat="1">
      <c r="A131" s="45"/>
      <c r="B131" s="46" t="s">
        <v>210</v>
      </c>
      <c r="C131" s="47"/>
      <c r="D131" s="47"/>
      <c r="E131" s="47"/>
      <c r="F131" s="47"/>
      <c r="G131" s="47"/>
      <c r="H131" s="47"/>
      <c r="I131" s="47"/>
      <c r="J131" s="47"/>
      <c r="K131" s="47"/>
      <c r="L131" s="47"/>
      <c r="M131" s="47"/>
      <c r="N131" s="47"/>
      <c r="O131" s="47"/>
      <c r="P131" s="47"/>
      <c r="Q131" s="47"/>
      <c r="R131" s="52">
        <v>0</v>
      </c>
      <c r="S131" s="52">
        <v>0</v>
      </c>
      <c r="T131" s="52">
        <v>0</v>
      </c>
      <c r="U131" s="52">
        <v>0</v>
      </c>
      <c r="V131" s="52">
        <v>0</v>
      </c>
      <c r="W131" s="70">
        <v>1</v>
      </c>
      <c r="X131" s="70">
        <v>1</v>
      </c>
      <c r="Y131" s="70">
        <v>0</v>
      </c>
      <c r="Z131" s="70">
        <v>0</v>
      </c>
      <c r="AB131" s="421"/>
    </row>
    <row r="132" spans="1:28" s="49" customFormat="1">
      <c r="A132" s="45"/>
      <c r="B132" s="46"/>
      <c r="C132" s="48"/>
      <c r="D132" s="422"/>
      <c r="E132" s="422"/>
      <c r="F132" s="422"/>
      <c r="G132" s="83"/>
      <c r="H132" s="83"/>
      <c r="I132" s="83"/>
      <c r="J132" s="83"/>
      <c r="K132" s="83"/>
      <c r="L132" s="48"/>
      <c r="M132" s="48"/>
      <c r="N132" s="83"/>
      <c r="O132" s="83"/>
      <c r="P132" s="48"/>
      <c r="Q132" s="48"/>
      <c r="R132" s="53"/>
      <c r="S132" s="53"/>
      <c r="T132" s="53"/>
      <c r="U132" s="53"/>
      <c r="V132" s="53"/>
      <c r="W132" s="53"/>
      <c r="X132" s="53"/>
      <c r="Y132" s="53"/>
      <c r="Z132" s="53"/>
      <c r="AB132" s="421"/>
    </row>
    <row r="133" spans="1:28">
      <c r="A133" s="41" t="s">
        <v>702</v>
      </c>
      <c r="B133" s="42" t="s">
        <v>209</v>
      </c>
      <c r="C133" s="47"/>
      <c r="D133" s="47"/>
      <c r="E133" s="47"/>
      <c r="F133" s="47"/>
      <c r="G133" s="47"/>
      <c r="H133" s="47"/>
      <c r="I133" s="47"/>
      <c r="J133" s="47"/>
      <c r="K133" s="47"/>
      <c r="L133" s="47"/>
      <c r="M133" s="47"/>
      <c r="N133" s="47"/>
      <c r="O133" s="47"/>
      <c r="P133" s="47"/>
      <c r="Q133" s="47"/>
      <c r="R133" s="50">
        <v>0</v>
      </c>
      <c r="S133" s="51">
        <v>0</v>
      </c>
      <c r="T133" s="51">
        <v>0</v>
      </c>
      <c r="U133" s="51">
        <v>0</v>
      </c>
      <c r="V133" s="51">
        <v>0</v>
      </c>
      <c r="W133" s="51">
        <v>0</v>
      </c>
      <c r="X133" s="51">
        <v>0</v>
      </c>
      <c r="Y133" s="50">
        <v>0</v>
      </c>
      <c r="Z133" s="51">
        <v>0</v>
      </c>
      <c r="AA133" s="38">
        <v>5</v>
      </c>
      <c r="AB133" s="420">
        <v>0.2</v>
      </c>
    </row>
    <row r="134" spans="1:28" s="49" customFormat="1">
      <c r="A134" s="45"/>
      <c r="B134" s="46" t="s">
        <v>208</v>
      </c>
      <c r="C134" s="47"/>
      <c r="D134" s="47"/>
      <c r="E134" s="47"/>
      <c r="F134" s="47"/>
      <c r="G134" s="47"/>
      <c r="H134" s="47"/>
      <c r="I134" s="47"/>
      <c r="J134" s="47"/>
      <c r="K134" s="47"/>
      <c r="L134" s="47"/>
      <c r="M134" s="47"/>
      <c r="N134" s="47"/>
      <c r="O134" s="47"/>
      <c r="P134" s="47"/>
      <c r="Q134" s="47"/>
      <c r="R134" s="52">
        <v>0</v>
      </c>
      <c r="S134" s="52">
        <v>0</v>
      </c>
      <c r="T134" s="52">
        <v>0</v>
      </c>
      <c r="U134" s="52">
        <v>0</v>
      </c>
      <c r="V134" s="52">
        <v>0</v>
      </c>
      <c r="W134" s="70">
        <v>0</v>
      </c>
      <c r="X134" s="70">
        <v>0</v>
      </c>
      <c r="Y134" s="70">
        <v>0</v>
      </c>
      <c r="Z134" s="70">
        <v>0</v>
      </c>
      <c r="AB134" s="421"/>
    </row>
    <row r="135" spans="1:28" s="49" customFormat="1">
      <c r="A135" s="45"/>
      <c r="B135" s="46"/>
      <c r="C135" s="48"/>
      <c r="D135" s="422"/>
      <c r="E135" s="422"/>
      <c r="F135" s="422"/>
      <c r="G135" s="83"/>
      <c r="H135" s="83"/>
      <c r="I135" s="83"/>
      <c r="J135" s="83"/>
      <c r="K135" s="83"/>
      <c r="L135" s="48"/>
      <c r="M135" s="48"/>
      <c r="N135" s="83"/>
      <c r="O135" s="83"/>
      <c r="P135" s="48"/>
      <c r="Q135" s="48"/>
      <c r="R135" s="53"/>
      <c r="S135" s="53"/>
      <c r="T135" s="53"/>
      <c r="U135" s="53"/>
      <c r="V135" s="53"/>
      <c r="W135" s="53"/>
      <c r="X135" s="53"/>
      <c r="Y135" s="53"/>
      <c r="Z135" s="53"/>
      <c r="AB135" s="421"/>
    </row>
    <row r="136" spans="1:28">
      <c r="A136" s="41" t="s">
        <v>703</v>
      </c>
      <c r="B136" s="42" t="s">
        <v>824</v>
      </c>
      <c r="C136" s="47"/>
      <c r="D136" s="47"/>
      <c r="E136" s="47"/>
      <c r="F136" s="47"/>
      <c r="G136" s="47"/>
      <c r="H136" s="47"/>
      <c r="I136" s="47"/>
      <c r="J136" s="47"/>
      <c r="K136" s="47"/>
      <c r="L136" s="47"/>
      <c r="M136" s="47"/>
      <c r="N136" s="47"/>
      <c r="O136" s="47"/>
      <c r="P136" s="47"/>
      <c r="Q136" s="47"/>
      <c r="R136" s="50">
        <v>0</v>
      </c>
      <c r="S136" s="51">
        <v>0</v>
      </c>
      <c r="T136" s="51">
        <v>0</v>
      </c>
      <c r="U136" s="51">
        <v>0</v>
      </c>
      <c r="V136" s="51">
        <v>0</v>
      </c>
      <c r="W136" s="51">
        <v>1.3333333333333333</v>
      </c>
      <c r="X136" s="51">
        <v>2.6666666666666665</v>
      </c>
      <c r="Y136" s="50">
        <v>4</v>
      </c>
      <c r="Z136" s="51">
        <v>4</v>
      </c>
      <c r="AA136" s="38">
        <v>10</v>
      </c>
      <c r="AB136" s="420">
        <v>0.4</v>
      </c>
    </row>
    <row r="137" spans="1:28" s="49" customFormat="1">
      <c r="A137" s="45"/>
      <c r="B137" s="46" t="s">
        <v>825</v>
      </c>
      <c r="C137" s="47"/>
      <c r="D137" s="47"/>
      <c r="E137" s="47"/>
      <c r="F137" s="47"/>
      <c r="G137" s="47"/>
      <c r="H137" s="47"/>
      <c r="I137" s="47"/>
      <c r="J137" s="47"/>
      <c r="K137" s="47"/>
      <c r="L137" s="47"/>
      <c r="M137" s="47"/>
      <c r="N137" s="47"/>
      <c r="O137" s="47"/>
      <c r="P137" s="47"/>
      <c r="Q137" s="47"/>
      <c r="R137" s="52">
        <v>0</v>
      </c>
      <c r="S137" s="52">
        <v>0</v>
      </c>
      <c r="T137" s="52">
        <v>0</v>
      </c>
      <c r="U137" s="52">
        <v>0</v>
      </c>
      <c r="V137" s="52">
        <v>0</v>
      </c>
      <c r="W137" s="70">
        <v>4</v>
      </c>
      <c r="X137" s="70">
        <v>6</v>
      </c>
      <c r="Y137" s="70">
        <v>0</v>
      </c>
      <c r="Z137" s="70">
        <v>0</v>
      </c>
      <c r="AB137" s="421"/>
    </row>
    <row r="138" spans="1:28">
      <c r="C138" s="48"/>
      <c r="D138" s="422"/>
      <c r="E138" s="422"/>
      <c r="F138" s="422"/>
      <c r="G138" s="83"/>
      <c r="H138" s="83"/>
      <c r="I138" s="83"/>
      <c r="J138" s="83"/>
      <c r="K138" s="83"/>
      <c r="L138" s="48"/>
      <c r="M138" s="48"/>
      <c r="N138" s="83"/>
      <c r="O138" s="83"/>
      <c r="P138" s="48"/>
      <c r="Q138" s="48"/>
      <c r="R138" s="53"/>
      <c r="S138" s="53"/>
      <c r="T138" s="53"/>
      <c r="U138" s="53"/>
      <c r="V138" s="53"/>
      <c r="W138" s="53"/>
      <c r="X138" s="53"/>
      <c r="Y138" s="53"/>
      <c r="Z138" s="53"/>
      <c r="AB138" s="420"/>
    </row>
    <row r="139" spans="1:28">
      <c r="A139" s="41" t="s">
        <v>704</v>
      </c>
      <c r="B139" s="42" t="s">
        <v>826</v>
      </c>
      <c r="C139" s="47"/>
      <c r="D139" s="47"/>
      <c r="E139" s="47"/>
      <c r="F139" s="47"/>
      <c r="G139" s="47"/>
      <c r="H139" s="47"/>
      <c r="I139" s="47"/>
      <c r="J139" s="47"/>
      <c r="K139" s="47"/>
      <c r="L139" s="47"/>
      <c r="M139" s="47"/>
      <c r="N139" s="47"/>
      <c r="O139" s="47"/>
      <c r="P139" s="47"/>
      <c r="Q139" s="47"/>
      <c r="R139" s="50">
        <v>0</v>
      </c>
      <c r="S139" s="51">
        <v>0</v>
      </c>
      <c r="T139" s="51">
        <v>0</v>
      </c>
      <c r="U139" s="51">
        <v>0</v>
      </c>
      <c r="V139" s="51">
        <v>0</v>
      </c>
      <c r="W139" s="51">
        <v>0.33333333333333331</v>
      </c>
      <c r="X139" s="51">
        <v>0.66666666666666663</v>
      </c>
      <c r="Y139" s="50">
        <v>1</v>
      </c>
      <c r="Z139" s="51">
        <v>1</v>
      </c>
      <c r="AA139" s="38">
        <v>10</v>
      </c>
      <c r="AB139" s="420">
        <v>0.4</v>
      </c>
    </row>
    <row r="140" spans="1:28" s="49" customFormat="1">
      <c r="A140" s="45"/>
      <c r="B140" s="46" t="s">
        <v>827</v>
      </c>
      <c r="C140" s="47"/>
      <c r="D140" s="47"/>
      <c r="E140" s="47"/>
      <c r="F140" s="47"/>
      <c r="G140" s="47"/>
      <c r="H140" s="47"/>
      <c r="I140" s="47"/>
      <c r="J140" s="47"/>
      <c r="K140" s="47"/>
      <c r="L140" s="47"/>
      <c r="M140" s="47"/>
      <c r="N140" s="47"/>
      <c r="O140" s="47"/>
      <c r="P140" s="47"/>
      <c r="Q140" s="47"/>
      <c r="R140" s="52">
        <v>0</v>
      </c>
      <c r="S140" s="52">
        <v>0</v>
      </c>
      <c r="T140" s="52">
        <v>0</v>
      </c>
      <c r="U140" s="52">
        <v>0</v>
      </c>
      <c r="V140" s="52">
        <v>0</v>
      </c>
      <c r="W140" s="70">
        <v>3</v>
      </c>
      <c r="X140" s="70">
        <v>3</v>
      </c>
      <c r="Y140" s="70">
        <v>0</v>
      </c>
      <c r="Z140" s="70">
        <v>0</v>
      </c>
      <c r="AB140" s="421"/>
    </row>
    <row r="141" spans="1:28" s="49" customFormat="1">
      <c r="A141" s="45"/>
      <c r="B141" s="46"/>
      <c r="C141" s="48"/>
      <c r="D141" s="422"/>
      <c r="E141" s="422"/>
      <c r="F141" s="422"/>
      <c r="G141" s="83"/>
      <c r="H141" s="83"/>
      <c r="I141" s="83"/>
      <c r="J141" s="83"/>
      <c r="K141" s="83"/>
      <c r="L141" s="48"/>
      <c r="M141" s="48"/>
      <c r="N141" s="83"/>
      <c r="O141" s="83"/>
      <c r="P141" s="48"/>
      <c r="Q141" s="48"/>
      <c r="R141" s="53"/>
      <c r="S141" s="53"/>
      <c r="T141" s="53"/>
      <c r="U141" s="53"/>
      <c r="V141" s="53"/>
      <c r="W141" s="53"/>
      <c r="X141" s="53"/>
      <c r="Y141" s="53"/>
      <c r="Z141" s="53"/>
      <c r="AB141" s="421"/>
    </row>
    <row r="142" spans="1:28">
      <c r="A142" s="41" t="s">
        <v>705</v>
      </c>
      <c r="B142" s="42" t="s">
        <v>828</v>
      </c>
      <c r="C142" s="47"/>
      <c r="D142" s="47"/>
      <c r="E142" s="47"/>
      <c r="F142" s="47"/>
      <c r="G142" s="47"/>
      <c r="H142" s="47"/>
      <c r="I142" s="47"/>
      <c r="J142" s="47"/>
      <c r="K142" s="47"/>
      <c r="L142" s="47"/>
      <c r="M142" s="47"/>
      <c r="N142" s="47"/>
      <c r="O142" s="47"/>
      <c r="P142" s="47"/>
      <c r="Q142" s="47"/>
      <c r="R142" s="50">
        <v>0</v>
      </c>
      <c r="S142" s="51">
        <v>0</v>
      </c>
      <c r="T142" s="51">
        <v>0</v>
      </c>
      <c r="U142" s="51">
        <v>0</v>
      </c>
      <c r="V142" s="51">
        <v>0</v>
      </c>
      <c r="W142" s="51">
        <v>0</v>
      </c>
      <c r="X142" s="51">
        <v>0</v>
      </c>
      <c r="Y142" s="50">
        <v>0</v>
      </c>
      <c r="Z142" s="51">
        <v>0</v>
      </c>
      <c r="AA142" s="38">
        <v>5</v>
      </c>
      <c r="AB142" s="420">
        <v>0.2</v>
      </c>
    </row>
    <row r="143" spans="1:28" s="49" customFormat="1">
      <c r="A143" s="45"/>
      <c r="B143" s="46" t="s">
        <v>829</v>
      </c>
      <c r="C143" s="47"/>
      <c r="D143" s="47"/>
      <c r="E143" s="47"/>
      <c r="F143" s="47"/>
      <c r="G143" s="47"/>
      <c r="H143" s="47"/>
      <c r="I143" s="47"/>
      <c r="J143" s="47"/>
      <c r="K143" s="47"/>
      <c r="L143" s="47"/>
      <c r="M143" s="47"/>
      <c r="N143" s="47"/>
      <c r="O143" s="47"/>
      <c r="P143" s="47"/>
      <c r="Q143" s="47"/>
      <c r="R143" s="52">
        <v>0</v>
      </c>
      <c r="S143" s="52">
        <v>0</v>
      </c>
      <c r="T143" s="52">
        <v>0</v>
      </c>
      <c r="U143" s="52">
        <v>0</v>
      </c>
      <c r="V143" s="52">
        <v>0</v>
      </c>
      <c r="W143" s="70">
        <v>0</v>
      </c>
      <c r="X143" s="70">
        <v>0</v>
      </c>
      <c r="Y143" s="70">
        <v>0</v>
      </c>
      <c r="Z143" s="70">
        <v>0</v>
      </c>
      <c r="AB143" s="421"/>
    </row>
    <row r="144" spans="1:28" s="49" customFormat="1">
      <c r="A144" s="45"/>
      <c r="B144" s="46"/>
      <c r="C144" s="48"/>
      <c r="D144" s="422"/>
      <c r="E144" s="422"/>
      <c r="F144" s="422"/>
      <c r="G144" s="83"/>
      <c r="H144" s="83"/>
      <c r="I144" s="83"/>
      <c r="J144" s="83"/>
      <c r="K144" s="83"/>
      <c r="L144" s="48"/>
      <c r="M144" s="48"/>
      <c r="N144" s="83"/>
      <c r="O144" s="83"/>
      <c r="P144" s="48"/>
      <c r="Q144" s="48"/>
      <c r="R144" s="53"/>
      <c r="S144" s="53"/>
      <c r="T144" s="53"/>
      <c r="U144" s="53"/>
      <c r="V144" s="53"/>
      <c r="W144" s="53"/>
      <c r="X144" s="53"/>
      <c r="Y144" s="53"/>
      <c r="Z144" s="53"/>
      <c r="AB144" s="421"/>
    </row>
    <row r="145" spans="1:28">
      <c r="A145" s="41" t="s">
        <v>706</v>
      </c>
      <c r="B145" s="42" t="s">
        <v>830</v>
      </c>
      <c r="C145" s="47"/>
      <c r="D145" s="47"/>
      <c r="E145" s="47"/>
      <c r="F145" s="47"/>
      <c r="G145" s="47"/>
      <c r="H145" s="47"/>
      <c r="I145" s="47"/>
      <c r="J145" s="47"/>
      <c r="K145" s="47"/>
      <c r="L145" s="47"/>
      <c r="M145" s="47"/>
      <c r="N145" s="47"/>
      <c r="O145" s="47"/>
      <c r="P145" s="47"/>
      <c r="Q145" s="47"/>
      <c r="R145" s="50">
        <v>0</v>
      </c>
      <c r="S145" s="51">
        <v>0</v>
      </c>
      <c r="T145" s="51">
        <v>0</v>
      </c>
      <c r="U145" s="51">
        <v>0</v>
      </c>
      <c r="V145" s="51">
        <v>0</v>
      </c>
      <c r="W145" s="51">
        <v>0</v>
      </c>
      <c r="X145" s="51">
        <v>0</v>
      </c>
      <c r="Y145" s="50">
        <v>0</v>
      </c>
      <c r="Z145" s="51">
        <v>0</v>
      </c>
      <c r="AA145" s="38">
        <v>5</v>
      </c>
      <c r="AB145" s="420">
        <v>0.2</v>
      </c>
    </row>
    <row r="146" spans="1:28" s="49" customFormat="1">
      <c r="A146" s="45"/>
      <c r="B146" s="46" t="s">
        <v>831</v>
      </c>
      <c r="C146" s="47"/>
      <c r="D146" s="47"/>
      <c r="E146" s="47"/>
      <c r="F146" s="47"/>
      <c r="G146" s="47"/>
      <c r="H146" s="47"/>
      <c r="I146" s="47"/>
      <c r="J146" s="47"/>
      <c r="K146" s="47"/>
      <c r="L146" s="47"/>
      <c r="M146" s="47"/>
      <c r="N146" s="47"/>
      <c r="O146" s="47"/>
      <c r="P146" s="47"/>
      <c r="Q146" s="47"/>
      <c r="R146" s="52">
        <v>0</v>
      </c>
      <c r="S146" s="52">
        <v>0</v>
      </c>
      <c r="T146" s="52">
        <v>0</v>
      </c>
      <c r="U146" s="52">
        <v>0</v>
      </c>
      <c r="V146" s="52">
        <v>0</v>
      </c>
      <c r="W146" s="70">
        <v>0</v>
      </c>
      <c r="X146" s="70">
        <v>0</v>
      </c>
      <c r="Y146" s="70">
        <v>0</v>
      </c>
      <c r="Z146" s="70">
        <v>0</v>
      </c>
      <c r="AB146" s="421"/>
    </row>
    <row r="147" spans="1:28" s="49" customFormat="1">
      <c r="A147" s="45"/>
      <c r="B147" s="46"/>
      <c r="C147" s="53"/>
      <c r="D147" s="75"/>
      <c r="E147" s="75"/>
      <c r="F147" s="75"/>
      <c r="G147" s="75"/>
      <c r="H147" s="75"/>
      <c r="I147" s="75"/>
      <c r="J147" s="75"/>
      <c r="K147" s="75"/>
      <c r="L147" s="53"/>
      <c r="M147" s="53"/>
      <c r="N147" s="53"/>
      <c r="O147" s="53"/>
      <c r="P147" s="53"/>
      <c r="Q147" s="53"/>
      <c r="R147" s="48"/>
      <c r="S147" s="48"/>
      <c r="T147" s="48"/>
      <c r="U147" s="48"/>
      <c r="V147" s="48"/>
      <c r="W147" s="48"/>
      <c r="X147" s="48"/>
      <c r="Y147" s="48"/>
      <c r="Z147" s="48"/>
      <c r="AB147" s="421"/>
    </row>
    <row r="148" spans="1:28" ht="14.25">
      <c r="A148" s="38"/>
    </row>
    <row r="149" spans="1:28">
      <c r="C149" s="55" t="s">
        <v>194</v>
      </c>
      <c r="D149" s="431"/>
      <c r="E149" s="432"/>
      <c r="F149" s="433"/>
    </row>
    <row r="150" spans="1:28">
      <c r="C150" s="55" t="s">
        <v>195</v>
      </c>
      <c r="D150" s="434" t="s">
        <v>196</v>
      </c>
      <c r="E150" s="435" t="s">
        <v>153</v>
      </c>
      <c r="F150" s="435" t="s">
        <v>154</v>
      </c>
      <c r="G150" s="435" t="s">
        <v>158</v>
      </c>
      <c r="H150" s="434" t="s">
        <v>197</v>
      </c>
    </row>
    <row r="151" spans="1:28">
      <c r="C151" s="55"/>
      <c r="D151" s="434"/>
      <c r="E151" s="435"/>
      <c r="F151" s="435"/>
      <c r="G151" s="435"/>
      <c r="H151" s="434"/>
    </row>
    <row r="153" spans="1:28" ht="14.25">
      <c r="A153" s="1356" t="s">
        <v>727</v>
      </c>
      <c r="B153" s="1356"/>
    </row>
    <row r="154" spans="1:28" ht="14.25">
      <c r="A154" s="1356"/>
      <c r="B154" s="1356"/>
    </row>
    <row r="155" spans="1:28" ht="14.25">
      <c r="A155" s="1356"/>
      <c r="B155" s="1356"/>
    </row>
    <row r="156" spans="1:28" ht="14.25">
      <c r="A156" s="1356"/>
      <c r="B156" s="1356"/>
    </row>
    <row r="157" spans="1:28" ht="14.25">
      <c r="A157" s="1356"/>
      <c r="B157" s="1356"/>
    </row>
  </sheetData>
  <sheetProtection password="CF55" sheet="1" objects="1" scenarios="1" selectLockedCells="1" selectUnlockedCells="1"/>
  <mergeCells count="7">
    <mergeCell ref="S1:V1"/>
    <mergeCell ref="W1:Z1"/>
    <mergeCell ref="A153:B157"/>
    <mergeCell ref="D1:G1"/>
    <mergeCell ref="H1:K1"/>
    <mergeCell ref="L1:N1"/>
    <mergeCell ref="O1:R1"/>
  </mergeCell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tint="0.39997558519241921"/>
  </sheetPr>
  <dimension ref="A1:AB157"/>
  <sheetViews>
    <sheetView workbookViewId="0">
      <pane xSplit="2" ySplit="2" topLeftCell="D98" activePane="bottomRight" state="frozen"/>
      <selection activeCell="L92" sqref="L92:O92"/>
      <selection pane="topRight" activeCell="L92" sqref="L92:O92"/>
      <selection pane="bottomLeft" activeCell="L92" sqref="L92:O92"/>
      <selection pane="bottomRight" activeCell="L92" sqref="L92:O92"/>
    </sheetView>
  </sheetViews>
  <sheetFormatPr defaultColWidth="11.42578125" defaultRowHeight="15"/>
  <cols>
    <col min="1" max="1" width="22.42578125" style="39" customWidth="1"/>
    <col min="2" max="2" width="20.85546875" style="38" customWidth="1"/>
    <col min="3" max="3" width="10.85546875" style="54" customWidth="1"/>
    <col min="4" max="8" width="5.85546875" style="54" customWidth="1"/>
    <col min="9" max="9" width="10.85546875" style="54" customWidth="1"/>
    <col min="10" max="13" width="5.85546875" style="54" customWidth="1"/>
    <col min="14" max="14" width="10.85546875" style="54" customWidth="1"/>
    <col min="15" max="17" width="5.85546875" style="54" customWidth="1"/>
    <col min="18" max="18" width="10.85546875" style="54" customWidth="1"/>
    <col min="19" max="24" width="5.85546875" style="54" customWidth="1"/>
    <col min="25" max="25" width="10.85546875" style="54" customWidth="1"/>
    <col min="26" max="26" width="5.85546875" style="54" customWidth="1"/>
    <col min="27" max="28" width="10.85546875" style="38" customWidth="1"/>
    <col min="29" max="16384" width="11.42578125" style="38"/>
  </cols>
  <sheetData>
    <row r="1" spans="1:28">
      <c r="A1" s="57" t="s">
        <v>228</v>
      </c>
      <c r="B1" s="59" t="s">
        <v>192</v>
      </c>
      <c r="C1" s="750" t="s">
        <v>190</v>
      </c>
      <c r="D1" s="1357">
        <v>2010</v>
      </c>
      <c r="E1" s="1357"/>
      <c r="F1" s="1357"/>
      <c r="G1" s="1357"/>
      <c r="H1" s="1358">
        <v>2011</v>
      </c>
      <c r="I1" s="1358"/>
      <c r="J1" s="1358"/>
      <c r="K1" s="1358"/>
      <c r="L1" s="1353">
        <v>2012</v>
      </c>
      <c r="M1" s="1354"/>
      <c r="N1" s="1355"/>
      <c r="O1" s="1359">
        <v>2013</v>
      </c>
      <c r="P1" s="1360"/>
      <c r="Q1" s="1360"/>
      <c r="R1" s="1361"/>
      <c r="S1" s="1353">
        <v>2014</v>
      </c>
      <c r="T1" s="1354"/>
      <c r="U1" s="1354"/>
      <c r="V1" s="1355"/>
      <c r="W1" s="1351">
        <v>2015</v>
      </c>
      <c r="X1" s="1352"/>
      <c r="Y1" s="1352"/>
      <c r="Z1" s="1352"/>
    </row>
    <row r="2" spans="1:28" s="39" customFormat="1" ht="42.75">
      <c r="A2" s="58" t="s">
        <v>193</v>
      </c>
      <c r="B2" s="59" t="s">
        <v>191</v>
      </c>
      <c r="C2" s="418" t="s">
        <v>722</v>
      </c>
      <c r="D2" s="56" t="s">
        <v>141</v>
      </c>
      <c r="E2" s="56" t="s">
        <v>142</v>
      </c>
      <c r="F2" s="56" t="s">
        <v>143</v>
      </c>
      <c r="G2" s="56" t="s">
        <v>144</v>
      </c>
      <c r="H2" s="56" t="s">
        <v>141</v>
      </c>
      <c r="I2" s="418" t="s">
        <v>723</v>
      </c>
      <c r="J2" s="56" t="s">
        <v>143</v>
      </c>
      <c r="K2" s="56" t="s">
        <v>144</v>
      </c>
      <c r="L2" s="56" t="s">
        <v>141</v>
      </c>
      <c r="M2" s="56" t="s">
        <v>142</v>
      </c>
      <c r="N2" s="418" t="s">
        <v>724</v>
      </c>
      <c r="O2" s="56" t="s">
        <v>141</v>
      </c>
      <c r="P2" s="56" t="s">
        <v>142</v>
      </c>
      <c r="Q2" s="56" t="s">
        <v>143</v>
      </c>
      <c r="R2" s="418" t="s">
        <v>725</v>
      </c>
      <c r="S2" s="56" t="s">
        <v>141</v>
      </c>
      <c r="T2" s="56" t="s">
        <v>142</v>
      </c>
      <c r="U2" s="56" t="s">
        <v>143</v>
      </c>
      <c r="V2" s="56" t="s">
        <v>144</v>
      </c>
      <c r="W2" s="56" t="s">
        <v>141</v>
      </c>
      <c r="X2" s="56" t="s">
        <v>142</v>
      </c>
      <c r="Y2" s="418" t="s">
        <v>726</v>
      </c>
      <c r="Z2" s="56" t="s">
        <v>144</v>
      </c>
      <c r="AA2" s="419" t="s">
        <v>814</v>
      </c>
      <c r="AB2" s="419" t="s">
        <v>815</v>
      </c>
    </row>
    <row r="3" spans="1:28" s="39" customFormat="1">
      <c r="B3" s="38"/>
      <c r="C3" s="48"/>
      <c r="D3" s="422"/>
      <c r="E3" s="422"/>
      <c r="F3" s="422"/>
      <c r="G3" s="83"/>
      <c r="H3" s="83"/>
      <c r="I3" s="83"/>
      <c r="J3" s="83"/>
      <c r="K3" s="83"/>
      <c r="L3" s="48"/>
      <c r="M3" s="48"/>
      <c r="N3" s="83"/>
      <c r="O3" s="83"/>
      <c r="P3" s="48"/>
      <c r="Q3" s="48"/>
      <c r="R3" s="40"/>
      <c r="S3" s="40"/>
      <c r="T3" s="40"/>
      <c r="U3" s="40"/>
      <c r="V3" s="40"/>
      <c r="W3" s="40"/>
      <c r="X3" s="40"/>
      <c r="Y3" s="40"/>
      <c r="Z3" s="40"/>
    </row>
    <row r="4" spans="1:28">
      <c r="A4" s="41" t="s">
        <v>24</v>
      </c>
      <c r="B4" s="42" t="s">
        <v>139</v>
      </c>
      <c r="C4" s="47"/>
      <c r="D4" s="47"/>
      <c r="E4" s="47"/>
      <c r="F4" s="47"/>
      <c r="G4" s="47"/>
      <c r="H4" s="47"/>
      <c r="I4" s="47"/>
      <c r="J4" s="47"/>
      <c r="K4" s="47"/>
      <c r="L4" s="47"/>
      <c r="M4" s="47"/>
      <c r="N4" s="47"/>
      <c r="O4" s="47"/>
      <c r="P4" s="47"/>
      <c r="Q4" s="47"/>
      <c r="R4" s="43">
        <v>2.6</v>
      </c>
      <c r="S4" s="44">
        <v>2.6</v>
      </c>
      <c r="T4" s="44">
        <v>2.6</v>
      </c>
      <c r="U4" s="44">
        <v>2.6</v>
      </c>
      <c r="V4" s="44">
        <v>2.6</v>
      </c>
      <c r="W4" s="44">
        <v>2.7333333333333334</v>
      </c>
      <c r="X4" s="44">
        <v>2.8666666666666667</v>
      </c>
      <c r="Y4" s="43">
        <v>3</v>
      </c>
      <c r="Z4" s="44">
        <v>3</v>
      </c>
      <c r="AA4" s="38">
        <v>5</v>
      </c>
      <c r="AB4" s="420">
        <v>0.16</v>
      </c>
    </row>
    <row r="5" spans="1:28" s="49" customFormat="1">
      <c r="A5" s="45"/>
      <c r="B5" s="46" t="s">
        <v>140</v>
      </c>
      <c r="C5" s="47"/>
      <c r="D5" s="47"/>
      <c r="E5" s="47"/>
      <c r="F5" s="47"/>
      <c r="G5" s="47"/>
      <c r="H5" s="47"/>
      <c r="I5" s="47"/>
      <c r="J5" s="47"/>
      <c r="K5" s="47"/>
      <c r="L5" s="47"/>
      <c r="M5" s="47"/>
      <c r="N5" s="47"/>
      <c r="O5" s="47"/>
      <c r="P5" s="47"/>
      <c r="Q5" s="47"/>
      <c r="R5" s="47">
        <v>2.6</v>
      </c>
      <c r="S5" s="47">
        <v>2.6</v>
      </c>
      <c r="T5" s="47">
        <v>2.6</v>
      </c>
      <c r="U5" s="47">
        <v>2.6</v>
      </c>
      <c r="V5" s="47">
        <v>2.6</v>
      </c>
      <c r="W5" s="69">
        <v>2.6</v>
      </c>
      <c r="X5" s="69">
        <v>2.6</v>
      </c>
      <c r="Y5" s="69">
        <v>0</v>
      </c>
      <c r="Z5" s="69">
        <v>0</v>
      </c>
      <c r="AB5" s="421"/>
    </row>
    <row r="6" spans="1:28" s="49" customFormat="1">
      <c r="A6" s="45"/>
      <c r="B6" s="46"/>
      <c r="C6" s="48"/>
      <c r="D6" s="422"/>
      <c r="E6" s="422"/>
      <c r="F6" s="422"/>
      <c r="G6" s="83"/>
      <c r="H6" s="83"/>
      <c r="I6" s="83"/>
      <c r="J6" s="83"/>
      <c r="K6" s="83"/>
      <c r="L6" s="48"/>
      <c r="M6" s="48"/>
      <c r="N6" s="83"/>
      <c r="O6" s="83"/>
      <c r="P6" s="48"/>
      <c r="Q6" s="48"/>
      <c r="R6" s="48"/>
      <c r="S6" s="48"/>
      <c r="T6" s="48"/>
      <c r="U6" s="48"/>
      <c r="V6" s="48"/>
      <c r="W6" s="48"/>
      <c r="X6" s="48"/>
      <c r="Y6" s="48"/>
      <c r="Z6" s="48"/>
      <c r="AB6" s="421"/>
    </row>
    <row r="7" spans="1:28">
      <c r="A7" s="41" t="s">
        <v>25</v>
      </c>
      <c r="B7" s="42" t="s">
        <v>139</v>
      </c>
      <c r="C7" s="47"/>
      <c r="D7" s="47"/>
      <c r="E7" s="47"/>
      <c r="F7" s="47"/>
      <c r="G7" s="47"/>
      <c r="H7" s="47"/>
      <c r="I7" s="47"/>
      <c r="J7" s="47"/>
      <c r="K7" s="47"/>
      <c r="L7" s="47"/>
      <c r="M7" s="47"/>
      <c r="N7" s="47"/>
      <c r="O7" s="47"/>
      <c r="P7" s="47"/>
      <c r="Q7" s="47"/>
      <c r="R7" s="43">
        <v>1.2</v>
      </c>
      <c r="S7" s="44">
        <v>1.2</v>
      </c>
      <c r="T7" s="44">
        <v>1.2</v>
      </c>
      <c r="U7" s="44">
        <v>1.2</v>
      </c>
      <c r="V7" s="44">
        <v>1.2</v>
      </c>
      <c r="W7" s="44">
        <v>1.3666666666666667</v>
      </c>
      <c r="X7" s="44">
        <v>1.5333333333333334</v>
      </c>
      <c r="Y7" s="43">
        <v>1.7</v>
      </c>
      <c r="Z7" s="44">
        <v>1.7</v>
      </c>
      <c r="AA7" s="38">
        <v>5</v>
      </c>
      <c r="AB7" s="420">
        <v>0.16</v>
      </c>
    </row>
    <row r="8" spans="1:28" s="49" customFormat="1">
      <c r="A8" s="45"/>
      <c r="B8" s="46" t="s">
        <v>140</v>
      </c>
      <c r="C8" s="47"/>
      <c r="D8" s="47"/>
      <c r="E8" s="47"/>
      <c r="F8" s="47"/>
      <c r="G8" s="47"/>
      <c r="H8" s="47"/>
      <c r="I8" s="47"/>
      <c r="J8" s="47"/>
      <c r="K8" s="47"/>
      <c r="L8" s="47"/>
      <c r="M8" s="47"/>
      <c r="N8" s="47"/>
      <c r="O8" s="47"/>
      <c r="P8" s="47"/>
      <c r="Q8" s="47"/>
      <c r="R8" s="47">
        <v>1.2</v>
      </c>
      <c r="S8" s="47">
        <v>1.2</v>
      </c>
      <c r="T8" s="47">
        <v>1.2</v>
      </c>
      <c r="U8" s="47">
        <v>1.2</v>
      </c>
      <c r="V8" s="47">
        <v>1.2</v>
      </c>
      <c r="W8" s="69">
        <v>1.2</v>
      </c>
      <c r="X8" s="69">
        <v>1.2</v>
      </c>
      <c r="Y8" s="69">
        <v>0</v>
      </c>
      <c r="Z8" s="69">
        <v>0</v>
      </c>
      <c r="AB8" s="421"/>
    </row>
    <row r="9" spans="1:28" s="49" customFormat="1">
      <c r="A9" s="45"/>
      <c r="B9" s="46"/>
      <c r="C9" s="48"/>
      <c r="D9" s="422"/>
      <c r="E9" s="422"/>
      <c r="F9" s="422"/>
      <c r="G9" s="83"/>
      <c r="H9" s="83"/>
      <c r="I9" s="83"/>
      <c r="J9" s="83"/>
      <c r="K9" s="83"/>
      <c r="L9" s="48"/>
      <c r="M9" s="48"/>
      <c r="N9" s="83"/>
      <c r="O9" s="83"/>
      <c r="P9" s="48"/>
      <c r="Q9" s="48"/>
      <c r="R9" s="48"/>
      <c r="S9" s="48"/>
      <c r="T9" s="48"/>
      <c r="U9" s="48"/>
      <c r="V9" s="48"/>
      <c r="W9" s="48"/>
      <c r="X9" s="48"/>
      <c r="Y9" s="48"/>
      <c r="Z9" s="48"/>
      <c r="AB9" s="421"/>
    </row>
    <row r="10" spans="1:28">
      <c r="A10" s="41" t="s">
        <v>186</v>
      </c>
      <c r="B10" s="42" t="s">
        <v>214</v>
      </c>
      <c r="C10" s="52"/>
      <c r="D10" s="52"/>
      <c r="E10" s="52"/>
      <c r="F10" s="52"/>
      <c r="G10" s="52"/>
      <c r="H10" s="52"/>
      <c r="I10" s="52"/>
      <c r="J10" s="52"/>
      <c r="K10" s="52"/>
      <c r="L10" s="52"/>
      <c r="M10" s="52"/>
      <c r="N10" s="52"/>
      <c r="O10" s="52"/>
      <c r="P10" s="52"/>
      <c r="Q10" s="52"/>
      <c r="R10" s="50">
        <v>15</v>
      </c>
      <c r="S10" s="51">
        <v>15</v>
      </c>
      <c r="T10" s="51">
        <v>15</v>
      </c>
      <c r="U10" s="51">
        <v>15</v>
      </c>
      <c r="V10" s="51">
        <v>15</v>
      </c>
      <c r="W10" s="51">
        <v>15</v>
      </c>
      <c r="X10" s="51">
        <v>15</v>
      </c>
      <c r="Y10" s="50">
        <v>15</v>
      </c>
      <c r="Z10" s="51">
        <v>15</v>
      </c>
      <c r="AA10" s="38">
        <v>15</v>
      </c>
      <c r="AB10" s="420">
        <v>0.6</v>
      </c>
    </row>
    <row r="11" spans="1:28" s="49" customFormat="1">
      <c r="A11" s="45"/>
      <c r="B11" s="46" t="s">
        <v>215</v>
      </c>
      <c r="C11" s="52"/>
      <c r="D11" s="52"/>
      <c r="E11" s="52"/>
      <c r="F11" s="52"/>
      <c r="G11" s="52"/>
      <c r="H11" s="52"/>
      <c r="I11" s="52"/>
      <c r="J11" s="52"/>
      <c r="K11" s="52"/>
      <c r="L11" s="52"/>
      <c r="M11" s="52"/>
      <c r="N11" s="52"/>
      <c r="O11" s="52"/>
      <c r="P11" s="52"/>
      <c r="Q11" s="52"/>
      <c r="R11" s="52">
        <v>15</v>
      </c>
      <c r="S11" s="52">
        <v>15</v>
      </c>
      <c r="T11" s="52">
        <v>15</v>
      </c>
      <c r="U11" s="52">
        <v>15</v>
      </c>
      <c r="V11" s="52">
        <v>15</v>
      </c>
      <c r="W11" s="70">
        <v>15</v>
      </c>
      <c r="X11" s="70">
        <v>15</v>
      </c>
      <c r="Y11" s="70">
        <v>0</v>
      </c>
      <c r="Z11" s="70">
        <v>0</v>
      </c>
      <c r="AA11" s="38"/>
      <c r="AB11" s="420"/>
    </row>
    <row r="12" spans="1:28" s="49" customFormat="1">
      <c r="A12" s="45"/>
      <c r="B12" s="46"/>
      <c r="C12" s="53"/>
      <c r="D12" s="427"/>
      <c r="E12" s="427"/>
      <c r="F12" s="427"/>
      <c r="G12" s="75"/>
      <c r="H12" s="75"/>
      <c r="I12" s="75"/>
      <c r="J12" s="75"/>
      <c r="K12" s="75"/>
      <c r="L12" s="53"/>
      <c r="M12" s="53"/>
      <c r="N12" s="75"/>
      <c r="O12" s="75"/>
      <c r="P12" s="53"/>
      <c r="Q12" s="53"/>
      <c r="R12" s="53"/>
      <c r="S12" s="53"/>
      <c r="T12" s="53"/>
      <c r="U12" s="53"/>
      <c r="V12" s="53"/>
      <c r="W12" s="53"/>
      <c r="X12" s="53"/>
      <c r="Y12" s="53"/>
      <c r="Z12" s="53"/>
      <c r="AB12" s="421"/>
    </row>
    <row r="13" spans="1:28">
      <c r="A13" s="41" t="s">
        <v>187</v>
      </c>
      <c r="B13" s="42" t="s">
        <v>216</v>
      </c>
      <c r="C13" s="52"/>
      <c r="D13" s="52"/>
      <c r="E13" s="52"/>
      <c r="F13" s="52"/>
      <c r="G13" s="52"/>
      <c r="H13" s="52"/>
      <c r="I13" s="52"/>
      <c r="J13" s="52"/>
      <c r="K13" s="52"/>
      <c r="L13" s="52"/>
      <c r="M13" s="52"/>
      <c r="N13" s="52"/>
      <c r="O13" s="52"/>
      <c r="P13" s="52"/>
      <c r="Q13" s="52"/>
      <c r="R13" s="50">
        <v>15</v>
      </c>
      <c r="S13" s="51">
        <v>15</v>
      </c>
      <c r="T13" s="51">
        <v>15</v>
      </c>
      <c r="U13" s="51">
        <v>15</v>
      </c>
      <c r="V13" s="51">
        <v>15</v>
      </c>
      <c r="W13" s="51">
        <v>15</v>
      </c>
      <c r="X13" s="51">
        <v>15</v>
      </c>
      <c r="Y13" s="50">
        <v>15</v>
      </c>
      <c r="Z13" s="51">
        <v>15</v>
      </c>
      <c r="AA13" s="38">
        <v>15</v>
      </c>
      <c r="AB13" s="420">
        <v>0.6</v>
      </c>
    </row>
    <row r="14" spans="1:28" s="49" customFormat="1">
      <c r="A14" s="45"/>
      <c r="B14" s="46" t="s">
        <v>217</v>
      </c>
      <c r="C14" s="52"/>
      <c r="D14" s="52"/>
      <c r="E14" s="52"/>
      <c r="F14" s="52"/>
      <c r="G14" s="52"/>
      <c r="H14" s="52"/>
      <c r="I14" s="52"/>
      <c r="J14" s="52"/>
      <c r="K14" s="52"/>
      <c r="L14" s="52"/>
      <c r="M14" s="52"/>
      <c r="N14" s="52"/>
      <c r="O14" s="52"/>
      <c r="P14" s="52"/>
      <c r="Q14" s="52"/>
      <c r="R14" s="52">
        <v>15</v>
      </c>
      <c r="S14" s="52">
        <v>15</v>
      </c>
      <c r="T14" s="52">
        <v>15</v>
      </c>
      <c r="U14" s="52">
        <v>15</v>
      </c>
      <c r="V14" s="52">
        <v>15</v>
      </c>
      <c r="W14" s="70">
        <v>15</v>
      </c>
      <c r="X14" s="70">
        <v>15</v>
      </c>
      <c r="Y14" s="70">
        <v>0</v>
      </c>
      <c r="Z14" s="70">
        <v>0</v>
      </c>
      <c r="AB14" s="421"/>
    </row>
    <row r="15" spans="1:28" s="49" customFormat="1">
      <c r="A15" s="45"/>
      <c r="B15" s="46"/>
      <c r="C15" s="53"/>
      <c r="D15" s="427"/>
      <c r="E15" s="427"/>
      <c r="F15" s="427"/>
      <c r="G15" s="75"/>
      <c r="H15" s="75"/>
      <c r="I15" s="75"/>
      <c r="J15" s="75"/>
      <c r="K15" s="75"/>
      <c r="L15" s="53"/>
      <c r="M15" s="53"/>
      <c r="N15" s="75"/>
      <c r="O15" s="75"/>
      <c r="P15" s="53"/>
      <c r="Q15" s="53"/>
      <c r="R15" s="53"/>
      <c r="S15" s="53"/>
      <c r="T15" s="53"/>
      <c r="U15" s="53"/>
      <c r="V15" s="53"/>
      <c r="W15" s="53"/>
      <c r="X15" s="53"/>
      <c r="Y15" s="53"/>
      <c r="Z15" s="53"/>
      <c r="AB15" s="421"/>
    </row>
    <row r="16" spans="1:28">
      <c r="A16" s="41" t="s">
        <v>188</v>
      </c>
      <c r="B16" s="42" t="s">
        <v>218</v>
      </c>
      <c r="C16" s="52"/>
      <c r="D16" s="52"/>
      <c r="E16" s="52"/>
      <c r="F16" s="52"/>
      <c r="G16" s="52"/>
      <c r="H16" s="52"/>
      <c r="I16" s="52"/>
      <c r="J16" s="52"/>
      <c r="K16" s="52"/>
      <c r="L16" s="52"/>
      <c r="M16" s="52"/>
      <c r="N16" s="52"/>
      <c r="O16" s="52"/>
      <c r="P16" s="52"/>
      <c r="Q16" s="52"/>
      <c r="R16" s="50">
        <v>12</v>
      </c>
      <c r="S16" s="51">
        <v>12</v>
      </c>
      <c r="T16" s="51">
        <v>12</v>
      </c>
      <c r="U16" s="51">
        <v>12</v>
      </c>
      <c r="V16" s="51">
        <v>12</v>
      </c>
      <c r="W16" s="51">
        <v>12.333333333333334</v>
      </c>
      <c r="X16" s="51">
        <v>12.666666666666668</v>
      </c>
      <c r="Y16" s="50">
        <v>13</v>
      </c>
      <c r="Z16" s="51">
        <v>13</v>
      </c>
      <c r="AA16" s="38">
        <v>15</v>
      </c>
      <c r="AB16" s="420">
        <v>0.6</v>
      </c>
    </row>
    <row r="17" spans="1:28" s="49" customFormat="1">
      <c r="A17" s="45"/>
      <c r="B17" s="46" t="s">
        <v>219</v>
      </c>
      <c r="C17" s="52"/>
      <c r="D17" s="52"/>
      <c r="E17" s="52"/>
      <c r="F17" s="52"/>
      <c r="G17" s="52"/>
      <c r="H17" s="52"/>
      <c r="I17" s="52"/>
      <c r="J17" s="52"/>
      <c r="K17" s="52"/>
      <c r="L17" s="52"/>
      <c r="M17" s="52"/>
      <c r="N17" s="52"/>
      <c r="O17" s="52"/>
      <c r="P17" s="52"/>
      <c r="Q17" s="52"/>
      <c r="R17" s="52">
        <v>12</v>
      </c>
      <c r="S17" s="52">
        <v>12</v>
      </c>
      <c r="T17" s="52">
        <v>12</v>
      </c>
      <c r="U17" s="52">
        <v>12</v>
      </c>
      <c r="V17" s="52">
        <v>12</v>
      </c>
      <c r="W17" s="70">
        <v>12</v>
      </c>
      <c r="X17" s="70">
        <v>12</v>
      </c>
      <c r="Y17" s="70">
        <v>0</v>
      </c>
      <c r="Z17" s="70">
        <v>0</v>
      </c>
      <c r="AB17" s="421"/>
    </row>
    <row r="18" spans="1:28" s="49" customFormat="1">
      <c r="A18" s="45"/>
      <c r="B18" s="46"/>
      <c r="C18" s="53"/>
      <c r="D18" s="427"/>
      <c r="E18" s="427"/>
      <c r="F18" s="427"/>
      <c r="G18" s="75"/>
      <c r="H18" s="75"/>
      <c r="I18" s="75"/>
      <c r="J18" s="75"/>
      <c r="K18" s="75"/>
      <c r="L18" s="53"/>
      <c r="M18" s="53"/>
      <c r="N18" s="75"/>
      <c r="O18" s="75"/>
      <c r="P18" s="53"/>
      <c r="Q18" s="53"/>
      <c r="R18" s="53"/>
      <c r="S18" s="53"/>
      <c r="T18" s="53"/>
      <c r="U18" s="53"/>
      <c r="V18" s="53"/>
      <c r="W18" s="53"/>
      <c r="X18" s="53"/>
      <c r="Y18" s="53"/>
      <c r="Z18" s="53"/>
      <c r="AB18" s="421"/>
    </row>
    <row r="19" spans="1:28">
      <c r="A19" s="41" t="s">
        <v>189</v>
      </c>
      <c r="B19" s="42" t="s">
        <v>221</v>
      </c>
      <c r="C19" s="52"/>
      <c r="D19" s="52"/>
      <c r="E19" s="52"/>
      <c r="F19" s="52"/>
      <c r="G19" s="52"/>
      <c r="H19" s="52"/>
      <c r="I19" s="52"/>
      <c r="J19" s="52"/>
      <c r="K19" s="52"/>
      <c r="L19" s="52"/>
      <c r="M19" s="52"/>
      <c r="N19" s="52"/>
      <c r="O19" s="52"/>
      <c r="P19" s="52"/>
      <c r="Q19" s="52"/>
      <c r="R19" s="50">
        <v>15</v>
      </c>
      <c r="S19" s="51">
        <v>15</v>
      </c>
      <c r="T19" s="51">
        <v>15</v>
      </c>
      <c r="U19" s="51">
        <v>15</v>
      </c>
      <c r="V19" s="51">
        <v>15</v>
      </c>
      <c r="W19" s="51">
        <v>15</v>
      </c>
      <c r="X19" s="51">
        <v>15</v>
      </c>
      <c r="Y19" s="50">
        <v>15</v>
      </c>
      <c r="Z19" s="51">
        <v>15</v>
      </c>
      <c r="AA19" s="38">
        <v>15</v>
      </c>
      <c r="AB19" s="420">
        <v>0.6</v>
      </c>
    </row>
    <row r="20" spans="1:28" s="49" customFormat="1">
      <c r="A20" s="45"/>
      <c r="B20" s="46" t="s">
        <v>220</v>
      </c>
      <c r="C20" s="52"/>
      <c r="D20" s="52"/>
      <c r="E20" s="52"/>
      <c r="F20" s="52"/>
      <c r="G20" s="52"/>
      <c r="H20" s="52"/>
      <c r="I20" s="52"/>
      <c r="J20" s="52"/>
      <c r="K20" s="52"/>
      <c r="L20" s="52"/>
      <c r="M20" s="52"/>
      <c r="N20" s="52"/>
      <c r="O20" s="52"/>
      <c r="P20" s="52"/>
      <c r="Q20" s="52"/>
      <c r="R20" s="52">
        <v>15</v>
      </c>
      <c r="S20" s="52">
        <v>15</v>
      </c>
      <c r="T20" s="52">
        <v>15</v>
      </c>
      <c r="U20" s="52">
        <v>15</v>
      </c>
      <c r="V20" s="52">
        <v>15</v>
      </c>
      <c r="W20" s="70">
        <v>15</v>
      </c>
      <c r="X20" s="70">
        <v>15</v>
      </c>
      <c r="Y20" s="70">
        <v>0</v>
      </c>
      <c r="Z20" s="70">
        <v>0</v>
      </c>
      <c r="AB20" s="421"/>
    </row>
    <row r="21" spans="1:28" s="49" customFormat="1">
      <c r="A21" s="45"/>
      <c r="B21" s="46"/>
      <c r="C21" s="48"/>
      <c r="D21" s="422"/>
      <c r="E21" s="422"/>
      <c r="F21" s="422"/>
      <c r="G21" s="83"/>
      <c r="H21" s="83"/>
      <c r="I21" s="83"/>
      <c r="J21" s="83"/>
      <c r="K21" s="83"/>
      <c r="L21" s="48"/>
      <c r="M21" s="48"/>
      <c r="N21" s="83"/>
      <c r="O21" s="83"/>
      <c r="P21" s="48"/>
      <c r="Q21" s="48"/>
      <c r="R21" s="48"/>
      <c r="S21" s="48"/>
      <c r="T21" s="48"/>
      <c r="U21" s="48"/>
      <c r="V21" s="48"/>
      <c r="W21" s="48"/>
      <c r="X21" s="48"/>
      <c r="Y21" s="48"/>
      <c r="Z21" s="48"/>
      <c r="AB21" s="421"/>
    </row>
    <row r="22" spans="1:28">
      <c r="A22" s="41" t="s">
        <v>22</v>
      </c>
      <c r="B22" s="42" t="s">
        <v>139</v>
      </c>
      <c r="C22" s="47"/>
      <c r="D22" s="47"/>
      <c r="E22" s="47"/>
      <c r="F22" s="47"/>
      <c r="G22" s="47"/>
      <c r="H22" s="47"/>
      <c r="I22" s="47"/>
      <c r="J22" s="47"/>
      <c r="K22" s="47"/>
      <c r="L22" s="47"/>
      <c r="M22" s="47"/>
      <c r="N22" s="47"/>
      <c r="O22" s="47"/>
      <c r="P22" s="47"/>
      <c r="Q22" s="47"/>
      <c r="R22" s="43">
        <v>2.5</v>
      </c>
      <c r="S22" s="44">
        <v>2.5</v>
      </c>
      <c r="T22" s="44">
        <v>2.5</v>
      </c>
      <c r="U22" s="44">
        <v>2.5</v>
      </c>
      <c r="V22" s="44">
        <v>2.5</v>
      </c>
      <c r="W22" s="44">
        <v>2.6666666666666665</v>
      </c>
      <c r="X22" s="44">
        <v>2.833333333333333</v>
      </c>
      <c r="Y22" s="43">
        <v>3</v>
      </c>
      <c r="Z22" s="44">
        <v>3</v>
      </c>
      <c r="AA22" s="38">
        <v>5</v>
      </c>
      <c r="AB22" s="420">
        <v>0.16</v>
      </c>
    </row>
    <row r="23" spans="1:28" s="49" customFormat="1">
      <c r="A23" s="45"/>
      <c r="B23" s="46" t="s">
        <v>140</v>
      </c>
      <c r="C23" s="47"/>
      <c r="D23" s="47"/>
      <c r="E23" s="47"/>
      <c r="F23" s="47"/>
      <c r="G23" s="47"/>
      <c r="H23" s="47"/>
      <c r="I23" s="47"/>
      <c r="J23" s="47"/>
      <c r="K23" s="47"/>
      <c r="L23" s="47"/>
      <c r="M23" s="47"/>
      <c r="N23" s="47"/>
      <c r="O23" s="47"/>
      <c r="P23" s="47"/>
      <c r="Q23" s="47"/>
      <c r="R23" s="47">
        <v>2.5</v>
      </c>
      <c r="S23" s="47">
        <v>2.5</v>
      </c>
      <c r="T23" s="47">
        <v>2.5</v>
      </c>
      <c r="U23" s="47">
        <v>2.5</v>
      </c>
      <c r="V23" s="47">
        <v>2.5</v>
      </c>
      <c r="W23" s="69">
        <v>2.5</v>
      </c>
      <c r="X23" s="69">
        <v>2.5</v>
      </c>
      <c r="Y23" s="69">
        <v>0</v>
      </c>
      <c r="Z23" s="69">
        <v>0</v>
      </c>
      <c r="AB23" s="421"/>
    </row>
    <row r="24" spans="1:28" s="49" customFormat="1">
      <c r="A24" s="45"/>
      <c r="B24" s="46"/>
      <c r="C24" s="48"/>
      <c r="D24" s="422"/>
      <c r="E24" s="422"/>
      <c r="F24" s="422"/>
      <c r="G24" s="83"/>
      <c r="H24" s="83"/>
      <c r="I24" s="83"/>
      <c r="J24" s="83"/>
      <c r="K24" s="83"/>
      <c r="L24" s="48"/>
      <c r="M24" s="48"/>
      <c r="N24" s="83"/>
      <c r="O24" s="83"/>
      <c r="P24" s="48"/>
      <c r="Q24" s="48"/>
      <c r="R24" s="48"/>
      <c r="S24" s="48"/>
      <c r="T24" s="48"/>
      <c r="U24" s="48"/>
      <c r="V24" s="48"/>
      <c r="W24" s="48"/>
      <c r="X24" s="48"/>
      <c r="Y24" s="48"/>
      <c r="Z24" s="48"/>
      <c r="AB24" s="421"/>
    </row>
    <row r="25" spans="1:28">
      <c r="A25" s="41" t="s">
        <v>23</v>
      </c>
      <c r="B25" s="42" t="s">
        <v>139</v>
      </c>
      <c r="C25" s="47"/>
      <c r="D25" s="47"/>
      <c r="E25" s="47"/>
      <c r="F25" s="47"/>
      <c r="G25" s="47"/>
      <c r="H25" s="47"/>
      <c r="I25" s="47"/>
      <c r="J25" s="47"/>
      <c r="K25" s="47"/>
      <c r="L25" s="47"/>
      <c r="M25" s="47"/>
      <c r="N25" s="47"/>
      <c r="O25" s="47"/>
      <c r="P25" s="47"/>
      <c r="Q25" s="47"/>
      <c r="R25" s="43">
        <v>2.2999999999999998</v>
      </c>
      <c r="S25" s="44">
        <v>2.2999999999999998</v>
      </c>
      <c r="T25" s="44">
        <v>2.2999999999999998</v>
      </c>
      <c r="U25" s="44">
        <v>2.2999999999999998</v>
      </c>
      <c r="V25" s="44">
        <v>2.2999999999999998</v>
      </c>
      <c r="W25" s="44">
        <v>2.4666666666666663</v>
      </c>
      <c r="X25" s="44">
        <v>2.6333333333333329</v>
      </c>
      <c r="Y25" s="43">
        <v>2.8</v>
      </c>
      <c r="Z25" s="44">
        <v>2.8</v>
      </c>
      <c r="AA25" s="38">
        <v>5</v>
      </c>
      <c r="AB25" s="420">
        <v>0.16</v>
      </c>
    </row>
    <row r="26" spans="1:28" s="49" customFormat="1">
      <c r="A26" s="45"/>
      <c r="B26" s="46" t="s">
        <v>140</v>
      </c>
      <c r="C26" s="47"/>
      <c r="D26" s="47"/>
      <c r="E26" s="47"/>
      <c r="F26" s="47"/>
      <c r="G26" s="47"/>
      <c r="H26" s="47"/>
      <c r="I26" s="47"/>
      <c r="J26" s="47"/>
      <c r="K26" s="47"/>
      <c r="L26" s="47"/>
      <c r="M26" s="47"/>
      <c r="N26" s="47"/>
      <c r="O26" s="47"/>
      <c r="P26" s="47"/>
      <c r="Q26" s="47"/>
      <c r="R26" s="47">
        <v>2.2999999999999998</v>
      </c>
      <c r="S26" s="47">
        <v>2.2999999999999998</v>
      </c>
      <c r="T26" s="47">
        <v>2.2999999999999998</v>
      </c>
      <c r="U26" s="47">
        <v>2.2999999999999998</v>
      </c>
      <c r="V26" s="47">
        <v>2.2999999999999998</v>
      </c>
      <c r="W26" s="69">
        <v>2.2999999999999998</v>
      </c>
      <c r="X26" s="69">
        <v>2.2999999999999998</v>
      </c>
      <c r="Y26" s="69">
        <v>0</v>
      </c>
      <c r="Z26" s="69">
        <v>0</v>
      </c>
      <c r="AB26" s="421"/>
    </row>
    <row r="27" spans="1:28" s="49" customFormat="1">
      <c r="A27" s="45"/>
      <c r="B27" s="46"/>
      <c r="C27" s="48"/>
      <c r="D27" s="422"/>
      <c r="E27" s="422"/>
      <c r="F27" s="422"/>
      <c r="G27" s="83"/>
      <c r="H27" s="83"/>
      <c r="I27" s="83"/>
      <c r="J27" s="83"/>
      <c r="K27" s="83"/>
      <c r="L27" s="48"/>
      <c r="M27" s="48"/>
      <c r="N27" s="83"/>
      <c r="O27" s="83"/>
      <c r="P27" s="48"/>
      <c r="Q27" s="48"/>
      <c r="R27" s="48"/>
      <c r="S27" s="48"/>
      <c r="T27" s="48"/>
      <c r="U27" s="48"/>
      <c r="V27" s="48"/>
      <c r="W27" s="48"/>
      <c r="X27" s="48"/>
      <c r="Y27" s="48"/>
      <c r="Z27" s="48"/>
      <c r="AB27" s="421"/>
    </row>
    <row r="28" spans="1:28">
      <c r="A28" s="41" t="s">
        <v>38</v>
      </c>
      <c r="B28" s="42" t="s">
        <v>139</v>
      </c>
      <c r="C28" s="47"/>
      <c r="D28" s="47"/>
      <c r="E28" s="47"/>
      <c r="F28" s="47"/>
      <c r="G28" s="47"/>
      <c r="H28" s="47"/>
      <c r="I28" s="47"/>
      <c r="J28" s="47"/>
      <c r="K28" s="47"/>
      <c r="L28" s="47"/>
      <c r="M28" s="47"/>
      <c r="N28" s="47"/>
      <c r="O28" s="47"/>
      <c r="P28" s="47"/>
      <c r="Q28" s="47"/>
      <c r="R28" s="43">
        <v>2.9</v>
      </c>
      <c r="S28" s="44">
        <v>2.9</v>
      </c>
      <c r="T28" s="44">
        <v>2.9</v>
      </c>
      <c r="U28" s="44">
        <v>2.9</v>
      </c>
      <c r="V28" s="44">
        <v>2.9</v>
      </c>
      <c r="W28" s="44">
        <v>3</v>
      </c>
      <c r="X28" s="44">
        <v>3.1</v>
      </c>
      <c r="Y28" s="43">
        <v>3.2</v>
      </c>
      <c r="Z28" s="44">
        <v>3.2</v>
      </c>
      <c r="AA28" s="38">
        <v>5</v>
      </c>
      <c r="AB28" s="420">
        <v>0.16</v>
      </c>
    </row>
    <row r="29" spans="1:28" s="49" customFormat="1">
      <c r="A29" s="45"/>
      <c r="B29" s="46" t="s">
        <v>140</v>
      </c>
      <c r="C29" s="47"/>
      <c r="D29" s="47"/>
      <c r="E29" s="47"/>
      <c r="F29" s="47"/>
      <c r="G29" s="47"/>
      <c r="H29" s="47"/>
      <c r="I29" s="47"/>
      <c r="J29" s="47"/>
      <c r="K29" s="47"/>
      <c r="L29" s="47"/>
      <c r="M29" s="47"/>
      <c r="N29" s="47"/>
      <c r="O29" s="47"/>
      <c r="P29" s="47"/>
      <c r="Q29" s="47"/>
      <c r="R29" s="47">
        <v>2.9</v>
      </c>
      <c r="S29" s="47">
        <v>2.9</v>
      </c>
      <c r="T29" s="47">
        <v>2.9</v>
      </c>
      <c r="U29" s="47">
        <v>2.9</v>
      </c>
      <c r="V29" s="47">
        <v>2.9</v>
      </c>
      <c r="W29" s="69">
        <v>2.9</v>
      </c>
      <c r="X29" s="69">
        <v>2.9</v>
      </c>
      <c r="Y29" s="69">
        <v>0</v>
      </c>
      <c r="Z29" s="69">
        <v>0</v>
      </c>
      <c r="AB29" s="421"/>
    </row>
    <row r="30" spans="1:28" s="49" customFormat="1">
      <c r="A30" s="45"/>
      <c r="B30" s="46"/>
      <c r="C30" s="48"/>
      <c r="D30" s="422"/>
      <c r="E30" s="422"/>
      <c r="F30" s="422"/>
      <c r="G30" s="83"/>
      <c r="H30" s="83"/>
      <c r="I30" s="83"/>
      <c r="J30" s="83"/>
      <c r="K30" s="83"/>
      <c r="L30" s="48"/>
      <c r="M30" s="48"/>
      <c r="N30" s="83"/>
      <c r="O30" s="83"/>
      <c r="P30" s="48"/>
      <c r="Q30" s="48"/>
      <c r="R30" s="53"/>
      <c r="S30" s="48"/>
      <c r="T30" s="48"/>
      <c r="U30" s="48"/>
      <c r="V30" s="48"/>
      <c r="W30" s="48"/>
      <c r="X30" s="48"/>
      <c r="Y30" s="48"/>
      <c r="Z30" s="48"/>
      <c r="AB30" s="421"/>
    </row>
    <row r="31" spans="1:28">
      <c r="A31" s="41" t="s">
        <v>39</v>
      </c>
      <c r="B31" s="42" t="s">
        <v>139</v>
      </c>
      <c r="C31" s="47"/>
      <c r="D31" s="47"/>
      <c r="E31" s="47"/>
      <c r="F31" s="47"/>
      <c r="G31" s="47"/>
      <c r="H31" s="47"/>
      <c r="I31" s="47"/>
      <c r="J31" s="47"/>
      <c r="K31" s="47"/>
      <c r="L31" s="47"/>
      <c r="M31" s="47"/>
      <c r="N31" s="47"/>
      <c r="O31" s="47"/>
      <c r="P31" s="47"/>
      <c r="Q31" s="47"/>
      <c r="R31" s="50">
        <v>0</v>
      </c>
      <c r="S31" s="51">
        <v>0</v>
      </c>
      <c r="T31" s="51">
        <v>0</v>
      </c>
      <c r="U31" s="51">
        <v>0</v>
      </c>
      <c r="V31" s="51">
        <v>0</v>
      </c>
      <c r="W31" s="51">
        <v>0.33333333333333331</v>
      </c>
      <c r="X31" s="51">
        <v>0.66666666666666663</v>
      </c>
      <c r="Y31" s="50">
        <v>1</v>
      </c>
      <c r="Z31" s="44">
        <v>1</v>
      </c>
      <c r="AA31" s="38">
        <v>20</v>
      </c>
      <c r="AB31" s="420">
        <v>0.8</v>
      </c>
    </row>
    <row r="32" spans="1:28" s="49" customFormat="1">
      <c r="A32" s="45"/>
      <c r="B32" s="46" t="s">
        <v>140</v>
      </c>
      <c r="C32" s="47"/>
      <c r="D32" s="47"/>
      <c r="E32" s="47"/>
      <c r="F32" s="47"/>
      <c r="G32" s="47"/>
      <c r="H32" s="47"/>
      <c r="I32" s="47"/>
      <c r="J32" s="47"/>
      <c r="K32" s="47"/>
      <c r="L32" s="47"/>
      <c r="M32" s="47"/>
      <c r="N32" s="47"/>
      <c r="O32" s="47"/>
      <c r="P32" s="47"/>
      <c r="Q32" s="47"/>
      <c r="R32" s="52">
        <v>0</v>
      </c>
      <c r="S32" s="52">
        <v>0</v>
      </c>
      <c r="T32" s="52">
        <v>0</v>
      </c>
      <c r="U32" s="52">
        <v>0</v>
      </c>
      <c r="V32" s="52">
        <v>0</v>
      </c>
      <c r="W32" s="70">
        <v>0</v>
      </c>
      <c r="X32" s="70">
        <v>0</v>
      </c>
      <c r="Y32" s="70">
        <v>0</v>
      </c>
      <c r="Z32" s="70">
        <v>0</v>
      </c>
      <c r="AB32" s="421"/>
    </row>
    <row r="33" spans="1:28" s="49" customFormat="1">
      <c r="A33" s="45"/>
      <c r="B33" s="46"/>
      <c r="C33" s="48"/>
      <c r="D33" s="422"/>
      <c r="E33" s="422"/>
      <c r="F33" s="422"/>
      <c r="G33" s="83"/>
      <c r="H33" s="83"/>
      <c r="I33" s="83"/>
      <c r="J33" s="83"/>
      <c r="K33" s="83"/>
      <c r="L33" s="48"/>
      <c r="M33" s="48"/>
      <c r="N33" s="83"/>
      <c r="O33" s="83"/>
      <c r="P33" s="48"/>
      <c r="Q33" s="48"/>
      <c r="R33" s="53"/>
      <c r="S33" s="53"/>
      <c r="T33" s="53"/>
      <c r="U33" s="53"/>
      <c r="V33" s="53"/>
      <c r="W33" s="53"/>
      <c r="X33" s="53"/>
      <c r="Y33" s="53"/>
      <c r="Z33" s="48"/>
      <c r="AB33" s="421"/>
    </row>
    <row r="34" spans="1:28">
      <c r="A34" s="41" t="s">
        <v>185</v>
      </c>
      <c r="B34" s="42" t="s">
        <v>222</v>
      </c>
      <c r="C34" s="47"/>
      <c r="D34" s="47"/>
      <c r="E34" s="47"/>
      <c r="F34" s="47"/>
      <c r="G34" s="47"/>
      <c r="H34" s="47"/>
      <c r="I34" s="47"/>
      <c r="J34" s="47"/>
      <c r="K34" s="47"/>
      <c r="L34" s="47"/>
      <c r="M34" s="47"/>
      <c r="N34" s="47"/>
      <c r="O34" s="47"/>
      <c r="P34" s="47"/>
      <c r="Q34" s="47"/>
      <c r="R34" s="50">
        <v>0</v>
      </c>
      <c r="S34" s="51">
        <v>0</v>
      </c>
      <c r="T34" s="51">
        <v>0</v>
      </c>
      <c r="U34" s="51">
        <v>0</v>
      </c>
      <c r="V34" s="51">
        <v>0</v>
      </c>
      <c r="W34" s="51">
        <v>0.33333333333333331</v>
      </c>
      <c r="X34" s="51">
        <v>0.66666666666666663</v>
      </c>
      <c r="Y34" s="50">
        <v>1</v>
      </c>
      <c r="Z34" s="44">
        <v>1</v>
      </c>
      <c r="AA34" s="38">
        <v>15</v>
      </c>
      <c r="AB34" s="420">
        <v>0.6</v>
      </c>
    </row>
    <row r="35" spans="1:28" s="49" customFormat="1">
      <c r="A35" s="45"/>
      <c r="B35" s="46" t="s">
        <v>223</v>
      </c>
      <c r="C35" s="47"/>
      <c r="D35" s="47"/>
      <c r="E35" s="47"/>
      <c r="F35" s="47"/>
      <c r="G35" s="47"/>
      <c r="H35" s="47"/>
      <c r="I35" s="47"/>
      <c r="J35" s="47"/>
      <c r="K35" s="47"/>
      <c r="L35" s="47"/>
      <c r="M35" s="47"/>
      <c r="N35" s="47"/>
      <c r="O35" s="47"/>
      <c r="P35" s="47"/>
      <c r="Q35" s="47"/>
      <c r="R35" s="52">
        <v>0</v>
      </c>
      <c r="S35" s="52">
        <v>0</v>
      </c>
      <c r="T35" s="52">
        <v>0</v>
      </c>
      <c r="U35" s="52">
        <v>0</v>
      </c>
      <c r="V35" s="52">
        <v>0</v>
      </c>
      <c r="W35" s="70">
        <v>0</v>
      </c>
      <c r="X35" s="70">
        <v>0</v>
      </c>
      <c r="Y35" s="70">
        <v>0</v>
      </c>
      <c r="Z35" s="70">
        <v>0</v>
      </c>
      <c r="AB35" s="421"/>
    </row>
    <row r="36" spans="1:28" s="49" customFormat="1">
      <c r="A36" s="45"/>
      <c r="B36" s="46"/>
      <c r="C36" s="48"/>
      <c r="D36" s="422"/>
      <c r="E36" s="422"/>
      <c r="F36" s="422"/>
      <c r="G36" s="83"/>
      <c r="H36" s="83"/>
      <c r="I36" s="83"/>
      <c r="J36" s="83"/>
      <c r="K36" s="83"/>
      <c r="L36" s="48"/>
      <c r="M36" s="48"/>
      <c r="N36" s="83"/>
      <c r="O36" s="83"/>
      <c r="P36" s="48"/>
      <c r="Q36" s="48"/>
      <c r="R36" s="53"/>
      <c r="S36" s="53"/>
      <c r="T36" s="53"/>
      <c r="U36" s="53"/>
      <c r="V36" s="53"/>
      <c r="W36" s="53"/>
      <c r="X36" s="53"/>
      <c r="Y36" s="53"/>
      <c r="Z36" s="48"/>
      <c r="AB36" s="421"/>
    </row>
    <row r="37" spans="1:28">
      <c r="A37" s="41" t="s">
        <v>184</v>
      </c>
      <c r="B37" s="42" t="s">
        <v>226</v>
      </c>
      <c r="C37" s="47"/>
      <c r="D37" s="47"/>
      <c r="E37" s="47"/>
      <c r="F37" s="47"/>
      <c r="G37" s="47"/>
      <c r="H37" s="47"/>
      <c r="I37" s="47"/>
      <c r="J37" s="47"/>
      <c r="K37" s="47"/>
      <c r="L37" s="47"/>
      <c r="M37" s="47"/>
      <c r="N37" s="47"/>
      <c r="O37" s="47"/>
      <c r="P37" s="47"/>
      <c r="Q37" s="47"/>
      <c r="R37" s="50">
        <v>0</v>
      </c>
      <c r="S37" s="51">
        <v>0</v>
      </c>
      <c r="T37" s="51">
        <v>0</v>
      </c>
      <c r="U37" s="51">
        <v>0</v>
      </c>
      <c r="V37" s="51">
        <v>0</v>
      </c>
      <c r="W37" s="51">
        <v>0</v>
      </c>
      <c r="X37" s="51">
        <v>0</v>
      </c>
      <c r="Y37" s="50">
        <v>0</v>
      </c>
      <c r="Z37" s="51">
        <v>0</v>
      </c>
      <c r="AA37" s="38">
        <v>10</v>
      </c>
      <c r="AB37" s="420">
        <v>0.4</v>
      </c>
    </row>
    <row r="38" spans="1:28" s="49" customFormat="1">
      <c r="A38" s="45"/>
      <c r="B38" s="46" t="s">
        <v>227</v>
      </c>
      <c r="C38" s="47"/>
      <c r="D38" s="47"/>
      <c r="E38" s="47"/>
      <c r="F38" s="47"/>
      <c r="G38" s="47"/>
      <c r="H38" s="47"/>
      <c r="I38" s="47"/>
      <c r="J38" s="47"/>
      <c r="K38" s="47"/>
      <c r="L38" s="47"/>
      <c r="M38" s="47"/>
      <c r="N38" s="47"/>
      <c r="O38" s="47"/>
      <c r="P38" s="47"/>
      <c r="Q38" s="47"/>
      <c r="R38" s="52">
        <v>0</v>
      </c>
      <c r="S38" s="52">
        <v>0</v>
      </c>
      <c r="T38" s="52">
        <v>0</v>
      </c>
      <c r="U38" s="52">
        <v>0</v>
      </c>
      <c r="V38" s="52">
        <v>0</v>
      </c>
      <c r="W38" s="70">
        <v>0</v>
      </c>
      <c r="X38" s="70">
        <v>0</v>
      </c>
      <c r="Y38" s="70">
        <v>0</v>
      </c>
      <c r="Z38" s="70">
        <v>0</v>
      </c>
      <c r="AB38" s="421"/>
    </row>
    <row r="39" spans="1:28" s="49" customFormat="1">
      <c r="A39" s="45"/>
      <c r="B39" s="46"/>
      <c r="C39" s="48"/>
      <c r="D39" s="422"/>
      <c r="E39" s="422"/>
      <c r="F39" s="422"/>
      <c r="G39" s="83"/>
      <c r="H39" s="83"/>
      <c r="I39" s="83"/>
      <c r="J39" s="83"/>
      <c r="K39" s="83"/>
      <c r="L39" s="48"/>
      <c r="M39" s="48"/>
      <c r="N39" s="83"/>
      <c r="O39" s="83"/>
      <c r="P39" s="48"/>
      <c r="Q39" s="48"/>
      <c r="R39" s="53"/>
      <c r="S39" s="53"/>
      <c r="T39" s="53"/>
      <c r="U39" s="53"/>
      <c r="V39" s="53"/>
      <c r="W39" s="53"/>
      <c r="X39" s="53"/>
      <c r="Y39" s="53"/>
      <c r="Z39" s="48"/>
      <c r="AB39" s="421"/>
    </row>
    <row r="40" spans="1:28">
      <c r="A40" s="41" t="s">
        <v>183</v>
      </c>
      <c r="B40" s="42" t="s">
        <v>224</v>
      </c>
      <c r="C40" s="47"/>
      <c r="D40" s="47"/>
      <c r="E40" s="47"/>
      <c r="F40" s="47"/>
      <c r="G40" s="47"/>
      <c r="H40" s="47"/>
      <c r="I40" s="47"/>
      <c r="J40" s="47"/>
      <c r="K40" s="47"/>
      <c r="L40" s="47"/>
      <c r="M40" s="47"/>
      <c r="N40" s="47"/>
      <c r="O40" s="47"/>
      <c r="P40" s="47"/>
      <c r="Q40" s="47"/>
      <c r="R40" s="50">
        <v>0</v>
      </c>
      <c r="S40" s="51">
        <v>0</v>
      </c>
      <c r="T40" s="51">
        <v>0</v>
      </c>
      <c r="U40" s="51">
        <v>0</v>
      </c>
      <c r="V40" s="51">
        <v>0</v>
      </c>
      <c r="W40" s="51">
        <v>0</v>
      </c>
      <c r="X40" s="51">
        <v>0</v>
      </c>
      <c r="Y40" s="50">
        <v>0</v>
      </c>
      <c r="Z40" s="44">
        <v>0</v>
      </c>
      <c r="AA40" s="38">
        <v>5</v>
      </c>
      <c r="AB40" s="420">
        <v>0.2</v>
      </c>
    </row>
    <row r="41" spans="1:28" s="49" customFormat="1">
      <c r="A41" s="45"/>
      <c r="B41" s="46" t="s">
        <v>225</v>
      </c>
      <c r="C41" s="47"/>
      <c r="D41" s="47"/>
      <c r="E41" s="47"/>
      <c r="F41" s="47"/>
      <c r="G41" s="47"/>
      <c r="H41" s="47"/>
      <c r="I41" s="47"/>
      <c r="J41" s="47"/>
      <c r="K41" s="47"/>
      <c r="L41" s="47"/>
      <c r="M41" s="47"/>
      <c r="N41" s="47"/>
      <c r="O41" s="47"/>
      <c r="P41" s="47"/>
      <c r="Q41" s="47"/>
      <c r="R41" s="52">
        <v>0</v>
      </c>
      <c r="S41" s="52">
        <v>0</v>
      </c>
      <c r="T41" s="52">
        <v>0</v>
      </c>
      <c r="U41" s="52">
        <v>0</v>
      </c>
      <c r="V41" s="52">
        <v>0</v>
      </c>
      <c r="W41" s="70">
        <v>0</v>
      </c>
      <c r="X41" s="70">
        <v>0</v>
      </c>
      <c r="Y41" s="70">
        <v>0</v>
      </c>
      <c r="Z41" s="70">
        <v>0</v>
      </c>
      <c r="AB41" s="421"/>
    </row>
    <row r="42" spans="1:28" s="49" customFormat="1">
      <c r="A42" s="45"/>
      <c r="B42" s="46"/>
      <c r="C42" s="48"/>
      <c r="D42" s="422"/>
      <c r="E42" s="422"/>
      <c r="F42" s="422"/>
      <c r="G42" s="83"/>
      <c r="H42" s="83"/>
      <c r="I42" s="83"/>
      <c r="J42" s="83"/>
      <c r="K42" s="83"/>
      <c r="L42" s="48"/>
      <c r="M42" s="48"/>
      <c r="N42" s="83"/>
      <c r="O42" s="83"/>
      <c r="P42" s="48"/>
      <c r="Q42" s="48"/>
      <c r="R42" s="53"/>
      <c r="S42" s="48"/>
      <c r="T42" s="48"/>
      <c r="U42" s="48"/>
      <c r="V42" s="48"/>
      <c r="W42" s="48"/>
      <c r="X42" s="48"/>
      <c r="Y42" s="48"/>
      <c r="Z42" s="48"/>
      <c r="AB42" s="421"/>
    </row>
    <row r="43" spans="1:28">
      <c r="A43" s="41" t="s">
        <v>16</v>
      </c>
      <c r="B43" s="42" t="s">
        <v>139</v>
      </c>
      <c r="C43" s="47"/>
      <c r="D43" s="47"/>
      <c r="E43" s="47"/>
      <c r="F43" s="47"/>
      <c r="G43" s="47"/>
      <c r="H43" s="47"/>
      <c r="I43" s="47"/>
      <c r="J43" s="47"/>
      <c r="K43" s="47"/>
      <c r="L43" s="47"/>
      <c r="M43" s="47"/>
      <c r="N43" s="47"/>
      <c r="O43" s="47"/>
      <c r="P43" s="47"/>
      <c r="Q43" s="47"/>
      <c r="R43" s="43">
        <v>1.1000000000000001</v>
      </c>
      <c r="S43" s="44">
        <v>1.1000000000000001</v>
      </c>
      <c r="T43" s="44">
        <v>1.1000000000000001</v>
      </c>
      <c r="U43" s="44">
        <v>1.1000000000000001</v>
      </c>
      <c r="V43" s="44">
        <v>1.1000000000000001</v>
      </c>
      <c r="W43" s="44">
        <v>1.3333333333333335</v>
      </c>
      <c r="X43" s="44">
        <v>1.5666666666666669</v>
      </c>
      <c r="Y43" s="43">
        <v>1.8</v>
      </c>
      <c r="Z43" s="44">
        <v>1.8</v>
      </c>
      <c r="AA43" s="38">
        <v>5</v>
      </c>
      <c r="AB43" s="420">
        <v>0.16</v>
      </c>
    </row>
    <row r="44" spans="1:28" s="49" customFormat="1">
      <c r="A44" s="45"/>
      <c r="B44" s="46" t="s">
        <v>140</v>
      </c>
      <c r="C44" s="47"/>
      <c r="D44" s="47"/>
      <c r="E44" s="47"/>
      <c r="F44" s="47"/>
      <c r="G44" s="47"/>
      <c r="H44" s="47"/>
      <c r="I44" s="47"/>
      <c r="J44" s="47"/>
      <c r="K44" s="47"/>
      <c r="L44" s="47"/>
      <c r="M44" s="47"/>
      <c r="N44" s="47"/>
      <c r="O44" s="47"/>
      <c r="P44" s="47"/>
      <c r="Q44" s="47"/>
      <c r="R44" s="47">
        <v>1.1000000000000001</v>
      </c>
      <c r="S44" s="47">
        <v>1.1000000000000001</v>
      </c>
      <c r="T44" s="47">
        <v>1.1000000000000001</v>
      </c>
      <c r="U44" s="47">
        <v>1.1000000000000001</v>
      </c>
      <c r="V44" s="47">
        <v>1.1000000000000001</v>
      </c>
      <c r="W44" s="69">
        <v>1.1000000000000001</v>
      </c>
      <c r="X44" s="69">
        <v>1.35</v>
      </c>
      <c r="Y44" s="69">
        <v>0</v>
      </c>
      <c r="Z44" s="69">
        <v>0</v>
      </c>
      <c r="AB44" s="421"/>
    </row>
    <row r="45" spans="1:28" s="49" customFormat="1">
      <c r="A45" s="45"/>
      <c r="B45" s="46"/>
      <c r="C45" s="48"/>
      <c r="D45" s="422"/>
      <c r="E45" s="422"/>
      <c r="F45" s="422"/>
      <c r="G45" s="83"/>
      <c r="H45" s="83"/>
      <c r="I45" s="83"/>
      <c r="J45" s="83"/>
      <c r="K45" s="83"/>
      <c r="L45" s="48"/>
      <c r="M45" s="48"/>
      <c r="N45" s="83"/>
      <c r="O45" s="83"/>
      <c r="P45" s="48"/>
      <c r="Q45" s="48"/>
      <c r="R45" s="48"/>
      <c r="S45" s="48"/>
      <c r="T45" s="48"/>
      <c r="U45" s="48"/>
      <c r="V45" s="48"/>
      <c r="W45" s="48"/>
      <c r="X45" s="48"/>
      <c r="Y45" s="48"/>
      <c r="Z45" s="48"/>
      <c r="AB45" s="421"/>
    </row>
    <row r="46" spans="1:28">
      <c r="A46" s="41" t="s">
        <v>17</v>
      </c>
      <c r="B46" s="42" t="s">
        <v>139</v>
      </c>
      <c r="C46" s="47"/>
      <c r="D46" s="47"/>
      <c r="E46" s="47"/>
      <c r="F46" s="47"/>
      <c r="G46" s="47"/>
      <c r="H46" s="47"/>
      <c r="I46" s="47"/>
      <c r="J46" s="47"/>
      <c r="K46" s="47"/>
      <c r="L46" s="47"/>
      <c r="M46" s="47"/>
      <c r="N46" s="47"/>
      <c r="O46" s="47"/>
      <c r="P46" s="47"/>
      <c r="Q46" s="47"/>
      <c r="R46" s="43">
        <v>1</v>
      </c>
      <c r="S46" s="44">
        <v>1</v>
      </c>
      <c r="T46" s="44">
        <v>1</v>
      </c>
      <c r="U46" s="44">
        <v>1</v>
      </c>
      <c r="V46" s="44">
        <v>1</v>
      </c>
      <c r="W46" s="44">
        <v>1.2333333333333334</v>
      </c>
      <c r="X46" s="44">
        <v>1.4666666666666668</v>
      </c>
      <c r="Y46" s="43">
        <v>1.7</v>
      </c>
      <c r="Z46" s="44">
        <v>1.7</v>
      </c>
      <c r="AA46" s="38">
        <v>5</v>
      </c>
      <c r="AB46" s="420">
        <v>0.16</v>
      </c>
    </row>
    <row r="47" spans="1:28" s="49" customFormat="1">
      <c r="A47" s="45"/>
      <c r="B47" s="46" t="s">
        <v>140</v>
      </c>
      <c r="C47" s="47"/>
      <c r="D47" s="47"/>
      <c r="E47" s="47"/>
      <c r="F47" s="47"/>
      <c r="G47" s="47"/>
      <c r="H47" s="47"/>
      <c r="I47" s="47"/>
      <c r="J47" s="47"/>
      <c r="K47" s="47"/>
      <c r="L47" s="47"/>
      <c r="M47" s="47"/>
      <c r="N47" s="47"/>
      <c r="O47" s="47"/>
      <c r="P47" s="47"/>
      <c r="Q47" s="47"/>
      <c r="R47" s="47">
        <v>1</v>
      </c>
      <c r="S47" s="47">
        <v>1</v>
      </c>
      <c r="T47" s="47">
        <v>1</v>
      </c>
      <c r="U47" s="47">
        <v>1</v>
      </c>
      <c r="V47" s="47">
        <v>1</v>
      </c>
      <c r="W47" s="69">
        <v>1</v>
      </c>
      <c r="X47" s="69">
        <v>1.1000000000000001</v>
      </c>
      <c r="Y47" s="69">
        <v>0</v>
      </c>
      <c r="Z47" s="69">
        <v>0</v>
      </c>
      <c r="AB47" s="421"/>
    </row>
    <row r="48" spans="1:28" s="49" customFormat="1">
      <c r="A48" s="45"/>
      <c r="B48" s="46"/>
      <c r="C48" s="48"/>
      <c r="D48" s="422"/>
      <c r="E48" s="422"/>
      <c r="F48" s="422"/>
      <c r="G48" s="83"/>
      <c r="H48" s="83"/>
      <c r="I48" s="83"/>
      <c r="J48" s="83"/>
      <c r="K48" s="83"/>
      <c r="L48" s="48"/>
      <c r="M48" s="48"/>
      <c r="N48" s="83"/>
      <c r="O48" s="83"/>
      <c r="P48" s="48"/>
      <c r="Q48" s="48"/>
      <c r="R48" s="53"/>
      <c r="S48" s="48"/>
      <c r="T48" s="48"/>
      <c r="U48" s="48"/>
      <c r="V48" s="48"/>
      <c r="W48" s="48"/>
      <c r="X48" s="48"/>
      <c r="Y48" s="48"/>
      <c r="Z48" s="48"/>
      <c r="AB48" s="421"/>
    </row>
    <row r="49" spans="1:28">
      <c r="A49" s="41" t="s">
        <v>18</v>
      </c>
      <c r="B49" s="42" t="s">
        <v>139</v>
      </c>
      <c r="C49" s="47"/>
      <c r="D49" s="47"/>
      <c r="E49" s="47"/>
      <c r="F49" s="47"/>
      <c r="G49" s="47"/>
      <c r="H49" s="47"/>
      <c r="I49" s="47"/>
      <c r="J49" s="47"/>
      <c r="K49" s="47"/>
      <c r="L49" s="47"/>
      <c r="M49" s="47"/>
      <c r="N49" s="47"/>
      <c r="O49" s="47"/>
      <c r="P49" s="47"/>
      <c r="Q49" s="47"/>
      <c r="R49" s="50">
        <v>0</v>
      </c>
      <c r="S49" s="51">
        <v>0</v>
      </c>
      <c r="T49" s="51">
        <v>0</v>
      </c>
      <c r="U49" s="51">
        <v>0</v>
      </c>
      <c r="V49" s="51">
        <v>0</v>
      </c>
      <c r="W49" s="51">
        <v>0</v>
      </c>
      <c r="X49" s="51">
        <v>0</v>
      </c>
      <c r="Y49" s="50">
        <v>0</v>
      </c>
      <c r="Z49" s="51">
        <v>0</v>
      </c>
      <c r="AA49" s="38">
        <v>10</v>
      </c>
      <c r="AB49" s="420">
        <v>0.4</v>
      </c>
    </row>
    <row r="50" spans="1:28" s="49" customFormat="1">
      <c r="A50" s="45"/>
      <c r="B50" s="46" t="s">
        <v>140</v>
      </c>
      <c r="C50" s="47"/>
      <c r="D50" s="47"/>
      <c r="E50" s="47"/>
      <c r="F50" s="47"/>
      <c r="G50" s="47"/>
      <c r="H50" s="47"/>
      <c r="I50" s="47"/>
      <c r="J50" s="47"/>
      <c r="K50" s="47"/>
      <c r="L50" s="47"/>
      <c r="M50" s="47"/>
      <c r="N50" s="47"/>
      <c r="O50" s="47"/>
      <c r="P50" s="47"/>
      <c r="Q50" s="47"/>
      <c r="R50" s="52">
        <v>0</v>
      </c>
      <c r="S50" s="52">
        <v>0</v>
      </c>
      <c r="T50" s="52">
        <v>0</v>
      </c>
      <c r="U50" s="52">
        <v>0</v>
      </c>
      <c r="V50" s="52">
        <v>0</v>
      </c>
      <c r="W50" s="70">
        <v>0</v>
      </c>
      <c r="X50" s="70">
        <v>2</v>
      </c>
      <c r="Y50" s="70">
        <v>0</v>
      </c>
      <c r="Z50" s="70">
        <v>0</v>
      </c>
      <c r="AB50" s="421"/>
    </row>
    <row r="51" spans="1:28" s="49" customFormat="1">
      <c r="A51" s="45"/>
      <c r="B51" s="46"/>
      <c r="C51" s="48"/>
      <c r="D51" s="422"/>
      <c r="E51" s="422"/>
      <c r="F51" s="422"/>
      <c r="G51" s="83"/>
      <c r="H51" s="83"/>
      <c r="I51" s="83"/>
      <c r="J51" s="83"/>
      <c r="K51" s="83"/>
      <c r="L51" s="48"/>
      <c r="M51" s="48"/>
      <c r="N51" s="83"/>
      <c r="O51" s="83"/>
      <c r="P51" s="48"/>
      <c r="Q51" s="48"/>
      <c r="R51" s="53"/>
      <c r="S51" s="48"/>
      <c r="T51" s="48"/>
      <c r="U51" s="48"/>
      <c r="V51" s="48"/>
      <c r="W51" s="48"/>
      <c r="X51" s="48"/>
      <c r="Y51" s="48"/>
      <c r="Z51" s="48"/>
      <c r="AB51" s="421"/>
    </row>
    <row r="52" spans="1:28">
      <c r="A52" s="41" t="s">
        <v>19</v>
      </c>
      <c r="B52" s="42" t="s">
        <v>139</v>
      </c>
      <c r="C52" s="47"/>
      <c r="D52" s="47"/>
      <c r="E52" s="47"/>
      <c r="F52" s="47"/>
      <c r="G52" s="47"/>
      <c r="H52" s="47"/>
      <c r="I52" s="47"/>
      <c r="J52" s="47"/>
      <c r="K52" s="47"/>
      <c r="L52" s="47"/>
      <c r="M52" s="47"/>
      <c r="N52" s="47"/>
      <c r="O52" s="47"/>
      <c r="P52" s="47"/>
      <c r="Q52" s="47"/>
      <c r="R52" s="43">
        <v>1.1000000000000001</v>
      </c>
      <c r="S52" s="44">
        <v>1.1000000000000001</v>
      </c>
      <c r="T52" s="44">
        <v>1.1000000000000001</v>
      </c>
      <c r="U52" s="44">
        <v>1.1000000000000001</v>
      </c>
      <c r="V52" s="44">
        <v>1.1000000000000001</v>
      </c>
      <c r="W52" s="44">
        <v>1.3333333333333335</v>
      </c>
      <c r="X52" s="44">
        <v>1.5666666666666669</v>
      </c>
      <c r="Y52" s="43">
        <v>1.8</v>
      </c>
      <c r="Z52" s="44">
        <v>1.8</v>
      </c>
      <c r="AA52" s="38">
        <v>5</v>
      </c>
      <c r="AB52" s="420">
        <v>0.16</v>
      </c>
    </row>
    <row r="53" spans="1:28" s="49" customFormat="1">
      <c r="A53" s="45"/>
      <c r="B53" s="46" t="s">
        <v>140</v>
      </c>
      <c r="C53" s="47"/>
      <c r="D53" s="47"/>
      <c r="E53" s="47"/>
      <c r="F53" s="47"/>
      <c r="G53" s="47"/>
      <c r="H53" s="47"/>
      <c r="I53" s="47"/>
      <c r="J53" s="47"/>
      <c r="K53" s="47"/>
      <c r="L53" s="47"/>
      <c r="M53" s="47"/>
      <c r="N53" s="47"/>
      <c r="O53" s="47"/>
      <c r="P53" s="47"/>
      <c r="Q53" s="47"/>
      <c r="R53" s="47">
        <v>1.1000000000000001</v>
      </c>
      <c r="S53" s="47">
        <v>1.1000000000000001</v>
      </c>
      <c r="T53" s="47">
        <v>1.1000000000000001</v>
      </c>
      <c r="U53" s="47">
        <v>1.1000000000000001</v>
      </c>
      <c r="V53" s="47">
        <v>1.1000000000000001</v>
      </c>
      <c r="W53" s="69">
        <v>1.1000000000000001</v>
      </c>
      <c r="X53" s="69">
        <v>1.6</v>
      </c>
      <c r="Y53" s="69">
        <v>0</v>
      </c>
      <c r="Z53" s="69">
        <v>0</v>
      </c>
      <c r="AB53" s="421"/>
    </row>
    <row r="54" spans="1:28" s="49" customFormat="1">
      <c r="A54" s="45"/>
      <c r="B54" s="46"/>
      <c r="C54" s="48"/>
      <c r="D54" s="422"/>
      <c r="E54" s="422"/>
      <c r="F54" s="422"/>
      <c r="G54" s="83"/>
      <c r="H54" s="83"/>
      <c r="I54" s="83"/>
      <c r="J54" s="83"/>
      <c r="K54" s="83"/>
      <c r="L54" s="48"/>
      <c r="M54" s="48"/>
      <c r="N54" s="83"/>
      <c r="O54" s="83"/>
      <c r="P54" s="48"/>
      <c r="Q54" s="48"/>
      <c r="R54" s="48"/>
      <c r="S54" s="48"/>
      <c r="T54" s="48"/>
      <c r="U54" s="48"/>
      <c r="V54" s="48"/>
      <c r="W54" s="48"/>
      <c r="X54" s="48"/>
      <c r="Y54" s="48"/>
      <c r="Z54" s="48"/>
      <c r="AB54" s="421"/>
    </row>
    <row r="55" spans="1:28">
      <c r="A55" s="41" t="s">
        <v>20</v>
      </c>
      <c r="B55" s="42" t="s">
        <v>139</v>
      </c>
      <c r="C55" s="47"/>
      <c r="D55" s="47"/>
      <c r="E55" s="47"/>
      <c r="F55" s="47"/>
      <c r="G55" s="47"/>
      <c r="H55" s="47"/>
      <c r="I55" s="47"/>
      <c r="J55" s="47"/>
      <c r="K55" s="47"/>
      <c r="L55" s="47"/>
      <c r="M55" s="47"/>
      <c r="N55" s="47"/>
      <c r="O55" s="47"/>
      <c r="P55" s="47"/>
      <c r="Q55" s="47"/>
      <c r="R55" s="43">
        <v>1</v>
      </c>
      <c r="S55" s="44">
        <v>1</v>
      </c>
      <c r="T55" s="44">
        <v>1</v>
      </c>
      <c r="U55" s="44">
        <v>1</v>
      </c>
      <c r="V55" s="44">
        <v>1</v>
      </c>
      <c r="W55" s="44">
        <v>1.2333333333333334</v>
      </c>
      <c r="X55" s="44">
        <v>1.4666666666666668</v>
      </c>
      <c r="Y55" s="43">
        <v>1.7</v>
      </c>
      <c r="Z55" s="44">
        <v>1.7</v>
      </c>
      <c r="AA55" s="38">
        <v>5</v>
      </c>
      <c r="AB55" s="420">
        <v>0.16</v>
      </c>
    </row>
    <row r="56" spans="1:28" s="49" customFormat="1">
      <c r="A56" s="45"/>
      <c r="B56" s="46" t="s">
        <v>140</v>
      </c>
      <c r="C56" s="47"/>
      <c r="D56" s="47"/>
      <c r="E56" s="47"/>
      <c r="F56" s="47"/>
      <c r="G56" s="47"/>
      <c r="H56" s="47"/>
      <c r="I56" s="47"/>
      <c r="J56" s="47"/>
      <c r="K56" s="47"/>
      <c r="L56" s="47"/>
      <c r="M56" s="47"/>
      <c r="N56" s="47"/>
      <c r="O56" s="47"/>
      <c r="P56" s="47"/>
      <c r="Q56" s="47"/>
      <c r="R56" s="47">
        <v>1</v>
      </c>
      <c r="S56" s="47">
        <v>1</v>
      </c>
      <c r="T56" s="47">
        <v>1</v>
      </c>
      <c r="U56" s="47">
        <v>1</v>
      </c>
      <c r="V56" s="47">
        <v>1</v>
      </c>
      <c r="W56" s="69">
        <v>1</v>
      </c>
      <c r="X56" s="69">
        <v>1.2</v>
      </c>
      <c r="Y56" s="69">
        <v>0</v>
      </c>
      <c r="Z56" s="69">
        <v>0</v>
      </c>
      <c r="AB56" s="421"/>
    </row>
    <row r="57" spans="1:28" s="49" customFormat="1">
      <c r="A57" s="45"/>
      <c r="B57" s="46"/>
      <c r="C57" s="48"/>
      <c r="D57" s="422"/>
      <c r="E57" s="422"/>
      <c r="F57" s="422"/>
      <c r="G57" s="83"/>
      <c r="H57" s="83"/>
      <c r="I57" s="83"/>
      <c r="J57" s="83"/>
      <c r="K57" s="83"/>
      <c r="L57" s="48"/>
      <c r="M57" s="48"/>
      <c r="N57" s="83"/>
      <c r="O57" s="83"/>
      <c r="P57" s="48"/>
      <c r="Q57" s="48"/>
      <c r="R57" s="53"/>
      <c r="S57" s="48"/>
      <c r="T57" s="48"/>
      <c r="U57" s="48"/>
      <c r="V57" s="48"/>
      <c r="W57" s="48"/>
      <c r="X57" s="48"/>
      <c r="Y57" s="48"/>
      <c r="Z57" s="48"/>
      <c r="AB57" s="421"/>
    </row>
    <row r="58" spans="1:28">
      <c r="A58" s="41" t="s">
        <v>21</v>
      </c>
      <c r="B58" s="42" t="s">
        <v>139</v>
      </c>
      <c r="C58" s="47"/>
      <c r="D58" s="47"/>
      <c r="E58" s="47"/>
      <c r="F58" s="47"/>
      <c r="G58" s="47"/>
      <c r="H58" s="47"/>
      <c r="I58" s="47"/>
      <c r="J58" s="47"/>
      <c r="K58" s="47"/>
      <c r="L58" s="47"/>
      <c r="M58" s="47"/>
      <c r="N58" s="47"/>
      <c r="O58" s="47"/>
      <c r="P58" s="47"/>
      <c r="Q58" s="47"/>
      <c r="R58" s="50">
        <v>0</v>
      </c>
      <c r="S58" s="51">
        <v>0</v>
      </c>
      <c r="T58" s="51">
        <v>0</v>
      </c>
      <c r="U58" s="51">
        <v>0</v>
      </c>
      <c r="V58" s="51">
        <v>0</v>
      </c>
      <c r="W58" s="51">
        <v>0</v>
      </c>
      <c r="X58" s="51">
        <v>0</v>
      </c>
      <c r="Y58" s="50">
        <v>0</v>
      </c>
      <c r="Z58" s="51">
        <v>0</v>
      </c>
      <c r="AA58" s="38">
        <v>10</v>
      </c>
      <c r="AB58" s="420">
        <v>0.4</v>
      </c>
    </row>
    <row r="59" spans="1:28" s="49" customFormat="1">
      <c r="A59" s="45"/>
      <c r="B59" s="46" t="s">
        <v>140</v>
      </c>
      <c r="C59" s="47"/>
      <c r="D59" s="47"/>
      <c r="E59" s="47"/>
      <c r="F59" s="47"/>
      <c r="G59" s="47"/>
      <c r="H59" s="47"/>
      <c r="I59" s="47"/>
      <c r="J59" s="47"/>
      <c r="K59" s="47"/>
      <c r="L59" s="47"/>
      <c r="M59" s="47"/>
      <c r="N59" s="47"/>
      <c r="O59" s="47"/>
      <c r="P59" s="47"/>
      <c r="Q59" s="47"/>
      <c r="R59" s="52">
        <v>0</v>
      </c>
      <c r="S59" s="52">
        <v>0</v>
      </c>
      <c r="T59" s="52">
        <v>0</v>
      </c>
      <c r="U59" s="52">
        <v>0</v>
      </c>
      <c r="V59" s="52">
        <v>0</v>
      </c>
      <c r="W59" s="70">
        <v>0</v>
      </c>
      <c r="X59" s="70">
        <v>0</v>
      </c>
      <c r="Y59" s="70">
        <v>0</v>
      </c>
      <c r="Z59" s="70">
        <v>0</v>
      </c>
      <c r="AB59" s="421"/>
    </row>
    <row r="60" spans="1:28" s="49" customFormat="1">
      <c r="A60" s="45"/>
      <c r="B60" s="46"/>
      <c r="C60" s="48"/>
      <c r="D60" s="422"/>
      <c r="E60" s="422"/>
      <c r="F60" s="422"/>
      <c r="G60" s="83"/>
      <c r="H60" s="83"/>
      <c r="I60" s="83"/>
      <c r="J60" s="83"/>
      <c r="K60" s="83"/>
      <c r="L60" s="48"/>
      <c r="M60" s="48"/>
      <c r="N60" s="83"/>
      <c r="O60" s="83"/>
      <c r="P60" s="48"/>
      <c r="Q60" s="48"/>
      <c r="R60" s="53"/>
      <c r="S60" s="48"/>
      <c r="T60" s="48"/>
      <c r="U60" s="48"/>
      <c r="V60" s="48"/>
      <c r="W60" s="48"/>
      <c r="X60" s="48"/>
      <c r="Y60" s="48"/>
      <c r="Z60" s="53"/>
      <c r="AB60" s="421"/>
    </row>
    <row r="61" spans="1:28">
      <c r="A61" s="41" t="s">
        <v>166</v>
      </c>
      <c r="B61" s="42" t="s">
        <v>202</v>
      </c>
      <c r="C61" s="47"/>
      <c r="D61" s="47"/>
      <c r="E61" s="47"/>
      <c r="F61" s="47"/>
      <c r="G61" s="47"/>
      <c r="H61" s="47"/>
      <c r="I61" s="47"/>
      <c r="J61" s="47"/>
      <c r="K61" s="47"/>
      <c r="L61" s="47"/>
      <c r="M61" s="47"/>
      <c r="N61" s="47"/>
      <c r="O61" s="47"/>
      <c r="P61" s="47"/>
      <c r="Q61" s="47"/>
      <c r="R61" s="50">
        <v>4</v>
      </c>
      <c r="S61" s="51">
        <v>4</v>
      </c>
      <c r="T61" s="51">
        <v>4</v>
      </c>
      <c r="U61" s="51">
        <v>4</v>
      </c>
      <c r="V61" s="51">
        <v>4</v>
      </c>
      <c r="W61" s="51">
        <v>4</v>
      </c>
      <c r="X61" s="51">
        <v>4</v>
      </c>
      <c r="Y61" s="50">
        <v>4</v>
      </c>
      <c r="Z61" s="51">
        <v>4</v>
      </c>
      <c r="AA61" s="38">
        <v>20</v>
      </c>
      <c r="AB61" s="420">
        <v>0.8</v>
      </c>
    </row>
    <row r="62" spans="1:28" s="49" customFormat="1">
      <c r="A62" s="45"/>
      <c r="B62" s="46" t="s">
        <v>203</v>
      </c>
      <c r="C62" s="47"/>
      <c r="D62" s="47"/>
      <c r="E62" s="47"/>
      <c r="F62" s="47"/>
      <c r="G62" s="47"/>
      <c r="H62" s="47"/>
      <c r="I62" s="47"/>
      <c r="J62" s="47"/>
      <c r="K62" s="47"/>
      <c r="L62" s="47"/>
      <c r="M62" s="47"/>
      <c r="N62" s="47"/>
      <c r="O62" s="47"/>
      <c r="P62" s="47"/>
      <c r="Q62" s="47"/>
      <c r="R62" s="52">
        <v>4</v>
      </c>
      <c r="S62" s="52">
        <v>4</v>
      </c>
      <c r="T62" s="52">
        <v>4</v>
      </c>
      <c r="U62" s="52">
        <v>4</v>
      </c>
      <c r="V62" s="52">
        <v>4</v>
      </c>
      <c r="W62" s="70">
        <v>4</v>
      </c>
      <c r="X62" s="70">
        <v>4</v>
      </c>
      <c r="Y62" s="70">
        <v>0</v>
      </c>
      <c r="Z62" s="70">
        <v>0</v>
      </c>
      <c r="AB62" s="421"/>
    </row>
    <row r="63" spans="1:28" s="49" customFormat="1">
      <c r="A63" s="45"/>
      <c r="B63" s="46"/>
      <c r="C63" s="48"/>
      <c r="D63" s="422"/>
      <c r="E63" s="422"/>
      <c r="F63" s="422"/>
      <c r="G63" s="83"/>
      <c r="H63" s="83"/>
      <c r="I63" s="83"/>
      <c r="J63" s="83"/>
      <c r="K63" s="83"/>
      <c r="L63" s="48"/>
      <c r="M63" s="48"/>
      <c r="N63" s="83"/>
      <c r="O63" s="83"/>
      <c r="P63" s="48"/>
      <c r="Q63" s="48"/>
      <c r="R63" s="53"/>
      <c r="S63" s="53"/>
      <c r="T63" s="53"/>
      <c r="U63" s="53"/>
      <c r="V63" s="53"/>
      <c r="W63" s="53"/>
      <c r="X63" s="53"/>
      <c r="Y63" s="53"/>
      <c r="Z63" s="53"/>
      <c r="AB63" s="421"/>
    </row>
    <row r="64" spans="1:28">
      <c r="A64" s="41" t="s">
        <v>167</v>
      </c>
      <c r="B64" s="42" t="s">
        <v>213</v>
      </c>
      <c r="C64" s="47"/>
      <c r="D64" s="47"/>
      <c r="E64" s="47"/>
      <c r="F64" s="47"/>
      <c r="G64" s="47"/>
      <c r="H64" s="47"/>
      <c r="I64" s="47"/>
      <c r="J64" s="47"/>
      <c r="K64" s="47"/>
      <c r="L64" s="47"/>
      <c r="M64" s="47"/>
      <c r="N64" s="47"/>
      <c r="O64" s="47"/>
      <c r="P64" s="47"/>
      <c r="Q64" s="47"/>
      <c r="R64" s="50">
        <v>0</v>
      </c>
      <c r="S64" s="51">
        <v>0</v>
      </c>
      <c r="T64" s="51">
        <v>0</v>
      </c>
      <c r="U64" s="51">
        <v>0</v>
      </c>
      <c r="V64" s="51">
        <v>0</v>
      </c>
      <c r="W64" s="51">
        <v>0.33333333333333331</v>
      </c>
      <c r="X64" s="51">
        <v>0.66666666666666663</v>
      </c>
      <c r="Y64" s="50">
        <v>1</v>
      </c>
      <c r="Z64" s="51">
        <v>1</v>
      </c>
      <c r="AA64" s="38">
        <v>20</v>
      </c>
      <c r="AB64" s="420">
        <v>0.8</v>
      </c>
    </row>
    <row r="65" spans="1:28" s="49" customFormat="1">
      <c r="A65" s="45"/>
      <c r="B65" s="46" t="s">
        <v>212</v>
      </c>
      <c r="C65" s="47"/>
      <c r="D65" s="47"/>
      <c r="E65" s="47"/>
      <c r="F65" s="47"/>
      <c r="G65" s="47"/>
      <c r="H65" s="47"/>
      <c r="I65" s="47"/>
      <c r="J65" s="47"/>
      <c r="K65" s="47"/>
      <c r="L65" s="47"/>
      <c r="M65" s="47"/>
      <c r="N65" s="47"/>
      <c r="O65" s="47"/>
      <c r="P65" s="47"/>
      <c r="Q65" s="47"/>
      <c r="R65" s="52">
        <v>0</v>
      </c>
      <c r="S65" s="52">
        <v>0</v>
      </c>
      <c r="T65" s="52">
        <v>0</v>
      </c>
      <c r="U65" s="52">
        <v>0</v>
      </c>
      <c r="V65" s="52">
        <v>0</v>
      </c>
      <c r="W65" s="70">
        <v>0</v>
      </c>
      <c r="X65" s="70">
        <v>2</v>
      </c>
      <c r="Y65" s="70">
        <v>0</v>
      </c>
      <c r="Z65" s="70">
        <v>0</v>
      </c>
      <c r="AB65" s="421"/>
    </row>
    <row r="66" spans="1:28" s="49" customFormat="1">
      <c r="A66" s="45"/>
      <c r="B66" s="46"/>
      <c r="C66" s="48"/>
      <c r="D66" s="422"/>
      <c r="E66" s="422"/>
      <c r="F66" s="422"/>
      <c r="G66" s="83"/>
      <c r="H66" s="83"/>
      <c r="I66" s="83"/>
      <c r="J66" s="83"/>
      <c r="K66" s="83"/>
      <c r="L66" s="48"/>
      <c r="M66" s="48"/>
      <c r="N66" s="83"/>
      <c r="O66" s="83"/>
      <c r="P66" s="48"/>
      <c r="Q66" s="48"/>
      <c r="R66" s="53"/>
      <c r="S66" s="53"/>
      <c r="T66" s="53"/>
      <c r="U66" s="53"/>
      <c r="V66" s="53"/>
      <c r="W66" s="53"/>
      <c r="X66" s="53"/>
      <c r="Y66" s="53"/>
      <c r="Z66" s="53"/>
      <c r="AB66" s="421"/>
    </row>
    <row r="67" spans="1:28">
      <c r="A67" s="41" t="s">
        <v>168</v>
      </c>
      <c r="B67" s="42" t="s">
        <v>211</v>
      </c>
      <c r="C67" s="47"/>
      <c r="D67" s="47"/>
      <c r="E67" s="47"/>
      <c r="F67" s="47"/>
      <c r="G67" s="47"/>
      <c r="H67" s="47"/>
      <c r="I67" s="47"/>
      <c r="J67" s="47"/>
      <c r="K67" s="47"/>
      <c r="L67" s="47"/>
      <c r="M67" s="47"/>
      <c r="N67" s="47"/>
      <c r="O67" s="47"/>
      <c r="P67" s="47"/>
      <c r="Q67" s="47"/>
      <c r="R67" s="50">
        <v>0</v>
      </c>
      <c r="S67" s="51">
        <v>0</v>
      </c>
      <c r="T67" s="51">
        <v>0</v>
      </c>
      <c r="U67" s="51">
        <v>0</v>
      </c>
      <c r="V67" s="51">
        <v>0</v>
      </c>
      <c r="W67" s="51">
        <v>0.33333333333333331</v>
      </c>
      <c r="X67" s="51">
        <v>0.66666666666666663</v>
      </c>
      <c r="Y67" s="50">
        <v>1</v>
      </c>
      <c r="Z67" s="51">
        <v>1</v>
      </c>
      <c r="AA67" s="38">
        <v>20</v>
      </c>
      <c r="AB67" s="420">
        <v>0.8</v>
      </c>
    </row>
    <row r="68" spans="1:28" s="49" customFormat="1">
      <c r="A68" s="45"/>
      <c r="B68" s="46" t="s">
        <v>210</v>
      </c>
      <c r="C68" s="47"/>
      <c r="D68" s="47"/>
      <c r="E68" s="47"/>
      <c r="F68" s="47"/>
      <c r="G68" s="47"/>
      <c r="H68" s="47"/>
      <c r="I68" s="47"/>
      <c r="J68" s="47"/>
      <c r="K68" s="47"/>
      <c r="L68" s="47"/>
      <c r="M68" s="47"/>
      <c r="N68" s="47"/>
      <c r="O68" s="47"/>
      <c r="P68" s="47"/>
      <c r="Q68" s="47"/>
      <c r="R68" s="52">
        <v>0</v>
      </c>
      <c r="S68" s="52">
        <v>0</v>
      </c>
      <c r="T68" s="52">
        <v>0</v>
      </c>
      <c r="U68" s="52">
        <v>0</v>
      </c>
      <c r="V68" s="52">
        <v>0</v>
      </c>
      <c r="W68" s="70">
        <v>0</v>
      </c>
      <c r="X68" s="70">
        <v>0</v>
      </c>
      <c r="Y68" s="70">
        <v>0</v>
      </c>
      <c r="Z68" s="70">
        <v>0</v>
      </c>
      <c r="AB68" s="421"/>
    </row>
    <row r="69" spans="1:28" s="49" customFormat="1">
      <c r="A69" s="45"/>
      <c r="B69" s="46"/>
      <c r="C69" s="48"/>
      <c r="D69" s="422"/>
      <c r="E69" s="422"/>
      <c r="F69" s="422"/>
      <c r="G69" s="83"/>
      <c r="H69" s="83"/>
      <c r="I69" s="83"/>
      <c r="J69" s="83"/>
      <c r="K69" s="83"/>
      <c r="L69" s="48"/>
      <c r="M69" s="48"/>
      <c r="N69" s="83"/>
      <c r="O69" s="83"/>
      <c r="P69" s="48"/>
      <c r="Q69" s="48"/>
      <c r="R69" s="53"/>
      <c r="S69" s="53"/>
      <c r="T69" s="53"/>
      <c r="U69" s="53"/>
      <c r="V69" s="53"/>
      <c r="W69" s="53"/>
      <c r="X69" s="53"/>
      <c r="Y69" s="53"/>
      <c r="Z69" s="53"/>
      <c r="AB69" s="421"/>
    </row>
    <row r="70" spans="1:28">
      <c r="A70" s="41" t="s">
        <v>169</v>
      </c>
      <c r="B70" s="42" t="s">
        <v>209</v>
      </c>
      <c r="C70" s="47"/>
      <c r="D70" s="47"/>
      <c r="E70" s="47"/>
      <c r="F70" s="47"/>
      <c r="G70" s="47"/>
      <c r="H70" s="47"/>
      <c r="I70" s="47"/>
      <c r="J70" s="47"/>
      <c r="K70" s="47"/>
      <c r="L70" s="47"/>
      <c r="M70" s="47"/>
      <c r="N70" s="47"/>
      <c r="O70" s="47"/>
      <c r="P70" s="47"/>
      <c r="Q70" s="47"/>
      <c r="R70" s="50">
        <v>0</v>
      </c>
      <c r="S70" s="51">
        <v>0</v>
      </c>
      <c r="T70" s="51">
        <v>0</v>
      </c>
      <c r="U70" s="51">
        <v>0</v>
      </c>
      <c r="V70" s="51">
        <v>0</v>
      </c>
      <c r="W70" s="51">
        <v>0</v>
      </c>
      <c r="X70" s="51">
        <v>0</v>
      </c>
      <c r="Y70" s="50">
        <v>0</v>
      </c>
      <c r="Z70" s="51">
        <v>0</v>
      </c>
      <c r="AA70" s="38">
        <v>20</v>
      </c>
      <c r="AB70" s="420">
        <v>0.8</v>
      </c>
    </row>
    <row r="71" spans="1:28" s="49" customFormat="1">
      <c r="A71" s="45"/>
      <c r="B71" s="46" t="s">
        <v>208</v>
      </c>
      <c r="C71" s="47"/>
      <c r="D71" s="47"/>
      <c r="E71" s="47"/>
      <c r="F71" s="47"/>
      <c r="G71" s="47"/>
      <c r="H71" s="47"/>
      <c r="I71" s="47"/>
      <c r="J71" s="47"/>
      <c r="K71" s="47"/>
      <c r="L71" s="47"/>
      <c r="M71" s="47"/>
      <c r="N71" s="47"/>
      <c r="O71" s="47"/>
      <c r="P71" s="47"/>
      <c r="Q71" s="47"/>
      <c r="R71" s="52">
        <v>0</v>
      </c>
      <c r="S71" s="52">
        <v>0</v>
      </c>
      <c r="T71" s="52">
        <v>0</v>
      </c>
      <c r="U71" s="52">
        <v>0</v>
      </c>
      <c r="V71" s="52">
        <v>0</v>
      </c>
      <c r="W71" s="70">
        <v>0</v>
      </c>
      <c r="X71" s="70">
        <v>0</v>
      </c>
      <c r="Y71" s="70">
        <v>0</v>
      </c>
      <c r="Z71" s="70">
        <v>0</v>
      </c>
      <c r="AB71" s="421"/>
    </row>
    <row r="72" spans="1:28" s="49" customFormat="1">
      <c r="A72" s="45"/>
      <c r="B72" s="46"/>
      <c r="C72" s="48"/>
      <c r="D72" s="422"/>
      <c r="E72" s="422"/>
      <c r="F72" s="422"/>
      <c r="G72" s="83"/>
      <c r="H72" s="83"/>
      <c r="I72" s="83"/>
      <c r="J72" s="83"/>
      <c r="K72" s="83"/>
      <c r="L72" s="48"/>
      <c r="M72" s="48"/>
      <c r="N72" s="83"/>
      <c r="O72" s="83"/>
      <c r="P72" s="48"/>
      <c r="Q72" s="48"/>
      <c r="R72" s="53"/>
      <c r="S72" s="53"/>
      <c r="T72" s="53"/>
      <c r="U72" s="53"/>
      <c r="V72" s="53"/>
      <c r="W72" s="53"/>
      <c r="X72" s="53"/>
      <c r="Y72" s="53"/>
      <c r="Z72" s="53"/>
      <c r="AB72" s="421"/>
    </row>
    <row r="73" spans="1:28">
      <c r="A73" s="41" t="s">
        <v>162</v>
      </c>
      <c r="B73" s="42" t="s">
        <v>202</v>
      </c>
      <c r="C73" s="47"/>
      <c r="D73" s="47"/>
      <c r="E73" s="47"/>
      <c r="F73" s="47"/>
      <c r="G73" s="47"/>
      <c r="H73" s="47"/>
      <c r="I73" s="47"/>
      <c r="J73" s="47"/>
      <c r="K73" s="47"/>
      <c r="L73" s="47"/>
      <c r="M73" s="47"/>
      <c r="N73" s="47"/>
      <c r="O73" s="47"/>
      <c r="P73" s="47"/>
      <c r="Q73" s="47"/>
      <c r="R73" s="50">
        <v>2</v>
      </c>
      <c r="S73" s="51">
        <v>2</v>
      </c>
      <c r="T73" s="51">
        <v>2</v>
      </c>
      <c r="U73" s="51">
        <v>2</v>
      </c>
      <c r="V73" s="51">
        <v>2</v>
      </c>
      <c r="W73" s="51">
        <v>2.6666666666666665</v>
      </c>
      <c r="X73" s="51">
        <v>3.333333333333333</v>
      </c>
      <c r="Y73" s="50">
        <v>4</v>
      </c>
      <c r="Z73" s="51">
        <v>4</v>
      </c>
      <c r="AA73" s="38">
        <v>20</v>
      </c>
      <c r="AB73" s="420">
        <v>0.8</v>
      </c>
    </row>
    <row r="74" spans="1:28" s="49" customFormat="1">
      <c r="A74" s="45"/>
      <c r="B74" s="46" t="s">
        <v>203</v>
      </c>
      <c r="C74" s="47"/>
      <c r="D74" s="47"/>
      <c r="E74" s="47"/>
      <c r="F74" s="47"/>
      <c r="G74" s="47"/>
      <c r="H74" s="47"/>
      <c r="I74" s="47"/>
      <c r="J74" s="47"/>
      <c r="K74" s="47"/>
      <c r="L74" s="47"/>
      <c r="M74" s="47"/>
      <c r="N74" s="47"/>
      <c r="O74" s="47"/>
      <c r="P74" s="47"/>
      <c r="Q74" s="47"/>
      <c r="R74" s="52">
        <v>2</v>
      </c>
      <c r="S74" s="52">
        <v>2</v>
      </c>
      <c r="T74" s="52">
        <v>2</v>
      </c>
      <c r="U74" s="52">
        <v>2</v>
      </c>
      <c r="V74" s="52">
        <v>2</v>
      </c>
      <c r="W74" s="70">
        <v>3</v>
      </c>
      <c r="X74" s="70">
        <v>3</v>
      </c>
      <c r="Y74" s="70">
        <v>0</v>
      </c>
      <c r="Z74" s="70">
        <v>0</v>
      </c>
      <c r="AB74" s="421"/>
    </row>
    <row r="75" spans="1:28" s="49" customFormat="1">
      <c r="A75" s="45"/>
      <c r="B75" s="46"/>
      <c r="C75" s="48"/>
      <c r="D75" s="422"/>
      <c r="E75" s="422"/>
      <c r="F75" s="422"/>
      <c r="G75" s="83"/>
      <c r="H75" s="83"/>
      <c r="I75" s="83"/>
      <c r="J75" s="83"/>
      <c r="K75" s="83"/>
      <c r="L75" s="48"/>
      <c r="M75" s="48"/>
      <c r="N75" s="83"/>
      <c r="O75" s="83"/>
      <c r="P75" s="48"/>
      <c r="Q75" s="48"/>
      <c r="R75" s="53"/>
      <c r="S75" s="53"/>
      <c r="T75" s="53"/>
      <c r="U75" s="53"/>
      <c r="V75" s="53"/>
      <c r="W75" s="53"/>
      <c r="X75" s="53"/>
      <c r="Y75" s="53"/>
      <c r="Z75" s="53"/>
      <c r="AB75" s="421"/>
    </row>
    <row r="76" spans="1:28">
      <c r="A76" s="41" t="s">
        <v>163</v>
      </c>
      <c r="B76" s="42" t="s">
        <v>213</v>
      </c>
      <c r="C76" s="47"/>
      <c r="D76" s="47"/>
      <c r="E76" s="47"/>
      <c r="F76" s="47"/>
      <c r="G76" s="47"/>
      <c r="H76" s="47"/>
      <c r="I76" s="47"/>
      <c r="J76" s="47"/>
      <c r="K76" s="47"/>
      <c r="L76" s="47"/>
      <c r="M76" s="47"/>
      <c r="N76" s="47"/>
      <c r="O76" s="47"/>
      <c r="P76" s="47"/>
      <c r="Q76" s="47"/>
      <c r="R76" s="50">
        <v>1</v>
      </c>
      <c r="S76" s="51">
        <v>1</v>
      </c>
      <c r="T76" s="51">
        <v>1</v>
      </c>
      <c r="U76" s="51">
        <v>1</v>
      </c>
      <c r="V76" s="51">
        <v>1</v>
      </c>
      <c r="W76" s="51">
        <v>1.6666666666666665</v>
      </c>
      <c r="X76" s="51">
        <v>2.333333333333333</v>
      </c>
      <c r="Y76" s="50">
        <v>3</v>
      </c>
      <c r="Z76" s="51">
        <v>3</v>
      </c>
      <c r="AA76" s="38">
        <v>20</v>
      </c>
      <c r="AB76" s="420">
        <v>0.8</v>
      </c>
    </row>
    <row r="77" spans="1:28" s="49" customFormat="1">
      <c r="A77" s="45"/>
      <c r="B77" s="46" t="s">
        <v>212</v>
      </c>
      <c r="C77" s="47"/>
      <c r="D77" s="47"/>
      <c r="E77" s="47"/>
      <c r="F77" s="47"/>
      <c r="G77" s="47"/>
      <c r="H77" s="47"/>
      <c r="I77" s="47"/>
      <c r="J77" s="47"/>
      <c r="K77" s="47"/>
      <c r="L77" s="47"/>
      <c r="M77" s="47"/>
      <c r="N77" s="47"/>
      <c r="O77" s="47"/>
      <c r="P77" s="47"/>
      <c r="Q77" s="47"/>
      <c r="R77" s="52">
        <v>1</v>
      </c>
      <c r="S77" s="52">
        <v>1</v>
      </c>
      <c r="T77" s="52">
        <v>1</v>
      </c>
      <c r="U77" s="52">
        <v>1</v>
      </c>
      <c r="V77" s="52">
        <v>1</v>
      </c>
      <c r="W77" s="70">
        <v>3</v>
      </c>
      <c r="X77" s="70">
        <v>3</v>
      </c>
      <c r="Y77" s="70">
        <v>0</v>
      </c>
      <c r="Z77" s="70">
        <v>0</v>
      </c>
      <c r="AB77" s="421"/>
    </row>
    <row r="78" spans="1:28" s="49" customFormat="1">
      <c r="A78" s="45"/>
      <c r="B78" s="46"/>
      <c r="C78" s="48"/>
      <c r="D78" s="422"/>
      <c r="E78" s="422"/>
      <c r="F78" s="422"/>
      <c r="G78" s="83"/>
      <c r="H78" s="83"/>
      <c r="I78" s="83"/>
      <c r="J78" s="83"/>
      <c r="K78" s="83"/>
      <c r="L78" s="48"/>
      <c r="M78" s="48"/>
      <c r="N78" s="83"/>
      <c r="O78" s="83"/>
      <c r="P78" s="48"/>
      <c r="Q78" s="48"/>
      <c r="R78" s="53"/>
      <c r="S78" s="53"/>
      <c r="T78" s="53"/>
      <c r="U78" s="53"/>
      <c r="V78" s="53"/>
      <c r="W78" s="53"/>
      <c r="X78" s="53"/>
      <c r="Y78" s="53"/>
      <c r="Z78" s="53"/>
      <c r="AB78" s="421"/>
    </row>
    <row r="79" spans="1:28">
      <c r="A79" s="41" t="s">
        <v>164</v>
      </c>
      <c r="B79" s="42" t="s">
        <v>211</v>
      </c>
      <c r="C79" s="47"/>
      <c r="D79" s="47"/>
      <c r="E79" s="47"/>
      <c r="F79" s="47"/>
      <c r="G79" s="47"/>
      <c r="H79" s="47"/>
      <c r="I79" s="47"/>
      <c r="J79" s="47"/>
      <c r="K79" s="47"/>
      <c r="L79" s="47"/>
      <c r="M79" s="47"/>
      <c r="N79" s="47"/>
      <c r="O79" s="47"/>
      <c r="P79" s="47"/>
      <c r="Q79" s="47"/>
      <c r="R79" s="50">
        <v>0</v>
      </c>
      <c r="S79" s="51">
        <v>0</v>
      </c>
      <c r="T79" s="51">
        <v>0</v>
      </c>
      <c r="U79" s="51">
        <v>0</v>
      </c>
      <c r="V79" s="51">
        <v>0</v>
      </c>
      <c r="W79" s="51">
        <v>0.33333333333333331</v>
      </c>
      <c r="X79" s="51">
        <v>0.66666666666666663</v>
      </c>
      <c r="Y79" s="50">
        <v>1</v>
      </c>
      <c r="Z79" s="51">
        <v>1</v>
      </c>
      <c r="AA79" s="38">
        <v>20</v>
      </c>
      <c r="AB79" s="420">
        <v>0.8</v>
      </c>
    </row>
    <row r="80" spans="1:28" s="49" customFormat="1">
      <c r="A80" s="45"/>
      <c r="B80" s="46" t="s">
        <v>210</v>
      </c>
      <c r="C80" s="47"/>
      <c r="D80" s="47"/>
      <c r="E80" s="47"/>
      <c r="F80" s="47"/>
      <c r="G80" s="47"/>
      <c r="H80" s="47"/>
      <c r="I80" s="47"/>
      <c r="J80" s="47"/>
      <c r="K80" s="47"/>
      <c r="L80" s="47"/>
      <c r="M80" s="47"/>
      <c r="N80" s="47"/>
      <c r="O80" s="47"/>
      <c r="P80" s="47"/>
      <c r="Q80" s="47"/>
      <c r="R80" s="52">
        <v>0</v>
      </c>
      <c r="S80" s="52">
        <v>0</v>
      </c>
      <c r="T80" s="52">
        <v>0</v>
      </c>
      <c r="U80" s="52">
        <v>0</v>
      </c>
      <c r="V80" s="52">
        <v>0</v>
      </c>
      <c r="W80" s="70">
        <v>0</v>
      </c>
      <c r="X80" s="70">
        <v>0</v>
      </c>
      <c r="Y80" s="70">
        <v>0</v>
      </c>
      <c r="Z80" s="70">
        <v>0</v>
      </c>
      <c r="AB80" s="421"/>
    </row>
    <row r="81" spans="1:28" s="49" customFormat="1">
      <c r="A81" s="45"/>
      <c r="B81" s="46"/>
      <c r="C81" s="48"/>
      <c r="D81" s="422"/>
      <c r="E81" s="422"/>
      <c r="F81" s="422"/>
      <c r="G81" s="83"/>
      <c r="H81" s="83"/>
      <c r="I81" s="83"/>
      <c r="J81" s="83"/>
      <c r="K81" s="83"/>
      <c r="L81" s="48"/>
      <c r="M81" s="48"/>
      <c r="N81" s="83"/>
      <c r="O81" s="83"/>
      <c r="P81" s="48"/>
      <c r="Q81" s="48"/>
      <c r="R81" s="53"/>
      <c r="S81" s="53"/>
      <c r="T81" s="53"/>
      <c r="U81" s="53"/>
      <c r="V81" s="53"/>
      <c r="W81" s="53"/>
      <c r="X81" s="53"/>
      <c r="Y81" s="53"/>
      <c r="Z81" s="53"/>
      <c r="AB81" s="421"/>
    </row>
    <row r="82" spans="1:28">
      <c r="A82" s="41" t="s">
        <v>165</v>
      </c>
      <c r="B82" s="42" t="s">
        <v>209</v>
      </c>
      <c r="C82" s="47"/>
      <c r="D82" s="47"/>
      <c r="E82" s="47"/>
      <c r="F82" s="47"/>
      <c r="G82" s="47"/>
      <c r="H82" s="47"/>
      <c r="I82" s="47"/>
      <c r="J82" s="47"/>
      <c r="K82" s="47"/>
      <c r="L82" s="47"/>
      <c r="M82" s="47"/>
      <c r="N82" s="47"/>
      <c r="O82" s="47"/>
      <c r="P82" s="47"/>
      <c r="Q82" s="47"/>
      <c r="R82" s="50">
        <v>0</v>
      </c>
      <c r="S82" s="51">
        <v>0</v>
      </c>
      <c r="T82" s="51">
        <v>0</v>
      </c>
      <c r="U82" s="51">
        <v>0</v>
      </c>
      <c r="V82" s="51">
        <v>0</v>
      </c>
      <c r="W82" s="51">
        <v>0</v>
      </c>
      <c r="X82" s="51">
        <v>0</v>
      </c>
      <c r="Y82" s="50">
        <v>0</v>
      </c>
      <c r="Z82" s="51">
        <v>0</v>
      </c>
      <c r="AA82" s="38">
        <v>20</v>
      </c>
      <c r="AB82" s="420">
        <v>0.8</v>
      </c>
    </row>
    <row r="83" spans="1:28" s="49" customFormat="1">
      <c r="A83" s="45"/>
      <c r="B83" s="46" t="s">
        <v>208</v>
      </c>
      <c r="C83" s="47"/>
      <c r="D83" s="47"/>
      <c r="E83" s="47"/>
      <c r="F83" s="47"/>
      <c r="G83" s="47"/>
      <c r="H83" s="47"/>
      <c r="I83" s="47"/>
      <c r="J83" s="47"/>
      <c r="K83" s="47"/>
      <c r="L83" s="47"/>
      <c r="M83" s="47"/>
      <c r="N83" s="47"/>
      <c r="O83" s="47"/>
      <c r="P83" s="47"/>
      <c r="Q83" s="47"/>
      <c r="R83" s="52">
        <v>0</v>
      </c>
      <c r="S83" s="52">
        <v>0</v>
      </c>
      <c r="T83" s="52">
        <v>0</v>
      </c>
      <c r="U83" s="52">
        <v>0</v>
      </c>
      <c r="V83" s="52">
        <v>0</v>
      </c>
      <c r="W83" s="70">
        <v>0</v>
      </c>
      <c r="X83" s="70">
        <v>0</v>
      </c>
      <c r="Y83" s="70">
        <v>0</v>
      </c>
      <c r="Z83" s="70">
        <v>0</v>
      </c>
      <c r="AB83" s="421"/>
    </row>
    <row r="84" spans="1:28" s="49" customFormat="1">
      <c r="A84" s="45"/>
      <c r="B84" s="46"/>
      <c r="C84" s="48"/>
      <c r="D84" s="422"/>
      <c r="E84" s="422"/>
      <c r="F84" s="422"/>
      <c r="G84" s="83"/>
      <c r="H84" s="83"/>
      <c r="I84" s="83"/>
      <c r="J84" s="83"/>
      <c r="K84" s="83"/>
      <c r="L84" s="48"/>
      <c r="M84" s="48"/>
      <c r="N84" s="83"/>
      <c r="O84" s="83"/>
      <c r="P84" s="48"/>
      <c r="Q84" s="48"/>
      <c r="R84" s="53"/>
      <c r="S84" s="53"/>
      <c r="T84" s="53"/>
      <c r="U84" s="53"/>
      <c r="V84" s="53"/>
      <c r="W84" s="53"/>
      <c r="X84" s="53"/>
      <c r="Y84" s="53"/>
      <c r="Z84" s="53"/>
      <c r="AB84" s="421"/>
    </row>
    <row r="85" spans="1:28">
      <c r="A85" s="41" t="s">
        <v>160</v>
      </c>
      <c r="B85" s="42" t="s">
        <v>201</v>
      </c>
      <c r="C85" s="47"/>
      <c r="D85" s="47"/>
      <c r="E85" s="47"/>
      <c r="F85" s="47"/>
      <c r="G85" s="47"/>
      <c r="H85" s="47"/>
      <c r="I85" s="47"/>
      <c r="J85" s="47"/>
      <c r="K85" s="47"/>
      <c r="L85" s="47"/>
      <c r="M85" s="47"/>
      <c r="N85" s="47"/>
      <c r="O85" s="47"/>
      <c r="P85" s="47"/>
      <c r="Q85" s="47"/>
      <c r="R85" s="50">
        <v>40</v>
      </c>
      <c r="S85" s="51">
        <v>40</v>
      </c>
      <c r="T85" s="51">
        <v>40</v>
      </c>
      <c r="U85" s="51">
        <v>40</v>
      </c>
      <c r="V85" s="51">
        <v>40</v>
      </c>
      <c r="W85" s="51">
        <v>46.666666666666664</v>
      </c>
      <c r="X85" s="51">
        <v>53.333333333333329</v>
      </c>
      <c r="Y85" s="50">
        <v>60</v>
      </c>
      <c r="Z85" s="51">
        <v>60</v>
      </c>
      <c r="AA85" s="38">
        <v>100</v>
      </c>
      <c r="AB85" s="420">
        <v>4</v>
      </c>
    </row>
    <row r="86" spans="1:28" s="49" customFormat="1">
      <c r="A86" s="45"/>
      <c r="B86" s="46" t="s">
        <v>200</v>
      </c>
      <c r="C86" s="47"/>
      <c r="D86" s="47"/>
      <c r="E86" s="47"/>
      <c r="F86" s="47"/>
      <c r="G86" s="47"/>
      <c r="H86" s="47"/>
      <c r="I86" s="47"/>
      <c r="J86" s="47"/>
      <c r="K86" s="47"/>
      <c r="L86" s="47"/>
      <c r="M86" s="47"/>
      <c r="N86" s="47"/>
      <c r="O86" s="47"/>
      <c r="P86" s="47"/>
      <c r="Q86" s="47"/>
      <c r="R86" s="52">
        <v>40</v>
      </c>
      <c r="S86" s="52">
        <v>40</v>
      </c>
      <c r="T86" s="52">
        <v>40</v>
      </c>
      <c r="U86" s="52">
        <v>40</v>
      </c>
      <c r="V86" s="52">
        <v>40</v>
      </c>
      <c r="W86" s="70">
        <v>40.000000000000007</v>
      </c>
      <c r="X86" s="70">
        <v>36.666666666666671</v>
      </c>
      <c r="Y86" s="70">
        <v>0</v>
      </c>
      <c r="Z86" s="70">
        <v>0</v>
      </c>
      <c r="AB86" s="421"/>
    </row>
    <row r="87" spans="1:28" s="49" customFormat="1">
      <c r="A87" s="45"/>
      <c r="B87" s="46"/>
      <c r="C87" s="48"/>
      <c r="D87" s="422"/>
      <c r="E87" s="422"/>
      <c r="F87" s="422"/>
      <c r="G87" s="83"/>
      <c r="H87" s="83"/>
      <c r="I87" s="83"/>
      <c r="J87" s="83"/>
      <c r="K87" s="83"/>
      <c r="L87" s="48"/>
      <c r="M87" s="48"/>
      <c r="N87" s="83"/>
      <c r="O87" s="83"/>
      <c r="P87" s="48"/>
      <c r="Q87" s="48"/>
      <c r="R87" s="53"/>
      <c r="S87" s="53"/>
      <c r="T87" s="53"/>
      <c r="U87" s="53"/>
      <c r="V87" s="53"/>
      <c r="W87" s="53"/>
      <c r="X87" s="53"/>
      <c r="Y87" s="53"/>
      <c r="Z87" s="53"/>
      <c r="AB87" s="421"/>
    </row>
    <row r="88" spans="1:28">
      <c r="A88" s="41" t="s">
        <v>161</v>
      </c>
      <c r="B88" s="42" t="s">
        <v>198</v>
      </c>
      <c r="C88" s="47"/>
      <c r="D88" s="47"/>
      <c r="E88" s="47"/>
      <c r="F88" s="47"/>
      <c r="G88" s="47"/>
      <c r="H88" s="47"/>
      <c r="I88" s="47"/>
      <c r="J88" s="47"/>
      <c r="K88" s="47"/>
      <c r="L88" s="47"/>
      <c r="M88" s="47"/>
      <c r="N88" s="47"/>
      <c r="O88" s="47"/>
      <c r="P88" s="47"/>
      <c r="Q88" s="47"/>
      <c r="R88" s="50">
        <v>73</v>
      </c>
      <c r="S88" s="51">
        <v>73</v>
      </c>
      <c r="T88" s="51">
        <v>73</v>
      </c>
      <c r="U88" s="51">
        <v>73</v>
      </c>
      <c r="V88" s="51">
        <v>73</v>
      </c>
      <c r="W88" s="51">
        <v>76</v>
      </c>
      <c r="X88" s="51">
        <v>79</v>
      </c>
      <c r="Y88" s="50">
        <v>82</v>
      </c>
      <c r="Z88" s="51">
        <v>82</v>
      </c>
      <c r="AA88" s="38">
        <v>100</v>
      </c>
      <c r="AB88" s="420">
        <v>4</v>
      </c>
    </row>
    <row r="89" spans="1:28" s="49" customFormat="1">
      <c r="A89" s="45"/>
      <c r="B89" s="46" t="s">
        <v>199</v>
      </c>
      <c r="C89" s="47"/>
      <c r="D89" s="47"/>
      <c r="E89" s="47"/>
      <c r="F89" s="47"/>
      <c r="G89" s="47"/>
      <c r="H89" s="47"/>
      <c r="I89" s="47"/>
      <c r="J89" s="47"/>
      <c r="K89" s="47"/>
      <c r="L89" s="47"/>
      <c r="M89" s="47"/>
      <c r="N89" s="47"/>
      <c r="O89" s="47"/>
      <c r="P89" s="47"/>
      <c r="Q89" s="47"/>
      <c r="R89" s="52">
        <v>73</v>
      </c>
      <c r="S89" s="52">
        <v>73</v>
      </c>
      <c r="T89" s="52">
        <v>73</v>
      </c>
      <c r="U89" s="52">
        <v>73</v>
      </c>
      <c r="V89" s="52">
        <v>73</v>
      </c>
      <c r="W89" s="70">
        <v>73</v>
      </c>
      <c r="X89" s="70">
        <v>73</v>
      </c>
      <c r="Y89" s="70">
        <v>0</v>
      </c>
      <c r="Z89" s="70">
        <v>0</v>
      </c>
      <c r="AB89" s="421"/>
    </row>
    <row r="90" spans="1:28" s="49" customFormat="1">
      <c r="A90" s="45"/>
      <c r="B90" s="46"/>
      <c r="C90" s="48"/>
      <c r="D90" s="422"/>
      <c r="E90" s="422"/>
      <c r="F90" s="422"/>
      <c r="G90" s="83"/>
      <c r="H90" s="83"/>
      <c r="I90" s="83"/>
      <c r="J90" s="83"/>
      <c r="K90" s="83"/>
      <c r="L90" s="48"/>
      <c r="M90" s="48"/>
      <c r="N90" s="83"/>
      <c r="O90" s="83"/>
      <c r="P90" s="48"/>
      <c r="Q90" s="48"/>
      <c r="R90" s="53"/>
      <c r="S90" s="48"/>
      <c r="T90" s="48"/>
      <c r="U90" s="48"/>
      <c r="V90" s="48"/>
      <c r="W90" s="48"/>
      <c r="X90" s="48"/>
      <c r="Y90" s="48"/>
      <c r="Z90" s="48"/>
      <c r="AB90" s="421"/>
    </row>
    <row r="91" spans="1:28">
      <c r="A91" s="41" t="s">
        <v>40</v>
      </c>
      <c r="B91" s="42" t="s">
        <v>139</v>
      </c>
      <c r="C91" s="47"/>
      <c r="D91" s="47"/>
      <c r="E91" s="47"/>
      <c r="F91" s="47"/>
      <c r="G91" s="47"/>
      <c r="H91" s="47"/>
      <c r="I91" s="47"/>
      <c r="J91" s="47"/>
      <c r="K91" s="47"/>
      <c r="L91" s="47"/>
      <c r="M91" s="47"/>
      <c r="N91" s="47"/>
      <c r="O91" s="47"/>
      <c r="P91" s="47"/>
      <c r="Q91" s="47"/>
      <c r="R91" s="43">
        <v>2.7</v>
      </c>
      <c r="S91" s="44">
        <v>2.7</v>
      </c>
      <c r="T91" s="44">
        <v>2.7</v>
      </c>
      <c r="U91" s="44">
        <v>2.7</v>
      </c>
      <c r="V91" s="44">
        <v>2.7</v>
      </c>
      <c r="W91" s="44">
        <v>2.7666666666666666</v>
      </c>
      <c r="X91" s="44">
        <v>2.833333333333333</v>
      </c>
      <c r="Y91" s="43">
        <v>2.9</v>
      </c>
      <c r="Z91" s="44">
        <v>2.9</v>
      </c>
      <c r="AA91" s="38">
        <v>5</v>
      </c>
      <c r="AB91" s="420">
        <v>0.16</v>
      </c>
    </row>
    <row r="92" spans="1:28" s="49" customFormat="1">
      <c r="A92" s="45"/>
      <c r="B92" s="46" t="s">
        <v>140</v>
      </c>
      <c r="C92" s="47"/>
      <c r="D92" s="47"/>
      <c r="E92" s="47"/>
      <c r="F92" s="47"/>
      <c r="G92" s="47"/>
      <c r="H92" s="47"/>
      <c r="I92" s="47"/>
      <c r="J92" s="47"/>
      <c r="K92" s="47"/>
      <c r="L92" s="47"/>
      <c r="M92" s="47"/>
      <c r="N92" s="47"/>
      <c r="O92" s="47"/>
      <c r="P92" s="47"/>
      <c r="Q92" s="47"/>
      <c r="R92" s="47">
        <v>2.7</v>
      </c>
      <c r="S92" s="47">
        <v>2.7</v>
      </c>
      <c r="T92" s="47">
        <v>2.7</v>
      </c>
      <c r="U92" s="47">
        <v>2.7</v>
      </c>
      <c r="V92" s="47">
        <v>2.7</v>
      </c>
      <c r="W92" s="69">
        <v>2.5</v>
      </c>
      <c r="X92" s="69">
        <v>2.8</v>
      </c>
      <c r="Y92" s="69">
        <v>0</v>
      </c>
      <c r="Z92" s="69">
        <v>0</v>
      </c>
      <c r="AB92" s="421"/>
    </row>
    <row r="93" spans="1:28" s="49" customFormat="1">
      <c r="A93" s="45"/>
      <c r="B93" s="46"/>
      <c r="C93" s="48"/>
      <c r="D93" s="422"/>
      <c r="E93" s="422"/>
      <c r="F93" s="422"/>
      <c r="G93" s="83"/>
      <c r="H93" s="83"/>
      <c r="I93" s="83"/>
      <c r="J93" s="83"/>
      <c r="K93" s="83"/>
      <c r="L93" s="48"/>
      <c r="M93" s="48"/>
      <c r="N93" s="83"/>
      <c r="O93" s="83"/>
      <c r="P93" s="48"/>
      <c r="Q93" s="48"/>
      <c r="R93" s="48"/>
      <c r="S93" s="48"/>
      <c r="T93" s="48"/>
      <c r="U93" s="48"/>
      <c r="V93" s="48"/>
      <c r="W93" s="48"/>
      <c r="X93" s="48"/>
      <c r="Y93" s="48"/>
      <c r="Z93" s="48"/>
      <c r="AB93" s="421"/>
    </row>
    <row r="94" spans="1:28">
      <c r="A94" s="41" t="s">
        <v>32</v>
      </c>
      <c r="B94" s="42" t="s">
        <v>139</v>
      </c>
      <c r="C94" s="47"/>
      <c r="D94" s="47"/>
      <c r="E94" s="47"/>
      <c r="F94" s="47"/>
      <c r="G94" s="47"/>
      <c r="H94" s="47"/>
      <c r="I94" s="47"/>
      <c r="J94" s="47"/>
      <c r="K94" s="47"/>
      <c r="L94" s="47"/>
      <c r="M94" s="47"/>
      <c r="N94" s="47"/>
      <c r="O94" s="47"/>
      <c r="P94" s="47"/>
      <c r="Q94" s="47"/>
      <c r="R94" s="43">
        <v>1.5</v>
      </c>
      <c r="S94" s="44">
        <v>1.5</v>
      </c>
      <c r="T94" s="44">
        <v>1.5</v>
      </c>
      <c r="U94" s="44">
        <v>1.5</v>
      </c>
      <c r="V94" s="44">
        <v>1.5</v>
      </c>
      <c r="W94" s="44">
        <v>1.8333333333333333</v>
      </c>
      <c r="X94" s="44">
        <v>2.1666666666666665</v>
      </c>
      <c r="Y94" s="43">
        <v>2.5</v>
      </c>
      <c r="Z94" s="44">
        <v>2.5</v>
      </c>
      <c r="AA94" s="38">
        <v>5</v>
      </c>
      <c r="AB94" s="420">
        <v>0.16</v>
      </c>
    </row>
    <row r="95" spans="1:28" s="49" customFormat="1">
      <c r="A95" s="45"/>
      <c r="B95" s="46" t="s">
        <v>140</v>
      </c>
      <c r="C95" s="47"/>
      <c r="D95" s="47"/>
      <c r="E95" s="47"/>
      <c r="F95" s="47"/>
      <c r="G95" s="47"/>
      <c r="H95" s="47"/>
      <c r="I95" s="47"/>
      <c r="J95" s="47"/>
      <c r="K95" s="47"/>
      <c r="L95" s="47"/>
      <c r="M95" s="47"/>
      <c r="N95" s="47"/>
      <c r="O95" s="47"/>
      <c r="P95" s="47"/>
      <c r="Q95" s="47"/>
      <c r="R95" s="47">
        <v>1.5</v>
      </c>
      <c r="S95" s="47">
        <v>1.5</v>
      </c>
      <c r="T95" s="47">
        <v>1.5</v>
      </c>
      <c r="U95" s="47">
        <v>1.5</v>
      </c>
      <c r="V95" s="47">
        <v>1.5</v>
      </c>
      <c r="W95" s="69">
        <v>2.5</v>
      </c>
      <c r="X95" s="69">
        <v>2.8</v>
      </c>
      <c r="Y95" s="69">
        <v>0</v>
      </c>
      <c r="Z95" s="69">
        <v>0</v>
      </c>
      <c r="AB95" s="421"/>
    </row>
    <row r="96" spans="1:28" s="49" customFormat="1">
      <c r="A96" s="45"/>
      <c r="B96" s="46"/>
      <c r="C96" s="48"/>
      <c r="D96" s="422"/>
      <c r="E96" s="422"/>
      <c r="F96" s="422"/>
      <c r="G96" s="83"/>
      <c r="H96" s="83"/>
      <c r="I96" s="83"/>
      <c r="J96" s="83"/>
      <c r="K96" s="83"/>
      <c r="L96" s="48"/>
      <c r="M96" s="48"/>
      <c r="N96" s="83"/>
      <c r="O96" s="83"/>
      <c r="P96" s="48"/>
      <c r="Q96" s="48"/>
      <c r="R96" s="48"/>
      <c r="S96" s="48"/>
      <c r="T96" s="48"/>
      <c r="U96" s="48"/>
      <c r="V96" s="48"/>
      <c r="W96" s="48"/>
      <c r="X96" s="48"/>
      <c r="Y96" s="48"/>
      <c r="Z96" s="48"/>
      <c r="AB96" s="421"/>
    </row>
    <row r="97" spans="1:28">
      <c r="A97" s="41" t="s">
        <v>33</v>
      </c>
      <c r="B97" s="42" t="s">
        <v>139</v>
      </c>
      <c r="C97" s="47"/>
      <c r="D97" s="47"/>
      <c r="E97" s="47"/>
      <c r="F97" s="47"/>
      <c r="G97" s="47"/>
      <c r="H97" s="47"/>
      <c r="I97" s="47"/>
      <c r="J97" s="47"/>
      <c r="K97" s="47"/>
      <c r="L97" s="47"/>
      <c r="M97" s="47"/>
      <c r="N97" s="47"/>
      <c r="O97" s="47"/>
      <c r="P97" s="47"/>
      <c r="Q97" s="47"/>
      <c r="R97" s="43">
        <v>1.8</v>
      </c>
      <c r="S97" s="44">
        <v>1.8</v>
      </c>
      <c r="T97" s="44">
        <v>1.8</v>
      </c>
      <c r="U97" s="44">
        <v>1.8</v>
      </c>
      <c r="V97" s="44">
        <v>1.8</v>
      </c>
      <c r="W97" s="44">
        <v>2.3666666666666667</v>
      </c>
      <c r="X97" s="44">
        <v>2.9333333333333336</v>
      </c>
      <c r="Y97" s="43">
        <v>3.5</v>
      </c>
      <c r="Z97" s="44">
        <v>3.5</v>
      </c>
      <c r="AA97" s="38">
        <v>5</v>
      </c>
      <c r="AB97" s="420">
        <v>0.16</v>
      </c>
    </row>
    <row r="98" spans="1:28" s="49" customFormat="1">
      <c r="A98" s="45"/>
      <c r="B98" s="46" t="s">
        <v>140</v>
      </c>
      <c r="C98" s="47"/>
      <c r="D98" s="47"/>
      <c r="E98" s="47"/>
      <c r="F98" s="47"/>
      <c r="G98" s="47"/>
      <c r="H98" s="47"/>
      <c r="I98" s="47"/>
      <c r="J98" s="47"/>
      <c r="K98" s="47"/>
      <c r="L98" s="47"/>
      <c r="M98" s="47"/>
      <c r="N98" s="47"/>
      <c r="O98" s="47"/>
      <c r="P98" s="47"/>
      <c r="Q98" s="47"/>
      <c r="R98" s="47">
        <v>1.8</v>
      </c>
      <c r="S98" s="47">
        <v>1.8</v>
      </c>
      <c r="T98" s="47">
        <v>1.8</v>
      </c>
      <c r="U98" s="47">
        <v>1.8</v>
      </c>
      <c r="V98" s="47">
        <v>1.8</v>
      </c>
      <c r="W98" s="69">
        <v>3.5</v>
      </c>
      <c r="X98" s="69">
        <v>3.5</v>
      </c>
      <c r="Y98" s="69">
        <v>0</v>
      </c>
      <c r="Z98" s="69">
        <v>0</v>
      </c>
      <c r="AB98" s="421"/>
    </row>
    <row r="99" spans="1:28" s="49" customFormat="1">
      <c r="A99" s="45"/>
      <c r="B99" s="46"/>
      <c r="C99" s="48"/>
      <c r="D99" s="422"/>
      <c r="E99" s="422"/>
      <c r="F99" s="422"/>
      <c r="G99" s="83"/>
      <c r="H99" s="83"/>
      <c r="I99" s="83"/>
      <c r="J99" s="83"/>
      <c r="K99" s="83"/>
      <c r="L99" s="48"/>
      <c r="M99" s="48"/>
      <c r="N99" s="83"/>
      <c r="O99" s="83"/>
      <c r="P99" s="48"/>
      <c r="Q99" s="48"/>
      <c r="R99" s="48"/>
      <c r="S99" s="48"/>
      <c r="T99" s="48"/>
      <c r="U99" s="48"/>
      <c r="V99" s="48"/>
      <c r="W99" s="48"/>
      <c r="X99" s="48"/>
      <c r="Y99" s="48"/>
      <c r="Z99" s="48"/>
      <c r="AB99" s="421"/>
    </row>
    <row r="100" spans="1:28">
      <c r="A100" s="41" t="s">
        <v>34</v>
      </c>
      <c r="B100" s="42" t="s">
        <v>139</v>
      </c>
      <c r="C100" s="47"/>
      <c r="D100" s="47"/>
      <c r="E100" s="47"/>
      <c r="F100" s="47"/>
      <c r="G100" s="47"/>
      <c r="H100" s="47"/>
      <c r="I100" s="47"/>
      <c r="J100" s="47"/>
      <c r="K100" s="47"/>
      <c r="L100" s="47"/>
      <c r="M100" s="47"/>
      <c r="N100" s="47"/>
      <c r="O100" s="47"/>
      <c r="P100" s="47"/>
      <c r="Q100" s="47"/>
      <c r="R100" s="43">
        <v>1.1000000000000001</v>
      </c>
      <c r="S100" s="44">
        <v>1.1000000000000001</v>
      </c>
      <c r="T100" s="44">
        <v>1.1000000000000001</v>
      </c>
      <c r="U100" s="44">
        <v>1.1000000000000001</v>
      </c>
      <c r="V100" s="44">
        <v>1.1000000000000001</v>
      </c>
      <c r="W100" s="44">
        <v>1.4000000000000001</v>
      </c>
      <c r="X100" s="44">
        <v>1.7000000000000002</v>
      </c>
      <c r="Y100" s="43">
        <v>2</v>
      </c>
      <c r="Z100" s="44">
        <v>2</v>
      </c>
      <c r="AA100" s="38">
        <v>5</v>
      </c>
      <c r="AB100" s="420">
        <v>0.16</v>
      </c>
    </row>
    <row r="101" spans="1:28" s="49" customFormat="1">
      <c r="A101" s="45"/>
      <c r="B101" s="46" t="s">
        <v>140</v>
      </c>
      <c r="C101" s="47"/>
      <c r="D101" s="47"/>
      <c r="E101" s="47"/>
      <c r="F101" s="47"/>
      <c r="G101" s="47"/>
      <c r="H101" s="47"/>
      <c r="I101" s="47"/>
      <c r="J101" s="47"/>
      <c r="K101" s="47"/>
      <c r="L101" s="47"/>
      <c r="M101" s="47"/>
      <c r="N101" s="47"/>
      <c r="O101" s="47"/>
      <c r="P101" s="47"/>
      <c r="Q101" s="47"/>
      <c r="R101" s="47">
        <v>1.1000000000000001</v>
      </c>
      <c r="S101" s="47">
        <v>1.1000000000000001</v>
      </c>
      <c r="T101" s="47">
        <v>1.1000000000000001</v>
      </c>
      <c r="U101" s="47">
        <v>1.1000000000000001</v>
      </c>
      <c r="V101" s="47">
        <v>1.1000000000000001</v>
      </c>
      <c r="W101" s="69">
        <v>2</v>
      </c>
      <c r="X101" s="69">
        <v>2.2999999999999998</v>
      </c>
      <c r="Y101" s="69">
        <v>0</v>
      </c>
      <c r="Z101" s="69">
        <v>0</v>
      </c>
      <c r="AB101" s="421"/>
    </row>
    <row r="102" spans="1:28" s="49" customFormat="1">
      <c r="A102" s="45"/>
      <c r="B102" s="46"/>
      <c r="C102" s="48"/>
      <c r="D102" s="422"/>
      <c r="E102" s="422"/>
      <c r="F102" s="422"/>
      <c r="G102" s="83"/>
      <c r="H102" s="83"/>
      <c r="I102" s="83"/>
      <c r="J102" s="83"/>
      <c r="K102" s="83"/>
      <c r="L102" s="48"/>
      <c r="M102" s="48"/>
      <c r="N102" s="83"/>
      <c r="O102" s="83"/>
      <c r="P102" s="48"/>
      <c r="Q102" s="48"/>
      <c r="R102" s="48"/>
      <c r="S102" s="48"/>
      <c r="T102" s="48"/>
      <c r="U102" s="48"/>
      <c r="V102" s="48"/>
      <c r="W102" s="48"/>
      <c r="X102" s="48"/>
      <c r="Y102" s="48"/>
      <c r="Z102" s="48"/>
      <c r="AB102" s="421"/>
    </row>
    <row r="103" spans="1:28">
      <c r="A103" s="41" t="s">
        <v>41</v>
      </c>
      <c r="B103" s="42" t="s">
        <v>139</v>
      </c>
      <c r="C103" s="47"/>
      <c r="D103" s="47"/>
      <c r="E103" s="47"/>
      <c r="F103" s="47"/>
      <c r="G103" s="47"/>
      <c r="H103" s="47"/>
      <c r="I103" s="47"/>
      <c r="J103" s="47"/>
      <c r="K103" s="47"/>
      <c r="L103" s="47"/>
      <c r="M103" s="47"/>
      <c r="N103" s="47"/>
      <c r="O103" s="47"/>
      <c r="P103" s="47"/>
      <c r="Q103" s="47"/>
      <c r="R103" s="43">
        <v>1.3</v>
      </c>
      <c r="S103" s="44">
        <v>1.3</v>
      </c>
      <c r="T103" s="44">
        <v>1.3</v>
      </c>
      <c r="U103" s="44">
        <v>1.3</v>
      </c>
      <c r="V103" s="44">
        <v>1.3</v>
      </c>
      <c r="W103" s="44">
        <v>1.5333333333333334</v>
      </c>
      <c r="X103" s="44">
        <v>1.7666666666666668</v>
      </c>
      <c r="Y103" s="43">
        <v>2</v>
      </c>
      <c r="Z103" s="44">
        <v>2</v>
      </c>
      <c r="AA103" s="38">
        <v>5</v>
      </c>
      <c r="AB103" s="420">
        <v>0.16</v>
      </c>
    </row>
    <row r="104" spans="1:28" s="49" customFormat="1">
      <c r="A104" s="45"/>
      <c r="B104" s="46" t="s">
        <v>140</v>
      </c>
      <c r="C104" s="47"/>
      <c r="D104" s="47"/>
      <c r="E104" s="47"/>
      <c r="F104" s="47"/>
      <c r="G104" s="47"/>
      <c r="H104" s="47"/>
      <c r="I104" s="47"/>
      <c r="J104" s="47"/>
      <c r="K104" s="47"/>
      <c r="L104" s="47"/>
      <c r="M104" s="47"/>
      <c r="N104" s="47"/>
      <c r="O104" s="47"/>
      <c r="P104" s="47"/>
      <c r="Q104" s="47"/>
      <c r="R104" s="47">
        <v>1.3</v>
      </c>
      <c r="S104" s="47">
        <v>1.3</v>
      </c>
      <c r="T104" s="47">
        <v>1.3</v>
      </c>
      <c r="U104" s="47">
        <v>1.3</v>
      </c>
      <c r="V104" s="47">
        <v>1.3</v>
      </c>
      <c r="W104" s="69">
        <v>1.9</v>
      </c>
      <c r="X104" s="69">
        <v>2.4</v>
      </c>
      <c r="Y104" s="69">
        <v>0</v>
      </c>
      <c r="Z104" s="69">
        <v>0</v>
      </c>
      <c r="AB104" s="421"/>
    </row>
    <row r="105" spans="1:28" s="49" customFormat="1">
      <c r="A105" s="45"/>
      <c r="B105" s="46"/>
      <c r="C105" s="48"/>
      <c r="D105" s="422"/>
      <c r="E105" s="422"/>
      <c r="F105" s="422"/>
      <c r="G105" s="83"/>
      <c r="H105" s="83"/>
      <c r="I105" s="83"/>
      <c r="J105" s="83"/>
      <c r="K105" s="83"/>
      <c r="L105" s="48"/>
      <c r="M105" s="48"/>
      <c r="N105" s="83"/>
      <c r="O105" s="83"/>
      <c r="P105" s="48"/>
      <c r="Q105" s="48"/>
      <c r="R105" s="53"/>
      <c r="S105" s="48"/>
      <c r="T105" s="48"/>
      <c r="U105" s="48"/>
      <c r="V105" s="48"/>
      <c r="W105" s="48"/>
      <c r="X105" s="48"/>
      <c r="Y105" s="48"/>
      <c r="Z105" s="48"/>
      <c r="AB105" s="421"/>
    </row>
    <row r="106" spans="1:28">
      <c r="A106" s="41" t="s">
        <v>181</v>
      </c>
      <c r="B106" s="42" t="s">
        <v>204</v>
      </c>
      <c r="C106" s="47"/>
      <c r="D106" s="47"/>
      <c r="E106" s="47"/>
      <c r="F106" s="47"/>
      <c r="G106" s="47"/>
      <c r="H106" s="47"/>
      <c r="I106" s="47"/>
      <c r="J106" s="47"/>
      <c r="K106" s="47"/>
      <c r="L106" s="47"/>
      <c r="M106" s="47"/>
      <c r="N106" s="47"/>
      <c r="O106" s="47"/>
      <c r="P106" s="47"/>
      <c r="Q106" s="47"/>
      <c r="R106" s="50">
        <v>2</v>
      </c>
      <c r="S106" s="51">
        <v>2</v>
      </c>
      <c r="T106" s="51">
        <v>2</v>
      </c>
      <c r="U106" s="51">
        <v>2</v>
      </c>
      <c r="V106" s="51">
        <v>2</v>
      </c>
      <c r="W106" s="51">
        <v>3</v>
      </c>
      <c r="X106" s="51">
        <v>4</v>
      </c>
      <c r="Y106" s="50">
        <v>5</v>
      </c>
      <c r="Z106" s="51">
        <v>5</v>
      </c>
      <c r="AA106" s="38">
        <v>20</v>
      </c>
      <c r="AB106" s="420">
        <v>0.8</v>
      </c>
    </row>
    <row r="107" spans="1:28" s="49" customFormat="1">
      <c r="A107" s="45"/>
      <c r="B107" s="46" t="s">
        <v>205</v>
      </c>
      <c r="C107" s="47"/>
      <c r="D107" s="47"/>
      <c r="E107" s="47"/>
      <c r="F107" s="47"/>
      <c r="G107" s="47"/>
      <c r="H107" s="47"/>
      <c r="I107" s="47"/>
      <c r="J107" s="47"/>
      <c r="K107" s="47"/>
      <c r="L107" s="47"/>
      <c r="M107" s="47"/>
      <c r="N107" s="47"/>
      <c r="O107" s="47"/>
      <c r="P107" s="47"/>
      <c r="Q107" s="47"/>
      <c r="R107" s="52">
        <v>2</v>
      </c>
      <c r="S107" s="52">
        <v>2</v>
      </c>
      <c r="T107" s="52">
        <v>2</v>
      </c>
      <c r="U107" s="52">
        <v>2</v>
      </c>
      <c r="V107" s="52">
        <v>2</v>
      </c>
      <c r="W107" s="70">
        <v>7</v>
      </c>
      <c r="X107" s="70">
        <v>11</v>
      </c>
      <c r="Y107" s="70">
        <v>0</v>
      </c>
      <c r="Z107" s="70">
        <v>0</v>
      </c>
      <c r="AB107" s="421"/>
    </row>
    <row r="108" spans="1:28" s="49" customFormat="1">
      <c r="A108" s="45"/>
      <c r="B108" s="46"/>
      <c r="C108" s="48"/>
      <c r="D108" s="422"/>
      <c r="E108" s="422"/>
      <c r="F108" s="422"/>
      <c r="G108" s="83"/>
      <c r="H108" s="83"/>
      <c r="I108" s="83"/>
      <c r="J108" s="83"/>
      <c r="K108" s="83"/>
      <c r="L108" s="48"/>
      <c r="M108" s="48"/>
      <c r="N108" s="83"/>
      <c r="O108" s="83"/>
      <c r="P108" s="48"/>
      <c r="Q108" s="48"/>
      <c r="R108" s="53"/>
      <c r="S108" s="53"/>
      <c r="T108" s="53"/>
      <c r="U108" s="53"/>
      <c r="V108" s="53"/>
      <c r="W108" s="53"/>
      <c r="X108" s="53"/>
      <c r="Y108" s="53"/>
      <c r="Z108" s="53"/>
      <c r="AB108" s="421"/>
    </row>
    <row r="109" spans="1:28">
      <c r="A109" s="41" t="s">
        <v>182</v>
      </c>
      <c r="B109" s="42" t="s">
        <v>206</v>
      </c>
      <c r="C109" s="47"/>
      <c r="D109" s="47"/>
      <c r="E109" s="47"/>
      <c r="F109" s="47"/>
      <c r="G109" s="47"/>
      <c r="H109" s="47"/>
      <c r="I109" s="47"/>
      <c r="J109" s="47"/>
      <c r="K109" s="47"/>
      <c r="L109" s="47"/>
      <c r="M109" s="47"/>
      <c r="N109" s="47"/>
      <c r="O109" s="47"/>
      <c r="P109" s="47"/>
      <c r="Q109" s="47"/>
      <c r="R109" s="50">
        <v>0</v>
      </c>
      <c r="S109" s="51">
        <v>0</v>
      </c>
      <c r="T109" s="51">
        <v>0</v>
      </c>
      <c r="U109" s="51">
        <v>0</v>
      </c>
      <c r="V109" s="51">
        <v>0</v>
      </c>
      <c r="W109" s="51">
        <v>0.33333333333333331</v>
      </c>
      <c r="X109" s="51">
        <v>0.66666666666666663</v>
      </c>
      <c r="Y109" s="50">
        <v>1</v>
      </c>
      <c r="Z109" s="51">
        <v>1</v>
      </c>
      <c r="AA109" s="38">
        <v>10</v>
      </c>
      <c r="AB109" s="420">
        <v>0.4</v>
      </c>
    </row>
    <row r="110" spans="1:28" s="49" customFormat="1">
      <c r="A110" s="45"/>
      <c r="B110" s="46" t="s">
        <v>207</v>
      </c>
      <c r="C110" s="47"/>
      <c r="D110" s="47"/>
      <c r="E110" s="47"/>
      <c r="F110" s="47"/>
      <c r="G110" s="47"/>
      <c r="H110" s="47"/>
      <c r="I110" s="47"/>
      <c r="J110" s="47"/>
      <c r="K110" s="47"/>
      <c r="L110" s="47"/>
      <c r="M110" s="47"/>
      <c r="N110" s="47"/>
      <c r="O110" s="47"/>
      <c r="P110" s="47"/>
      <c r="Q110" s="47"/>
      <c r="R110" s="52">
        <v>0</v>
      </c>
      <c r="S110" s="52">
        <v>0</v>
      </c>
      <c r="T110" s="52">
        <v>0</v>
      </c>
      <c r="U110" s="52">
        <v>0</v>
      </c>
      <c r="V110" s="52">
        <v>0</v>
      </c>
      <c r="W110" s="70">
        <v>0</v>
      </c>
      <c r="X110" s="70">
        <v>0</v>
      </c>
      <c r="Y110" s="70">
        <v>0</v>
      </c>
      <c r="Z110" s="70">
        <v>0</v>
      </c>
      <c r="AB110" s="421"/>
    </row>
    <row r="111" spans="1:28" s="49" customFormat="1">
      <c r="A111" s="45"/>
      <c r="B111" s="46"/>
      <c r="C111" s="48"/>
      <c r="D111" s="422"/>
      <c r="E111" s="422"/>
      <c r="F111" s="422"/>
      <c r="G111" s="83"/>
      <c r="H111" s="83"/>
      <c r="I111" s="83"/>
      <c r="J111" s="83"/>
      <c r="K111" s="83"/>
      <c r="L111" s="48"/>
      <c r="M111" s="48"/>
      <c r="N111" s="83"/>
      <c r="O111" s="83"/>
      <c r="P111" s="48"/>
      <c r="Q111" s="48"/>
      <c r="R111" s="53"/>
      <c r="S111" s="53"/>
      <c r="T111" s="53"/>
      <c r="U111" s="53"/>
      <c r="V111" s="53"/>
      <c r="W111" s="53"/>
      <c r="X111" s="53"/>
      <c r="Y111" s="53"/>
      <c r="Z111" s="53"/>
      <c r="AB111" s="421"/>
    </row>
    <row r="112" spans="1:28">
      <c r="A112" s="41" t="s">
        <v>695</v>
      </c>
      <c r="B112" s="42" t="s">
        <v>816</v>
      </c>
      <c r="C112" s="47"/>
      <c r="D112" s="47"/>
      <c r="E112" s="47"/>
      <c r="F112" s="47"/>
      <c r="G112" s="47"/>
      <c r="H112" s="47"/>
      <c r="I112" s="47"/>
      <c r="J112" s="47"/>
      <c r="K112" s="47"/>
      <c r="L112" s="47"/>
      <c r="M112" s="47"/>
      <c r="N112" s="47"/>
      <c r="O112" s="47"/>
      <c r="P112" s="47"/>
      <c r="Q112" s="47"/>
      <c r="R112" s="50">
        <v>0</v>
      </c>
      <c r="S112" s="51">
        <v>0</v>
      </c>
      <c r="T112" s="51">
        <v>0</v>
      </c>
      <c r="U112" s="51">
        <v>0</v>
      </c>
      <c r="V112" s="51">
        <v>0</v>
      </c>
      <c r="W112" s="51">
        <v>2.3333333333333335</v>
      </c>
      <c r="X112" s="51">
        <v>4.666666666666667</v>
      </c>
      <c r="Y112" s="50">
        <v>7</v>
      </c>
      <c r="Z112" s="51">
        <v>7</v>
      </c>
      <c r="AA112" s="38">
        <v>20</v>
      </c>
      <c r="AB112" s="420">
        <v>0.8</v>
      </c>
    </row>
    <row r="113" spans="1:28" s="49" customFormat="1">
      <c r="A113" s="45"/>
      <c r="B113" s="46" t="s">
        <v>817</v>
      </c>
      <c r="C113" s="47"/>
      <c r="D113" s="47"/>
      <c r="E113" s="47"/>
      <c r="F113" s="47"/>
      <c r="G113" s="47"/>
      <c r="H113" s="47"/>
      <c r="I113" s="47"/>
      <c r="J113" s="47"/>
      <c r="K113" s="47"/>
      <c r="L113" s="47"/>
      <c r="M113" s="47"/>
      <c r="N113" s="47"/>
      <c r="O113" s="47"/>
      <c r="P113" s="47"/>
      <c r="Q113" s="47"/>
      <c r="R113" s="52">
        <v>0</v>
      </c>
      <c r="S113" s="52">
        <v>0</v>
      </c>
      <c r="T113" s="52">
        <v>0</v>
      </c>
      <c r="U113" s="52">
        <v>0</v>
      </c>
      <c r="V113" s="52">
        <v>0</v>
      </c>
      <c r="W113" s="70">
        <v>4</v>
      </c>
      <c r="X113" s="70">
        <v>4</v>
      </c>
      <c r="Y113" s="70">
        <v>0</v>
      </c>
      <c r="Z113" s="70">
        <v>0</v>
      </c>
      <c r="AA113" s="429"/>
      <c r="AB113" s="430"/>
    </row>
    <row r="114" spans="1:28" s="49" customFormat="1">
      <c r="A114" s="45"/>
      <c r="B114" s="46"/>
      <c r="C114" s="48"/>
      <c r="D114" s="422"/>
      <c r="E114" s="422"/>
      <c r="F114" s="422"/>
      <c r="G114" s="83"/>
      <c r="H114" s="83"/>
      <c r="I114" s="83"/>
      <c r="J114" s="83"/>
      <c r="K114" s="83"/>
      <c r="L114" s="48"/>
      <c r="M114" s="48"/>
      <c r="N114" s="83"/>
      <c r="O114" s="83"/>
      <c r="P114" s="48"/>
      <c r="Q114" s="48"/>
      <c r="R114" s="53"/>
      <c r="S114" s="53"/>
      <c r="T114" s="53"/>
      <c r="U114" s="53"/>
      <c r="V114" s="53"/>
      <c r="W114" s="53"/>
      <c r="X114" s="53"/>
      <c r="Y114" s="53"/>
      <c r="Z114" s="53"/>
      <c r="AA114" s="429"/>
      <c r="AB114" s="430"/>
    </row>
    <row r="115" spans="1:28">
      <c r="A115" s="41" t="s">
        <v>696</v>
      </c>
      <c r="B115" s="42" t="s">
        <v>818</v>
      </c>
      <c r="C115" s="47"/>
      <c r="D115" s="47"/>
      <c r="E115" s="47"/>
      <c r="F115" s="47"/>
      <c r="G115" s="47"/>
      <c r="H115" s="47"/>
      <c r="I115" s="47"/>
      <c r="J115" s="47"/>
      <c r="K115" s="47"/>
      <c r="L115" s="47"/>
      <c r="M115" s="47"/>
      <c r="N115" s="47"/>
      <c r="O115" s="47"/>
      <c r="P115" s="47"/>
      <c r="Q115" s="47"/>
      <c r="R115" s="50">
        <v>0</v>
      </c>
      <c r="S115" s="51">
        <v>0</v>
      </c>
      <c r="T115" s="51">
        <v>0</v>
      </c>
      <c r="U115" s="51">
        <v>0</v>
      </c>
      <c r="V115" s="51">
        <v>0</v>
      </c>
      <c r="W115" s="51">
        <v>2.3333333333333335</v>
      </c>
      <c r="X115" s="51">
        <v>4.666666666666667</v>
      </c>
      <c r="Y115" s="50">
        <v>7</v>
      </c>
      <c r="Z115" s="51">
        <v>7</v>
      </c>
      <c r="AA115" s="38">
        <v>20</v>
      </c>
      <c r="AB115" s="420">
        <v>0.8</v>
      </c>
    </row>
    <row r="116" spans="1:28" s="49" customFormat="1">
      <c r="A116" s="45"/>
      <c r="B116" s="46" t="s">
        <v>819</v>
      </c>
      <c r="C116" s="47"/>
      <c r="D116" s="47"/>
      <c r="E116" s="47"/>
      <c r="F116" s="47"/>
      <c r="G116" s="47"/>
      <c r="H116" s="47"/>
      <c r="I116" s="47"/>
      <c r="J116" s="47"/>
      <c r="K116" s="47"/>
      <c r="L116" s="47"/>
      <c r="M116" s="47"/>
      <c r="N116" s="47"/>
      <c r="O116" s="47"/>
      <c r="P116" s="47"/>
      <c r="Q116" s="47"/>
      <c r="R116" s="52">
        <v>0</v>
      </c>
      <c r="S116" s="52">
        <v>0</v>
      </c>
      <c r="T116" s="52">
        <v>0</v>
      </c>
      <c r="U116" s="52">
        <v>0</v>
      </c>
      <c r="V116" s="52">
        <v>0</v>
      </c>
      <c r="W116" s="70">
        <v>4</v>
      </c>
      <c r="X116" s="70">
        <v>4</v>
      </c>
      <c r="Y116" s="70">
        <v>0</v>
      </c>
      <c r="Z116" s="70">
        <v>0</v>
      </c>
      <c r="AB116" s="421"/>
    </row>
    <row r="117" spans="1:28" s="49" customFormat="1">
      <c r="A117" s="45"/>
      <c r="B117" s="46"/>
      <c r="C117" s="48"/>
      <c r="D117" s="422"/>
      <c r="E117" s="422"/>
      <c r="F117" s="422"/>
      <c r="G117" s="83"/>
      <c r="H117" s="83"/>
      <c r="I117" s="83"/>
      <c r="J117" s="83"/>
      <c r="K117" s="83"/>
      <c r="L117" s="48"/>
      <c r="M117" s="48"/>
      <c r="N117" s="83"/>
      <c r="O117" s="83"/>
      <c r="P117" s="48"/>
      <c r="Q117" s="48"/>
      <c r="R117" s="53"/>
      <c r="S117" s="53"/>
      <c r="T117" s="53"/>
      <c r="U117" s="53"/>
      <c r="V117" s="53"/>
      <c r="W117" s="53"/>
      <c r="X117" s="53"/>
      <c r="Y117" s="53"/>
      <c r="Z117" s="53"/>
      <c r="AB117" s="421"/>
    </row>
    <row r="118" spans="1:28">
      <c r="A118" s="41" t="s">
        <v>697</v>
      </c>
      <c r="B118" s="42" t="s">
        <v>820</v>
      </c>
      <c r="C118" s="47"/>
      <c r="D118" s="47"/>
      <c r="E118" s="47"/>
      <c r="F118" s="47"/>
      <c r="G118" s="47"/>
      <c r="H118" s="47"/>
      <c r="I118" s="47"/>
      <c r="J118" s="47"/>
      <c r="K118" s="47"/>
      <c r="L118" s="47"/>
      <c r="M118" s="47"/>
      <c r="N118" s="47"/>
      <c r="O118" s="47"/>
      <c r="P118" s="47"/>
      <c r="Q118" s="47"/>
      <c r="R118" s="50">
        <v>0</v>
      </c>
      <c r="S118" s="51">
        <v>0</v>
      </c>
      <c r="T118" s="51">
        <v>0</v>
      </c>
      <c r="U118" s="51">
        <v>0</v>
      </c>
      <c r="V118" s="51">
        <v>0</v>
      </c>
      <c r="W118" s="51">
        <v>2.3333333333333335</v>
      </c>
      <c r="X118" s="51">
        <v>4.666666666666667</v>
      </c>
      <c r="Y118" s="50">
        <v>7</v>
      </c>
      <c r="Z118" s="51">
        <v>7</v>
      </c>
      <c r="AA118" s="38">
        <v>10</v>
      </c>
      <c r="AB118" s="420">
        <v>0.4</v>
      </c>
    </row>
    <row r="119" spans="1:28" s="49" customFormat="1">
      <c r="A119" s="45"/>
      <c r="B119" s="46" t="s">
        <v>821</v>
      </c>
      <c r="C119" s="47"/>
      <c r="D119" s="47"/>
      <c r="E119" s="47"/>
      <c r="F119" s="47"/>
      <c r="G119" s="47"/>
      <c r="H119" s="47"/>
      <c r="I119" s="47"/>
      <c r="J119" s="47"/>
      <c r="K119" s="47"/>
      <c r="L119" s="47"/>
      <c r="M119" s="47"/>
      <c r="N119" s="47"/>
      <c r="O119" s="47"/>
      <c r="P119" s="47"/>
      <c r="Q119" s="47"/>
      <c r="R119" s="52">
        <v>0</v>
      </c>
      <c r="S119" s="52">
        <v>0</v>
      </c>
      <c r="T119" s="52">
        <v>0</v>
      </c>
      <c r="U119" s="52">
        <v>0</v>
      </c>
      <c r="V119" s="52">
        <v>0</v>
      </c>
      <c r="W119" s="70">
        <v>2</v>
      </c>
      <c r="X119" s="70">
        <v>2</v>
      </c>
      <c r="Y119" s="70">
        <v>0</v>
      </c>
      <c r="Z119" s="70">
        <v>0</v>
      </c>
      <c r="AB119" s="421"/>
    </row>
    <row r="120" spans="1:28" s="49" customFormat="1">
      <c r="A120" s="45"/>
      <c r="B120" s="46"/>
      <c r="C120" s="48"/>
      <c r="D120" s="422"/>
      <c r="E120" s="422"/>
      <c r="F120" s="422"/>
      <c r="G120" s="83"/>
      <c r="H120" s="83"/>
      <c r="I120" s="83"/>
      <c r="J120" s="83"/>
      <c r="K120" s="83"/>
      <c r="L120" s="48"/>
      <c r="M120" s="48"/>
      <c r="N120" s="83"/>
      <c r="O120" s="83"/>
      <c r="P120" s="48"/>
      <c r="Q120" s="48"/>
      <c r="R120" s="53"/>
      <c r="S120" s="53"/>
      <c r="T120" s="53"/>
      <c r="U120" s="53"/>
      <c r="V120" s="53"/>
      <c r="W120" s="53"/>
      <c r="X120" s="53"/>
      <c r="Y120" s="53"/>
      <c r="Z120" s="53"/>
      <c r="AB120" s="421"/>
    </row>
    <row r="121" spans="1:28">
      <c r="A121" s="41" t="s">
        <v>698</v>
      </c>
      <c r="B121" s="42" t="s">
        <v>822</v>
      </c>
      <c r="C121" s="47"/>
      <c r="D121" s="47"/>
      <c r="E121" s="47"/>
      <c r="F121" s="47"/>
      <c r="G121" s="47"/>
      <c r="H121" s="47"/>
      <c r="I121" s="47"/>
      <c r="J121" s="47"/>
      <c r="K121" s="47"/>
      <c r="L121" s="47"/>
      <c r="M121" s="47"/>
      <c r="N121" s="47"/>
      <c r="O121" s="47"/>
      <c r="P121" s="47"/>
      <c r="Q121" s="47"/>
      <c r="R121" s="50">
        <v>0</v>
      </c>
      <c r="S121" s="51">
        <v>0</v>
      </c>
      <c r="T121" s="51">
        <v>0</v>
      </c>
      <c r="U121" s="51">
        <v>0</v>
      </c>
      <c r="V121" s="51">
        <v>0</v>
      </c>
      <c r="W121" s="51">
        <v>1.3333333333333333</v>
      </c>
      <c r="X121" s="51">
        <v>2.6666666666666665</v>
      </c>
      <c r="Y121" s="50">
        <v>4</v>
      </c>
      <c r="Z121" s="51">
        <v>4</v>
      </c>
      <c r="AA121" s="38">
        <v>10</v>
      </c>
      <c r="AB121" s="420">
        <v>0.4</v>
      </c>
    </row>
    <row r="122" spans="1:28" s="49" customFormat="1">
      <c r="A122" s="45"/>
      <c r="B122" s="46" t="s">
        <v>823</v>
      </c>
      <c r="C122" s="47"/>
      <c r="D122" s="47"/>
      <c r="E122" s="47"/>
      <c r="F122" s="47"/>
      <c r="G122" s="47"/>
      <c r="H122" s="47"/>
      <c r="I122" s="47"/>
      <c r="J122" s="47"/>
      <c r="K122" s="47"/>
      <c r="L122" s="47"/>
      <c r="M122" s="47"/>
      <c r="N122" s="47"/>
      <c r="O122" s="47"/>
      <c r="P122" s="47"/>
      <c r="Q122" s="47"/>
      <c r="R122" s="52">
        <v>0</v>
      </c>
      <c r="S122" s="52">
        <v>0</v>
      </c>
      <c r="T122" s="52">
        <v>0</v>
      </c>
      <c r="U122" s="52">
        <v>0</v>
      </c>
      <c r="V122" s="52">
        <v>0</v>
      </c>
      <c r="W122" s="70">
        <v>2</v>
      </c>
      <c r="X122" s="70">
        <v>2</v>
      </c>
      <c r="Y122" s="70">
        <v>0</v>
      </c>
      <c r="Z122" s="70">
        <v>0</v>
      </c>
      <c r="AB122" s="421"/>
    </row>
    <row r="123" spans="1:28" s="49" customFormat="1">
      <c r="A123" s="45"/>
      <c r="B123" s="46"/>
      <c r="C123" s="48"/>
      <c r="D123" s="422"/>
      <c r="E123" s="422"/>
      <c r="F123" s="422"/>
      <c r="G123" s="83"/>
      <c r="H123" s="83"/>
      <c r="I123" s="83"/>
      <c r="J123" s="83"/>
      <c r="K123" s="83"/>
      <c r="L123" s="48"/>
      <c r="M123" s="48"/>
      <c r="N123" s="83"/>
      <c r="O123" s="83"/>
      <c r="P123" s="48"/>
      <c r="Q123" s="48"/>
      <c r="R123" s="53"/>
      <c r="S123" s="53"/>
      <c r="T123" s="53"/>
      <c r="U123" s="53"/>
      <c r="V123" s="53"/>
      <c r="W123" s="53"/>
      <c r="X123" s="53"/>
      <c r="Y123" s="53"/>
      <c r="Z123" s="53"/>
      <c r="AB123" s="421"/>
    </row>
    <row r="124" spans="1:28">
      <c r="A124" s="41" t="s">
        <v>699</v>
      </c>
      <c r="B124" s="42" t="s">
        <v>202</v>
      </c>
      <c r="C124" s="47"/>
      <c r="D124" s="47"/>
      <c r="E124" s="47"/>
      <c r="F124" s="47"/>
      <c r="G124" s="47"/>
      <c r="H124" s="47"/>
      <c r="I124" s="47"/>
      <c r="J124" s="47"/>
      <c r="K124" s="47"/>
      <c r="L124" s="47"/>
      <c r="M124" s="47"/>
      <c r="N124" s="47"/>
      <c r="O124" s="47"/>
      <c r="P124" s="47"/>
      <c r="Q124" s="47"/>
      <c r="R124" s="50">
        <v>0</v>
      </c>
      <c r="S124" s="51">
        <v>0</v>
      </c>
      <c r="T124" s="51">
        <v>0</v>
      </c>
      <c r="U124" s="51">
        <v>0</v>
      </c>
      <c r="V124" s="51">
        <v>0</v>
      </c>
      <c r="W124" s="51">
        <v>0.66666666666666663</v>
      </c>
      <c r="X124" s="51">
        <v>1.3333333333333333</v>
      </c>
      <c r="Y124" s="50">
        <v>2</v>
      </c>
      <c r="Z124" s="51">
        <v>2</v>
      </c>
      <c r="AA124" s="38">
        <v>10</v>
      </c>
      <c r="AB124" s="420">
        <v>0.4</v>
      </c>
    </row>
    <row r="125" spans="1:28" s="49" customFormat="1">
      <c r="A125" s="45"/>
      <c r="B125" s="46" t="s">
        <v>203</v>
      </c>
      <c r="C125" s="47"/>
      <c r="D125" s="47"/>
      <c r="E125" s="47"/>
      <c r="F125" s="47"/>
      <c r="G125" s="47"/>
      <c r="H125" s="47"/>
      <c r="I125" s="47"/>
      <c r="J125" s="47"/>
      <c r="K125" s="47"/>
      <c r="L125" s="47"/>
      <c r="M125" s="47"/>
      <c r="N125" s="47"/>
      <c r="O125" s="47"/>
      <c r="P125" s="47"/>
      <c r="Q125" s="47"/>
      <c r="R125" s="52">
        <v>0</v>
      </c>
      <c r="S125" s="52">
        <v>0</v>
      </c>
      <c r="T125" s="52">
        <v>0</v>
      </c>
      <c r="U125" s="52">
        <v>0</v>
      </c>
      <c r="V125" s="52">
        <v>0</v>
      </c>
      <c r="W125" s="70">
        <v>4</v>
      </c>
      <c r="X125" s="70">
        <v>4</v>
      </c>
      <c r="Y125" s="70">
        <v>0</v>
      </c>
      <c r="Z125" s="70">
        <v>0</v>
      </c>
      <c r="AB125" s="421"/>
    </row>
    <row r="126" spans="1:28">
      <c r="B126" s="46"/>
      <c r="C126" s="48"/>
      <c r="D126" s="422"/>
      <c r="E126" s="422"/>
      <c r="F126" s="422"/>
      <c r="G126" s="83"/>
      <c r="H126" s="83"/>
      <c r="I126" s="83"/>
      <c r="J126" s="83"/>
      <c r="K126" s="83"/>
      <c r="L126" s="48"/>
      <c r="M126" s="48"/>
      <c r="N126" s="83"/>
      <c r="O126" s="83"/>
      <c r="P126" s="48"/>
      <c r="Q126" s="48"/>
      <c r="R126" s="53"/>
      <c r="S126" s="53"/>
      <c r="T126" s="53"/>
      <c r="U126" s="53"/>
      <c r="V126" s="53"/>
      <c r="W126" s="53"/>
      <c r="X126" s="53"/>
      <c r="Y126" s="53"/>
      <c r="Z126" s="53"/>
      <c r="AB126" s="420"/>
    </row>
    <row r="127" spans="1:28">
      <c r="A127" s="41" t="s">
        <v>700</v>
      </c>
      <c r="B127" s="42" t="s">
        <v>213</v>
      </c>
      <c r="C127" s="47"/>
      <c r="D127" s="47"/>
      <c r="E127" s="47"/>
      <c r="F127" s="47"/>
      <c r="G127" s="47"/>
      <c r="H127" s="47"/>
      <c r="I127" s="47"/>
      <c r="J127" s="47"/>
      <c r="K127" s="47"/>
      <c r="L127" s="47"/>
      <c r="M127" s="47"/>
      <c r="N127" s="47"/>
      <c r="O127" s="47"/>
      <c r="P127" s="47"/>
      <c r="Q127" s="47"/>
      <c r="R127" s="50">
        <v>0</v>
      </c>
      <c r="S127" s="51">
        <v>0</v>
      </c>
      <c r="T127" s="51">
        <v>0</v>
      </c>
      <c r="U127" s="51">
        <v>0</v>
      </c>
      <c r="V127" s="51">
        <v>0</v>
      </c>
      <c r="W127" s="51">
        <v>0.66666666666666663</v>
      </c>
      <c r="X127" s="51">
        <v>1.3333333333333333</v>
      </c>
      <c r="Y127" s="50">
        <v>2</v>
      </c>
      <c r="Z127" s="51">
        <v>2</v>
      </c>
      <c r="AA127" s="38">
        <v>10</v>
      </c>
      <c r="AB127" s="420">
        <v>0.4</v>
      </c>
    </row>
    <row r="128" spans="1:28" s="49" customFormat="1">
      <c r="A128" s="45"/>
      <c r="B128" s="46" t="s">
        <v>212</v>
      </c>
      <c r="C128" s="47"/>
      <c r="D128" s="47"/>
      <c r="E128" s="47"/>
      <c r="F128" s="47"/>
      <c r="G128" s="47"/>
      <c r="H128" s="47"/>
      <c r="I128" s="47"/>
      <c r="J128" s="47"/>
      <c r="K128" s="47"/>
      <c r="L128" s="47"/>
      <c r="M128" s="47"/>
      <c r="N128" s="47"/>
      <c r="O128" s="47"/>
      <c r="P128" s="47"/>
      <c r="Q128" s="47"/>
      <c r="R128" s="52">
        <v>0</v>
      </c>
      <c r="S128" s="52">
        <v>0</v>
      </c>
      <c r="T128" s="52">
        <v>0</v>
      </c>
      <c r="U128" s="52">
        <v>0</v>
      </c>
      <c r="V128" s="52">
        <v>0</v>
      </c>
      <c r="W128" s="70">
        <v>3</v>
      </c>
      <c r="X128" s="70">
        <v>3</v>
      </c>
      <c r="Y128" s="70">
        <v>0</v>
      </c>
      <c r="Z128" s="70">
        <v>0</v>
      </c>
      <c r="AB128" s="421"/>
    </row>
    <row r="129" spans="1:28" s="49" customFormat="1">
      <c r="A129" s="45"/>
      <c r="B129" s="46"/>
      <c r="C129" s="48"/>
      <c r="D129" s="422"/>
      <c r="E129" s="422"/>
      <c r="F129" s="422"/>
      <c r="G129" s="83"/>
      <c r="H129" s="83"/>
      <c r="I129" s="83"/>
      <c r="J129" s="83"/>
      <c r="K129" s="83"/>
      <c r="L129" s="48"/>
      <c r="M129" s="48"/>
      <c r="N129" s="83"/>
      <c r="O129" s="83"/>
      <c r="P129" s="48"/>
      <c r="Q129" s="48"/>
      <c r="R129" s="53"/>
      <c r="S129" s="53"/>
      <c r="T129" s="53"/>
      <c r="U129" s="53"/>
      <c r="V129" s="53"/>
      <c r="W129" s="53"/>
      <c r="X129" s="53"/>
      <c r="Y129" s="53"/>
      <c r="Z129" s="53"/>
      <c r="AB129" s="421"/>
    </row>
    <row r="130" spans="1:28">
      <c r="A130" s="41" t="s">
        <v>701</v>
      </c>
      <c r="B130" s="42" t="s">
        <v>211</v>
      </c>
      <c r="C130" s="47"/>
      <c r="D130" s="47"/>
      <c r="E130" s="47"/>
      <c r="F130" s="47"/>
      <c r="G130" s="47"/>
      <c r="H130" s="47"/>
      <c r="I130" s="47"/>
      <c r="J130" s="47"/>
      <c r="K130" s="47"/>
      <c r="L130" s="47"/>
      <c r="M130" s="47"/>
      <c r="N130" s="47"/>
      <c r="O130" s="47"/>
      <c r="P130" s="47"/>
      <c r="Q130" s="47"/>
      <c r="R130" s="50">
        <v>0</v>
      </c>
      <c r="S130" s="51">
        <v>0</v>
      </c>
      <c r="T130" s="51">
        <v>0</v>
      </c>
      <c r="U130" s="51">
        <v>0</v>
      </c>
      <c r="V130" s="51">
        <v>0</v>
      </c>
      <c r="W130" s="51">
        <v>0.66666666666666663</v>
      </c>
      <c r="X130" s="51">
        <v>1.3333333333333333</v>
      </c>
      <c r="Y130" s="50">
        <v>2</v>
      </c>
      <c r="Z130" s="51">
        <v>2</v>
      </c>
      <c r="AA130" s="38">
        <v>5</v>
      </c>
      <c r="AB130" s="420">
        <v>0.2</v>
      </c>
    </row>
    <row r="131" spans="1:28" s="49" customFormat="1">
      <c r="A131" s="45"/>
      <c r="B131" s="46" t="s">
        <v>210</v>
      </c>
      <c r="C131" s="47"/>
      <c r="D131" s="47"/>
      <c r="E131" s="47"/>
      <c r="F131" s="47"/>
      <c r="G131" s="47"/>
      <c r="H131" s="47"/>
      <c r="I131" s="47"/>
      <c r="J131" s="47"/>
      <c r="K131" s="47"/>
      <c r="L131" s="47"/>
      <c r="M131" s="47"/>
      <c r="N131" s="47"/>
      <c r="O131" s="47"/>
      <c r="P131" s="47"/>
      <c r="Q131" s="47"/>
      <c r="R131" s="52">
        <v>0</v>
      </c>
      <c r="S131" s="52">
        <v>0</v>
      </c>
      <c r="T131" s="52">
        <v>0</v>
      </c>
      <c r="U131" s="52">
        <v>0</v>
      </c>
      <c r="V131" s="52">
        <v>0</v>
      </c>
      <c r="W131" s="70">
        <v>2</v>
      </c>
      <c r="X131" s="70">
        <v>2</v>
      </c>
      <c r="Y131" s="70">
        <v>0</v>
      </c>
      <c r="Z131" s="70">
        <v>0</v>
      </c>
      <c r="AB131" s="421"/>
    </row>
    <row r="132" spans="1:28" s="49" customFormat="1">
      <c r="A132" s="45"/>
      <c r="B132" s="46"/>
      <c r="C132" s="48"/>
      <c r="D132" s="422"/>
      <c r="E132" s="422"/>
      <c r="F132" s="422"/>
      <c r="G132" s="83"/>
      <c r="H132" s="83"/>
      <c r="I132" s="83"/>
      <c r="J132" s="83"/>
      <c r="K132" s="83"/>
      <c r="L132" s="48"/>
      <c r="M132" s="48"/>
      <c r="N132" s="83"/>
      <c r="O132" s="83"/>
      <c r="P132" s="48"/>
      <c r="Q132" s="48"/>
      <c r="R132" s="53"/>
      <c r="S132" s="53"/>
      <c r="T132" s="53"/>
      <c r="U132" s="53"/>
      <c r="V132" s="53"/>
      <c r="W132" s="53"/>
      <c r="X132" s="53"/>
      <c r="Y132" s="53"/>
      <c r="Z132" s="53"/>
      <c r="AB132" s="421"/>
    </row>
    <row r="133" spans="1:28">
      <c r="A133" s="41" t="s">
        <v>702</v>
      </c>
      <c r="B133" s="42" t="s">
        <v>209</v>
      </c>
      <c r="C133" s="47"/>
      <c r="D133" s="47"/>
      <c r="E133" s="47"/>
      <c r="F133" s="47"/>
      <c r="G133" s="47"/>
      <c r="H133" s="47"/>
      <c r="I133" s="47"/>
      <c r="J133" s="47"/>
      <c r="K133" s="47"/>
      <c r="L133" s="47"/>
      <c r="M133" s="47"/>
      <c r="N133" s="47"/>
      <c r="O133" s="47"/>
      <c r="P133" s="47"/>
      <c r="Q133" s="47"/>
      <c r="R133" s="50">
        <v>0</v>
      </c>
      <c r="S133" s="51">
        <v>0</v>
      </c>
      <c r="T133" s="51">
        <v>0</v>
      </c>
      <c r="U133" s="51">
        <v>0</v>
      </c>
      <c r="V133" s="51">
        <v>0</v>
      </c>
      <c r="W133" s="51">
        <v>0.33333333333333331</v>
      </c>
      <c r="X133" s="51">
        <v>0.66666666666666663</v>
      </c>
      <c r="Y133" s="50">
        <v>1</v>
      </c>
      <c r="Z133" s="51">
        <v>1</v>
      </c>
      <c r="AA133" s="38">
        <v>5</v>
      </c>
      <c r="AB133" s="420">
        <v>0.2</v>
      </c>
    </row>
    <row r="134" spans="1:28" s="49" customFormat="1">
      <c r="A134" s="45"/>
      <c r="B134" s="46" t="s">
        <v>208</v>
      </c>
      <c r="C134" s="47"/>
      <c r="D134" s="47"/>
      <c r="E134" s="47"/>
      <c r="F134" s="47"/>
      <c r="G134" s="47"/>
      <c r="H134" s="47"/>
      <c r="I134" s="47"/>
      <c r="J134" s="47"/>
      <c r="K134" s="47"/>
      <c r="L134" s="47"/>
      <c r="M134" s="47"/>
      <c r="N134" s="47"/>
      <c r="O134" s="47"/>
      <c r="P134" s="47"/>
      <c r="Q134" s="47"/>
      <c r="R134" s="52">
        <v>0</v>
      </c>
      <c r="S134" s="52">
        <v>0</v>
      </c>
      <c r="T134" s="52">
        <v>0</v>
      </c>
      <c r="U134" s="52">
        <v>0</v>
      </c>
      <c r="V134" s="52">
        <v>0</v>
      </c>
      <c r="W134" s="70">
        <v>1</v>
      </c>
      <c r="X134" s="70">
        <v>1</v>
      </c>
      <c r="Y134" s="70">
        <v>0</v>
      </c>
      <c r="Z134" s="70">
        <v>0</v>
      </c>
      <c r="AB134" s="421"/>
    </row>
    <row r="135" spans="1:28" s="49" customFormat="1">
      <c r="A135" s="45"/>
      <c r="B135" s="46"/>
      <c r="C135" s="48"/>
      <c r="D135" s="422"/>
      <c r="E135" s="422"/>
      <c r="F135" s="422"/>
      <c r="G135" s="83"/>
      <c r="H135" s="83"/>
      <c r="I135" s="83"/>
      <c r="J135" s="83"/>
      <c r="K135" s="83"/>
      <c r="L135" s="48"/>
      <c r="M135" s="48"/>
      <c r="N135" s="83"/>
      <c r="O135" s="83"/>
      <c r="P135" s="48"/>
      <c r="Q135" s="48"/>
      <c r="R135" s="53"/>
      <c r="S135" s="53"/>
      <c r="T135" s="53"/>
      <c r="U135" s="53"/>
      <c r="V135" s="53"/>
      <c r="W135" s="53"/>
      <c r="X135" s="53"/>
      <c r="Y135" s="53"/>
      <c r="Z135" s="53"/>
      <c r="AB135" s="421"/>
    </row>
    <row r="136" spans="1:28">
      <c r="A136" s="41" t="s">
        <v>703</v>
      </c>
      <c r="B136" s="42" t="s">
        <v>824</v>
      </c>
      <c r="C136" s="47"/>
      <c r="D136" s="47"/>
      <c r="E136" s="47"/>
      <c r="F136" s="47"/>
      <c r="G136" s="47"/>
      <c r="H136" s="47"/>
      <c r="I136" s="47"/>
      <c r="J136" s="47"/>
      <c r="K136" s="47"/>
      <c r="L136" s="47"/>
      <c r="M136" s="47"/>
      <c r="N136" s="47"/>
      <c r="O136" s="47"/>
      <c r="P136" s="47"/>
      <c r="Q136" s="47"/>
      <c r="R136" s="50">
        <v>0</v>
      </c>
      <c r="S136" s="51">
        <v>0</v>
      </c>
      <c r="T136" s="51">
        <v>0</v>
      </c>
      <c r="U136" s="51">
        <v>0</v>
      </c>
      <c r="V136" s="51">
        <v>0</v>
      </c>
      <c r="W136" s="51">
        <v>0.33333333333333331</v>
      </c>
      <c r="X136" s="51">
        <v>0.66666666666666663</v>
      </c>
      <c r="Y136" s="50">
        <v>1</v>
      </c>
      <c r="Z136" s="51">
        <v>1</v>
      </c>
      <c r="AA136" s="38">
        <v>10</v>
      </c>
      <c r="AB136" s="420">
        <v>0.4</v>
      </c>
    </row>
    <row r="137" spans="1:28" s="49" customFormat="1">
      <c r="A137" s="45"/>
      <c r="B137" s="46" t="s">
        <v>825</v>
      </c>
      <c r="C137" s="47"/>
      <c r="D137" s="47"/>
      <c r="E137" s="47"/>
      <c r="F137" s="47"/>
      <c r="G137" s="47"/>
      <c r="H137" s="47"/>
      <c r="I137" s="47"/>
      <c r="J137" s="47"/>
      <c r="K137" s="47"/>
      <c r="L137" s="47"/>
      <c r="M137" s="47"/>
      <c r="N137" s="47"/>
      <c r="O137" s="47"/>
      <c r="P137" s="47"/>
      <c r="Q137" s="47"/>
      <c r="R137" s="52">
        <v>0</v>
      </c>
      <c r="S137" s="52">
        <v>0</v>
      </c>
      <c r="T137" s="52">
        <v>0</v>
      </c>
      <c r="U137" s="52">
        <v>0</v>
      </c>
      <c r="V137" s="52">
        <v>0</v>
      </c>
      <c r="W137" s="70">
        <v>3</v>
      </c>
      <c r="X137" s="70">
        <v>3</v>
      </c>
      <c r="Y137" s="70">
        <v>0</v>
      </c>
      <c r="Z137" s="70">
        <v>0</v>
      </c>
      <c r="AB137" s="421"/>
    </row>
    <row r="138" spans="1:28">
      <c r="C138" s="48"/>
      <c r="D138" s="422"/>
      <c r="E138" s="422"/>
      <c r="F138" s="422"/>
      <c r="G138" s="83"/>
      <c r="H138" s="83"/>
      <c r="I138" s="83"/>
      <c r="J138" s="83"/>
      <c r="K138" s="83"/>
      <c r="L138" s="48"/>
      <c r="M138" s="48"/>
      <c r="N138" s="83"/>
      <c r="O138" s="83"/>
      <c r="P138" s="48"/>
      <c r="Q138" s="48"/>
      <c r="R138" s="53"/>
      <c r="S138" s="53"/>
      <c r="T138" s="53"/>
      <c r="U138" s="53"/>
      <c r="V138" s="53"/>
      <c r="W138" s="53"/>
      <c r="X138" s="53"/>
      <c r="Y138" s="53"/>
      <c r="Z138" s="53"/>
      <c r="AB138" s="420"/>
    </row>
    <row r="139" spans="1:28">
      <c r="A139" s="41" t="s">
        <v>704</v>
      </c>
      <c r="B139" s="42" t="s">
        <v>826</v>
      </c>
      <c r="C139" s="47"/>
      <c r="D139" s="47"/>
      <c r="E139" s="47"/>
      <c r="F139" s="47"/>
      <c r="G139" s="47"/>
      <c r="H139" s="47"/>
      <c r="I139" s="47"/>
      <c r="J139" s="47"/>
      <c r="K139" s="47"/>
      <c r="L139" s="47"/>
      <c r="M139" s="47"/>
      <c r="N139" s="47"/>
      <c r="O139" s="47"/>
      <c r="P139" s="47"/>
      <c r="Q139" s="47"/>
      <c r="R139" s="50">
        <v>0</v>
      </c>
      <c r="S139" s="51">
        <v>0</v>
      </c>
      <c r="T139" s="51">
        <v>0</v>
      </c>
      <c r="U139" s="51">
        <v>0</v>
      </c>
      <c r="V139" s="51">
        <v>0</v>
      </c>
      <c r="W139" s="51">
        <v>0.33333333333333331</v>
      </c>
      <c r="X139" s="51">
        <v>0.66666666666666663</v>
      </c>
      <c r="Y139" s="50">
        <v>1</v>
      </c>
      <c r="Z139" s="51">
        <v>1</v>
      </c>
      <c r="AA139" s="38">
        <v>10</v>
      </c>
      <c r="AB139" s="420">
        <v>0.4</v>
      </c>
    </row>
    <row r="140" spans="1:28" s="49" customFormat="1">
      <c r="A140" s="45"/>
      <c r="B140" s="46" t="s">
        <v>827</v>
      </c>
      <c r="C140" s="47"/>
      <c r="D140" s="47"/>
      <c r="E140" s="47"/>
      <c r="F140" s="47"/>
      <c r="G140" s="47"/>
      <c r="H140" s="47"/>
      <c r="I140" s="47"/>
      <c r="J140" s="47"/>
      <c r="K140" s="47"/>
      <c r="L140" s="47"/>
      <c r="M140" s="47"/>
      <c r="N140" s="47"/>
      <c r="O140" s="47"/>
      <c r="P140" s="47"/>
      <c r="Q140" s="47"/>
      <c r="R140" s="52">
        <v>0</v>
      </c>
      <c r="S140" s="52">
        <v>0</v>
      </c>
      <c r="T140" s="52">
        <v>0</v>
      </c>
      <c r="U140" s="52">
        <v>0</v>
      </c>
      <c r="V140" s="52">
        <v>0</v>
      </c>
      <c r="W140" s="70">
        <v>0</v>
      </c>
      <c r="X140" s="70">
        <v>0</v>
      </c>
      <c r="Y140" s="70">
        <v>0</v>
      </c>
      <c r="Z140" s="70">
        <v>0</v>
      </c>
      <c r="AB140" s="421"/>
    </row>
    <row r="141" spans="1:28" s="49" customFormat="1">
      <c r="A141" s="45"/>
      <c r="B141" s="46"/>
      <c r="C141" s="48"/>
      <c r="D141" s="422"/>
      <c r="E141" s="422"/>
      <c r="F141" s="422"/>
      <c r="G141" s="83"/>
      <c r="H141" s="83"/>
      <c r="I141" s="83"/>
      <c r="J141" s="83"/>
      <c r="K141" s="83"/>
      <c r="L141" s="48"/>
      <c r="M141" s="48"/>
      <c r="N141" s="83"/>
      <c r="O141" s="83"/>
      <c r="P141" s="48"/>
      <c r="Q141" s="48"/>
      <c r="R141" s="53"/>
      <c r="S141" s="53"/>
      <c r="T141" s="53"/>
      <c r="U141" s="53"/>
      <c r="V141" s="53"/>
      <c r="W141" s="53"/>
      <c r="X141" s="53"/>
      <c r="Y141" s="53"/>
      <c r="Z141" s="53"/>
      <c r="AB141" s="421"/>
    </row>
    <row r="142" spans="1:28">
      <c r="A142" s="41" t="s">
        <v>705</v>
      </c>
      <c r="B142" s="42" t="s">
        <v>828</v>
      </c>
      <c r="C142" s="47"/>
      <c r="D142" s="47"/>
      <c r="E142" s="47"/>
      <c r="F142" s="47"/>
      <c r="G142" s="47"/>
      <c r="H142" s="47"/>
      <c r="I142" s="47"/>
      <c r="J142" s="47"/>
      <c r="K142" s="47"/>
      <c r="L142" s="47"/>
      <c r="M142" s="47"/>
      <c r="N142" s="47"/>
      <c r="O142" s="47"/>
      <c r="P142" s="47"/>
      <c r="Q142" s="47"/>
      <c r="R142" s="50">
        <v>0</v>
      </c>
      <c r="S142" s="51">
        <v>0</v>
      </c>
      <c r="T142" s="51">
        <v>0</v>
      </c>
      <c r="U142" s="51">
        <v>0</v>
      </c>
      <c r="V142" s="51">
        <v>0</v>
      </c>
      <c r="W142" s="51">
        <v>0.33333333333333331</v>
      </c>
      <c r="X142" s="51">
        <v>0.66666666666666663</v>
      </c>
      <c r="Y142" s="50">
        <v>1</v>
      </c>
      <c r="Z142" s="51">
        <v>1</v>
      </c>
      <c r="AA142" s="38">
        <v>5</v>
      </c>
      <c r="AB142" s="420">
        <v>0.2</v>
      </c>
    </row>
    <row r="143" spans="1:28" s="49" customFormat="1">
      <c r="A143" s="45"/>
      <c r="B143" s="46" t="s">
        <v>829</v>
      </c>
      <c r="C143" s="47"/>
      <c r="D143" s="47"/>
      <c r="E143" s="47"/>
      <c r="F143" s="47"/>
      <c r="G143" s="47"/>
      <c r="H143" s="47"/>
      <c r="I143" s="47"/>
      <c r="J143" s="47"/>
      <c r="K143" s="47"/>
      <c r="L143" s="47"/>
      <c r="M143" s="47"/>
      <c r="N143" s="47"/>
      <c r="O143" s="47"/>
      <c r="P143" s="47"/>
      <c r="Q143" s="47"/>
      <c r="R143" s="52">
        <v>0</v>
      </c>
      <c r="S143" s="52">
        <v>0</v>
      </c>
      <c r="T143" s="52">
        <v>0</v>
      </c>
      <c r="U143" s="52">
        <v>0</v>
      </c>
      <c r="V143" s="52">
        <v>0</v>
      </c>
      <c r="W143" s="70">
        <v>0</v>
      </c>
      <c r="X143" s="70">
        <v>0</v>
      </c>
      <c r="Y143" s="70">
        <v>0</v>
      </c>
      <c r="Z143" s="70">
        <v>0</v>
      </c>
      <c r="AB143" s="421"/>
    </row>
    <row r="144" spans="1:28" s="49" customFormat="1">
      <c r="A144" s="45"/>
      <c r="B144" s="46"/>
      <c r="C144" s="48"/>
      <c r="D144" s="422"/>
      <c r="E144" s="422"/>
      <c r="F144" s="422"/>
      <c r="G144" s="83"/>
      <c r="H144" s="83"/>
      <c r="I144" s="83"/>
      <c r="J144" s="83"/>
      <c r="K144" s="83"/>
      <c r="L144" s="48"/>
      <c r="M144" s="48"/>
      <c r="N144" s="83"/>
      <c r="O144" s="83"/>
      <c r="P144" s="48"/>
      <c r="Q144" s="48"/>
      <c r="R144" s="53"/>
      <c r="S144" s="53"/>
      <c r="T144" s="53"/>
      <c r="U144" s="53"/>
      <c r="V144" s="53"/>
      <c r="W144" s="53"/>
      <c r="X144" s="53"/>
      <c r="Y144" s="53"/>
      <c r="Z144" s="53"/>
      <c r="AB144" s="421"/>
    </row>
    <row r="145" spans="1:28">
      <c r="A145" s="41" t="s">
        <v>706</v>
      </c>
      <c r="B145" s="42" t="s">
        <v>830</v>
      </c>
      <c r="C145" s="47"/>
      <c r="D145" s="47"/>
      <c r="E145" s="47"/>
      <c r="F145" s="47"/>
      <c r="G145" s="47"/>
      <c r="H145" s="47"/>
      <c r="I145" s="47"/>
      <c r="J145" s="47"/>
      <c r="K145" s="47"/>
      <c r="L145" s="47"/>
      <c r="M145" s="47"/>
      <c r="N145" s="47"/>
      <c r="O145" s="47"/>
      <c r="P145" s="47"/>
      <c r="Q145" s="47"/>
      <c r="R145" s="50">
        <v>0</v>
      </c>
      <c r="S145" s="51">
        <v>0</v>
      </c>
      <c r="T145" s="51">
        <v>0</v>
      </c>
      <c r="U145" s="51">
        <v>0</v>
      </c>
      <c r="V145" s="51">
        <v>0</v>
      </c>
      <c r="W145" s="51">
        <v>0.33333333333333331</v>
      </c>
      <c r="X145" s="51">
        <v>0.66666666666666663</v>
      </c>
      <c r="Y145" s="50">
        <v>1</v>
      </c>
      <c r="Z145" s="51">
        <v>1</v>
      </c>
      <c r="AA145" s="38">
        <v>5</v>
      </c>
      <c r="AB145" s="420">
        <v>0.2</v>
      </c>
    </row>
    <row r="146" spans="1:28" s="49" customFormat="1">
      <c r="A146" s="45"/>
      <c r="B146" s="46" t="s">
        <v>831</v>
      </c>
      <c r="C146" s="47"/>
      <c r="D146" s="47"/>
      <c r="E146" s="47"/>
      <c r="F146" s="47"/>
      <c r="G146" s="47"/>
      <c r="H146" s="47"/>
      <c r="I146" s="47"/>
      <c r="J146" s="47"/>
      <c r="K146" s="47"/>
      <c r="L146" s="47"/>
      <c r="M146" s="47"/>
      <c r="N146" s="47"/>
      <c r="O146" s="47"/>
      <c r="P146" s="47"/>
      <c r="Q146" s="47"/>
      <c r="R146" s="52">
        <v>0</v>
      </c>
      <c r="S146" s="52">
        <v>0</v>
      </c>
      <c r="T146" s="52">
        <v>0</v>
      </c>
      <c r="U146" s="52">
        <v>0</v>
      </c>
      <c r="V146" s="52">
        <v>0</v>
      </c>
      <c r="W146" s="70">
        <v>0</v>
      </c>
      <c r="X146" s="70">
        <v>0</v>
      </c>
      <c r="Y146" s="70">
        <v>0</v>
      </c>
      <c r="Z146" s="70">
        <v>0</v>
      </c>
      <c r="AB146" s="421"/>
    </row>
    <row r="147" spans="1:28" s="49" customFormat="1">
      <c r="A147" s="45"/>
      <c r="B147" s="46"/>
      <c r="C147" s="53"/>
      <c r="D147" s="75"/>
      <c r="E147" s="75"/>
      <c r="F147" s="75"/>
      <c r="G147" s="75"/>
      <c r="H147" s="75"/>
      <c r="I147" s="75"/>
      <c r="J147" s="75"/>
      <c r="K147" s="75"/>
      <c r="L147" s="53"/>
      <c r="M147" s="53"/>
      <c r="N147" s="53"/>
      <c r="O147" s="53"/>
      <c r="P147" s="53"/>
      <c r="Q147" s="53"/>
      <c r="R147" s="53"/>
      <c r="S147" s="48"/>
      <c r="T147" s="48"/>
      <c r="U147" s="48"/>
      <c r="V147" s="48"/>
      <c r="W147" s="48"/>
      <c r="X147" s="48"/>
      <c r="Y147" s="48"/>
      <c r="Z147" s="48"/>
      <c r="AB147" s="421"/>
    </row>
    <row r="148" spans="1:28" ht="14.25">
      <c r="A148" s="38"/>
    </row>
    <row r="149" spans="1:28">
      <c r="C149" s="55" t="s">
        <v>194</v>
      </c>
      <c r="D149" s="431"/>
      <c r="E149" s="432"/>
      <c r="F149" s="433"/>
    </row>
    <row r="150" spans="1:28">
      <c r="C150" s="55" t="s">
        <v>195</v>
      </c>
      <c r="D150" s="434" t="s">
        <v>196</v>
      </c>
      <c r="E150" s="435" t="s">
        <v>153</v>
      </c>
      <c r="F150" s="435" t="s">
        <v>154</v>
      </c>
      <c r="G150" s="435" t="s">
        <v>158</v>
      </c>
      <c r="H150" s="434" t="s">
        <v>197</v>
      </c>
    </row>
    <row r="151" spans="1:28">
      <c r="C151" s="55"/>
      <c r="D151" s="434"/>
      <c r="E151" s="435"/>
      <c r="F151" s="435"/>
      <c r="G151" s="435"/>
      <c r="H151" s="434"/>
    </row>
    <row r="153" spans="1:28" ht="14.25">
      <c r="A153" s="1356" t="s">
        <v>727</v>
      </c>
      <c r="B153" s="1356"/>
    </row>
    <row r="154" spans="1:28" ht="14.25">
      <c r="A154" s="1356"/>
      <c r="B154" s="1356"/>
    </row>
    <row r="155" spans="1:28" ht="14.25">
      <c r="A155" s="1356"/>
      <c r="B155" s="1356"/>
    </row>
    <row r="156" spans="1:28" ht="14.25">
      <c r="A156" s="1356"/>
      <c r="B156" s="1356"/>
    </row>
    <row r="157" spans="1:28" ht="14.25">
      <c r="A157" s="1356"/>
      <c r="B157" s="1356"/>
    </row>
  </sheetData>
  <sheetProtection password="CF55" sheet="1" objects="1" scenarios="1" selectLockedCells="1" selectUnlockedCells="1"/>
  <mergeCells count="7">
    <mergeCell ref="S1:V1"/>
    <mergeCell ref="W1:Z1"/>
    <mergeCell ref="A153:B157"/>
    <mergeCell ref="D1:G1"/>
    <mergeCell ref="H1:K1"/>
    <mergeCell ref="L1:N1"/>
    <mergeCell ref="O1:R1"/>
  </mergeCell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tint="-0.249977111117893"/>
  </sheetPr>
  <dimension ref="A1:AI157"/>
  <sheetViews>
    <sheetView workbookViewId="0">
      <pane xSplit="2" ySplit="3" topLeftCell="R99" activePane="bottomRight" state="frozen"/>
      <selection activeCell="L92" sqref="L92:O92"/>
      <selection pane="topRight" activeCell="L92" sqref="L92:O92"/>
      <selection pane="bottomLeft" activeCell="L92" sqref="L92:O92"/>
      <selection pane="bottomRight" activeCell="L92" sqref="L92:O92"/>
    </sheetView>
  </sheetViews>
  <sheetFormatPr defaultColWidth="11.42578125" defaultRowHeight="15"/>
  <cols>
    <col min="1" max="1" width="20.85546875" style="39" customWidth="1"/>
    <col min="2" max="2" width="20.85546875" style="38" customWidth="1"/>
    <col min="3" max="3" width="10.85546875" style="54" customWidth="1"/>
    <col min="4" max="8" width="5.85546875" style="54" customWidth="1"/>
    <col min="9" max="9" width="10.85546875" style="54" customWidth="1"/>
    <col min="10" max="13" width="5.85546875" style="54" customWidth="1"/>
    <col min="14" max="14" width="10.85546875" style="54" customWidth="1"/>
    <col min="15" max="17" width="5.85546875" style="54" customWidth="1"/>
    <col min="18" max="18" width="10.85546875" style="54" customWidth="1"/>
    <col min="19" max="24" width="5.85546875" style="54" customWidth="1"/>
    <col min="25" max="25" width="10.85546875" style="54" customWidth="1"/>
    <col min="26" max="26" width="5.85546875" style="54" customWidth="1"/>
    <col min="27" max="28" width="10.85546875" style="38" customWidth="1"/>
    <col min="29" max="30" width="11.42578125" style="335"/>
    <col min="31" max="31" width="5.85546875" style="335" customWidth="1"/>
    <col min="32" max="33" width="11.42578125" style="335"/>
    <col min="34" max="34" width="5.85546875" style="335" customWidth="1"/>
    <col min="35" max="16384" width="11.42578125" style="335"/>
  </cols>
  <sheetData>
    <row r="1" spans="1:35" ht="15.75" thickBot="1">
      <c r="A1" s="57" t="s">
        <v>834</v>
      </c>
      <c r="B1" s="59" t="s">
        <v>192</v>
      </c>
      <c r="C1" s="750" t="s">
        <v>190</v>
      </c>
      <c r="D1" s="1357">
        <v>2010</v>
      </c>
      <c r="E1" s="1357"/>
      <c r="F1" s="1357"/>
      <c r="G1" s="1357"/>
      <c r="H1" s="1358">
        <v>2011</v>
      </c>
      <c r="I1" s="1358"/>
      <c r="J1" s="1358"/>
      <c r="K1" s="1358"/>
      <c r="L1" s="1353">
        <v>2012</v>
      </c>
      <c r="M1" s="1354"/>
      <c r="N1" s="1355"/>
      <c r="O1" s="1359">
        <v>2013</v>
      </c>
      <c r="P1" s="1360"/>
      <c r="Q1" s="1360"/>
      <c r="R1" s="1361"/>
      <c r="S1" s="1353">
        <v>2014</v>
      </c>
      <c r="T1" s="1354"/>
      <c r="U1" s="1354"/>
      <c r="V1" s="1355"/>
      <c r="W1" s="1351">
        <v>2015</v>
      </c>
      <c r="X1" s="1352"/>
      <c r="Y1" s="1352"/>
      <c r="Z1" s="1352"/>
      <c r="AG1" s="464">
        <v>21</v>
      </c>
      <c r="AH1" s="482" t="s">
        <v>844</v>
      </c>
    </row>
    <row r="2" spans="1:35" s="338" customFormat="1" ht="42.75">
      <c r="A2" s="58" t="s">
        <v>193</v>
      </c>
      <c r="B2" s="59" t="s">
        <v>191</v>
      </c>
      <c r="C2" s="418" t="s">
        <v>722</v>
      </c>
      <c r="D2" s="56" t="s">
        <v>141</v>
      </c>
      <c r="E2" s="56" t="s">
        <v>142</v>
      </c>
      <c r="F2" s="56" t="s">
        <v>143</v>
      </c>
      <c r="G2" s="56" t="s">
        <v>144</v>
      </c>
      <c r="H2" s="56" t="s">
        <v>141</v>
      </c>
      <c r="I2" s="418" t="s">
        <v>723</v>
      </c>
      <c r="J2" s="56" t="s">
        <v>143</v>
      </c>
      <c r="K2" s="56" t="s">
        <v>144</v>
      </c>
      <c r="L2" s="56" t="s">
        <v>141</v>
      </c>
      <c r="M2" s="56" t="s">
        <v>142</v>
      </c>
      <c r="N2" s="418" t="s">
        <v>724</v>
      </c>
      <c r="O2" s="56" t="s">
        <v>141</v>
      </c>
      <c r="P2" s="56" t="s">
        <v>142</v>
      </c>
      <c r="Q2" s="56" t="s">
        <v>143</v>
      </c>
      <c r="R2" s="418" t="s">
        <v>725</v>
      </c>
      <c r="S2" s="56" t="s">
        <v>141</v>
      </c>
      <c r="T2" s="56" t="s">
        <v>142</v>
      </c>
      <c r="U2" s="56" t="s">
        <v>143</v>
      </c>
      <c r="V2" s="56" t="s">
        <v>144</v>
      </c>
      <c r="W2" s="56" t="s">
        <v>141</v>
      </c>
      <c r="X2" s="56" t="s">
        <v>142</v>
      </c>
      <c r="Y2" s="418" t="s">
        <v>726</v>
      </c>
      <c r="Z2" s="56" t="s">
        <v>144</v>
      </c>
      <c r="AA2" s="419" t="s">
        <v>814</v>
      </c>
      <c r="AB2" s="419" t="s">
        <v>815</v>
      </c>
      <c r="AD2" s="418" t="s">
        <v>1126</v>
      </c>
      <c r="AE2" s="335"/>
      <c r="AF2" s="337" t="str">
        <f>IF($AG$1=16,R2,IF($AG$1=17,S2,IF($AG$1=18,T2,IF($AG$1=19,U2,IF($AG$1=20,V2,IF($AG$1=21,W2,IF($AG$1=22,X2,0)))))))</f>
        <v>Q1</v>
      </c>
      <c r="AG2" s="446" t="str">
        <f>IF($AG$1=16,S2,IF($AG$1=17,T2,IF($AG$1=18,U2,IF($AG$1=19,V2,IF($AG$1=20,W2,IF($AG$1=21,X2,IF($AG$1=22,Y2,0)))))))</f>
        <v>Q2</v>
      </c>
      <c r="AH2" s="447" t="s">
        <v>843</v>
      </c>
      <c r="AI2" s="447" t="s">
        <v>832</v>
      </c>
    </row>
    <row r="3" spans="1:35" s="338" customFormat="1">
      <c r="A3" s="39"/>
      <c r="B3" s="38"/>
      <c r="C3" s="458">
        <v>0</v>
      </c>
      <c r="D3" s="458">
        <v>1</v>
      </c>
      <c r="E3" s="458">
        <v>2</v>
      </c>
      <c r="F3" s="458">
        <v>3</v>
      </c>
      <c r="G3" s="458">
        <v>4</v>
      </c>
      <c r="H3" s="458">
        <v>5</v>
      </c>
      <c r="I3" s="458">
        <v>6</v>
      </c>
      <c r="J3" s="458">
        <v>7</v>
      </c>
      <c r="K3" s="458">
        <v>8</v>
      </c>
      <c r="L3" s="458">
        <v>9</v>
      </c>
      <c r="M3" s="458">
        <v>10</v>
      </c>
      <c r="N3" s="458">
        <v>11</v>
      </c>
      <c r="O3" s="458">
        <v>12</v>
      </c>
      <c r="P3" s="458">
        <v>13</v>
      </c>
      <c r="Q3" s="458">
        <v>14</v>
      </c>
      <c r="R3" s="458">
        <v>15</v>
      </c>
      <c r="S3" s="458">
        <v>16</v>
      </c>
      <c r="T3" s="458">
        <v>17</v>
      </c>
      <c r="U3" s="458">
        <v>18</v>
      </c>
      <c r="V3" s="458">
        <v>19</v>
      </c>
      <c r="W3" s="458">
        <v>20</v>
      </c>
      <c r="X3" s="458">
        <v>21</v>
      </c>
      <c r="Y3" s="458">
        <v>22</v>
      </c>
      <c r="Z3" s="458">
        <v>23</v>
      </c>
      <c r="AA3" s="39"/>
      <c r="AB3" s="39"/>
      <c r="AD3" s="448">
        <f>V3</f>
        <v>19</v>
      </c>
      <c r="AE3" s="449"/>
      <c r="AF3" s="448">
        <f t="shared" ref="AF3:AG5" si="0">IF($AG$1=16,R3,IF($AG$1=17,S3,IF($AG$1=18,T3,IF($AG$1=19,U3,IF($AG$1=20,V3,IF($AG$1=21,W3,IF($AG$1=22,X3,0)))))))</f>
        <v>20</v>
      </c>
      <c r="AG3" s="448">
        <f t="shared" si="0"/>
        <v>21</v>
      </c>
    </row>
    <row r="4" spans="1:35" ht="15.75" thickBot="1">
      <c r="A4" s="41" t="s">
        <v>24</v>
      </c>
      <c r="B4" s="42" t="s">
        <v>139</v>
      </c>
      <c r="C4" s="47"/>
      <c r="D4" s="47"/>
      <c r="E4" s="47"/>
      <c r="F4" s="47"/>
      <c r="G4" s="47"/>
      <c r="H4" s="47"/>
      <c r="I4" s="47"/>
      <c r="J4" s="47"/>
      <c r="K4" s="47"/>
      <c r="L4" s="47"/>
      <c r="M4" s="47"/>
      <c r="N4" s="47"/>
      <c r="O4" s="47"/>
      <c r="P4" s="47"/>
      <c r="Q4" s="47"/>
      <c r="R4" s="43">
        <f>('Anambra Workings'!R4+'Niger Workings'!R4)/2</f>
        <v>2.6</v>
      </c>
      <c r="S4" s="44">
        <f>('Anambra Workings'!S4+'Niger Workings'!S4)/2</f>
        <v>2.6</v>
      </c>
      <c r="T4" s="44">
        <f>('Anambra Workings'!T4+'Niger Workings'!T4)/2</f>
        <v>2.6</v>
      </c>
      <c r="U4" s="44">
        <f>('Anambra Workings'!U4+'Niger Workings'!U4)/2</f>
        <v>2.6</v>
      </c>
      <c r="V4" s="44">
        <f>('Anambra Workings'!V4+'Niger Workings'!V4)/2</f>
        <v>2.6</v>
      </c>
      <c r="W4" s="44">
        <f>('Anambra Workings'!W4+'Niger Workings'!W4)/2</f>
        <v>2.6833333333333336</v>
      </c>
      <c r="X4" s="44">
        <f>('Anambra Workings'!X4+'Niger Workings'!X4)/2</f>
        <v>2.7666666666666666</v>
      </c>
      <c r="Y4" s="43">
        <f>('Anambra Workings'!Y4+'Niger Workings'!Y4)/2</f>
        <v>2.85</v>
      </c>
      <c r="Z4" s="44">
        <f>('Anambra Workings'!Z4+'Niger Workings'!Z4)/2</f>
        <v>2.85</v>
      </c>
      <c r="AA4" s="38">
        <v>5</v>
      </c>
      <c r="AB4" s="420">
        <f>AA4/22</f>
        <v>0.22727272727272727</v>
      </c>
      <c r="AD4" s="450">
        <f>V4</f>
        <v>2.6</v>
      </c>
      <c r="AF4" s="339">
        <f t="shared" si="0"/>
        <v>2.6833333333333336</v>
      </c>
      <c r="AG4" s="339">
        <f t="shared" si="0"/>
        <v>2.7666666666666666</v>
      </c>
      <c r="AI4" s="338"/>
    </row>
    <row r="5" spans="1:35" s="340" customFormat="1" ht="15.75" thickBot="1">
      <c r="A5" s="45"/>
      <c r="B5" s="46" t="s">
        <v>140</v>
      </c>
      <c r="C5" s="47"/>
      <c r="D5" s="47"/>
      <c r="E5" s="47"/>
      <c r="F5" s="47"/>
      <c r="G5" s="47"/>
      <c r="H5" s="47"/>
      <c r="I5" s="47"/>
      <c r="J5" s="47"/>
      <c r="K5" s="47"/>
      <c r="L5" s="47"/>
      <c r="M5" s="47"/>
      <c r="N5" s="47"/>
      <c r="O5" s="47"/>
      <c r="P5" s="47"/>
      <c r="Q5" s="47"/>
      <c r="R5" s="47">
        <f>('Anambra Workings'!R5+'Niger Workings'!R5)/2</f>
        <v>2.6</v>
      </c>
      <c r="S5" s="47">
        <f>('Anambra Workings'!S5+'Niger Workings'!S5)/2</f>
        <v>2.6</v>
      </c>
      <c r="T5" s="47">
        <f>('Anambra Workings'!T5+'Niger Workings'!T5)/2</f>
        <v>2.6</v>
      </c>
      <c r="U5" s="47">
        <f>('Anambra Workings'!U5+'Niger Workings'!U5)/2</f>
        <v>2.6</v>
      </c>
      <c r="V5" s="47">
        <f>('Anambra Workings'!V5+'Niger Workings'!V5)/2</f>
        <v>2.6</v>
      </c>
      <c r="W5" s="69">
        <f>('Anambra Workings'!W5+'Niger Workings'!W5)/2</f>
        <v>2.6</v>
      </c>
      <c r="X5" s="69">
        <f>('Anambra Workings'!X5+'Niger Workings'!X5)/2</f>
        <v>2.6</v>
      </c>
      <c r="Y5" s="69">
        <f>('Anambra Workings'!Y5+'Niger Workings'!Y5)/2</f>
        <v>0</v>
      </c>
      <c r="Z5" s="69">
        <f>('Anambra Workings'!Z5+'Niger Workings'!Z5)/2</f>
        <v>0</v>
      </c>
      <c r="AA5" s="49"/>
      <c r="AB5" s="421"/>
      <c r="AD5" s="341">
        <f>V5</f>
        <v>2.6</v>
      </c>
      <c r="AE5" s="335"/>
      <c r="AF5" s="341">
        <f t="shared" si="0"/>
        <v>2.6</v>
      </c>
      <c r="AG5" s="341">
        <f t="shared" si="0"/>
        <v>2.6</v>
      </c>
      <c r="AH5" s="342">
        <f>AG5</f>
        <v>2.6</v>
      </c>
      <c r="AI5" s="342">
        <f>AG5</f>
        <v>2.6</v>
      </c>
    </row>
    <row r="6" spans="1:35" s="340" customFormat="1">
      <c r="A6" s="45"/>
      <c r="B6" s="46"/>
      <c r="C6" s="48"/>
      <c r="D6" s="422"/>
      <c r="E6" s="422"/>
      <c r="F6" s="422"/>
      <c r="G6" s="83"/>
      <c r="H6" s="83"/>
      <c r="I6" s="83"/>
      <c r="J6" s="83"/>
      <c r="K6" s="83"/>
      <c r="L6" s="48"/>
      <c r="M6" s="48"/>
      <c r="N6" s="83"/>
      <c r="O6" s="83"/>
      <c r="P6" s="48"/>
      <c r="Q6" s="48"/>
      <c r="R6" s="48"/>
      <c r="S6" s="48"/>
      <c r="T6" s="48"/>
      <c r="U6" s="48"/>
      <c r="V6" s="48"/>
      <c r="W6" s="48"/>
      <c r="X6" s="48"/>
      <c r="Y6" s="48"/>
      <c r="Z6" s="48"/>
      <c r="AA6" s="49"/>
      <c r="AB6" s="421"/>
      <c r="AE6" s="335"/>
      <c r="AF6" s="343"/>
      <c r="AG6" s="343"/>
      <c r="AI6" s="338"/>
    </row>
    <row r="7" spans="1:35" ht="15.75" thickBot="1">
      <c r="A7" s="41" t="s">
        <v>25</v>
      </c>
      <c r="B7" s="42" t="s">
        <v>139</v>
      </c>
      <c r="C7" s="47"/>
      <c r="D7" s="47"/>
      <c r="E7" s="47"/>
      <c r="F7" s="47"/>
      <c r="G7" s="47"/>
      <c r="H7" s="47"/>
      <c r="I7" s="47"/>
      <c r="J7" s="47"/>
      <c r="K7" s="47"/>
      <c r="L7" s="47"/>
      <c r="M7" s="47"/>
      <c r="N7" s="47"/>
      <c r="O7" s="47"/>
      <c r="P7" s="47"/>
      <c r="Q7" s="47"/>
      <c r="R7" s="43">
        <f>('Anambra Workings'!R7+'Niger Workings'!R7)/2</f>
        <v>1.6</v>
      </c>
      <c r="S7" s="44">
        <f>('Anambra Workings'!S7+'Niger Workings'!S7)/2</f>
        <v>1.6</v>
      </c>
      <c r="T7" s="44">
        <f>('Anambra Workings'!T7+'Niger Workings'!T7)/2</f>
        <v>1.6</v>
      </c>
      <c r="U7" s="44">
        <f>('Anambra Workings'!U7+'Niger Workings'!U7)/2</f>
        <v>1.6</v>
      </c>
      <c r="V7" s="44">
        <f>('Anambra Workings'!V7+'Niger Workings'!V7)/2</f>
        <v>1.6</v>
      </c>
      <c r="W7" s="44">
        <f>('Anambra Workings'!W7+'Niger Workings'!W7)/2</f>
        <v>1.7</v>
      </c>
      <c r="X7" s="44">
        <f>('Anambra Workings'!X7+'Niger Workings'!X7)/2</f>
        <v>1.7999999999999998</v>
      </c>
      <c r="Y7" s="43">
        <f>('Anambra Workings'!Y7+'Niger Workings'!Y7)/2</f>
        <v>1.9</v>
      </c>
      <c r="Z7" s="44">
        <f>('Anambra Workings'!Z7+'Niger Workings'!Z7)/2</f>
        <v>1.9</v>
      </c>
      <c r="AA7" s="38">
        <v>5</v>
      </c>
      <c r="AB7" s="420">
        <f>AA7/22</f>
        <v>0.22727272727272727</v>
      </c>
      <c r="AD7" s="450">
        <f>V7</f>
        <v>1.6</v>
      </c>
      <c r="AF7" s="339">
        <f t="shared" ref="AF7:AG8" si="1">IF($AG$1=16,R7,IF($AG$1=17,S7,IF($AG$1=18,T7,IF($AG$1=19,U7,IF($AG$1=20,V7,IF($AG$1=21,W7,IF($AG$1=22,X7,0)))))))</f>
        <v>1.7</v>
      </c>
      <c r="AG7" s="339">
        <f t="shared" si="1"/>
        <v>1.7999999999999998</v>
      </c>
      <c r="AI7" s="338"/>
    </row>
    <row r="8" spans="1:35" s="340" customFormat="1" ht="15.75" thickBot="1">
      <c r="A8" s="45"/>
      <c r="B8" s="46" t="s">
        <v>140</v>
      </c>
      <c r="C8" s="47"/>
      <c r="D8" s="47"/>
      <c r="E8" s="47"/>
      <c r="F8" s="47"/>
      <c r="G8" s="47"/>
      <c r="H8" s="47"/>
      <c r="I8" s="47"/>
      <c r="J8" s="47"/>
      <c r="K8" s="47"/>
      <c r="L8" s="47"/>
      <c r="M8" s="47"/>
      <c r="N8" s="47"/>
      <c r="O8" s="47"/>
      <c r="P8" s="47"/>
      <c r="Q8" s="47"/>
      <c r="R8" s="47">
        <f>('Anambra Workings'!R8+'Niger Workings'!R8)/2</f>
        <v>1.6</v>
      </c>
      <c r="S8" s="47">
        <f>('Anambra Workings'!S8+'Niger Workings'!S8)/2</f>
        <v>1.6</v>
      </c>
      <c r="T8" s="47">
        <f>('Anambra Workings'!T8+'Niger Workings'!T8)/2</f>
        <v>1.6</v>
      </c>
      <c r="U8" s="47">
        <f>('Anambra Workings'!U8+'Niger Workings'!U8)/2</f>
        <v>1.6</v>
      </c>
      <c r="V8" s="47">
        <f>('Anambra Workings'!V8+'Niger Workings'!V8)/2</f>
        <v>1.6</v>
      </c>
      <c r="W8" s="69">
        <f>('Anambra Workings'!W8+'Niger Workings'!W8)/2</f>
        <v>1.6</v>
      </c>
      <c r="X8" s="69">
        <f>('Anambra Workings'!X8+'Niger Workings'!X8)/2</f>
        <v>1.6</v>
      </c>
      <c r="Y8" s="69">
        <f>('Anambra Workings'!Y8+'Niger Workings'!Y8)/2</f>
        <v>0</v>
      </c>
      <c r="Z8" s="69">
        <f>('Anambra Workings'!Z8+'Niger Workings'!Z8)/2</f>
        <v>0</v>
      </c>
      <c r="AA8" s="49"/>
      <c r="AB8" s="421"/>
      <c r="AD8" s="341">
        <f>V8</f>
        <v>1.6</v>
      </c>
      <c r="AE8" s="335"/>
      <c r="AF8" s="341">
        <f t="shared" si="1"/>
        <v>1.6</v>
      </c>
      <c r="AG8" s="341">
        <f t="shared" si="1"/>
        <v>1.6</v>
      </c>
      <c r="AH8" s="342">
        <f>AG8</f>
        <v>1.6</v>
      </c>
      <c r="AI8" s="342">
        <f>AG8</f>
        <v>1.6</v>
      </c>
    </row>
    <row r="9" spans="1:35" s="340" customFormat="1">
      <c r="A9" s="45"/>
      <c r="B9" s="46"/>
      <c r="C9" s="48"/>
      <c r="D9" s="422"/>
      <c r="E9" s="422"/>
      <c r="F9" s="422"/>
      <c r="G9" s="83"/>
      <c r="H9" s="83"/>
      <c r="I9" s="83"/>
      <c r="J9" s="83"/>
      <c r="K9" s="83"/>
      <c r="L9" s="48"/>
      <c r="M9" s="48"/>
      <c r="N9" s="83"/>
      <c r="O9" s="83"/>
      <c r="P9" s="48"/>
      <c r="Q9" s="48"/>
      <c r="R9" s="48"/>
      <c r="S9" s="48"/>
      <c r="T9" s="48"/>
      <c r="U9" s="48"/>
      <c r="V9" s="48"/>
      <c r="W9" s="48"/>
      <c r="X9" s="48"/>
      <c r="Y9" s="48"/>
      <c r="Z9" s="48"/>
      <c r="AA9" s="49"/>
      <c r="AB9" s="421"/>
      <c r="AE9" s="335"/>
      <c r="AF9" s="343"/>
      <c r="AG9" s="343"/>
      <c r="AH9" s="335"/>
      <c r="AI9" s="338"/>
    </row>
    <row r="10" spans="1:35" ht="15.75" thickBot="1">
      <c r="A10" s="41" t="s">
        <v>186</v>
      </c>
      <c r="B10" s="42" t="s">
        <v>214</v>
      </c>
      <c r="C10" s="47"/>
      <c r="D10" s="47"/>
      <c r="E10" s="47"/>
      <c r="F10" s="47"/>
      <c r="G10" s="47"/>
      <c r="H10" s="47"/>
      <c r="I10" s="47"/>
      <c r="J10" s="47"/>
      <c r="K10" s="47"/>
      <c r="L10" s="47"/>
      <c r="M10" s="47"/>
      <c r="N10" s="47"/>
      <c r="O10" s="47"/>
      <c r="P10" s="47"/>
      <c r="Q10" s="47"/>
      <c r="R10" s="43">
        <f>('Anambra Workings'!R10+'Niger Workings'!R10)/2</f>
        <v>13.5</v>
      </c>
      <c r="S10" s="44">
        <f>('Anambra Workings'!S10+'Niger Workings'!S10)/2</f>
        <v>13.5</v>
      </c>
      <c r="T10" s="44">
        <f>('Anambra Workings'!T10+'Niger Workings'!T10)/2</f>
        <v>13.5</v>
      </c>
      <c r="U10" s="44">
        <f>('Anambra Workings'!U10+'Niger Workings'!U10)/2</f>
        <v>13.5</v>
      </c>
      <c r="V10" s="44">
        <f>('Anambra Workings'!V10+'Niger Workings'!V10)/2</f>
        <v>13.5</v>
      </c>
      <c r="W10" s="44">
        <f>('Anambra Workings'!W10+'Niger Workings'!W10)/2</f>
        <v>13.5</v>
      </c>
      <c r="X10" s="44">
        <f>('Anambra Workings'!X10+'Niger Workings'!X10)/2</f>
        <v>13.5</v>
      </c>
      <c r="Y10" s="43">
        <f>('Anambra Workings'!Y10+'Niger Workings'!Y10)/2</f>
        <v>13.5</v>
      </c>
      <c r="Z10" s="44">
        <f>('Anambra Workings'!Z10+'Niger Workings'!Z10)/2</f>
        <v>13.5</v>
      </c>
      <c r="AA10" s="38">
        <v>15</v>
      </c>
      <c r="AB10" s="457">
        <f>AA10/22</f>
        <v>0.68181818181818177</v>
      </c>
      <c r="AD10" s="450">
        <f>V10</f>
        <v>13.5</v>
      </c>
      <c r="AF10" s="339">
        <f t="shared" ref="AF10:AG11" si="2">IF($AG$1=16,R10,IF($AG$1=17,S10,IF($AG$1=18,T10,IF($AG$1=19,U10,IF($AG$1=20,V10,IF($AG$1=21,W10,IF($AG$1=22,X10,0)))))))</f>
        <v>13.5</v>
      </c>
      <c r="AG10" s="339">
        <f t="shared" si="2"/>
        <v>13.5</v>
      </c>
      <c r="AI10" s="338"/>
    </row>
    <row r="11" spans="1:35" s="340" customFormat="1" ht="15.75" thickBot="1">
      <c r="A11" s="45"/>
      <c r="B11" s="46" t="s">
        <v>215</v>
      </c>
      <c r="C11" s="47"/>
      <c r="D11" s="47"/>
      <c r="E11" s="47"/>
      <c r="F11" s="47"/>
      <c r="G11" s="47"/>
      <c r="H11" s="47"/>
      <c r="I11" s="47"/>
      <c r="J11" s="47"/>
      <c r="K11" s="47"/>
      <c r="L11" s="47"/>
      <c r="M11" s="47"/>
      <c r="N11" s="47"/>
      <c r="O11" s="47"/>
      <c r="P11" s="47"/>
      <c r="Q11" s="47"/>
      <c r="R11" s="47">
        <f>('Anambra Workings'!R11+'Niger Workings'!R11)/2</f>
        <v>13.5</v>
      </c>
      <c r="S11" s="47">
        <f>('Anambra Workings'!S11+'Niger Workings'!S11)/2</f>
        <v>13.5</v>
      </c>
      <c r="T11" s="47">
        <f>('Anambra Workings'!T11+'Niger Workings'!T11)/2</f>
        <v>13.5</v>
      </c>
      <c r="U11" s="47">
        <f>('Anambra Workings'!U11+'Niger Workings'!U11)/2</f>
        <v>13.5</v>
      </c>
      <c r="V11" s="47">
        <f>('Anambra Workings'!V11+'Niger Workings'!V11)/2</f>
        <v>13.5</v>
      </c>
      <c r="W11" s="69">
        <f>('Anambra Workings'!W11+'Niger Workings'!W11)/2</f>
        <v>13.5</v>
      </c>
      <c r="X11" s="69">
        <f>('Anambra Workings'!X11+'Niger Workings'!X11)/2</f>
        <v>13.5</v>
      </c>
      <c r="Y11" s="69">
        <f>('Anambra Workings'!Y11+'Niger Workings'!Y11)/2</f>
        <v>0</v>
      </c>
      <c r="Z11" s="69">
        <f>('Anambra Workings'!Z11+'Niger Workings'!Z11)/2</f>
        <v>0</v>
      </c>
      <c r="AA11" s="38"/>
      <c r="AB11" s="420"/>
      <c r="AD11" s="341">
        <f>V11</f>
        <v>13.5</v>
      </c>
      <c r="AE11" s="335"/>
      <c r="AF11" s="341">
        <f t="shared" si="2"/>
        <v>13.5</v>
      </c>
      <c r="AG11" s="341">
        <f t="shared" si="2"/>
        <v>13.5</v>
      </c>
      <c r="AH11" s="342">
        <f>AG11</f>
        <v>13.5</v>
      </c>
      <c r="AI11" s="342">
        <f>AG11</f>
        <v>13.5</v>
      </c>
    </row>
    <row r="12" spans="1:35" s="340" customFormat="1">
      <c r="A12" s="45"/>
      <c r="B12" s="46"/>
      <c r="C12" s="48"/>
      <c r="D12" s="422"/>
      <c r="E12" s="422"/>
      <c r="F12" s="422"/>
      <c r="G12" s="83"/>
      <c r="H12" s="83"/>
      <c r="I12" s="83"/>
      <c r="J12" s="83"/>
      <c r="K12" s="83"/>
      <c r="L12" s="48"/>
      <c r="M12" s="48"/>
      <c r="N12" s="83"/>
      <c r="O12" s="83"/>
      <c r="P12" s="48"/>
      <c r="Q12" s="48"/>
      <c r="R12" s="48"/>
      <c r="S12" s="48"/>
      <c r="T12" s="48"/>
      <c r="U12" s="48"/>
      <c r="V12" s="48"/>
      <c r="W12" s="48"/>
      <c r="X12" s="48"/>
      <c r="Y12" s="48"/>
      <c r="Z12" s="48"/>
      <c r="AA12" s="49"/>
      <c r="AB12" s="421"/>
      <c r="AE12" s="335"/>
      <c r="AF12" s="344"/>
      <c r="AG12" s="344"/>
      <c r="AH12" s="335"/>
      <c r="AI12" s="338"/>
    </row>
    <row r="13" spans="1:35" ht="15.75" thickBot="1">
      <c r="A13" s="41" t="s">
        <v>187</v>
      </c>
      <c r="B13" s="42" t="s">
        <v>216</v>
      </c>
      <c r="C13" s="47"/>
      <c r="D13" s="47"/>
      <c r="E13" s="47"/>
      <c r="F13" s="47"/>
      <c r="G13" s="47"/>
      <c r="H13" s="47"/>
      <c r="I13" s="47"/>
      <c r="J13" s="47"/>
      <c r="K13" s="47"/>
      <c r="L13" s="47"/>
      <c r="M13" s="47"/>
      <c r="N13" s="47"/>
      <c r="O13" s="47"/>
      <c r="P13" s="47"/>
      <c r="Q13" s="47"/>
      <c r="R13" s="43">
        <f>('Anambra Workings'!R13+'Niger Workings'!R13)/2</f>
        <v>13.5</v>
      </c>
      <c r="S13" s="44">
        <f>('Anambra Workings'!S13+'Niger Workings'!S13)/2</f>
        <v>13.5</v>
      </c>
      <c r="T13" s="44">
        <f>('Anambra Workings'!T13+'Niger Workings'!T13)/2</f>
        <v>13.5</v>
      </c>
      <c r="U13" s="44">
        <f>('Anambra Workings'!U13+'Niger Workings'!U13)/2</f>
        <v>13.5</v>
      </c>
      <c r="V13" s="44">
        <f>('Anambra Workings'!V13+'Niger Workings'!V13)/2</f>
        <v>13.5</v>
      </c>
      <c r="W13" s="44">
        <f>('Anambra Workings'!W13+'Niger Workings'!W13)/2</f>
        <v>13.5</v>
      </c>
      <c r="X13" s="44">
        <f>('Anambra Workings'!X13+'Niger Workings'!X13)/2</f>
        <v>13.5</v>
      </c>
      <c r="Y13" s="43">
        <f>('Anambra Workings'!Y13+'Niger Workings'!Y13)/2</f>
        <v>13.5</v>
      </c>
      <c r="Z13" s="44">
        <f>('Anambra Workings'!Z13+'Niger Workings'!Z13)/2</f>
        <v>13.5</v>
      </c>
      <c r="AA13" s="38">
        <v>15</v>
      </c>
      <c r="AB13" s="457">
        <f>AA13/22</f>
        <v>0.68181818181818177</v>
      </c>
      <c r="AD13" s="450">
        <f>V13</f>
        <v>13.5</v>
      </c>
      <c r="AF13" s="339">
        <f t="shared" ref="AF13:AG14" si="3">IF($AG$1=16,R13,IF($AG$1=17,S13,IF($AG$1=18,T13,IF($AG$1=19,U13,IF($AG$1=20,V13,IF($AG$1=21,W13,IF($AG$1=22,X13,0)))))))</f>
        <v>13.5</v>
      </c>
      <c r="AG13" s="339">
        <f t="shared" si="3"/>
        <v>13.5</v>
      </c>
      <c r="AI13" s="338"/>
    </row>
    <row r="14" spans="1:35" s="340" customFormat="1" ht="15.75" thickBot="1">
      <c r="A14" s="45"/>
      <c r="B14" s="46" t="s">
        <v>217</v>
      </c>
      <c r="C14" s="47"/>
      <c r="D14" s="47"/>
      <c r="E14" s="47"/>
      <c r="F14" s="47"/>
      <c r="G14" s="47"/>
      <c r="H14" s="47"/>
      <c r="I14" s="47"/>
      <c r="J14" s="47"/>
      <c r="K14" s="47"/>
      <c r="L14" s="47"/>
      <c r="M14" s="47"/>
      <c r="N14" s="47"/>
      <c r="O14" s="47"/>
      <c r="P14" s="47"/>
      <c r="Q14" s="47"/>
      <c r="R14" s="47">
        <f>('Anambra Workings'!R14+'Niger Workings'!R14)/2</f>
        <v>13.5</v>
      </c>
      <c r="S14" s="47">
        <f>('Anambra Workings'!S14+'Niger Workings'!S14)/2</f>
        <v>13.5</v>
      </c>
      <c r="T14" s="47">
        <f>('Anambra Workings'!T14+'Niger Workings'!T14)/2</f>
        <v>13.5</v>
      </c>
      <c r="U14" s="47">
        <f>('Anambra Workings'!U14+'Niger Workings'!U14)/2</f>
        <v>13.5</v>
      </c>
      <c r="V14" s="47">
        <f>('Anambra Workings'!V14+'Niger Workings'!V14)/2</f>
        <v>13.5</v>
      </c>
      <c r="W14" s="69">
        <f>('Anambra Workings'!W14+'Niger Workings'!W14)/2</f>
        <v>13.5</v>
      </c>
      <c r="X14" s="69">
        <f>('Anambra Workings'!X14+'Niger Workings'!X14)/2</f>
        <v>13.5</v>
      </c>
      <c r="Y14" s="69">
        <f>('Anambra Workings'!Y14+'Niger Workings'!Y14)/2</f>
        <v>0</v>
      </c>
      <c r="Z14" s="69">
        <f>('Anambra Workings'!Z14+'Niger Workings'!Z14)/2</f>
        <v>0</v>
      </c>
      <c r="AA14" s="49"/>
      <c r="AB14" s="421"/>
      <c r="AD14" s="341">
        <f>V14</f>
        <v>13.5</v>
      </c>
      <c r="AE14" s="335"/>
      <c r="AF14" s="341">
        <f t="shared" si="3"/>
        <v>13.5</v>
      </c>
      <c r="AG14" s="341">
        <f t="shared" si="3"/>
        <v>13.5</v>
      </c>
      <c r="AH14" s="342">
        <f>AG14</f>
        <v>13.5</v>
      </c>
      <c r="AI14" s="342">
        <f>AG14</f>
        <v>13.5</v>
      </c>
    </row>
    <row r="15" spans="1:35" s="340" customFormat="1">
      <c r="A15" s="45"/>
      <c r="B15" s="46"/>
      <c r="C15" s="48"/>
      <c r="D15" s="422"/>
      <c r="E15" s="422"/>
      <c r="F15" s="422"/>
      <c r="G15" s="83"/>
      <c r="H15" s="83"/>
      <c r="I15" s="83"/>
      <c r="J15" s="83"/>
      <c r="K15" s="83"/>
      <c r="L15" s="48"/>
      <c r="M15" s="48"/>
      <c r="N15" s="83"/>
      <c r="O15" s="83"/>
      <c r="P15" s="48"/>
      <c r="Q15" s="48"/>
      <c r="R15" s="48"/>
      <c r="S15" s="48"/>
      <c r="T15" s="48"/>
      <c r="U15" s="48"/>
      <c r="V15" s="48"/>
      <c r="W15" s="48"/>
      <c r="X15" s="48"/>
      <c r="Y15" s="48"/>
      <c r="Z15" s="48"/>
      <c r="AA15" s="49"/>
      <c r="AB15" s="421"/>
      <c r="AE15" s="335"/>
      <c r="AF15" s="344"/>
      <c r="AG15" s="344"/>
      <c r="AH15" s="335"/>
      <c r="AI15" s="338"/>
    </row>
    <row r="16" spans="1:35" ht="15.75" thickBot="1">
      <c r="A16" s="41" t="s">
        <v>188</v>
      </c>
      <c r="B16" s="42" t="s">
        <v>218</v>
      </c>
      <c r="C16" s="47"/>
      <c r="D16" s="47"/>
      <c r="E16" s="47"/>
      <c r="F16" s="47"/>
      <c r="G16" s="47"/>
      <c r="H16" s="47"/>
      <c r="I16" s="47"/>
      <c r="J16" s="47"/>
      <c r="K16" s="47"/>
      <c r="L16" s="47"/>
      <c r="M16" s="47"/>
      <c r="N16" s="47"/>
      <c r="O16" s="47"/>
      <c r="P16" s="47"/>
      <c r="Q16" s="47"/>
      <c r="R16" s="43">
        <f>('Anambra Workings'!R16+'Niger Workings'!R16)/2</f>
        <v>12</v>
      </c>
      <c r="S16" s="44">
        <f>('Anambra Workings'!S16+'Niger Workings'!S16)/2</f>
        <v>12</v>
      </c>
      <c r="T16" s="44">
        <f>('Anambra Workings'!T16+'Niger Workings'!T16)/2</f>
        <v>12</v>
      </c>
      <c r="U16" s="44">
        <f>('Anambra Workings'!U16+'Niger Workings'!U16)/2</f>
        <v>12</v>
      </c>
      <c r="V16" s="44">
        <f>('Anambra Workings'!V16+'Niger Workings'!V16)/2</f>
        <v>12</v>
      </c>
      <c r="W16" s="44">
        <f>('Anambra Workings'!W16+'Niger Workings'!W16)/2</f>
        <v>12.166666666666668</v>
      </c>
      <c r="X16" s="44">
        <f>('Anambra Workings'!X16+'Niger Workings'!X16)/2</f>
        <v>12.333333333333334</v>
      </c>
      <c r="Y16" s="43">
        <f>('Anambra Workings'!Y16+'Niger Workings'!Y16)/2</f>
        <v>12.5</v>
      </c>
      <c r="Z16" s="44">
        <f>('Anambra Workings'!Z16+'Niger Workings'!Z16)/2</f>
        <v>12.5</v>
      </c>
      <c r="AA16" s="38">
        <v>15</v>
      </c>
      <c r="AB16" s="457">
        <f>AA16/22</f>
        <v>0.68181818181818177</v>
      </c>
      <c r="AD16" s="450">
        <f>V16</f>
        <v>12</v>
      </c>
      <c r="AF16" s="339">
        <f t="shared" ref="AF16:AG17" si="4">IF($AG$1=16,R16,IF($AG$1=17,S16,IF($AG$1=18,T16,IF($AG$1=19,U16,IF($AG$1=20,V16,IF($AG$1=21,W16,IF($AG$1=22,X16,0)))))))</f>
        <v>12.166666666666668</v>
      </c>
      <c r="AG16" s="339">
        <f t="shared" si="4"/>
        <v>12.333333333333334</v>
      </c>
      <c r="AI16" s="338"/>
    </row>
    <row r="17" spans="1:35" s="340" customFormat="1" ht="15.75" thickBot="1">
      <c r="A17" s="45"/>
      <c r="B17" s="46" t="s">
        <v>219</v>
      </c>
      <c r="C17" s="47"/>
      <c r="D17" s="47"/>
      <c r="E17" s="47"/>
      <c r="F17" s="47"/>
      <c r="G17" s="47"/>
      <c r="H17" s="47"/>
      <c r="I17" s="47"/>
      <c r="J17" s="47"/>
      <c r="K17" s="47"/>
      <c r="L17" s="47"/>
      <c r="M17" s="47"/>
      <c r="N17" s="47"/>
      <c r="O17" s="47"/>
      <c r="P17" s="47"/>
      <c r="Q17" s="47"/>
      <c r="R17" s="47">
        <f>('Anambra Workings'!R17+'Niger Workings'!R17)/2</f>
        <v>12</v>
      </c>
      <c r="S17" s="47">
        <f>('Anambra Workings'!S17+'Niger Workings'!S17)/2</f>
        <v>12</v>
      </c>
      <c r="T17" s="47">
        <f>('Anambra Workings'!T17+'Niger Workings'!T17)/2</f>
        <v>12</v>
      </c>
      <c r="U17" s="47">
        <f>('Anambra Workings'!U17+'Niger Workings'!U17)/2</f>
        <v>12</v>
      </c>
      <c r="V17" s="47">
        <f>('Anambra Workings'!V17+'Niger Workings'!V17)/2</f>
        <v>12</v>
      </c>
      <c r="W17" s="69">
        <f>('Anambra Workings'!W17+'Niger Workings'!W17)/2</f>
        <v>12</v>
      </c>
      <c r="X17" s="69">
        <f>('Anambra Workings'!X17+'Niger Workings'!X17)/2</f>
        <v>12</v>
      </c>
      <c r="Y17" s="69">
        <f>('Anambra Workings'!Y17+'Niger Workings'!Y17)/2</f>
        <v>0</v>
      </c>
      <c r="Z17" s="69">
        <f>('Anambra Workings'!Z17+'Niger Workings'!Z17)/2</f>
        <v>0</v>
      </c>
      <c r="AA17" s="49"/>
      <c r="AB17" s="421"/>
      <c r="AD17" s="341">
        <f>V17</f>
        <v>12</v>
      </c>
      <c r="AE17" s="335"/>
      <c r="AF17" s="341">
        <f t="shared" si="4"/>
        <v>12</v>
      </c>
      <c r="AG17" s="341">
        <f t="shared" si="4"/>
        <v>12</v>
      </c>
      <c r="AH17" s="342">
        <f>AG17</f>
        <v>12</v>
      </c>
      <c r="AI17" s="342">
        <f>AG17</f>
        <v>12</v>
      </c>
    </row>
    <row r="18" spans="1:35" s="340" customFormat="1">
      <c r="A18" s="45"/>
      <c r="B18" s="46"/>
      <c r="C18" s="48"/>
      <c r="D18" s="422"/>
      <c r="E18" s="422"/>
      <c r="F18" s="422"/>
      <c r="G18" s="83"/>
      <c r="H18" s="83"/>
      <c r="I18" s="83"/>
      <c r="J18" s="83"/>
      <c r="K18" s="83"/>
      <c r="L18" s="48"/>
      <c r="M18" s="48"/>
      <c r="N18" s="83"/>
      <c r="O18" s="83"/>
      <c r="P18" s="48"/>
      <c r="Q18" s="48"/>
      <c r="R18" s="48"/>
      <c r="S18" s="48"/>
      <c r="T18" s="48"/>
      <c r="U18" s="48"/>
      <c r="V18" s="48"/>
      <c r="W18" s="48"/>
      <c r="X18" s="48"/>
      <c r="Y18" s="48"/>
      <c r="Z18" s="48"/>
      <c r="AA18" s="49"/>
      <c r="AB18" s="421"/>
      <c r="AE18" s="335"/>
      <c r="AF18" s="344"/>
      <c r="AG18" s="344"/>
      <c r="AH18" s="335"/>
      <c r="AI18" s="338"/>
    </row>
    <row r="19" spans="1:35" ht="15.75" thickBot="1">
      <c r="A19" s="41" t="s">
        <v>189</v>
      </c>
      <c r="B19" s="42" t="s">
        <v>221</v>
      </c>
      <c r="C19" s="47"/>
      <c r="D19" s="47"/>
      <c r="E19" s="47"/>
      <c r="F19" s="47"/>
      <c r="G19" s="47"/>
      <c r="H19" s="47"/>
      <c r="I19" s="47"/>
      <c r="J19" s="47"/>
      <c r="K19" s="47"/>
      <c r="L19" s="47"/>
      <c r="M19" s="47"/>
      <c r="N19" s="47"/>
      <c r="O19" s="47"/>
      <c r="P19" s="47"/>
      <c r="Q19" s="47"/>
      <c r="R19" s="43">
        <f>('Anambra Workings'!R19+'Niger Workings'!R19)/2</f>
        <v>13.5</v>
      </c>
      <c r="S19" s="44">
        <f>('Anambra Workings'!S19+'Niger Workings'!S19)/2</f>
        <v>13.5</v>
      </c>
      <c r="T19" s="44">
        <f>('Anambra Workings'!T19+'Niger Workings'!T19)/2</f>
        <v>13.5</v>
      </c>
      <c r="U19" s="44">
        <f>('Anambra Workings'!U19+'Niger Workings'!U19)/2</f>
        <v>13.5</v>
      </c>
      <c r="V19" s="44">
        <f>('Anambra Workings'!V19+'Niger Workings'!V19)/2</f>
        <v>13.5</v>
      </c>
      <c r="W19" s="44">
        <f>('Anambra Workings'!W19+'Niger Workings'!W19)/2</f>
        <v>13.5</v>
      </c>
      <c r="X19" s="44">
        <f>('Anambra Workings'!X19+'Niger Workings'!X19)/2</f>
        <v>13.5</v>
      </c>
      <c r="Y19" s="43">
        <f>('Anambra Workings'!Y19+'Niger Workings'!Y19)/2</f>
        <v>13.5</v>
      </c>
      <c r="Z19" s="44">
        <f>('Anambra Workings'!Z19+'Niger Workings'!Z19)/2</f>
        <v>13.5</v>
      </c>
      <c r="AA19" s="38">
        <v>15</v>
      </c>
      <c r="AB19" s="457">
        <f>AA19/22</f>
        <v>0.68181818181818177</v>
      </c>
      <c r="AD19" s="450">
        <f>V19</f>
        <v>13.5</v>
      </c>
      <c r="AF19" s="339">
        <f t="shared" ref="AF19:AG20" si="5">IF($AG$1=16,R19,IF($AG$1=17,S19,IF($AG$1=18,T19,IF($AG$1=19,U19,IF($AG$1=20,V19,IF($AG$1=21,W19,IF($AG$1=22,X19,0)))))))</f>
        <v>13.5</v>
      </c>
      <c r="AG19" s="339">
        <f t="shared" si="5"/>
        <v>13.5</v>
      </c>
      <c r="AI19" s="338"/>
    </row>
    <row r="20" spans="1:35" s="340" customFormat="1" ht="15.75" thickBot="1">
      <c r="A20" s="45"/>
      <c r="B20" s="46" t="s">
        <v>220</v>
      </c>
      <c r="C20" s="47"/>
      <c r="D20" s="47"/>
      <c r="E20" s="47"/>
      <c r="F20" s="47"/>
      <c r="G20" s="47"/>
      <c r="H20" s="47"/>
      <c r="I20" s="47"/>
      <c r="J20" s="47"/>
      <c r="K20" s="47"/>
      <c r="L20" s="47"/>
      <c r="M20" s="47"/>
      <c r="N20" s="47"/>
      <c r="O20" s="47"/>
      <c r="P20" s="47"/>
      <c r="Q20" s="47"/>
      <c r="R20" s="47">
        <f>('Anambra Workings'!R20+'Niger Workings'!R20)/2</f>
        <v>13.5</v>
      </c>
      <c r="S20" s="47">
        <f>('Anambra Workings'!S20+'Niger Workings'!S20)/2</f>
        <v>13.5</v>
      </c>
      <c r="T20" s="47">
        <f>('Anambra Workings'!T20+'Niger Workings'!T20)/2</f>
        <v>13.5</v>
      </c>
      <c r="U20" s="47">
        <f>('Anambra Workings'!U20+'Niger Workings'!U20)/2</f>
        <v>13.5</v>
      </c>
      <c r="V20" s="47">
        <f>('Anambra Workings'!V20+'Niger Workings'!V20)/2</f>
        <v>13.5</v>
      </c>
      <c r="W20" s="69">
        <f>('Anambra Workings'!W20+'Niger Workings'!W20)/2</f>
        <v>13.5</v>
      </c>
      <c r="X20" s="69">
        <f>('Anambra Workings'!X20+'Niger Workings'!X20)/2</f>
        <v>13.5</v>
      </c>
      <c r="Y20" s="69">
        <f>('Anambra Workings'!Y20+'Niger Workings'!Y20)/2</f>
        <v>0</v>
      </c>
      <c r="Z20" s="69">
        <f>('Anambra Workings'!Z20+'Niger Workings'!Z20)/2</f>
        <v>0</v>
      </c>
      <c r="AA20" s="49"/>
      <c r="AB20" s="421"/>
      <c r="AD20" s="341">
        <f>V20</f>
        <v>13.5</v>
      </c>
      <c r="AE20" s="335"/>
      <c r="AF20" s="341">
        <f t="shared" si="5"/>
        <v>13.5</v>
      </c>
      <c r="AG20" s="341">
        <f t="shared" si="5"/>
        <v>13.5</v>
      </c>
      <c r="AH20" s="342">
        <f>AG20</f>
        <v>13.5</v>
      </c>
      <c r="AI20" s="342">
        <f>AG20</f>
        <v>13.5</v>
      </c>
    </row>
    <row r="21" spans="1:35" s="340" customFormat="1">
      <c r="A21" s="45"/>
      <c r="B21" s="46"/>
      <c r="C21" s="48"/>
      <c r="D21" s="422"/>
      <c r="E21" s="422"/>
      <c r="F21" s="422"/>
      <c r="G21" s="83"/>
      <c r="H21" s="83"/>
      <c r="I21" s="83"/>
      <c r="J21" s="83"/>
      <c r="K21" s="83"/>
      <c r="L21" s="48"/>
      <c r="M21" s="48"/>
      <c r="N21" s="83"/>
      <c r="O21" s="83"/>
      <c r="P21" s="48"/>
      <c r="Q21" s="48"/>
      <c r="R21" s="48"/>
      <c r="S21" s="48"/>
      <c r="T21" s="48"/>
      <c r="U21" s="48"/>
      <c r="V21" s="48"/>
      <c r="W21" s="48"/>
      <c r="X21" s="48"/>
      <c r="Y21" s="48"/>
      <c r="Z21" s="48"/>
      <c r="AA21" s="49"/>
      <c r="AB21" s="421"/>
      <c r="AE21" s="335"/>
      <c r="AF21" s="343"/>
      <c r="AG21" s="343"/>
      <c r="AH21" s="335"/>
      <c r="AI21" s="338"/>
    </row>
    <row r="22" spans="1:35" ht="15.75" thickBot="1">
      <c r="A22" s="41" t="s">
        <v>22</v>
      </c>
      <c r="B22" s="42" t="s">
        <v>139</v>
      </c>
      <c r="C22" s="47"/>
      <c r="D22" s="47"/>
      <c r="E22" s="47"/>
      <c r="F22" s="47"/>
      <c r="G22" s="47"/>
      <c r="H22" s="47"/>
      <c r="I22" s="47"/>
      <c r="J22" s="47"/>
      <c r="K22" s="47"/>
      <c r="L22" s="47"/>
      <c r="M22" s="47"/>
      <c r="N22" s="47"/>
      <c r="O22" s="47"/>
      <c r="P22" s="47"/>
      <c r="Q22" s="47"/>
      <c r="R22" s="43">
        <f>('Anambra Workings'!R22+'Niger Workings'!R22)/2</f>
        <v>2.2999999999999998</v>
      </c>
      <c r="S22" s="44">
        <f>('Anambra Workings'!S22+'Niger Workings'!S22)/2</f>
        <v>2.2999999999999998</v>
      </c>
      <c r="T22" s="44">
        <f>('Anambra Workings'!T22+'Niger Workings'!T22)/2</f>
        <v>2.2999999999999998</v>
      </c>
      <c r="U22" s="44">
        <f>('Anambra Workings'!U22+'Niger Workings'!U22)/2</f>
        <v>2.2999999999999998</v>
      </c>
      <c r="V22" s="44">
        <f>('Anambra Workings'!V22+'Niger Workings'!V22)/2</f>
        <v>2.2999999999999998</v>
      </c>
      <c r="W22" s="44">
        <f>('Anambra Workings'!W22+'Niger Workings'!W22)/2</f>
        <v>2.4166666666666665</v>
      </c>
      <c r="X22" s="44">
        <f>('Anambra Workings'!X22+'Niger Workings'!X22)/2</f>
        <v>2.5333333333333332</v>
      </c>
      <c r="Y22" s="43">
        <f>('Anambra Workings'!Y22+'Niger Workings'!Y22)/2</f>
        <v>2.65</v>
      </c>
      <c r="Z22" s="44">
        <f>('Anambra Workings'!Z22+'Niger Workings'!Z22)/2</f>
        <v>2.65</v>
      </c>
      <c r="AA22" s="38">
        <v>5</v>
      </c>
      <c r="AB22" s="420">
        <f>AA22/22</f>
        <v>0.22727272727272727</v>
      </c>
      <c r="AD22" s="450">
        <f>V22</f>
        <v>2.2999999999999998</v>
      </c>
      <c r="AF22" s="339">
        <f t="shared" ref="AF22:AG23" si="6">IF($AG$1=16,R22,IF($AG$1=17,S22,IF($AG$1=18,T22,IF($AG$1=19,U22,IF($AG$1=20,V22,IF($AG$1=21,W22,IF($AG$1=22,X22,0)))))))</f>
        <v>2.4166666666666665</v>
      </c>
      <c r="AG22" s="339">
        <f t="shared" si="6"/>
        <v>2.5333333333333332</v>
      </c>
      <c r="AI22" s="338"/>
    </row>
    <row r="23" spans="1:35" s="340" customFormat="1" ht="15.75" thickBot="1">
      <c r="A23" s="45"/>
      <c r="B23" s="46" t="s">
        <v>140</v>
      </c>
      <c r="C23" s="47"/>
      <c r="D23" s="47"/>
      <c r="E23" s="47"/>
      <c r="F23" s="47"/>
      <c r="G23" s="47"/>
      <c r="H23" s="47"/>
      <c r="I23" s="47"/>
      <c r="J23" s="47"/>
      <c r="K23" s="47"/>
      <c r="L23" s="47"/>
      <c r="M23" s="47"/>
      <c r="N23" s="47"/>
      <c r="O23" s="47"/>
      <c r="P23" s="47"/>
      <c r="Q23" s="47"/>
      <c r="R23" s="47">
        <f>('Anambra Workings'!R23+'Niger Workings'!R23)/2</f>
        <v>2.2999999999999998</v>
      </c>
      <c r="S23" s="47">
        <f>('Anambra Workings'!S23+'Niger Workings'!S23)/2</f>
        <v>2.2999999999999998</v>
      </c>
      <c r="T23" s="47">
        <f>('Anambra Workings'!T23+'Niger Workings'!T23)/2</f>
        <v>2.2999999999999998</v>
      </c>
      <c r="U23" s="47">
        <f>('Anambra Workings'!U23+'Niger Workings'!U23)/2</f>
        <v>2.2999999999999998</v>
      </c>
      <c r="V23" s="47">
        <f>('Anambra Workings'!V23+'Niger Workings'!V23)/2</f>
        <v>2.2999999999999998</v>
      </c>
      <c r="W23" s="69">
        <f>('Anambra Workings'!W23+'Niger Workings'!W23)/2</f>
        <v>2.2999999999999998</v>
      </c>
      <c r="X23" s="69">
        <f>('Anambra Workings'!X23+'Niger Workings'!X23)/2</f>
        <v>2.4500000000000002</v>
      </c>
      <c r="Y23" s="69">
        <f>('Anambra Workings'!Y23+'Niger Workings'!Y23)/2</f>
        <v>0</v>
      </c>
      <c r="Z23" s="69">
        <f>('Anambra Workings'!Z23+'Niger Workings'!Z23)/2</f>
        <v>0</v>
      </c>
      <c r="AA23" s="49"/>
      <c r="AB23" s="421"/>
      <c r="AD23" s="341">
        <f>V23</f>
        <v>2.2999999999999998</v>
      </c>
      <c r="AE23" s="335"/>
      <c r="AF23" s="341">
        <f t="shared" si="6"/>
        <v>2.2999999999999998</v>
      </c>
      <c r="AG23" s="341">
        <f t="shared" si="6"/>
        <v>2.4500000000000002</v>
      </c>
      <c r="AH23" s="342">
        <f>AG23</f>
        <v>2.4500000000000002</v>
      </c>
      <c r="AI23" s="342">
        <f>AG23</f>
        <v>2.4500000000000002</v>
      </c>
    </row>
    <row r="24" spans="1:35" s="340" customFormat="1">
      <c r="A24" s="45"/>
      <c r="B24" s="46"/>
      <c r="C24" s="48"/>
      <c r="D24" s="422"/>
      <c r="E24" s="422"/>
      <c r="F24" s="422"/>
      <c r="G24" s="83"/>
      <c r="H24" s="83"/>
      <c r="I24" s="83"/>
      <c r="J24" s="83"/>
      <c r="K24" s="83"/>
      <c r="L24" s="48"/>
      <c r="M24" s="48"/>
      <c r="N24" s="83"/>
      <c r="O24" s="83"/>
      <c r="P24" s="48"/>
      <c r="Q24" s="48"/>
      <c r="R24" s="48"/>
      <c r="S24" s="48"/>
      <c r="T24" s="48"/>
      <c r="U24" s="48"/>
      <c r="V24" s="48"/>
      <c r="W24" s="48"/>
      <c r="X24" s="48"/>
      <c r="Y24" s="48"/>
      <c r="Z24" s="48"/>
      <c r="AA24" s="49"/>
      <c r="AB24" s="421"/>
      <c r="AE24" s="335"/>
      <c r="AF24" s="343"/>
      <c r="AG24" s="343"/>
      <c r="AH24" s="335"/>
      <c r="AI24" s="338"/>
    </row>
    <row r="25" spans="1:35" ht="15.75" thickBot="1">
      <c r="A25" s="41" t="s">
        <v>23</v>
      </c>
      <c r="B25" s="42" t="s">
        <v>139</v>
      </c>
      <c r="C25" s="47"/>
      <c r="D25" s="47"/>
      <c r="E25" s="47"/>
      <c r="F25" s="47"/>
      <c r="G25" s="47"/>
      <c r="H25" s="47"/>
      <c r="I25" s="47"/>
      <c r="J25" s="47"/>
      <c r="K25" s="47"/>
      <c r="L25" s="47"/>
      <c r="M25" s="47"/>
      <c r="N25" s="47"/>
      <c r="O25" s="47"/>
      <c r="P25" s="47"/>
      <c r="Q25" s="47"/>
      <c r="R25" s="43">
        <f>('Anambra Workings'!R25+'Niger Workings'!R25)/2</f>
        <v>2.25</v>
      </c>
      <c r="S25" s="44">
        <f>('Anambra Workings'!S25+'Niger Workings'!S25)/2</f>
        <v>2.25</v>
      </c>
      <c r="T25" s="44">
        <f>('Anambra Workings'!T25+'Niger Workings'!T25)/2</f>
        <v>2.25</v>
      </c>
      <c r="U25" s="44">
        <f>('Anambra Workings'!U25+'Niger Workings'!U25)/2</f>
        <v>2.25</v>
      </c>
      <c r="V25" s="44">
        <f>('Anambra Workings'!V25+'Niger Workings'!V25)/2</f>
        <v>2.25</v>
      </c>
      <c r="W25" s="44">
        <f>('Anambra Workings'!W25+'Niger Workings'!W25)/2</f>
        <v>2.4</v>
      </c>
      <c r="X25" s="44">
        <f>('Anambra Workings'!X25+'Niger Workings'!X25)/2</f>
        <v>2.5499999999999998</v>
      </c>
      <c r="Y25" s="43">
        <f>('Anambra Workings'!Y25+'Niger Workings'!Y25)/2</f>
        <v>2.7</v>
      </c>
      <c r="Z25" s="44">
        <f>('Anambra Workings'!Z25+'Niger Workings'!Z25)/2</f>
        <v>2.7</v>
      </c>
      <c r="AA25" s="38">
        <v>5</v>
      </c>
      <c r="AB25" s="420">
        <f>AA25/22</f>
        <v>0.22727272727272727</v>
      </c>
      <c r="AD25" s="450">
        <f>V25</f>
        <v>2.25</v>
      </c>
      <c r="AF25" s="339">
        <f t="shared" ref="AF25:AG26" si="7">IF($AG$1=16,R25,IF($AG$1=17,S25,IF($AG$1=18,T25,IF($AG$1=19,U25,IF($AG$1=20,V25,IF($AG$1=21,W25,IF($AG$1=22,X25,0)))))))</f>
        <v>2.4</v>
      </c>
      <c r="AG25" s="339">
        <f t="shared" si="7"/>
        <v>2.5499999999999998</v>
      </c>
      <c r="AI25" s="338"/>
    </row>
    <row r="26" spans="1:35" s="340" customFormat="1" ht="15.75" thickBot="1">
      <c r="A26" s="45"/>
      <c r="B26" s="46" t="s">
        <v>140</v>
      </c>
      <c r="C26" s="47"/>
      <c r="D26" s="47"/>
      <c r="E26" s="47"/>
      <c r="F26" s="47"/>
      <c r="G26" s="47"/>
      <c r="H26" s="47"/>
      <c r="I26" s="47"/>
      <c r="J26" s="47"/>
      <c r="K26" s="47"/>
      <c r="L26" s="47"/>
      <c r="M26" s="47"/>
      <c r="N26" s="47"/>
      <c r="O26" s="47"/>
      <c r="P26" s="47"/>
      <c r="Q26" s="47"/>
      <c r="R26" s="47">
        <f>('Anambra Workings'!R26+'Niger Workings'!R26)/2</f>
        <v>2.25</v>
      </c>
      <c r="S26" s="47">
        <f>('Anambra Workings'!S26+'Niger Workings'!S26)/2</f>
        <v>2.25</v>
      </c>
      <c r="T26" s="47">
        <f>('Anambra Workings'!T26+'Niger Workings'!T26)/2</f>
        <v>2.25</v>
      </c>
      <c r="U26" s="47">
        <f>('Anambra Workings'!U26+'Niger Workings'!U26)/2</f>
        <v>2.25</v>
      </c>
      <c r="V26" s="47">
        <f>('Anambra Workings'!V26+'Niger Workings'!V26)/2</f>
        <v>2.25</v>
      </c>
      <c r="W26" s="69">
        <f>('Anambra Workings'!W26+'Niger Workings'!W26)/2</f>
        <v>2.25</v>
      </c>
      <c r="X26" s="69">
        <f>('Anambra Workings'!X26+'Niger Workings'!X26)/2</f>
        <v>2.4</v>
      </c>
      <c r="Y26" s="69">
        <f>('Anambra Workings'!Y26+'Niger Workings'!Y26)/2</f>
        <v>0</v>
      </c>
      <c r="Z26" s="69">
        <f>('Anambra Workings'!Z26+'Niger Workings'!Z26)/2</f>
        <v>0</v>
      </c>
      <c r="AA26" s="49"/>
      <c r="AB26" s="421"/>
      <c r="AD26" s="341">
        <f>V26</f>
        <v>2.25</v>
      </c>
      <c r="AE26" s="335"/>
      <c r="AF26" s="341">
        <f t="shared" si="7"/>
        <v>2.25</v>
      </c>
      <c r="AG26" s="341">
        <f t="shared" si="7"/>
        <v>2.4</v>
      </c>
      <c r="AH26" s="342">
        <f>AG26</f>
        <v>2.4</v>
      </c>
      <c r="AI26" s="342">
        <f>AG26</f>
        <v>2.4</v>
      </c>
    </row>
    <row r="27" spans="1:35" s="340" customFormat="1">
      <c r="A27" s="45"/>
      <c r="B27" s="46"/>
      <c r="C27" s="48"/>
      <c r="D27" s="422"/>
      <c r="E27" s="422"/>
      <c r="F27" s="422"/>
      <c r="G27" s="83"/>
      <c r="H27" s="83"/>
      <c r="I27" s="83"/>
      <c r="J27" s="83"/>
      <c r="K27" s="83"/>
      <c r="L27" s="48"/>
      <c r="M27" s="48"/>
      <c r="N27" s="83"/>
      <c r="O27" s="83"/>
      <c r="P27" s="48"/>
      <c r="Q27" s="48"/>
      <c r="R27" s="48"/>
      <c r="S27" s="48"/>
      <c r="T27" s="48"/>
      <c r="U27" s="48"/>
      <c r="V27" s="48"/>
      <c r="W27" s="48"/>
      <c r="X27" s="48"/>
      <c r="Y27" s="48"/>
      <c r="Z27" s="48"/>
      <c r="AA27" s="49"/>
      <c r="AB27" s="421"/>
      <c r="AE27" s="335"/>
      <c r="AH27" s="335"/>
      <c r="AI27" s="338"/>
    </row>
    <row r="28" spans="1:35" ht="15.75" thickBot="1">
      <c r="A28" s="41" t="s">
        <v>38</v>
      </c>
      <c r="B28" s="42" t="s">
        <v>139</v>
      </c>
      <c r="C28" s="47"/>
      <c r="D28" s="47"/>
      <c r="E28" s="47"/>
      <c r="F28" s="47"/>
      <c r="G28" s="47"/>
      <c r="H28" s="47"/>
      <c r="I28" s="47"/>
      <c r="J28" s="47"/>
      <c r="K28" s="47"/>
      <c r="L28" s="47"/>
      <c r="M28" s="47"/>
      <c r="N28" s="47"/>
      <c r="O28" s="47"/>
      <c r="P28" s="47"/>
      <c r="Q28" s="47"/>
      <c r="R28" s="43">
        <f>('Anambra Workings'!R28+'Niger Workings'!R28)/2</f>
        <v>3</v>
      </c>
      <c r="S28" s="44">
        <f>('Anambra Workings'!S28+'Niger Workings'!S28)/2</f>
        <v>3</v>
      </c>
      <c r="T28" s="44">
        <f>('Anambra Workings'!T28+'Niger Workings'!T28)/2</f>
        <v>3</v>
      </c>
      <c r="U28" s="44">
        <f>('Anambra Workings'!U28+'Niger Workings'!U28)/2</f>
        <v>3</v>
      </c>
      <c r="V28" s="44">
        <f>('Anambra Workings'!V28+'Niger Workings'!V28)/2</f>
        <v>3</v>
      </c>
      <c r="W28" s="44">
        <f>('Anambra Workings'!W28+'Niger Workings'!W28)/2</f>
        <v>3.0666666666666664</v>
      </c>
      <c r="X28" s="44">
        <f>('Anambra Workings'!X28+'Niger Workings'!X28)/2</f>
        <v>3.1333333333333333</v>
      </c>
      <c r="Y28" s="43">
        <f>('Anambra Workings'!Y28+'Niger Workings'!Y28)/2</f>
        <v>3.2</v>
      </c>
      <c r="Z28" s="44">
        <f>('Anambra Workings'!Z28+'Niger Workings'!Z28)/2</f>
        <v>3.2</v>
      </c>
      <c r="AA28" s="38">
        <v>5</v>
      </c>
      <c r="AB28" s="420">
        <f>AA28/22</f>
        <v>0.22727272727272727</v>
      </c>
      <c r="AD28" s="450">
        <f>V28</f>
        <v>3</v>
      </c>
      <c r="AF28" s="339">
        <f t="shared" ref="AF28:AG29" si="8">IF($AG$1=16,R28,IF($AG$1=17,S28,IF($AG$1=18,T28,IF($AG$1=19,U28,IF($AG$1=20,V28,IF($AG$1=21,W28,IF($AG$1=22,X28,0)))))))</f>
        <v>3.0666666666666664</v>
      </c>
      <c r="AG28" s="339">
        <f t="shared" si="8"/>
        <v>3.1333333333333333</v>
      </c>
      <c r="AI28" s="338"/>
    </row>
    <row r="29" spans="1:35" s="340" customFormat="1" ht="15.75" thickBot="1">
      <c r="A29" s="45"/>
      <c r="B29" s="46" t="s">
        <v>140</v>
      </c>
      <c r="C29" s="47"/>
      <c r="D29" s="47"/>
      <c r="E29" s="47"/>
      <c r="F29" s="47"/>
      <c r="G29" s="47"/>
      <c r="H29" s="47"/>
      <c r="I29" s="47"/>
      <c r="J29" s="47"/>
      <c r="K29" s="47"/>
      <c r="L29" s="47"/>
      <c r="M29" s="47"/>
      <c r="N29" s="47"/>
      <c r="O29" s="47"/>
      <c r="P29" s="47"/>
      <c r="Q29" s="47"/>
      <c r="R29" s="47">
        <f>('Anambra Workings'!R29+'Niger Workings'!R29)/2</f>
        <v>3</v>
      </c>
      <c r="S29" s="47">
        <f>('Anambra Workings'!S29+'Niger Workings'!S29)/2</f>
        <v>3</v>
      </c>
      <c r="T29" s="47">
        <f>('Anambra Workings'!T29+'Niger Workings'!T29)/2</f>
        <v>3</v>
      </c>
      <c r="U29" s="47">
        <f>('Anambra Workings'!U29+'Niger Workings'!U29)/2</f>
        <v>3</v>
      </c>
      <c r="V29" s="47">
        <f>('Anambra Workings'!V29+'Niger Workings'!V29)/2</f>
        <v>3</v>
      </c>
      <c r="W29" s="69">
        <f>('Anambra Workings'!W29+'Niger Workings'!W29)/2</f>
        <v>3</v>
      </c>
      <c r="X29" s="69">
        <f>('Anambra Workings'!X29+'Niger Workings'!X29)/2</f>
        <v>3.05</v>
      </c>
      <c r="Y29" s="69">
        <f>('Anambra Workings'!Y29+'Niger Workings'!Y29)/2</f>
        <v>0</v>
      </c>
      <c r="Z29" s="69">
        <f>('Anambra Workings'!Z29+'Niger Workings'!Z29)/2</f>
        <v>0</v>
      </c>
      <c r="AA29" s="49"/>
      <c r="AB29" s="421"/>
      <c r="AD29" s="341">
        <f>V29</f>
        <v>3</v>
      </c>
      <c r="AE29" s="335"/>
      <c r="AF29" s="341">
        <f t="shared" si="8"/>
        <v>3</v>
      </c>
      <c r="AG29" s="341">
        <f t="shared" si="8"/>
        <v>3.05</v>
      </c>
      <c r="AH29" s="342">
        <f>AG29</f>
        <v>3.05</v>
      </c>
      <c r="AI29" s="342">
        <f>AG29</f>
        <v>3.05</v>
      </c>
    </row>
    <row r="30" spans="1:35" s="340" customFormat="1">
      <c r="A30" s="45"/>
      <c r="B30" s="46"/>
      <c r="C30" s="48"/>
      <c r="D30" s="422"/>
      <c r="E30" s="422"/>
      <c r="F30" s="422"/>
      <c r="G30" s="83"/>
      <c r="H30" s="83"/>
      <c r="I30" s="83"/>
      <c r="J30" s="83"/>
      <c r="K30" s="83"/>
      <c r="L30" s="48"/>
      <c r="M30" s="48"/>
      <c r="N30" s="83"/>
      <c r="O30" s="83"/>
      <c r="P30" s="48"/>
      <c r="Q30" s="48"/>
      <c r="R30" s="53"/>
      <c r="S30" s="48"/>
      <c r="T30" s="48"/>
      <c r="U30" s="48"/>
      <c r="V30" s="48"/>
      <c r="W30" s="48"/>
      <c r="X30" s="48"/>
      <c r="Y30" s="48"/>
      <c r="Z30" s="48"/>
      <c r="AA30" s="49"/>
      <c r="AB30" s="421"/>
      <c r="AE30" s="335"/>
      <c r="AF30" s="343"/>
      <c r="AG30" s="343"/>
      <c r="AH30" s="335"/>
      <c r="AI30" s="338"/>
    </row>
    <row r="31" spans="1:35" ht="15.75" thickBot="1">
      <c r="A31" s="41" t="s">
        <v>39</v>
      </c>
      <c r="B31" s="42" t="s">
        <v>139</v>
      </c>
      <c r="C31" s="47"/>
      <c r="D31" s="47"/>
      <c r="E31" s="47"/>
      <c r="F31" s="47"/>
      <c r="G31" s="47"/>
      <c r="H31" s="47"/>
      <c r="I31" s="47"/>
      <c r="J31" s="47"/>
      <c r="K31" s="47"/>
      <c r="L31" s="47"/>
      <c r="M31" s="47"/>
      <c r="N31" s="47"/>
      <c r="O31" s="47"/>
      <c r="P31" s="47"/>
      <c r="Q31" s="47"/>
      <c r="R31" s="50">
        <f>('Anambra Workings'!R31+'Niger Workings'!R31)</f>
        <v>0</v>
      </c>
      <c r="S31" s="51">
        <f>('Anambra Workings'!S31+'Niger Workings'!S31)</f>
        <v>0</v>
      </c>
      <c r="T31" s="51">
        <f>('Anambra Workings'!T31+'Niger Workings'!T31)</f>
        <v>0</v>
      </c>
      <c r="U31" s="51">
        <f>('Anambra Workings'!U31+'Niger Workings'!U31)</f>
        <v>0</v>
      </c>
      <c r="V31" s="51">
        <f>('Anambra Workings'!V31+'Niger Workings'!V31)</f>
        <v>0</v>
      </c>
      <c r="W31" s="51">
        <f>('Anambra Workings'!W31+'Niger Workings'!W31)</f>
        <v>0.66666666666666663</v>
      </c>
      <c r="X31" s="51">
        <f>('Anambra Workings'!X31+'Niger Workings'!X31)</f>
        <v>1.3333333333333333</v>
      </c>
      <c r="Y31" s="50">
        <f>('Anambra Workings'!Y31+'Niger Workings'!Y31)</f>
        <v>2</v>
      </c>
      <c r="Z31" s="51">
        <f>('Anambra Workings'!Z31+'Niger Workings'!Z31)</f>
        <v>2</v>
      </c>
      <c r="AA31" s="38">
        <f>'Niger Workings'!AA31*3</f>
        <v>60</v>
      </c>
      <c r="AB31" s="457">
        <f>AA31/22</f>
        <v>2.7272727272727271</v>
      </c>
      <c r="AC31" s="340"/>
      <c r="AD31" s="451">
        <f>V31</f>
        <v>0</v>
      </c>
      <c r="AE31" s="346"/>
      <c r="AF31" s="453">
        <f t="shared" ref="AF31:AG32" si="9">IF($AG$1=16,R31,IF($AG$1=17,S31,IF($AG$1=18,T31,IF($AG$1=19,U31,IF($AG$1=20,V31,IF($AG$1=21,W31,IF($AG$1=22,X31,0)))))))</f>
        <v>0.66666666666666663</v>
      </c>
      <c r="AG31" s="453">
        <f t="shared" si="9"/>
        <v>1.3333333333333333</v>
      </c>
      <c r="AI31" s="338"/>
    </row>
    <row r="32" spans="1:35" s="340" customFormat="1" ht="15.75" thickBot="1">
      <c r="A32" s="45"/>
      <c r="B32" s="46" t="s">
        <v>140</v>
      </c>
      <c r="C32" s="47"/>
      <c r="D32" s="47"/>
      <c r="E32" s="47"/>
      <c r="F32" s="47"/>
      <c r="G32" s="47"/>
      <c r="H32" s="47"/>
      <c r="I32" s="47"/>
      <c r="J32" s="47"/>
      <c r="K32" s="47"/>
      <c r="L32" s="47"/>
      <c r="M32" s="47"/>
      <c r="N32" s="47"/>
      <c r="O32" s="47"/>
      <c r="P32" s="47"/>
      <c r="Q32" s="47"/>
      <c r="R32" s="52">
        <f>('Anambra Workings'!R32+'Niger Workings'!R32)</f>
        <v>0</v>
      </c>
      <c r="S32" s="52">
        <f>('Anambra Workings'!S32+'Niger Workings'!S32)</f>
        <v>0</v>
      </c>
      <c r="T32" s="52">
        <f>('Anambra Workings'!T32+'Niger Workings'!T32)</f>
        <v>0</v>
      </c>
      <c r="U32" s="52">
        <f>('Anambra Workings'!U32+'Niger Workings'!U32)</f>
        <v>0</v>
      </c>
      <c r="V32" s="52">
        <f>('Anambra Workings'!V32+'Niger Workings'!V32)</f>
        <v>0</v>
      </c>
      <c r="W32" s="70">
        <f>('Anambra Workings'!W32+'Niger Workings'!W32)</f>
        <v>0</v>
      </c>
      <c r="X32" s="70">
        <f>('Anambra Workings'!X32+'Niger Workings'!X32)</f>
        <v>0</v>
      </c>
      <c r="Y32" s="70">
        <f>('Anambra Workings'!Y32+'Niger Workings'!Y32)</f>
        <v>0</v>
      </c>
      <c r="Z32" s="70">
        <f>('Anambra Workings'!Z32+'Niger Workings'!Z32)</f>
        <v>0</v>
      </c>
      <c r="AA32" s="49"/>
      <c r="AB32" s="421"/>
      <c r="AD32" s="452">
        <f>V32</f>
        <v>0</v>
      </c>
      <c r="AE32" s="346"/>
      <c r="AF32" s="452">
        <f t="shared" si="9"/>
        <v>0</v>
      </c>
      <c r="AG32" s="452">
        <f t="shared" si="9"/>
        <v>0</v>
      </c>
      <c r="AH32" s="342">
        <f>AG32</f>
        <v>0</v>
      </c>
      <c r="AI32" s="342">
        <f>AG32</f>
        <v>0</v>
      </c>
    </row>
    <row r="33" spans="1:35" s="340" customFormat="1">
      <c r="A33" s="45"/>
      <c r="B33" s="46"/>
      <c r="C33" s="48"/>
      <c r="D33" s="422"/>
      <c r="E33" s="422"/>
      <c r="F33" s="422"/>
      <c r="G33" s="83"/>
      <c r="H33" s="83"/>
      <c r="I33" s="83"/>
      <c r="J33" s="83"/>
      <c r="K33" s="83"/>
      <c r="L33" s="48"/>
      <c r="M33" s="48"/>
      <c r="N33" s="83"/>
      <c r="O33" s="83"/>
      <c r="P33" s="48"/>
      <c r="Q33" s="48"/>
      <c r="R33" s="53"/>
      <c r="S33" s="53"/>
      <c r="T33" s="53"/>
      <c r="U33" s="53"/>
      <c r="V33" s="53"/>
      <c r="W33" s="53"/>
      <c r="X33" s="53"/>
      <c r="Y33" s="53"/>
      <c r="Z33" s="53"/>
      <c r="AA33" s="49"/>
      <c r="AB33" s="421"/>
      <c r="AD33" s="345"/>
      <c r="AE33" s="346"/>
      <c r="AF33" s="454"/>
      <c r="AG33" s="454"/>
      <c r="AH33" s="335"/>
      <c r="AI33" s="338"/>
    </row>
    <row r="34" spans="1:35" ht="15.75" thickBot="1">
      <c r="A34" s="41" t="s">
        <v>185</v>
      </c>
      <c r="B34" s="42" t="s">
        <v>222</v>
      </c>
      <c r="C34" s="47"/>
      <c r="D34" s="47"/>
      <c r="E34" s="47"/>
      <c r="F34" s="47"/>
      <c r="G34" s="47"/>
      <c r="H34" s="47"/>
      <c r="I34" s="47"/>
      <c r="J34" s="47"/>
      <c r="K34" s="47"/>
      <c r="L34" s="47"/>
      <c r="M34" s="47"/>
      <c r="N34" s="47"/>
      <c r="O34" s="47"/>
      <c r="P34" s="47"/>
      <c r="Q34" s="47"/>
      <c r="R34" s="50">
        <f>('Anambra Workings'!R34+'Niger Workings'!R34)</f>
        <v>0</v>
      </c>
      <c r="S34" s="51">
        <f>('Anambra Workings'!S34+'Niger Workings'!S34)</f>
        <v>0</v>
      </c>
      <c r="T34" s="51">
        <f>('Anambra Workings'!T34+'Niger Workings'!T34)</f>
        <v>0</v>
      </c>
      <c r="U34" s="51">
        <f>('Anambra Workings'!U34+'Niger Workings'!U34)</f>
        <v>0</v>
      </c>
      <c r="V34" s="51">
        <f>('Anambra Workings'!V34+'Niger Workings'!V34)</f>
        <v>0</v>
      </c>
      <c r="W34" s="51">
        <f>('Anambra Workings'!W34+'Niger Workings'!W34)</f>
        <v>0.66666666666666663</v>
      </c>
      <c r="X34" s="51">
        <f>('Anambra Workings'!X34+'Niger Workings'!X34)</f>
        <v>1.3333333333333333</v>
      </c>
      <c r="Y34" s="50">
        <f>('Anambra Workings'!Y34+'Niger Workings'!Y34)</f>
        <v>2</v>
      </c>
      <c r="Z34" s="51">
        <f>('Anambra Workings'!Z34+'Niger Workings'!Z34)</f>
        <v>2</v>
      </c>
      <c r="AA34" s="38">
        <f>'Niger Workings'!AA34*3</f>
        <v>45</v>
      </c>
      <c r="AB34" s="457">
        <f>AA34/22</f>
        <v>2.0454545454545454</v>
      </c>
      <c r="AC34" s="340"/>
      <c r="AD34" s="451">
        <f>V34</f>
        <v>0</v>
      </c>
      <c r="AE34" s="346"/>
      <c r="AF34" s="453">
        <f t="shared" ref="AF34:AG35" si="10">IF($AG$1=16,R34,IF($AG$1=17,S34,IF($AG$1=18,T34,IF($AG$1=19,U34,IF($AG$1=20,V34,IF($AG$1=21,W34,IF($AG$1=22,X34,0)))))))</f>
        <v>0.66666666666666663</v>
      </c>
      <c r="AG34" s="453">
        <f t="shared" si="10"/>
        <v>1.3333333333333333</v>
      </c>
      <c r="AI34" s="338"/>
    </row>
    <row r="35" spans="1:35" s="340" customFormat="1" ht="15.75" thickBot="1">
      <c r="A35" s="45"/>
      <c r="B35" s="46" t="s">
        <v>223</v>
      </c>
      <c r="C35" s="47"/>
      <c r="D35" s="47"/>
      <c r="E35" s="47"/>
      <c r="F35" s="47"/>
      <c r="G35" s="47"/>
      <c r="H35" s="47"/>
      <c r="I35" s="47"/>
      <c r="J35" s="47"/>
      <c r="K35" s="47"/>
      <c r="L35" s="47"/>
      <c r="M35" s="47"/>
      <c r="N35" s="47"/>
      <c r="O35" s="47"/>
      <c r="P35" s="47"/>
      <c r="Q35" s="47"/>
      <c r="R35" s="52">
        <f>('Anambra Workings'!R35+'Niger Workings'!R35)</f>
        <v>0</v>
      </c>
      <c r="S35" s="52">
        <f>('Anambra Workings'!S35+'Niger Workings'!S35)</f>
        <v>0</v>
      </c>
      <c r="T35" s="52">
        <f>('Anambra Workings'!T35+'Niger Workings'!T35)</f>
        <v>0</v>
      </c>
      <c r="U35" s="52">
        <f>('Anambra Workings'!U35+'Niger Workings'!U35)</f>
        <v>0</v>
      </c>
      <c r="V35" s="52">
        <f>('Anambra Workings'!V35+'Niger Workings'!V35)</f>
        <v>0</v>
      </c>
      <c r="W35" s="70">
        <f>('Anambra Workings'!W35+'Niger Workings'!W35)</f>
        <v>0</v>
      </c>
      <c r="X35" s="70">
        <f>('Anambra Workings'!X35+'Niger Workings'!X35)</f>
        <v>0</v>
      </c>
      <c r="Y35" s="70">
        <f>('Anambra Workings'!Y35+'Niger Workings'!Y35)</f>
        <v>0</v>
      </c>
      <c r="Z35" s="70">
        <f>('Anambra Workings'!Z35+'Niger Workings'!Z35)</f>
        <v>0</v>
      </c>
      <c r="AA35" s="49"/>
      <c r="AB35" s="421"/>
      <c r="AD35" s="452">
        <f>V35</f>
        <v>0</v>
      </c>
      <c r="AE35" s="346"/>
      <c r="AF35" s="452">
        <f t="shared" si="10"/>
        <v>0</v>
      </c>
      <c r="AG35" s="452">
        <f t="shared" si="10"/>
        <v>0</v>
      </c>
      <c r="AH35" s="342">
        <f>AG35</f>
        <v>0</v>
      </c>
      <c r="AI35" s="342">
        <f>AG35</f>
        <v>0</v>
      </c>
    </row>
    <row r="36" spans="1:35" s="340" customFormat="1">
      <c r="A36" s="45"/>
      <c r="B36" s="46"/>
      <c r="C36" s="48"/>
      <c r="D36" s="422"/>
      <c r="E36" s="422"/>
      <c r="F36" s="422"/>
      <c r="G36" s="83"/>
      <c r="H36" s="83"/>
      <c r="I36" s="83"/>
      <c r="J36" s="83"/>
      <c r="K36" s="83"/>
      <c r="L36" s="48"/>
      <c r="M36" s="48"/>
      <c r="N36" s="83"/>
      <c r="O36" s="83"/>
      <c r="P36" s="48"/>
      <c r="Q36" s="48"/>
      <c r="R36" s="53"/>
      <c r="S36" s="53"/>
      <c r="T36" s="53"/>
      <c r="U36" s="53"/>
      <c r="V36" s="53"/>
      <c r="W36" s="53"/>
      <c r="X36" s="53"/>
      <c r="Y36" s="53"/>
      <c r="Z36" s="53"/>
      <c r="AA36" s="49"/>
      <c r="AB36" s="421"/>
      <c r="AD36" s="345"/>
      <c r="AE36" s="346"/>
      <c r="AF36" s="454"/>
      <c r="AG36" s="454"/>
      <c r="AH36" s="335"/>
      <c r="AI36" s="338"/>
    </row>
    <row r="37" spans="1:35" ht="15.75" thickBot="1">
      <c r="A37" s="41" t="s">
        <v>184</v>
      </c>
      <c r="B37" s="42" t="s">
        <v>226</v>
      </c>
      <c r="C37" s="47"/>
      <c r="D37" s="47"/>
      <c r="E37" s="47"/>
      <c r="F37" s="47"/>
      <c r="G37" s="47"/>
      <c r="H37" s="47"/>
      <c r="I37" s="47"/>
      <c r="J37" s="47"/>
      <c r="K37" s="47"/>
      <c r="L37" s="47"/>
      <c r="M37" s="47"/>
      <c r="N37" s="47"/>
      <c r="O37" s="47"/>
      <c r="P37" s="47"/>
      <c r="Q37" s="47"/>
      <c r="R37" s="50">
        <f>('Anambra Workings'!R37+'Niger Workings'!R37)</f>
        <v>0</v>
      </c>
      <c r="S37" s="51">
        <f>('Anambra Workings'!S37+'Niger Workings'!S37)</f>
        <v>0</v>
      </c>
      <c r="T37" s="51">
        <f>('Anambra Workings'!T37+'Niger Workings'!T37)</f>
        <v>0</v>
      </c>
      <c r="U37" s="51">
        <f>('Anambra Workings'!U37+'Niger Workings'!U37)</f>
        <v>0</v>
      </c>
      <c r="V37" s="51">
        <f>('Anambra Workings'!V37+'Niger Workings'!V37)</f>
        <v>0</v>
      </c>
      <c r="W37" s="51">
        <f>('Anambra Workings'!W37+'Niger Workings'!W37)</f>
        <v>0</v>
      </c>
      <c r="X37" s="51">
        <f>('Anambra Workings'!X37+'Niger Workings'!X37)</f>
        <v>0</v>
      </c>
      <c r="Y37" s="50">
        <f>('Anambra Workings'!Y37+'Niger Workings'!Y37)</f>
        <v>0</v>
      </c>
      <c r="Z37" s="51">
        <f>('Anambra Workings'!Z37+'Niger Workings'!Z37)</f>
        <v>0</v>
      </c>
      <c r="AA37" s="38">
        <f>'Niger Workings'!AA37*3</f>
        <v>30</v>
      </c>
      <c r="AB37" s="457">
        <f>AA37/22</f>
        <v>1.3636363636363635</v>
      </c>
      <c r="AC37" s="340"/>
      <c r="AD37" s="451">
        <f>V37</f>
        <v>0</v>
      </c>
      <c r="AE37" s="346"/>
      <c r="AF37" s="453">
        <f t="shared" ref="AF37:AG38" si="11">IF($AG$1=16,R37,IF($AG$1=17,S37,IF($AG$1=18,T37,IF($AG$1=19,U37,IF($AG$1=20,V37,IF($AG$1=21,W37,IF($AG$1=22,X37,0)))))))</f>
        <v>0</v>
      </c>
      <c r="AG37" s="453">
        <f t="shared" si="11"/>
        <v>0</v>
      </c>
      <c r="AI37" s="338"/>
    </row>
    <row r="38" spans="1:35" s="340" customFormat="1" ht="15.75" thickBot="1">
      <c r="A38" s="45"/>
      <c r="B38" s="46" t="s">
        <v>227</v>
      </c>
      <c r="C38" s="47"/>
      <c r="D38" s="47"/>
      <c r="E38" s="47"/>
      <c r="F38" s="47"/>
      <c r="G38" s="47"/>
      <c r="H38" s="47"/>
      <c r="I38" s="47"/>
      <c r="J38" s="47"/>
      <c r="K38" s="47"/>
      <c r="L38" s="47"/>
      <c r="M38" s="47"/>
      <c r="N38" s="47"/>
      <c r="O38" s="47"/>
      <c r="P38" s="47"/>
      <c r="Q38" s="47"/>
      <c r="R38" s="52">
        <f>('Anambra Workings'!R38+'Niger Workings'!R38)</f>
        <v>0</v>
      </c>
      <c r="S38" s="52">
        <f>('Anambra Workings'!S38+'Niger Workings'!S38)</f>
        <v>0</v>
      </c>
      <c r="T38" s="52">
        <f>('Anambra Workings'!T38+'Niger Workings'!T38)</f>
        <v>0</v>
      </c>
      <c r="U38" s="52">
        <f>('Anambra Workings'!U38+'Niger Workings'!U38)</f>
        <v>0</v>
      </c>
      <c r="V38" s="52">
        <f>('Anambra Workings'!V38+'Niger Workings'!V38)</f>
        <v>0</v>
      </c>
      <c r="W38" s="70">
        <f>('Anambra Workings'!W38+'Niger Workings'!W38)</f>
        <v>0</v>
      </c>
      <c r="X38" s="70">
        <f>('Anambra Workings'!X38+'Niger Workings'!X38)</f>
        <v>0</v>
      </c>
      <c r="Y38" s="70">
        <f>('Anambra Workings'!Y38+'Niger Workings'!Y38)</f>
        <v>0</v>
      </c>
      <c r="Z38" s="70">
        <f>('Anambra Workings'!Z38+'Niger Workings'!Z38)</f>
        <v>0</v>
      </c>
      <c r="AA38" s="49"/>
      <c r="AB38" s="421"/>
      <c r="AD38" s="452">
        <f>V38</f>
        <v>0</v>
      </c>
      <c r="AE38" s="346"/>
      <c r="AF38" s="452">
        <f t="shared" si="11"/>
        <v>0</v>
      </c>
      <c r="AG38" s="452">
        <f t="shared" si="11"/>
        <v>0</v>
      </c>
      <c r="AH38" s="342">
        <f>AG38</f>
        <v>0</v>
      </c>
      <c r="AI38" s="342">
        <f>AG38</f>
        <v>0</v>
      </c>
    </row>
    <row r="39" spans="1:35" s="340" customFormat="1">
      <c r="A39" s="45"/>
      <c r="B39" s="46"/>
      <c r="C39" s="48"/>
      <c r="D39" s="422"/>
      <c r="E39" s="422"/>
      <c r="F39" s="422"/>
      <c r="G39" s="83"/>
      <c r="H39" s="83"/>
      <c r="I39" s="83"/>
      <c r="J39" s="83"/>
      <c r="K39" s="83"/>
      <c r="L39" s="48"/>
      <c r="M39" s="48"/>
      <c r="N39" s="83"/>
      <c r="O39" s="83"/>
      <c r="P39" s="48"/>
      <c r="Q39" s="48"/>
      <c r="R39" s="53"/>
      <c r="S39" s="53"/>
      <c r="T39" s="53"/>
      <c r="U39" s="53"/>
      <c r="V39" s="53"/>
      <c r="W39" s="53"/>
      <c r="X39" s="53"/>
      <c r="Y39" s="53"/>
      <c r="Z39" s="53"/>
      <c r="AA39" s="49"/>
      <c r="AB39" s="421"/>
      <c r="AD39" s="345"/>
      <c r="AE39" s="346"/>
      <c r="AF39" s="454"/>
      <c r="AG39" s="454"/>
      <c r="AH39" s="335"/>
      <c r="AI39" s="338"/>
    </row>
    <row r="40" spans="1:35" ht="15.75" thickBot="1">
      <c r="A40" s="41" t="s">
        <v>183</v>
      </c>
      <c r="B40" s="42" t="s">
        <v>224</v>
      </c>
      <c r="C40" s="47"/>
      <c r="D40" s="47"/>
      <c r="E40" s="47"/>
      <c r="F40" s="47"/>
      <c r="G40" s="47"/>
      <c r="H40" s="47"/>
      <c r="I40" s="47"/>
      <c r="J40" s="47"/>
      <c r="K40" s="47"/>
      <c r="L40" s="47"/>
      <c r="M40" s="47"/>
      <c r="N40" s="47"/>
      <c r="O40" s="47"/>
      <c r="P40" s="47"/>
      <c r="Q40" s="47"/>
      <c r="R40" s="50">
        <f>('Anambra Workings'!R40+'Niger Workings'!R40)</f>
        <v>0</v>
      </c>
      <c r="S40" s="51">
        <f>('Anambra Workings'!S40+'Niger Workings'!S40)</f>
        <v>0</v>
      </c>
      <c r="T40" s="51">
        <f>('Anambra Workings'!T40+'Niger Workings'!T40)</f>
        <v>0</v>
      </c>
      <c r="U40" s="51">
        <f>('Anambra Workings'!U40+'Niger Workings'!U40)</f>
        <v>0</v>
      </c>
      <c r="V40" s="51">
        <f>('Anambra Workings'!V40+'Niger Workings'!V40)</f>
        <v>0</v>
      </c>
      <c r="W40" s="51">
        <f>('Anambra Workings'!W40+'Niger Workings'!W40)</f>
        <v>0</v>
      </c>
      <c r="X40" s="51">
        <f>('Anambra Workings'!X40+'Niger Workings'!X40)</f>
        <v>0</v>
      </c>
      <c r="Y40" s="50">
        <f>('Anambra Workings'!Y40+'Niger Workings'!Y40)</f>
        <v>0</v>
      </c>
      <c r="Z40" s="51">
        <f>('Anambra Workings'!Z40+'Niger Workings'!Z40)</f>
        <v>0</v>
      </c>
      <c r="AA40" s="38">
        <f>'Niger Workings'!AA40*3</f>
        <v>15</v>
      </c>
      <c r="AB40" s="457">
        <f>AA40/22</f>
        <v>0.68181818181818177</v>
      </c>
      <c r="AC40" s="340"/>
      <c r="AD40" s="451">
        <f>V40</f>
        <v>0</v>
      </c>
      <c r="AE40" s="346"/>
      <c r="AF40" s="453">
        <f t="shared" ref="AF40:AG41" si="12">IF($AG$1=16,R40,IF($AG$1=17,S40,IF($AG$1=18,T40,IF($AG$1=19,U40,IF($AG$1=20,V40,IF($AG$1=21,W40,IF($AG$1=22,X40,0)))))))</f>
        <v>0</v>
      </c>
      <c r="AG40" s="453">
        <f t="shared" si="12"/>
        <v>0</v>
      </c>
      <c r="AI40" s="338"/>
    </row>
    <row r="41" spans="1:35" s="340" customFormat="1" ht="15.75" thickBot="1">
      <c r="A41" s="45"/>
      <c r="B41" s="46" t="s">
        <v>225</v>
      </c>
      <c r="C41" s="47"/>
      <c r="D41" s="47"/>
      <c r="E41" s="47"/>
      <c r="F41" s="47"/>
      <c r="G41" s="47"/>
      <c r="H41" s="47"/>
      <c r="I41" s="47"/>
      <c r="J41" s="47"/>
      <c r="K41" s="47"/>
      <c r="L41" s="47"/>
      <c r="M41" s="47"/>
      <c r="N41" s="47"/>
      <c r="O41" s="47"/>
      <c r="P41" s="47"/>
      <c r="Q41" s="47"/>
      <c r="R41" s="52">
        <f>('Anambra Workings'!R41+'Niger Workings'!R41)</f>
        <v>0</v>
      </c>
      <c r="S41" s="52">
        <f>('Anambra Workings'!S41+'Niger Workings'!S41)</f>
        <v>0</v>
      </c>
      <c r="T41" s="52">
        <f>('Anambra Workings'!T41+'Niger Workings'!T41)</f>
        <v>0</v>
      </c>
      <c r="U41" s="52">
        <f>('Anambra Workings'!U41+'Niger Workings'!U41)</f>
        <v>0</v>
      </c>
      <c r="V41" s="52">
        <f>('Anambra Workings'!V41+'Niger Workings'!V41)</f>
        <v>0</v>
      </c>
      <c r="W41" s="70">
        <f>('Anambra Workings'!W41+'Niger Workings'!W41)</f>
        <v>0</v>
      </c>
      <c r="X41" s="70">
        <f>('Anambra Workings'!X41+'Niger Workings'!X41)</f>
        <v>0</v>
      </c>
      <c r="Y41" s="70">
        <f>('Anambra Workings'!Y41+'Niger Workings'!Y41)</f>
        <v>0</v>
      </c>
      <c r="Z41" s="70">
        <f>('Anambra Workings'!Z41+'Niger Workings'!Z41)</f>
        <v>0</v>
      </c>
      <c r="AA41" s="49"/>
      <c r="AB41" s="421"/>
      <c r="AD41" s="452">
        <f>V41</f>
        <v>0</v>
      </c>
      <c r="AE41" s="346"/>
      <c r="AF41" s="452">
        <f t="shared" si="12"/>
        <v>0</v>
      </c>
      <c r="AG41" s="452">
        <f t="shared" si="12"/>
        <v>0</v>
      </c>
      <c r="AH41" s="342">
        <f>AG41</f>
        <v>0</v>
      </c>
      <c r="AI41" s="342">
        <f>AG41</f>
        <v>0</v>
      </c>
    </row>
    <row r="42" spans="1:35" s="340" customFormat="1">
      <c r="A42" s="45"/>
      <c r="B42" s="46"/>
      <c r="C42" s="48"/>
      <c r="D42" s="422"/>
      <c r="E42" s="422"/>
      <c r="F42" s="422"/>
      <c r="G42" s="83"/>
      <c r="H42" s="83"/>
      <c r="I42" s="83"/>
      <c r="J42" s="83"/>
      <c r="K42" s="83"/>
      <c r="L42" s="48"/>
      <c r="M42" s="48"/>
      <c r="N42" s="83"/>
      <c r="O42" s="83"/>
      <c r="P42" s="48"/>
      <c r="Q42" s="48"/>
      <c r="R42" s="53"/>
      <c r="S42" s="48"/>
      <c r="T42" s="48"/>
      <c r="U42" s="48"/>
      <c r="V42" s="48"/>
      <c r="W42" s="48"/>
      <c r="X42" s="48"/>
      <c r="Y42" s="48"/>
      <c r="Z42" s="48"/>
      <c r="AA42" s="49"/>
      <c r="AB42" s="421"/>
      <c r="AE42" s="335"/>
      <c r="AH42" s="335"/>
      <c r="AI42" s="338"/>
    </row>
    <row r="43" spans="1:35" ht="15.75" thickBot="1">
      <c r="A43" s="41" t="s">
        <v>16</v>
      </c>
      <c r="B43" s="42" t="s">
        <v>139</v>
      </c>
      <c r="C43" s="47"/>
      <c r="D43" s="47"/>
      <c r="E43" s="47"/>
      <c r="F43" s="47"/>
      <c r="G43" s="47"/>
      <c r="H43" s="47"/>
      <c r="I43" s="47"/>
      <c r="J43" s="47"/>
      <c r="K43" s="47"/>
      <c r="L43" s="47"/>
      <c r="M43" s="47"/>
      <c r="N43" s="47"/>
      <c r="O43" s="47"/>
      <c r="P43" s="47"/>
      <c r="Q43" s="47"/>
      <c r="R43" s="43">
        <f>('Anambra Workings'!R43+'Niger Workings'!R43)/2</f>
        <v>1.1499999999999999</v>
      </c>
      <c r="S43" s="44">
        <f>('Anambra Workings'!S43+'Niger Workings'!S43)/2</f>
        <v>1.1499999999999999</v>
      </c>
      <c r="T43" s="44">
        <f>('Anambra Workings'!T43+'Niger Workings'!T43)/2</f>
        <v>1.1499999999999999</v>
      </c>
      <c r="U43" s="44">
        <f>('Anambra Workings'!U43+'Niger Workings'!U43)/2</f>
        <v>1.1499999999999999</v>
      </c>
      <c r="V43" s="44">
        <f>('Anambra Workings'!V43+'Niger Workings'!V43)/2</f>
        <v>1.1499999999999999</v>
      </c>
      <c r="W43" s="44">
        <f>('Anambra Workings'!W43+'Niger Workings'!W43)/2</f>
        <v>1.2833333333333334</v>
      </c>
      <c r="X43" s="44">
        <f>('Anambra Workings'!X43+'Niger Workings'!X43)/2</f>
        <v>1.416666666666667</v>
      </c>
      <c r="Y43" s="43">
        <f>('Anambra Workings'!Y43+'Niger Workings'!Y43)/2</f>
        <v>1.55</v>
      </c>
      <c r="Z43" s="44">
        <f>('Anambra Workings'!Z43+'Niger Workings'!Z43)/2</f>
        <v>1.55</v>
      </c>
      <c r="AA43" s="38">
        <v>5</v>
      </c>
      <c r="AB43" s="420">
        <f>AA43/22</f>
        <v>0.22727272727272727</v>
      </c>
      <c r="AC43" s="340"/>
      <c r="AD43" s="450">
        <f>V43</f>
        <v>1.1499999999999999</v>
      </c>
      <c r="AF43" s="339">
        <f t="shared" ref="AF43:AG44" si="13">IF($AG$1=16,R43,IF($AG$1=17,S43,IF($AG$1=18,T43,IF($AG$1=19,U43,IF($AG$1=20,V43,IF($AG$1=21,W43,IF($AG$1=22,X43,0)))))))</f>
        <v>1.2833333333333334</v>
      </c>
      <c r="AG43" s="339">
        <f t="shared" si="13"/>
        <v>1.416666666666667</v>
      </c>
      <c r="AI43" s="338"/>
    </row>
    <row r="44" spans="1:35" s="340" customFormat="1" ht="15.75" thickBot="1">
      <c r="A44" s="45"/>
      <c r="B44" s="46" t="s">
        <v>140</v>
      </c>
      <c r="C44" s="47"/>
      <c r="D44" s="47"/>
      <c r="E44" s="47"/>
      <c r="F44" s="47"/>
      <c r="G44" s="47"/>
      <c r="H44" s="47"/>
      <c r="I44" s="47"/>
      <c r="J44" s="47"/>
      <c r="K44" s="47"/>
      <c r="L44" s="47"/>
      <c r="M44" s="47"/>
      <c r="N44" s="47"/>
      <c r="O44" s="47"/>
      <c r="P44" s="47"/>
      <c r="Q44" s="47"/>
      <c r="R44" s="47">
        <f>('Anambra Workings'!R44+'Niger Workings'!R44)/2</f>
        <v>1.1499999999999999</v>
      </c>
      <c r="S44" s="47">
        <f>('Anambra Workings'!S44+'Niger Workings'!S44)/2</f>
        <v>1.1499999999999999</v>
      </c>
      <c r="T44" s="47">
        <f>('Anambra Workings'!T44+'Niger Workings'!T44)/2</f>
        <v>1.1499999999999999</v>
      </c>
      <c r="U44" s="47">
        <f>('Anambra Workings'!U44+'Niger Workings'!U44)/2</f>
        <v>1.1499999999999999</v>
      </c>
      <c r="V44" s="47">
        <f>('Anambra Workings'!V44+'Niger Workings'!V44)/2</f>
        <v>1.1499999999999999</v>
      </c>
      <c r="W44" s="69">
        <f>('Anambra Workings'!W44+'Niger Workings'!W44)/2</f>
        <v>1.1666666666666667</v>
      </c>
      <c r="X44" s="69">
        <f>('Anambra Workings'!X44+'Niger Workings'!X44)/2</f>
        <v>1.2749999999999999</v>
      </c>
      <c r="Y44" s="69">
        <f>('Anambra Workings'!Y44+'Niger Workings'!Y44)/2</f>
        <v>0</v>
      </c>
      <c r="Z44" s="69">
        <f>('Anambra Workings'!Z44+'Niger Workings'!Z44)/2</f>
        <v>0</v>
      </c>
      <c r="AA44" s="49"/>
      <c r="AB44" s="421"/>
      <c r="AD44" s="341">
        <f>V44</f>
        <v>1.1499999999999999</v>
      </c>
      <c r="AE44" s="335"/>
      <c r="AF44" s="341">
        <f t="shared" si="13"/>
        <v>1.1666666666666667</v>
      </c>
      <c r="AG44" s="341">
        <f t="shared" si="13"/>
        <v>1.2749999999999999</v>
      </c>
      <c r="AH44" s="342">
        <f>AG44</f>
        <v>1.2749999999999999</v>
      </c>
      <c r="AI44" s="342">
        <f>AG44</f>
        <v>1.2749999999999999</v>
      </c>
    </row>
    <row r="45" spans="1:35" s="340" customFormat="1">
      <c r="A45" s="45"/>
      <c r="B45" s="46"/>
      <c r="C45" s="48"/>
      <c r="D45" s="422"/>
      <c r="E45" s="422"/>
      <c r="F45" s="422"/>
      <c r="G45" s="83"/>
      <c r="H45" s="83"/>
      <c r="I45" s="83"/>
      <c r="J45" s="83"/>
      <c r="K45" s="83"/>
      <c r="L45" s="48"/>
      <c r="M45" s="48"/>
      <c r="N45" s="83"/>
      <c r="O45" s="83"/>
      <c r="P45" s="48"/>
      <c r="Q45" s="48"/>
      <c r="R45" s="48"/>
      <c r="S45" s="48"/>
      <c r="T45" s="48"/>
      <c r="U45" s="48"/>
      <c r="V45" s="48"/>
      <c r="W45" s="48"/>
      <c r="X45" s="48"/>
      <c r="Y45" s="48"/>
      <c r="Z45" s="48"/>
      <c r="AA45" s="49"/>
      <c r="AB45" s="421"/>
      <c r="AE45" s="335"/>
      <c r="AH45" s="335"/>
      <c r="AI45" s="338"/>
    </row>
    <row r="46" spans="1:35" ht="15.75" thickBot="1">
      <c r="A46" s="41" t="s">
        <v>17</v>
      </c>
      <c r="B46" s="42" t="s">
        <v>139</v>
      </c>
      <c r="C46" s="47"/>
      <c r="D46" s="47"/>
      <c r="E46" s="47"/>
      <c r="F46" s="47"/>
      <c r="G46" s="47"/>
      <c r="H46" s="47"/>
      <c r="I46" s="47"/>
      <c r="J46" s="47"/>
      <c r="K46" s="47"/>
      <c r="L46" s="47"/>
      <c r="M46" s="47"/>
      <c r="N46" s="47"/>
      <c r="O46" s="47"/>
      <c r="P46" s="47"/>
      <c r="Q46" s="47"/>
      <c r="R46" s="43">
        <f>('Anambra Workings'!R46+'Niger Workings'!R46)/2</f>
        <v>1.5</v>
      </c>
      <c r="S46" s="44">
        <f>('Anambra Workings'!S46+'Niger Workings'!S46)/2</f>
        <v>1.5</v>
      </c>
      <c r="T46" s="44">
        <f>('Anambra Workings'!T46+'Niger Workings'!T46)/2</f>
        <v>1.5</v>
      </c>
      <c r="U46" s="44">
        <f>('Anambra Workings'!U46+'Niger Workings'!U46)/2</f>
        <v>1.5</v>
      </c>
      <c r="V46" s="44">
        <f>('Anambra Workings'!V46+'Niger Workings'!V46)/2</f>
        <v>1.5</v>
      </c>
      <c r="W46" s="44">
        <f>('Anambra Workings'!W46+'Niger Workings'!W46)/2</f>
        <v>1.6333333333333333</v>
      </c>
      <c r="X46" s="44">
        <f>('Anambra Workings'!X46+'Niger Workings'!X46)/2</f>
        <v>1.7666666666666666</v>
      </c>
      <c r="Y46" s="43">
        <f>('Anambra Workings'!Y46+'Niger Workings'!Y46)/2</f>
        <v>1.9</v>
      </c>
      <c r="Z46" s="44">
        <f>('Anambra Workings'!Z46+'Niger Workings'!Z46)/2</f>
        <v>1.9</v>
      </c>
      <c r="AA46" s="38">
        <v>5</v>
      </c>
      <c r="AB46" s="420">
        <f>AA46/22</f>
        <v>0.22727272727272727</v>
      </c>
      <c r="AC46" s="340"/>
      <c r="AD46" s="450">
        <f>V46</f>
        <v>1.5</v>
      </c>
      <c r="AF46" s="339">
        <f t="shared" ref="AF46:AG47" si="14">IF($AG$1=16,R46,IF($AG$1=17,S46,IF($AG$1=18,T46,IF($AG$1=19,U46,IF($AG$1=20,V46,IF($AG$1=21,W46,IF($AG$1=22,X46,0)))))))</f>
        <v>1.6333333333333333</v>
      </c>
      <c r="AG46" s="339">
        <f t="shared" si="14"/>
        <v>1.7666666666666666</v>
      </c>
      <c r="AI46" s="338"/>
    </row>
    <row r="47" spans="1:35" s="340" customFormat="1" ht="15.75" thickBot="1">
      <c r="A47" s="45"/>
      <c r="B47" s="46" t="s">
        <v>140</v>
      </c>
      <c r="C47" s="47"/>
      <c r="D47" s="47"/>
      <c r="E47" s="47"/>
      <c r="F47" s="47"/>
      <c r="G47" s="47"/>
      <c r="H47" s="47"/>
      <c r="I47" s="47"/>
      <c r="J47" s="47"/>
      <c r="K47" s="47"/>
      <c r="L47" s="47"/>
      <c r="M47" s="47"/>
      <c r="N47" s="47"/>
      <c r="O47" s="47"/>
      <c r="P47" s="47"/>
      <c r="Q47" s="47"/>
      <c r="R47" s="47">
        <f>('Anambra Workings'!R47+'Niger Workings'!R47)/2</f>
        <v>1.5</v>
      </c>
      <c r="S47" s="47">
        <f>('Anambra Workings'!S47+'Niger Workings'!S47)/2</f>
        <v>1.5</v>
      </c>
      <c r="T47" s="47">
        <f>('Anambra Workings'!T47+'Niger Workings'!T47)/2</f>
        <v>1.5</v>
      </c>
      <c r="U47" s="47">
        <f>('Anambra Workings'!U47+'Niger Workings'!U47)/2</f>
        <v>1.5</v>
      </c>
      <c r="V47" s="47">
        <f>('Anambra Workings'!V47+'Niger Workings'!V47)/2</f>
        <v>1.5</v>
      </c>
      <c r="W47" s="69">
        <f>('Anambra Workings'!W47+'Niger Workings'!W47)/2</f>
        <v>1.5166666666666666</v>
      </c>
      <c r="X47" s="69">
        <f>('Anambra Workings'!X47+'Niger Workings'!X47)/2</f>
        <v>1.55</v>
      </c>
      <c r="Y47" s="69">
        <f>('Anambra Workings'!Y47+'Niger Workings'!Y47)/2</f>
        <v>0</v>
      </c>
      <c r="Z47" s="69">
        <f>('Anambra Workings'!Z47+'Niger Workings'!Z47)/2</f>
        <v>0</v>
      </c>
      <c r="AA47" s="49"/>
      <c r="AB47" s="421"/>
      <c r="AD47" s="341">
        <f>V47</f>
        <v>1.5</v>
      </c>
      <c r="AE47" s="335"/>
      <c r="AF47" s="341">
        <f t="shared" si="14"/>
        <v>1.5166666666666666</v>
      </c>
      <c r="AG47" s="341">
        <f t="shared" si="14"/>
        <v>1.55</v>
      </c>
      <c r="AH47" s="342">
        <f>AG47</f>
        <v>1.55</v>
      </c>
      <c r="AI47" s="342">
        <f>AG47</f>
        <v>1.55</v>
      </c>
    </row>
    <row r="48" spans="1:35" s="340" customFormat="1">
      <c r="A48" s="45"/>
      <c r="B48" s="46"/>
      <c r="C48" s="48"/>
      <c r="D48" s="422"/>
      <c r="E48" s="422"/>
      <c r="F48" s="422"/>
      <c r="G48" s="83"/>
      <c r="H48" s="83"/>
      <c r="I48" s="83"/>
      <c r="J48" s="83"/>
      <c r="K48" s="83"/>
      <c r="L48" s="48"/>
      <c r="M48" s="48"/>
      <c r="N48" s="83"/>
      <c r="O48" s="83"/>
      <c r="P48" s="48"/>
      <c r="Q48" s="48"/>
      <c r="R48" s="53"/>
      <c r="S48" s="48"/>
      <c r="T48" s="48"/>
      <c r="U48" s="48"/>
      <c r="V48" s="48"/>
      <c r="W48" s="48"/>
      <c r="X48" s="48"/>
      <c r="Y48" s="48"/>
      <c r="Z48" s="48"/>
      <c r="AA48" s="49"/>
      <c r="AB48" s="421"/>
      <c r="AE48" s="335"/>
      <c r="AH48" s="335"/>
      <c r="AI48" s="338"/>
    </row>
    <row r="49" spans="1:35" ht="15.75" thickBot="1">
      <c r="A49" s="41" t="s">
        <v>18</v>
      </c>
      <c r="B49" s="42" t="s">
        <v>139</v>
      </c>
      <c r="C49" s="47"/>
      <c r="D49" s="47"/>
      <c r="E49" s="47"/>
      <c r="F49" s="47"/>
      <c r="G49" s="47"/>
      <c r="H49" s="47"/>
      <c r="I49" s="47"/>
      <c r="J49" s="47"/>
      <c r="K49" s="47"/>
      <c r="L49" s="47"/>
      <c r="M49" s="47"/>
      <c r="N49" s="47"/>
      <c r="O49" s="47"/>
      <c r="P49" s="47"/>
      <c r="Q49" s="47"/>
      <c r="R49" s="50">
        <f>('Anambra Workings'!R49+'Niger Workings'!R49)</f>
        <v>0</v>
      </c>
      <c r="S49" s="51">
        <f>('Anambra Workings'!S49+'Niger Workings'!S49)</f>
        <v>0</v>
      </c>
      <c r="T49" s="51">
        <f>('Anambra Workings'!T49+'Niger Workings'!T49)</f>
        <v>0</v>
      </c>
      <c r="U49" s="51">
        <f>('Anambra Workings'!U49+'Niger Workings'!U49)</f>
        <v>0</v>
      </c>
      <c r="V49" s="51">
        <f>('Anambra Workings'!V49+'Niger Workings'!V49)</f>
        <v>0</v>
      </c>
      <c r="W49" s="51">
        <f>('Anambra Workings'!W49+'Niger Workings'!W49)</f>
        <v>0</v>
      </c>
      <c r="X49" s="51">
        <f>('Anambra Workings'!X49+'Niger Workings'!X49)</f>
        <v>0</v>
      </c>
      <c r="Y49" s="50">
        <f>('Anambra Workings'!Y49+'Niger Workings'!Y49)</f>
        <v>0</v>
      </c>
      <c r="Z49" s="51">
        <f>('Anambra Workings'!Z49+'Niger Workings'!Z49)</f>
        <v>0</v>
      </c>
      <c r="AA49" s="38">
        <f>'Niger Workings'!AA49*3</f>
        <v>30</v>
      </c>
      <c r="AB49" s="457">
        <f>AA49/22</f>
        <v>1.3636363636363635</v>
      </c>
      <c r="AC49" s="340"/>
      <c r="AD49" s="451">
        <f>V49</f>
        <v>0</v>
      </c>
      <c r="AE49" s="346"/>
      <c r="AF49" s="453">
        <f t="shared" ref="AF49:AG50" si="15">IF($AG$1=16,R49,IF($AG$1=17,S49,IF($AG$1=18,T49,IF($AG$1=19,U49,IF($AG$1=20,V49,IF($AG$1=21,W49,IF($AG$1=22,X49,0)))))))</f>
        <v>0</v>
      </c>
      <c r="AG49" s="453">
        <f t="shared" si="15"/>
        <v>0</v>
      </c>
      <c r="AI49" s="338"/>
    </row>
    <row r="50" spans="1:35" s="340" customFormat="1" ht="15.75" thickBot="1">
      <c r="A50" s="45"/>
      <c r="B50" s="46" t="s">
        <v>140</v>
      </c>
      <c r="C50" s="47"/>
      <c r="D50" s="47"/>
      <c r="E50" s="47"/>
      <c r="F50" s="47"/>
      <c r="G50" s="47"/>
      <c r="H50" s="47"/>
      <c r="I50" s="47"/>
      <c r="J50" s="47"/>
      <c r="K50" s="47"/>
      <c r="L50" s="47"/>
      <c r="M50" s="47"/>
      <c r="N50" s="47"/>
      <c r="O50" s="47"/>
      <c r="P50" s="47"/>
      <c r="Q50" s="47"/>
      <c r="R50" s="52">
        <f>('Anambra Workings'!R50+'Niger Workings'!R50)</f>
        <v>0</v>
      </c>
      <c r="S50" s="52">
        <f>('Anambra Workings'!S50+'Niger Workings'!S50)</f>
        <v>0</v>
      </c>
      <c r="T50" s="52">
        <f>('Anambra Workings'!T50+'Niger Workings'!T50)</f>
        <v>0</v>
      </c>
      <c r="U50" s="52">
        <f>('Anambra Workings'!U50+'Niger Workings'!U50)</f>
        <v>0</v>
      </c>
      <c r="V50" s="52">
        <f>('Anambra Workings'!V50+'Niger Workings'!V50)</f>
        <v>0</v>
      </c>
      <c r="W50" s="70">
        <f>('Anambra Workings'!W50+'Niger Workings'!W50)</f>
        <v>0</v>
      </c>
      <c r="X50" s="70">
        <f>('Anambra Workings'!X50+'Niger Workings'!X50)</f>
        <v>2</v>
      </c>
      <c r="Y50" s="70">
        <f>('Anambra Workings'!Y50+'Niger Workings'!Y50)</f>
        <v>0</v>
      </c>
      <c r="Z50" s="70">
        <f>('Anambra Workings'!Z50+'Niger Workings'!Z50)</f>
        <v>0</v>
      </c>
      <c r="AA50" s="49"/>
      <c r="AB50" s="421"/>
      <c r="AD50" s="452">
        <f>V50</f>
        <v>0</v>
      </c>
      <c r="AE50" s="346"/>
      <c r="AF50" s="452">
        <f t="shared" si="15"/>
        <v>0</v>
      </c>
      <c r="AG50" s="452">
        <f t="shared" si="15"/>
        <v>2</v>
      </c>
      <c r="AH50" s="342">
        <f>AG50</f>
        <v>2</v>
      </c>
      <c r="AI50" s="342">
        <f>AG50</f>
        <v>2</v>
      </c>
    </row>
    <row r="51" spans="1:35" s="340" customFormat="1">
      <c r="A51" s="45"/>
      <c r="B51" s="46"/>
      <c r="C51" s="48"/>
      <c r="D51" s="422"/>
      <c r="E51" s="422"/>
      <c r="F51" s="422"/>
      <c r="G51" s="83"/>
      <c r="H51" s="83"/>
      <c r="I51" s="83"/>
      <c r="J51" s="83"/>
      <c r="K51" s="83"/>
      <c r="L51" s="48"/>
      <c r="M51" s="48"/>
      <c r="N51" s="83"/>
      <c r="O51" s="83"/>
      <c r="P51" s="48"/>
      <c r="Q51" s="48"/>
      <c r="R51" s="53"/>
      <c r="S51" s="48"/>
      <c r="T51" s="48"/>
      <c r="U51" s="48"/>
      <c r="V51" s="48"/>
      <c r="W51" s="48"/>
      <c r="X51" s="48"/>
      <c r="Y51" s="48"/>
      <c r="Z51" s="48"/>
      <c r="AA51" s="49"/>
      <c r="AB51" s="421"/>
      <c r="AE51" s="335"/>
      <c r="AH51" s="335"/>
      <c r="AI51" s="338"/>
    </row>
    <row r="52" spans="1:35" ht="15.75" thickBot="1">
      <c r="A52" s="41" t="s">
        <v>19</v>
      </c>
      <c r="B52" s="42" t="s">
        <v>139</v>
      </c>
      <c r="C52" s="47"/>
      <c r="D52" s="47"/>
      <c r="E52" s="47"/>
      <c r="F52" s="47"/>
      <c r="G52" s="47"/>
      <c r="H52" s="47"/>
      <c r="I52" s="47"/>
      <c r="J52" s="47"/>
      <c r="K52" s="47"/>
      <c r="L52" s="47"/>
      <c r="M52" s="47"/>
      <c r="N52" s="47"/>
      <c r="O52" s="47"/>
      <c r="P52" s="47"/>
      <c r="Q52" s="47"/>
      <c r="R52" s="43">
        <f>('Anambra Workings'!R52+'Niger Workings'!R52)/2</f>
        <v>1.05</v>
      </c>
      <c r="S52" s="44">
        <f>('Anambra Workings'!S52+'Niger Workings'!S52)/2</f>
        <v>1.05</v>
      </c>
      <c r="T52" s="44">
        <f>('Anambra Workings'!T52+'Niger Workings'!T52)/2</f>
        <v>1.05</v>
      </c>
      <c r="U52" s="44">
        <f>('Anambra Workings'!U52+'Niger Workings'!U52)/2</f>
        <v>1.05</v>
      </c>
      <c r="V52" s="44">
        <f>('Anambra Workings'!V52+'Niger Workings'!V52)/2</f>
        <v>1.05</v>
      </c>
      <c r="W52" s="44">
        <f>('Anambra Workings'!W52+'Niger Workings'!W52)/2</f>
        <v>1.1833333333333336</v>
      </c>
      <c r="X52" s="44">
        <f>('Anambra Workings'!X52+'Niger Workings'!X52)/2</f>
        <v>1.3166666666666669</v>
      </c>
      <c r="Y52" s="43">
        <f>('Anambra Workings'!Y52+'Niger Workings'!Y52)/2</f>
        <v>1.4500000000000002</v>
      </c>
      <c r="Z52" s="44">
        <f>('Anambra Workings'!Z52+'Niger Workings'!Z52)/2</f>
        <v>1.4500000000000002</v>
      </c>
      <c r="AA52" s="38">
        <v>5</v>
      </c>
      <c r="AB52" s="420">
        <f>AA52/22</f>
        <v>0.22727272727272727</v>
      </c>
      <c r="AC52" s="340"/>
      <c r="AD52" s="450">
        <f>V52</f>
        <v>1.05</v>
      </c>
      <c r="AF52" s="339">
        <f t="shared" ref="AF52:AG53" si="16">IF($AG$1=16,R52,IF($AG$1=17,S52,IF($AG$1=18,T52,IF($AG$1=19,U52,IF($AG$1=20,V52,IF($AG$1=21,W52,IF($AG$1=22,X52,0)))))))</f>
        <v>1.1833333333333336</v>
      </c>
      <c r="AG52" s="339">
        <f t="shared" si="16"/>
        <v>1.3166666666666669</v>
      </c>
      <c r="AI52" s="338"/>
    </row>
    <row r="53" spans="1:35" s="340" customFormat="1" ht="15.75" thickBot="1">
      <c r="A53" s="45"/>
      <c r="B53" s="46" t="s">
        <v>140</v>
      </c>
      <c r="C53" s="47"/>
      <c r="D53" s="47"/>
      <c r="E53" s="47"/>
      <c r="F53" s="47"/>
      <c r="G53" s="47"/>
      <c r="H53" s="47"/>
      <c r="I53" s="47"/>
      <c r="J53" s="47"/>
      <c r="K53" s="47"/>
      <c r="L53" s="47"/>
      <c r="M53" s="47"/>
      <c r="N53" s="47"/>
      <c r="O53" s="47"/>
      <c r="P53" s="47"/>
      <c r="Q53" s="47"/>
      <c r="R53" s="47">
        <f>('Anambra Workings'!R53+'Niger Workings'!R53)/2</f>
        <v>1.05</v>
      </c>
      <c r="S53" s="47">
        <f>('Anambra Workings'!S53+'Niger Workings'!S53)/2</f>
        <v>1.05</v>
      </c>
      <c r="T53" s="47">
        <f>('Anambra Workings'!T53+'Niger Workings'!T53)/2</f>
        <v>1.05</v>
      </c>
      <c r="U53" s="47">
        <f>('Anambra Workings'!U53+'Niger Workings'!U53)/2</f>
        <v>1.05</v>
      </c>
      <c r="V53" s="47">
        <f>('Anambra Workings'!V53+'Niger Workings'!V53)/2</f>
        <v>1.05</v>
      </c>
      <c r="W53" s="69">
        <f>('Anambra Workings'!W53+'Niger Workings'!W53)/2</f>
        <v>1.05</v>
      </c>
      <c r="X53" s="69">
        <f>('Anambra Workings'!X53+'Niger Workings'!X53)/2</f>
        <v>1.3</v>
      </c>
      <c r="Y53" s="69">
        <f>('Anambra Workings'!Y53+'Niger Workings'!Y53)/2</f>
        <v>0</v>
      </c>
      <c r="Z53" s="69">
        <f>('Anambra Workings'!Z53+'Niger Workings'!Z53)/2</f>
        <v>0</v>
      </c>
      <c r="AA53" s="49"/>
      <c r="AB53" s="421"/>
      <c r="AD53" s="341">
        <f>V53</f>
        <v>1.05</v>
      </c>
      <c r="AE53" s="335"/>
      <c r="AF53" s="341">
        <f t="shared" si="16"/>
        <v>1.05</v>
      </c>
      <c r="AG53" s="341">
        <f t="shared" si="16"/>
        <v>1.3</v>
      </c>
      <c r="AH53" s="342">
        <f>AG53</f>
        <v>1.3</v>
      </c>
      <c r="AI53" s="342">
        <f>AG53</f>
        <v>1.3</v>
      </c>
    </row>
    <row r="54" spans="1:35" s="340" customFormat="1">
      <c r="A54" s="45"/>
      <c r="B54" s="46"/>
      <c r="C54" s="48"/>
      <c r="D54" s="422"/>
      <c r="E54" s="422"/>
      <c r="F54" s="422"/>
      <c r="G54" s="83"/>
      <c r="H54" s="83"/>
      <c r="I54" s="83"/>
      <c r="J54" s="83"/>
      <c r="K54" s="83"/>
      <c r="L54" s="48"/>
      <c r="M54" s="48"/>
      <c r="N54" s="83"/>
      <c r="O54" s="83"/>
      <c r="P54" s="48"/>
      <c r="Q54" s="48"/>
      <c r="R54" s="48"/>
      <c r="S54" s="48"/>
      <c r="T54" s="48"/>
      <c r="U54" s="48"/>
      <c r="V54" s="48"/>
      <c r="W54" s="48"/>
      <c r="X54" s="48"/>
      <c r="Y54" s="48"/>
      <c r="Z54" s="48"/>
      <c r="AA54" s="49"/>
      <c r="AB54" s="421"/>
      <c r="AE54" s="335"/>
      <c r="AH54" s="335"/>
      <c r="AI54" s="338"/>
    </row>
    <row r="55" spans="1:35" ht="15.75" thickBot="1">
      <c r="A55" s="41" t="s">
        <v>20</v>
      </c>
      <c r="B55" s="42" t="s">
        <v>139</v>
      </c>
      <c r="C55" s="47"/>
      <c r="D55" s="47"/>
      <c r="E55" s="47"/>
      <c r="F55" s="47"/>
      <c r="G55" s="47"/>
      <c r="H55" s="47"/>
      <c r="I55" s="47"/>
      <c r="J55" s="47"/>
      <c r="K55" s="47"/>
      <c r="L55" s="47"/>
      <c r="M55" s="47"/>
      <c r="N55" s="47"/>
      <c r="O55" s="47"/>
      <c r="P55" s="47"/>
      <c r="Q55" s="47"/>
      <c r="R55" s="43">
        <f>('Anambra Workings'!R55+'Niger Workings'!R55)/2</f>
        <v>1</v>
      </c>
      <c r="S55" s="44">
        <f>('Anambra Workings'!S55+'Niger Workings'!S55)/2</f>
        <v>1</v>
      </c>
      <c r="T55" s="44">
        <f>('Anambra Workings'!T55+'Niger Workings'!T55)/2</f>
        <v>1</v>
      </c>
      <c r="U55" s="44">
        <f>('Anambra Workings'!U55+'Niger Workings'!U55)/2</f>
        <v>1</v>
      </c>
      <c r="V55" s="44">
        <f>('Anambra Workings'!V55+'Niger Workings'!V55)/2</f>
        <v>1</v>
      </c>
      <c r="W55" s="44">
        <f>('Anambra Workings'!W55+'Niger Workings'!W55)/2</f>
        <v>1.1333333333333333</v>
      </c>
      <c r="X55" s="44">
        <f>('Anambra Workings'!X55+'Niger Workings'!X55)/2</f>
        <v>1.2666666666666668</v>
      </c>
      <c r="Y55" s="43">
        <f>('Anambra Workings'!Y55+'Niger Workings'!Y55)/2</f>
        <v>1.4</v>
      </c>
      <c r="Z55" s="44">
        <f>('Anambra Workings'!Z55+'Niger Workings'!Z55)/2</f>
        <v>1.4</v>
      </c>
      <c r="AA55" s="38">
        <v>5</v>
      </c>
      <c r="AB55" s="420">
        <f>AA55/22</f>
        <v>0.22727272727272727</v>
      </c>
      <c r="AC55" s="340"/>
      <c r="AD55" s="450">
        <f>V55</f>
        <v>1</v>
      </c>
      <c r="AF55" s="339">
        <f t="shared" ref="AF55:AG56" si="17">IF($AG$1=16,R55,IF($AG$1=17,S55,IF($AG$1=18,T55,IF($AG$1=19,U55,IF($AG$1=20,V55,IF($AG$1=21,W55,IF($AG$1=22,X55,0)))))))</f>
        <v>1.1333333333333333</v>
      </c>
      <c r="AG55" s="339">
        <f t="shared" si="17"/>
        <v>1.2666666666666668</v>
      </c>
      <c r="AI55" s="338"/>
    </row>
    <row r="56" spans="1:35" s="340" customFormat="1" ht="15.75" thickBot="1">
      <c r="A56" s="45"/>
      <c r="B56" s="46" t="s">
        <v>140</v>
      </c>
      <c r="C56" s="47"/>
      <c r="D56" s="47"/>
      <c r="E56" s="47"/>
      <c r="F56" s="47"/>
      <c r="G56" s="47"/>
      <c r="H56" s="47"/>
      <c r="I56" s="47"/>
      <c r="J56" s="47"/>
      <c r="K56" s="47"/>
      <c r="L56" s="47"/>
      <c r="M56" s="47"/>
      <c r="N56" s="47"/>
      <c r="O56" s="47"/>
      <c r="P56" s="47"/>
      <c r="Q56" s="47"/>
      <c r="R56" s="47">
        <f>('Anambra Workings'!R56+'Niger Workings'!R56)/2</f>
        <v>1</v>
      </c>
      <c r="S56" s="47">
        <f>('Anambra Workings'!S56+'Niger Workings'!S56)/2</f>
        <v>1</v>
      </c>
      <c r="T56" s="47">
        <f>('Anambra Workings'!T56+'Niger Workings'!T56)/2</f>
        <v>1</v>
      </c>
      <c r="U56" s="47">
        <f>('Anambra Workings'!U56+'Niger Workings'!U56)/2</f>
        <v>1</v>
      </c>
      <c r="V56" s="47">
        <f>('Anambra Workings'!V56+'Niger Workings'!V56)/2</f>
        <v>1</v>
      </c>
      <c r="W56" s="69">
        <f>('Anambra Workings'!W56+'Niger Workings'!W56)/2</f>
        <v>1</v>
      </c>
      <c r="X56" s="69">
        <f>('Anambra Workings'!X56+'Niger Workings'!X56)/2</f>
        <v>1.1000000000000001</v>
      </c>
      <c r="Y56" s="69">
        <f>('Anambra Workings'!Y56+'Niger Workings'!Y56)/2</f>
        <v>0</v>
      </c>
      <c r="Z56" s="69">
        <f>('Anambra Workings'!Z56+'Niger Workings'!Z56)/2</f>
        <v>0</v>
      </c>
      <c r="AA56" s="49"/>
      <c r="AB56" s="421"/>
      <c r="AD56" s="341">
        <f>V56</f>
        <v>1</v>
      </c>
      <c r="AE56" s="335"/>
      <c r="AF56" s="341">
        <f t="shared" si="17"/>
        <v>1</v>
      </c>
      <c r="AG56" s="341">
        <f t="shared" si="17"/>
        <v>1.1000000000000001</v>
      </c>
      <c r="AH56" s="342">
        <f>AG56</f>
        <v>1.1000000000000001</v>
      </c>
      <c r="AI56" s="342">
        <f>AG56</f>
        <v>1.1000000000000001</v>
      </c>
    </row>
    <row r="57" spans="1:35" s="340" customFormat="1">
      <c r="A57" s="45"/>
      <c r="B57" s="46"/>
      <c r="C57" s="48"/>
      <c r="D57" s="422"/>
      <c r="E57" s="422"/>
      <c r="F57" s="422"/>
      <c r="G57" s="83"/>
      <c r="H57" s="83"/>
      <c r="I57" s="83"/>
      <c r="J57" s="83"/>
      <c r="K57" s="83"/>
      <c r="L57" s="48"/>
      <c r="M57" s="48"/>
      <c r="N57" s="83"/>
      <c r="O57" s="83"/>
      <c r="P57" s="48"/>
      <c r="Q57" s="48"/>
      <c r="R57" s="53"/>
      <c r="S57" s="48"/>
      <c r="T57" s="48"/>
      <c r="U57" s="48"/>
      <c r="V57" s="48"/>
      <c r="W57" s="48"/>
      <c r="X57" s="48"/>
      <c r="Y57" s="48"/>
      <c r="Z57" s="48"/>
      <c r="AA57" s="49"/>
      <c r="AB57" s="421"/>
      <c r="AE57" s="335"/>
      <c r="AH57" s="335"/>
      <c r="AI57" s="338"/>
    </row>
    <row r="58" spans="1:35" ht="15.75" thickBot="1">
      <c r="A58" s="41" t="s">
        <v>21</v>
      </c>
      <c r="B58" s="42" t="s">
        <v>139</v>
      </c>
      <c r="C58" s="47"/>
      <c r="D58" s="47"/>
      <c r="E58" s="47"/>
      <c r="F58" s="47"/>
      <c r="G58" s="47"/>
      <c r="H58" s="47"/>
      <c r="I58" s="47"/>
      <c r="J58" s="47"/>
      <c r="K58" s="47"/>
      <c r="L58" s="47"/>
      <c r="M58" s="47"/>
      <c r="N58" s="47"/>
      <c r="O58" s="47"/>
      <c r="P58" s="47"/>
      <c r="Q58" s="47"/>
      <c r="R58" s="50">
        <f>('Anambra Workings'!R58+'Niger Workings'!R58)</f>
        <v>0</v>
      </c>
      <c r="S58" s="51">
        <f>('Anambra Workings'!S58+'Niger Workings'!S58)</f>
        <v>0</v>
      </c>
      <c r="T58" s="51">
        <f>('Anambra Workings'!T58+'Niger Workings'!T58)</f>
        <v>0</v>
      </c>
      <c r="U58" s="51">
        <f>('Anambra Workings'!U58+'Niger Workings'!U58)</f>
        <v>0</v>
      </c>
      <c r="V58" s="51">
        <f>('Anambra Workings'!V58+'Niger Workings'!V58)</f>
        <v>0</v>
      </c>
      <c r="W58" s="51">
        <f>('Anambra Workings'!W58+'Niger Workings'!W58)</f>
        <v>0</v>
      </c>
      <c r="X58" s="51">
        <f>('Anambra Workings'!X58+'Niger Workings'!X58)</f>
        <v>0</v>
      </c>
      <c r="Y58" s="50">
        <f>('Anambra Workings'!Y58+'Niger Workings'!Y58)</f>
        <v>0</v>
      </c>
      <c r="Z58" s="51">
        <f>('Anambra Workings'!Z58+'Niger Workings'!Z58)</f>
        <v>0</v>
      </c>
      <c r="AA58" s="38">
        <f>'Niger Workings'!AA58*3</f>
        <v>30</v>
      </c>
      <c r="AB58" s="457">
        <f>AA58/22</f>
        <v>1.3636363636363635</v>
      </c>
      <c r="AC58" s="340"/>
      <c r="AD58" s="451">
        <f>V58</f>
        <v>0</v>
      </c>
      <c r="AE58" s="346"/>
      <c r="AF58" s="453">
        <f t="shared" ref="AF58:AG59" si="18">IF($AG$1=16,R58,IF($AG$1=17,S58,IF($AG$1=18,T58,IF($AG$1=19,U58,IF($AG$1=20,V58,IF($AG$1=21,W58,IF($AG$1=22,X58,0)))))))</f>
        <v>0</v>
      </c>
      <c r="AG58" s="453">
        <f t="shared" si="18"/>
        <v>0</v>
      </c>
      <c r="AI58" s="338"/>
    </row>
    <row r="59" spans="1:35" s="340" customFormat="1" ht="15.75" thickBot="1">
      <c r="A59" s="45"/>
      <c r="B59" s="46" t="s">
        <v>140</v>
      </c>
      <c r="C59" s="47"/>
      <c r="D59" s="47"/>
      <c r="E59" s="47"/>
      <c r="F59" s="47"/>
      <c r="G59" s="47"/>
      <c r="H59" s="47"/>
      <c r="I59" s="47"/>
      <c r="J59" s="47"/>
      <c r="K59" s="47"/>
      <c r="L59" s="47"/>
      <c r="M59" s="47"/>
      <c r="N59" s="47"/>
      <c r="O59" s="47"/>
      <c r="P59" s="47"/>
      <c r="Q59" s="47"/>
      <c r="R59" s="52">
        <f>('Anambra Workings'!R59+'Niger Workings'!R59)</f>
        <v>0</v>
      </c>
      <c r="S59" s="52">
        <f>('Anambra Workings'!S59+'Niger Workings'!S59)</f>
        <v>0</v>
      </c>
      <c r="T59" s="52">
        <f>('Anambra Workings'!T59+'Niger Workings'!T59)</f>
        <v>0</v>
      </c>
      <c r="U59" s="52">
        <f>('Anambra Workings'!U59+'Niger Workings'!U59)</f>
        <v>0</v>
      </c>
      <c r="V59" s="52">
        <f>('Anambra Workings'!V59+'Niger Workings'!V59)</f>
        <v>0</v>
      </c>
      <c r="W59" s="70">
        <f>('Anambra Workings'!W59+'Niger Workings'!W59)</f>
        <v>0</v>
      </c>
      <c r="X59" s="70">
        <f>('Anambra Workings'!X59+'Niger Workings'!X59)</f>
        <v>0</v>
      </c>
      <c r="Y59" s="70">
        <f>('Anambra Workings'!Y59+'Niger Workings'!Y59)</f>
        <v>0</v>
      </c>
      <c r="Z59" s="70">
        <f>('Anambra Workings'!Z59+'Niger Workings'!Z59)</f>
        <v>0</v>
      </c>
      <c r="AA59" s="49"/>
      <c r="AB59" s="421"/>
      <c r="AD59" s="452">
        <f>V59</f>
        <v>0</v>
      </c>
      <c r="AE59" s="346"/>
      <c r="AF59" s="452">
        <f t="shared" si="18"/>
        <v>0</v>
      </c>
      <c r="AG59" s="452">
        <f t="shared" si="18"/>
        <v>0</v>
      </c>
      <c r="AH59" s="342">
        <f>AG59</f>
        <v>0</v>
      </c>
      <c r="AI59" s="342">
        <f>AG59</f>
        <v>0</v>
      </c>
    </row>
    <row r="60" spans="1:35" s="340" customFormat="1">
      <c r="A60" s="45"/>
      <c r="B60" s="46"/>
      <c r="C60" s="48"/>
      <c r="D60" s="422"/>
      <c r="E60" s="422"/>
      <c r="F60" s="422"/>
      <c r="G60" s="83"/>
      <c r="H60" s="83"/>
      <c r="I60" s="83"/>
      <c r="J60" s="83"/>
      <c r="K60" s="83"/>
      <c r="L60" s="48"/>
      <c r="M60" s="48"/>
      <c r="N60" s="83"/>
      <c r="O60" s="83"/>
      <c r="P60" s="48"/>
      <c r="Q60" s="48"/>
      <c r="R60" s="53"/>
      <c r="S60" s="48"/>
      <c r="T60" s="48"/>
      <c r="U60" s="48"/>
      <c r="V60" s="48"/>
      <c r="W60" s="48"/>
      <c r="X60" s="48"/>
      <c r="Y60" s="48"/>
      <c r="Z60" s="48"/>
      <c r="AA60" s="49"/>
      <c r="AB60" s="421"/>
      <c r="AE60" s="335"/>
      <c r="AH60" s="335"/>
      <c r="AI60" s="338"/>
    </row>
    <row r="61" spans="1:35" ht="15.75" thickBot="1">
      <c r="A61" s="41" t="s">
        <v>166</v>
      </c>
      <c r="B61" s="42" t="s">
        <v>202</v>
      </c>
      <c r="C61" s="47"/>
      <c r="D61" s="47"/>
      <c r="E61" s="47"/>
      <c r="F61" s="47"/>
      <c r="G61" s="47"/>
      <c r="H61" s="47"/>
      <c r="I61" s="47"/>
      <c r="J61" s="47"/>
      <c r="K61" s="47"/>
      <c r="L61" s="47"/>
      <c r="M61" s="47"/>
      <c r="N61" s="47"/>
      <c r="O61" s="47"/>
      <c r="P61" s="47"/>
      <c r="Q61" s="47"/>
      <c r="R61" s="50">
        <f>('Anambra Workings'!R61+'Niger Workings'!R61)</f>
        <v>4</v>
      </c>
      <c r="S61" s="51">
        <f>('Anambra Workings'!S61+'Niger Workings'!S61)</f>
        <v>4</v>
      </c>
      <c r="T61" s="51">
        <f>('Anambra Workings'!T61+'Niger Workings'!T61)</f>
        <v>4</v>
      </c>
      <c r="U61" s="51">
        <f>('Anambra Workings'!U61+'Niger Workings'!U61)</f>
        <v>4</v>
      </c>
      <c r="V61" s="51">
        <f>('Anambra Workings'!V61+'Niger Workings'!V61)</f>
        <v>4</v>
      </c>
      <c r="W61" s="51">
        <f>('Anambra Workings'!W61+'Niger Workings'!W61)</f>
        <v>5.666666666666667</v>
      </c>
      <c r="X61" s="51">
        <f>('Anambra Workings'!X61+'Niger Workings'!X61)</f>
        <v>7.3333333333333339</v>
      </c>
      <c r="Y61" s="50">
        <f>('Anambra Workings'!Y61+'Niger Workings'!Y61)</f>
        <v>9</v>
      </c>
      <c r="Z61" s="51">
        <f>('Anambra Workings'!Z61+'Niger Workings'!Z61)</f>
        <v>9</v>
      </c>
      <c r="AA61" s="38">
        <f>'Niger Workings'!AA61*3</f>
        <v>60</v>
      </c>
      <c r="AB61" s="457">
        <f>AA61/22</f>
        <v>2.7272727272727271</v>
      </c>
      <c r="AC61" s="340"/>
      <c r="AD61" s="451">
        <f>V61</f>
        <v>4</v>
      </c>
      <c r="AE61" s="346"/>
      <c r="AF61" s="453">
        <f t="shared" ref="AF61:AG62" si="19">IF($AG$1=16,R61,IF($AG$1=17,S61,IF($AG$1=18,T61,IF($AG$1=19,U61,IF($AG$1=20,V61,IF($AG$1=21,W61,IF($AG$1=22,X61,0)))))))</f>
        <v>5.666666666666667</v>
      </c>
      <c r="AG61" s="453">
        <f t="shared" si="19"/>
        <v>7.3333333333333339</v>
      </c>
      <c r="AI61" s="338"/>
    </row>
    <row r="62" spans="1:35" s="340" customFormat="1" ht="15.75" thickBot="1">
      <c r="A62" s="45"/>
      <c r="B62" s="46" t="s">
        <v>203</v>
      </c>
      <c r="C62" s="47"/>
      <c r="D62" s="47"/>
      <c r="E62" s="47"/>
      <c r="F62" s="47"/>
      <c r="G62" s="47"/>
      <c r="H62" s="47"/>
      <c r="I62" s="47"/>
      <c r="J62" s="47"/>
      <c r="K62" s="47"/>
      <c r="L62" s="47"/>
      <c r="M62" s="47"/>
      <c r="N62" s="47"/>
      <c r="O62" s="47"/>
      <c r="P62" s="47"/>
      <c r="Q62" s="47"/>
      <c r="R62" s="52">
        <f>('Anambra Workings'!R62+'Niger Workings'!R62)</f>
        <v>4</v>
      </c>
      <c r="S62" s="52">
        <f>('Anambra Workings'!S62+'Niger Workings'!S62)</f>
        <v>4</v>
      </c>
      <c r="T62" s="52">
        <f>('Anambra Workings'!T62+'Niger Workings'!T62)</f>
        <v>4</v>
      </c>
      <c r="U62" s="52">
        <f>('Anambra Workings'!U62+'Niger Workings'!U62)</f>
        <v>4</v>
      </c>
      <c r="V62" s="52">
        <f>('Anambra Workings'!V62+'Niger Workings'!V62)</f>
        <v>4</v>
      </c>
      <c r="W62" s="70">
        <f>('Anambra Workings'!W62+'Niger Workings'!W62)</f>
        <v>8</v>
      </c>
      <c r="X62" s="70">
        <f>('Anambra Workings'!X62+'Niger Workings'!X62)</f>
        <v>10</v>
      </c>
      <c r="Y62" s="70">
        <f>('Anambra Workings'!Y62+'Niger Workings'!Y62)</f>
        <v>0</v>
      </c>
      <c r="Z62" s="70">
        <f>('Anambra Workings'!Z62+'Niger Workings'!Z62)</f>
        <v>0</v>
      </c>
      <c r="AA62" s="49"/>
      <c r="AB62" s="421"/>
      <c r="AD62" s="452">
        <f>V62</f>
        <v>4</v>
      </c>
      <c r="AE62" s="346"/>
      <c r="AF62" s="452">
        <f t="shared" si="19"/>
        <v>8</v>
      </c>
      <c r="AG62" s="452">
        <f t="shared" si="19"/>
        <v>10</v>
      </c>
      <c r="AH62" s="342">
        <f>AG62</f>
        <v>10</v>
      </c>
      <c r="AI62" s="342">
        <f>AG62</f>
        <v>10</v>
      </c>
    </row>
    <row r="63" spans="1:35" s="340" customFormat="1">
      <c r="A63" s="45"/>
      <c r="B63" s="46"/>
      <c r="C63" s="48"/>
      <c r="D63" s="422"/>
      <c r="E63" s="422"/>
      <c r="F63" s="422"/>
      <c r="G63" s="83"/>
      <c r="H63" s="83"/>
      <c r="I63" s="83"/>
      <c r="J63" s="83"/>
      <c r="K63" s="83"/>
      <c r="L63" s="48"/>
      <c r="M63" s="48"/>
      <c r="N63" s="83"/>
      <c r="O63" s="83"/>
      <c r="P63" s="48"/>
      <c r="Q63" s="48"/>
      <c r="R63" s="53"/>
      <c r="S63" s="53"/>
      <c r="T63" s="53"/>
      <c r="U63" s="53"/>
      <c r="V63" s="53"/>
      <c r="W63" s="53"/>
      <c r="X63" s="53"/>
      <c r="Y63" s="53"/>
      <c r="Z63" s="53"/>
      <c r="AA63" s="49"/>
      <c r="AB63" s="421"/>
      <c r="AD63" s="345"/>
      <c r="AE63" s="346"/>
      <c r="AF63" s="345"/>
      <c r="AG63" s="345"/>
      <c r="AH63" s="335"/>
      <c r="AI63" s="338"/>
    </row>
    <row r="64" spans="1:35" ht="15.75" thickBot="1">
      <c r="A64" s="41" t="s">
        <v>167</v>
      </c>
      <c r="B64" s="42" t="s">
        <v>213</v>
      </c>
      <c r="C64" s="47"/>
      <c r="D64" s="47"/>
      <c r="E64" s="47"/>
      <c r="F64" s="47"/>
      <c r="G64" s="47"/>
      <c r="H64" s="47"/>
      <c r="I64" s="47"/>
      <c r="J64" s="47"/>
      <c r="K64" s="47"/>
      <c r="L64" s="47"/>
      <c r="M64" s="47"/>
      <c r="N64" s="47"/>
      <c r="O64" s="47"/>
      <c r="P64" s="47"/>
      <c r="Q64" s="47"/>
      <c r="R64" s="50">
        <f>('Anambra Workings'!R64+'Niger Workings'!R64)</f>
        <v>0</v>
      </c>
      <c r="S64" s="51">
        <f>('Anambra Workings'!S64+'Niger Workings'!S64)</f>
        <v>0</v>
      </c>
      <c r="T64" s="51">
        <f>('Anambra Workings'!T64+'Niger Workings'!T64)</f>
        <v>0</v>
      </c>
      <c r="U64" s="51">
        <f>('Anambra Workings'!U64+'Niger Workings'!U64)</f>
        <v>0</v>
      </c>
      <c r="V64" s="51">
        <f>('Anambra Workings'!V64+'Niger Workings'!V64)</f>
        <v>0</v>
      </c>
      <c r="W64" s="51">
        <f>('Anambra Workings'!W64+'Niger Workings'!W64)</f>
        <v>1.6666666666666665</v>
      </c>
      <c r="X64" s="51">
        <f>('Anambra Workings'!X64+'Niger Workings'!X64)</f>
        <v>3.333333333333333</v>
      </c>
      <c r="Y64" s="50">
        <f>('Anambra Workings'!Y64+'Niger Workings'!Y64)</f>
        <v>5</v>
      </c>
      <c r="Z64" s="51">
        <f>('Anambra Workings'!Z64+'Niger Workings'!Z64)</f>
        <v>5</v>
      </c>
      <c r="AA64" s="38">
        <f>'Niger Workings'!AA64*3</f>
        <v>60</v>
      </c>
      <c r="AB64" s="457">
        <f>AA64/22</f>
        <v>2.7272727272727271</v>
      </c>
      <c r="AC64" s="340"/>
      <c r="AD64" s="451">
        <f>V64</f>
        <v>0</v>
      </c>
      <c r="AE64" s="346"/>
      <c r="AF64" s="453">
        <f t="shared" ref="AF64:AG65" si="20">IF($AG$1=16,R64,IF($AG$1=17,S64,IF($AG$1=18,T64,IF($AG$1=19,U64,IF($AG$1=20,V64,IF($AG$1=21,W64,IF($AG$1=22,X64,0)))))))</f>
        <v>1.6666666666666665</v>
      </c>
      <c r="AG64" s="453">
        <f t="shared" si="20"/>
        <v>3.333333333333333</v>
      </c>
      <c r="AI64" s="338"/>
    </row>
    <row r="65" spans="1:35" s="340" customFormat="1" ht="15.75" thickBot="1">
      <c r="A65" s="45"/>
      <c r="B65" s="46" t="s">
        <v>212</v>
      </c>
      <c r="C65" s="47"/>
      <c r="D65" s="47"/>
      <c r="E65" s="47"/>
      <c r="F65" s="47"/>
      <c r="G65" s="47"/>
      <c r="H65" s="47"/>
      <c r="I65" s="47"/>
      <c r="J65" s="47"/>
      <c r="K65" s="47"/>
      <c r="L65" s="47"/>
      <c r="M65" s="47"/>
      <c r="N65" s="47"/>
      <c r="O65" s="47"/>
      <c r="P65" s="47"/>
      <c r="Q65" s="47"/>
      <c r="R65" s="52">
        <f>('Anambra Workings'!R65+'Niger Workings'!R65)</f>
        <v>0</v>
      </c>
      <c r="S65" s="52">
        <f>('Anambra Workings'!S65+'Niger Workings'!S65)</f>
        <v>0</v>
      </c>
      <c r="T65" s="52">
        <f>('Anambra Workings'!T65+'Niger Workings'!T65)</f>
        <v>0</v>
      </c>
      <c r="U65" s="52">
        <f>('Anambra Workings'!U65+'Niger Workings'!U65)</f>
        <v>0</v>
      </c>
      <c r="V65" s="52">
        <f>('Anambra Workings'!V65+'Niger Workings'!V65)</f>
        <v>0</v>
      </c>
      <c r="W65" s="70">
        <f>('Anambra Workings'!W65+'Niger Workings'!W65)</f>
        <v>3</v>
      </c>
      <c r="X65" s="70">
        <f>('Anambra Workings'!X65+'Niger Workings'!X65)</f>
        <v>5</v>
      </c>
      <c r="Y65" s="70">
        <f>('Anambra Workings'!Y65+'Niger Workings'!Y65)</f>
        <v>0</v>
      </c>
      <c r="Z65" s="70">
        <f>('Anambra Workings'!Z65+'Niger Workings'!Z65)</f>
        <v>0</v>
      </c>
      <c r="AA65" s="49"/>
      <c r="AB65" s="421"/>
      <c r="AD65" s="452">
        <f>V65</f>
        <v>0</v>
      </c>
      <c r="AE65" s="346"/>
      <c r="AF65" s="452">
        <f t="shared" si="20"/>
        <v>3</v>
      </c>
      <c r="AG65" s="452">
        <f t="shared" si="20"/>
        <v>5</v>
      </c>
      <c r="AH65" s="342">
        <f>AG65</f>
        <v>5</v>
      </c>
      <c r="AI65" s="342">
        <f>AG65</f>
        <v>5</v>
      </c>
    </row>
    <row r="66" spans="1:35" s="340" customFormat="1">
      <c r="A66" s="45"/>
      <c r="B66" s="46"/>
      <c r="C66" s="48"/>
      <c r="D66" s="422"/>
      <c r="E66" s="422"/>
      <c r="F66" s="422"/>
      <c r="G66" s="83"/>
      <c r="H66" s="83"/>
      <c r="I66" s="83"/>
      <c r="J66" s="83"/>
      <c r="K66" s="83"/>
      <c r="L66" s="48"/>
      <c r="M66" s="48"/>
      <c r="N66" s="83"/>
      <c r="O66" s="83"/>
      <c r="P66" s="48"/>
      <c r="Q66" s="48"/>
      <c r="R66" s="53"/>
      <c r="S66" s="53"/>
      <c r="T66" s="53"/>
      <c r="U66" s="53"/>
      <c r="V66" s="53"/>
      <c r="W66" s="53"/>
      <c r="X66" s="53"/>
      <c r="Y66" s="53"/>
      <c r="Z66" s="53"/>
      <c r="AA66" s="49"/>
      <c r="AB66" s="421"/>
      <c r="AD66" s="345"/>
      <c r="AE66" s="346"/>
      <c r="AF66" s="345"/>
      <c r="AG66" s="345"/>
      <c r="AH66" s="335"/>
      <c r="AI66" s="338"/>
    </row>
    <row r="67" spans="1:35" ht="15.75" thickBot="1">
      <c r="A67" s="41" t="s">
        <v>168</v>
      </c>
      <c r="B67" s="42" t="s">
        <v>211</v>
      </c>
      <c r="C67" s="47"/>
      <c r="D67" s="47"/>
      <c r="E67" s="47"/>
      <c r="F67" s="47"/>
      <c r="G67" s="47"/>
      <c r="H67" s="47"/>
      <c r="I67" s="47"/>
      <c r="J67" s="47"/>
      <c r="K67" s="47"/>
      <c r="L67" s="47"/>
      <c r="M67" s="47"/>
      <c r="N67" s="47"/>
      <c r="O67" s="47"/>
      <c r="P67" s="47"/>
      <c r="Q67" s="47"/>
      <c r="R67" s="50">
        <f>('Anambra Workings'!R67+'Niger Workings'!R67)</f>
        <v>0</v>
      </c>
      <c r="S67" s="51">
        <f>('Anambra Workings'!S67+'Niger Workings'!S67)</f>
        <v>0</v>
      </c>
      <c r="T67" s="51">
        <f>('Anambra Workings'!T67+'Niger Workings'!T67)</f>
        <v>0</v>
      </c>
      <c r="U67" s="51">
        <f>('Anambra Workings'!U67+'Niger Workings'!U67)</f>
        <v>0</v>
      </c>
      <c r="V67" s="51">
        <f>('Anambra Workings'!V67+'Niger Workings'!V67)</f>
        <v>0</v>
      </c>
      <c r="W67" s="51">
        <f>('Anambra Workings'!W67+'Niger Workings'!W67)</f>
        <v>1</v>
      </c>
      <c r="X67" s="51">
        <f>('Anambra Workings'!X67+'Niger Workings'!X67)</f>
        <v>2</v>
      </c>
      <c r="Y67" s="50">
        <f>('Anambra Workings'!Y67+'Niger Workings'!Y67)</f>
        <v>3</v>
      </c>
      <c r="Z67" s="51">
        <f>('Anambra Workings'!Z67+'Niger Workings'!Z67)</f>
        <v>3</v>
      </c>
      <c r="AA67" s="38">
        <f>'Niger Workings'!AA67*3</f>
        <v>60</v>
      </c>
      <c r="AB67" s="457">
        <f>AA67/22</f>
        <v>2.7272727272727271</v>
      </c>
      <c r="AC67" s="340"/>
      <c r="AD67" s="451">
        <f>V67</f>
        <v>0</v>
      </c>
      <c r="AE67" s="346"/>
      <c r="AF67" s="453">
        <f t="shared" ref="AF67:AG68" si="21">IF($AG$1=16,R67,IF($AG$1=17,S67,IF($AG$1=18,T67,IF($AG$1=19,U67,IF($AG$1=20,V67,IF($AG$1=21,W67,IF($AG$1=22,X67,0)))))))</f>
        <v>1</v>
      </c>
      <c r="AG67" s="453">
        <f t="shared" si="21"/>
        <v>2</v>
      </c>
      <c r="AI67" s="338"/>
    </row>
    <row r="68" spans="1:35" s="340" customFormat="1" ht="15.75" thickBot="1">
      <c r="A68" s="45"/>
      <c r="B68" s="46" t="s">
        <v>210</v>
      </c>
      <c r="C68" s="47"/>
      <c r="D68" s="47"/>
      <c r="E68" s="47"/>
      <c r="F68" s="47"/>
      <c r="G68" s="47"/>
      <c r="H68" s="47"/>
      <c r="I68" s="47"/>
      <c r="J68" s="47"/>
      <c r="K68" s="47"/>
      <c r="L68" s="47"/>
      <c r="M68" s="47"/>
      <c r="N68" s="47"/>
      <c r="O68" s="47"/>
      <c r="P68" s="47"/>
      <c r="Q68" s="47"/>
      <c r="R68" s="52">
        <f>('Anambra Workings'!R68+'Niger Workings'!R68)</f>
        <v>0</v>
      </c>
      <c r="S68" s="52">
        <f>('Anambra Workings'!S68+'Niger Workings'!S68)</f>
        <v>0</v>
      </c>
      <c r="T68" s="52">
        <f>('Anambra Workings'!T68+'Niger Workings'!T68)</f>
        <v>0</v>
      </c>
      <c r="U68" s="52">
        <f>('Anambra Workings'!U68+'Niger Workings'!U68)</f>
        <v>0</v>
      </c>
      <c r="V68" s="52">
        <f>('Anambra Workings'!V68+'Niger Workings'!V68)</f>
        <v>0</v>
      </c>
      <c r="W68" s="70">
        <f>('Anambra Workings'!W68+'Niger Workings'!W68)</f>
        <v>1</v>
      </c>
      <c r="X68" s="70">
        <f>('Anambra Workings'!X68+'Niger Workings'!X68)</f>
        <v>2</v>
      </c>
      <c r="Y68" s="70">
        <f>('Anambra Workings'!Y68+'Niger Workings'!Y68)</f>
        <v>0</v>
      </c>
      <c r="Z68" s="70">
        <f>('Anambra Workings'!Z68+'Niger Workings'!Z68)</f>
        <v>0</v>
      </c>
      <c r="AA68" s="49"/>
      <c r="AB68" s="421"/>
      <c r="AD68" s="452">
        <f>V68</f>
        <v>0</v>
      </c>
      <c r="AE68" s="346"/>
      <c r="AF68" s="452">
        <f t="shared" si="21"/>
        <v>1</v>
      </c>
      <c r="AG68" s="452">
        <f t="shared" si="21"/>
        <v>2</v>
      </c>
      <c r="AH68" s="342">
        <f>AG68</f>
        <v>2</v>
      </c>
      <c r="AI68" s="342">
        <f>AG68</f>
        <v>2</v>
      </c>
    </row>
    <row r="69" spans="1:35" s="340" customFormat="1">
      <c r="A69" s="45"/>
      <c r="B69" s="46"/>
      <c r="C69" s="48"/>
      <c r="D69" s="422"/>
      <c r="E69" s="422"/>
      <c r="F69" s="422"/>
      <c r="G69" s="83"/>
      <c r="H69" s="83"/>
      <c r="I69" s="83"/>
      <c r="J69" s="83"/>
      <c r="K69" s="83"/>
      <c r="L69" s="48"/>
      <c r="M69" s="48"/>
      <c r="N69" s="83"/>
      <c r="O69" s="83"/>
      <c r="P69" s="48"/>
      <c r="Q69" s="48"/>
      <c r="R69" s="53"/>
      <c r="S69" s="53"/>
      <c r="T69" s="53"/>
      <c r="U69" s="53"/>
      <c r="V69" s="53"/>
      <c r="W69" s="53"/>
      <c r="X69" s="53"/>
      <c r="Y69" s="53"/>
      <c r="Z69" s="53"/>
      <c r="AA69" s="49"/>
      <c r="AB69" s="421"/>
      <c r="AD69" s="345"/>
      <c r="AE69" s="346"/>
      <c r="AF69" s="345"/>
      <c r="AG69" s="345"/>
      <c r="AH69" s="335"/>
      <c r="AI69" s="338"/>
    </row>
    <row r="70" spans="1:35" ht="15.75" thickBot="1">
      <c r="A70" s="41" t="s">
        <v>169</v>
      </c>
      <c r="B70" s="42" t="s">
        <v>209</v>
      </c>
      <c r="C70" s="47"/>
      <c r="D70" s="47"/>
      <c r="E70" s="47"/>
      <c r="F70" s="47"/>
      <c r="G70" s="47"/>
      <c r="H70" s="47"/>
      <c r="I70" s="47"/>
      <c r="J70" s="47"/>
      <c r="K70" s="47"/>
      <c r="L70" s="47"/>
      <c r="M70" s="47"/>
      <c r="N70" s="47"/>
      <c r="O70" s="47"/>
      <c r="P70" s="47"/>
      <c r="Q70" s="47"/>
      <c r="R70" s="50">
        <f>('Anambra Workings'!R70+'Niger Workings'!R70)</f>
        <v>0</v>
      </c>
      <c r="S70" s="51">
        <f>('Anambra Workings'!S70+'Niger Workings'!S70)</f>
        <v>0</v>
      </c>
      <c r="T70" s="51">
        <f>('Anambra Workings'!T70+'Niger Workings'!T70)</f>
        <v>0</v>
      </c>
      <c r="U70" s="51">
        <f>('Anambra Workings'!U70+'Niger Workings'!U70)</f>
        <v>0</v>
      </c>
      <c r="V70" s="51">
        <f>('Anambra Workings'!V70+'Niger Workings'!V70)</f>
        <v>0</v>
      </c>
      <c r="W70" s="51">
        <f>('Anambra Workings'!W70+'Niger Workings'!W70)</f>
        <v>0</v>
      </c>
      <c r="X70" s="51">
        <f>('Anambra Workings'!X70+'Niger Workings'!X70)</f>
        <v>0</v>
      </c>
      <c r="Y70" s="50">
        <f>('Anambra Workings'!Y70+'Niger Workings'!Y70)</f>
        <v>0</v>
      </c>
      <c r="Z70" s="51">
        <f>('Anambra Workings'!Z70+'Niger Workings'!Z70)</f>
        <v>0</v>
      </c>
      <c r="AA70" s="38">
        <f>'Niger Workings'!AA70*3</f>
        <v>60</v>
      </c>
      <c r="AB70" s="457">
        <f>AA70/22</f>
        <v>2.7272727272727271</v>
      </c>
      <c r="AC70" s="340"/>
      <c r="AD70" s="451">
        <f>V70</f>
        <v>0</v>
      </c>
      <c r="AE70" s="346"/>
      <c r="AF70" s="453">
        <f t="shared" ref="AF70:AG71" si="22">IF($AG$1=16,R70,IF($AG$1=17,S70,IF($AG$1=18,T70,IF($AG$1=19,U70,IF($AG$1=20,V70,IF($AG$1=21,W70,IF($AG$1=22,X70,0)))))))</f>
        <v>0</v>
      </c>
      <c r="AG70" s="453">
        <f t="shared" si="22"/>
        <v>0</v>
      </c>
      <c r="AI70" s="338"/>
    </row>
    <row r="71" spans="1:35" s="340" customFormat="1" ht="15.75" thickBot="1">
      <c r="A71" s="45"/>
      <c r="B71" s="46" t="s">
        <v>208</v>
      </c>
      <c r="C71" s="47"/>
      <c r="D71" s="47"/>
      <c r="E71" s="47"/>
      <c r="F71" s="47"/>
      <c r="G71" s="47"/>
      <c r="H71" s="47"/>
      <c r="I71" s="47"/>
      <c r="J71" s="47"/>
      <c r="K71" s="47"/>
      <c r="L71" s="47"/>
      <c r="M71" s="47"/>
      <c r="N71" s="47"/>
      <c r="O71" s="47"/>
      <c r="P71" s="47"/>
      <c r="Q71" s="47"/>
      <c r="R71" s="52">
        <f>('Anambra Workings'!R71+'Niger Workings'!R71)</f>
        <v>0</v>
      </c>
      <c r="S71" s="52">
        <f>('Anambra Workings'!S71+'Niger Workings'!S71)</f>
        <v>0</v>
      </c>
      <c r="T71" s="52">
        <f>('Anambra Workings'!T71+'Niger Workings'!T71)</f>
        <v>0</v>
      </c>
      <c r="U71" s="52">
        <f>('Anambra Workings'!U71+'Niger Workings'!U71)</f>
        <v>0</v>
      </c>
      <c r="V71" s="52">
        <f>('Anambra Workings'!V71+'Niger Workings'!V71)</f>
        <v>0</v>
      </c>
      <c r="W71" s="70">
        <f>('Anambra Workings'!W71+'Niger Workings'!W71)</f>
        <v>0</v>
      </c>
      <c r="X71" s="70">
        <f>('Anambra Workings'!X71+'Niger Workings'!X71)</f>
        <v>0</v>
      </c>
      <c r="Y71" s="70">
        <f>('Anambra Workings'!Y71+'Niger Workings'!Y71)</f>
        <v>0</v>
      </c>
      <c r="Z71" s="70">
        <f>('Anambra Workings'!Z71+'Niger Workings'!Z71)</f>
        <v>0</v>
      </c>
      <c r="AA71" s="49"/>
      <c r="AB71" s="421"/>
      <c r="AD71" s="452">
        <f>V71</f>
        <v>0</v>
      </c>
      <c r="AE71" s="346"/>
      <c r="AF71" s="452">
        <f t="shared" si="22"/>
        <v>0</v>
      </c>
      <c r="AG71" s="452">
        <f t="shared" si="22"/>
        <v>0</v>
      </c>
      <c r="AH71" s="342">
        <f>AG71</f>
        <v>0</v>
      </c>
      <c r="AI71" s="342">
        <f>AG71</f>
        <v>0</v>
      </c>
    </row>
    <row r="72" spans="1:35" s="340" customFormat="1">
      <c r="A72" s="45"/>
      <c r="B72" s="46"/>
      <c r="C72" s="48"/>
      <c r="D72" s="422"/>
      <c r="E72" s="422"/>
      <c r="F72" s="422"/>
      <c r="G72" s="83"/>
      <c r="H72" s="83"/>
      <c r="I72" s="83"/>
      <c r="J72" s="83"/>
      <c r="K72" s="83"/>
      <c r="L72" s="48"/>
      <c r="M72" s="48"/>
      <c r="N72" s="83"/>
      <c r="O72" s="83"/>
      <c r="P72" s="48"/>
      <c r="Q72" s="48"/>
      <c r="R72" s="53"/>
      <c r="S72" s="53"/>
      <c r="T72" s="53"/>
      <c r="U72" s="53"/>
      <c r="V72" s="53"/>
      <c r="W72" s="53"/>
      <c r="X72" s="53"/>
      <c r="Y72" s="53"/>
      <c r="Z72" s="53"/>
      <c r="AA72" s="49"/>
      <c r="AB72" s="421"/>
      <c r="AD72" s="345"/>
      <c r="AE72" s="346"/>
      <c r="AF72" s="345"/>
      <c r="AG72" s="345"/>
      <c r="AH72" s="335"/>
      <c r="AI72" s="338"/>
    </row>
    <row r="73" spans="1:35" ht="15.75" thickBot="1">
      <c r="A73" s="41" t="s">
        <v>162</v>
      </c>
      <c r="B73" s="42" t="s">
        <v>202</v>
      </c>
      <c r="C73" s="47"/>
      <c r="D73" s="47"/>
      <c r="E73" s="47"/>
      <c r="F73" s="47"/>
      <c r="G73" s="47"/>
      <c r="H73" s="47"/>
      <c r="I73" s="47"/>
      <c r="J73" s="47"/>
      <c r="K73" s="47"/>
      <c r="L73" s="47"/>
      <c r="M73" s="47"/>
      <c r="N73" s="47"/>
      <c r="O73" s="47"/>
      <c r="P73" s="47"/>
      <c r="Q73" s="47"/>
      <c r="R73" s="50">
        <f>('Anambra Workings'!R73+'Niger Workings'!R73)</f>
        <v>6</v>
      </c>
      <c r="S73" s="51">
        <f>('Anambra Workings'!S73+'Niger Workings'!S73)</f>
        <v>6</v>
      </c>
      <c r="T73" s="51">
        <f>('Anambra Workings'!T73+'Niger Workings'!T73)</f>
        <v>6</v>
      </c>
      <c r="U73" s="51">
        <f>('Anambra Workings'!U73+'Niger Workings'!U73)</f>
        <v>6</v>
      </c>
      <c r="V73" s="51">
        <f>('Anambra Workings'!V73+'Niger Workings'!V73)</f>
        <v>6</v>
      </c>
      <c r="W73" s="51">
        <f>('Anambra Workings'!W73+'Niger Workings'!W73)</f>
        <v>7</v>
      </c>
      <c r="X73" s="51">
        <f>('Anambra Workings'!X73+'Niger Workings'!X73)</f>
        <v>7.9999999999999991</v>
      </c>
      <c r="Y73" s="50">
        <f>('Anambra Workings'!Y73+'Niger Workings'!Y73)</f>
        <v>9</v>
      </c>
      <c r="Z73" s="51">
        <f>('Anambra Workings'!Z73+'Niger Workings'!Z73)</f>
        <v>9</v>
      </c>
      <c r="AA73" s="38">
        <f>'Niger Workings'!AA73*3</f>
        <v>60</v>
      </c>
      <c r="AB73" s="457">
        <f>AA73/22</f>
        <v>2.7272727272727271</v>
      </c>
      <c r="AC73" s="340"/>
      <c r="AD73" s="451">
        <f>V73</f>
        <v>6</v>
      </c>
      <c r="AE73" s="346"/>
      <c r="AF73" s="453">
        <f t="shared" ref="AF73:AG74" si="23">IF($AG$1=16,R73,IF($AG$1=17,S73,IF($AG$1=18,T73,IF($AG$1=19,U73,IF($AG$1=20,V73,IF($AG$1=21,W73,IF($AG$1=22,X73,0)))))))</f>
        <v>7</v>
      </c>
      <c r="AG73" s="453">
        <f t="shared" si="23"/>
        <v>7.9999999999999991</v>
      </c>
      <c r="AI73" s="338"/>
    </row>
    <row r="74" spans="1:35" s="340" customFormat="1" ht="15.75" thickBot="1">
      <c r="A74" s="45"/>
      <c r="B74" s="46" t="s">
        <v>203</v>
      </c>
      <c r="C74" s="47"/>
      <c r="D74" s="47"/>
      <c r="E74" s="47"/>
      <c r="F74" s="47"/>
      <c r="G74" s="47"/>
      <c r="H74" s="47"/>
      <c r="I74" s="47"/>
      <c r="J74" s="47"/>
      <c r="K74" s="47"/>
      <c r="L74" s="47"/>
      <c r="M74" s="47"/>
      <c r="N74" s="47"/>
      <c r="O74" s="47"/>
      <c r="P74" s="47"/>
      <c r="Q74" s="47"/>
      <c r="R74" s="52">
        <f>('Anambra Workings'!R74+'Niger Workings'!R74)</f>
        <v>6</v>
      </c>
      <c r="S74" s="52">
        <f>('Anambra Workings'!S74+'Niger Workings'!S74)</f>
        <v>6</v>
      </c>
      <c r="T74" s="52">
        <f>('Anambra Workings'!T74+'Niger Workings'!T74)</f>
        <v>6</v>
      </c>
      <c r="U74" s="52">
        <f>('Anambra Workings'!U74+'Niger Workings'!U74)</f>
        <v>6</v>
      </c>
      <c r="V74" s="52">
        <f>('Anambra Workings'!V74+'Niger Workings'!V74)</f>
        <v>6</v>
      </c>
      <c r="W74" s="70">
        <f>('Anambra Workings'!W74+'Niger Workings'!W74)</f>
        <v>7</v>
      </c>
      <c r="X74" s="70">
        <f>('Anambra Workings'!X74+'Niger Workings'!X74)</f>
        <v>8</v>
      </c>
      <c r="Y74" s="70">
        <f>('Anambra Workings'!Y74+'Niger Workings'!Y74)</f>
        <v>0</v>
      </c>
      <c r="Z74" s="70">
        <f>('Anambra Workings'!Z74+'Niger Workings'!Z74)</f>
        <v>0</v>
      </c>
      <c r="AA74" s="49"/>
      <c r="AB74" s="421"/>
      <c r="AD74" s="452">
        <f>V74</f>
        <v>6</v>
      </c>
      <c r="AE74" s="346"/>
      <c r="AF74" s="452">
        <f t="shared" si="23"/>
        <v>7</v>
      </c>
      <c r="AG74" s="452">
        <f t="shared" si="23"/>
        <v>8</v>
      </c>
      <c r="AH74" s="342">
        <f>AG74</f>
        <v>8</v>
      </c>
      <c r="AI74" s="342">
        <f>AG74</f>
        <v>8</v>
      </c>
    </row>
    <row r="75" spans="1:35" s="340" customFormat="1">
      <c r="A75" s="45"/>
      <c r="B75" s="46"/>
      <c r="C75" s="48"/>
      <c r="D75" s="422"/>
      <c r="E75" s="422"/>
      <c r="F75" s="422"/>
      <c r="G75" s="83"/>
      <c r="H75" s="83"/>
      <c r="I75" s="83"/>
      <c r="J75" s="83"/>
      <c r="K75" s="83"/>
      <c r="L75" s="48"/>
      <c r="M75" s="48"/>
      <c r="N75" s="83"/>
      <c r="O75" s="83"/>
      <c r="P75" s="48"/>
      <c r="Q75" s="48"/>
      <c r="R75" s="53"/>
      <c r="S75" s="53"/>
      <c r="T75" s="53"/>
      <c r="U75" s="53"/>
      <c r="V75" s="53"/>
      <c r="W75" s="53"/>
      <c r="X75" s="53"/>
      <c r="Y75" s="53"/>
      <c r="Z75" s="53"/>
      <c r="AA75" s="49"/>
      <c r="AB75" s="421"/>
      <c r="AD75" s="345"/>
      <c r="AE75" s="346"/>
      <c r="AF75" s="345"/>
      <c r="AG75" s="345"/>
      <c r="AH75" s="335"/>
      <c r="AI75" s="338"/>
    </row>
    <row r="76" spans="1:35" ht="15.75" thickBot="1">
      <c r="A76" s="41" t="s">
        <v>163</v>
      </c>
      <c r="B76" s="42" t="s">
        <v>213</v>
      </c>
      <c r="C76" s="47"/>
      <c r="D76" s="47"/>
      <c r="E76" s="47"/>
      <c r="F76" s="47"/>
      <c r="G76" s="47"/>
      <c r="H76" s="47"/>
      <c r="I76" s="47"/>
      <c r="J76" s="47"/>
      <c r="K76" s="47"/>
      <c r="L76" s="47"/>
      <c r="M76" s="47"/>
      <c r="N76" s="47"/>
      <c r="O76" s="47"/>
      <c r="P76" s="47"/>
      <c r="Q76" s="47"/>
      <c r="R76" s="50">
        <f>('Anambra Workings'!R76+'Niger Workings'!R76)</f>
        <v>4</v>
      </c>
      <c r="S76" s="51">
        <f>('Anambra Workings'!S76+'Niger Workings'!S76)</f>
        <v>4</v>
      </c>
      <c r="T76" s="51">
        <f>('Anambra Workings'!T76+'Niger Workings'!T76)</f>
        <v>4</v>
      </c>
      <c r="U76" s="51">
        <f>('Anambra Workings'!U76+'Niger Workings'!U76)</f>
        <v>4</v>
      </c>
      <c r="V76" s="51">
        <f>('Anambra Workings'!V76+'Niger Workings'!V76)</f>
        <v>4</v>
      </c>
      <c r="W76" s="51">
        <f>('Anambra Workings'!W76+'Niger Workings'!W76)</f>
        <v>5</v>
      </c>
      <c r="X76" s="51">
        <f>('Anambra Workings'!X76+'Niger Workings'!X76)</f>
        <v>6</v>
      </c>
      <c r="Y76" s="50">
        <f>('Anambra Workings'!Y76+'Niger Workings'!Y76)</f>
        <v>7</v>
      </c>
      <c r="Z76" s="51">
        <f>('Anambra Workings'!Z76+'Niger Workings'!Z76)</f>
        <v>7</v>
      </c>
      <c r="AA76" s="38">
        <f>'Niger Workings'!AA76*3</f>
        <v>60</v>
      </c>
      <c r="AB76" s="457">
        <f>AA76/22</f>
        <v>2.7272727272727271</v>
      </c>
      <c r="AC76" s="340"/>
      <c r="AD76" s="451">
        <f>V76</f>
        <v>4</v>
      </c>
      <c r="AE76" s="346"/>
      <c r="AF76" s="453">
        <f t="shared" ref="AF76:AG77" si="24">IF($AG$1=16,R76,IF($AG$1=17,S76,IF($AG$1=18,T76,IF($AG$1=19,U76,IF($AG$1=20,V76,IF($AG$1=21,W76,IF($AG$1=22,X76,0)))))))</f>
        <v>5</v>
      </c>
      <c r="AG76" s="453">
        <f t="shared" si="24"/>
        <v>6</v>
      </c>
      <c r="AI76" s="338"/>
    </row>
    <row r="77" spans="1:35" s="340" customFormat="1" ht="15.75" thickBot="1">
      <c r="A77" s="45"/>
      <c r="B77" s="46" t="s">
        <v>212</v>
      </c>
      <c r="C77" s="47"/>
      <c r="D77" s="47"/>
      <c r="E77" s="47"/>
      <c r="F77" s="47"/>
      <c r="G77" s="47"/>
      <c r="H77" s="47"/>
      <c r="I77" s="47"/>
      <c r="J77" s="47"/>
      <c r="K77" s="47"/>
      <c r="L77" s="47"/>
      <c r="M77" s="47"/>
      <c r="N77" s="47"/>
      <c r="O77" s="47"/>
      <c r="P77" s="47"/>
      <c r="Q77" s="47"/>
      <c r="R77" s="52">
        <f>('Anambra Workings'!R77+'Niger Workings'!R77)</f>
        <v>4</v>
      </c>
      <c r="S77" s="52">
        <f>('Anambra Workings'!S77+'Niger Workings'!S77)</f>
        <v>4</v>
      </c>
      <c r="T77" s="52">
        <f>('Anambra Workings'!T77+'Niger Workings'!T77)</f>
        <v>4</v>
      </c>
      <c r="U77" s="52">
        <f>('Anambra Workings'!U77+'Niger Workings'!U77)</f>
        <v>4</v>
      </c>
      <c r="V77" s="52">
        <f>('Anambra Workings'!V77+'Niger Workings'!V77)</f>
        <v>4</v>
      </c>
      <c r="W77" s="70">
        <f>('Anambra Workings'!W77+'Niger Workings'!W77)</f>
        <v>6</v>
      </c>
      <c r="X77" s="70">
        <f>('Anambra Workings'!X77+'Niger Workings'!X77)</f>
        <v>6</v>
      </c>
      <c r="Y77" s="70">
        <f>('Anambra Workings'!Y77+'Niger Workings'!Y77)</f>
        <v>0</v>
      </c>
      <c r="Z77" s="70">
        <f>('Anambra Workings'!Z77+'Niger Workings'!Z77)</f>
        <v>0</v>
      </c>
      <c r="AA77" s="49"/>
      <c r="AB77" s="421"/>
      <c r="AD77" s="452">
        <f>V77</f>
        <v>4</v>
      </c>
      <c r="AE77" s="346"/>
      <c r="AF77" s="452">
        <f t="shared" si="24"/>
        <v>6</v>
      </c>
      <c r="AG77" s="452">
        <f t="shared" si="24"/>
        <v>6</v>
      </c>
      <c r="AH77" s="342">
        <f>AG77</f>
        <v>6</v>
      </c>
      <c r="AI77" s="342">
        <f>AG77</f>
        <v>6</v>
      </c>
    </row>
    <row r="78" spans="1:35" s="340" customFormat="1">
      <c r="A78" s="45"/>
      <c r="B78" s="46"/>
      <c r="C78" s="48"/>
      <c r="D78" s="422"/>
      <c r="E78" s="422"/>
      <c r="F78" s="422"/>
      <c r="G78" s="83"/>
      <c r="H78" s="83"/>
      <c r="I78" s="83"/>
      <c r="J78" s="83"/>
      <c r="K78" s="83"/>
      <c r="L78" s="48"/>
      <c r="M78" s="48"/>
      <c r="N78" s="83"/>
      <c r="O78" s="83"/>
      <c r="P78" s="48"/>
      <c r="Q78" s="48"/>
      <c r="R78" s="53"/>
      <c r="S78" s="53"/>
      <c r="T78" s="53"/>
      <c r="U78" s="53"/>
      <c r="V78" s="53"/>
      <c r="W78" s="53"/>
      <c r="X78" s="53"/>
      <c r="Y78" s="53"/>
      <c r="Z78" s="53"/>
      <c r="AA78" s="49"/>
      <c r="AB78" s="421"/>
      <c r="AD78" s="345"/>
      <c r="AE78" s="346"/>
      <c r="AF78" s="345"/>
      <c r="AG78" s="345"/>
      <c r="AH78" s="335"/>
      <c r="AI78" s="338"/>
    </row>
    <row r="79" spans="1:35" ht="15.75" thickBot="1">
      <c r="A79" s="41" t="s">
        <v>164</v>
      </c>
      <c r="B79" s="42" t="s">
        <v>211</v>
      </c>
      <c r="C79" s="47"/>
      <c r="D79" s="47"/>
      <c r="E79" s="47"/>
      <c r="F79" s="47"/>
      <c r="G79" s="47"/>
      <c r="H79" s="47"/>
      <c r="I79" s="47"/>
      <c r="J79" s="47"/>
      <c r="K79" s="47"/>
      <c r="L79" s="47"/>
      <c r="M79" s="47"/>
      <c r="N79" s="47"/>
      <c r="O79" s="47"/>
      <c r="P79" s="47"/>
      <c r="Q79" s="47"/>
      <c r="R79" s="50">
        <f>('Anambra Workings'!R79+'Niger Workings'!R79)</f>
        <v>2</v>
      </c>
      <c r="S79" s="51">
        <f>('Anambra Workings'!S79+'Niger Workings'!S79)</f>
        <v>2</v>
      </c>
      <c r="T79" s="51">
        <f>('Anambra Workings'!T79+'Niger Workings'!T79)</f>
        <v>2</v>
      </c>
      <c r="U79" s="51">
        <f>('Anambra Workings'!U79+'Niger Workings'!U79)</f>
        <v>2</v>
      </c>
      <c r="V79" s="51">
        <f>('Anambra Workings'!V79+'Niger Workings'!V79)</f>
        <v>2</v>
      </c>
      <c r="W79" s="51">
        <f>('Anambra Workings'!W79+'Niger Workings'!W79)</f>
        <v>2.666666666666667</v>
      </c>
      <c r="X79" s="51">
        <f>('Anambra Workings'!X79+'Niger Workings'!X79)</f>
        <v>3.3333333333333335</v>
      </c>
      <c r="Y79" s="50">
        <f>('Anambra Workings'!Y79+'Niger Workings'!Y79)</f>
        <v>4</v>
      </c>
      <c r="Z79" s="51">
        <f>('Anambra Workings'!Z79+'Niger Workings'!Z79)</f>
        <v>4</v>
      </c>
      <c r="AA79" s="38">
        <f>'Niger Workings'!AA79*3</f>
        <v>60</v>
      </c>
      <c r="AB79" s="457">
        <f>AA79/22</f>
        <v>2.7272727272727271</v>
      </c>
      <c r="AC79" s="340"/>
      <c r="AD79" s="451">
        <f>V79</f>
        <v>2</v>
      </c>
      <c r="AE79" s="346"/>
      <c r="AF79" s="453">
        <f t="shared" ref="AF79:AG80" si="25">IF($AG$1=16,R79,IF($AG$1=17,S79,IF($AG$1=18,T79,IF($AG$1=19,U79,IF($AG$1=20,V79,IF($AG$1=21,W79,IF($AG$1=22,X79,0)))))))</f>
        <v>2.666666666666667</v>
      </c>
      <c r="AG79" s="453">
        <f t="shared" si="25"/>
        <v>3.3333333333333335</v>
      </c>
      <c r="AI79" s="338"/>
    </row>
    <row r="80" spans="1:35" s="340" customFormat="1" ht="15.75" thickBot="1">
      <c r="A80" s="45"/>
      <c r="B80" s="46" t="s">
        <v>210</v>
      </c>
      <c r="C80" s="47"/>
      <c r="D80" s="47"/>
      <c r="E80" s="47"/>
      <c r="F80" s="47"/>
      <c r="G80" s="47"/>
      <c r="H80" s="47"/>
      <c r="I80" s="47"/>
      <c r="J80" s="47"/>
      <c r="K80" s="47"/>
      <c r="L80" s="47"/>
      <c r="M80" s="47"/>
      <c r="N80" s="47"/>
      <c r="O80" s="47"/>
      <c r="P80" s="47"/>
      <c r="Q80" s="47"/>
      <c r="R80" s="52">
        <f>('Anambra Workings'!R80+'Niger Workings'!R80)</f>
        <v>2</v>
      </c>
      <c r="S80" s="52">
        <f>('Anambra Workings'!S80+'Niger Workings'!S80)</f>
        <v>2</v>
      </c>
      <c r="T80" s="52">
        <f>('Anambra Workings'!T80+'Niger Workings'!T80)</f>
        <v>2</v>
      </c>
      <c r="U80" s="52">
        <f>('Anambra Workings'!U80+'Niger Workings'!U80)</f>
        <v>2</v>
      </c>
      <c r="V80" s="52">
        <f>('Anambra Workings'!V80+'Niger Workings'!V80)</f>
        <v>2</v>
      </c>
      <c r="W80" s="70">
        <f>('Anambra Workings'!W80+'Niger Workings'!W80)</f>
        <v>2</v>
      </c>
      <c r="X80" s="70">
        <f>('Anambra Workings'!X80+'Niger Workings'!X80)</f>
        <v>2</v>
      </c>
      <c r="Y80" s="70">
        <f>('Anambra Workings'!Y80+'Niger Workings'!Y80)</f>
        <v>0</v>
      </c>
      <c r="Z80" s="70">
        <f>('Anambra Workings'!Z80+'Niger Workings'!Z80)</f>
        <v>0</v>
      </c>
      <c r="AA80" s="49"/>
      <c r="AB80" s="421"/>
      <c r="AD80" s="452">
        <f>V80</f>
        <v>2</v>
      </c>
      <c r="AE80" s="346"/>
      <c r="AF80" s="452">
        <f t="shared" si="25"/>
        <v>2</v>
      </c>
      <c r="AG80" s="452">
        <f t="shared" si="25"/>
        <v>2</v>
      </c>
      <c r="AH80" s="342">
        <f>AG80</f>
        <v>2</v>
      </c>
      <c r="AI80" s="342">
        <f>AG80</f>
        <v>2</v>
      </c>
    </row>
    <row r="81" spans="1:35" s="340" customFormat="1">
      <c r="A81" s="45"/>
      <c r="B81" s="46"/>
      <c r="C81" s="48"/>
      <c r="D81" s="422"/>
      <c r="E81" s="422"/>
      <c r="F81" s="422"/>
      <c r="G81" s="83"/>
      <c r="H81" s="83"/>
      <c r="I81" s="83"/>
      <c r="J81" s="83"/>
      <c r="K81" s="83"/>
      <c r="L81" s="48"/>
      <c r="M81" s="48"/>
      <c r="N81" s="83"/>
      <c r="O81" s="83"/>
      <c r="P81" s="48"/>
      <c r="Q81" s="48"/>
      <c r="R81" s="53"/>
      <c r="S81" s="53"/>
      <c r="T81" s="53"/>
      <c r="U81" s="53"/>
      <c r="V81" s="53"/>
      <c r="W81" s="53"/>
      <c r="X81" s="53"/>
      <c r="Y81" s="53"/>
      <c r="Z81" s="53"/>
      <c r="AA81" s="49"/>
      <c r="AB81" s="421"/>
      <c r="AD81" s="345"/>
      <c r="AE81" s="346"/>
      <c r="AF81" s="345"/>
      <c r="AG81" s="345"/>
      <c r="AH81" s="335"/>
      <c r="AI81" s="338"/>
    </row>
    <row r="82" spans="1:35" ht="15.75" thickBot="1">
      <c r="A82" s="41" t="s">
        <v>165</v>
      </c>
      <c r="B82" s="42" t="s">
        <v>209</v>
      </c>
      <c r="C82" s="47"/>
      <c r="D82" s="47"/>
      <c r="E82" s="47"/>
      <c r="F82" s="47"/>
      <c r="G82" s="47"/>
      <c r="H82" s="47"/>
      <c r="I82" s="47"/>
      <c r="J82" s="47"/>
      <c r="K82" s="47"/>
      <c r="L82" s="47"/>
      <c r="M82" s="47"/>
      <c r="N82" s="47"/>
      <c r="O82" s="47"/>
      <c r="P82" s="47"/>
      <c r="Q82" s="47"/>
      <c r="R82" s="50">
        <f>('Anambra Workings'!R82+'Niger Workings'!R82)</f>
        <v>0</v>
      </c>
      <c r="S82" s="51">
        <f>('Anambra Workings'!S82+'Niger Workings'!S82)</f>
        <v>0</v>
      </c>
      <c r="T82" s="51">
        <f>('Anambra Workings'!T82+'Niger Workings'!T82)</f>
        <v>0</v>
      </c>
      <c r="U82" s="51">
        <f>('Anambra Workings'!U82+'Niger Workings'!U82)</f>
        <v>0</v>
      </c>
      <c r="V82" s="51">
        <f>('Anambra Workings'!V82+'Niger Workings'!V82)</f>
        <v>0</v>
      </c>
      <c r="W82" s="51">
        <f>('Anambra Workings'!W82+'Niger Workings'!W82)</f>
        <v>0</v>
      </c>
      <c r="X82" s="51">
        <f>('Anambra Workings'!X82+'Niger Workings'!X82)</f>
        <v>0</v>
      </c>
      <c r="Y82" s="50">
        <f>('Anambra Workings'!Y82+'Niger Workings'!Y82)</f>
        <v>0</v>
      </c>
      <c r="Z82" s="51">
        <f>('Anambra Workings'!Z82+'Niger Workings'!Z82)</f>
        <v>0</v>
      </c>
      <c r="AA82" s="38">
        <f>'Niger Workings'!AA82*3</f>
        <v>60</v>
      </c>
      <c r="AB82" s="457">
        <f>AA82/22</f>
        <v>2.7272727272727271</v>
      </c>
      <c r="AC82" s="340"/>
      <c r="AD82" s="451">
        <f>V82</f>
        <v>0</v>
      </c>
      <c r="AE82" s="346"/>
      <c r="AF82" s="453">
        <f t="shared" ref="AF82:AG83" si="26">IF($AG$1=16,R82,IF($AG$1=17,S82,IF($AG$1=18,T82,IF($AG$1=19,U82,IF($AG$1=20,V82,IF($AG$1=21,W82,IF($AG$1=22,X82,0)))))))</f>
        <v>0</v>
      </c>
      <c r="AG82" s="453">
        <f t="shared" si="26"/>
        <v>0</v>
      </c>
      <c r="AI82" s="338"/>
    </row>
    <row r="83" spans="1:35" s="340" customFormat="1" ht="15.75" thickBot="1">
      <c r="A83" s="45"/>
      <c r="B83" s="46" t="s">
        <v>208</v>
      </c>
      <c r="C83" s="47"/>
      <c r="D83" s="47"/>
      <c r="E83" s="47"/>
      <c r="F83" s="47"/>
      <c r="G83" s="47"/>
      <c r="H83" s="47"/>
      <c r="I83" s="47"/>
      <c r="J83" s="47"/>
      <c r="K83" s="47"/>
      <c r="L83" s="47"/>
      <c r="M83" s="47"/>
      <c r="N83" s="47"/>
      <c r="O83" s="47"/>
      <c r="P83" s="47"/>
      <c r="Q83" s="47"/>
      <c r="R83" s="52">
        <f>('Anambra Workings'!R83+'Niger Workings'!R83)</f>
        <v>0</v>
      </c>
      <c r="S83" s="52">
        <f>('Anambra Workings'!S83+'Niger Workings'!S83)</f>
        <v>0</v>
      </c>
      <c r="T83" s="52">
        <f>('Anambra Workings'!T83+'Niger Workings'!T83)</f>
        <v>0</v>
      </c>
      <c r="U83" s="52">
        <f>('Anambra Workings'!U83+'Niger Workings'!U83)</f>
        <v>0</v>
      </c>
      <c r="V83" s="52">
        <f>('Anambra Workings'!V83+'Niger Workings'!V83)</f>
        <v>0</v>
      </c>
      <c r="W83" s="70">
        <f>('Anambra Workings'!W83+'Niger Workings'!W83)</f>
        <v>0</v>
      </c>
      <c r="X83" s="70">
        <f>('Anambra Workings'!X83+'Niger Workings'!X83)</f>
        <v>0</v>
      </c>
      <c r="Y83" s="70">
        <f>('Anambra Workings'!Y83+'Niger Workings'!Y83)</f>
        <v>0</v>
      </c>
      <c r="Z83" s="70">
        <f>('Anambra Workings'!Z83+'Niger Workings'!Z83)</f>
        <v>0</v>
      </c>
      <c r="AA83" s="49"/>
      <c r="AB83" s="421"/>
      <c r="AD83" s="452">
        <f>V83</f>
        <v>0</v>
      </c>
      <c r="AE83" s="346"/>
      <c r="AF83" s="452">
        <f t="shared" si="26"/>
        <v>0</v>
      </c>
      <c r="AG83" s="452">
        <f t="shared" si="26"/>
        <v>0</v>
      </c>
      <c r="AH83" s="342">
        <f>AG83</f>
        <v>0</v>
      </c>
      <c r="AI83" s="342">
        <f>AG83</f>
        <v>0</v>
      </c>
    </row>
    <row r="84" spans="1:35" s="340" customFormat="1">
      <c r="A84" s="45"/>
      <c r="B84" s="46"/>
      <c r="C84" s="48"/>
      <c r="D84" s="422"/>
      <c r="E84" s="422"/>
      <c r="F84" s="422"/>
      <c r="G84" s="83"/>
      <c r="H84" s="83"/>
      <c r="I84" s="83"/>
      <c r="J84" s="83"/>
      <c r="K84" s="83"/>
      <c r="L84" s="48"/>
      <c r="M84" s="48"/>
      <c r="N84" s="83"/>
      <c r="O84" s="83"/>
      <c r="P84" s="48"/>
      <c r="Q84" s="48"/>
      <c r="R84" s="53"/>
      <c r="S84" s="53"/>
      <c r="T84" s="53"/>
      <c r="U84" s="53"/>
      <c r="V84" s="53"/>
      <c r="W84" s="53"/>
      <c r="X84" s="53"/>
      <c r="Y84" s="53"/>
      <c r="Z84" s="53"/>
      <c r="AA84" s="49"/>
      <c r="AB84" s="421"/>
      <c r="AD84" s="345"/>
      <c r="AE84" s="346"/>
      <c r="AF84" s="345"/>
      <c r="AG84" s="345"/>
      <c r="AH84" s="335"/>
      <c r="AI84" s="338"/>
    </row>
    <row r="85" spans="1:35" ht="15.75" thickBot="1">
      <c r="A85" s="41" t="s">
        <v>160</v>
      </c>
      <c r="B85" s="42" t="s">
        <v>201</v>
      </c>
      <c r="C85" s="47"/>
      <c r="D85" s="47"/>
      <c r="E85" s="47"/>
      <c r="F85" s="47"/>
      <c r="G85" s="47"/>
      <c r="H85" s="47"/>
      <c r="I85" s="47"/>
      <c r="J85" s="47"/>
      <c r="K85" s="47"/>
      <c r="L85" s="47"/>
      <c r="M85" s="47"/>
      <c r="N85" s="47"/>
      <c r="O85" s="47"/>
      <c r="P85" s="47"/>
      <c r="Q85" s="47"/>
      <c r="R85" s="50">
        <f>('Anambra Workings'!R85+'Niger Workings'!R85)/2</f>
        <v>44</v>
      </c>
      <c r="S85" s="51">
        <f>('Anambra Workings'!S85+'Niger Workings'!S85)/2</f>
        <v>44</v>
      </c>
      <c r="T85" s="51">
        <f>('Anambra Workings'!T85+'Niger Workings'!T85)/2</f>
        <v>44</v>
      </c>
      <c r="U85" s="51">
        <f>('Anambra Workings'!U85+'Niger Workings'!U85)/2</f>
        <v>44</v>
      </c>
      <c r="V85" s="51">
        <f>('Anambra Workings'!V85+'Niger Workings'!V85)/2</f>
        <v>44</v>
      </c>
      <c r="W85" s="51">
        <f>('Anambra Workings'!W85+'Niger Workings'!W85)/2</f>
        <v>49</v>
      </c>
      <c r="X85" s="51">
        <f>('Anambra Workings'!X85+'Niger Workings'!X85)/2</f>
        <v>54</v>
      </c>
      <c r="Y85" s="50">
        <f>('Anambra Workings'!Y85+'Niger Workings'!Y85)/2</f>
        <v>59</v>
      </c>
      <c r="Z85" s="51">
        <f>('Anambra Workings'!Z85+'Niger Workings'!Z85)/2</f>
        <v>59</v>
      </c>
      <c r="AA85" s="38">
        <v>100</v>
      </c>
      <c r="AB85" s="457">
        <f>AA85/22</f>
        <v>4.5454545454545459</v>
      </c>
      <c r="AC85" s="340"/>
      <c r="AD85" s="451">
        <f>V85</f>
        <v>44</v>
      </c>
      <c r="AE85" s="346"/>
      <c r="AF85" s="453">
        <f t="shared" ref="AF85:AG86" si="27">IF($AG$1=16,R85,IF($AG$1=17,S85,IF($AG$1=18,T85,IF($AG$1=19,U85,IF($AG$1=20,V85,IF($AG$1=21,W85,IF($AG$1=22,X85,0)))))))</f>
        <v>49</v>
      </c>
      <c r="AG85" s="453">
        <f t="shared" si="27"/>
        <v>54</v>
      </c>
      <c r="AI85" s="338"/>
    </row>
    <row r="86" spans="1:35" s="340" customFormat="1" ht="15.75" thickBot="1">
      <c r="A86" s="45"/>
      <c r="B86" s="46" t="s">
        <v>200</v>
      </c>
      <c r="C86" s="47"/>
      <c r="D86" s="47"/>
      <c r="E86" s="47"/>
      <c r="F86" s="47"/>
      <c r="G86" s="47"/>
      <c r="H86" s="47"/>
      <c r="I86" s="47"/>
      <c r="J86" s="47"/>
      <c r="K86" s="47"/>
      <c r="L86" s="47"/>
      <c r="M86" s="47"/>
      <c r="N86" s="47"/>
      <c r="O86" s="47"/>
      <c r="P86" s="47"/>
      <c r="Q86" s="47"/>
      <c r="R86" s="52">
        <f>('Anambra Workings'!R86+'Niger Workings'!R86)/2</f>
        <v>44</v>
      </c>
      <c r="S86" s="52">
        <f>('Anambra Workings'!S86+'Niger Workings'!S86)/2</f>
        <v>44</v>
      </c>
      <c r="T86" s="52">
        <f>('Anambra Workings'!T86+'Niger Workings'!T86)/2</f>
        <v>44</v>
      </c>
      <c r="U86" s="52">
        <f>('Anambra Workings'!U86+'Niger Workings'!U86)/2</f>
        <v>44</v>
      </c>
      <c r="V86" s="52">
        <f>('Anambra Workings'!V86+'Niger Workings'!V86)/2</f>
        <v>44</v>
      </c>
      <c r="W86" s="70">
        <f>('Anambra Workings'!W86+'Niger Workings'!W86)/2</f>
        <v>44.000000000000007</v>
      </c>
      <c r="X86" s="70">
        <f>('Anambra Workings'!X86+'Niger Workings'!X86)/2</f>
        <v>43.333333333333336</v>
      </c>
      <c r="Y86" s="70">
        <f>('Anambra Workings'!Y86+'Niger Workings'!Y86)/2</f>
        <v>0</v>
      </c>
      <c r="Z86" s="70">
        <f>('Anambra Workings'!Z86+'Niger Workings'!Z86)/2</f>
        <v>0</v>
      </c>
      <c r="AA86" s="49"/>
      <c r="AB86" s="421"/>
      <c r="AD86" s="452">
        <f>V86</f>
        <v>44</v>
      </c>
      <c r="AE86" s="346"/>
      <c r="AF86" s="452">
        <f t="shared" si="27"/>
        <v>44.000000000000007</v>
      </c>
      <c r="AG86" s="452">
        <f t="shared" si="27"/>
        <v>43.333333333333336</v>
      </c>
      <c r="AH86" s="342">
        <f>AG86</f>
        <v>43.333333333333336</v>
      </c>
      <c r="AI86" s="342">
        <f>AG86</f>
        <v>43.333333333333336</v>
      </c>
    </row>
    <row r="87" spans="1:35" s="340" customFormat="1">
      <c r="A87" s="45"/>
      <c r="B87" s="46"/>
      <c r="C87" s="48"/>
      <c r="D87" s="422"/>
      <c r="E87" s="422"/>
      <c r="F87" s="422"/>
      <c r="G87" s="83"/>
      <c r="H87" s="83"/>
      <c r="I87" s="83"/>
      <c r="J87" s="83"/>
      <c r="K87" s="83"/>
      <c r="L87" s="48"/>
      <c r="M87" s="48"/>
      <c r="N87" s="83"/>
      <c r="O87" s="83"/>
      <c r="P87" s="48"/>
      <c r="Q87" s="48"/>
      <c r="R87" s="53"/>
      <c r="S87" s="53"/>
      <c r="T87" s="53"/>
      <c r="U87" s="53"/>
      <c r="V87" s="53"/>
      <c r="W87" s="53"/>
      <c r="X87" s="53"/>
      <c r="Y87" s="53"/>
      <c r="Z87" s="53"/>
      <c r="AA87" s="49"/>
      <c r="AB87" s="421"/>
      <c r="AD87" s="345"/>
      <c r="AE87" s="346"/>
      <c r="AF87" s="454"/>
      <c r="AG87" s="454"/>
      <c r="AH87" s="335"/>
      <c r="AI87" s="338"/>
    </row>
    <row r="88" spans="1:35" ht="15.75" thickBot="1">
      <c r="A88" s="41" t="s">
        <v>161</v>
      </c>
      <c r="B88" s="42" t="s">
        <v>198</v>
      </c>
      <c r="C88" s="47"/>
      <c r="D88" s="47"/>
      <c r="E88" s="47"/>
      <c r="F88" s="47"/>
      <c r="G88" s="47"/>
      <c r="H88" s="47"/>
      <c r="I88" s="47"/>
      <c r="J88" s="47"/>
      <c r="K88" s="47"/>
      <c r="L88" s="47"/>
      <c r="M88" s="47"/>
      <c r="N88" s="47"/>
      <c r="O88" s="47"/>
      <c r="P88" s="47"/>
      <c r="Q88" s="47"/>
      <c r="R88" s="50">
        <f>('Anambra Workings'!R88+'Niger Workings'!R88)/2</f>
        <v>71.5</v>
      </c>
      <c r="S88" s="51">
        <f>('Anambra Workings'!S88+'Niger Workings'!S88)/2</f>
        <v>71.5</v>
      </c>
      <c r="T88" s="51">
        <f>('Anambra Workings'!T88+'Niger Workings'!T88)/2</f>
        <v>71.5</v>
      </c>
      <c r="U88" s="51">
        <f>('Anambra Workings'!U88+'Niger Workings'!U88)/2</f>
        <v>71.5</v>
      </c>
      <c r="V88" s="51">
        <f>('Anambra Workings'!V88+'Niger Workings'!V88)/2</f>
        <v>71.5</v>
      </c>
      <c r="W88" s="51">
        <f>('Anambra Workings'!W88+'Niger Workings'!W88)/2</f>
        <v>73.833333333333343</v>
      </c>
      <c r="X88" s="51">
        <f>('Anambra Workings'!X88+'Niger Workings'!X88)/2</f>
        <v>76.166666666666671</v>
      </c>
      <c r="Y88" s="50">
        <f>('Anambra Workings'!Y88+'Niger Workings'!Y88)/2</f>
        <v>78.5</v>
      </c>
      <c r="Z88" s="51">
        <f>('Anambra Workings'!Z88+'Niger Workings'!Z88)/2</f>
        <v>78.5</v>
      </c>
      <c r="AA88" s="38">
        <v>100</v>
      </c>
      <c r="AB88" s="457">
        <f>AA88/22</f>
        <v>4.5454545454545459</v>
      </c>
      <c r="AC88" s="340"/>
      <c r="AD88" s="451">
        <f>V88</f>
        <v>71.5</v>
      </c>
      <c r="AE88" s="346"/>
      <c r="AF88" s="453">
        <f t="shared" ref="AF88:AG89" si="28">IF($AG$1=16,R88,IF($AG$1=17,S88,IF($AG$1=18,T88,IF($AG$1=19,U88,IF($AG$1=20,V88,IF($AG$1=21,W88,IF($AG$1=22,X88,0)))))))</f>
        <v>73.833333333333343</v>
      </c>
      <c r="AG88" s="453">
        <f t="shared" si="28"/>
        <v>76.166666666666671</v>
      </c>
      <c r="AI88" s="338"/>
    </row>
    <row r="89" spans="1:35" s="340" customFormat="1" ht="15.75" thickBot="1">
      <c r="A89" s="45"/>
      <c r="B89" s="46" t="s">
        <v>199</v>
      </c>
      <c r="C89" s="47"/>
      <c r="D89" s="47"/>
      <c r="E89" s="47"/>
      <c r="F89" s="47"/>
      <c r="G89" s="47"/>
      <c r="H89" s="47"/>
      <c r="I89" s="47"/>
      <c r="J89" s="47"/>
      <c r="K89" s="47"/>
      <c r="L89" s="47"/>
      <c r="M89" s="47"/>
      <c r="N89" s="47"/>
      <c r="O89" s="47"/>
      <c r="P89" s="47"/>
      <c r="Q89" s="47"/>
      <c r="R89" s="52">
        <f>('Anambra Workings'!R89+'Niger Workings'!R89)/2</f>
        <v>71.5</v>
      </c>
      <c r="S89" s="52">
        <f>('Anambra Workings'!S89+'Niger Workings'!S89)/2</f>
        <v>71.5</v>
      </c>
      <c r="T89" s="52">
        <f>('Anambra Workings'!T89+'Niger Workings'!T89)/2</f>
        <v>71.5</v>
      </c>
      <c r="U89" s="52">
        <f>('Anambra Workings'!U89+'Niger Workings'!U89)/2</f>
        <v>71.5</v>
      </c>
      <c r="V89" s="52">
        <f>('Anambra Workings'!V89+'Niger Workings'!V89)/2</f>
        <v>71.5</v>
      </c>
      <c r="W89" s="70">
        <f>('Anambra Workings'!W89+'Niger Workings'!W89)/2</f>
        <v>71.5</v>
      </c>
      <c r="X89" s="70">
        <f>('Anambra Workings'!X89+'Niger Workings'!X89)/2</f>
        <v>71.5</v>
      </c>
      <c r="Y89" s="70">
        <f>('Anambra Workings'!Y89+'Niger Workings'!Y89)/2</f>
        <v>0</v>
      </c>
      <c r="Z89" s="70">
        <f>('Anambra Workings'!Z89+'Niger Workings'!Z89)/2</f>
        <v>0</v>
      </c>
      <c r="AA89" s="49"/>
      <c r="AB89" s="421"/>
      <c r="AD89" s="452">
        <f>V89</f>
        <v>71.5</v>
      </c>
      <c r="AE89" s="346"/>
      <c r="AF89" s="452">
        <f t="shared" si="28"/>
        <v>71.5</v>
      </c>
      <c r="AG89" s="452">
        <f t="shared" si="28"/>
        <v>71.5</v>
      </c>
      <c r="AH89" s="342">
        <f>AG89</f>
        <v>71.5</v>
      </c>
      <c r="AI89" s="342">
        <f>AG89</f>
        <v>71.5</v>
      </c>
    </row>
    <row r="90" spans="1:35" s="340" customFormat="1">
      <c r="A90" s="45"/>
      <c r="B90" s="46"/>
      <c r="C90" s="48"/>
      <c r="D90" s="422"/>
      <c r="E90" s="422"/>
      <c r="F90" s="422"/>
      <c r="G90" s="83"/>
      <c r="H90" s="83"/>
      <c r="I90" s="83"/>
      <c r="J90" s="83"/>
      <c r="K90" s="83"/>
      <c r="L90" s="48"/>
      <c r="M90" s="48"/>
      <c r="N90" s="83"/>
      <c r="O90" s="83"/>
      <c r="P90" s="48"/>
      <c r="Q90" s="48"/>
      <c r="R90" s="53"/>
      <c r="S90" s="48"/>
      <c r="T90" s="48"/>
      <c r="U90" s="48"/>
      <c r="V90" s="48"/>
      <c r="W90" s="48"/>
      <c r="X90" s="48"/>
      <c r="Y90" s="48"/>
      <c r="Z90" s="48"/>
      <c r="AA90" s="49"/>
      <c r="AB90" s="421"/>
      <c r="AE90" s="335"/>
      <c r="AF90" s="343"/>
      <c r="AG90" s="343"/>
      <c r="AH90" s="335"/>
      <c r="AI90" s="338"/>
    </row>
    <row r="91" spans="1:35" ht="15.75" thickBot="1">
      <c r="A91" s="41" t="s">
        <v>40</v>
      </c>
      <c r="B91" s="42" t="s">
        <v>139</v>
      </c>
      <c r="C91" s="47"/>
      <c r="D91" s="47"/>
      <c r="E91" s="47"/>
      <c r="F91" s="47"/>
      <c r="G91" s="47"/>
      <c r="H91" s="47"/>
      <c r="I91" s="47"/>
      <c r="J91" s="47"/>
      <c r="K91" s="47"/>
      <c r="L91" s="47"/>
      <c r="M91" s="47"/>
      <c r="N91" s="47"/>
      <c r="O91" s="47"/>
      <c r="P91" s="47"/>
      <c r="Q91" s="47"/>
      <c r="R91" s="43">
        <f>('Anambra Workings'!R91+'Niger Workings'!R91)/2</f>
        <v>2.8</v>
      </c>
      <c r="S91" s="44">
        <f>('Anambra Workings'!S91+'Niger Workings'!S91)/2</f>
        <v>2.8</v>
      </c>
      <c r="T91" s="44">
        <f>('Anambra Workings'!T91+'Niger Workings'!T91)/2</f>
        <v>2.8</v>
      </c>
      <c r="U91" s="44">
        <f>('Anambra Workings'!U91+'Niger Workings'!U91)/2</f>
        <v>2.8</v>
      </c>
      <c r="V91" s="44">
        <f>('Anambra Workings'!V91+'Niger Workings'!V91)/2</f>
        <v>2.8</v>
      </c>
      <c r="W91" s="44">
        <f>('Anambra Workings'!W91+'Niger Workings'!W91)/2</f>
        <v>2.9333333333333336</v>
      </c>
      <c r="X91" s="44">
        <f>('Anambra Workings'!X91+'Niger Workings'!X91)/2</f>
        <v>3.0666666666666664</v>
      </c>
      <c r="Y91" s="43">
        <f>('Anambra Workings'!Y91+'Niger Workings'!Y91)/2</f>
        <v>3.2</v>
      </c>
      <c r="Z91" s="44">
        <f>('Anambra Workings'!Z91+'Niger Workings'!Z91)/2</f>
        <v>3.2</v>
      </c>
      <c r="AA91" s="38">
        <v>5</v>
      </c>
      <c r="AB91" s="420">
        <f>AA91/22</f>
        <v>0.22727272727272727</v>
      </c>
      <c r="AC91" s="340"/>
      <c r="AD91" s="450">
        <f>V91</f>
        <v>2.8</v>
      </c>
      <c r="AF91" s="339">
        <f t="shared" ref="AF91:AG92" si="29">IF($AG$1=16,R91,IF($AG$1=17,S91,IF($AG$1=18,T91,IF($AG$1=19,U91,IF($AG$1=20,V91,IF($AG$1=21,W91,IF($AG$1=22,X91,0)))))))</f>
        <v>2.9333333333333336</v>
      </c>
      <c r="AG91" s="339">
        <f t="shared" si="29"/>
        <v>3.0666666666666664</v>
      </c>
      <c r="AI91" s="338"/>
    </row>
    <row r="92" spans="1:35" s="340" customFormat="1" ht="15.75" thickBot="1">
      <c r="A92" s="45"/>
      <c r="B92" s="46" t="s">
        <v>140</v>
      </c>
      <c r="C92" s="47"/>
      <c r="D92" s="47"/>
      <c r="E92" s="47"/>
      <c r="F92" s="47"/>
      <c r="G92" s="47"/>
      <c r="H92" s="47"/>
      <c r="I92" s="47"/>
      <c r="J92" s="47"/>
      <c r="K92" s="47"/>
      <c r="L92" s="47"/>
      <c r="M92" s="47"/>
      <c r="N92" s="47"/>
      <c r="O92" s="47"/>
      <c r="P92" s="47"/>
      <c r="Q92" s="47"/>
      <c r="R92" s="47">
        <f>('Anambra Workings'!R92+'Niger Workings'!R92)/2</f>
        <v>2.8</v>
      </c>
      <c r="S92" s="47">
        <f>('Anambra Workings'!S92+'Niger Workings'!S92)/2</f>
        <v>2.8</v>
      </c>
      <c r="T92" s="47">
        <f>('Anambra Workings'!T92+'Niger Workings'!T92)/2</f>
        <v>2.8</v>
      </c>
      <c r="U92" s="47">
        <f>('Anambra Workings'!U92+'Niger Workings'!U92)/2</f>
        <v>2.8</v>
      </c>
      <c r="V92" s="47">
        <f>('Anambra Workings'!V92+'Niger Workings'!V92)/2</f>
        <v>2.8</v>
      </c>
      <c r="W92" s="69">
        <f>('Anambra Workings'!W92+'Niger Workings'!W92)/2</f>
        <v>2.95</v>
      </c>
      <c r="X92" s="69">
        <f>('Anambra Workings'!X92+'Niger Workings'!X92)/2</f>
        <v>3.0999999999999996</v>
      </c>
      <c r="Y92" s="69">
        <f>('Anambra Workings'!Y92+'Niger Workings'!Y92)/2</f>
        <v>0</v>
      </c>
      <c r="Z92" s="69">
        <f>('Anambra Workings'!Z92+'Niger Workings'!Z92)/2</f>
        <v>0</v>
      </c>
      <c r="AA92" s="49"/>
      <c r="AB92" s="421"/>
      <c r="AD92" s="341">
        <f>V92</f>
        <v>2.8</v>
      </c>
      <c r="AE92" s="335"/>
      <c r="AF92" s="341">
        <f t="shared" si="29"/>
        <v>2.95</v>
      </c>
      <c r="AG92" s="341">
        <f t="shared" si="29"/>
        <v>3.0999999999999996</v>
      </c>
      <c r="AH92" s="342">
        <f>AG92</f>
        <v>3.0999999999999996</v>
      </c>
      <c r="AI92" s="342">
        <f>AG92</f>
        <v>3.0999999999999996</v>
      </c>
    </row>
    <row r="93" spans="1:35" s="340" customFormat="1">
      <c r="A93" s="45"/>
      <c r="B93" s="46"/>
      <c r="C93" s="48"/>
      <c r="D93" s="422"/>
      <c r="E93" s="422"/>
      <c r="F93" s="422"/>
      <c r="G93" s="83"/>
      <c r="H93" s="83"/>
      <c r="I93" s="83"/>
      <c r="J93" s="83"/>
      <c r="K93" s="83"/>
      <c r="L93" s="48"/>
      <c r="M93" s="48"/>
      <c r="N93" s="83"/>
      <c r="O93" s="83"/>
      <c r="P93" s="48"/>
      <c r="Q93" s="48"/>
      <c r="R93" s="48"/>
      <c r="S93" s="48"/>
      <c r="T93" s="48"/>
      <c r="U93" s="48"/>
      <c r="V93" s="48"/>
      <c r="W93" s="48"/>
      <c r="X93" s="48"/>
      <c r="Y93" s="48"/>
      <c r="Z93" s="48"/>
      <c r="AA93" s="49"/>
      <c r="AB93" s="421"/>
      <c r="AE93" s="335"/>
      <c r="AF93" s="343"/>
      <c r="AG93" s="343"/>
      <c r="AH93" s="335"/>
      <c r="AI93" s="338"/>
    </row>
    <row r="94" spans="1:35" ht="15.75" thickBot="1">
      <c r="A94" s="41" t="s">
        <v>32</v>
      </c>
      <c r="B94" s="42" t="s">
        <v>139</v>
      </c>
      <c r="C94" s="47"/>
      <c r="D94" s="47"/>
      <c r="E94" s="47"/>
      <c r="F94" s="47"/>
      <c r="G94" s="47"/>
      <c r="H94" s="47"/>
      <c r="I94" s="47"/>
      <c r="J94" s="47"/>
      <c r="K94" s="47"/>
      <c r="L94" s="47"/>
      <c r="M94" s="47"/>
      <c r="N94" s="47"/>
      <c r="O94" s="47"/>
      <c r="P94" s="47"/>
      <c r="Q94" s="47"/>
      <c r="R94" s="43">
        <f>('Anambra Workings'!R94+'Niger Workings'!R94)/2</f>
        <v>1.25</v>
      </c>
      <c r="S94" s="44">
        <f>('Anambra Workings'!S94+'Niger Workings'!S94)/2</f>
        <v>1.25</v>
      </c>
      <c r="T94" s="44">
        <f>('Anambra Workings'!T94+'Niger Workings'!T94)/2</f>
        <v>1.25</v>
      </c>
      <c r="U94" s="44">
        <f>('Anambra Workings'!U94+'Niger Workings'!U94)/2</f>
        <v>1.25</v>
      </c>
      <c r="V94" s="44">
        <f>('Anambra Workings'!V94+'Niger Workings'!V94)/2</f>
        <v>1.25</v>
      </c>
      <c r="W94" s="44">
        <f>('Anambra Workings'!W94+'Niger Workings'!W94)/2</f>
        <v>1.5166666666666666</v>
      </c>
      <c r="X94" s="44">
        <f>('Anambra Workings'!X94+'Niger Workings'!X94)/2</f>
        <v>1.7833333333333332</v>
      </c>
      <c r="Y94" s="43">
        <f>('Anambra Workings'!Y94+'Niger Workings'!Y94)/2</f>
        <v>2.0499999999999998</v>
      </c>
      <c r="Z94" s="44">
        <f>('Anambra Workings'!Z94+'Niger Workings'!Z94)/2</f>
        <v>2.0499999999999998</v>
      </c>
      <c r="AA94" s="38">
        <v>5</v>
      </c>
      <c r="AB94" s="420">
        <f>AA94/22</f>
        <v>0.22727272727272727</v>
      </c>
      <c r="AC94" s="340"/>
      <c r="AD94" s="450">
        <f>V94</f>
        <v>1.25</v>
      </c>
      <c r="AF94" s="339">
        <f t="shared" ref="AF94:AG95" si="30">IF($AG$1=16,R94,IF($AG$1=17,S94,IF($AG$1=18,T94,IF($AG$1=19,U94,IF($AG$1=20,V94,IF($AG$1=21,W94,IF($AG$1=22,X94,0)))))))</f>
        <v>1.5166666666666666</v>
      </c>
      <c r="AG94" s="339">
        <f t="shared" si="30"/>
        <v>1.7833333333333332</v>
      </c>
      <c r="AI94" s="338"/>
    </row>
    <row r="95" spans="1:35" s="340" customFormat="1" ht="15.75" thickBot="1">
      <c r="A95" s="45"/>
      <c r="B95" s="46" t="s">
        <v>140</v>
      </c>
      <c r="C95" s="47"/>
      <c r="D95" s="47"/>
      <c r="E95" s="47"/>
      <c r="F95" s="47"/>
      <c r="G95" s="47"/>
      <c r="H95" s="47"/>
      <c r="I95" s="47"/>
      <c r="J95" s="47"/>
      <c r="K95" s="47"/>
      <c r="L95" s="47"/>
      <c r="M95" s="47"/>
      <c r="N95" s="47"/>
      <c r="O95" s="47"/>
      <c r="P95" s="47"/>
      <c r="Q95" s="47"/>
      <c r="R95" s="47">
        <f>('Anambra Workings'!R95+'Niger Workings'!R95)/2</f>
        <v>1.25</v>
      </c>
      <c r="S95" s="47">
        <f>('Anambra Workings'!S95+'Niger Workings'!S95)/2</f>
        <v>1.25</v>
      </c>
      <c r="T95" s="47">
        <f>('Anambra Workings'!T95+'Niger Workings'!T95)/2</f>
        <v>1.25</v>
      </c>
      <c r="U95" s="47">
        <f>('Anambra Workings'!U95+'Niger Workings'!U95)/2</f>
        <v>1.25</v>
      </c>
      <c r="V95" s="47">
        <f>('Anambra Workings'!V95+'Niger Workings'!V95)/2</f>
        <v>1.25</v>
      </c>
      <c r="W95" s="69">
        <f>('Anambra Workings'!W95+'Niger Workings'!W95)/2</f>
        <v>2</v>
      </c>
      <c r="X95" s="69">
        <f>('Anambra Workings'!X95+'Niger Workings'!X95)/2</f>
        <v>2.2999999999999998</v>
      </c>
      <c r="Y95" s="69">
        <f>('Anambra Workings'!Y95+'Niger Workings'!Y95)/2</f>
        <v>0</v>
      </c>
      <c r="Z95" s="69">
        <f>('Anambra Workings'!Z95+'Niger Workings'!Z95)/2</f>
        <v>0</v>
      </c>
      <c r="AA95" s="49"/>
      <c r="AB95" s="421"/>
      <c r="AD95" s="341">
        <f>V95</f>
        <v>1.25</v>
      </c>
      <c r="AE95" s="335"/>
      <c r="AF95" s="341">
        <f t="shared" si="30"/>
        <v>2</v>
      </c>
      <c r="AG95" s="341">
        <f t="shared" si="30"/>
        <v>2.2999999999999998</v>
      </c>
      <c r="AH95" s="342">
        <f>AG95</f>
        <v>2.2999999999999998</v>
      </c>
      <c r="AI95" s="342">
        <f>AG95</f>
        <v>2.2999999999999998</v>
      </c>
    </row>
    <row r="96" spans="1:35" s="340" customFormat="1">
      <c r="A96" s="45"/>
      <c r="B96" s="46"/>
      <c r="C96" s="48"/>
      <c r="D96" s="422"/>
      <c r="E96" s="422"/>
      <c r="F96" s="422"/>
      <c r="G96" s="83"/>
      <c r="H96" s="83"/>
      <c r="I96" s="83"/>
      <c r="J96" s="83"/>
      <c r="K96" s="83"/>
      <c r="L96" s="48"/>
      <c r="M96" s="48"/>
      <c r="N96" s="83"/>
      <c r="O96" s="83"/>
      <c r="P96" s="48"/>
      <c r="Q96" s="48"/>
      <c r="R96" s="48"/>
      <c r="S96" s="48"/>
      <c r="T96" s="48"/>
      <c r="U96" s="48"/>
      <c r="V96" s="48"/>
      <c r="W96" s="48"/>
      <c r="X96" s="48"/>
      <c r="Y96" s="48"/>
      <c r="Z96" s="48"/>
      <c r="AA96" s="49"/>
      <c r="AB96" s="421"/>
      <c r="AE96" s="335"/>
      <c r="AF96" s="343"/>
      <c r="AG96" s="343"/>
      <c r="AH96" s="335"/>
      <c r="AI96" s="338"/>
    </row>
    <row r="97" spans="1:35" ht="15.75" thickBot="1">
      <c r="A97" s="41" t="s">
        <v>33</v>
      </c>
      <c r="B97" s="42" t="s">
        <v>139</v>
      </c>
      <c r="C97" s="47"/>
      <c r="D97" s="47"/>
      <c r="E97" s="47"/>
      <c r="F97" s="47"/>
      <c r="G97" s="47"/>
      <c r="H97" s="47"/>
      <c r="I97" s="47"/>
      <c r="J97" s="47"/>
      <c r="K97" s="47"/>
      <c r="L97" s="47"/>
      <c r="M97" s="47"/>
      <c r="N97" s="47"/>
      <c r="O97" s="47"/>
      <c r="P97" s="47"/>
      <c r="Q97" s="47"/>
      <c r="R97" s="43">
        <f>('Anambra Workings'!R97+'Niger Workings'!R97)/2</f>
        <v>1.8</v>
      </c>
      <c r="S97" s="44">
        <f>('Anambra Workings'!S97+'Niger Workings'!S97)/2</f>
        <v>1.8</v>
      </c>
      <c r="T97" s="44">
        <f>('Anambra Workings'!T97+'Niger Workings'!T97)/2</f>
        <v>1.8</v>
      </c>
      <c r="U97" s="44">
        <f>('Anambra Workings'!U97+'Niger Workings'!U97)/2</f>
        <v>1.8</v>
      </c>
      <c r="V97" s="44">
        <f>('Anambra Workings'!V97+'Niger Workings'!V97)/2</f>
        <v>1.8</v>
      </c>
      <c r="W97" s="44">
        <f>('Anambra Workings'!W97+'Niger Workings'!W97)/2</f>
        <v>2.1833333333333336</v>
      </c>
      <c r="X97" s="44">
        <f>('Anambra Workings'!X97+'Niger Workings'!X97)/2</f>
        <v>2.5666666666666669</v>
      </c>
      <c r="Y97" s="43">
        <f>('Anambra Workings'!Y97+'Niger Workings'!Y97)/2</f>
        <v>2.95</v>
      </c>
      <c r="Z97" s="44">
        <f>('Anambra Workings'!Z97+'Niger Workings'!Z97)/2</f>
        <v>2.95</v>
      </c>
      <c r="AA97" s="38">
        <v>5</v>
      </c>
      <c r="AB97" s="420">
        <f>AA97/22</f>
        <v>0.22727272727272727</v>
      </c>
      <c r="AC97" s="340"/>
      <c r="AD97" s="450">
        <f>V97</f>
        <v>1.8</v>
      </c>
      <c r="AF97" s="339">
        <f t="shared" ref="AF97:AG98" si="31">IF($AG$1=16,R97,IF($AG$1=17,S97,IF($AG$1=18,T97,IF($AG$1=19,U97,IF($AG$1=20,V97,IF($AG$1=21,W97,IF($AG$1=22,X97,0)))))))</f>
        <v>2.1833333333333336</v>
      </c>
      <c r="AG97" s="339">
        <f t="shared" si="31"/>
        <v>2.5666666666666669</v>
      </c>
      <c r="AI97" s="338"/>
    </row>
    <row r="98" spans="1:35" s="340" customFormat="1" ht="15.75" thickBot="1">
      <c r="A98" s="45"/>
      <c r="B98" s="46" t="s">
        <v>140</v>
      </c>
      <c r="C98" s="47"/>
      <c r="D98" s="47"/>
      <c r="E98" s="47"/>
      <c r="F98" s="47"/>
      <c r="G98" s="47"/>
      <c r="H98" s="47"/>
      <c r="I98" s="47"/>
      <c r="J98" s="47"/>
      <c r="K98" s="47"/>
      <c r="L98" s="47"/>
      <c r="M98" s="47"/>
      <c r="N98" s="47"/>
      <c r="O98" s="47"/>
      <c r="P98" s="47"/>
      <c r="Q98" s="47"/>
      <c r="R98" s="47">
        <f>('Anambra Workings'!R98+'Niger Workings'!R98)/2</f>
        <v>1.8</v>
      </c>
      <c r="S98" s="47">
        <f>('Anambra Workings'!S98+'Niger Workings'!S98)/2</f>
        <v>1.8</v>
      </c>
      <c r="T98" s="47">
        <f>('Anambra Workings'!T98+'Niger Workings'!T98)/2</f>
        <v>1.8</v>
      </c>
      <c r="U98" s="47">
        <f>('Anambra Workings'!U98+'Niger Workings'!U98)/2</f>
        <v>1.8</v>
      </c>
      <c r="V98" s="47">
        <f>('Anambra Workings'!V98+'Niger Workings'!V98)/2</f>
        <v>1.8</v>
      </c>
      <c r="W98" s="69">
        <f>('Anambra Workings'!W98+'Niger Workings'!W98)/2</f>
        <v>2.9</v>
      </c>
      <c r="X98" s="69">
        <f>('Anambra Workings'!X98+'Niger Workings'!X98)/2</f>
        <v>3.15</v>
      </c>
      <c r="Y98" s="69">
        <f>('Anambra Workings'!Y98+'Niger Workings'!Y98)/2</f>
        <v>0</v>
      </c>
      <c r="Z98" s="69">
        <f>('Anambra Workings'!Z98+'Niger Workings'!Z98)/2</f>
        <v>0</v>
      </c>
      <c r="AA98" s="49"/>
      <c r="AB98" s="421"/>
      <c r="AD98" s="341">
        <f>V98</f>
        <v>1.8</v>
      </c>
      <c r="AE98" s="335"/>
      <c r="AF98" s="341">
        <f t="shared" si="31"/>
        <v>2.9</v>
      </c>
      <c r="AG98" s="341">
        <f t="shared" si="31"/>
        <v>3.15</v>
      </c>
      <c r="AH98" s="342">
        <f>AG98</f>
        <v>3.15</v>
      </c>
      <c r="AI98" s="342">
        <f>AG98</f>
        <v>3.15</v>
      </c>
    </row>
    <row r="99" spans="1:35" s="340" customFormat="1">
      <c r="A99" s="45"/>
      <c r="B99" s="46"/>
      <c r="C99" s="48"/>
      <c r="D99" s="422"/>
      <c r="E99" s="422"/>
      <c r="F99" s="422"/>
      <c r="G99" s="83"/>
      <c r="H99" s="83"/>
      <c r="I99" s="83"/>
      <c r="J99" s="83"/>
      <c r="K99" s="83"/>
      <c r="L99" s="48"/>
      <c r="M99" s="48"/>
      <c r="N99" s="83"/>
      <c r="O99" s="83"/>
      <c r="P99" s="48"/>
      <c r="Q99" s="48"/>
      <c r="R99" s="48"/>
      <c r="S99" s="48"/>
      <c r="T99" s="48"/>
      <c r="U99" s="48"/>
      <c r="V99" s="48"/>
      <c r="W99" s="48"/>
      <c r="X99" s="48"/>
      <c r="Y99" s="48"/>
      <c r="Z99" s="48"/>
      <c r="AA99" s="49"/>
      <c r="AB99" s="421"/>
      <c r="AE99" s="335"/>
      <c r="AF99" s="343"/>
      <c r="AG99" s="343"/>
      <c r="AH99" s="335"/>
      <c r="AI99" s="338"/>
    </row>
    <row r="100" spans="1:35" ht="15.75" thickBot="1">
      <c r="A100" s="41" t="s">
        <v>34</v>
      </c>
      <c r="B100" s="42" t="s">
        <v>139</v>
      </c>
      <c r="C100" s="47"/>
      <c r="D100" s="47"/>
      <c r="E100" s="47"/>
      <c r="F100" s="47"/>
      <c r="G100" s="47"/>
      <c r="H100" s="47"/>
      <c r="I100" s="47"/>
      <c r="J100" s="47"/>
      <c r="K100" s="47"/>
      <c r="L100" s="47"/>
      <c r="M100" s="47"/>
      <c r="N100" s="47"/>
      <c r="O100" s="47"/>
      <c r="P100" s="47"/>
      <c r="Q100" s="47"/>
      <c r="R100" s="43">
        <f>('Anambra Workings'!R100+'Niger Workings'!R100)/2</f>
        <v>1.1000000000000001</v>
      </c>
      <c r="S100" s="44">
        <f>('Anambra Workings'!S100+'Niger Workings'!S100)/2</f>
        <v>1.1000000000000001</v>
      </c>
      <c r="T100" s="44">
        <f>('Anambra Workings'!T100+'Niger Workings'!T100)/2</f>
        <v>1.1000000000000001</v>
      </c>
      <c r="U100" s="44">
        <f>('Anambra Workings'!U100+'Niger Workings'!U100)/2</f>
        <v>1.1000000000000001</v>
      </c>
      <c r="V100" s="44">
        <f>('Anambra Workings'!V100+'Niger Workings'!V100)/2</f>
        <v>1.1000000000000001</v>
      </c>
      <c r="W100" s="44">
        <f>('Anambra Workings'!W100+'Niger Workings'!W100)/2</f>
        <v>1.35</v>
      </c>
      <c r="X100" s="44">
        <f>('Anambra Workings'!X100+'Niger Workings'!X100)/2</f>
        <v>1.6</v>
      </c>
      <c r="Y100" s="43">
        <f>('Anambra Workings'!Y100+'Niger Workings'!Y100)/2</f>
        <v>1.85</v>
      </c>
      <c r="Z100" s="44">
        <f>('Anambra Workings'!Z100+'Niger Workings'!Z100)/2</f>
        <v>1.85</v>
      </c>
      <c r="AA100" s="38">
        <v>5</v>
      </c>
      <c r="AB100" s="420">
        <f>AA100/22</f>
        <v>0.22727272727272727</v>
      </c>
      <c r="AC100" s="340"/>
      <c r="AD100" s="450">
        <f>V100</f>
        <v>1.1000000000000001</v>
      </c>
      <c r="AF100" s="339">
        <f t="shared" ref="AF100:AG101" si="32">IF($AG$1=16,R100,IF($AG$1=17,S100,IF($AG$1=18,T100,IF($AG$1=19,U100,IF($AG$1=20,V100,IF($AG$1=21,W100,IF($AG$1=22,X100,0)))))))</f>
        <v>1.35</v>
      </c>
      <c r="AG100" s="339">
        <f t="shared" si="32"/>
        <v>1.6</v>
      </c>
      <c r="AI100" s="338"/>
    </row>
    <row r="101" spans="1:35" s="340" customFormat="1" ht="15.75" thickBot="1">
      <c r="A101" s="45"/>
      <c r="B101" s="46" t="s">
        <v>140</v>
      </c>
      <c r="C101" s="47"/>
      <c r="D101" s="47"/>
      <c r="E101" s="47"/>
      <c r="F101" s="47"/>
      <c r="G101" s="47"/>
      <c r="H101" s="47"/>
      <c r="I101" s="47"/>
      <c r="J101" s="47"/>
      <c r="K101" s="47"/>
      <c r="L101" s="47"/>
      <c r="M101" s="47"/>
      <c r="N101" s="47"/>
      <c r="O101" s="47"/>
      <c r="P101" s="47"/>
      <c r="Q101" s="47"/>
      <c r="R101" s="47">
        <f>('Anambra Workings'!R101+'Niger Workings'!R101)/2</f>
        <v>1.1000000000000001</v>
      </c>
      <c r="S101" s="47">
        <f>('Anambra Workings'!S101+'Niger Workings'!S101)/2</f>
        <v>1.1000000000000001</v>
      </c>
      <c r="T101" s="47">
        <f>('Anambra Workings'!T101+'Niger Workings'!T101)/2</f>
        <v>1.1000000000000001</v>
      </c>
      <c r="U101" s="47">
        <f>('Anambra Workings'!U101+'Niger Workings'!U101)/2</f>
        <v>1.1000000000000001</v>
      </c>
      <c r="V101" s="47">
        <f>('Anambra Workings'!V101+'Niger Workings'!V101)/2</f>
        <v>1.1000000000000001</v>
      </c>
      <c r="W101" s="69">
        <f>('Anambra Workings'!W101+'Niger Workings'!W101)/2</f>
        <v>1.8</v>
      </c>
      <c r="X101" s="69">
        <f>('Anambra Workings'!X101+'Niger Workings'!X101)/2</f>
        <v>1.95</v>
      </c>
      <c r="Y101" s="69">
        <f>('Anambra Workings'!Y101+'Niger Workings'!Y101)/2</f>
        <v>0</v>
      </c>
      <c r="Z101" s="69">
        <f>('Anambra Workings'!Z101+'Niger Workings'!Z101)/2</f>
        <v>0</v>
      </c>
      <c r="AA101" s="49"/>
      <c r="AB101" s="421"/>
      <c r="AD101" s="341">
        <f>V101</f>
        <v>1.1000000000000001</v>
      </c>
      <c r="AE101" s="335"/>
      <c r="AF101" s="341">
        <f t="shared" si="32"/>
        <v>1.8</v>
      </c>
      <c r="AG101" s="341">
        <f t="shared" si="32"/>
        <v>1.95</v>
      </c>
      <c r="AH101" s="342">
        <f>AG101</f>
        <v>1.95</v>
      </c>
      <c r="AI101" s="342">
        <f>AG101</f>
        <v>1.95</v>
      </c>
    </row>
    <row r="102" spans="1:35" s="340" customFormat="1">
      <c r="A102" s="45"/>
      <c r="B102" s="46"/>
      <c r="C102" s="48"/>
      <c r="D102" s="422"/>
      <c r="E102" s="422"/>
      <c r="F102" s="422"/>
      <c r="G102" s="83"/>
      <c r="H102" s="83"/>
      <c r="I102" s="83"/>
      <c r="J102" s="83"/>
      <c r="K102" s="83"/>
      <c r="L102" s="48"/>
      <c r="M102" s="48"/>
      <c r="N102" s="83"/>
      <c r="O102" s="83"/>
      <c r="P102" s="48"/>
      <c r="Q102" s="48"/>
      <c r="R102" s="48"/>
      <c r="S102" s="48"/>
      <c r="T102" s="48"/>
      <c r="U102" s="48"/>
      <c r="V102" s="48"/>
      <c r="W102" s="48"/>
      <c r="X102" s="48"/>
      <c r="Y102" s="48"/>
      <c r="Z102" s="48"/>
      <c r="AA102" s="49"/>
      <c r="AB102" s="421"/>
      <c r="AE102" s="335"/>
      <c r="AF102" s="343"/>
      <c r="AG102" s="343"/>
      <c r="AH102" s="335"/>
      <c r="AI102" s="338"/>
    </row>
    <row r="103" spans="1:35" ht="15.75" thickBot="1">
      <c r="A103" s="41" t="s">
        <v>41</v>
      </c>
      <c r="B103" s="42" t="s">
        <v>139</v>
      </c>
      <c r="C103" s="47"/>
      <c r="D103" s="47"/>
      <c r="E103" s="47"/>
      <c r="F103" s="47"/>
      <c r="G103" s="47"/>
      <c r="H103" s="47"/>
      <c r="I103" s="47"/>
      <c r="J103" s="47"/>
      <c r="K103" s="47"/>
      <c r="L103" s="47"/>
      <c r="M103" s="47"/>
      <c r="N103" s="47"/>
      <c r="O103" s="47"/>
      <c r="P103" s="47"/>
      <c r="Q103" s="47"/>
      <c r="R103" s="43">
        <f>('Anambra Workings'!R103+'Niger Workings'!R103)/2</f>
        <v>1.25</v>
      </c>
      <c r="S103" s="44">
        <f>('Anambra Workings'!S103+'Niger Workings'!S103)/2</f>
        <v>1.25</v>
      </c>
      <c r="T103" s="44">
        <f>('Anambra Workings'!T103+'Niger Workings'!T103)/2</f>
        <v>1.25</v>
      </c>
      <c r="U103" s="44">
        <f>('Anambra Workings'!U103+'Niger Workings'!U103)/2</f>
        <v>1.25</v>
      </c>
      <c r="V103" s="44">
        <f>('Anambra Workings'!V103+'Niger Workings'!V103)/2</f>
        <v>1.25</v>
      </c>
      <c r="W103" s="44">
        <f>('Anambra Workings'!W103+'Niger Workings'!W103)/2</f>
        <v>1.4333333333333333</v>
      </c>
      <c r="X103" s="44">
        <f>('Anambra Workings'!X103+'Niger Workings'!X103)/2</f>
        <v>1.6166666666666667</v>
      </c>
      <c r="Y103" s="43">
        <f>('Anambra Workings'!Y103+'Niger Workings'!Y103)/2</f>
        <v>1.8</v>
      </c>
      <c r="Z103" s="44">
        <f>('Anambra Workings'!Z103+'Niger Workings'!Z103)/2</f>
        <v>1.8</v>
      </c>
      <c r="AA103" s="38">
        <v>5</v>
      </c>
      <c r="AB103" s="420">
        <f>AA103/22</f>
        <v>0.22727272727272727</v>
      </c>
      <c r="AC103" s="340"/>
      <c r="AD103" s="450">
        <f>V103</f>
        <v>1.25</v>
      </c>
      <c r="AF103" s="339">
        <f t="shared" ref="AF103:AG104" si="33">IF($AG$1=16,R103,IF($AG$1=17,S103,IF($AG$1=18,T103,IF($AG$1=19,U103,IF($AG$1=20,V103,IF($AG$1=21,W103,IF($AG$1=22,X103,0)))))))</f>
        <v>1.4333333333333333</v>
      </c>
      <c r="AG103" s="339">
        <f t="shared" si="33"/>
        <v>1.6166666666666667</v>
      </c>
      <c r="AI103" s="338"/>
    </row>
    <row r="104" spans="1:35" s="340" customFormat="1" ht="15.75" thickBot="1">
      <c r="A104" s="45"/>
      <c r="B104" s="46" t="s">
        <v>140</v>
      </c>
      <c r="C104" s="47"/>
      <c r="D104" s="47"/>
      <c r="E104" s="47"/>
      <c r="F104" s="47"/>
      <c r="G104" s="47"/>
      <c r="H104" s="47"/>
      <c r="I104" s="47"/>
      <c r="J104" s="47"/>
      <c r="K104" s="47"/>
      <c r="L104" s="47"/>
      <c r="M104" s="47"/>
      <c r="N104" s="47"/>
      <c r="O104" s="47"/>
      <c r="P104" s="47"/>
      <c r="Q104" s="47"/>
      <c r="R104" s="47">
        <f>('Anambra Workings'!R104+'Niger Workings'!R104)/2</f>
        <v>1.25</v>
      </c>
      <c r="S104" s="47">
        <f>('Anambra Workings'!S104+'Niger Workings'!S104)/2</f>
        <v>1.25</v>
      </c>
      <c r="T104" s="47">
        <f>('Anambra Workings'!T104+'Niger Workings'!T104)/2</f>
        <v>1.25</v>
      </c>
      <c r="U104" s="47">
        <f>('Anambra Workings'!U104+'Niger Workings'!U104)/2</f>
        <v>1.25</v>
      </c>
      <c r="V104" s="47">
        <f>('Anambra Workings'!V104+'Niger Workings'!V104)/2</f>
        <v>1.25</v>
      </c>
      <c r="W104" s="69">
        <f>('Anambra Workings'!W104+'Niger Workings'!W104)/2</f>
        <v>1.7</v>
      </c>
      <c r="X104" s="69">
        <f>('Anambra Workings'!X104+'Niger Workings'!X104)/2</f>
        <v>2</v>
      </c>
      <c r="Y104" s="69">
        <f>('Anambra Workings'!Y104+'Niger Workings'!Y104)/2</f>
        <v>0</v>
      </c>
      <c r="Z104" s="69">
        <f>('Anambra Workings'!Z104+'Niger Workings'!Z104)/2</f>
        <v>0</v>
      </c>
      <c r="AA104" s="49"/>
      <c r="AB104" s="421"/>
      <c r="AD104" s="341">
        <f>V104</f>
        <v>1.25</v>
      </c>
      <c r="AE104" s="335"/>
      <c r="AF104" s="341">
        <f t="shared" si="33"/>
        <v>1.7</v>
      </c>
      <c r="AG104" s="341">
        <f t="shared" si="33"/>
        <v>2</v>
      </c>
      <c r="AH104" s="342">
        <f>AG104</f>
        <v>2</v>
      </c>
      <c r="AI104" s="342">
        <f>AG104</f>
        <v>2</v>
      </c>
    </row>
    <row r="105" spans="1:35" s="340" customFormat="1">
      <c r="A105" s="45"/>
      <c r="B105" s="46"/>
      <c r="C105" s="48"/>
      <c r="D105" s="422"/>
      <c r="E105" s="422"/>
      <c r="F105" s="422"/>
      <c r="G105" s="83"/>
      <c r="H105" s="83"/>
      <c r="I105" s="83"/>
      <c r="J105" s="83"/>
      <c r="K105" s="83"/>
      <c r="L105" s="48"/>
      <c r="M105" s="48"/>
      <c r="N105" s="83"/>
      <c r="O105" s="83"/>
      <c r="P105" s="48"/>
      <c r="Q105" s="48"/>
      <c r="R105" s="53"/>
      <c r="S105" s="48"/>
      <c r="T105" s="48"/>
      <c r="U105" s="48"/>
      <c r="V105" s="48"/>
      <c r="W105" s="48"/>
      <c r="X105" s="48"/>
      <c r="Y105" s="48"/>
      <c r="Z105" s="48"/>
      <c r="AA105" s="49"/>
      <c r="AB105" s="421"/>
      <c r="AE105" s="335"/>
      <c r="AF105" s="343"/>
      <c r="AG105" s="343"/>
      <c r="AH105" s="335"/>
      <c r="AI105" s="338"/>
    </row>
    <row r="106" spans="1:35" ht="15.75" thickBot="1">
      <c r="A106" s="41" t="s">
        <v>181</v>
      </c>
      <c r="B106" s="42" t="s">
        <v>204</v>
      </c>
      <c r="C106" s="47"/>
      <c r="D106" s="47"/>
      <c r="E106" s="47"/>
      <c r="F106" s="47"/>
      <c r="G106" s="47"/>
      <c r="H106" s="47"/>
      <c r="I106" s="47"/>
      <c r="J106" s="47"/>
      <c r="K106" s="47"/>
      <c r="L106" s="47"/>
      <c r="M106" s="47"/>
      <c r="N106" s="47"/>
      <c r="O106" s="47"/>
      <c r="P106" s="47"/>
      <c r="Q106" s="47"/>
      <c r="R106" s="50">
        <f>('Anambra Workings'!R106+'Niger Workings'!R106)</f>
        <v>2</v>
      </c>
      <c r="S106" s="51">
        <f>('Anambra Workings'!S106+'Niger Workings'!S106)</f>
        <v>2</v>
      </c>
      <c r="T106" s="51">
        <f>('Anambra Workings'!T106+'Niger Workings'!T106)</f>
        <v>2</v>
      </c>
      <c r="U106" s="51">
        <f>('Anambra Workings'!U106+'Niger Workings'!U106)</f>
        <v>2</v>
      </c>
      <c r="V106" s="51">
        <f>('Anambra Workings'!V106+'Niger Workings'!V106)</f>
        <v>2</v>
      </c>
      <c r="W106" s="51">
        <f>('Anambra Workings'!W106+'Niger Workings'!W106)</f>
        <v>3.6666666666666665</v>
      </c>
      <c r="X106" s="51">
        <f>('Anambra Workings'!X106+'Niger Workings'!X106)</f>
        <v>5.333333333333333</v>
      </c>
      <c r="Y106" s="50">
        <f>('Anambra Workings'!Y106+'Niger Workings'!Y106)</f>
        <v>7</v>
      </c>
      <c r="Z106" s="51">
        <f>('Anambra Workings'!Z106+'Niger Workings'!Z106)</f>
        <v>7</v>
      </c>
      <c r="AA106" s="38">
        <f>'Niger Workings'!AA106*3</f>
        <v>60</v>
      </c>
      <c r="AB106" s="457">
        <f>AA106/22</f>
        <v>2.7272727272727271</v>
      </c>
      <c r="AC106" s="340"/>
      <c r="AD106" s="451">
        <f>V106</f>
        <v>2</v>
      </c>
      <c r="AE106" s="346"/>
      <c r="AF106" s="453">
        <f t="shared" ref="AF106:AG107" si="34">IF($AG$1=16,R106,IF($AG$1=17,S106,IF($AG$1=18,T106,IF($AG$1=19,U106,IF($AG$1=20,V106,IF($AG$1=21,W106,IF($AG$1=22,X106,0)))))))</f>
        <v>3.6666666666666665</v>
      </c>
      <c r="AG106" s="453">
        <f t="shared" si="34"/>
        <v>5.333333333333333</v>
      </c>
      <c r="AI106" s="338"/>
    </row>
    <row r="107" spans="1:35" s="340" customFormat="1" ht="15.75" thickBot="1">
      <c r="A107" s="45"/>
      <c r="B107" s="46" t="s">
        <v>205</v>
      </c>
      <c r="C107" s="47"/>
      <c r="D107" s="47"/>
      <c r="E107" s="47"/>
      <c r="F107" s="47"/>
      <c r="G107" s="47"/>
      <c r="H107" s="47"/>
      <c r="I107" s="47"/>
      <c r="J107" s="47"/>
      <c r="K107" s="47"/>
      <c r="L107" s="47"/>
      <c r="M107" s="47"/>
      <c r="N107" s="47"/>
      <c r="O107" s="47"/>
      <c r="P107" s="47"/>
      <c r="Q107" s="47"/>
      <c r="R107" s="52">
        <f>('Anambra Workings'!R107+'Niger Workings'!R107)</f>
        <v>2</v>
      </c>
      <c r="S107" s="52">
        <f>('Anambra Workings'!S107+'Niger Workings'!S107)</f>
        <v>2</v>
      </c>
      <c r="T107" s="52">
        <f>('Anambra Workings'!T107+'Niger Workings'!T107)</f>
        <v>2</v>
      </c>
      <c r="U107" s="52">
        <f>('Anambra Workings'!U107+'Niger Workings'!U107)</f>
        <v>2</v>
      </c>
      <c r="V107" s="52">
        <f>('Anambra Workings'!V107+'Niger Workings'!V107)</f>
        <v>2</v>
      </c>
      <c r="W107" s="70">
        <f>('Anambra Workings'!W107+'Niger Workings'!W107)</f>
        <v>8</v>
      </c>
      <c r="X107" s="70">
        <f>('Anambra Workings'!X107+'Niger Workings'!X107)</f>
        <v>12</v>
      </c>
      <c r="Y107" s="70">
        <f>('Anambra Workings'!Y107+'Niger Workings'!Y107)</f>
        <v>0</v>
      </c>
      <c r="Z107" s="70">
        <f>('Anambra Workings'!Z107+'Niger Workings'!Z107)</f>
        <v>0</v>
      </c>
      <c r="AA107" s="49"/>
      <c r="AB107" s="421"/>
      <c r="AD107" s="452">
        <f>V107</f>
        <v>2</v>
      </c>
      <c r="AE107" s="346"/>
      <c r="AF107" s="452">
        <f t="shared" si="34"/>
        <v>8</v>
      </c>
      <c r="AG107" s="452">
        <f t="shared" si="34"/>
        <v>12</v>
      </c>
      <c r="AH107" s="342">
        <f>AG107</f>
        <v>12</v>
      </c>
      <c r="AI107" s="342">
        <f>AG107</f>
        <v>12</v>
      </c>
    </row>
    <row r="108" spans="1:35" s="340" customFormat="1">
      <c r="A108" s="45"/>
      <c r="B108" s="46"/>
      <c r="C108" s="48"/>
      <c r="D108" s="422"/>
      <c r="E108" s="422"/>
      <c r="F108" s="422"/>
      <c r="G108" s="83"/>
      <c r="H108" s="83"/>
      <c r="I108" s="83"/>
      <c r="J108" s="83"/>
      <c r="K108" s="83"/>
      <c r="L108" s="48"/>
      <c r="M108" s="48"/>
      <c r="N108" s="83"/>
      <c r="O108" s="83"/>
      <c r="P108" s="48"/>
      <c r="Q108" s="48"/>
      <c r="R108" s="53"/>
      <c r="S108" s="53"/>
      <c r="T108" s="53"/>
      <c r="U108" s="53"/>
      <c r="V108" s="53"/>
      <c r="W108" s="53"/>
      <c r="X108" s="53"/>
      <c r="Y108" s="53"/>
      <c r="Z108" s="53"/>
      <c r="AA108" s="49"/>
      <c r="AB108" s="421"/>
      <c r="AD108" s="345"/>
      <c r="AE108" s="346"/>
      <c r="AF108" s="454"/>
      <c r="AG108" s="454"/>
      <c r="AH108" s="335"/>
      <c r="AI108" s="338"/>
    </row>
    <row r="109" spans="1:35" ht="15.75" thickBot="1">
      <c r="A109" s="41" t="s">
        <v>182</v>
      </c>
      <c r="B109" s="42" t="s">
        <v>206</v>
      </c>
      <c r="C109" s="47"/>
      <c r="D109" s="47"/>
      <c r="E109" s="47"/>
      <c r="F109" s="47"/>
      <c r="G109" s="47"/>
      <c r="H109" s="47"/>
      <c r="I109" s="47"/>
      <c r="J109" s="47"/>
      <c r="K109" s="47"/>
      <c r="L109" s="47"/>
      <c r="M109" s="47"/>
      <c r="N109" s="47"/>
      <c r="O109" s="47"/>
      <c r="P109" s="47"/>
      <c r="Q109" s="47"/>
      <c r="R109" s="50">
        <f>('Anambra Workings'!R109+'Niger Workings'!R109)</f>
        <v>0</v>
      </c>
      <c r="S109" s="51">
        <f>('Anambra Workings'!S109+'Niger Workings'!S109)</f>
        <v>0</v>
      </c>
      <c r="T109" s="51">
        <f>('Anambra Workings'!T109+'Niger Workings'!T109)</f>
        <v>0</v>
      </c>
      <c r="U109" s="51">
        <f>('Anambra Workings'!U109+'Niger Workings'!U109)</f>
        <v>0</v>
      </c>
      <c r="V109" s="51">
        <f>('Anambra Workings'!V109+'Niger Workings'!V109)</f>
        <v>0</v>
      </c>
      <c r="W109" s="51">
        <f>('Anambra Workings'!W109+'Niger Workings'!W109)</f>
        <v>0.66666666666666663</v>
      </c>
      <c r="X109" s="51">
        <f>('Anambra Workings'!X109+'Niger Workings'!X109)</f>
        <v>1.3333333333333333</v>
      </c>
      <c r="Y109" s="50">
        <f>('Anambra Workings'!Y109+'Niger Workings'!Y109)</f>
        <v>2</v>
      </c>
      <c r="Z109" s="51">
        <f>('Anambra Workings'!Z109+'Niger Workings'!Z109)</f>
        <v>2</v>
      </c>
      <c r="AA109" s="38">
        <f>'Niger Workings'!AA109*3</f>
        <v>30</v>
      </c>
      <c r="AB109" s="457">
        <f>AA109/22</f>
        <v>1.3636363636363635</v>
      </c>
      <c r="AC109" s="340"/>
      <c r="AD109" s="451">
        <f>V109</f>
        <v>0</v>
      </c>
      <c r="AE109" s="346"/>
      <c r="AF109" s="453">
        <f t="shared" ref="AF109:AG110" si="35">IF($AG$1=16,R109,IF($AG$1=17,S109,IF($AG$1=18,T109,IF($AG$1=19,U109,IF($AG$1=20,V109,IF($AG$1=21,W109,IF($AG$1=22,X109,0)))))))</f>
        <v>0.66666666666666663</v>
      </c>
      <c r="AG109" s="453">
        <f t="shared" si="35"/>
        <v>1.3333333333333333</v>
      </c>
      <c r="AI109" s="338"/>
    </row>
    <row r="110" spans="1:35" s="340" customFormat="1" ht="15.75" thickBot="1">
      <c r="A110" s="45"/>
      <c r="B110" s="46" t="s">
        <v>207</v>
      </c>
      <c r="C110" s="47"/>
      <c r="D110" s="47"/>
      <c r="E110" s="47"/>
      <c r="F110" s="47"/>
      <c r="G110" s="47"/>
      <c r="H110" s="47"/>
      <c r="I110" s="47"/>
      <c r="J110" s="47"/>
      <c r="K110" s="47"/>
      <c r="L110" s="47"/>
      <c r="M110" s="47"/>
      <c r="N110" s="47"/>
      <c r="O110" s="47"/>
      <c r="P110" s="47"/>
      <c r="Q110" s="47"/>
      <c r="R110" s="52">
        <f>('Anambra Workings'!R110+'Niger Workings'!R110)</f>
        <v>0</v>
      </c>
      <c r="S110" s="52">
        <f>('Anambra Workings'!S110+'Niger Workings'!S110)</f>
        <v>0</v>
      </c>
      <c r="T110" s="52">
        <f>('Anambra Workings'!T110+'Niger Workings'!T110)</f>
        <v>0</v>
      </c>
      <c r="U110" s="52">
        <f>('Anambra Workings'!U110+'Niger Workings'!U110)</f>
        <v>0</v>
      </c>
      <c r="V110" s="52">
        <f>('Anambra Workings'!V110+'Niger Workings'!V110)</f>
        <v>0</v>
      </c>
      <c r="W110" s="70">
        <f>('Anambra Workings'!W110+'Niger Workings'!W110)</f>
        <v>0</v>
      </c>
      <c r="X110" s="70">
        <f>('Anambra Workings'!X110+'Niger Workings'!X110)</f>
        <v>0</v>
      </c>
      <c r="Y110" s="70">
        <f>('Anambra Workings'!Y110+'Niger Workings'!Y110)</f>
        <v>0</v>
      </c>
      <c r="Z110" s="70">
        <f>('Anambra Workings'!Z110+'Niger Workings'!Z110)</f>
        <v>0</v>
      </c>
      <c r="AA110" s="49"/>
      <c r="AB110" s="421"/>
      <c r="AD110" s="452">
        <f>V110</f>
        <v>0</v>
      </c>
      <c r="AE110" s="346"/>
      <c r="AF110" s="452">
        <f t="shared" si="35"/>
        <v>0</v>
      </c>
      <c r="AG110" s="452">
        <f t="shared" si="35"/>
        <v>0</v>
      </c>
      <c r="AH110" s="342">
        <f>AG110</f>
        <v>0</v>
      </c>
      <c r="AI110" s="342">
        <f>AG110</f>
        <v>0</v>
      </c>
    </row>
    <row r="111" spans="1:35" s="340" customFormat="1">
      <c r="A111" s="45"/>
      <c r="B111" s="46"/>
      <c r="C111" s="48"/>
      <c r="D111" s="422"/>
      <c r="E111" s="422"/>
      <c r="F111" s="422"/>
      <c r="G111" s="83"/>
      <c r="H111" s="83"/>
      <c r="I111" s="83"/>
      <c r="J111" s="83"/>
      <c r="K111" s="83"/>
      <c r="L111" s="48"/>
      <c r="M111" s="48"/>
      <c r="N111" s="83"/>
      <c r="O111" s="83"/>
      <c r="P111" s="48"/>
      <c r="Q111" s="48"/>
      <c r="R111" s="53"/>
      <c r="S111" s="53"/>
      <c r="T111" s="53"/>
      <c r="U111" s="53"/>
      <c r="V111" s="53"/>
      <c r="W111" s="53"/>
      <c r="X111" s="53"/>
      <c r="Y111" s="53"/>
      <c r="Z111" s="53"/>
      <c r="AA111" s="49"/>
      <c r="AB111" s="421"/>
      <c r="AD111" s="345"/>
      <c r="AE111" s="346"/>
      <c r="AF111" s="454"/>
      <c r="AG111" s="454"/>
      <c r="AH111" s="335"/>
      <c r="AI111" s="338"/>
    </row>
    <row r="112" spans="1:35" ht="15.75" thickBot="1">
      <c r="A112" s="41" t="s">
        <v>695</v>
      </c>
      <c r="B112" s="42" t="s">
        <v>816</v>
      </c>
      <c r="C112" s="47"/>
      <c r="D112" s="47"/>
      <c r="E112" s="47"/>
      <c r="F112" s="47"/>
      <c r="G112" s="47"/>
      <c r="H112" s="47"/>
      <c r="I112" s="47"/>
      <c r="J112" s="47"/>
      <c r="K112" s="47"/>
      <c r="L112" s="47"/>
      <c r="M112" s="47"/>
      <c r="N112" s="47"/>
      <c r="O112" s="47"/>
      <c r="P112" s="47"/>
      <c r="Q112" s="47"/>
      <c r="R112" s="50">
        <f>('Anambra Workings'!R112+'Niger Workings'!R112)</f>
        <v>0</v>
      </c>
      <c r="S112" s="51">
        <f>('Anambra Workings'!S112+'Niger Workings'!S112)</f>
        <v>0</v>
      </c>
      <c r="T112" s="51">
        <f>('Anambra Workings'!T112+'Niger Workings'!T112)</f>
        <v>0</v>
      </c>
      <c r="U112" s="51">
        <f>('Anambra Workings'!U112+'Niger Workings'!U112)</f>
        <v>0</v>
      </c>
      <c r="V112" s="51">
        <f>('Anambra Workings'!V112+'Niger Workings'!V112)</f>
        <v>0</v>
      </c>
      <c r="W112" s="51">
        <f>('Anambra Workings'!W112+'Niger Workings'!W112)</f>
        <v>4.3333333333333339</v>
      </c>
      <c r="X112" s="51">
        <f>('Anambra Workings'!X112+'Niger Workings'!X112)</f>
        <v>8.6666666666666679</v>
      </c>
      <c r="Y112" s="50">
        <f>('Anambra Workings'!Y112+'Niger Workings'!Y112)</f>
        <v>13</v>
      </c>
      <c r="Z112" s="51">
        <f>('Anambra Workings'!Z112+'Niger Workings'!Z112)</f>
        <v>13</v>
      </c>
      <c r="AA112" s="38">
        <f>'Niger Workings'!AA112*3</f>
        <v>60</v>
      </c>
      <c r="AB112" s="457">
        <f>AA112/22</f>
        <v>2.7272727272727271</v>
      </c>
      <c r="AC112" s="340"/>
      <c r="AD112" s="451">
        <f>V112</f>
        <v>0</v>
      </c>
      <c r="AE112" s="346"/>
      <c r="AF112" s="453">
        <f t="shared" ref="AF112:AG113" si="36">IF($AG$1=16,R112,IF($AG$1=17,S112,IF($AG$1=18,T112,IF($AG$1=19,U112,IF($AG$1=20,V112,IF($AG$1=21,W112,IF($AG$1=22,X112,0)))))))</f>
        <v>4.3333333333333339</v>
      </c>
      <c r="AG112" s="453">
        <f t="shared" si="36"/>
        <v>8.6666666666666679</v>
      </c>
      <c r="AI112" s="338"/>
    </row>
    <row r="113" spans="1:35" s="340" customFormat="1" ht="15.75" thickBot="1">
      <c r="A113" s="45"/>
      <c r="B113" s="46" t="s">
        <v>817</v>
      </c>
      <c r="C113" s="47"/>
      <c r="D113" s="47"/>
      <c r="E113" s="47"/>
      <c r="F113" s="47"/>
      <c r="G113" s="47"/>
      <c r="H113" s="47"/>
      <c r="I113" s="47"/>
      <c r="J113" s="47"/>
      <c r="K113" s="47"/>
      <c r="L113" s="47"/>
      <c r="M113" s="47"/>
      <c r="N113" s="47"/>
      <c r="O113" s="47"/>
      <c r="P113" s="47"/>
      <c r="Q113" s="47"/>
      <c r="R113" s="52">
        <f>('Anambra Workings'!R113+'Niger Workings'!R113)</f>
        <v>0</v>
      </c>
      <c r="S113" s="52">
        <f>('Anambra Workings'!S113+'Niger Workings'!S113)</f>
        <v>0</v>
      </c>
      <c r="T113" s="52">
        <f>('Anambra Workings'!T113+'Niger Workings'!T113)</f>
        <v>0</v>
      </c>
      <c r="U113" s="52">
        <f>('Anambra Workings'!U113+'Niger Workings'!U113)</f>
        <v>0</v>
      </c>
      <c r="V113" s="52">
        <f>('Anambra Workings'!V113+'Niger Workings'!V113)</f>
        <v>0</v>
      </c>
      <c r="W113" s="70">
        <f>('Anambra Workings'!W113+'Niger Workings'!W113)</f>
        <v>10</v>
      </c>
      <c r="X113" s="70">
        <f>('Anambra Workings'!X113+'Niger Workings'!X113)</f>
        <v>10</v>
      </c>
      <c r="Y113" s="70">
        <f>('Anambra Workings'!Y113+'Niger Workings'!Y113)</f>
        <v>0</v>
      </c>
      <c r="Z113" s="70">
        <f>('Anambra Workings'!Z113+'Niger Workings'!Z113)</f>
        <v>0</v>
      </c>
      <c r="AA113" s="429"/>
      <c r="AB113" s="430"/>
      <c r="AD113" s="452">
        <f>V113</f>
        <v>0</v>
      </c>
      <c r="AE113" s="346"/>
      <c r="AF113" s="452">
        <f t="shared" si="36"/>
        <v>10</v>
      </c>
      <c r="AG113" s="452">
        <f t="shared" si="36"/>
        <v>10</v>
      </c>
      <c r="AH113" s="342">
        <f>AG113</f>
        <v>10</v>
      </c>
      <c r="AI113" s="342">
        <f>AG113</f>
        <v>10</v>
      </c>
    </row>
    <row r="114" spans="1:35" s="340" customFormat="1">
      <c r="A114" s="45"/>
      <c r="B114" s="46"/>
      <c r="C114" s="48"/>
      <c r="D114" s="422"/>
      <c r="E114" s="422"/>
      <c r="F114" s="422"/>
      <c r="G114" s="83"/>
      <c r="H114" s="83"/>
      <c r="I114" s="83"/>
      <c r="J114" s="83"/>
      <c r="K114" s="83"/>
      <c r="L114" s="48"/>
      <c r="M114" s="48"/>
      <c r="N114" s="83"/>
      <c r="O114" s="83"/>
      <c r="P114" s="48"/>
      <c r="Q114" s="48"/>
      <c r="R114" s="53"/>
      <c r="S114" s="53"/>
      <c r="T114" s="53"/>
      <c r="U114" s="53"/>
      <c r="V114" s="53"/>
      <c r="W114" s="53"/>
      <c r="X114" s="53"/>
      <c r="Y114" s="53"/>
      <c r="Z114" s="53"/>
      <c r="AA114" s="429"/>
      <c r="AB114" s="430"/>
      <c r="AD114" s="345"/>
      <c r="AE114" s="346"/>
      <c r="AF114" s="454"/>
      <c r="AG114" s="454"/>
      <c r="AH114" s="335"/>
      <c r="AI114" s="338"/>
    </row>
    <row r="115" spans="1:35" ht="15.75" thickBot="1">
      <c r="A115" s="41" t="s">
        <v>696</v>
      </c>
      <c r="B115" s="42" t="s">
        <v>818</v>
      </c>
      <c r="C115" s="47"/>
      <c r="D115" s="47"/>
      <c r="E115" s="47"/>
      <c r="F115" s="47"/>
      <c r="G115" s="47"/>
      <c r="H115" s="47"/>
      <c r="I115" s="47"/>
      <c r="J115" s="47"/>
      <c r="K115" s="47"/>
      <c r="L115" s="47"/>
      <c r="M115" s="47"/>
      <c r="N115" s="47"/>
      <c r="O115" s="47"/>
      <c r="P115" s="47"/>
      <c r="Q115" s="47"/>
      <c r="R115" s="50">
        <f>('Anambra Workings'!R115+'Niger Workings'!R115)</f>
        <v>0</v>
      </c>
      <c r="S115" s="51">
        <f>('Anambra Workings'!S115+'Niger Workings'!S115)</f>
        <v>0</v>
      </c>
      <c r="T115" s="51">
        <f>('Anambra Workings'!T115+'Niger Workings'!T115)</f>
        <v>0</v>
      </c>
      <c r="U115" s="51">
        <f>('Anambra Workings'!U115+'Niger Workings'!U115)</f>
        <v>0</v>
      </c>
      <c r="V115" s="51">
        <f>('Anambra Workings'!V115+'Niger Workings'!V115)</f>
        <v>0</v>
      </c>
      <c r="W115" s="51">
        <f>('Anambra Workings'!W115+'Niger Workings'!W115)</f>
        <v>3</v>
      </c>
      <c r="X115" s="51">
        <f>('Anambra Workings'!X115+'Niger Workings'!X115)</f>
        <v>6</v>
      </c>
      <c r="Y115" s="50">
        <f>('Anambra Workings'!Y115+'Niger Workings'!Y115)</f>
        <v>9</v>
      </c>
      <c r="Z115" s="51">
        <f>('Anambra Workings'!Z115+'Niger Workings'!Z115)</f>
        <v>9</v>
      </c>
      <c r="AA115" s="38">
        <f>'Niger Workings'!AA115*3</f>
        <v>60</v>
      </c>
      <c r="AB115" s="457">
        <f>AA115/22</f>
        <v>2.7272727272727271</v>
      </c>
      <c r="AC115" s="340"/>
      <c r="AD115" s="451">
        <f>V115</f>
        <v>0</v>
      </c>
      <c r="AE115" s="346"/>
      <c r="AF115" s="453">
        <f t="shared" ref="AF115:AG116" si="37">IF($AG$1=16,R115,IF($AG$1=17,S115,IF($AG$1=18,T115,IF($AG$1=19,U115,IF($AG$1=20,V115,IF($AG$1=21,W115,IF($AG$1=22,X115,0)))))))</f>
        <v>3</v>
      </c>
      <c r="AG115" s="453">
        <f t="shared" si="37"/>
        <v>6</v>
      </c>
      <c r="AI115" s="338"/>
    </row>
    <row r="116" spans="1:35" s="340" customFormat="1" ht="15.75" thickBot="1">
      <c r="A116" s="45"/>
      <c r="B116" s="46" t="s">
        <v>819</v>
      </c>
      <c r="C116" s="47"/>
      <c r="D116" s="47"/>
      <c r="E116" s="47"/>
      <c r="F116" s="47"/>
      <c r="G116" s="47"/>
      <c r="H116" s="47"/>
      <c r="I116" s="47"/>
      <c r="J116" s="47"/>
      <c r="K116" s="47"/>
      <c r="L116" s="47"/>
      <c r="M116" s="47"/>
      <c r="N116" s="47"/>
      <c r="O116" s="47"/>
      <c r="P116" s="47"/>
      <c r="Q116" s="47"/>
      <c r="R116" s="52">
        <f>('Anambra Workings'!R116+'Niger Workings'!R116)</f>
        <v>0</v>
      </c>
      <c r="S116" s="52">
        <f>('Anambra Workings'!S116+'Niger Workings'!S116)</f>
        <v>0</v>
      </c>
      <c r="T116" s="52">
        <f>('Anambra Workings'!T116+'Niger Workings'!T116)</f>
        <v>0</v>
      </c>
      <c r="U116" s="52">
        <f>('Anambra Workings'!U116+'Niger Workings'!U116)</f>
        <v>0</v>
      </c>
      <c r="V116" s="52">
        <f>('Anambra Workings'!V116+'Niger Workings'!V116)</f>
        <v>0</v>
      </c>
      <c r="W116" s="70">
        <f>('Anambra Workings'!W116+'Niger Workings'!W116)</f>
        <v>7</v>
      </c>
      <c r="X116" s="70">
        <f>('Anambra Workings'!X116+'Niger Workings'!X116)</f>
        <v>7</v>
      </c>
      <c r="Y116" s="70">
        <f>('Anambra Workings'!Y116+'Niger Workings'!Y116)</f>
        <v>0</v>
      </c>
      <c r="Z116" s="70">
        <f>('Anambra Workings'!Z116+'Niger Workings'!Z116)</f>
        <v>0</v>
      </c>
      <c r="AA116" s="49"/>
      <c r="AB116" s="421"/>
      <c r="AD116" s="452">
        <f>V116</f>
        <v>0</v>
      </c>
      <c r="AE116" s="346"/>
      <c r="AF116" s="452">
        <f t="shared" si="37"/>
        <v>7</v>
      </c>
      <c r="AG116" s="452">
        <f t="shared" si="37"/>
        <v>7</v>
      </c>
      <c r="AH116" s="342">
        <f>AG116</f>
        <v>7</v>
      </c>
      <c r="AI116" s="342">
        <f>AG116</f>
        <v>7</v>
      </c>
    </row>
    <row r="117" spans="1:35">
      <c r="A117" s="45"/>
      <c r="B117" s="46"/>
      <c r="C117" s="48"/>
      <c r="D117" s="422"/>
      <c r="E117" s="422"/>
      <c r="F117" s="422"/>
      <c r="G117" s="83"/>
      <c r="H117" s="83"/>
      <c r="I117" s="83"/>
      <c r="J117" s="83"/>
      <c r="K117" s="83"/>
      <c r="L117" s="48"/>
      <c r="M117" s="48"/>
      <c r="N117" s="83"/>
      <c r="O117" s="83"/>
      <c r="P117" s="48"/>
      <c r="Q117" s="48"/>
      <c r="R117" s="53"/>
      <c r="S117" s="53"/>
      <c r="T117" s="53"/>
      <c r="U117" s="53"/>
      <c r="V117" s="53"/>
      <c r="W117" s="53"/>
      <c r="X117" s="53"/>
      <c r="Y117" s="53"/>
      <c r="Z117" s="53"/>
      <c r="AA117" s="49"/>
      <c r="AB117" s="421"/>
      <c r="AC117" s="340"/>
      <c r="AD117" s="346"/>
      <c r="AE117" s="346"/>
      <c r="AF117" s="346"/>
      <c r="AG117" s="346"/>
      <c r="AI117" s="338"/>
    </row>
    <row r="118" spans="1:35" ht="15.75" thickBot="1">
      <c r="A118" s="41" t="s">
        <v>697</v>
      </c>
      <c r="B118" s="42" t="s">
        <v>820</v>
      </c>
      <c r="C118" s="47"/>
      <c r="D118" s="47"/>
      <c r="E118" s="47"/>
      <c r="F118" s="47"/>
      <c r="G118" s="47"/>
      <c r="H118" s="47"/>
      <c r="I118" s="47"/>
      <c r="J118" s="47"/>
      <c r="K118" s="47"/>
      <c r="L118" s="47"/>
      <c r="M118" s="47"/>
      <c r="N118" s="47"/>
      <c r="O118" s="47"/>
      <c r="P118" s="47"/>
      <c r="Q118" s="47"/>
      <c r="R118" s="50">
        <f>('Anambra Workings'!R118+'Niger Workings'!R118)</f>
        <v>0</v>
      </c>
      <c r="S118" s="51">
        <f>('Anambra Workings'!S118+'Niger Workings'!S118)</f>
        <v>0</v>
      </c>
      <c r="T118" s="51">
        <f>('Anambra Workings'!T118+'Niger Workings'!T118)</f>
        <v>0</v>
      </c>
      <c r="U118" s="51">
        <f>('Anambra Workings'!U118+'Niger Workings'!U118)</f>
        <v>0</v>
      </c>
      <c r="V118" s="51">
        <f>('Anambra Workings'!V118+'Niger Workings'!V118)</f>
        <v>0</v>
      </c>
      <c r="W118" s="51">
        <f>('Anambra Workings'!W118+'Niger Workings'!W118)</f>
        <v>2.666666666666667</v>
      </c>
      <c r="X118" s="51">
        <f>('Anambra Workings'!X118+'Niger Workings'!X118)</f>
        <v>5.3333333333333339</v>
      </c>
      <c r="Y118" s="50">
        <f>('Anambra Workings'!Y118+'Niger Workings'!Y118)</f>
        <v>8</v>
      </c>
      <c r="Z118" s="51">
        <f>('Anambra Workings'!Z118+'Niger Workings'!Z118)</f>
        <v>8</v>
      </c>
      <c r="AA118" s="38">
        <f>'Niger Workings'!AA118*3</f>
        <v>30</v>
      </c>
      <c r="AB118" s="457">
        <f>AA118/22</f>
        <v>1.3636363636363635</v>
      </c>
      <c r="AC118" s="340"/>
      <c r="AD118" s="451">
        <f>V118</f>
        <v>0</v>
      </c>
      <c r="AE118" s="346"/>
      <c r="AF118" s="453">
        <f t="shared" ref="AF118:AG119" si="38">IF($AG$1=16,R118,IF($AG$1=17,S118,IF($AG$1=18,T118,IF($AG$1=19,U118,IF($AG$1=20,V118,IF($AG$1=21,W118,IF($AG$1=22,X118,0)))))))</f>
        <v>2.666666666666667</v>
      </c>
      <c r="AG118" s="453">
        <f t="shared" si="38"/>
        <v>5.3333333333333339</v>
      </c>
      <c r="AI118" s="338"/>
    </row>
    <row r="119" spans="1:35" ht="15.75" thickBot="1">
      <c r="A119" s="45"/>
      <c r="B119" s="46" t="s">
        <v>821</v>
      </c>
      <c r="C119" s="47"/>
      <c r="D119" s="47"/>
      <c r="E119" s="47"/>
      <c r="F119" s="47"/>
      <c r="G119" s="47"/>
      <c r="H119" s="47"/>
      <c r="I119" s="47"/>
      <c r="J119" s="47"/>
      <c r="K119" s="47"/>
      <c r="L119" s="47"/>
      <c r="M119" s="47"/>
      <c r="N119" s="47"/>
      <c r="O119" s="47"/>
      <c r="P119" s="47"/>
      <c r="Q119" s="47"/>
      <c r="R119" s="52">
        <f>('Anambra Workings'!R119+'Niger Workings'!R119)</f>
        <v>0</v>
      </c>
      <c r="S119" s="52">
        <f>('Anambra Workings'!S119+'Niger Workings'!S119)</f>
        <v>0</v>
      </c>
      <c r="T119" s="52">
        <f>('Anambra Workings'!T119+'Niger Workings'!T119)</f>
        <v>0</v>
      </c>
      <c r="U119" s="52">
        <f>('Anambra Workings'!U119+'Niger Workings'!U119)</f>
        <v>0</v>
      </c>
      <c r="V119" s="52">
        <f>('Anambra Workings'!V119+'Niger Workings'!V119)</f>
        <v>0</v>
      </c>
      <c r="W119" s="70">
        <f>('Anambra Workings'!W119+'Niger Workings'!W119)</f>
        <v>4</v>
      </c>
      <c r="X119" s="70">
        <f>('Anambra Workings'!X119+'Niger Workings'!X119)</f>
        <v>4</v>
      </c>
      <c r="Y119" s="70">
        <f>('Anambra Workings'!Y119+'Niger Workings'!Y119)</f>
        <v>0</v>
      </c>
      <c r="Z119" s="70">
        <f>('Anambra Workings'!Z119+'Niger Workings'!Z119)</f>
        <v>0</v>
      </c>
      <c r="AA119" s="49"/>
      <c r="AB119" s="421"/>
      <c r="AC119" s="340"/>
      <c r="AD119" s="452">
        <f>V119</f>
        <v>0</v>
      </c>
      <c r="AE119" s="346"/>
      <c r="AF119" s="452">
        <f t="shared" si="38"/>
        <v>4</v>
      </c>
      <c r="AG119" s="452">
        <f t="shared" si="38"/>
        <v>4</v>
      </c>
      <c r="AH119" s="342">
        <f>AG119</f>
        <v>4</v>
      </c>
      <c r="AI119" s="342">
        <f>AG119</f>
        <v>4</v>
      </c>
    </row>
    <row r="120" spans="1:35">
      <c r="A120" s="45"/>
      <c r="B120" s="46"/>
      <c r="C120" s="48"/>
      <c r="D120" s="422"/>
      <c r="E120" s="422"/>
      <c r="F120" s="422"/>
      <c r="G120" s="83"/>
      <c r="H120" s="83"/>
      <c r="I120" s="83"/>
      <c r="J120" s="83"/>
      <c r="K120" s="83"/>
      <c r="L120" s="48"/>
      <c r="M120" s="48"/>
      <c r="N120" s="83"/>
      <c r="O120" s="83"/>
      <c r="P120" s="48"/>
      <c r="Q120" s="48"/>
      <c r="R120" s="53"/>
      <c r="S120" s="53"/>
      <c r="T120" s="53"/>
      <c r="U120" s="53"/>
      <c r="V120" s="53"/>
      <c r="W120" s="53"/>
      <c r="X120" s="53"/>
      <c r="Y120" s="53"/>
      <c r="Z120" s="53"/>
      <c r="AA120" s="49"/>
      <c r="AB120" s="421"/>
      <c r="AC120" s="340"/>
      <c r="AD120" s="345"/>
      <c r="AE120" s="346"/>
      <c r="AF120" s="454"/>
      <c r="AG120" s="454"/>
      <c r="AI120" s="338"/>
    </row>
    <row r="121" spans="1:35" ht="15.75" thickBot="1">
      <c r="A121" s="41" t="s">
        <v>698</v>
      </c>
      <c r="B121" s="42" t="s">
        <v>822</v>
      </c>
      <c r="C121" s="47"/>
      <c r="D121" s="47"/>
      <c r="E121" s="47"/>
      <c r="F121" s="47"/>
      <c r="G121" s="47"/>
      <c r="H121" s="47"/>
      <c r="I121" s="47"/>
      <c r="J121" s="47"/>
      <c r="K121" s="47"/>
      <c r="L121" s="47"/>
      <c r="M121" s="47"/>
      <c r="N121" s="47"/>
      <c r="O121" s="47"/>
      <c r="P121" s="47"/>
      <c r="Q121" s="47"/>
      <c r="R121" s="50">
        <f>('Anambra Workings'!R121+'Niger Workings'!R121)</f>
        <v>0</v>
      </c>
      <c r="S121" s="51">
        <f>('Anambra Workings'!S121+'Niger Workings'!S121)</f>
        <v>0</v>
      </c>
      <c r="T121" s="51">
        <f>('Anambra Workings'!T121+'Niger Workings'!T121)</f>
        <v>0</v>
      </c>
      <c r="U121" s="51">
        <f>('Anambra Workings'!U121+'Niger Workings'!U121)</f>
        <v>0</v>
      </c>
      <c r="V121" s="51">
        <f>('Anambra Workings'!V121+'Niger Workings'!V121)</f>
        <v>0</v>
      </c>
      <c r="W121" s="51">
        <f>('Anambra Workings'!W121+'Niger Workings'!W121)</f>
        <v>1.3333333333333333</v>
      </c>
      <c r="X121" s="51">
        <f>('Anambra Workings'!X121+'Niger Workings'!X121)</f>
        <v>2.6666666666666665</v>
      </c>
      <c r="Y121" s="50">
        <f>('Anambra Workings'!Y121+'Niger Workings'!Y121)</f>
        <v>4</v>
      </c>
      <c r="Z121" s="51">
        <f>('Anambra Workings'!Z121+'Niger Workings'!Z121)</f>
        <v>4</v>
      </c>
      <c r="AA121" s="38">
        <f>'Niger Workings'!AA121*3</f>
        <v>30</v>
      </c>
      <c r="AB121" s="457">
        <f>AA121/22</f>
        <v>1.3636363636363635</v>
      </c>
      <c r="AC121" s="340"/>
      <c r="AD121" s="451">
        <f>V121</f>
        <v>0</v>
      </c>
      <c r="AE121" s="346"/>
      <c r="AF121" s="453">
        <f t="shared" ref="AF121:AG122" si="39">IF($AG$1=16,R121,IF($AG$1=17,S121,IF($AG$1=18,T121,IF($AG$1=19,U121,IF($AG$1=20,V121,IF($AG$1=21,W121,IF($AG$1=22,X121,0)))))))</f>
        <v>1.3333333333333333</v>
      </c>
      <c r="AG121" s="453">
        <f t="shared" si="39"/>
        <v>2.6666666666666665</v>
      </c>
      <c r="AI121" s="338"/>
    </row>
    <row r="122" spans="1:35" ht="15.75" thickBot="1">
      <c r="A122" s="45"/>
      <c r="B122" s="46" t="s">
        <v>823</v>
      </c>
      <c r="C122" s="47"/>
      <c r="D122" s="47"/>
      <c r="E122" s="47"/>
      <c r="F122" s="47"/>
      <c r="G122" s="47"/>
      <c r="H122" s="47"/>
      <c r="I122" s="47"/>
      <c r="J122" s="47"/>
      <c r="K122" s="47"/>
      <c r="L122" s="47"/>
      <c r="M122" s="47"/>
      <c r="N122" s="47"/>
      <c r="O122" s="47"/>
      <c r="P122" s="47"/>
      <c r="Q122" s="47"/>
      <c r="R122" s="52">
        <f>('Anambra Workings'!R122+'Niger Workings'!R122)</f>
        <v>0</v>
      </c>
      <c r="S122" s="52">
        <f>('Anambra Workings'!S122+'Niger Workings'!S122)</f>
        <v>0</v>
      </c>
      <c r="T122" s="52">
        <f>('Anambra Workings'!T122+'Niger Workings'!T122)</f>
        <v>0</v>
      </c>
      <c r="U122" s="52">
        <f>('Anambra Workings'!U122+'Niger Workings'!U122)</f>
        <v>0</v>
      </c>
      <c r="V122" s="52">
        <f>('Anambra Workings'!V122+'Niger Workings'!V122)</f>
        <v>0</v>
      </c>
      <c r="W122" s="70">
        <f>('Anambra Workings'!W122+'Niger Workings'!W122)</f>
        <v>4</v>
      </c>
      <c r="X122" s="70">
        <f>('Anambra Workings'!X122+'Niger Workings'!X122)</f>
        <v>4</v>
      </c>
      <c r="Y122" s="70">
        <f>('Anambra Workings'!Y122+'Niger Workings'!Y122)</f>
        <v>0</v>
      </c>
      <c r="Z122" s="70">
        <f>('Anambra Workings'!Z122+'Niger Workings'!Z122)</f>
        <v>0</v>
      </c>
      <c r="AA122" s="49"/>
      <c r="AB122" s="421"/>
      <c r="AC122" s="340"/>
      <c r="AD122" s="452">
        <f>V122</f>
        <v>0</v>
      </c>
      <c r="AE122" s="346"/>
      <c r="AF122" s="452">
        <f t="shared" si="39"/>
        <v>4</v>
      </c>
      <c r="AG122" s="452">
        <f t="shared" si="39"/>
        <v>4</v>
      </c>
      <c r="AH122" s="342">
        <f>AG122</f>
        <v>4</v>
      </c>
      <c r="AI122" s="342">
        <f>AG122</f>
        <v>4</v>
      </c>
    </row>
    <row r="123" spans="1:35" ht="14.25" customHeight="1">
      <c r="A123" s="45"/>
      <c r="B123" s="46"/>
      <c r="C123" s="48"/>
      <c r="D123" s="422"/>
      <c r="E123" s="422"/>
      <c r="F123" s="422"/>
      <c r="G123" s="83"/>
      <c r="H123" s="83"/>
      <c r="I123" s="83"/>
      <c r="J123" s="83"/>
      <c r="K123" s="83"/>
      <c r="L123" s="48"/>
      <c r="M123" s="48"/>
      <c r="N123" s="83"/>
      <c r="O123" s="83"/>
      <c r="P123" s="48"/>
      <c r="Q123" s="48"/>
      <c r="R123" s="53"/>
      <c r="S123" s="53"/>
      <c r="T123" s="53"/>
      <c r="U123" s="53"/>
      <c r="V123" s="53"/>
      <c r="W123" s="53"/>
      <c r="X123" s="53"/>
      <c r="Y123" s="53"/>
      <c r="Z123" s="53"/>
      <c r="AA123" s="49"/>
      <c r="AB123" s="421"/>
      <c r="AC123" s="340"/>
      <c r="AD123" s="345"/>
      <c r="AE123" s="346"/>
      <c r="AF123" s="454"/>
      <c r="AG123" s="454"/>
      <c r="AI123" s="338"/>
    </row>
    <row r="124" spans="1:35" ht="15.75" thickBot="1">
      <c r="A124" s="41" t="s">
        <v>699</v>
      </c>
      <c r="B124" s="42" t="s">
        <v>202</v>
      </c>
      <c r="C124" s="47"/>
      <c r="D124" s="47"/>
      <c r="E124" s="47"/>
      <c r="F124" s="47"/>
      <c r="G124" s="47"/>
      <c r="H124" s="47"/>
      <c r="I124" s="47"/>
      <c r="J124" s="47"/>
      <c r="K124" s="47"/>
      <c r="L124" s="47"/>
      <c r="M124" s="47"/>
      <c r="N124" s="47"/>
      <c r="O124" s="47"/>
      <c r="P124" s="47"/>
      <c r="Q124" s="47"/>
      <c r="R124" s="50">
        <f>('Anambra Workings'!R124+'Niger Workings'!R124)</f>
        <v>0</v>
      </c>
      <c r="S124" s="51">
        <f>('Anambra Workings'!S124+'Niger Workings'!S124)</f>
        <v>0</v>
      </c>
      <c r="T124" s="51">
        <f>('Anambra Workings'!T124+'Niger Workings'!T124)</f>
        <v>0</v>
      </c>
      <c r="U124" s="51">
        <f>('Anambra Workings'!U124+'Niger Workings'!U124)</f>
        <v>0</v>
      </c>
      <c r="V124" s="51">
        <f>('Anambra Workings'!V124+'Niger Workings'!V124)</f>
        <v>0</v>
      </c>
      <c r="W124" s="51">
        <f>('Anambra Workings'!W124+'Niger Workings'!W124)</f>
        <v>2</v>
      </c>
      <c r="X124" s="51">
        <f>('Anambra Workings'!X124+'Niger Workings'!X124)</f>
        <v>4</v>
      </c>
      <c r="Y124" s="50">
        <f>('Anambra Workings'!Y124+'Niger Workings'!Y124)</f>
        <v>6</v>
      </c>
      <c r="Z124" s="51">
        <f>('Anambra Workings'!Z124+'Niger Workings'!Z124)</f>
        <v>6</v>
      </c>
      <c r="AA124" s="38">
        <f>'Niger Workings'!AA124*3</f>
        <v>30</v>
      </c>
      <c r="AB124" s="457">
        <f>AA124/22</f>
        <v>1.3636363636363635</v>
      </c>
      <c r="AC124" s="340"/>
      <c r="AD124" s="451">
        <f>V124</f>
        <v>0</v>
      </c>
      <c r="AE124" s="346"/>
      <c r="AF124" s="453">
        <f t="shared" ref="AF124:AG125" si="40">IF($AG$1=16,R124,IF($AG$1=17,S124,IF($AG$1=18,T124,IF($AG$1=19,U124,IF($AG$1=20,V124,IF($AG$1=21,W124,IF($AG$1=22,X124,0)))))))</f>
        <v>2</v>
      </c>
      <c r="AG124" s="453">
        <f t="shared" si="40"/>
        <v>4</v>
      </c>
      <c r="AI124" s="338"/>
    </row>
    <row r="125" spans="1:35" ht="15.75" thickBot="1">
      <c r="A125" s="45"/>
      <c r="B125" s="46" t="s">
        <v>203</v>
      </c>
      <c r="C125" s="47"/>
      <c r="D125" s="47"/>
      <c r="E125" s="47"/>
      <c r="F125" s="47"/>
      <c r="G125" s="47"/>
      <c r="H125" s="47"/>
      <c r="I125" s="47"/>
      <c r="J125" s="47"/>
      <c r="K125" s="47"/>
      <c r="L125" s="47"/>
      <c r="M125" s="47"/>
      <c r="N125" s="47"/>
      <c r="O125" s="47"/>
      <c r="P125" s="47"/>
      <c r="Q125" s="47"/>
      <c r="R125" s="52">
        <f>('Anambra Workings'!R125+'Niger Workings'!R125)</f>
        <v>0</v>
      </c>
      <c r="S125" s="52">
        <f>('Anambra Workings'!S125+'Niger Workings'!S125)</f>
        <v>0</v>
      </c>
      <c r="T125" s="52">
        <f>('Anambra Workings'!T125+'Niger Workings'!T125)</f>
        <v>0</v>
      </c>
      <c r="U125" s="52">
        <f>('Anambra Workings'!U125+'Niger Workings'!U125)</f>
        <v>0</v>
      </c>
      <c r="V125" s="52">
        <f>('Anambra Workings'!V125+'Niger Workings'!V125)</f>
        <v>0</v>
      </c>
      <c r="W125" s="70">
        <f>('Anambra Workings'!W125+'Niger Workings'!W125)</f>
        <v>8</v>
      </c>
      <c r="X125" s="70">
        <f>('Anambra Workings'!X125+'Niger Workings'!X125)</f>
        <v>10</v>
      </c>
      <c r="Y125" s="70">
        <f>('Anambra Workings'!Y125+'Niger Workings'!Y125)</f>
        <v>0</v>
      </c>
      <c r="Z125" s="70">
        <f>('Anambra Workings'!Z125+'Niger Workings'!Z125)</f>
        <v>0</v>
      </c>
      <c r="AA125" s="49"/>
      <c r="AB125" s="421"/>
      <c r="AC125" s="340"/>
      <c r="AD125" s="452">
        <f>V125</f>
        <v>0</v>
      </c>
      <c r="AE125" s="346"/>
      <c r="AF125" s="452">
        <f t="shared" si="40"/>
        <v>8</v>
      </c>
      <c r="AG125" s="452">
        <f t="shared" si="40"/>
        <v>10</v>
      </c>
      <c r="AH125" s="342">
        <f>AG125</f>
        <v>10</v>
      </c>
      <c r="AI125" s="342">
        <f>AG125</f>
        <v>10</v>
      </c>
    </row>
    <row r="126" spans="1:35">
      <c r="B126" s="46"/>
      <c r="C126" s="48"/>
      <c r="D126" s="422"/>
      <c r="E126" s="422"/>
      <c r="F126" s="422"/>
      <c r="G126" s="83"/>
      <c r="H126" s="83"/>
      <c r="I126" s="83"/>
      <c r="J126" s="83"/>
      <c r="K126" s="83"/>
      <c r="L126" s="48"/>
      <c r="M126" s="48"/>
      <c r="N126" s="83"/>
      <c r="O126" s="83"/>
      <c r="P126" s="48"/>
      <c r="Q126" s="48"/>
      <c r="R126" s="53"/>
      <c r="S126" s="53"/>
      <c r="T126" s="53"/>
      <c r="U126" s="53"/>
      <c r="V126" s="53"/>
      <c r="W126" s="53"/>
      <c r="X126" s="53"/>
      <c r="Y126" s="53"/>
      <c r="Z126" s="53"/>
      <c r="AB126" s="420"/>
      <c r="AC126" s="340"/>
      <c r="AD126" s="345"/>
      <c r="AE126" s="346"/>
      <c r="AF126" s="454"/>
      <c r="AG126" s="454"/>
      <c r="AI126" s="338"/>
    </row>
    <row r="127" spans="1:35" ht="15.75" thickBot="1">
      <c r="A127" s="41" t="s">
        <v>700</v>
      </c>
      <c r="B127" s="42" t="s">
        <v>213</v>
      </c>
      <c r="C127" s="47"/>
      <c r="D127" s="47"/>
      <c r="E127" s="47"/>
      <c r="F127" s="47"/>
      <c r="G127" s="47"/>
      <c r="H127" s="47"/>
      <c r="I127" s="47"/>
      <c r="J127" s="47"/>
      <c r="K127" s="47"/>
      <c r="L127" s="47"/>
      <c r="M127" s="47"/>
      <c r="N127" s="47"/>
      <c r="O127" s="47"/>
      <c r="P127" s="47"/>
      <c r="Q127" s="47"/>
      <c r="R127" s="50">
        <f>('Anambra Workings'!R127+'Niger Workings'!R127)</f>
        <v>0</v>
      </c>
      <c r="S127" s="51">
        <f>('Anambra Workings'!S127+'Niger Workings'!S127)</f>
        <v>0</v>
      </c>
      <c r="T127" s="51">
        <f>('Anambra Workings'!T127+'Niger Workings'!T127)</f>
        <v>0</v>
      </c>
      <c r="U127" s="51">
        <f>('Anambra Workings'!U127+'Niger Workings'!U127)</f>
        <v>0</v>
      </c>
      <c r="V127" s="51">
        <f>('Anambra Workings'!V127+'Niger Workings'!V127)</f>
        <v>0</v>
      </c>
      <c r="W127" s="51">
        <f>('Anambra Workings'!W127+'Niger Workings'!W127)</f>
        <v>1</v>
      </c>
      <c r="X127" s="51">
        <f>('Anambra Workings'!X127+'Niger Workings'!X127)</f>
        <v>2</v>
      </c>
      <c r="Y127" s="50">
        <f>('Anambra Workings'!Y127+'Niger Workings'!Y127)</f>
        <v>3</v>
      </c>
      <c r="Z127" s="51">
        <f>('Anambra Workings'!Z127+'Niger Workings'!Z127)</f>
        <v>3</v>
      </c>
      <c r="AA127" s="38">
        <f>'Niger Workings'!AA127*3</f>
        <v>30</v>
      </c>
      <c r="AB127" s="457">
        <f>AA127/22</f>
        <v>1.3636363636363635</v>
      </c>
      <c r="AC127" s="340"/>
      <c r="AD127" s="451">
        <f>V127</f>
        <v>0</v>
      </c>
      <c r="AE127" s="346"/>
      <c r="AF127" s="453">
        <f t="shared" ref="AF127:AG128" si="41">IF($AG$1=16,R127,IF($AG$1=17,S127,IF($AG$1=18,T127,IF($AG$1=19,U127,IF($AG$1=20,V127,IF($AG$1=21,W127,IF($AG$1=22,X127,0)))))))</f>
        <v>1</v>
      </c>
      <c r="AG127" s="453">
        <f t="shared" si="41"/>
        <v>2</v>
      </c>
      <c r="AI127" s="338"/>
    </row>
    <row r="128" spans="1:35" ht="15.75" thickBot="1">
      <c r="A128" s="45"/>
      <c r="B128" s="46" t="s">
        <v>212</v>
      </c>
      <c r="C128" s="47"/>
      <c r="D128" s="47"/>
      <c r="E128" s="47"/>
      <c r="F128" s="47"/>
      <c r="G128" s="47"/>
      <c r="H128" s="47"/>
      <c r="I128" s="47"/>
      <c r="J128" s="47"/>
      <c r="K128" s="47"/>
      <c r="L128" s="47"/>
      <c r="M128" s="47"/>
      <c r="N128" s="47"/>
      <c r="O128" s="47"/>
      <c r="P128" s="47"/>
      <c r="Q128" s="47"/>
      <c r="R128" s="52">
        <f>('Anambra Workings'!R128+'Niger Workings'!R128)</f>
        <v>0</v>
      </c>
      <c r="S128" s="52">
        <f>('Anambra Workings'!S128+'Niger Workings'!S128)</f>
        <v>0</v>
      </c>
      <c r="T128" s="52">
        <f>('Anambra Workings'!T128+'Niger Workings'!T128)</f>
        <v>0</v>
      </c>
      <c r="U128" s="52">
        <f>('Anambra Workings'!U128+'Niger Workings'!U128)</f>
        <v>0</v>
      </c>
      <c r="V128" s="52">
        <f>('Anambra Workings'!V128+'Niger Workings'!V128)</f>
        <v>0</v>
      </c>
      <c r="W128" s="70">
        <f>('Anambra Workings'!W128+'Niger Workings'!W128)</f>
        <v>5</v>
      </c>
      <c r="X128" s="70">
        <f>('Anambra Workings'!X128+'Niger Workings'!X128)</f>
        <v>7</v>
      </c>
      <c r="Y128" s="70">
        <f>('Anambra Workings'!Y128+'Niger Workings'!Y128)</f>
        <v>0</v>
      </c>
      <c r="Z128" s="70">
        <f>('Anambra Workings'!Z128+'Niger Workings'!Z128)</f>
        <v>0</v>
      </c>
      <c r="AA128" s="49"/>
      <c r="AB128" s="421"/>
      <c r="AC128" s="340"/>
      <c r="AD128" s="452">
        <f>V128</f>
        <v>0</v>
      </c>
      <c r="AE128" s="346"/>
      <c r="AF128" s="452">
        <f t="shared" si="41"/>
        <v>5</v>
      </c>
      <c r="AG128" s="452">
        <f t="shared" si="41"/>
        <v>7</v>
      </c>
      <c r="AH128" s="342">
        <f>AG128</f>
        <v>7</v>
      </c>
      <c r="AI128" s="342">
        <f>AG128</f>
        <v>7</v>
      </c>
    </row>
    <row r="129" spans="1:35" ht="15" customHeight="1">
      <c r="A129" s="45"/>
      <c r="B129" s="46"/>
      <c r="C129" s="48"/>
      <c r="D129" s="422"/>
      <c r="E129" s="422"/>
      <c r="F129" s="422"/>
      <c r="G129" s="83"/>
      <c r="H129" s="83"/>
      <c r="I129" s="83"/>
      <c r="J129" s="83"/>
      <c r="K129" s="83"/>
      <c r="L129" s="48"/>
      <c r="M129" s="48"/>
      <c r="N129" s="83"/>
      <c r="O129" s="83"/>
      <c r="P129" s="48"/>
      <c r="Q129" s="48"/>
      <c r="R129" s="53"/>
      <c r="S129" s="53"/>
      <c r="T129" s="53"/>
      <c r="U129" s="53"/>
      <c r="V129" s="53"/>
      <c r="W129" s="53"/>
      <c r="X129" s="53"/>
      <c r="Y129" s="53"/>
      <c r="Z129" s="53"/>
      <c r="AA129" s="49"/>
      <c r="AB129" s="421"/>
      <c r="AC129" s="340"/>
      <c r="AD129" s="346"/>
      <c r="AE129" s="346"/>
      <c r="AF129" s="346"/>
      <c r="AG129" s="346"/>
      <c r="AI129" s="338"/>
    </row>
    <row r="130" spans="1:35" ht="15" customHeight="1" thickBot="1">
      <c r="A130" s="41" t="s">
        <v>701</v>
      </c>
      <c r="B130" s="42" t="s">
        <v>211</v>
      </c>
      <c r="C130" s="47"/>
      <c r="D130" s="47"/>
      <c r="E130" s="47"/>
      <c r="F130" s="47"/>
      <c r="G130" s="47"/>
      <c r="H130" s="47"/>
      <c r="I130" s="47"/>
      <c r="J130" s="47"/>
      <c r="K130" s="47"/>
      <c r="L130" s="47"/>
      <c r="M130" s="47"/>
      <c r="N130" s="47"/>
      <c r="O130" s="47"/>
      <c r="P130" s="47"/>
      <c r="Q130" s="47"/>
      <c r="R130" s="50">
        <f>('Anambra Workings'!R130+'Niger Workings'!R130)</f>
        <v>0</v>
      </c>
      <c r="S130" s="51">
        <f>('Anambra Workings'!S130+'Niger Workings'!S130)</f>
        <v>0</v>
      </c>
      <c r="T130" s="51">
        <f>('Anambra Workings'!T130+'Niger Workings'!T130)</f>
        <v>0</v>
      </c>
      <c r="U130" s="51">
        <f>('Anambra Workings'!U130+'Niger Workings'!U130)</f>
        <v>0</v>
      </c>
      <c r="V130" s="51">
        <f>('Anambra Workings'!V130+'Niger Workings'!V130)</f>
        <v>0</v>
      </c>
      <c r="W130" s="51">
        <f>('Anambra Workings'!W130+'Niger Workings'!W130)</f>
        <v>0.66666666666666663</v>
      </c>
      <c r="X130" s="51">
        <f>('Anambra Workings'!X130+'Niger Workings'!X130)</f>
        <v>1.3333333333333333</v>
      </c>
      <c r="Y130" s="50">
        <f>('Anambra Workings'!Y130+'Niger Workings'!Y130)</f>
        <v>2</v>
      </c>
      <c r="Z130" s="51">
        <f>('Anambra Workings'!Z130+'Niger Workings'!Z130)</f>
        <v>2</v>
      </c>
      <c r="AA130" s="38">
        <f>'Niger Workings'!AA130*3</f>
        <v>15</v>
      </c>
      <c r="AB130" s="457">
        <f>AA130/22</f>
        <v>0.68181818181818177</v>
      </c>
      <c r="AC130" s="340"/>
      <c r="AD130" s="451">
        <f>V130</f>
        <v>0</v>
      </c>
      <c r="AE130" s="346"/>
      <c r="AF130" s="453">
        <f t="shared" ref="AF130:AG131" si="42">IF($AG$1=16,R130,IF($AG$1=17,S130,IF($AG$1=18,T130,IF($AG$1=19,U130,IF($AG$1=20,V130,IF($AG$1=21,W130,IF($AG$1=22,X130,0)))))))</f>
        <v>0.66666666666666663</v>
      </c>
      <c r="AG130" s="453">
        <f t="shared" si="42"/>
        <v>1.3333333333333333</v>
      </c>
      <c r="AI130" s="338"/>
    </row>
    <row r="131" spans="1:35" ht="15" customHeight="1" thickBot="1">
      <c r="A131" s="45"/>
      <c r="B131" s="46" t="s">
        <v>210</v>
      </c>
      <c r="C131" s="47"/>
      <c r="D131" s="47"/>
      <c r="E131" s="47"/>
      <c r="F131" s="47"/>
      <c r="G131" s="47"/>
      <c r="H131" s="47"/>
      <c r="I131" s="47"/>
      <c r="J131" s="47"/>
      <c r="K131" s="47"/>
      <c r="L131" s="47"/>
      <c r="M131" s="47"/>
      <c r="N131" s="47"/>
      <c r="O131" s="47"/>
      <c r="P131" s="47"/>
      <c r="Q131" s="47"/>
      <c r="R131" s="52">
        <f>('Anambra Workings'!R131+'Niger Workings'!R131)</f>
        <v>0</v>
      </c>
      <c r="S131" s="52">
        <f>('Anambra Workings'!S131+'Niger Workings'!S131)</f>
        <v>0</v>
      </c>
      <c r="T131" s="52">
        <f>('Anambra Workings'!T131+'Niger Workings'!T131)</f>
        <v>0</v>
      </c>
      <c r="U131" s="52">
        <f>('Anambra Workings'!U131+'Niger Workings'!U131)</f>
        <v>0</v>
      </c>
      <c r="V131" s="52">
        <f>('Anambra Workings'!V131+'Niger Workings'!V131)</f>
        <v>0</v>
      </c>
      <c r="W131" s="70">
        <f>('Anambra Workings'!W131+'Niger Workings'!W131)</f>
        <v>3</v>
      </c>
      <c r="X131" s="70">
        <f>('Anambra Workings'!X131+'Niger Workings'!X131)</f>
        <v>3</v>
      </c>
      <c r="Y131" s="70">
        <f>('Anambra Workings'!Y131+'Niger Workings'!Y131)</f>
        <v>0</v>
      </c>
      <c r="Z131" s="70">
        <f>('Anambra Workings'!Z131+'Niger Workings'!Z131)</f>
        <v>0</v>
      </c>
      <c r="AA131" s="49"/>
      <c r="AB131" s="421"/>
      <c r="AC131" s="340"/>
      <c r="AD131" s="452">
        <f>V131</f>
        <v>0</v>
      </c>
      <c r="AE131" s="346"/>
      <c r="AF131" s="452">
        <f t="shared" si="42"/>
        <v>3</v>
      </c>
      <c r="AG131" s="452">
        <f t="shared" si="42"/>
        <v>3</v>
      </c>
      <c r="AH131" s="342">
        <f>AG131</f>
        <v>3</v>
      </c>
      <c r="AI131" s="342">
        <f>AG131</f>
        <v>3</v>
      </c>
    </row>
    <row r="132" spans="1:35" ht="15" customHeight="1">
      <c r="A132" s="45"/>
      <c r="B132" s="46"/>
      <c r="C132" s="48"/>
      <c r="D132" s="422"/>
      <c r="E132" s="422"/>
      <c r="F132" s="422"/>
      <c r="G132" s="83"/>
      <c r="H132" s="83"/>
      <c r="I132" s="83"/>
      <c r="J132" s="83"/>
      <c r="K132" s="83"/>
      <c r="L132" s="48"/>
      <c r="M132" s="48"/>
      <c r="N132" s="83"/>
      <c r="O132" s="83"/>
      <c r="P132" s="48"/>
      <c r="Q132" s="48"/>
      <c r="R132" s="53"/>
      <c r="S132" s="53"/>
      <c r="T132" s="53"/>
      <c r="U132" s="53"/>
      <c r="V132" s="53"/>
      <c r="W132" s="53"/>
      <c r="X132" s="53"/>
      <c r="Y132" s="53"/>
      <c r="Z132" s="53"/>
      <c r="AA132" s="49"/>
      <c r="AB132" s="421"/>
      <c r="AC132" s="340"/>
      <c r="AD132" s="345"/>
      <c r="AE132" s="346"/>
      <c r="AF132" s="454"/>
      <c r="AG132" s="454"/>
      <c r="AI132" s="338"/>
    </row>
    <row r="133" spans="1:35" ht="15" customHeight="1" thickBot="1">
      <c r="A133" s="41" t="s">
        <v>702</v>
      </c>
      <c r="B133" s="42" t="s">
        <v>209</v>
      </c>
      <c r="C133" s="47"/>
      <c r="D133" s="47"/>
      <c r="E133" s="47"/>
      <c r="F133" s="47"/>
      <c r="G133" s="47"/>
      <c r="H133" s="47"/>
      <c r="I133" s="47"/>
      <c r="J133" s="47"/>
      <c r="K133" s="47"/>
      <c r="L133" s="47"/>
      <c r="M133" s="47"/>
      <c r="N133" s="47"/>
      <c r="O133" s="47"/>
      <c r="P133" s="47"/>
      <c r="Q133" s="47"/>
      <c r="R133" s="50">
        <f>('Anambra Workings'!R133+'Niger Workings'!R133)</f>
        <v>0</v>
      </c>
      <c r="S133" s="51">
        <f>('Anambra Workings'!S133+'Niger Workings'!S133)</f>
        <v>0</v>
      </c>
      <c r="T133" s="51">
        <f>('Anambra Workings'!T133+'Niger Workings'!T133)</f>
        <v>0</v>
      </c>
      <c r="U133" s="51">
        <f>('Anambra Workings'!U133+'Niger Workings'!U133)</f>
        <v>0</v>
      </c>
      <c r="V133" s="51">
        <f>('Anambra Workings'!V133+'Niger Workings'!V133)</f>
        <v>0</v>
      </c>
      <c r="W133" s="51">
        <f>('Anambra Workings'!W133+'Niger Workings'!W133)</f>
        <v>0.33333333333333331</v>
      </c>
      <c r="X133" s="51">
        <f>('Anambra Workings'!X133+'Niger Workings'!X133)</f>
        <v>0.66666666666666663</v>
      </c>
      <c r="Y133" s="50">
        <f>('Anambra Workings'!Y133+'Niger Workings'!Y133)</f>
        <v>1</v>
      </c>
      <c r="Z133" s="51">
        <f>('Anambra Workings'!Z133+'Niger Workings'!Z133)</f>
        <v>1</v>
      </c>
      <c r="AA133" s="38">
        <f>'Niger Workings'!AA133*3</f>
        <v>15</v>
      </c>
      <c r="AB133" s="457">
        <f>AA133/22</f>
        <v>0.68181818181818177</v>
      </c>
      <c r="AC133" s="340"/>
      <c r="AD133" s="451">
        <f>V133</f>
        <v>0</v>
      </c>
      <c r="AE133" s="346"/>
      <c r="AF133" s="453">
        <f t="shared" ref="AF133:AG134" si="43">IF($AG$1=16,R133,IF($AG$1=17,S133,IF($AG$1=18,T133,IF($AG$1=19,U133,IF($AG$1=20,V133,IF($AG$1=21,W133,IF($AG$1=22,X133,0)))))))</f>
        <v>0.33333333333333331</v>
      </c>
      <c r="AG133" s="453">
        <f t="shared" si="43"/>
        <v>0.66666666666666663</v>
      </c>
      <c r="AI133" s="338"/>
    </row>
    <row r="134" spans="1:35" ht="15" customHeight="1" thickBot="1">
      <c r="A134" s="45"/>
      <c r="B134" s="46" t="s">
        <v>208</v>
      </c>
      <c r="C134" s="47"/>
      <c r="D134" s="47"/>
      <c r="E134" s="47"/>
      <c r="F134" s="47"/>
      <c r="G134" s="47"/>
      <c r="H134" s="47"/>
      <c r="I134" s="47"/>
      <c r="J134" s="47"/>
      <c r="K134" s="47"/>
      <c r="L134" s="47"/>
      <c r="M134" s="47"/>
      <c r="N134" s="47"/>
      <c r="O134" s="47"/>
      <c r="P134" s="47"/>
      <c r="Q134" s="47"/>
      <c r="R134" s="52">
        <f>('Anambra Workings'!R134+'Niger Workings'!R134)</f>
        <v>0</v>
      </c>
      <c r="S134" s="52">
        <f>('Anambra Workings'!S134+'Niger Workings'!S134)</f>
        <v>0</v>
      </c>
      <c r="T134" s="52">
        <f>('Anambra Workings'!T134+'Niger Workings'!T134)</f>
        <v>0</v>
      </c>
      <c r="U134" s="52">
        <f>('Anambra Workings'!U134+'Niger Workings'!U134)</f>
        <v>0</v>
      </c>
      <c r="V134" s="52">
        <f>('Anambra Workings'!V134+'Niger Workings'!V134)</f>
        <v>0</v>
      </c>
      <c r="W134" s="70">
        <f>('Anambra Workings'!W134+'Niger Workings'!W134)</f>
        <v>1</v>
      </c>
      <c r="X134" s="70">
        <f>('Anambra Workings'!X134+'Niger Workings'!X134)</f>
        <v>1</v>
      </c>
      <c r="Y134" s="70">
        <f>('Anambra Workings'!Y134+'Niger Workings'!Y134)</f>
        <v>0</v>
      </c>
      <c r="Z134" s="70">
        <f>('Anambra Workings'!Z134+'Niger Workings'!Z134)</f>
        <v>0</v>
      </c>
      <c r="AA134" s="49"/>
      <c r="AB134" s="421"/>
      <c r="AC134" s="340"/>
      <c r="AD134" s="452">
        <f>V134</f>
        <v>0</v>
      </c>
      <c r="AE134" s="346"/>
      <c r="AF134" s="452">
        <f t="shared" si="43"/>
        <v>1</v>
      </c>
      <c r="AG134" s="452">
        <f t="shared" si="43"/>
        <v>1</v>
      </c>
      <c r="AH134" s="342">
        <f>AG134</f>
        <v>1</v>
      </c>
      <c r="AI134" s="342">
        <f>AG134</f>
        <v>1</v>
      </c>
    </row>
    <row r="135" spans="1:35" ht="15" customHeight="1">
      <c r="A135" s="45"/>
      <c r="B135" s="46"/>
      <c r="C135" s="48"/>
      <c r="D135" s="422"/>
      <c r="E135" s="422"/>
      <c r="F135" s="422"/>
      <c r="G135" s="83"/>
      <c r="H135" s="83"/>
      <c r="I135" s="83"/>
      <c r="J135" s="83"/>
      <c r="K135" s="83"/>
      <c r="L135" s="48"/>
      <c r="M135" s="48"/>
      <c r="N135" s="83"/>
      <c r="O135" s="83"/>
      <c r="P135" s="48"/>
      <c r="Q135" s="48"/>
      <c r="R135" s="53"/>
      <c r="S135" s="53"/>
      <c r="T135" s="53"/>
      <c r="U135" s="53"/>
      <c r="V135" s="53"/>
      <c r="W135" s="53"/>
      <c r="X135" s="53"/>
      <c r="Y135" s="53"/>
      <c r="Z135" s="53"/>
      <c r="AA135" s="49"/>
      <c r="AB135" s="421"/>
      <c r="AC135" s="340"/>
      <c r="AD135" s="345"/>
      <c r="AE135" s="346"/>
      <c r="AF135" s="454"/>
      <c r="AG135" s="454"/>
      <c r="AI135" s="338"/>
    </row>
    <row r="136" spans="1:35" ht="15" customHeight="1" thickBot="1">
      <c r="A136" s="41" t="s">
        <v>703</v>
      </c>
      <c r="B136" s="42" t="s">
        <v>824</v>
      </c>
      <c r="C136" s="47"/>
      <c r="D136" s="47"/>
      <c r="E136" s="47"/>
      <c r="F136" s="47"/>
      <c r="G136" s="47"/>
      <c r="H136" s="47"/>
      <c r="I136" s="47"/>
      <c r="J136" s="47"/>
      <c r="K136" s="47"/>
      <c r="L136" s="47"/>
      <c r="M136" s="47"/>
      <c r="N136" s="47"/>
      <c r="O136" s="47"/>
      <c r="P136" s="47"/>
      <c r="Q136" s="47"/>
      <c r="R136" s="50">
        <f>('Anambra Workings'!R136+'Niger Workings'!R136)</f>
        <v>0</v>
      </c>
      <c r="S136" s="51">
        <f>('Anambra Workings'!S136+'Niger Workings'!S136)</f>
        <v>0</v>
      </c>
      <c r="T136" s="51">
        <f>('Anambra Workings'!T136+'Niger Workings'!T136)</f>
        <v>0</v>
      </c>
      <c r="U136" s="51">
        <f>('Anambra Workings'!U136+'Niger Workings'!U136)</f>
        <v>0</v>
      </c>
      <c r="V136" s="51">
        <f>('Anambra Workings'!V136+'Niger Workings'!V136)</f>
        <v>0</v>
      </c>
      <c r="W136" s="51">
        <f>('Anambra Workings'!W136+'Niger Workings'!W136)</f>
        <v>1.6666666666666665</v>
      </c>
      <c r="X136" s="51">
        <f>('Anambra Workings'!X136+'Niger Workings'!X136)</f>
        <v>3.333333333333333</v>
      </c>
      <c r="Y136" s="50">
        <f>('Anambra Workings'!Y136+'Niger Workings'!Y136)</f>
        <v>5</v>
      </c>
      <c r="Z136" s="51">
        <f>('Anambra Workings'!Z136+'Niger Workings'!Z136)</f>
        <v>5</v>
      </c>
      <c r="AA136" s="38">
        <f>'Niger Workings'!AA136*3</f>
        <v>30</v>
      </c>
      <c r="AB136" s="457">
        <f>AA136/22</f>
        <v>1.3636363636363635</v>
      </c>
      <c r="AC136" s="340"/>
      <c r="AD136" s="451">
        <f>V136</f>
        <v>0</v>
      </c>
      <c r="AE136" s="346"/>
      <c r="AF136" s="453">
        <f t="shared" ref="AF136:AG137" si="44">IF($AG$1=16,R136,IF($AG$1=17,S136,IF($AG$1=18,T136,IF($AG$1=19,U136,IF($AG$1=20,V136,IF($AG$1=21,W136,IF($AG$1=22,X136,0)))))))</f>
        <v>1.6666666666666665</v>
      </c>
      <c r="AG136" s="453">
        <f t="shared" si="44"/>
        <v>3.333333333333333</v>
      </c>
      <c r="AI136" s="338"/>
    </row>
    <row r="137" spans="1:35" ht="15" customHeight="1" thickBot="1">
      <c r="A137" s="45"/>
      <c r="B137" s="46" t="s">
        <v>825</v>
      </c>
      <c r="C137" s="47"/>
      <c r="D137" s="47"/>
      <c r="E137" s="47"/>
      <c r="F137" s="47"/>
      <c r="G137" s="47"/>
      <c r="H137" s="47"/>
      <c r="I137" s="47"/>
      <c r="J137" s="47"/>
      <c r="K137" s="47"/>
      <c r="L137" s="47"/>
      <c r="M137" s="47"/>
      <c r="N137" s="47"/>
      <c r="O137" s="47"/>
      <c r="P137" s="47"/>
      <c r="Q137" s="47"/>
      <c r="R137" s="52">
        <f>('Anambra Workings'!R137+'Niger Workings'!R137)</f>
        <v>0</v>
      </c>
      <c r="S137" s="52">
        <f>('Anambra Workings'!S137+'Niger Workings'!S137)</f>
        <v>0</v>
      </c>
      <c r="T137" s="52">
        <f>('Anambra Workings'!T137+'Niger Workings'!T137)</f>
        <v>0</v>
      </c>
      <c r="U137" s="52">
        <f>('Anambra Workings'!U137+'Niger Workings'!U137)</f>
        <v>0</v>
      </c>
      <c r="V137" s="52">
        <f>('Anambra Workings'!V137+'Niger Workings'!V137)</f>
        <v>0</v>
      </c>
      <c r="W137" s="70">
        <f>('Anambra Workings'!W137+'Niger Workings'!W137)</f>
        <v>7</v>
      </c>
      <c r="X137" s="70">
        <f>('Anambra Workings'!X137+'Niger Workings'!X137)</f>
        <v>9</v>
      </c>
      <c r="Y137" s="70">
        <f>('Anambra Workings'!Y137+'Niger Workings'!Y137)</f>
        <v>0</v>
      </c>
      <c r="Z137" s="70">
        <f>('Anambra Workings'!Z137+'Niger Workings'!Z137)</f>
        <v>0</v>
      </c>
      <c r="AA137" s="49"/>
      <c r="AB137" s="421"/>
      <c r="AC137" s="340"/>
      <c r="AD137" s="452">
        <f>V137</f>
        <v>0</v>
      </c>
      <c r="AE137" s="346"/>
      <c r="AF137" s="452">
        <f t="shared" si="44"/>
        <v>7</v>
      </c>
      <c r="AG137" s="452">
        <f t="shared" si="44"/>
        <v>9</v>
      </c>
      <c r="AH137" s="342">
        <f>AG137</f>
        <v>9</v>
      </c>
      <c r="AI137" s="342">
        <f>AG137</f>
        <v>9</v>
      </c>
    </row>
    <row r="138" spans="1:35" ht="15" customHeight="1">
      <c r="C138" s="48"/>
      <c r="D138" s="422"/>
      <c r="E138" s="422"/>
      <c r="F138" s="422"/>
      <c r="G138" s="83"/>
      <c r="H138" s="83"/>
      <c r="I138" s="83"/>
      <c r="J138" s="83"/>
      <c r="K138" s="83"/>
      <c r="L138" s="48"/>
      <c r="M138" s="48"/>
      <c r="N138" s="83"/>
      <c r="O138" s="83"/>
      <c r="P138" s="48"/>
      <c r="Q138" s="48"/>
      <c r="R138" s="53"/>
      <c r="S138" s="53"/>
      <c r="T138" s="53"/>
      <c r="U138" s="53"/>
      <c r="V138" s="53"/>
      <c r="W138" s="53"/>
      <c r="X138" s="53"/>
      <c r="Y138" s="53"/>
      <c r="Z138" s="53"/>
      <c r="AB138" s="420"/>
      <c r="AC138" s="340"/>
      <c r="AD138" s="345"/>
      <c r="AE138" s="346"/>
      <c r="AF138" s="454"/>
      <c r="AG138" s="454"/>
      <c r="AI138" s="338"/>
    </row>
    <row r="139" spans="1:35" ht="15" customHeight="1" thickBot="1">
      <c r="A139" s="41" t="s">
        <v>704</v>
      </c>
      <c r="B139" s="42" t="s">
        <v>826</v>
      </c>
      <c r="C139" s="47"/>
      <c r="D139" s="47"/>
      <c r="E139" s="47"/>
      <c r="F139" s="47"/>
      <c r="G139" s="47"/>
      <c r="H139" s="47"/>
      <c r="I139" s="47"/>
      <c r="J139" s="47"/>
      <c r="K139" s="47"/>
      <c r="L139" s="47"/>
      <c r="M139" s="47"/>
      <c r="N139" s="47"/>
      <c r="O139" s="47"/>
      <c r="P139" s="47"/>
      <c r="Q139" s="47"/>
      <c r="R139" s="50">
        <f>('Anambra Workings'!R139+'Niger Workings'!R139)</f>
        <v>0</v>
      </c>
      <c r="S139" s="51">
        <f>('Anambra Workings'!S139+'Niger Workings'!S139)</f>
        <v>0</v>
      </c>
      <c r="T139" s="51">
        <f>('Anambra Workings'!T139+'Niger Workings'!T139)</f>
        <v>0</v>
      </c>
      <c r="U139" s="51">
        <f>('Anambra Workings'!U139+'Niger Workings'!U139)</f>
        <v>0</v>
      </c>
      <c r="V139" s="51">
        <f>('Anambra Workings'!V139+'Niger Workings'!V139)</f>
        <v>0</v>
      </c>
      <c r="W139" s="51">
        <f>('Anambra Workings'!W139+'Niger Workings'!W139)</f>
        <v>0.66666666666666663</v>
      </c>
      <c r="X139" s="51">
        <f>('Anambra Workings'!X139+'Niger Workings'!X139)</f>
        <v>1.3333333333333333</v>
      </c>
      <c r="Y139" s="50">
        <f>('Anambra Workings'!Y139+'Niger Workings'!Y139)</f>
        <v>2</v>
      </c>
      <c r="Z139" s="51">
        <f>('Anambra Workings'!Z139+'Niger Workings'!Z139)</f>
        <v>2</v>
      </c>
      <c r="AA139" s="38">
        <f>'Niger Workings'!AA139*3</f>
        <v>30</v>
      </c>
      <c r="AB139" s="457">
        <f>AA139/22</f>
        <v>1.3636363636363635</v>
      </c>
      <c r="AC139" s="340"/>
      <c r="AD139" s="451">
        <f>V139</f>
        <v>0</v>
      </c>
      <c r="AE139" s="346"/>
      <c r="AF139" s="453">
        <f t="shared" ref="AF139:AG140" si="45">IF($AG$1=16,R139,IF($AG$1=17,S139,IF($AG$1=18,T139,IF($AG$1=19,U139,IF($AG$1=20,V139,IF($AG$1=21,W139,IF($AG$1=22,X139,0)))))))</f>
        <v>0.66666666666666663</v>
      </c>
      <c r="AG139" s="453">
        <f t="shared" si="45"/>
        <v>1.3333333333333333</v>
      </c>
      <c r="AI139" s="338"/>
    </row>
    <row r="140" spans="1:35" ht="15" customHeight="1" thickBot="1">
      <c r="A140" s="45"/>
      <c r="B140" s="46" t="s">
        <v>827</v>
      </c>
      <c r="C140" s="47"/>
      <c r="D140" s="47"/>
      <c r="E140" s="47"/>
      <c r="F140" s="47"/>
      <c r="G140" s="47"/>
      <c r="H140" s="47"/>
      <c r="I140" s="47"/>
      <c r="J140" s="47"/>
      <c r="K140" s="47"/>
      <c r="L140" s="47"/>
      <c r="M140" s="47"/>
      <c r="N140" s="47"/>
      <c r="O140" s="47"/>
      <c r="P140" s="47"/>
      <c r="Q140" s="47"/>
      <c r="R140" s="52">
        <f>('Anambra Workings'!R140+'Niger Workings'!R140)</f>
        <v>0</v>
      </c>
      <c r="S140" s="52">
        <f>('Anambra Workings'!S140+'Niger Workings'!S140)</f>
        <v>0</v>
      </c>
      <c r="T140" s="52">
        <f>('Anambra Workings'!T140+'Niger Workings'!T140)</f>
        <v>0</v>
      </c>
      <c r="U140" s="52">
        <f>('Anambra Workings'!U140+'Niger Workings'!U140)</f>
        <v>0</v>
      </c>
      <c r="V140" s="52">
        <f>('Anambra Workings'!V140+'Niger Workings'!V140)</f>
        <v>0</v>
      </c>
      <c r="W140" s="70">
        <f>('Anambra Workings'!W140+'Niger Workings'!W140)</f>
        <v>3</v>
      </c>
      <c r="X140" s="70">
        <f>('Anambra Workings'!X140+'Niger Workings'!X140)</f>
        <v>3</v>
      </c>
      <c r="Y140" s="70">
        <f>('Anambra Workings'!Y140+'Niger Workings'!Y140)</f>
        <v>0</v>
      </c>
      <c r="Z140" s="70">
        <f>('Anambra Workings'!Z140+'Niger Workings'!Z140)</f>
        <v>0</v>
      </c>
      <c r="AA140" s="49"/>
      <c r="AB140" s="421"/>
      <c r="AC140" s="340"/>
      <c r="AD140" s="452">
        <f>V140</f>
        <v>0</v>
      </c>
      <c r="AE140" s="346"/>
      <c r="AF140" s="452">
        <f t="shared" si="45"/>
        <v>3</v>
      </c>
      <c r="AG140" s="452">
        <f t="shared" si="45"/>
        <v>3</v>
      </c>
      <c r="AH140" s="342">
        <f>AG140</f>
        <v>3</v>
      </c>
      <c r="AI140" s="342">
        <f>AG140</f>
        <v>3</v>
      </c>
    </row>
    <row r="141" spans="1:35" ht="15" customHeight="1">
      <c r="A141" s="45"/>
      <c r="B141" s="46"/>
      <c r="C141" s="48"/>
      <c r="D141" s="422"/>
      <c r="E141" s="422"/>
      <c r="F141" s="422"/>
      <c r="G141" s="83"/>
      <c r="H141" s="83"/>
      <c r="I141" s="83"/>
      <c r="J141" s="83"/>
      <c r="K141" s="83"/>
      <c r="L141" s="48"/>
      <c r="M141" s="48"/>
      <c r="N141" s="83"/>
      <c r="O141" s="83"/>
      <c r="P141" s="48"/>
      <c r="Q141" s="48"/>
      <c r="R141" s="53"/>
      <c r="S141" s="53"/>
      <c r="T141" s="53"/>
      <c r="U141" s="53"/>
      <c r="V141" s="53"/>
      <c r="W141" s="53"/>
      <c r="X141" s="53"/>
      <c r="Y141" s="53"/>
      <c r="Z141" s="53"/>
      <c r="AA141" s="49"/>
      <c r="AB141" s="421"/>
      <c r="AC141" s="340"/>
      <c r="AD141" s="346"/>
      <c r="AE141" s="346"/>
      <c r="AF141" s="346"/>
      <c r="AG141" s="346"/>
      <c r="AI141" s="338"/>
    </row>
    <row r="142" spans="1:35" ht="15" customHeight="1" thickBot="1">
      <c r="A142" s="41" t="s">
        <v>705</v>
      </c>
      <c r="B142" s="42" t="s">
        <v>828</v>
      </c>
      <c r="C142" s="47"/>
      <c r="D142" s="47"/>
      <c r="E142" s="47"/>
      <c r="F142" s="47"/>
      <c r="G142" s="47"/>
      <c r="H142" s="47"/>
      <c r="I142" s="47"/>
      <c r="J142" s="47"/>
      <c r="K142" s="47"/>
      <c r="L142" s="47"/>
      <c r="M142" s="47"/>
      <c r="N142" s="47"/>
      <c r="O142" s="47"/>
      <c r="P142" s="47"/>
      <c r="Q142" s="47"/>
      <c r="R142" s="50">
        <f>('Anambra Workings'!R142+'Niger Workings'!R142)</f>
        <v>0</v>
      </c>
      <c r="S142" s="51">
        <f>('Anambra Workings'!S142+'Niger Workings'!S142)</f>
        <v>0</v>
      </c>
      <c r="T142" s="51">
        <f>('Anambra Workings'!T142+'Niger Workings'!T142)</f>
        <v>0</v>
      </c>
      <c r="U142" s="51">
        <f>('Anambra Workings'!U142+'Niger Workings'!U142)</f>
        <v>0</v>
      </c>
      <c r="V142" s="51">
        <f>('Anambra Workings'!V142+'Niger Workings'!V142)</f>
        <v>0</v>
      </c>
      <c r="W142" s="51">
        <f>('Anambra Workings'!W142+'Niger Workings'!W142)</f>
        <v>0.33333333333333331</v>
      </c>
      <c r="X142" s="51">
        <f>('Anambra Workings'!X142+'Niger Workings'!X142)</f>
        <v>0.66666666666666663</v>
      </c>
      <c r="Y142" s="50">
        <f>('Anambra Workings'!Y142+'Niger Workings'!Y142)</f>
        <v>1</v>
      </c>
      <c r="Z142" s="51">
        <f>('Anambra Workings'!Z142+'Niger Workings'!Z142)</f>
        <v>1</v>
      </c>
      <c r="AA142" s="38">
        <f>'Niger Workings'!AA142*3</f>
        <v>15</v>
      </c>
      <c r="AB142" s="457">
        <f>AA142/22</f>
        <v>0.68181818181818177</v>
      </c>
      <c r="AC142" s="340"/>
      <c r="AD142" s="451">
        <f>V142</f>
        <v>0</v>
      </c>
      <c r="AE142" s="346"/>
      <c r="AF142" s="453">
        <f t="shared" ref="AF142:AG143" si="46">IF($AG$1=16,R142,IF($AG$1=17,S142,IF($AG$1=18,T142,IF($AG$1=19,U142,IF($AG$1=20,V142,IF($AG$1=21,W142,IF($AG$1=22,X142,0)))))))</f>
        <v>0.33333333333333331</v>
      </c>
      <c r="AG142" s="453">
        <f t="shared" si="46"/>
        <v>0.66666666666666663</v>
      </c>
      <c r="AI142" s="338"/>
    </row>
    <row r="143" spans="1:35" ht="15" customHeight="1" thickBot="1">
      <c r="A143" s="45"/>
      <c r="B143" s="46" t="s">
        <v>829</v>
      </c>
      <c r="C143" s="47"/>
      <c r="D143" s="47"/>
      <c r="E143" s="47"/>
      <c r="F143" s="47"/>
      <c r="G143" s="47"/>
      <c r="H143" s="47"/>
      <c r="I143" s="47"/>
      <c r="J143" s="47"/>
      <c r="K143" s="47"/>
      <c r="L143" s="47"/>
      <c r="M143" s="47"/>
      <c r="N143" s="47"/>
      <c r="O143" s="47"/>
      <c r="P143" s="47"/>
      <c r="Q143" s="47"/>
      <c r="R143" s="52">
        <f>('Anambra Workings'!R143+'Niger Workings'!R143)</f>
        <v>0</v>
      </c>
      <c r="S143" s="52">
        <f>('Anambra Workings'!S143+'Niger Workings'!S143)</f>
        <v>0</v>
      </c>
      <c r="T143" s="52">
        <f>('Anambra Workings'!T143+'Niger Workings'!T143)</f>
        <v>0</v>
      </c>
      <c r="U143" s="52">
        <f>('Anambra Workings'!U143+'Niger Workings'!U143)</f>
        <v>0</v>
      </c>
      <c r="V143" s="52">
        <f>('Anambra Workings'!V143+'Niger Workings'!V143)</f>
        <v>0</v>
      </c>
      <c r="W143" s="70">
        <f>('Anambra Workings'!W143+'Niger Workings'!W143)</f>
        <v>0</v>
      </c>
      <c r="X143" s="70">
        <f>('Anambra Workings'!X143+'Niger Workings'!X143)</f>
        <v>0</v>
      </c>
      <c r="Y143" s="70">
        <f>('Anambra Workings'!Y143+'Niger Workings'!Y143)</f>
        <v>0</v>
      </c>
      <c r="Z143" s="70">
        <f>('Anambra Workings'!Z143+'Niger Workings'!Z143)</f>
        <v>0</v>
      </c>
      <c r="AA143" s="49"/>
      <c r="AB143" s="421"/>
      <c r="AC143" s="340"/>
      <c r="AD143" s="452">
        <f>V143</f>
        <v>0</v>
      </c>
      <c r="AE143" s="346"/>
      <c r="AF143" s="452">
        <f t="shared" si="46"/>
        <v>0</v>
      </c>
      <c r="AG143" s="452">
        <f t="shared" si="46"/>
        <v>0</v>
      </c>
      <c r="AH143" s="342">
        <f>AG143</f>
        <v>0</v>
      </c>
      <c r="AI143" s="342">
        <f>AG143</f>
        <v>0</v>
      </c>
    </row>
    <row r="144" spans="1:35" ht="15" customHeight="1">
      <c r="A144" s="45"/>
      <c r="B144" s="46"/>
      <c r="C144" s="48"/>
      <c r="D144" s="422"/>
      <c r="E144" s="422"/>
      <c r="F144" s="422"/>
      <c r="G144" s="83"/>
      <c r="H144" s="83"/>
      <c r="I144" s="83"/>
      <c r="J144" s="83"/>
      <c r="K144" s="83"/>
      <c r="L144" s="48"/>
      <c r="M144" s="48"/>
      <c r="N144" s="83"/>
      <c r="O144" s="83"/>
      <c r="P144" s="48"/>
      <c r="Q144" s="48"/>
      <c r="R144" s="53"/>
      <c r="S144" s="53"/>
      <c r="T144" s="53"/>
      <c r="U144" s="53"/>
      <c r="V144" s="53"/>
      <c r="W144" s="53"/>
      <c r="X144" s="53"/>
      <c r="Y144" s="53"/>
      <c r="Z144" s="53"/>
      <c r="AA144" s="49"/>
      <c r="AB144" s="421"/>
      <c r="AC144" s="340"/>
      <c r="AD144" s="345"/>
      <c r="AE144" s="346"/>
      <c r="AF144" s="454"/>
      <c r="AG144" s="454"/>
      <c r="AI144" s="338"/>
    </row>
    <row r="145" spans="1:35" ht="15" customHeight="1" thickBot="1">
      <c r="A145" s="41" t="s">
        <v>706</v>
      </c>
      <c r="B145" s="42" t="s">
        <v>830</v>
      </c>
      <c r="C145" s="47"/>
      <c r="D145" s="47"/>
      <c r="E145" s="47"/>
      <c r="F145" s="47"/>
      <c r="G145" s="47"/>
      <c r="H145" s="47"/>
      <c r="I145" s="47"/>
      <c r="J145" s="47"/>
      <c r="K145" s="47"/>
      <c r="L145" s="47"/>
      <c r="M145" s="47"/>
      <c r="N145" s="47"/>
      <c r="O145" s="47"/>
      <c r="P145" s="47"/>
      <c r="Q145" s="47"/>
      <c r="R145" s="50">
        <f>('Anambra Workings'!R145+'Niger Workings'!R145)</f>
        <v>0</v>
      </c>
      <c r="S145" s="51">
        <f>('Anambra Workings'!S145+'Niger Workings'!S145)</f>
        <v>0</v>
      </c>
      <c r="T145" s="51">
        <f>('Anambra Workings'!T145+'Niger Workings'!T145)</f>
        <v>0</v>
      </c>
      <c r="U145" s="51">
        <f>('Anambra Workings'!U145+'Niger Workings'!U145)</f>
        <v>0</v>
      </c>
      <c r="V145" s="51">
        <f>('Anambra Workings'!V145+'Niger Workings'!V145)</f>
        <v>0</v>
      </c>
      <c r="W145" s="51">
        <f>('Anambra Workings'!W145+'Niger Workings'!W145)</f>
        <v>0.33333333333333331</v>
      </c>
      <c r="X145" s="51">
        <f>('Anambra Workings'!X145+'Niger Workings'!X145)</f>
        <v>0.66666666666666663</v>
      </c>
      <c r="Y145" s="50">
        <f>('Anambra Workings'!Y145+'Niger Workings'!Y145)</f>
        <v>1</v>
      </c>
      <c r="Z145" s="51">
        <f>('Anambra Workings'!Z145+'Niger Workings'!Z145)</f>
        <v>1</v>
      </c>
      <c r="AA145" s="38">
        <f>'Niger Workings'!AA145*3</f>
        <v>15</v>
      </c>
      <c r="AB145" s="457">
        <f>AA145/22</f>
        <v>0.68181818181818177</v>
      </c>
      <c r="AC145" s="340"/>
      <c r="AD145" s="451">
        <f>V145</f>
        <v>0</v>
      </c>
      <c r="AE145" s="346"/>
      <c r="AF145" s="453">
        <f t="shared" ref="AF145:AG146" si="47">IF($AG$1=16,R145,IF($AG$1=17,S145,IF($AG$1=18,T145,IF($AG$1=19,U145,IF($AG$1=20,V145,IF($AG$1=21,W145,IF($AG$1=22,X145,0)))))))</f>
        <v>0.33333333333333331</v>
      </c>
      <c r="AG145" s="453">
        <f t="shared" si="47"/>
        <v>0.66666666666666663</v>
      </c>
      <c r="AI145" s="338"/>
    </row>
    <row r="146" spans="1:35" ht="15" customHeight="1" thickBot="1">
      <c r="A146" s="45"/>
      <c r="B146" s="46" t="s">
        <v>831</v>
      </c>
      <c r="C146" s="47"/>
      <c r="D146" s="47"/>
      <c r="E146" s="47"/>
      <c r="F146" s="47"/>
      <c r="G146" s="47"/>
      <c r="H146" s="47"/>
      <c r="I146" s="47"/>
      <c r="J146" s="47"/>
      <c r="K146" s="47"/>
      <c r="L146" s="47"/>
      <c r="M146" s="47"/>
      <c r="N146" s="47"/>
      <c r="O146" s="47"/>
      <c r="P146" s="47"/>
      <c r="Q146" s="47"/>
      <c r="R146" s="52">
        <f>('Anambra Workings'!R146+'Niger Workings'!R146)</f>
        <v>0</v>
      </c>
      <c r="S146" s="52">
        <f>('Anambra Workings'!S146+'Niger Workings'!S146)</f>
        <v>0</v>
      </c>
      <c r="T146" s="52">
        <f>('Anambra Workings'!T146+'Niger Workings'!T146)</f>
        <v>0</v>
      </c>
      <c r="U146" s="52">
        <f>('Anambra Workings'!U146+'Niger Workings'!U146)</f>
        <v>0</v>
      </c>
      <c r="V146" s="52">
        <f>('Anambra Workings'!V146+'Niger Workings'!V146)</f>
        <v>0</v>
      </c>
      <c r="W146" s="70">
        <f>('Anambra Workings'!W146+'Niger Workings'!W146)</f>
        <v>0</v>
      </c>
      <c r="X146" s="70">
        <f>('Anambra Workings'!X146+'Niger Workings'!X146)</f>
        <v>0</v>
      </c>
      <c r="Y146" s="70">
        <f>('Anambra Workings'!Y146+'Niger Workings'!Y146)</f>
        <v>0</v>
      </c>
      <c r="Z146" s="70">
        <f>('Anambra Workings'!Z146+'Niger Workings'!Z146)</f>
        <v>0</v>
      </c>
      <c r="AA146" s="49"/>
      <c r="AB146" s="421"/>
      <c r="AC146" s="340"/>
      <c r="AD146" s="452">
        <f>V146</f>
        <v>0</v>
      </c>
      <c r="AE146" s="346"/>
      <c r="AF146" s="452">
        <f t="shared" si="47"/>
        <v>0</v>
      </c>
      <c r="AG146" s="452">
        <f t="shared" si="47"/>
        <v>0</v>
      </c>
      <c r="AH146" s="342">
        <f>AG146</f>
        <v>0</v>
      </c>
      <c r="AI146" s="342">
        <f>AG146</f>
        <v>0</v>
      </c>
    </row>
    <row r="147" spans="1:35" ht="15" customHeight="1">
      <c r="A147" s="45"/>
      <c r="B147" s="46"/>
      <c r="C147" s="53"/>
      <c r="D147" s="75"/>
      <c r="E147" s="75"/>
      <c r="F147" s="75"/>
      <c r="G147" s="75"/>
      <c r="H147" s="75"/>
      <c r="I147" s="75"/>
      <c r="J147" s="75"/>
      <c r="K147" s="75"/>
      <c r="L147" s="53"/>
      <c r="M147" s="53"/>
      <c r="N147" s="83"/>
      <c r="O147" s="83"/>
      <c r="P147" s="48"/>
      <c r="Q147" s="48"/>
      <c r="R147" s="53"/>
      <c r="S147" s="48"/>
      <c r="T147" s="48"/>
      <c r="U147" s="48"/>
      <c r="V147" s="48"/>
      <c r="W147" s="48"/>
      <c r="X147" s="48"/>
      <c r="Y147" s="48"/>
      <c r="Z147" s="48"/>
      <c r="AA147" s="49"/>
      <c r="AB147" s="421"/>
      <c r="AI147" s="338"/>
    </row>
    <row r="148" spans="1:35" ht="15" customHeight="1">
      <c r="A148" s="38"/>
      <c r="AI148" s="338"/>
    </row>
    <row r="149" spans="1:35" ht="15" customHeight="1">
      <c r="C149" s="55" t="s">
        <v>194</v>
      </c>
      <c r="D149" s="431"/>
      <c r="E149" s="432"/>
      <c r="F149" s="433"/>
    </row>
    <row r="150" spans="1:35" ht="15" customHeight="1">
      <c r="C150" s="55" t="s">
        <v>195</v>
      </c>
      <c r="D150" s="434" t="s">
        <v>196</v>
      </c>
      <c r="E150" s="435" t="s">
        <v>153</v>
      </c>
      <c r="F150" s="435" t="s">
        <v>154</v>
      </c>
      <c r="G150" s="435" t="s">
        <v>158</v>
      </c>
      <c r="H150" s="434" t="s">
        <v>197</v>
      </c>
    </row>
    <row r="151" spans="1:35" ht="15" customHeight="1">
      <c r="C151" s="55"/>
      <c r="D151" s="434"/>
      <c r="E151" s="435"/>
      <c r="F151" s="435"/>
      <c r="G151" s="435"/>
      <c r="H151" s="434"/>
    </row>
    <row r="152" spans="1:35" ht="15" customHeight="1"/>
    <row r="153" spans="1:35" ht="15" customHeight="1">
      <c r="A153" s="1356" t="s">
        <v>727</v>
      </c>
      <c r="B153" s="1356"/>
    </row>
    <row r="154" spans="1:35" ht="15" customHeight="1">
      <c r="A154" s="1356"/>
      <c r="B154" s="1356"/>
    </row>
    <row r="155" spans="1:35" ht="15" customHeight="1">
      <c r="A155" s="1356"/>
      <c r="B155" s="1356"/>
    </row>
    <row r="156" spans="1:35" ht="15" customHeight="1">
      <c r="A156" s="1356"/>
      <c r="B156" s="1356"/>
    </row>
    <row r="157" spans="1:35" ht="15" customHeight="1">
      <c r="A157" s="1356"/>
      <c r="B157" s="1356"/>
    </row>
  </sheetData>
  <sheetProtection password="CF55" sheet="1" objects="1" scenarios="1" selectLockedCells="1"/>
  <mergeCells count="7">
    <mergeCell ref="S1:V1"/>
    <mergeCell ref="W1:Z1"/>
    <mergeCell ref="A153:B157"/>
    <mergeCell ref="D1:G1"/>
    <mergeCell ref="H1:K1"/>
    <mergeCell ref="L1:N1"/>
    <mergeCell ref="O1:R1"/>
  </mergeCells>
  <conditionalFormatting sqref="AH5">
    <cfRule type="iconSet" priority="381">
      <iconSet iconSet="5ArrowsGray" showValue="0">
        <cfvo type="percent" val="0"/>
        <cfvo type="formula" val="$AF$5-$AB$4" gte="0"/>
        <cfvo type="formula" val="$AF$5"/>
        <cfvo type="formula" val="$AF$5" gte="0"/>
        <cfvo type="formula" val="$AF$5+$AB$4"/>
      </iconSet>
    </cfRule>
  </conditionalFormatting>
  <conditionalFormatting sqref="AH5">
    <cfRule type="cellIs" dxfId="839" priority="382" stopIfTrue="1" operator="greaterThanOrEqual">
      <formula>AG4</formula>
    </cfRule>
    <cfRule type="cellIs" dxfId="838" priority="384" stopIfTrue="1" operator="lessThan">
      <formula>AG4</formula>
    </cfRule>
  </conditionalFormatting>
  <conditionalFormatting sqref="AH5">
    <cfRule type="cellIs" dxfId="837" priority="383" stopIfTrue="1" operator="lessThan">
      <formula>AD4</formula>
    </cfRule>
  </conditionalFormatting>
  <conditionalFormatting sqref="AI5">
    <cfRule type="iconSet" priority="377">
      <iconSet iconSet="5ArrowsGray" showValue="0">
        <cfvo type="percent" val="0"/>
        <cfvo type="formula" val="$AF$5-$AB$4" gte="0"/>
        <cfvo type="formula" val="$AF$5"/>
        <cfvo type="formula" val="$AF$5" gte="0"/>
        <cfvo type="formula" val="$AF$5+$AB$4"/>
      </iconSet>
    </cfRule>
  </conditionalFormatting>
  <conditionalFormatting sqref="AI5">
    <cfRule type="cellIs" dxfId="836" priority="378" stopIfTrue="1" operator="greaterThanOrEqual">
      <formula>AG4</formula>
    </cfRule>
    <cfRule type="cellIs" dxfId="835" priority="380" stopIfTrue="1" operator="lessThan">
      <formula>AG4</formula>
    </cfRule>
  </conditionalFormatting>
  <conditionalFormatting sqref="AI5">
    <cfRule type="cellIs" dxfId="834" priority="379" stopIfTrue="1" operator="lessThanOrEqual">
      <formula>AD4</formula>
    </cfRule>
  </conditionalFormatting>
  <conditionalFormatting sqref="AH8">
    <cfRule type="iconSet" priority="373">
      <iconSet iconSet="5ArrowsGray" showValue="0">
        <cfvo type="percent" val="0"/>
        <cfvo type="formula" val="$AF$8-$AB$7" gte="0"/>
        <cfvo type="formula" val="$AF$8"/>
        <cfvo type="formula" val="$AF$8" gte="0"/>
        <cfvo type="formula" val="$AF$8+$AB$7"/>
      </iconSet>
    </cfRule>
  </conditionalFormatting>
  <conditionalFormatting sqref="AH8">
    <cfRule type="cellIs" dxfId="833" priority="374" stopIfTrue="1" operator="greaterThanOrEqual">
      <formula>AG7</formula>
    </cfRule>
    <cfRule type="cellIs" dxfId="832" priority="376" stopIfTrue="1" operator="lessThan">
      <formula>AG7</formula>
    </cfRule>
  </conditionalFormatting>
  <conditionalFormatting sqref="AH8">
    <cfRule type="cellIs" dxfId="831" priority="375" stopIfTrue="1" operator="lessThan">
      <formula>AD7</formula>
    </cfRule>
  </conditionalFormatting>
  <conditionalFormatting sqref="AI8">
    <cfRule type="iconSet" priority="369">
      <iconSet iconSet="5ArrowsGray" showValue="0">
        <cfvo type="percent" val="0"/>
        <cfvo type="formula" val="$AF$8-$AB$7" gte="0"/>
        <cfvo type="formula" val="$AF$8"/>
        <cfvo type="formula" val="$AF$8" gte="0"/>
        <cfvo type="formula" val="$AF$8+$AB$7"/>
      </iconSet>
    </cfRule>
  </conditionalFormatting>
  <conditionalFormatting sqref="AI8">
    <cfRule type="cellIs" dxfId="830" priority="370" stopIfTrue="1" operator="greaterThanOrEqual">
      <formula>AG7</formula>
    </cfRule>
    <cfRule type="cellIs" dxfId="829" priority="372" stopIfTrue="1" operator="lessThan">
      <formula>AG7</formula>
    </cfRule>
  </conditionalFormatting>
  <conditionalFormatting sqref="AI8">
    <cfRule type="cellIs" dxfId="828" priority="371" stopIfTrue="1" operator="lessThanOrEqual">
      <formula>AD7</formula>
    </cfRule>
  </conditionalFormatting>
  <conditionalFormatting sqref="AH11">
    <cfRule type="iconSet" priority="365">
      <iconSet iconSet="5ArrowsGray" showValue="0">
        <cfvo type="percent" val="0"/>
        <cfvo type="formula" val="$AF$11-$AB$10" gte="0"/>
        <cfvo type="formula" val="$AF$11"/>
        <cfvo type="formula" val="$AF$11" gte="0"/>
        <cfvo type="formula" val="$AF$11+$AB$10"/>
      </iconSet>
    </cfRule>
  </conditionalFormatting>
  <conditionalFormatting sqref="AH11">
    <cfRule type="cellIs" dxfId="827" priority="366" stopIfTrue="1" operator="greaterThanOrEqual">
      <formula>AG10</formula>
    </cfRule>
    <cfRule type="cellIs" dxfId="826" priority="368" stopIfTrue="1" operator="lessThan">
      <formula>AG10</formula>
    </cfRule>
  </conditionalFormatting>
  <conditionalFormatting sqref="AH11">
    <cfRule type="cellIs" dxfId="825" priority="367" stopIfTrue="1" operator="lessThan">
      <formula>AD10</formula>
    </cfRule>
  </conditionalFormatting>
  <conditionalFormatting sqref="AI11">
    <cfRule type="iconSet" priority="361">
      <iconSet iconSet="5ArrowsGray" showValue="0">
        <cfvo type="percent" val="0"/>
        <cfvo type="formula" val="$AF$11-$AB$10" gte="0"/>
        <cfvo type="formula" val="$AF$11"/>
        <cfvo type="formula" val="$AF$11" gte="0"/>
        <cfvo type="formula" val="$AF$11+$AB$10"/>
      </iconSet>
    </cfRule>
  </conditionalFormatting>
  <conditionalFormatting sqref="AI11">
    <cfRule type="cellIs" dxfId="824" priority="362" stopIfTrue="1" operator="greaterThanOrEqual">
      <formula>AG10</formula>
    </cfRule>
    <cfRule type="cellIs" dxfId="823" priority="364" stopIfTrue="1" operator="lessThan">
      <formula>AG10</formula>
    </cfRule>
  </conditionalFormatting>
  <conditionalFormatting sqref="AI11">
    <cfRule type="cellIs" dxfId="822" priority="363" stopIfTrue="1" operator="lessThanOrEqual">
      <formula>AD10</formula>
    </cfRule>
  </conditionalFormatting>
  <conditionalFormatting sqref="AH14">
    <cfRule type="iconSet" priority="357">
      <iconSet iconSet="5ArrowsGray" showValue="0">
        <cfvo type="percent" val="0"/>
        <cfvo type="formula" val="$AF$14-$AB$13" gte="0"/>
        <cfvo type="formula" val="$AF$14"/>
        <cfvo type="formula" val="$AF$14" gte="0"/>
        <cfvo type="formula" val="$AF$14+$AB$13"/>
      </iconSet>
    </cfRule>
  </conditionalFormatting>
  <conditionalFormatting sqref="AH14">
    <cfRule type="cellIs" dxfId="821" priority="358" stopIfTrue="1" operator="greaterThanOrEqual">
      <formula>AG13</formula>
    </cfRule>
    <cfRule type="cellIs" dxfId="820" priority="360" stopIfTrue="1" operator="lessThan">
      <formula>AG13</formula>
    </cfRule>
  </conditionalFormatting>
  <conditionalFormatting sqref="AH14">
    <cfRule type="cellIs" dxfId="819" priority="359" stopIfTrue="1" operator="lessThan">
      <formula>AD13</formula>
    </cfRule>
  </conditionalFormatting>
  <conditionalFormatting sqref="AI14">
    <cfRule type="iconSet" priority="353">
      <iconSet iconSet="5ArrowsGray" showValue="0">
        <cfvo type="percent" val="0"/>
        <cfvo type="formula" val="$AF$14-$AB$13" gte="0"/>
        <cfvo type="formula" val="$AF$14"/>
        <cfvo type="formula" val="$AF$14" gte="0"/>
        <cfvo type="formula" val="$AF$14+$AB$13"/>
      </iconSet>
    </cfRule>
  </conditionalFormatting>
  <conditionalFormatting sqref="AI14">
    <cfRule type="cellIs" dxfId="818" priority="354" stopIfTrue="1" operator="greaterThanOrEqual">
      <formula>AG13</formula>
    </cfRule>
    <cfRule type="cellIs" dxfId="817" priority="356" stopIfTrue="1" operator="lessThan">
      <formula>AG13</formula>
    </cfRule>
  </conditionalFormatting>
  <conditionalFormatting sqref="AI14">
    <cfRule type="cellIs" dxfId="816" priority="355" stopIfTrue="1" operator="lessThanOrEqual">
      <formula>AD13</formula>
    </cfRule>
  </conditionalFormatting>
  <conditionalFormatting sqref="AH17">
    <cfRule type="iconSet" priority="349">
      <iconSet iconSet="5ArrowsGray" showValue="0">
        <cfvo type="percent" val="0"/>
        <cfvo type="formula" val="$AF$17-$AB$16" gte="0"/>
        <cfvo type="formula" val="$AF$17"/>
        <cfvo type="formula" val="$AF$17" gte="0"/>
        <cfvo type="formula" val="$AF$17+$AB$16"/>
      </iconSet>
    </cfRule>
  </conditionalFormatting>
  <conditionalFormatting sqref="AH17">
    <cfRule type="cellIs" dxfId="815" priority="350" stopIfTrue="1" operator="greaterThanOrEqual">
      <formula>AG16</formula>
    </cfRule>
    <cfRule type="cellIs" dxfId="814" priority="352" stopIfTrue="1" operator="lessThan">
      <formula>AG16</formula>
    </cfRule>
  </conditionalFormatting>
  <conditionalFormatting sqref="AH17">
    <cfRule type="cellIs" dxfId="813" priority="351" stopIfTrue="1" operator="lessThan">
      <formula>AD16</formula>
    </cfRule>
  </conditionalFormatting>
  <conditionalFormatting sqref="AI17">
    <cfRule type="iconSet" priority="345">
      <iconSet iconSet="5ArrowsGray" showValue="0">
        <cfvo type="percent" val="0"/>
        <cfvo type="formula" val="$AF$17-$AB$16" gte="0"/>
        <cfvo type="formula" val="$AF$17"/>
        <cfvo type="formula" val="$AF$17" gte="0"/>
        <cfvo type="formula" val="$AF$17+$AB$16"/>
      </iconSet>
    </cfRule>
  </conditionalFormatting>
  <conditionalFormatting sqref="AI17">
    <cfRule type="cellIs" dxfId="812" priority="346" stopIfTrue="1" operator="greaterThanOrEqual">
      <formula>AG16</formula>
    </cfRule>
    <cfRule type="cellIs" dxfId="811" priority="348" stopIfTrue="1" operator="lessThan">
      <formula>AG16</formula>
    </cfRule>
  </conditionalFormatting>
  <conditionalFormatting sqref="AI17">
    <cfRule type="cellIs" dxfId="810" priority="347" stopIfTrue="1" operator="lessThanOrEqual">
      <formula>AD16</formula>
    </cfRule>
  </conditionalFormatting>
  <conditionalFormatting sqref="AH20">
    <cfRule type="iconSet" priority="341">
      <iconSet iconSet="5ArrowsGray" showValue="0">
        <cfvo type="percent" val="0"/>
        <cfvo type="formula" val="$AF$20-$AB$19" gte="0"/>
        <cfvo type="formula" val="$AF$20"/>
        <cfvo type="formula" val="$AF$20" gte="0"/>
        <cfvo type="formula" val="$AF$20+$AB$19"/>
      </iconSet>
    </cfRule>
  </conditionalFormatting>
  <conditionalFormatting sqref="AH20">
    <cfRule type="cellIs" dxfId="809" priority="342" stopIfTrue="1" operator="greaterThanOrEqual">
      <formula>AG19</formula>
    </cfRule>
    <cfRule type="cellIs" dxfId="808" priority="344" stopIfTrue="1" operator="lessThan">
      <formula>AG19</formula>
    </cfRule>
  </conditionalFormatting>
  <conditionalFormatting sqref="AH20">
    <cfRule type="cellIs" dxfId="807" priority="343" stopIfTrue="1" operator="lessThan">
      <formula>AD19</formula>
    </cfRule>
  </conditionalFormatting>
  <conditionalFormatting sqref="AI20">
    <cfRule type="iconSet" priority="337">
      <iconSet iconSet="5ArrowsGray" showValue="0">
        <cfvo type="percent" val="0"/>
        <cfvo type="formula" val="$AF$20-$AB$19" gte="0"/>
        <cfvo type="formula" val="$AF$20"/>
        <cfvo type="formula" val="$AF$20" gte="0"/>
        <cfvo type="formula" val="$AF$20+$AB$19"/>
      </iconSet>
    </cfRule>
  </conditionalFormatting>
  <conditionalFormatting sqref="AI20">
    <cfRule type="cellIs" dxfId="806" priority="338" stopIfTrue="1" operator="greaterThanOrEqual">
      <formula>AG19</formula>
    </cfRule>
    <cfRule type="cellIs" dxfId="805" priority="340" stopIfTrue="1" operator="lessThan">
      <formula>AG19</formula>
    </cfRule>
  </conditionalFormatting>
  <conditionalFormatting sqref="AI20">
    <cfRule type="cellIs" dxfId="804" priority="339" stopIfTrue="1" operator="lessThanOrEqual">
      <formula>AD19</formula>
    </cfRule>
  </conditionalFormatting>
  <conditionalFormatting sqref="AH23">
    <cfRule type="iconSet" priority="333">
      <iconSet iconSet="5ArrowsGray" showValue="0">
        <cfvo type="percent" val="0"/>
        <cfvo type="formula" val="$AF$23-$AB$22" gte="0"/>
        <cfvo type="formula" val="$AF$23"/>
        <cfvo type="formula" val="$AF$23" gte="0"/>
        <cfvo type="formula" val="$AF$23+$AB$22"/>
      </iconSet>
    </cfRule>
  </conditionalFormatting>
  <conditionalFormatting sqref="AH23">
    <cfRule type="cellIs" dxfId="803" priority="334" stopIfTrue="1" operator="greaterThanOrEqual">
      <formula>AG22</formula>
    </cfRule>
    <cfRule type="cellIs" dxfId="802" priority="336" stopIfTrue="1" operator="lessThan">
      <formula>AG22</formula>
    </cfRule>
  </conditionalFormatting>
  <conditionalFormatting sqref="AH23">
    <cfRule type="cellIs" dxfId="801" priority="335" stopIfTrue="1" operator="lessThan">
      <formula>AD22</formula>
    </cfRule>
  </conditionalFormatting>
  <conditionalFormatting sqref="AI23">
    <cfRule type="iconSet" priority="329">
      <iconSet iconSet="5ArrowsGray" showValue="0">
        <cfvo type="percent" val="0"/>
        <cfvo type="formula" val="$AF$23-$AB$22" gte="0"/>
        <cfvo type="formula" val="$AF$23"/>
        <cfvo type="formula" val="$AF$23" gte="0"/>
        <cfvo type="formula" val="$AF$23+$AB$22"/>
      </iconSet>
    </cfRule>
  </conditionalFormatting>
  <conditionalFormatting sqref="AI23">
    <cfRule type="cellIs" dxfId="800" priority="330" stopIfTrue="1" operator="greaterThanOrEqual">
      <formula>AG22</formula>
    </cfRule>
    <cfRule type="cellIs" dxfId="799" priority="332" stopIfTrue="1" operator="lessThan">
      <formula>AG22</formula>
    </cfRule>
  </conditionalFormatting>
  <conditionalFormatting sqref="AI23">
    <cfRule type="cellIs" dxfId="798" priority="331" stopIfTrue="1" operator="lessThanOrEqual">
      <formula>AD22</formula>
    </cfRule>
  </conditionalFormatting>
  <conditionalFormatting sqref="AH26">
    <cfRule type="iconSet" priority="325">
      <iconSet iconSet="5ArrowsGray" showValue="0">
        <cfvo type="percent" val="0"/>
        <cfvo type="formula" val="$AF$26-$AB$25" gte="0"/>
        <cfvo type="formula" val="$AF$26"/>
        <cfvo type="formula" val="$AF$26" gte="0"/>
        <cfvo type="formula" val="$AF$26+$AB$25"/>
      </iconSet>
    </cfRule>
  </conditionalFormatting>
  <conditionalFormatting sqref="AH26">
    <cfRule type="cellIs" dxfId="797" priority="326" stopIfTrue="1" operator="greaterThanOrEqual">
      <formula>AG25</formula>
    </cfRule>
    <cfRule type="cellIs" dxfId="796" priority="328" stopIfTrue="1" operator="lessThan">
      <formula>AG25</formula>
    </cfRule>
  </conditionalFormatting>
  <conditionalFormatting sqref="AH26">
    <cfRule type="cellIs" dxfId="795" priority="327" stopIfTrue="1" operator="lessThan">
      <formula>AD25</formula>
    </cfRule>
  </conditionalFormatting>
  <conditionalFormatting sqref="AI26">
    <cfRule type="iconSet" priority="321">
      <iconSet iconSet="5ArrowsGray" showValue="0">
        <cfvo type="percent" val="0"/>
        <cfvo type="formula" val="$AF$26-$AB$25" gte="0"/>
        <cfvo type="formula" val="$AF$26"/>
        <cfvo type="formula" val="$AF$26" gte="0"/>
        <cfvo type="formula" val="$AF$26+$AB$25"/>
      </iconSet>
    </cfRule>
  </conditionalFormatting>
  <conditionalFormatting sqref="AI26">
    <cfRule type="cellIs" dxfId="794" priority="322" stopIfTrue="1" operator="greaterThanOrEqual">
      <formula>AG25</formula>
    </cfRule>
    <cfRule type="cellIs" dxfId="793" priority="324" stopIfTrue="1" operator="lessThan">
      <formula>AG25</formula>
    </cfRule>
  </conditionalFormatting>
  <conditionalFormatting sqref="AI26">
    <cfRule type="cellIs" dxfId="792" priority="323" stopIfTrue="1" operator="lessThanOrEqual">
      <formula>AD25</formula>
    </cfRule>
  </conditionalFormatting>
  <conditionalFormatting sqref="AH29">
    <cfRule type="iconSet" priority="317">
      <iconSet iconSet="5ArrowsGray" showValue="0">
        <cfvo type="percent" val="0"/>
        <cfvo type="formula" val="$AF$29-$AB$28" gte="0"/>
        <cfvo type="formula" val="$AF$29"/>
        <cfvo type="formula" val="$AF$29" gte="0"/>
        <cfvo type="formula" val="$AF$29+$AB$28"/>
      </iconSet>
    </cfRule>
  </conditionalFormatting>
  <conditionalFormatting sqref="AH29">
    <cfRule type="cellIs" dxfId="791" priority="318" stopIfTrue="1" operator="greaterThanOrEqual">
      <formula>AG28</formula>
    </cfRule>
    <cfRule type="cellIs" dxfId="790" priority="320" stopIfTrue="1" operator="lessThan">
      <formula>AG28</formula>
    </cfRule>
  </conditionalFormatting>
  <conditionalFormatting sqref="AH29">
    <cfRule type="cellIs" dxfId="789" priority="319" stopIfTrue="1" operator="lessThan">
      <formula>AD28</formula>
    </cfRule>
  </conditionalFormatting>
  <conditionalFormatting sqref="AI29">
    <cfRule type="iconSet" priority="313">
      <iconSet iconSet="5ArrowsGray" showValue="0">
        <cfvo type="percent" val="0"/>
        <cfvo type="formula" val="$AF$29-$AB$28" gte="0"/>
        <cfvo type="formula" val="$AF$29"/>
        <cfvo type="formula" val="$AF$29" gte="0"/>
        <cfvo type="formula" val="$AF$29+$AB$28"/>
      </iconSet>
    </cfRule>
  </conditionalFormatting>
  <conditionalFormatting sqref="AI29">
    <cfRule type="cellIs" dxfId="788" priority="314" stopIfTrue="1" operator="greaterThanOrEqual">
      <formula>AG28</formula>
    </cfRule>
    <cfRule type="cellIs" dxfId="787" priority="316" stopIfTrue="1" operator="lessThan">
      <formula>AG28</formula>
    </cfRule>
  </conditionalFormatting>
  <conditionalFormatting sqref="AI29">
    <cfRule type="cellIs" dxfId="786" priority="315" stopIfTrue="1" operator="lessThanOrEqual">
      <formula>AD28</formula>
    </cfRule>
  </conditionalFormatting>
  <conditionalFormatting sqref="AH32">
    <cfRule type="iconSet" priority="309">
      <iconSet iconSet="5ArrowsGray" showValue="0">
        <cfvo type="percent" val="0"/>
        <cfvo type="formula" val="$AF$32-$AB$31" gte="0"/>
        <cfvo type="formula" val="$AF$32"/>
        <cfvo type="formula" val="$AF$32" gte="0"/>
        <cfvo type="formula" val="$AF$32+$AB$31"/>
      </iconSet>
    </cfRule>
  </conditionalFormatting>
  <conditionalFormatting sqref="AH32">
    <cfRule type="cellIs" dxfId="785" priority="310" stopIfTrue="1" operator="greaterThanOrEqual">
      <formula>AG31</formula>
    </cfRule>
    <cfRule type="cellIs" dxfId="784" priority="312" stopIfTrue="1" operator="lessThan">
      <formula>AG31</formula>
    </cfRule>
  </conditionalFormatting>
  <conditionalFormatting sqref="AH32">
    <cfRule type="cellIs" dxfId="783" priority="311" stopIfTrue="1" operator="lessThan">
      <formula>AD31</formula>
    </cfRule>
  </conditionalFormatting>
  <conditionalFormatting sqref="AI32">
    <cfRule type="iconSet" priority="305">
      <iconSet iconSet="5ArrowsGray" showValue="0">
        <cfvo type="percent" val="0"/>
        <cfvo type="formula" val="$AF$32-$AB$31" gte="0"/>
        <cfvo type="formula" val="$AF$32"/>
        <cfvo type="formula" val="$AF$32" gte="0"/>
        <cfvo type="formula" val="$AF$32+$AB$31"/>
      </iconSet>
    </cfRule>
  </conditionalFormatting>
  <conditionalFormatting sqref="AI32">
    <cfRule type="cellIs" dxfId="782" priority="306" stopIfTrue="1" operator="greaterThanOrEqual">
      <formula>AG31</formula>
    </cfRule>
    <cfRule type="cellIs" dxfId="781" priority="308" stopIfTrue="1" operator="lessThan">
      <formula>AG31</formula>
    </cfRule>
  </conditionalFormatting>
  <conditionalFormatting sqref="AI32">
    <cfRule type="cellIs" dxfId="780" priority="307" stopIfTrue="1" operator="lessThanOrEqual">
      <formula>AD31</formula>
    </cfRule>
  </conditionalFormatting>
  <conditionalFormatting sqref="AH35">
    <cfRule type="iconSet" priority="301">
      <iconSet iconSet="5ArrowsGray" showValue="0">
        <cfvo type="percent" val="0"/>
        <cfvo type="formula" val="$AF$35-$AB$34" gte="0"/>
        <cfvo type="formula" val="$AF$35"/>
        <cfvo type="formula" val="$AF$35" gte="0"/>
        <cfvo type="formula" val="$AF$35+$AB$34"/>
      </iconSet>
    </cfRule>
  </conditionalFormatting>
  <conditionalFormatting sqref="AH35">
    <cfRule type="cellIs" dxfId="779" priority="302" stopIfTrue="1" operator="greaterThanOrEqual">
      <formula>AG34</formula>
    </cfRule>
    <cfRule type="cellIs" dxfId="778" priority="304" stopIfTrue="1" operator="lessThan">
      <formula>AG34</formula>
    </cfRule>
  </conditionalFormatting>
  <conditionalFormatting sqref="AH35">
    <cfRule type="cellIs" dxfId="777" priority="303" stopIfTrue="1" operator="lessThan">
      <formula>AD34</formula>
    </cfRule>
  </conditionalFormatting>
  <conditionalFormatting sqref="AI35">
    <cfRule type="iconSet" priority="297">
      <iconSet iconSet="5ArrowsGray" showValue="0">
        <cfvo type="percent" val="0"/>
        <cfvo type="formula" val="$AF$35-$AB$34" gte="0"/>
        <cfvo type="formula" val="$AF$35"/>
        <cfvo type="formula" val="$AF$35" gte="0"/>
        <cfvo type="formula" val="$AF$35+$AB$34"/>
      </iconSet>
    </cfRule>
  </conditionalFormatting>
  <conditionalFormatting sqref="AI35">
    <cfRule type="cellIs" dxfId="776" priority="298" stopIfTrue="1" operator="greaterThanOrEqual">
      <formula>AG34</formula>
    </cfRule>
    <cfRule type="cellIs" dxfId="775" priority="300" stopIfTrue="1" operator="lessThan">
      <formula>AG34</formula>
    </cfRule>
  </conditionalFormatting>
  <conditionalFormatting sqref="AI35">
    <cfRule type="cellIs" dxfId="774" priority="299" stopIfTrue="1" operator="lessThanOrEqual">
      <formula>AD34</formula>
    </cfRule>
  </conditionalFormatting>
  <conditionalFormatting sqref="AH38">
    <cfRule type="iconSet" priority="293">
      <iconSet iconSet="5ArrowsGray" showValue="0">
        <cfvo type="percent" val="0"/>
        <cfvo type="formula" val="$AF$38-$AB$37" gte="0"/>
        <cfvo type="formula" val="$AF$37"/>
        <cfvo type="formula" val="$AF$38" gte="0"/>
        <cfvo type="formula" val="$AF$38+$AB$37"/>
      </iconSet>
    </cfRule>
  </conditionalFormatting>
  <conditionalFormatting sqref="AH38">
    <cfRule type="cellIs" dxfId="773" priority="294" stopIfTrue="1" operator="greaterThanOrEqual">
      <formula>AG37</formula>
    </cfRule>
    <cfRule type="cellIs" dxfId="772" priority="296" stopIfTrue="1" operator="lessThan">
      <formula>AG37</formula>
    </cfRule>
  </conditionalFormatting>
  <conditionalFormatting sqref="AH38">
    <cfRule type="cellIs" dxfId="771" priority="295" stopIfTrue="1" operator="lessThan">
      <formula>AD37</formula>
    </cfRule>
  </conditionalFormatting>
  <conditionalFormatting sqref="AI38">
    <cfRule type="iconSet" priority="289">
      <iconSet iconSet="5ArrowsGray" showValue="0">
        <cfvo type="percent" val="0"/>
        <cfvo type="formula" val="$AF$38-$AB$37" gte="0"/>
        <cfvo type="formula" val="$AF$38"/>
        <cfvo type="formula" val="$AF$38" gte="0"/>
        <cfvo type="formula" val="$AF$38+$AB$37"/>
      </iconSet>
    </cfRule>
  </conditionalFormatting>
  <conditionalFormatting sqref="AI38">
    <cfRule type="cellIs" dxfId="770" priority="290" stopIfTrue="1" operator="greaterThanOrEqual">
      <formula>AG37</formula>
    </cfRule>
    <cfRule type="cellIs" dxfId="769" priority="292" stopIfTrue="1" operator="lessThan">
      <formula>AG37</formula>
    </cfRule>
  </conditionalFormatting>
  <conditionalFormatting sqref="AI38">
    <cfRule type="cellIs" dxfId="768" priority="291" stopIfTrue="1" operator="lessThanOrEqual">
      <formula>AD37</formula>
    </cfRule>
  </conditionalFormatting>
  <conditionalFormatting sqref="AH41">
    <cfRule type="iconSet" priority="285">
      <iconSet iconSet="5ArrowsGray" showValue="0">
        <cfvo type="percent" val="0"/>
        <cfvo type="formula" val="$AF$41-$AB$40" gte="0"/>
        <cfvo type="formula" val="$AF$41"/>
        <cfvo type="formula" val="$AF$41" gte="0"/>
        <cfvo type="formula" val="$AF$41+$AB$40"/>
      </iconSet>
    </cfRule>
  </conditionalFormatting>
  <conditionalFormatting sqref="AH41">
    <cfRule type="cellIs" dxfId="767" priority="286" stopIfTrue="1" operator="greaterThanOrEqual">
      <formula>AG40</formula>
    </cfRule>
    <cfRule type="cellIs" dxfId="766" priority="288" stopIfTrue="1" operator="lessThan">
      <formula>AG40</formula>
    </cfRule>
  </conditionalFormatting>
  <conditionalFormatting sqref="AH41">
    <cfRule type="cellIs" dxfId="765" priority="287" stopIfTrue="1" operator="lessThan">
      <formula>AD40</formula>
    </cfRule>
  </conditionalFormatting>
  <conditionalFormatting sqref="AI41">
    <cfRule type="iconSet" priority="281">
      <iconSet iconSet="5ArrowsGray" showValue="0">
        <cfvo type="percent" val="0"/>
        <cfvo type="formula" val="$AF$41-$AB$40" gte="0"/>
        <cfvo type="formula" val="$AF$41"/>
        <cfvo type="formula" val="$AF$41" gte="0"/>
        <cfvo type="formula" val="$AF$41+$AB$40"/>
      </iconSet>
    </cfRule>
  </conditionalFormatting>
  <conditionalFormatting sqref="AI41">
    <cfRule type="cellIs" dxfId="764" priority="282" stopIfTrue="1" operator="greaterThanOrEqual">
      <formula>AG40</formula>
    </cfRule>
    <cfRule type="cellIs" dxfId="763" priority="284" stopIfTrue="1" operator="lessThan">
      <formula>AG40</formula>
    </cfRule>
  </conditionalFormatting>
  <conditionalFormatting sqref="AI41">
    <cfRule type="cellIs" dxfId="762" priority="283" stopIfTrue="1" operator="lessThanOrEqual">
      <formula>AD40</formula>
    </cfRule>
  </conditionalFormatting>
  <conditionalFormatting sqref="AH44">
    <cfRule type="iconSet" priority="277">
      <iconSet iconSet="5ArrowsGray" showValue="0">
        <cfvo type="percent" val="0"/>
        <cfvo type="formula" val="$AF$44-$AB$43" gte="0"/>
        <cfvo type="formula" val="$AF$44"/>
        <cfvo type="formula" val="$AF$44" gte="0"/>
        <cfvo type="formula" val="$AF$44+$AB$43"/>
      </iconSet>
    </cfRule>
  </conditionalFormatting>
  <conditionalFormatting sqref="AH44">
    <cfRule type="cellIs" dxfId="761" priority="278" stopIfTrue="1" operator="greaterThanOrEqual">
      <formula>AG43</formula>
    </cfRule>
    <cfRule type="cellIs" dxfId="760" priority="280" stopIfTrue="1" operator="lessThan">
      <formula>AG43</formula>
    </cfRule>
  </conditionalFormatting>
  <conditionalFormatting sqref="AH44">
    <cfRule type="cellIs" dxfId="759" priority="279" stopIfTrue="1" operator="lessThan">
      <formula>AD43</formula>
    </cfRule>
  </conditionalFormatting>
  <conditionalFormatting sqref="AI44">
    <cfRule type="iconSet" priority="273">
      <iconSet iconSet="5ArrowsGray" showValue="0">
        <cfvo type="percent" val="0"/>
        <cfvo type="formula" val="$AF$44-$AB$43" gte="0"/>
        <cfvo type="formula" val="$AF$44"/>
        <cfvo type="formula" val="$AF$44" gte="0"/>
        <cfvo type="formula" val="$AF$44+$AB$43"/>
      </iconSet>
    </cfRule>
  </conditionalFormatting>
  <conditionalFormatting sqref="AI44">
    <cfRule type="cellIs" dxfId="758" priority="274" stopIfTrue="1" operator="greaterThanOrEqual">
      <formula>AG43</formula>
    </cfRule>
    <cfRule type="cellIs" dxfId="757" priority="276" stopIfTrue="1" operator="lessThan">
      <formula>AG43</formula>
    </cfRule>
  </conditionalFormatting>
  <conditionalFormatting sqref="AI44">
    <cfRule type="cellIs" dxfId="756" priority="275" stopIfTrue="1" operator="lessThanOrEqual">
      <formula>AD43</formula>
    </cfRule>
  </conditionalFormatting>
  <conditionalFormatting sqref="AH47">
    <cfRule type="iconSet" priority="269">
      <iconSet iconSet="5ArrowsGray" showValue="0">
        <cfvo type="percent" val="0"/>
        <cfvo type="formula" val="$AF$47-$AB$46" gte="0"/>
        <cfvo type="formula" val="$AF$47"/>
        <cfvo type="formula" val="$AF$47" gte="0"/>
        <cfvo type="formula" val="$AF$47+$AB$46"/>
      </iconSet>
    </cfRule>
  </conditionalFormatting>
  <conditionalFormatting sqref="AH47">
    <cfRule type="cellIs" dxfId="755" priority="270" stopIfTrue="1" operator="greaterThanOrEqual">
      <formula>AG46</formula>
    </cfRule>
    <cfRule type="cellIs" dxfId="754" priority="272" stopIfTrue="1" operator="lessThan">
      <formula>AG46</formula>
    </cfRule>
  </conditionalFormatting>
  <conditionalFormatting sqref="AH47">
    <cfRule type="cellIs" dxfId="753" priority="271" stopIfTrue="1" operator="lessThan">
      <formula>AD46</formula>
    </cfRule>
  </conditionalFormatting>
  <conditionalFormatting sqref="AI47">
    <cfRule type="iconSet" priority="265">
      <iconSet iconSet="5ArrowsGray" showValue="0">
        <cfvo type="percent" val="0"/>
        <cfvo type="formula" val="$AF$47-$AB$46" gte="0"/>
        <cfvo type="formula" val="$AF$47"/>
        <cfvo type="formula" val="$AF$47" gte="0"/>
        <cfvo type="formula" val="$AF$47+$AB$46"/>
      </iconSet>
    </cfRule>
  </conditionalFormatting>
  <conditionalFormatting sqref="AI47">
    <cfRule type="cellIs" dxfId="752" priority="266" stopIfTrue="1" operator="greaterThanOrEqual">
      <formula>AG46</formula>
    </cfRule>
    <cfRule type="cellIs" dxfId="751" priority="268" stopIfTrue="1" operator="lessThan">
      <formula>AG46</formula>
    </cfRule>
  </conditionalFormatting>
  <conditionalFormatting sqref="AI47">
    <cfRule type="cellIs" dxfId="750" priority="267" stopIfTrue="1" operator="lessThanOrEqual">
      <formula>AD46</formula>
    </cfRule>
  </conditionalFormatting>
  <conditionalFormatting sqref="AH50">
    <cfRule type="iconSet" priority="261">
      <iconSet iconSet="5ArrowsGray" showValue="0">
        <cfvo type="percent" val="0"/>
        <cfvo type="formula" val="$AF$50-$AB$49" gte="0"/>
        <cfvo type="formula" val="$AF$50"/>
        <cfvo type="formula" val="$AF$50" gte="0"/>
        <cfvo type="formula" val="$AF$50+$AB$49"/>
      </iconSet>
    </cfRule>
  </conditionalFormatting>
  <conditionalFormatting sqref="AH50">
    <cfRule type="cellIs" dxfId="749" priority="262" stopIfTrue="1" operator="greaterThanOrEqual">
      <formula>AG49</formula>
    </cfRule>
    <cfRule type="cellIs" dxfId="748" priority="264" stopIfTrue="1" operator="lessThan">
      <formula>AG49</formula>
    </cfRule>
  </conditionalFormatting>
  <conditionalFormatting sqref="AH50">
    <cfRule type="cellIs" dxfId="747" priority="263" stopIfTrue="1" operator="lessThan">
      <formula>AD49</formula>
    </cfRule>
  </conditionalFormatting>
  <conditionalFormatting sqref="AI50">
    <cfRule type="iconSet" priority="257">
      <iconSet iconSet="5ArrowsGray" showValue="0">
        <cfvo type="percent" val="0"/>
        <cfvo type="formula" val="$AF$50-$AB$49" gte="0"/>
        <cfvo type="formula" val="$AF$50"/>
        <cfvo type="formula" val="$AF$50" gte="0"/>
        <cfvo type="formula" val="$AF$50+$AB$49"/>
      </iconSet>
    </cfRule>
  </conditionalFormatting>
  <conditionalFormatting sqref="AI50">
    <cfRule type="cellIs" dxfId="746" priority="258" stopIfTrue="1" operator="greaterThanOrEqual">
      <formula>AG49</formula>
    </cfRule>
    <cfRule type="cellIs" dxfId="745" priority="260" stopIfTrue="1" operator="lessThan">
      <formula>AG49</formula>
    </cfRule>
  </conditionalFormatting>
  <conditionalFormatting sqref="AI50">
    <cfRule type="cellIs" dxfId="744" priority="259" stopIfTrue="1" operator="lessThanOrEqual">
      <formula>AD49</formula>
    </cfRule>
  </conditionalFormatting>
  <conditionalFormatting sqref="AH53">
    <cfRule type="iconSet" priority="253">
      <iconSet iconSet="5ArrowsGray" showValue="0">
        <cfvo type="percent" val="0"/>
        <cfvo type="formula" val="$AF$53-$AB$52" gte="0"/>
        <cfvo type="formula" val="$AF$53"/>
        <cfvo type="formula" val="$AF$53" gte="0"/>
        <cfvo type="formula" val="$AF$53+$AB$52"/>
      </iconSet>
    </cfRule>
  </conditionalFormatting>
  <conditionalFormatting sqref="AH53">
    <cfRule type="cellIs" dxfId="743" priority="254" stopIfTrue="1" operator="greaterThanOrEqual">
      <formula>AG52</formula>
    </cfRule>
    <cfRule type="cellIs" dxfId="742" priority="256" stopIfTrue="1" operator="lessThan">
      <formula>AG52</formula>
    </cfRule>
  </conditionalFormatting>
  <conditionalFormatting sqref="AH53">
    <cfRule type="cellIs" dxfId="741" priority="255" stopIfTrue="1" operator="lessThan">
      <formula>AD52</formula>
    </cfRule>
  </conditionalFormatting>
  <conditionalFormatting sqref="AI53">
    <cfRule type="iconSet" priority="249">
      <iconSet iconSet="5ArrowsGray" showValue="0">
        <cfvo type="percent" val="0"/>
        <cfvo type="formula" val="$AF$53-$AB$52" gte="0"/>
        <cfvo type="formula" val="$AF$53"/>
        <cfvo type="formula" val="$AF$53" gte="0"/>
        <cfvo type="formula" val="$AF$53+$AB$52"/>
      </iconSet>
    </cfRule>
  </conditionalFormatting>
  <conditionalFormatting sqref="AI53">
    <cfRule type="cellIs" dxfId="740" priority="250" stopIfTrue="1" operator="greaterThanOrEqual">
      <formula>AG52</formula>
    </cfRule>
    <cfRule type="cellIs" dxfId="739" priority="252" stopIfTrue="1" operator="lessThan">
      <formula>AG52</formula>
    </cfRule>
  </conditionalFormatting>
  <conditionalFormatting sqref="AI53">
    <cfRule type="cellIs" dxfId="738" priority="251" stopIfTrue="1" operator="lessThanOrEqual">
      <formula>AD52</formula>
    </cfRule>
  </conditionalFormatting>
  <conditionalFormatting sqref="AH56">
    <cfRule type="iconSet" priority="245">
      <iconSet iconSet="5ArrowsGray" showValue="0">
        <cfvo type="percent" val="0"/>
        <cfvo type="formula" val="$AF$56-$AB$55" gte="0"/>
        <cfvo type="formula" val="$AF$56"/>
        <cfvo type="formula" val="$AF$56" gte="0"/>
        <cfvo type="formula" val="$AF$56+$AB$55"/>
      </iconSet>
    </cfRule>
  </conditionalFormatting>
  <conditionalFormatting sqref="AH56">
    <cfRule type="cellIs" dxfId="737" priority="246" stopIfTrue="1" operator="greaterThanOrEqual">
      <formula>AG55</formula>
    </cfRule>
    <cfRule type="cellIs" dxfId="736" priority="248" stopIfTrue="1" operator="lessThan">
      <formula>AG55</formula>
    </cfRule>
  </conditionalFormatting>
  <conditionalFormatting sqref="AH56">
    <cfRule type="cellIs" dxfId="735" priority="247" stopIfTrue="1" operator="lessThan">
      <formula>AD55</formula>
    </cfRule>
  </conditionalFormatting>
  <conditionalFormatting sqref="AI56">
    <cfRule type="iconSet" priority="241">
      <iconSet iconSet="5ArrowsGray" showValue="0">
        <cfvo type="percent" val="0"/>
        <cfvo type="formula" val="$AF$56-$AB$55" gte="0"/>
        <cfvo type="formula" val="$AF$56"/>
        <cfvo type="formula" val="$AF$56" gte="0"/>
        <cfvo type="formula" val="$AF$56+$AB$55"/>
      </iconSet>
    </cfRule>
  </conditionalFormatting>
  <conditionalFormatting sqref="AI56">
    <cfRule type="cellIs" dxfId="734" priority="242" stopIfTrue="1" operator="greaterThanOrEqual">
      <formula>AG55</formula>
    </cfRule>
    <cfRule type="cellIs" dxfId="733" priority="244" stopIfTrue="1" operator="lessThan">
      <formula>AG55</formula>
    </cfRule>
  </conditionalFormatting>
  <conditionalFormatting sqref="AI56">
    <cfRule type="cellIs" dxfId="732" priority="243" stopIfTrue="1" operator="lessThanOrEqual">
      <formula>AD55</formula>
    </cfRule>
  </conditionalFormatting>
  <conditionalFormatting sqref="AH59">
    <cfRule type="iconSet" priority="237">
      <iconSet iconSet="5ArrowsGray" showValue="0">
        <cfvo type="percent" val="0"/>
        <cfvo type="formula" val="$AF$59-$AB$58" gte="0"/>
        <cfvo type="formula" val="$AF$59"/>
        <cfvo type="formula" val="$AF$59" gte="0"/>
        <cfvo type="formula" val="$AF$59+$AB$58"/>
      </iconSet>
    </cfRule>
  </conditionalFormatting>
  <conditionalFormatting sqref="AH59">
    <cfRule type="cellIs" dxfId="731" priority="238" stopIfTrue="1" operator="greaterThanOrEqual">
      <formula>AG58</formula>
    </cfRule>
    <cfRule type="cellIs" dxfId="730" priority="240" stopIfTrue="1" operator="lessThan">
      <formula>AG58</formula>
    </cfRule>
  </conditionalFormatting>
  <conditionalFormatting sqref="AH59">
    <cfRule type="cellIs" dxfId="729" priority="239" stopIfTrue="1" operator="lessThan">
      <formula>AD58</formula>
    </cfRule>
  </conditionalFormatting>
  <conditionalFormatting sqref="AI59">
    <cfRule type="iconSet" priority="233">
      <iconSet iconSet="5ArrowsGray" showValue="0">
        <cfvo type="percent" val="0"/>
        <cfvo type="formula" val="$AF$59-$AB$58" gte="0"/>
        <cfvo type="formula" val="$AF$59"/>
        <cfvo type="formula" val="$AF$59" gte="0"/>
        <cfvo type="formula" val="$AF$59+$AB$58"/>
      </iconSet>
    </cfRule>
  </conditionalFormatting>
  <conditionalFormatting sqref="AI59">
    <cfRule type="cellIs" dxfId="728" priority="234" stopIfTrue="1" operator="greaterThanOrEqual">
      <formula>AG58</formula>
    </cfRule>
    <cfRule type="cellIs" dxfId="727" priority="236" stopIfTrue="1" operator="lessThan">
      <formula>AG58</formula>
    </cfRule>
  </conditionalFormatting>
  <conditionalFormatting sqref="AI59">
    <cfRule type="cellIs" dxfId="726" priority="235" stopIfTrue="1" operator="lessThanOrEqual">
      <formula>AD58</formula>
    </cfRule>
  </conditionalFormatting>
  <conditionalFormatting sqref="AH62">
    <cfRule type="iconSet" priority="229">
      <iconSet iconSet="5ArrowsGray" showValue="0">
        <cfvo type="percent" val="0"/>
        <cfvo type="formula" val="$AF$62-$AB$61" gte="0"/>
        <cfvo type="formula" val="$AF$62"/>
        <cfvo type="formula" val="$AF$62" gte="0"/>
        <cfvo type="formula" val="$AF$62+$AB$61"/>
      </iconSet>
    </cfRule>
  </conditionalFormatting>
  <conditionalFormatting sqref="AH62">
    <cfRule type="cellIs" dxfId="725" priority="230" stopIfTrue="1" operator="greaterThanOrEqual">
      <formula>AG61</formula>
    </cfRule>
    <cfRule type="cellIs" dxfId="724" priority="232" stopIfTrue="1" operator="lessThan">
      <formula>AG61</formula>
    </cfRule>
  </conditionalFormatting>
  <conditionalFormatting sqref="AH62">
    <cfRule type="cellIs" dxfId="723" priority="231" stopIfTrue="1" operator="lessThan">
      <formula>AD61</formula>
    </cfRule>
  </conditionalFormatting>
  <conditionalFormatting sqref="AI62">
    <cfRule type="iconSet" priority="225">
      <iconSet iconSet="5ArrowsGray" showValue="0">
        <cfvo type="percent" val="0"/>
        <cfvo type="formula" val="$AF$62-$AB$61" gte="0"/>
        <cfvo type="formula" val="$AF$62"/>
        <cfvo type="formula" val="$AF$62" gte="0"/>
        <cfvo type="formula" val="$AF$62+$AB$61"/>
      </iconSet>
    </cfRule>
  </conditionalFormatting>
  <conditionalFormatting sqref="AI62">
    <cfRule type="cellIs" dxfId="722" priority="226" stopIfTrue="1" operator="greaterThanOrEqual">
      <formula>AG61</formula>
    </cfRule>
    <cfRule type="cellIs" dxfId="721" priority="228" stopIfTrue="1" operator="lessThan">
      <formula>AG61</formula>
    </cfRule>
  </conditionalFormatting>
  <conditionalFormatting sqref="AI62">
    <cfRule type="cellIs" dxfId="720" priority="227" stopIfTrue="1" operator="lessThanOrEqual">
      <formula>AD61</formula>
    </cfRule>
  </conditionalFormatting>
  <conditionalFormatting sqref="AH65">
    <cfRule type="iconSet" priority="221">
      <iconSet iconSet="5ArrowsGray" showValue="0">
        <cfvo type="percent" val="0"/>
        <cfvo type="formula" val="$AF$65-$AB$64" gte="0"/>
        <cfvo type="formula" val="$AF$65"/>
        <cfvo type="formula" val="$AF$65" gte="0"/>
        <cfvo type="formula" val="$AF$65+$AB$64"/>
      </iconSet>
    </cfRule>
  </conditionalFormatting>
  <conditionalFormatting sqref="AH65">
    <cfRule type="cellIs" dxfId="719" priority="222" stopIfTrue="1" operator="greaterThanOrEqual">
      <formula>AG64</formula>
    </cfRule>
    <cfRule type="cellIs" dxfId="718" priority="224" stopIfTrue="1" operator="lessThan">
      <formula>AG64</formula>
    </cfRule>
  </conditionalFormatting>
  <conditionalFormatting sqref="AH65">
    <cfRule type="cellIs" dxfId="717" priority="223" stopIfTrue="1" operator="lessThan">
      <formula>AD64</formula>
    </cfRule>
  </conditionalFormatting>
  <conditionalFormatting sqref="AI65">
    <cfRule type="iconSet" priority="217">
      <iconSet iconSet="5ArrowsGray" showValue="0">
        <cfvo type="percent" val="0"/>
        <cfvo type="formula" val="$AF$65-$AB$64" gte="0"/>
        <cfvo type="formula" val="$AF$65"/>
        <cfvo type="formula" val="$AF$65" gte="0"/>
        <cfvo type="formula" val="$AF$65+$AB$64"/>
      </iconSet>
    </cfRule>
  </conditionalFormatting>
  <conditionalFormatting sqref="AI65">
    <cfRule type="cellIs" dxfId="716" priority="218" stopIfTrue="1" operator="greaterThanOrEqual">
      <formula>AG64</formula>
    </cfRule>
    <cfRule type="cellIs" dxfId="715" priority="220" stopIfTrue="1" operator="lessThan">
      <formula>AG64</formula>
    </cfRule>
  </conditionalFormatting>
  <conditionalFormatting sqref="AI65">
    <cfRule type="cellIs" dxfId="714" priority="219" stopIfTrue="1" operator="lessThanOrEqual">
      <formula>AD64</formula>
    </cfRule>
  </conditionalFormatting>
  <conditionalFormatting sqref="AH68">
    <cfRule type="iconSet" priority="213">
      <iconSet iconSet="5ArrowsGray" showValue="0">
        <cfvo type="percent" val="0"/>
        <cfvo type="formula" val="$AF$68-$AB$67" gte="0"/>
        <cfvo type="formula" val="$AF$68"/>
        <cfvo type="formula" val="$AF$68" gte="0"/>
        <cfvo type="formula" val="$AF$68+$AB$67"/>
      </iconSet>
    </cfRule>
  </conditionalFormatting>
  <conditionalFormatting sqref="AH68">
    <cfRule type="cellIs" dxfId="713" priority="214" stopIfTrue="1" operator="greaterThanOrEqual">
      <formula>AG67</formula>
    </cfRule>
    <cfRule type="cellIs" dxfId="712" priority="216" stopIfTrue="1" operator="lessThan">
      <formula>AG67</formula>
    </cfRule>
  </conditionalFormatting>
  <conditionalFormatting sqref="AH68">
    <cfRule type="cellIs" dxfId="711" priority="215" stopIfTrue="1" operator="lessThan">
      <formula>AD67</formula>
    </cfRule>
  </conditionalFormatting>
  <conditionalFormatting sqref="AI68">
    <cfRule type="iconSet" priority="209">
      <iconSet iconSet="5ArrowsGray" showValue="0">
        <cfvo type="percent" val="0"/>
        <cfvo type="formula" val="$AF$68-$AB$67" gte="0"/>
        <cfvo type="formula" val="$AF$68"/>
        <cfvo type="formula" val="$AF$68" gte="0"/>
        <cfvo type="formula" val="$AF$68+$AB$67"/>
      </iconSet>
    </cfRule>
  </conditionalFormatting>
  <conditionalFormatting sqref="AI68">
    <cfRule type="cellIs" dxfId="710" priority="210" stopIfTrue="1" operator="greaterThanOrEqual">
      <formula>AG67</formula>
    </cfRule>
    <cfRule type="cellIs" dxfId="709" priority="212" stopIfTrue="1" operator="lessThan">
      <formula>AG67</formula>
    </cfRule>
  </conditionalFormatting>
  <conditionalFormatting sqref="AI68">
    <cfRule type="cellIs" dxfId="708" priority="211" stopIfTrue="1" operator="lessThanOrEqual">
      <formula>AD67</formula>
    </cfRule>
  </conditionalFormatting>
  <conditionalFormatting sqref="AH71">
    <cfRule type="iconSet" priority="205">
      <iconSet iconSet="5ArrowsGray" showValue="0">
        <cfvo type="percent" val="0"/>
        <cfvo type="formula" val="$AF$71-$AB$70" gte="0"/>
        <cfvo type="formula" val="$AF$71"/>
        <cfvo type="formula" val="$AF$71" gte="0"/>
        <cfvo type="formula" val="$AF$71+$AB$70"/>
      </iconSet>
    </cfRule>
  </conditionalFormatting>
  <conditionalFormatting sqref="AH71">
    <cfRule type="cellIs" dxfId="707" priority="206" stopIfTrue="1" operator="greaterThanOrEqual">
      <formula>AG70</formula>
    </cfRule>
    <cfRule type="cellIs" dxfId="706" priority="208" stopIfTrue="1" operator="lessThan">
      <formula>AG70</formula>
    </cfRule>
  </conditionalFormatting>
  <conditionalFormatting sqref="AH71">
    <cfRule type="cellIs" dxfId="705" priority="207" stopIfTrue="1" operator="lessThan">
      <formula>AD70</formula>
    </cfRule>
  </conditionalFormatting>
  <conditionalFormatting sqref="AI71">
    <cfRule type="iconSet" priority="201">
      <iconSet iconSet="5ArrowsGray" showValue="0">
        <cfvo type="percent" val="0"/>
        <cfvo type="formula" val="$AF$71-$AB$70" gte="0"/>
        <cfvo type="formula" val="$AF$71"/>
        <cfvo type="formula" val="$AF$71" gte="0"/>
        <cfvo type="formula" val="$AF$71+$AB$70"/>
      </iconSet>
    </cfRule>
  </conditionalFormatting>
  <conditionalFormatting sqref="AI71">
    <cfRule type="cellIs" dxfId="704" priority="202" stopIfTrue="1" operator="greaterThanOrEqual">
      <formula>AG70</formula>
    </cfRule>
    <cfRule type="cellIs" dxfId="703" priority="204" stopIfTrue="1" operator="lessThan">
      <formula>AG70</formula>
    </cfRule>
  </conditionalFormatting>
  <conditionalFormatting sqref="AI71">
    <cfRule type="cellIs" dxfId="702" priority="203" stopIfTrue="1" operator="lessThanOrEqual">
      <formula>AD70</formula>
    </cfRule>
  </conditionalFormatting>
  <conditionalFormatting sqref="AH74">
    <cfRule type="iconSet" priority="197">
      <iconSet iconSet="5ArrowsGray" showValue="0">
        <cfvo type="percent" val="0"/>
        <cfvo type="formula" val="$AF$74-$AB$73" gte="0"/>
        <cfvo type="formula" val="$AF$74"/>
        <cfvo type="formula" val="$AF$74" gte="0"/>
        <cfvo type="formula" val="$AF$74+$AB$73"/>
      </iconSet>
    </cfRule>
  </conditionalFormatting>
  <conditionalFormatting sqref="AH74">
    <cfRule type="cellIs" dxfId="701" priority="198" stopIfTrue="1" operator="greaterThanOrEqual">
      <formula>AG73</formula>
    </cfRule>
    <cfRule type="cellIs" dxfId="700" priority="200" stopIfTrue="1" operator="lessThan">
      <formula>AG73</formula>
    </cfRule>
  </conditionalFormatting>
  <conditionalFormatting sqref="AH74">
    <cfRule type="cellIs" dxfId="699" priority="199" stopIfTrue="1" operator="lessThan">
      <formula>AD73</formula>
    </cfRule>
  </conditionalFormatting>
  <conditionalFormatting sqref="AI74">
    <cfRule type="iconSet" priority="193">
      <iconSet iconSet="5ArrowsGray" showValue="0">
        <cfvo type="percent" val="0"/>
        <cfvo type="formula" val="$AF$74-$AB$73" gte="0"/>
        <cfvo type="formula" val="$AF$74"/>
        <cfvo type="formula" val="$AF$74" gte="0"/>
        <cfvo type="formula" val="$AF$74+$AB$73"/>
      </iconSet>
    </cfRule>
  </conditionalFormatting>
  <conditionalFormatting sqref="AI74">
    <cfRule type="cellIs" dxfId="698" priority="194" stopIfTrue="1" operator="greaterThanOrEqual">
      <formula>AG73</formula>
    </cfRule>
    <cfRule type="cellIs" dxfId="697" priority="196" stopIfTrue="1" operator="lessThan">
      <formula>AG73</formula>
    </cfRule>
  </conditionalFormatting>
  <conditionalFormatting sqref="AI74">
    <cfRule type="cellIs" dxfId="696" priority="195" stopIfTrue="1" operator="lessThanOrEqual">
      <formula>AD73</formula>
    </cfRule>
  </conditionalFormatting>
  <conditionalFormatting sqref="AH77">
    <cfRule type="iconSet" priority="189">
      <iconSet iconSet="5ArrowsGray" showValue="0">
        <cfvo type="percent" val="0"/>
        <cfvo type="formula" val="$AF$77-$AB$76" gte="0"/>
        <cfvo type="formula" val="$AF$77"/>
        <cfvo type="formula" val="$AF$77" gte="0"/>
        <cfvo type="formula" val="$AF$77+$AB$76"/>
      </iconSet>
    </cfRule>
  </conditionalFormatting>
  <conditionalFormatting sqref="AH77">
    <cfRule type="cellIs" dxfId="695" priority="190" stopIfTrue="1" operator="greaterThanOrEqual">
      <formula>AG76</formula>
    </cfRule>
    <cfRule type="cellIs" dxfId="694" priority="192" stopIfTrue="1" operator="lessThan">
      <formula>AG76</formula>
    </cfRule>
  </conditionalFormatting>
  <conditionalFormatting sqref="AH77">
    <cfRule type="cellIs" dxfId="693" priority="191" stopIfTrue="1" operator="lessThan">
      <formula>AD76</formula>
    </cfRule>
  </conditionalFormatting>
  <conditionalFormatting sqref="AI77">
    <cfRule type="iconSet" priority="185">
      <iconSet iconSet="5ArrowsGray" showValue="0">
        <cfvo type="percent" val="0"/>
        <cfvo type="formula" val="$AF$77-$AB$76" gte="0"/>
        <cfvo type="formula" val="$AF$77"/>
        <cfvo type="formula" val="$AF$77" gte="0"/>
        <cfvo type="formula" val="$AF$77+$AB$76"/>
      </iconSet>
    </cfRule>
  </conditionalFormatting>
  <conditionalFormatting sqref="AI77">
    <cfRule type="cellIs" dxfId="692" priority="186" stopIfTrue="1" operator="greaterThanOrEqual">
      <formula>AG76</formula>
    </cfRule>
    <cfRule type="cellIs" dxfId="691" priority="188" stopIfTrue="1" operator="lessThan">
      <formula>AG76</formula>
    </cfRule>
  </conditionalFormatting>
  <conditionalFormatting sqref="AI77">
    <cfRule type="cellIs" dxfId="690" priority="187" stopIfTrue="1" operator="lessThanOrEqual">
      <formula>AD76</formula>
    </cfRule>
  </conditionalFormatting>
  <conditionalFormatting sqref="AH80">
    <cfRule type="iconSet" priority="181">
      <iconSet iconSet="5ArrowsGray" showValue="0">
        <cfvo type="percent" val="0"/>
        <cfvo type="formula" val="$AF$80-$AB$79" gte="0"/>
        <cfvo type="formula" val="$AF$80"/>
        <cfvo type="formula" val="$AF$80" gte="0"/>
        <cfvo type="formula" val="$AF$80+$AB$79"/>
      </iconSet>
    </cfRule>
  </conditionalFormatting>
  <conditionalFormatting sqref="AH80">
    <cfRule type="cellIs" dxfId="689" priority="182" stopIfTrue="1" operator="greaterThanOrEqual">
      <formula>AG79</formula>
    </cfRule>
    <cfRule type="cellIs" dxfId="688" priority="184" stopIfTrue="1" operator="lessThan">
      <formula>AG79</formula>
    </cfRule>
  </conditionalFormatting>
  <conditionalFormatting sqref="AH80">
    <cfRule type="cellIs" dxfId="687" priority="183" stopIfTrue="1" operator="lessThan">
      <formula>AD79</formula>
    </cfRule>
  </conditionalFormatting>
  <conditionalFormatting sqref="AI80">
    <cfRule type="iconSet" priority="177">
      <iconSet iconSet="5ArrowsGray" showValue="0">
        <cfvo type="percent" val="0"/>
        <cfvo type="formula" val="$AF$80-$AB$79" gte="0"/>
        <cfvo type="formula" val="$AF$80"/>
        <cfvo type="formula" val="$AF$80" gte="0"/>
        <cfvo type="formula" val="$AF$80+$AB$79"/>
      </iconSet>
    </cfRule>
  </conditionalFormatting>
  <conditionalFormatting sqref="AI80">
    <cfRule type="cellIs" dxfId="686" priority="178" stopIfTrue="1" operator="greaterThanOrEqual">
      <formula>AG79</formula>
    </cfRule>
    <cfRule type="cellIs" dxfId="685" priority="180" stopIfTrue="1" operator="lessThan">
      <formula>AG79</formula>
    </cfRule>
  </conditionalFormatting>
  <conditionalFormatting sqref="AI80">
    <cfRule type="cellIs" dxfId="684" priority="179" stopIfTrue="1" operator="lessThanOrEqual">
      <formula>AD79</formula>
    </cfRule>
  </conditionalFormatting>
  <conditionalFormatting sqref="AH83">
    <cfRule type="iconSet" priority="173">
      <iconSet iconSet="5ArrowsGray" showValue="0">
        <cfvo type="percent" val="0"/>
        <cfvo type="formula" val="$AF$83-$AB$82" gte="0"/>
        <cfvo type="formula" val="$AF$83"/>
        <cfvo type="formula" val="$AF$83" gte="0"/>
        <cfvo type="formula" val="$AF$83+$AB$82"/>
      </iconSet>
    </cfRule>
  </conditionalFormatting>
  <conditionalFormatting sqref="AH83">
    <cfRule type="cellIs" dxfId="683" priority="174" stopIfTrue="1" operator="greaterThanOrEqual">
      <formula>AG82</formula>
    </cfRule>
    <cfRule type="cellIs" dxfId="682" priority="176" stopIfTrue="1" operator="lessThan">
      <formula>AG82</formula>
    </cfRule>
  </conditionalFormatting>
  <conditionalFormatting sqref="AH83">
    <cfRule type="cellIs" dxfId="681" priority="175" stopIfTrue="1" operator="lessThan">
      <formula>AD82</formula>
    </cfRule>
  </conditionalFormatting>
  <conditionalFormatting sqref="AI83">
    <cfRule type="iconSet" priority="169">
      <iconSet iconSet="5ArrowsGray" showValue="0">
        <cfvo type="percent" val="0"/>
        <cfvo type="formula" val="$AF$83-$AB$82" gte="0"/>
        <cfvo type="formula" val="$AF$83"/>
        <cfvo type="formula" val="$AF$83" gte="0"/>
        <cfvo type="formula" val="$AF$83+$AB$82"/>
      </iconSet>
    </cfRule>
  </conditionalFormatting>
  <conditionalFormatting sqref="AI83">
    <cfRule type="cellIs" dxfId="680" priority="170" stopIfTrue="1" operator="greaterThanOrEqual">
      <formula>AG82</formula>
    </cfRule>
    <cfRule type="cellIs" dxfId="679" priority="172" stopIfTrue="1" operator="lessThan">
      <formula>AG82</formula>
    </cfRule>
  </conditionalFormatting>
  <conditionalFormatting sqref="AI83">
    <cfRule type="cellIs" dxfId="678" priority="171" stopIfTrue="1" operator="lessThanOrEqual">
      <formula>AD82</formula>
    </cfRule>
  </conditionalFormatting>
  <conditionalFormatting sqref="AH86">
    <cfRule type="iconSet" priority="165">
      <iconSet iconSet="5ArrowsGray" showValue="0">
        <cfvo type="percent" val="0"/>
        <cfvo type="formula" val="$AF$86-$AB$85" gte="0"/>
        <cfvo type="formula" val="$AF$86"/>
        <cfvo type="formula" val="$AF$86" gte="0"/>
        <cfvo type="formula" val="$AF$86+$AB$85"/>
      </iconSet>
    </cfRule>
  </conditionalFormatting>
  <conditionalFormatting sqref="AH86">
    <cfRule type="cellIs" dxfId="677" priority="166" stopIfTrue="1" operator="greaterThanOrEqual">
      <formula>AG85</formula>
    </cfRule>
    <cfRule type="cellIs" dxfId="676" priority="168" stopIfTrue="1" operator="lessThan">
      <formula>AG85</formula>
    </cfRule>
  </conditionalFormatting>
  <conditionalFormatting sqref="AH86">
    <cfRule type="cellIs" dxfId="675" priority="167" stopIfTrue="1" operator="lessThan">
      <formula>AD85</formula>
    </cfRule>
  </conditionalFormatting>
  <conditionalFormatting sqref="AI86">
    <cfRule type="iconSet" priority="161">
      <iconSet iconSet="5ArrowsGray" showValue="0">
        <cfvo type="percent" val="0"/>
        <cfvo type="formula" val="$AF$86-$AB$85" gte="0"/>
        <cfvo type="formula" val="$AF$86"/>
        <cfvo type="formula" val="$AF$86" gte="0"/>
        <cfvo type="formula" val="$AF$86+$AB$85"/>
      </iconSet>
    </cfRule>
  </conditionalFormatting>
  <conditionalFormatting sqref="AI86">
    <cfRule type="cellIs" dxfId="674" priority="162" stopIfTrue="1" operator="greaterThanOrEqual">
      <formula>AG85</formula>
    </cfRule>
    <cfRule type="cellIs" dxfId="673" priority="164" stopIfTrue="1" operator="lessThan">
      <formula>AG85</formula>
    </cfRule>
  </conditionalFormatting>
  <conditionalFormatting sqref="AI86">
    <cfRule type="cellIs" dxfId="672" priority="163" stopIfTrue="1" operator="lessThanOrEqual">
      <formula>AD85</formula>
    </cfRule>
  </conditionalFormatting>
  <conditionalFormatting sqref="AH89">
    <cfRule type="iconSet" priority="157">
      <iconSet iconSet="5ArrowsGray" showValue="0">
        <cfvo type="percent" val="0"/>
        <cfvo type="formula" val="$AF$89-$AB$88" gte="0"/>
        <cfvo type="formula" val="$AF$89"/>
        <cfvo type="formula" val="$AF$89" gte="0"/>
        <cfvo type="formula" val="$AF$89+$AB$88"/>
      </iconSet>
    </cfRule>
  </conditionalFormatting>
  <conditionalFormatting sqref="AH89">
    <cfRule type="cellIs" dxfId="671" priority="158" stopIfTrue="1" operator="greaterThanOrEqual">
      <formula>AG88</formula>
    </cfRule>
    <cfRule type="cellIs" dxfId="670" priority="160" stopIfTrue="1" operator="lessThan">
      <formula>AG88</formula>
    </cfRule>
  </conditionalFormatting>
  <conditionalFormatting sqref="AH89">
    <cfRule type="cellIs" dxfId="669" priority="159" stopIfTrue="1" operator="lessThan">
      <formula>AD88</formula>
    </cfRule>
  </conditionalFormatting>
  <conditionalFormatting sqref="AI89">
    <cfRule type="iconSet" priority="153">
      <iconSet iconSet="5ArrowsGray" showValue="0">
        <cfvo type="percent" val="0"/>
        <cfvo type="formula" val="$AF$89-$AB$88" gte="0"/>
        <cfvo type="formula" val="$AF$89"/>
        <cfvo type="formula" val="$AF$89" gte="0"/>
        <cfvo type="formula" val="$AF$89+$AB$88"/>
      </iconSet>
    </cfRule>
  </conditionalFormatting>
  <conditionalFormatting sqref="AI89">
    <cfRule type="cellIs" dxfId="668" priority="154" stopIfTrue="1" operator="greaterThanOrEqual">
      <formula>AG88</formula>
    </cfRule>
    <cfRule type="cellIs" dxfId="667" priority="156" stopIfTrue="1" operator="lessThan">
      <formula>AG88</formula>
    </cfRule>
  </conditionalFormatting>
  <conditionalFormatting sqref="AI89">
    <cfRule type="cellIs" dxfId="666" priority="155" stopIfTrue="1" operator="lessThanOrEqual">
      <formula>AD88</formula>
    </cfRule>
  </conditionalFormatting>
  <conditionalFormatting sqref="AH92">
    <cfRule type="iconSet" priority="149">
      <iconSet iconSet="5ArrowsGray" showValue="0">
        <cfvo type="percent" val="0"/>
        <cfvo type="formula" val="$AF$92-$AB$91" gte="0"/>
        <cfvo type="formula" val="$AF$92"/>
        <cfvo type="formula" val="$AF$92" gte="0"/>
        <cfvo type="formula" val="$AF$92+$AB$91"/>
      </iconSet>
    </cfRule>
  </conditionalFormatting>
  <conditionalFormatting sqref="AH92">
    <cfRule type="cellIs" dxfId="665" priority="150" stopIfTrue="1" operator="greaterThanOrEqual">
      <formula>AG91</formula>
    </cfRule>
    <cfRule type="cellIs" dxfId="664" priority="152" stopIfTrue="1" operator="lessThan">
      <formula>AG91</formula>
    </cfRule>
  </conditionalFormatting>
  <conditionalFormatting sqref="AH92">
    <cfRule type="cellIs" dxfId="663" priority="151" stopIfTrue="1" operator="lessThan">
      <formula>AD91</formula>
    </cfRule>
  </conditionalFormatting>
  <conditionalFormatting sqref="AI92">
    <cfRule type="iconSet" priority="145">
      <iconSet iconSet="5ArrowsGray" showValue="0">
        <cfvo type="percent" val="0"/>
        <cfvo type="formula" val="$AF$92-$AB$91" gte="0"/>
        <cfvo type="formula" val="$AF$92"/>
        <cfvo type="formula" val="$AF$92" gte="0"/>
        <cfvo type="formula" val="$AF$92+$AB$91"/>
      </iconSet>
    </cfRule>
  </conditionalFormatting>
  <conditionalFormatting sqref="AI92">
    <cfRule type="cellIs" dxfId="662" priority="146" stopIfTrue="1" operator="greaterThanOrEqual">
      <formula>AG91</formula>
    </cfRule>
    <cfRule type="cellIs" dxfId="661" priority="148" stopIfTrue="1" operator="lessThan">
      <formula>AG91</formula>
    </cfRule>
  </conditionalFormatting>
  <conditionalFormatting sqref="AI92">
    <cfRule type="cellIs" dxfId="660" priority="147" stopIfTrue="1" operator="lessThanOrEqual">
      <formula>AD91</formula>
    </cfRule>
  </conditionalFormatting>
  <conditionalFormatting sqref="AH95">
    <cfRule type="iconSet" priority="141">
      <iconSet iconSet="5ArrowsGray" showValue="0">
        <cfvo type="percent" val="0"/>
        <cfvo type="formula" val="$AF$95-$AB$94" gte="0"/>
        <cfvo type="formula" val="$AF$95"/>
        <cfvo type="formula" val="$AF$95" gte="0"/>
        <cfvo type="formula" val="$AF$95+$AB$94"/>
      </iconSet>
    </cfRule>
  </conditionalFormatting>
  <conditionalFormatting sqref="AH95">
    <cfRule type="cellIs" dxfId="659" priority="142" stopIfTrue="1" operator="greaterThanOrEqual">
      <formula>AG94</formula>
    </cfRule>
    <cfRule type="cellIs" dxfId="658" priority="144" stopIfTrue="1" operator="lessThan">
      <formula>AG94</formula>
    </cfRule>
  </conditionalFormatting>
  <conditionalFormatting sqref="AH95">
    <cfRule type="cellIs" dxfId="657" priority="143" stopIfTrue="1" operator="lessThan">
      <formula>AD94</formula>
    </cfRule>
  </conditionalFormatting>
  <conditionalFormatting sqref="AI95">
    <cfRule type="iconSet" priority="137">
      <iconSet iconSet="5ArrowsGray" showValue="0">
        <cfvo type="percent" val="0"/>
        <cfvo type="formula" val="$AF$95-$AB$94" gte="0"/>
        <cfvo type="formula" val="$AF$95"/>
        <cfvo type="formula" val="$AF$95" gte="0"/>
        <cfvo type="formula" val="$AF$95+$AB$94"/>
      </iconSet>
    </cfRule>
  </conditionalFormatting>
  <conditionalFormatting sqref="AI95">
    <cfRule type="cellIs" dxfId="656" priority="138" stopIfTrue="1" operator="greaterThanOrEqual">
      <formula>AG94</formula>
    </cfRule>
    <cfRule type="cellIs" dxfId="655" priority="140" stopIfTrue="1" operator="lessThan">
      <formula>AG94</formula>
    </cfRule>
  </conditionalFormatting>
  <conditionalFormatting sqref="AI95">
    <cfRule type="cellIs" dxfId="654" priority="139" stopIfTrue="1" operator="lessThanOrEqual">
      <formula>AD94</formula>
    </cfRule>
  </conditionalFormatting>
  <conditionalFormatting sqref="AH98">
    <cfRule type="iconSet" priority="133">
      <iconSet iconSet="5ArrowsGray" showValue="0">
        <cfvo type="percent" val="0"/>
        <cfvo type="formula" val="$AF$98-$AB$97" gte="0"/>
        <cfvo type="formula" val="$AF$98"/>
        <cfvo type="formula" val="$AF$98" gte="0"/>
        <cfvo type="formula" val="$AF$98+$AB$97"/>
      </iconSet>
    </cfRule>
  </conditionalFormatting>
  <conditionalFormatting sqref="AH98">
    <cfRule type="cellIs" dxfId="653" priority="134" stopIfTrue="1" operator="greaterThanOrEqual">
      <formula>AG97</formula>
    </cfRule>
    <cfRule type="cellIs" dxfId="652" priority="136" stopIfTrue="1" operator="lessThan">
      <formula>AG97</formula>
    </cfRule>
  </conditionalFormatting>
  <conditionalFormatting sqref="AH98">
    <cfRule type="cellIs" dxfId="651" priority="135" stopIfTrue="1" operator="lessThan">
      <formula>AD97</formula>
    </cfRule>
  </conditionalFormatting>
  <conditionalFormatting sqref="AI98">
    <cfRule type="iconSet" priority="129">
      <iconSet iconSet="5ArrowsGray" showValue="0">
        <cfvo type="percent" val="0"/>
        <cfvo type="formula" val="$AF$98-$AB$97" gte="0"/>
        <cfvo type="formula" val="$AF$98"/>
        <cfvo type="formula" val="$AF$98" gte="0"/>
        <cfvo type="formula" val="$AF$98+$AB$97"/>
      </iconSet>
    </cfRule>
  </conditionalFormatting>
  <conditionalFormatting sqref="AI98">
    <cfRule type="cellIs" dxfId="650" priority="130" stopIfTrue="1" operator="greaterThanOrEqual">
      <formula>AG97</formula>
    </cfRule>
    <cfRule type="cellIs" dxfId="649" priority="132" stopIfTrue="1" operator="lessThan">
      <formula>AG97</formula>
    </cfRule>
  </conditionalFormatting>
  <conditionalFormatting sqref="AI98">
    <cfRule type="cellIs" dxfId="648" priority="131" stopIfTrue="1" operator="lessThanOrEqual">
      <formula>AD97</formula>
    </cfRule>
  </conditionalFormatting>
  <conditionalFormatting sqref="AH101">
    <cfRule type="iconSet" priority="125">
      <iconSet iconSet="5ArrowsGray" showValue="0">
        <cfvo type="percent" val="0"/>
        <cfvo type="formula" val="$AF$101-$AB$100" gte="0"/>
        <cfvo type="formula" val="$AF$101"/>
        <cfvo type="formula" val="$AF$101" gte="0"/>
        <cfvo type="formula" val="$AF$101+$AB$100"/>
      </iconSet>
    </cfRule>
  </conditionalFormatting>
  <conditionalFormatting sqref="AH101">
    <cfRule type="cellIs" dxfId="647" priority="126" stopIfTrue="1" operator="greaterThanOrEqual">
      <formula>AG100</formula>
    </cfRule>
    <cfRule type="cellIs" dxfId="646" priority="128" stopIfTrue="1" operator="lessThan">
      <formula>AG100</formula>
    </cfRule>
  </conditionalFormatting>
  <conditionalFormatting sqref="AH101">
    <cfRule type="cellIs" dxfId="645" priority="127" stopIfTrue="1" operator="lessThan">
      <formula>AD100</formula>
    </cfRule>
  </conditionalFormatting>
  <conditionalFormatting sqref="AI101">
    <cfRule type="iconSet" priority="121">
      <iconSet iconSet="5ArrowsGray" showValue="0">
        <cfvo type="percent" val="0"/>
        <cfvo type="formula" val="$AF$101-$AB$100" gte="0"/>
        <cfvo type="formula" val="$AF$101"/>
        <cfvo type="formula" val="$AF$101" gte="0"/>
        <cfvo type="formula" val="$AF$101+$AB$100"/>
      </iconSet>
    </cfRule>
  </conditionalFormatting>
  <conditionalFormatting sqref="AI101">
    <cfRule type="cellIs" dxfId="644" priority="122" stopIfTrue="1" operator="greaterThanOrEqual">
      <formula>AG100</formula>
    </cfRule>
    <cfRule type="cellIs" dxfId="643" priority="124" stopIfTrue="1" operator="lessThan">
      <formula>AG100</formula>
    </cfRule>
  </conditionalFormatting>
  <conditionalFormatting sqref="AI101">
    <cfRule type="cellIs" dxfId="642" priority="123" stopIfTrue="1" operator="lessThanOrEqual">
      <formula>AD100</formula>
    </cfRule>
  </conditionalFormatting>
  <conditionalFormatting sqref="AH104">
    <cfRule type="iconSet" priority="117">
      <iconSet iconSet="5ArrowsGray" showValue="0">
        <cfvo type="percent" val="0"/>
        <cfvo type="formula" val="$AF$104-$AB$103" gte="0"/>
        <cfvo type="formula" val="$AF$104"/>
        <cfvo type="formula" val="$AF$104" gte="0"/>
        <cfvo type="formula" val="$AF$104+$AB$103"/>
      </iconSet>
    </cfRule>
  </conditionalFormatting>
  <conditionalFormatting sqref="AH104">
    <cfRule type="cellIs" dxfId="641" priority="118" stopIfTrue="1" operator="greaterThanOrEqual">
      <formula>AG103</formula>
    </cfRule>
    <cfRule type="cellIs" dxfId="640" priority="120" stopIfTrue="1" operator="lessThan">
      <formula>AG103</formula>
    </cfRule>
  </conditionalFormatting>
  <conditionalFormatting sqref="AH104">
    <cfRule type="cellIs" dxfId="639" priority="119" stopIfTrue="1" operator="lessThan">
      <formula>AD103</formula>
    </cfRule>
  </conditionalFormatting>
  <conditionalFormatting sqref="AI104">
    <cfRule type="iconSet" priority="113">
      <iconSet iconSet="5ArrowsGray" showValue="0">
        <cfvo type="percent" val="0"/>
        <cfvo type="formula" val="$AF$104-$AB$103" gte="0"/>
        <cfvo type="formula" val="$AF$104"/>
        <cfvo type="formula" val="$AF$104" gte="0"/>
        <cfvo type="formula" val="$AF$104+$AB$103"/>
      </iconSet>
    </cfRule>
  </conditionalFormatting>
  <conditionalFormatting sqref="AI104">
    <cfRule type="cellIs" dxfId="638" priority="114" stopIfTrue="1" operator="greaterThanOrEqual">
      <formula>AG103</formula>
    </cfRule>
    <cfRule type="cellIs" dxfId="637" priority="116" stopIfTrue="1" operator="lessThan">
      <formula>AG103</formula>
    </cfRule>
  </conditionalFormatting>
  <conditionalFormatting sqref="AI104">
    <cfRule type="cellIs" dxfId="636" priority="115" stopIfTrue="1" operator="lessThanOrEqual">
      <formula>AD103</formula>
    </cfRule>
  </conditionalFormatting>
  <conditionalFormatting sqref="AH107">
    <cfRule type="iconSet" priority="109">
      <iconSet iconSet="5ArrowsGray" showValue="0">
        <cfvo type="percent" val="0"/>
        <cfvo type="formula" val="$AF$107-$AB$106" gte="0"/>
        <cfvo type="formula" val="$AF$107"/>
        <cfvo type="formula" val="$AF$107" gte="0"/>
        <cfvo type="formula" val="$AF$107+$AB$106"/>
      </iconSet>
    </cfRule>
  </conditionalFormatting>
  <conditionalFormatting sqref="AH107">
    <cfRule type="cellIs" dxfId="635" priority="110" stopIfTrue="1" operator="greaterThanOrEqual">
      <formula>AG106</formula>
    </cfRule>
    <cfRule type="cellIs" dxfId="634" priority="112" stopIfTrue="1" operator="lessThan">
      <formula>AG106</formula>
    </cfRule>
  </conditionalFormatting>
  <conditionalFormatting sqref="AH107">
    <cfRule type="cellIs" dxfId="633" priority="111" stopIfTrue="1" operator="lessThan">
      <formula>AD106</formula>
    </cfRule>
  </conditionalFormatting>
  <conditionalFormatting sqref="AI107">
    <cfRule type="iconSet" priority="105">
      <iconSet iconSet="5ArrowsGray" showValue="0">
        <cfvo type="percent" val="0"/>
        <cfvo type="formula" val="$AF$107-$AB$106" gte="0"/>
        <cfvo type="formula" val="$AF$107"/>
        <cfvo type="formula" val="$AF$107" gte="0"/>
        <cfvo type="formula" val="$AF$107+$AB$106"/>
      </iconSet>
    </cfRule>
  </conditionalFormatting>
  <conditionalFormatting sqref="AI107">
    <cfRule type="cellIs" dxfId="632" priority="106" stopIfTrue="1" operator="greaterThanOrEqual">
      <formula>AG106</formula>
    </cfRule>
    <cfRule type="cellIs" dxfId="631" priority="108" stopIfTrue="1" operator="lessThan">
      <formula>AG106</formula>
    </cfRule>
  </conditionalFormatting>
  <conditionalFormatting sqref="AI107">
    <cfRule type="cellIs" dxfId="630" priority="107" stopIfTrue="1" operator="lessThanOrEqual">
      <formula>AD106</formula>
    </cfRule>
  </conditionalFormatting>
  <conditionalFormatting sqref="AH110">
    <cfRule type="iconSet" priority="101">
      <iconSet iconSet="5ArrowsGray" showValue="0">
        <cfvo type="percent" val="0"/>
        <cfvo type="formula" val="$AF$110-$AB$109" gte="0"/>
        <cfvo type="formula" val="$AF$110"/>
        <cfvo type="formula" val="$AF$110" gte="0"/>
        <cfvo type="formula" val="$AF$110+$AB$109"/>
      </iconSet>
    </cfRule>
  </conditionalFormatting>
  <conditionalFormatting sqref="AH110">
    <cfRule type="cellIs" dxfId="629" priority="102" stopIfTrue="1" operator="greaterThanOrEqual">
      <formula>AG109</formula>
    </cfRule>
    <cfRule type="cellIs" dxfId="628" priority="104" stopIfTrue="1" operator="lessThan">
      <formula>AG109</formula>
    </cfRule>
  </conditionalFormatting>
  <conditionalFormatting sqref="AH110">
    <cfRule type="cellIs" dxfId="627" priority="103" stopIfTrue="1" operator="lessThan">
      <formula>AD109</formula>
    </cfRule>
  </conditionalFormatting>
  <conditionalFormatting sqref="AI110">
    <cfRule type="iconSet" priority="97">
      <iconSet iconSet="5ArrowsGray" showValue="0">
        <cfvo type="percent" val="0"/>
        <cfvo type="formula" val="$AF$110-$AB$109" gte="0"/>
        <cfvo type="formula" val="$AF$110"/>
        <cfvo type="formula" val="$AF$110" gte="0"/>
        <cfvo type="formula" val="$AF$110+$AB$109"/>
      </iconSet>
    </cfRule>
  </conditionalFormatting>
  <conditionalFormatting sqref="AI110">
    <cfRule type="cellIs" dxfId="626" priority="98" stopIfTrue="1" operator="greaterThanOrEqual">
      <formula>AG109</formula>
    </cfRule>
    <cfRule type="cellIs" dxfId="625" priority="100" stopIfTrue="1" operator="lessThan">
      <formula>AG109</formula>
    </cfRule>
  </conditionalFormatting>
  <conditionalFormatting sqref="AI110">
    <cfRule type="cellIs" dxfId="624" priority="99" stopIfTrue="1" operator="lessThanOrEqual">
      <formula>AD109</formula>
    </cfRule>
  </conditionalFormatting>
  <conditionalFormatting sqref="AH113">
    <cfRule type="iconSet" priority="93">
      <iconSet iconSet="5ArrowsGray" showValue="0">
        <cfvo type="percent" val="0"/>
        <cfvo type="formula" val="$AF$113-$AB$112" gte="0"/>
        <cfvo type="formula" val="$AF$113"/>
        <cfvo type="formula" val="$AF$113" gte="0"/>
        <cfvo type="formula" val="$AF$113+$AB$112"/>
      </iconSet>
    </cfRule>
  </conditionalFormatting>
  <conditionalFormatting sqref="AH113">
    <cfRule type="cellIs" dxfId="623" priority="94" stopIfTrue="1" operator="greaterThanOrEqual">
      <formula>AG112</formula>
    </cfRule>
    <cfRule type="cellIs" dxfId="622" priority="96" stopIfTrue="1" operator="lessThan">
      <formula>AG112</formula>
    </cfRule>
  </conditionalFormatting>
  <conditionalFormatting sqref="AH113">
    <cfRule type="cellIs" dxfId="621" priority="95" stopIfTrue="1" operator="lessThan">
      <formula>AD112</formula>
    </cfRule>
  </conditionalFormatting>
  <conditionalFormatting sqref="AI113">
    <cfRule type="iconSet" priority="89">
      <iconSet iconSet="5ArrowsGray" showValue="0">
        <cfvo type="percent" val="0"/>
        <cfvo type="formula" val="$AF$113-$AB$112" gte="0"/>
        <cfvo type="formula" val="$AF$113"/>
        <cfvo type="formula" val="$AF$113" gte="0"/>
        <cfvo type="formula" val="$AF$113+$AB$112"/>
      </iconSet>
    </cfRule>
  </conditionalFormatting>
  <conditionalFormatting sqref="AI113">
    <cfRule type="cellIs" dxfId="620" priority="90" stopIfTrue="1" operator="greaterThanOrEqual">
      <formula>AG112</formula>
    </cfRule>
    <cfRule type="cellIs" dxfId="619" priority="92" stopIfTrue="1" operator="lessThan">
      <formula>AG112</formula>
    </cfRule>
  </conditionalFormatting>
  <conditionalFormatting sqref="AI113">
    <cfRule type="cellIs" dxfId="618" priority="91" stopIfTrue="1" operator="lessThanOrEqual">
      <formula>AD112</formula>
    </cfRule>
  </conditionalFormatting>
  <conditionalFormatting sqref="AH116">
    <cfRule type="iconSet" priority="85">
      <iconSet iconSet="5ArrowsGray" showValue="0">
        <cfvo type="percent" val="0"/>
        <cfvo type="formula" val="$AF$116-$AB$115" gte="0"/>
        <cfvo type="formula" val="$AF$116"/>
        <cfvo type="formula" val="$AF$116" gte="0"/>
        <cfvo type="formula" val="$AF$116+$AB$115"/>
      </iconSet>
    </cfRule>
  </conditionalFormatting>
  <conditionalFormatting sqref="AH116">
    <cfRule type="cellIs" dxfId="617" priority="86" stopIfTrue="1" operator="greaterThanOrEqual">
      <formula>AG115</formula>
    </cfRule>
    <cfRule type="cellIs" dxfId="616" priority="88" stopIfTrue="1" operator="lessThan">
      <formula>AG115</formula>
    </cfRule>
  </conditionalFormatting>
  <conditionalFormatting sqref="AH116">
    <cfRule type="cellIs" dxfId="615" priority="87" stopIfTrue="1" operator="lessThan">
      <formula>AD115</formula>
    </cfRule>
  </conditionalFormatting>
  <conditionalFormatting sqref="AI116">
    <cfRule type="iconSet" priority="81">
      <iconSet iconSet="5ArrowsGray" showValue="0">
        <cfvo type="percent" val="0"/>
        <cfvo type="formula" val="$AF$116-$AB$115" gte="0"/>
        <cfvo type="formula" val="$AF$116"/>
        <cfvo type="formula" val="$AF$116" gte="0"/>
        <cfvo type="formula" val="$AF$116+$AB$115"/>
      </iconSet>
    </cfRule>
  </conditionalFormatting>
  <conditionalFormatting sqref="AI116">
    <cfRule type="cellIs" dxfId="614" priority="82" stopIfTrue="1" operator="greaterThanOrEqual">
      <formula>AG115</formula>
    </cfRule>
    <cfRule type="cellIs" dxfId="613" priority="84" stopIfTrue="1" operator="lessThan">
      <formula>AG115</formula>
    </cfRule>
  </conditionalFormatting>
  <conditionalFormatting sqref="AI116">
    <cfRule type="cellIs" dxfId="612" priority="83" stopIfTrue="1" operator="lessThanOrEqual">
      <formula>AD115</formula>
    </cfRule>
  </conditionalFormatting>
  <conditionalFormatting sqref="AH119">
    <cfRule type="iconSet" priority="77">
      <iconSet iconSet="5ArrowsGray" showValue="0">
        <cfvo type="percent" val="0"/>
        <cfvo type="formula" val="$AF$119-$AB$118" gte="0"/>
        <cfvo type="formula" val="$AF$119"/>
        <cfvo type="formula" val="$AF$119" gte="0"/>
        <cfvo type="formula" val="$AF$119+$AB$118"/>
      </iconSet>
    </cfRule>
  </conditionalFormatting>
  <conditionalFormatting sqref="AH119">
    <cfRule type="cellIs" dxfId="611" priority="78" stopIfTrue="1" operator="greaterThanOrEqual">
      <formula>AG118</formula>
    </cfRule>
    <cfRule type="cellIs" dxfId="610" priority="80" stopIfTrue="1" operator="lessThan">
      <formula>AG118</formula>
    </cfRule>
  </conditionalFormatting>
  <conditionalFormatting sqref="AH119">
    <cfRule type="cellIs" dxfId="609" priority="79" stopIfTrue="1" operator="lessThan">
      <formula>AD118</formula>
    </cfRule>
  </conditionalFormatting>
  <conditionalFormatting sqref="AI119">
    <cfRule type="iconSet" priority="73">
      <iconSet iconSet="5ArrowsGray" showValue="0">
        <cfvo type="percent" val="0"/>
        <cfvo type="formula" val="$AF$119-$AB$118" gte="0"/>
        <cfvo type="formula" val="$AF$119"/>
        <cfvo type="formula" val="$AF$119" gte="0"/>
        <cfvo type="formula" val="$AF$119+$AB$118"/>
      </iconSet>
    </cfRule>
  </conditionalFormatting>
  <conditionalFormatting sqref="AI119">
    <cfRule type="cellIs" dxfId="608" priority="74" stopIfTrue="1" operator="greaterThanOrEqual">
      <formula>AG118</formula>
    </cfRule>
    <cfRule type="cellIs" dxfId="607" priority="76" stopIfTrue="1" operator="lessThan">
      <formula>AG118</formula>
    </cfRule>
  </conditionalFormatting>
  <conditionalFormatting sqref="AI119">
    <cfRule type="cellIs" dxfId="606" priority="75" stopIfTrue="1" operator="lessThanOrEqual">
      <formula>AD118</formula>
    </cfRule>
  </conditionalFormatting>
  <conditionalFormatting sqref="AH122">
    <cfRule type="iconSet" priority="69">
      <iconSet iconSet="5ArrowsGray" showValue="0">
        <cfvo type="percent" val="0"/>
        <cfvo type="formula" val="$AF$122-$AB$121" gte="0"/>
        <cfvo type="formula" val="$AF$122"/>
        <cfvo type="formula" val="$AF$122" gte="0"/>
        <cfvo type="formula" val="$AF$122+$AB$121"/>
      </iconSet>
    </cfRule>
  </conditionalFormatting>
  <conditionalFormatting sqref="AH122">
    <cfRule type="cellIs" dxfId="605" priority="70" stopIfTrue="1" operator="greaterThanOrEqual">
      <formula>AG121</formula>
    </cfRule>
    <cfRule type="cellIs" dxfId="604" priority="72" stopIfTrue="1" operator="lessThan">
      <formula>AG121</formula>
    </cfRule>
  </conditionalFormatting>
  <conditionalFormatting sqref="AH122">
    <cfRule type="cellIs" dxfId="603" priority="71" stopIfTrue="1" operator="lessThan">
      <formula>AD121</formula>
    </cfRule>
  </conditionalFormatting>
  <conditionalFormatting sqref="AI122">
    <cfRule type="iconSet" priority="65">
      <iconSet iconSet="5ArrowsGray" showValue="0">
        <cfvo type="percent" val="0"/>
        <cfvo type="formula" val="$AF$122-$AB$121" gte="0"/>
        <cfvo type="formula" val="$AF$122"/>
        <cfvo type="formula" val="$AF$122" gte="0"/>
        <cfvo type="formula" val="$AF$122+$AB$121"/>
      </iconSet>
    </cfRule>
  </conditionalFormatting>
  <conditionalFormatting sqref="AI122">
    <cfRule type="cellIs" dxfId="602" priority="66" stopIfTrue="1" operator="greaterThanOrEqual">
      <formula>AG121</formula>
    </cfRule>
    <cfRule type="cellIs" dxfId="601" priority="68" stopIfTrue="1" operator="lessThan">
      <formula>AG121</formula>
    </cfRule>
  </conditionalFormatting>
  <conditionalFormatting sqref="AI122">
    <cfRule type="cellIs" dxfId="600" priority="67" stopIfTrue="1" operator="lessThanOrEqual">
      <formula>AD121</formula>
    </cfRule>
  </conditionalFormatting>
  <conditionalFormatting sqref="AH125">
    <cfRule type="iconSet" priority="61">
      <iconSet iconSet="5ArrowsGray" showValue="0">
        <cfvo type="percent" val="0"/>
        <cfvo type="formula" val="$AF$125-$AB$124" gte="0"/>
        <cfvo type="formula" val="$AF$125"/>
        <cfvo type="formula" val="$AF$125" gte="0"/>
        <cfvo type="formula" val="$AF$125+$AB$124"/>
      </iconSet>
    </cfRule>
  </conditionalFormatting>
  <conditionalFormatting sqref="AH125">
    <cfRule type="cellIs" dxfId="599" priority="62" stopIfTrue="1" operator="greaterThanOrEqual">
      <formula>AG124</formula>
    </cfRule>
    <cfRule type="cellIs" dxfId="598" priority="64" stopIfTrue="1" operator="lessThan">
      <formula>AG124</formula>
    </cfRule>
  </conditionalFormatting>
  <conditionalFormatting sqref="AH125">
    <cfRule type="cellIs" dxfId="597" priority="63" stopIfTrue="1" operator="lessThan">
      <formula>AD124</formula>
    </cfRule>
  </conditionalFormatting>
  <conditionalFormatting sqref="AI125">
    <cfRule type="iconSet" priority="57">
      <iconSet iconSet="5ArrowsGray" showValue="0">
        <cfvo type="percent" val="0"/>
        <cfvo type="formula" val="$AF$125-$AB$124" gte="0"/>
        <cfvo type="formula" val="$AF$125"/>
        <cfvo type="formula" val="$AF$125" gte="0"/>
        <cfvo type="formula" val="$AF$125+$AB$124"/>
      </iconSet>
    </cfRule>
  </conditionalFormatting>
  <conditionalFormatting sqref="AI125">
    <cfRule type="cellIs" dxfId="596" priority="58" stopIfTrue="1" operator="greaterThanOrEqual">
      <formula>AG124</formula>
    </cfRule>
    <cfRule type="cellIs" dxfId="595" priority="60" stopIfTrue="1" operator="lessThan">
      <formula>AG124</formula>
    </cfRule>
  </conditionalFormatting>
  <conditionalFormatting sqref="AI125">
    <cfRule type="cellIs" dxfId="594" priority="59" stopIfTrue="1" operator="lessThanOrEqual">
      <formula>AD124</formula>
    </cfRule>
  </conditionalFormatting>
  <conditionalFormatting sqref="AH128">
    <cfRule type="iconSet" priority="53">
      <iconSet iconSet="5ArrowsGray" showValue="0">
        <cfvo type="percent" val="0"/>
        <cfvo type="formula" val="$AF$128-$AB$127" gte="0"/>
        <cfvo type="formula" val="$AF$128"/>
        <cfvo type="formula" val="$AF$128" gte="0"/>
        <cfvo type="formula" val="$AF$128+$AB$127"/>
      </iconSet>
    </cfRule>
  </conditionalFormatting>
  <conditionalFormatting sqref="AH128">
    <cfRule type="cellIs" dxfId="593" priority="54" stopIfTrue="1" operator="greaterThanOrEqual">
      <formula>AG127</formula>
    </cfRule>
    <cfRule type="cellIs" dxfId="592" priority="56" stopIfTrue="1" operator="lessThan">
      <formula>AG127</formula>
    </cfRule>
  </conditionalFormatting>
  <conditionalFormatting sqref="AH128">
    <cfRule type="cellIs" dxfId="591" priority="55" stopIfTrue="1" operator="lessThan">
      <formula>AD127</formula>
    </cfRule>
  </conditionalFormatting>
  <conditionalFormatting sqref="AI128">
    <cfRule type="iconSet" priority="49">
      <iconSet iconSet="5ArrowsGray" showValue="0">
        <cfvo type="percent" val="0"/>
        <cfvo type="formula" val="$AF$128-$AB$127" gte="0"/>
        <cfvo type="formula" val="$AF$128"/>
        <cfvo type="formula" val="$AF$128" gte="0"/>
        <cfvo type="formula" val="$AF$128+$AB$127"/>
      </iconSet>
    </cfRule>
  </conditionalFormatting>
  <conditionalFormatting sqref="AI128">
    <cfRule type="cellIs" dxfId="590" priority="50" stopIfTrue="1" operator="greaterThanOrEqual">
      <formula>AG127</formula>
    </cfRule>
    <cfRule type="cellIs" dxfId="589" priority="52" stopIfTrue="1" operator="lessThan">
      <formula>AG127</formula>
    </cfRule>
  </conditionalFormatting>
  <conditionalFormatting sqref="AI128">
    <cfRule type="cellIs" dxfId="588" priority="51" stopIfTrue="1" operator="lessThanOrEqual">
      <formula>AD127</formula>
    </cfRule>
  </conditionalFormatting>
  <conditionalFormatting sqref="AH131">
    <cfRule type="iconSet" priority="45">
      <iconSet iconSet="5ArrowsGray" showValue="0">
        <cfvo type="percent" val="0"/>
        <cfvo type="formula" val="$AF$131-$AB$130" gte="0"/>
        <cfvo type="formula" val="$AF$131"/>
        <cfvo type="formula" val="$AF$131" gte="0"/>
        <cfvo type="formula" val="$AF$131+$AB$130"/>
      </iconSet>
    </cfRule>
  </conditionalFormatting>
  <conditionalFormatting sqref="AH131">
    <cfRule type="cellIs" dxfId="587" priority="46" stopIfTrue="1" operator="greaterThanOrEqual">
      <formula>AG130</formula>
    </cfRule>
    <cfRule type="cellIs" dxfId="586" priority="48" stopIfTrue="1" operator="lessThan">
      <formula>AG130</formula>
    </cfRule>
  </conditionalFormatting>
  <conditionalFormatting sqref="AH131">
    <cfRule type="cellIs" dxfId="585" priority="47" stopIfTrue="1" operator="lessThan">
      <formula>AD130</formula>
    </cfRule>
  </conditionalFormatting>
  <conditionalFormatting sqref="AI131">
    <cfRule type="iconSet" priority="41">
      <iconSet iconSet="5ArrowsGray" showValue="0">
        <cfvo type="percent" val="0"/>
        <cfvo type="formula" val="$AF$131-$AB$130" gte="0"/>
        <cfvo type="formula" val="$AF$131"/>
        <cfvo type="formula" val="$AF$131" gte="0"/>
        <cfvo type="formula" val="$AF$131+$AB$130"/>
      </iconSet>
    </cfRule>
  </conditionalFormatting>
  <conditionalFormatting sqref="AI131">
    <cfRule type="cellIs" dxfId="584" priority="42" stopIfTrue="1" operator="greaterThanOrEqual">
      <formula>AG130</formula>
    </cfRule>
    <cfRule type="cellIs" dxfId="583" priority="44" stopIfTrue="1" operator="lessThan">
      <formula>AG130</formula>
    </cfRule>
  </conditionalFormatting>
  <conditionalFormatting sqref="AI131">
    <cfRule type="cellIs" dxfId="582" priority="43" stopIfTrue="1" operator="lessThanOrEqual">
      <formula>AD130</formula>
    </cfRule>
  </conditionalFormatting>
  <conditionalFormatting sqref="AH134">
    <cfRule type="iconSet" priority="37">
      <iconSet iconSet="5ArrowsGray" showValue="0">
        <cfvo type="percent" val="0"/>
        <cfvo type="formula" val="$AF$134-$AB$133" gte="0"/>
        <cfvo type="formula" val="$AF$134"/>
        <cfvo type="formula" val="$AF$134" gte="0"/>
        <cfvo type="formula" val="$AF$134+$AB$133"/>
      </iconSet>
    </cfRule>
  </conditionalFormatting>
  <conditionalFormatting sqref="AH134">
    <cfRule type="cellIs" dxfId="581" priority="38" stopIfTrue="1" operator="greaterThanOrEqual">
      <formula>AG133</formula>
    </cfRule>
    <cfRule type="cellIs" dxfId="580" priority="40" stopIfTrue="1" operator="lessThan">
      <formula>AG133</formula>
    </cfRule>
  </conditionalFormatting>
  <conditionalFormatting sqref="AH134">
    <cfRule type="cellIs" dxfId="579" priority="39" stopIfTrue="1" operator="lessThan">
      <formula>AD133</formula>
    </cfRule>
  </conditionalFormatting>
  <conditionalFormatting sqref="AI134">
    <cfRule type="iconSet" priority="33">
      <iconSet iconSet="5ArrowsGray" showValue="0">
        <cfvo type="percent" val="0"/>
        <cfvo type="formula" val="$AF$134-$AB$133" gte="0"/>
        <cfvo type="formula" val="$AF$134"/>
        <cfvo type="formula" val="$AF$134" gte="0"/>
        <cfvo type="formula" val="$AF$134+$AB$133"/>
      </iconSet>
    </cfRule>
  </conditionalFormatting>
  <conditionalFormatting sqref="AI134">
    <cfRule type="cellIs" dxfId="578" priority="34" stopIfTrue="1" operator="greaterThanOrEqual">
      <formula>AG133</formula>
    </cfRule>
    <cfRule type="cellIs" dxfId="577" priority="36" stopIfTrue="1" operator="lessThan">
      <formula>AG133</formula>
    </cfRule>
  </conditionalFormatting>
  <conditionalFormatting sqref="AI134">
    <cfRule type="cellIs" dxfId="576" priority="35" stopIfTrue="1" operator="lessThanOrEqual">
      <formula>AD133</formula>
    </cfRule>
  </conditionalFormatting>
  <conditionalFormatting sqref="AH137">
    <cfRule type="iconSet" priority="29">
      <iconSet iconSet="5ArrowsGray" showValue="0">
        <cfvo type="percent" val="0"/>
        <cfvo type="formula" val="$AF$137-$AB$136" gte="0"/>
        <cfvo type="formula" val="$AF$137"/>
        <cfvo type="formula" val="$AF$137" gte="0"/>
        <cfvo type="formula" val="$AF$137+$AB$136"/>
      </iconSet>
    </cfRule>
  </conditionalFormatting>
  <conditionalFormatting sqref="AH137">
    <cfRule type="cellIs" dxfId="575" priority="30" stopIfTrue="1" operator="greaterThanOrEqual">
      <formula>AG136</formula>
    </cfRule>
    <cfRule type="cellIs" dxfId="574" priority="32" stopIfTrue="1" operator="lessThan">
      <formula>AG136</formula>
    </cfRule>
  </conditionalFormatting>
  <conditionalFormatting sqref="AH137">
    <cfRule type="cellIs" dxfId="573" priority="31" stopIfTrue="1" operator="lessThan">
      <formula>AD136</formula>
    </cfRule>
  </conditionalFormatting>
  <conditionalFormatting sqref="AI137">
    <cfRule type="iconSet" priority="25">
      <iconSet iconSet="5ArrowsGray" showValue="0">
        <cfvo type="percent" val="0"/>
        <cfvo type="formula" val="$AF$137-$AB$136" gte="0"/>
        <cfvo type="formula" val="$AF$137"/>
        <cfvo type="formula" val="$AF$137" gte="0"/>
        <cfvo type="formula" val="$AF$137+$AB$136"/>
      </iconSet>
    </cfRule>
  </conditionalFormatting>
  <conditionalFormatting sqref="AI137">
    <cfRule type="cellIs" dxfId="572" priority="26" stopIfTrue="1" operator="greaterThanOrEqual">
      <formula>AG136</formula>
    </cfRule>
    <cfRule type="cellIs" dxfId="571" priority="28" stopIfTrue="1" operator="lessThan">
      <formula>AG136</formula>
    </cfRule>
  </conditionalFormatting>
  <conditionalFormatting sqref="AI137">
    <cfRule type="cellIs" dxfId="570" priority="27" stopIfTrue="1" operator="lessThanOrEqual">
      <formula>AD136</formula>
    </cfRule>
  </conditionalFormatting>
  <conditionalFormatting sqref="AH140">
    <cfRule type="iconSet" priority="21">
      <iconSet iconSet="5ArrowsGray" showValue="0">
        <cfvo type="percent" val="0"/>
        <cfvo type="formula" val="$AF$140-$AB$139" gte="0"/>
        <cfvo type="formula" val="$AF$140"/>
        <cfvo type="formula" val="$AF$140" gte="0"/>
        <cfvo type="formula" val="$AF$140+$AB$139"/>
      </iconSet>
    </cfRule>
  </conditionalFormatting>
  <conditionalFormatting sqref="AH140">
    <cfRule type="cellIs" dxfId="569" priority="22" stopIfTrue="1" operator="greaterThanOrEqual">
      <formula>AG139</formula>
    </cfRule>
    <cfRule type="cellIs" dxfId="568" priority="24" stopIfTrue="1" operator="lessThan">
      <formula>AG139</formula>
    </cfRule>
  </conditionalFormatting>
  <conditionalFormatting sqref="AH140">
    <cfRule type="cellIs" dxfId="567" priority="23" stopIfTrue="1" operator="lessThan">
      <formula>AD139</formula>
    </cfRule>
  </conditionalFormatting>
  <conditionalFormatting sqref="AI140">
    <cfRule type="iconSet" priority="17">
      <iconSet iconSet="5ArrowsGray" showValue="0">
        <cfvo type="percent" val="0"/>
        <cfvo type="formula" val="$AF$140-$AB$139" gte="0"/>
        <cfvo type="formula" val="$AF$140"/>
        <cfvo type="formula" val="$AF$140" gte="0"/>
        <cfvo type="formula" val="$AF$140+$AB$139"/>
      </iconSet>
    </cfRule>
  </conditionalFormatting>
  <conditionalFormatting sqref="AI140">
    <cfRule type="cellIs" dxfId="566" priority="18" stopIfTrue="1" operator="greaterThanOrEqual">
      <formula>AG139</formula>
    </cfRule>
    <cfRule type="cellIs" dxfId="565" priority="20" stopIfTrue="1" operator="lessThan">
      <formula>AG139</formula>
    </cfRule>
  </conditionalFormatting>
  <conditionalFormatting sqref="AI140">
    <cfRule type="cellIs" dxfId="564" priority="19" stopIfTrue="1" operator="lessThanOrEqual">
      <formula>AD139</formula>
    </cfRule>
  </conditionalFormatting>
  <conditionalFormatting sqref="AH143">
    <cfRule type="iconSet" priority="13">
      <iconSet iconSet="5ArrowsGray" showValue="0">
        <cfvo type="percent" val="0"/>
        <cfvo type="formula" val="$AF$143-$AB$142" gte="0"/>
        <cfvo type="formula" val="$AF$143"/>
        <cfvo type="formula" val="$AF$143" gte="0"/>
        <cfvo type="formula" val="$AF$143+$AB$142"/>
      </iconSet>
    </cfRule>
  </conditionalFormatting>
  <conditionalFormatting sqref="AH143">
    <cfRule type="cellIs" dxfId="563" priority="14" stopIfTrue="1" operator="greaterThanOrEqual">
      <formula>AG142</formula>
    </cfRule>
    <cfRule type="cellIs" dxfId="562" priority="16" stopIfTrue="1" operator="lessThan">
      <formula>AG142</formula>
    </cfRule>
  </conditionalFormatting>
  <conditionalFormatting sqref="AH143">
    <cfRule type="cellIs" dxfId="561" priority="15" stopIfTrue="1" operator="lessThan">
      <formula>AD142</formula>
    </cfRule>
  </conditionalFormatting>
  <conditionalFormatting sqref="AI143">
    <cfRule type="iconSet" priority="9">
      <iconSet iconSet="5ArrowsGray" showValue="0">
        <cfvo type="percent" val="0"/>
        <cfvo type="formula" val="$AF$143-$AB$142" gte="0"/>
        <cfvo type="formula" val="$AF$143"/>
        <cfvo type="formula" val="$AF$143" gte="0"/>
        <cfvo type="formula" val="$AF$143+$AB$142"/>
      </iconSet>
    </cfRule>
  </conditionalFormatting>
  <conditionalFormatting sqref="AI143">
    <cfRule type="cellIs" dxfId="560" priority="10" stopIfTrue="1" operator="greaterThanOrEqual">
      <formula>AG142</formula>
    </cfRule>
    <cfRule type="cellIs" dxfId="559" priority="12" stopIfTrue="1" operator="lessThan">
      <formula>AG142</formula>
    </cfRule>
  </conditionalFormatting>
  <conditionalFormatting sqref="AI143">
    <cfRule type="cellIs" dxfId="558" priority="11" stopIfTrue="1" operator="lessThanOrEqual">
      <formula>AD142</formula>
    </cfRule>
  </conditionalFormatting>
  <conditionalFormatting sqref="AH146">
    <cfRule type="iconSet" priority="5">
      <iconSet iconSet="5ArrowsGray" showValue="0">
        <cfvo type="percent" val="0"/>
        <cfvo type="formula" val="$AF$146-$AB$145" gte="0"/>
        <cfvo type="formula" val="$AF$146"/>
        <cfvo type="formula" val="$AF$146" gte="0"/>
        <cfvo type="formula" val="$AF$146+$AB$145"/>
      </iconSet>
    </cfRule>
  </conditionalFormatting>
  <conditionalFormatting sqref="AH146">
    <cfRule type="cellIs" dxfId="557" priority="6" stopIfTrue="1" operator="greaterThanOrEqual">
      <formula>AG145</formula>
    </cfRule>
    <cfRule type="cellIs" dxfId="556" priority="8" stopIfTrue="1" operator="lessThan">
      <formula>AG145</formula>
    </cfRule>
  </conditionalFormatting>
  <conditionalFormatting sqref="AH146">
    <cfRule type="cellIs" dxfId="555" priority="7" stopIfTrue="1" operator="lessThan">
      <formula>AD145</formula>
    </cfRule>
  </conditionalFormatting>
  <conditionalFormatting sqref="AI146">
    <cfRule type="iconSet" priority="1">
      <iconSet iconSet="5ArrowsGray" showValue="0">
        <cfvo type="percent" val="0"/>
        <cfvo type="formula" val="$AF$146-$AB$145" gte="0"/>
        <cfvo type="formula" val="$AF$146"/>
        <cfvo type="formula" val="$AF$146" gte="0"/>
        <cfvo type="formula" val="$AF$146+$AB$145"/>
      </iconSet>
    </cfRule>
  </conditionalFormatting>
  <conditionalFormatting sqref="AI146">
    <cfRule type="cellIs" dxfId="554" priority="2" stopIfTrue="1" operator="greaterThanOrEqual">
      <formula>AG145</formula>
    </cfRule>
    <cfRule type="cellIs" dxfId="553" priority="4" stopIfTrue="1" operator="lessThan">
      <formula>AG145</formula>
    </cfRule>
  </conditionalFormatting>
  <conditionalFormatting sqref="AI146">
    <cfRule type="cellIs" dxfId="552" priority="3" stopIfTrue="1" operator="lessThanOrEqual">
      <formula>AD145</formula>
    </cfRule>
  </conditionalFormatting>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AP157"/>
  <sheetViews>
    <sheetView workbookViewId="0">
      <pane xSplit="2" ySplit="3" topLeftCell="AA65" activePane="bottomRight" state="frozen"/>
      <selection activeCell="L92" sqref="L92:O92"/>
      <selection pane="topRight" activeCell="L92" sqref="L92:O92"/>
      <selection pane="bottomLeft" activeCell="L92" sqref="L92:O92"/>
      <selection pane="bottomRight" activeCell="L92" sqref="L92:O92"/>
    </sheetView>
  </sheetViews>
  <sheetFormatPr defaultColWidth="11.42578125" defaultRowHeight="15"/>
  <cols>
    <col min="1" max="1" width="20.85546875" style="39" customWidth="1"/>
    <col min="2" max="2" width="20.85546875" style="38" customWidth="1"/>
    <col min="3" max="3" width="10.85546875" style="54" customWidth="1"/>
    <col min="4" max="8" width="5.85546875" style="54" customWidth="1"/>
    <col min="9" max="9" width="10.85546875" style="54" customWidth="1"/>
    <col min="10" max="13" width="5.85546875" style="54" customWidth="1"/>
    <col min="14" max="14" width="10.85546875" style="54" customWidth="1"/>
    <col min="15" max="17" width="5.85546875" style="54" customWidth="1"/>
    <col min="18" max="18" width="10.85546875" style="54" customWidth="1"/>
    <col min="19" max="24" width="5.85546875" style="54" customWidth="1"/>
    <col min="25" max="25" width="10.85546875" style="54" customWidth="1"/>
    <col min="26" max="26" width="5.85546875" style="54" customWidth="1"/>
    <col min="27" max="28" width="10.85546875" style="38" customWidth="1"/>
    <col min="29" max="30" width="11.42578125" style="335"/>
    <col min="31" max="31" width="5.85546875" style="335" customWidth="1"/>
    <col min="32" max="33" width="11.42578125" style="335"/>
    <col min="34" max="34" width="5.85546875" style="335" customWidth="1"/>
    <col min="35" max="37" width="11.42578125" style="335"/>
    <col min="38" max="38" width="5.85546875" style="335" customWidth="1"/>
    <col min="39" max="39" width="11.42578125" style="335"/>
    <col min="40" max="40" width="11.85546875" style="335" bestFit="1" customWidth="1"/>
    <col min="41" max="41" width="5.85546875" style="335" customWidth="1"/>
    <col min="42" max="42" width="11.42578125" style="335" customWidth="1"/>
    <col min="43" max="16384" width="11.42578125" style="335"/>
  </cols>
  <sheetData>
    <row r="1" spans="1:42" ht="15.75" thickBot="1">
      <c r="A1" s="57" t="s">
        <v>835</v>
      </c>
      <c r="B1" s="59" t="s">
        <v>192</v>
      </c>
      <c r="C1" s="463" t="s">
        <v>190</v>
      </c>
      <c r="D1" s="1357">
        <v>2010</v>
      </c>
      <c r="E1" s="1357"/>
      <c r="F1" s="1357"/>
      <c r="G1" s="1357"/>
      <c r="H1" s="1358">
        <v>2011</v>
      </c>
      <c r="I1" s="1358"/>
      <c r="J1" s="1358"/>
      <c r="K1" s="1358"/>
      <c r="L1" s="1353">
        <v>2012</v>
      </c>
      <c r="M1" s="1354"/>
      <c r="N1" s="1355"/>
      <c r="O1" s="1359">
        <v>2013</v>
      </c>
      <c r="P1" s="1360"/>
      <c r="Q1" s="1360"/>
      <c r="R1" s="1361"/>
      <c r="S1" s="1353">
        <v>2014</v>
      </c>
      <c r="T1" s="1354"/>
      <c r="U1" s="1354"/>
      <c r="V1" s="1355"/>
      <c r="W1" s="1351">
        <v>2015</v>
      </c>
      <c r="X1" s="1352"/>
      <c r="Y1" s="1352"/>
      <c r="Z1" s="1352"/>
      <c r="AG1" s="464">
        <v>21</v>
      </c>
      <c r="AH1" s="482" t="s">
        <v>844</v>
      </c>
      <c r="AN1" s="448" t="s">
        <v>836</v>
      </c>
    </row>
    <row r="2" spans="1:42" s="338" customFormat="1" ht="42.75">
      <c r="A2" s="58" t="s">
        <v>193</v>
      </c>
      <c r="B2" s="59" t="s">
        <v>191</v>
      </c>
      <c r="C2" s="418" t="s">
        <v>722</v>
      </c>
      <c r="D2" s="56" t="s">
        <v>141</v>
      </c>
      <c r="E2" s="56" t="s">
        <v>142</v>
      </c>
      <c r="F2" s="56" t="s">
        <v>143</v>
      </c>
      <c r="G2" s="56" t="s">
        <v>144</v>
      </c>
      <c r="H2" s="56" t="s">
        <v>141</v>
      </c>
      <c r="I2" s="418" t="s">
        <v>723</v>
      </c>
      <c r="J2" s="56" t="s">
        <v>143</v>
      </c>
      <c r="K2" s="56" t="s">
        <v>144</v>
      </c>
      <c r="L2" s="56" t="s">
        <v>141</v>
      </c>
      <c r="M2" s="56" t="s">
        <v>142</v>
      </c>
      <c r="N2" s="418" t="s">
        <v>724</v>
      </c>
      <c r="O2" s="56" t="s">
        <v>141</v>
      </c>
      <c r="P2" s="56" t="s">
        <v>142</v>
      </c>
      <c r="Q2" s="56" t="s">
        <v>143</v>
      </c>
      <c r="R2" s="418" t="s">
        <v>725</v>
      </c>
      <c r="S2" s="56" t="s">
        <v>141</v>
      </c>
      <c r="T2" s="56" t="s">
        <v>142</v>
      </c>
      <c r="U2" s="56" t="s">
        <v>143</v>
      </c>
      <c r="V2" s="56" t="s">
        <v>144</v>
      </c>
      <c r="W2" s="56" t="s">
        <v>141</v>
      </c>
      <c r="X2" s="56" t="s">
        <v>142</v>
      </c>
      <c r="Y2" s="418" t="s">
        <v>726</v>
      </c>
      <c r="Z2" s="56" t="s">
        <v>144</v>
      </c>
      <c r="AA2" s="419" t="s">
        <v>814</v>
      </c>
      <c r="AB2" s="419" t="s">
        <v>815</v>
      </c>
      <c r="AD2" s="418" t="s">
        <v>1126</v>
      </c>
      <c r="AE2" s="335"/>
      <c r="AF2" s="337" t="str">
        <f>IF($AG$1=16,R2,IF($AG$1=17,S2,IF($AG$1=18,T2,IF($AG$1=19,U2,IF($AG$1=20,V2,IF($AG$1=21,W2,IF($AG$1=22,X2,0)))))))</f>
        <v>Q1</v>
      </c>
      <c r="AG2" s="446" t="str">
        <f>IF($AG$1=16,S2,IF($AG$1=17,T2,IF($AG$1=18,U2,IF($AG$1=19,V2,IF($AG$1=20,W2,IF($AG$1=21,X2,IF($AG$1=22,Y2,0)))))))</f>
        <v>Q2</v>
      </c>
      <c r="AH2" s="447" t="s">
        <v>843</v>
      </c>
      <c r="AI2" s="447" t="s">
        <v>832</v>
      </c>
      <c r="AK2" s="336" t="str">
        <f>AD2</f>
        <v xml:space="preserve"> Q4                                                                
late 2014</v>
      </c>
      <c r="AL2" s="335"/>
      <c r="AM2" s="446" t="str">
        <f>AF2</f>
        <v>Q1</v>
      </c>
      <c r="AN2" s="446" t="str">
        <f>AG2</f>
        <v>Q2</v>
      </c>
      <c r="AO2" s="447" t="s">
        <v>843</v>
      </c>
      <c r="AP2" s="447" t="s">
        <v>832</v>
      </c>
    </row>
    <row r="3" spans="1:42" s="338" customFormat="1">
      <c r="A3" s="39"/>
      <c r="B3" s="38"/>
      <c r="C3" s="458">
        <v>0</v>
      </c>
      <c r="D3" s="458">
        <v>1</v>
      </c>
      <c r="E3" s="458">
        <v>2</v>
      </c>
      <c r="F3" s="458">
        <v>3</v>
      </c>
      <c r="G3" s="458">
        <v>4</v>
      </c>
      <c r="H3" s="458">
        <v>5</v>
      </c>
      <c r="I3" s="458">
        <v>6</v>
      </c>
      <c r="J3" s="458">
        <v>7</v>
      </c>
      <c r="K3" s="458">
        <v>8</v>
      </c>
      <c r="L3" s="458">
        <v>9</v>
      </c>
      <c r="M3" s="458">
        <v>10</v>
      </c>
      <c r="N3" s="458">
        <v>11</v>
      </c>
      <c r="O3" s="458">
        <v>12</v>
      </c>
      <c r="P3" s="458">
        <v>13</v>
      </c>
      <c r="Q3" s="458">
        <v>14</v>
      </c>
      <c r="R3" s="458">
        <v>15</v>
      </c>
      <c r="S3" s="458">
        <v>16</v>
      </c>
      <c r="T3" s="458">
        <v>17</v>
      </c>
      <c r="U3" s="458">
        <v>18</v>
      </c>
      <c r="V3" s="458">
        <v>19</v>
      </c>
      <c r="W3" s="458">
        <v>20</v>
      </c>
      <c r="X3" s="458">
        <v>21</v>
      </c>
      <c r="Y3" s="458">
        <v>22</v>
      </c>
      <c r="Z3" s="458">
        <v>23</v>
      </c>
      <c r="AA3" s="39"/>
      <c r="AB3" s="39"/>
      <c r="AD3" s="448">
        <f>V3</f>
        <v>19</v>
      </c>
      <c r="AE3" s="449"/>
      <c r="AF3" s="448">
        <f t="shared" ref="AF3:AG5" si="0">IF($AG$1=16,R3,IF($AG$1=17,S3,IF($AG$1=18,T3,IF($AG$1=19,U3,IF($AG$1=20,V3,IF($AG$1=21,W3,IF($AG$1=22,X3,0)))))))</f>
        <v>20</v>
      </c>
      <c r="AG3" s="448">
        <f t="shared" si="0"/>
        <v>21</v>
      </c>
    </row>
    <row r="4" spans="1:42" ht="15.75" thickBot="1">
      <c r="A4" s="41" t="s">
        <v>24</v>
      </c>
      <c r="B4" s="42" t="s">
        <v>139</v>
      </c>
      <c r="C4" s="43">
        <f>((('SLP States AggWorkings'!C4)*5)+(('ZKY States AggWorkings'!C4)*3))/8</f>
        <v>1.3125</v>
      </c>
      <c r="D4" s="81">
        <f>((('SLP States AggWorkings'!D4)*5)+(('ZKY States AggWorkings'!D4)*3))/8</f>
        <v>1.4583333333333333</v>
      </c>
      <c r="E4" s="81">
        <f>((('SLP States AggWorkings'!E4)*5)+(('ZKY States AggWorkings'!E4)*3))/8</f>
        <v>1.6041666666666667</v>
      </c>
      <c r="F4" s="81">
        <f>((('SLP States AggWorkings'!F4)*5)+(('ZKY States AggWorkings'!F4)*3))/8</f>
        <v>1.75</v>
      </c>
      <c r="G4" s="81">
        <f>((('SLP States AggWorkings'!G4)*5)+(('ZKY States AggWorkings'!G4)*3))/8</f>
        <v>1.8958333333333335</v>
      </c>
      <c r="H4" s="81">
        <f>((('SLP States AggWorkings'!H4)*5)+(('ZKY States AggWorkings'!H4)*3))/8</f>
        <v>2.041666666666667</v>
      </c>
      <c r="I4" s="82">
        <f>((('SLP States AggWorkings'!I4)*5)+(('ZKY States AggWorkings'!I4)*3))/8</f>
        <v>2.1875</v>
      </c>
      <c r="J4" s="81">
        <f>((('SLP States AggWorkings'!J4)*5)+(('ZKY States AggWorkings'!J4)*3))/8</f>
        <v>2.2708333333333335</v>
      </c>
      <c r="K4" s="81">
        <f>((('SLP States AggWorkings'!K4)*5)+(('ZKY States AggWorkings'!K4)*3))/8</f>
        <v>2.3541666666666665</v>
      </c>
      <c r="L4" s="44">
        <f>((('SLP States AggWorkings'!L4)*5)+(('ZKY States AggWorkings'!L4)*3))/8</f>
        <v>2.4375</v>
      </c>
      <c r="M4" s="44">
        <f>((('SLP States AggWorkings'!M4)*5)+(('ZKY States AggWorkings'!M4)*3))/8</f>
        <v>2.520833333333333</v>
      </c>
      <c r="N4" s="43">
        <f>((('SLP States AggWorkings'!N4)*5)+(('ZKY States AggWorkings'!N4)*3))/8</f>
        <v>2.6875</v>
      </c>
      <c r="O4" s="44">
        <f>((('SLP States AggWorkings'!O4)*5)+(('ZKY States AggWorkings'!O4)*3))/8</f>
        <v>2.7281249999999999</v>
      </c>
      <c r="P4" s="44">
        <f>((('SLP States AggWorkings'!P4)*5)+(('ZKY States AggWorkings'!P4)*3))/8</f>
        <v>2.7687499999999998</v>
      </c>
      <c r="Q4" s="44">
        <f>((('SLP States AggWorkings'!Q4)*5)+(('ZKY States AggWorkings'!Q4)*3))/8</f>
        <v>2.8093750000000002</v>
      </c>
      <c r="R4" s="43">
        <f>((('SLP States AggWorkings'!R4)*5)+(('ZKY States AggWorkings'!R4)*3))/8</f>
        <v>2.85</v>
      </c>
      <c r="S4" s="44">
        <f>((('SLP States AggWorkings'!S4)*5)+(('ZKY States AggWorkings'!S4)*3))/8</f>
        <v>2.885416666666667</v>
      </c>
      <c r="T4" s="44">
        <f>((('SLP States AggWorkings'!T4)*5)+(('ZKY States AggWorkings'!T4)*3))/8</f>
        <v>2.9208333333333334</v>
      </c>
      <c r="U4" s="44">
        <f>((('SLP States AggWorkings'!U4)*5)+(('ZKY States AggWorkings'!U4)*3))/8</f>
        <v>2.9562499999999998</v>
      </c>
      <c r="V4" s="44">
        <f>((('SLP States AggWorkings'!V4)*5)+(('ZKY States AggWorkings'!V4)*3))/8</f>
        <v>2.9916666666666663</v>
      </c>
      <c r="W4" s="44">
        <f>((('SLP States AggWorkings'!W4)*5)+(('ZKY States AggWorkings'!W4)*3)+(('A&amp;N States AggWorkings'!W4)*2))/10</f>
        <v>2.9416666666666664</v>
      </c>
      <c r="X4" s="44">
        <f>((('SLP States AggWorkings'!X4)*5)+(('ZKY States AggWorkings'!X4)*3)+(('A&amp;N States AggWorkings'!X4)*2))/10</f>
        <v>2.9833333333333329</v>
      </c>
      <c r="Y4" s="43">
        <f>((('SLP States AggWorkings'!Y4)*5)+(('ZKY States AggWorkings'!Y4)*3)+(('A&amp;N States AggWorkings'!Y4)*2))/10</f>
        <v>3</v>
      </c>
      <c r="Z4" s="44">
        <f>((('SLP States AggWorkings'!Z4)*5)+(('ZKY States AggWorkings'!Z4)*3)+(('A&amp;N States AggWorkings'!Z4)*2))/10</f>
        <v>3</v>
      </c>
      <c r="AA4" s="38">
        <v>5</v>
      </c>
      <c r="AB4" s="420">
        <f>AA4/22</f>
        <v>0.22727272727272727</v>
      </c>
      <c r="AD4" s="450">
        <f>V4</f>
        <v>2.9916666666666663</v>
      </c>
      <c r="AF4" s="339">
        <f t="shared" si="0"/>
        <v>2.9416666666666664</v>
      </c>
      <c r="AG4" s="339">
        <f t="shared" si="0"/>
        <v>2.9833333333333329</v>
      </c>
      <c r="AI4" s="338"/>
      <c r="AK4" s="462">
        <f>(AD4+AD7+((AD10+AD13+AD16+AD19)/4/3))/3</f>
        <v>2.6460648148148143</v>
      </c>
      <c r="AM4" s="460">
        <f>(AF4+AF7+((AF10+AF13+AF16+AF19)/4/3))/3</f>
        <v>2.9553703703703698</v>
      </c>
      <c r="AN4" s="460">
        <f>(AG4+AG7+((AG10+AG13+AG16+AG19)/4/3))/3</f>
        <v>3.0596296296296295</v>
      </c>
      <c r="AO4" s="758" t="s">
        <v>1206</v>
      </c>
    </row>
    <row r="5" spans="1:42" s="340" customFormat="1" ht="15.75" thickBot="1">
      <c r="A5" s="45"/>
      <c r="B5" s="46" t="s">
        <v>140</v>
      </c>
      <c r="C5" s="79">
        <f>((('SLP States AggWorkings'!C5)*5)+(('ZKY States AggWorkings'!C5)*3))/8</f>
        <v>1.3125</v>
      </c>
      <c r="D5" s="436">
        <f>((('SLP States AggWorkings'!D5)*5)+(('ZKY States AggWorkings'!D5)*3))/8</f>
        <v>1.3125</v>
      </c>
      <c r="E5" s="437">
        <f>((('SLP States AggWorkings'!E5)*5)+(('ZKY States AggWorkings'!E5)*3))/8</f>
        <v>1.3125</v>
      </c>
      <c r="F5" s="437">
        <f>((('SLP States AggWorkings'!F5)*5)+(('ZKY States AggWorkings'!F5)*3))/8</f>
        <v>1.3125</v>
      </c>
      <c r="G5" s="437">
        <f>((('SLP States AggWorkings'!G5)*5)+(('ZKY States AggWorkings'!G5)*3))/8</f>
        <v>1.3125</v>
      </c>
      <c r="H5" s="437">
        <f>((('SLP States AggWorkings'!H5)*5)+(('ZKY States AggWorkings'!H5)*3))/8</f>
        <v>0.89999999999999991</v>
      </c>
      <c r="I5" s="437">
        <f>((('SLP States AggWorkings'!I5)*5)+(('ZKY States AggWorkings'!I5)*3))/8</f>
        <v>1.5625</v>
      </c>
      <c r="J5" s="437">
        <f>((('SLP States AggWorkings'!J5)*5)+(('ZKY States AggWorkings'!J5)*3))/8</f>
        <v>1.6625000000000001</v>
      </c>
      <c r="K5" s="437">
        <f>((('SLP States AggWorkings'!K5)*5)+(('ZKY States AggWorkings'!K5)*3))/8</f>
        <v>1.575</v>
      </c>
      <c r="L5" s="437">
        <f>((('SLP States AggWorkings'!L5)*5)+(('ZKY States AggWorkings'!L5)*3))/8</f>
        <v>1.5</v>
      </c>
      <c r="M5" s="437">
        <f>((('SLP States AggWorkings'!M5)*5)+(('ZKY States AggWorkings'!M5)*3))/8</f>
        <v>1.4874999999999998</v>
      </c>
      <c r="N5" s="437">
        <f>((('SLP States AggWorkings'!N5)*5)+(('ZKY States AggWorkings'!N5)*3))/8</f>
        <v>2.65</v>
      </c>
      <c r="O5" s="437">
        <f>((('SLP States AggWorkings'!O5)*5)+(('ZKY States AggWorkings'!O5)*3))/8</f>
        <v>2.7649999999999997</v>
      </c>
      <c r="P5" s="437">
        <f>((('SLP States AggWorkings'!P5)*5)+(('ZKY States AggWorkings'!P5)*3))/8</f>
        <v>2.8287500000000003</v>
      </c>
      <c r="Q5" s="437">
        <f>((('SLP States AggWorkings'!Q5)*5)+(('ZKY States AggWorkings'!Q5)*3))/8</f>
        <v>3.0250000000000004</v>
      </c>
      <c r="R5" s="437">
        <f>((('SLP States AggWorkings'!R5)*5)+(('ZKY States AggWorkings'!R5)*3))/8</f>
        <v>2.9000000000000004</v>
      </c>
      <c r="S5" s="437">
        <f>((('SLP States AggWorkings'!S5)*5)+(('ZKY States AggWorkings'!S5)*3))/8</f>
        <v>2.9000000000000004</v>
      </c>
      <c r="T5" s="437">
        <f>((('SLP States AggWorkings'!T5)*5)+(('ZKY States AggWorkings'!T5)*3))/8</f>
        <v>3.125</v>
      </c>
      <c r="U5" s="437">
        <f>((('SLP States AggWorkings'!U5)*5)+(('ZKY States AggWorkings'!U5)*3))/8</f>
        <v>3.125</v>
      </c>
      <c r="V5" s="438">
        <f>((('SLP States AggWorkings'!V5)*5)+(('ZKY States AggWorkings'!V5)*3))/8</f>
        <v>3.1875</v>
      </c>
      <c r="W5" s="80">
        <f>((('SLP States AggWorkings'!W5)*5)+(('ZKY States AggWorkings'!W5)*3)+(('A&amp;N States AggWorkings'!W5)*2))/10</f>
        <v>3.12</v>
      </c>
      <c r="X5" s="69">
        <f>((('SLP States AggWorkings'!X5)*5)+(('ZKY States AggWorkings'!X5)*3)+(('A&amp;N States AggWorkings'!X5)*2))/10</f>
        <v>3.2700000000000005</v>
      </c>
      <c r="Y5" s="69">
        <f>((('SLP States AggWorkings'!Y5)*5)+(('ZKY States AggWorkings'!Y5)*3)+(('A&amp;N States AggWorkings'!Y5)*2))/10</f>
        <v>0</v>
      </c>
      <c r="Z5" s="69">
        <f>((('SLP States AggWorkings'!Z5)*5)+(('ZKY States AggWorkings'!Z5)*3)+(('A&amp;N States AggWorkings'!Z5)*2))/10</f>
        <v>0</v>
      </c>
      <c r="AA5" s="49"/>
      <c r="AB5" s="421"/>
      <c r="AD5" s="341">
        <f>V5</f>
        <v>3.1875</v>
      </c>
      <c r="AE5" s="335"/>
      <c r="AF5" s="341">
        <f t="shared" si="0"/>
        <v>3.12</v>
      </c>
      <c r="AG5" s="341">
        <f t="shared" si="0"/>
        <v>3.2700000000000005</v>
      </c>
      <c r="AH5" s="342">
        <f>AG5</f>
        <v>3.2700000000000005</v>
      </c>
      <c r="AI5" s="342">
        <f>AG5</f>
        <v>3.2700000000000005</v>
      </c>
      <c r="AK5" s="461">
        <f>(AD5+AD8+((AD11+AD14+AD17+AD20)/4/3))/3</f>
        <v>3.1938194444444448</v>
      </c>
      <c r="AM5" s="461">
        <f>(AF5+AF8+((AF11+AF14+AF17+AF20)/4/3))/3</f>
        <v>3.1261666666666663</v>
      </c>
      <c r="AN5" s="461">
        <f>(AG5+AG8+((AG11+AG14+AG17+AG20)/4/3))/3</f>
        <v>3.1953888888888891</v>
      </c>
      <c r="AO5" s="342">
        <f>AN5</f>
        <v>3.1953888888888891</v>
      </c>
      <c r="AP5" s="342">
        <f>AN5</f>
        <v>3.1953888888888891</v>
      </c>
    </row>
    <row r="6" spans="1:42" s="340" customFormat="1">
      <c r="A6" s="45"/>
      <c r="B6" s="46"/>
      <c r="C6" s="48"/>
      <c r="D6" s="422"/>
      <c r="E6" s="422"/>
      <c r="F6" s="422"/>
      <c r="G6" s="83"/>
      <c r="H6" s="83"/>
      <c r="I6" s="83"/>
      <c r="J6" s="83"/>
      <c r="K6" s="83"/>
      <c r="L6" s="48"/>
      <c r="M6" s="48"/>
      <c r="N6" s="48"/>
      <c r="O6" s="48"/>
      <c r="P6" s="48"/>
      <c r="Q6" s="48"/>
      <c r="R6" s="48"/>
      <c r="S6" s="48"/>
      <c r="T6" s="48"/>
      <c r="U6" s="48"/>
      <c r="V6" s="48"/>
      <c r="W6" s="48"/>
      <c r="X6" s="48"/>
      <c r="Y6" s="48"/>
      <c r="Z6" s="48"/>
      <c r="AA6" s="49"/>
      <c r="AB6" s="421"/>
      <c r="AE6" s="335"/>
      <c r="AF6" s="343"/>
      <c r="AG6" s="343"/>
      <c r="AI6" s="338"/>
    </row>
    <row r="7" spans="1:42" ht="15.75" thickBot="1">
      <c r="A7" s="41" t="s">
        <v>25</v>
      </c>
      <c r="B7" s="42" t="s">
        <v>139</v>
      </c>
      <c r="C7" s="43" t="e">
        <f>((('SLP States AggWorkings'!C7)*5)+(('ZKY States AggWorkings'!C7)*3))/8</f>
        <v>#VALUE!</v>
      </c>
      <c r="D7" s="81" t="e">
        <f>((('SLP States AggWorkings'!D7)*5)+(('ZKY States AggWorkings'!D7)*3))/8</f>
        <v>#VALUE!</v>
      </c>
      <c r="E7" s="81" t="e">
        <f>((('SLP States AggWorkings'!E7)*5)+(('ZKY States AggWorkings'!E7)*3))/8</f>
        <v>#VALUE!</v>
      </c>
      <c r="F7" s="81" t="e">
        <f>((('SLP States AggWorkings'!F7)*5)+(('ZKY States AggWorkings'!F7)*3))/8</f>
        <v>#VALUE!</v>
      </c>
      <c r="G7" s="81" t="e">
        <f>((('SLP States AggWorkings'!G7)*5)+(('ZKY States AggWorkings'!G7)*3))/8</f>
        <v>#VALUE!</v>
      </c>
      <c r="H7" s="81" t="e">
        <f>((('SLP States AggWorkings'!H7)*5)+(('ZKY States AggWorkings'!H7)*3))/8</f>
        <v>#VALUE!</v>
      </c>
      <c r="I7" s="82">
        <f>((('SLP States AggWorkings'!I7)*5)+(('ZKY States AggWorkings'!I7)*3))/8</f>
        <v>1</v>
      </c>
      <c r="J7" s="81">
        <f>((('SLP States AggWorkings'!J7)*5)+(('ZKY States AggWorkings'!J7)*3))/8</f>
        <v>1.0520833333333335</v>
      </c>
      <c r="K7" s="81">
        <f>((('SLP States AggWorkings'!K7)*5)+(('ZKY States AggWorkings'!K7)*3))/8</f>
        <v>1.1041666666666667</v>
      </c>
      <c r="L7" s="44">
        <f>((('SLP States AggWorkings'!L7)*5)+(('ZKY States AggWorkings'!L7)*3))/8</f>
        <v>1.15625</v>
      </c>
      <c r="M7" s="44">
        <f>((('SLP States AggWorkings'!M7)*5)+(('ZKY States AggWorkings'!M7)*3))/8</f>
        <v>1.2083333333333335</v>
      </c>
      <c r="N7" s="43">
        <f>((('SLP States AggWorkings'!N7)*5)+(('ZKY States AggWorkings'!N7)*3))/8</f>
        <v>1.3125</v>
      </c>
      <c r="O7" s="44">
        <f>((('SLP States AggWorkings'!O7)*5)+(('ZKY States AggWorkings'!O7)*3))/8</f>
        <v>1.4109375</v>
      </c>
      <c r="P7" s="44">
        <f>((('SLP States AggWorkings'!P7)*5)+(('ZKY States AggWorkings'!P7)*3))/8</f>
        <v>1.5093749999999999</v>
      </c>
      <c r="Q7" s="44">
        <f>((('SLP States AggWorkings'!Q7)*5)+(('ZKY States AggWorkings'!Q7)*3))/8</f>
        <v>1.6078124999999996</v>
      </c>
      <c r="R7" s="43">
        <f>((('SLP States AggWorkings'!R7)*5)+(('ZKY States AggWorkings'!R7)*3))/8</f>
        <v>1.70625</v>
      </c>
      <c r="S7" s="44">
        <f>((('SLP States AggWorkings'!S7)*5)+(('ZKY States AggWorkings'!S7)*3))/8</f>
        <v>1.7593749999999999</v>
      </c>
      <c r="T7" s="44">
        <f>((('SLP States AggWorkings'!T7)*5)+(('ZKY States AggWorkings'!T7)*3))/8</f>
        <v>1.8125</v>
      </c>
      <c r="U7" s="44">
        <f>((('SLP States AggWorkings'!U7)*5)+(('ZKY States AggWorkings'!U7)*3))/8</f>
        <v>1.8656249999999999</v>
      </c>
      <c r="V7" s="44">
        <f>((('SLP States AggWorkings'!V7)*5)+(('ZKY States AggWorkings'!V7)*3))/8</f>
        <v>1.9187499999999993</v>
      </c>
      <c r="W7" s="44">
        <f>((('SLP States AggWorkings'!W7)*5)+(('ZKY States AggWorkings'!W7)*3)+(('A&amp;N States AggWorkings'!W7)*2))/10</f>
        <v>2.3424999999999998</v>
      </c>
      <c r="X7" s="44">
        <f>((('SLP States AggWorkings'!X7)*5)+(('ZKY States AggWorkings'!X7)*3)+(('A&amp;N States AggWorkings'!X7)*2))/10</f>
        <v>2.4899999999999998</v>
      </c>
      <c r="Y7" s="43">
        <f>((('SLP States AggWorkings'!Y7)*5)+(('ZKY States AggWorkings'!Y7)*3)+(('A&amp;N States AggWorkings'!Y7)*2))/10</f>
        <v>2.5100000000000002</v>
      </c>
      <c r="Z7" s="44">
        <f>((('SLP States AggWorkings'!Z7)*5)+(('ZKY States AggWorkings'!Z7)*3)+(('A&amp;N States AggWorkings'!Z7)*2))/10</f>
        <v>2.5100000000000002</v>
      </c>
      <c r="AA7" s="38">
        <v>5</v>
      </c>
      <c r="AB7" s="420">
        <f>AA7/22</f>
        <v>0.22727272727272727</v>
      </c>
      <c r="AD7" s="450">
        <f>V7</f>
        <v>1.9187499999999993</v>
      </c>
      <c r="AF7" s="339">
        <f t="shared" ref="AF7:AG8" si="1">IF($AG$1=16,R7,IF($AG$1=17,S7,IF($AG$1=18,T7,IF($AG$1=19,U7,IF($AG$1=20,V7,IF($AG$1=21,W7,IF($AG$1=22,X7,0)))))))</f>
        <v>2.3424999999999998</v>
      </c>
      <c r="AG7" s="339">
        <f t="shared" si="1"/>
        <v>2.4899999999999998</v>
      </c>
      <c r="AI7" s="338"/>
    </row>
    <row r="8" spans="1:42" s="340" customFormat="1" ht="15.75" thickBot="1">
      <c r="A8" s="45"/>
      <c r="B8" s="46" t="s">
        <v>140</v>
      </c>
      <c r="C8" s="79" t="e">
        <f>((('SLP States AggWorkings'!C8)*5)+(('ZKY States AggWorkings'!C8)*3))/8</f>
        <v>#VALUE!</v>
      </c>
      <c r="D8" s="436">
        <f>((('SLP States AggWorkings'!D8)*5)+(('ZKY States AggWorkings'!D8)*3))/8</f>
        <v>0.625</v>
      </c>
      <c r="E8" s="437">
        <f>((('SLP States AggWorkings'!E8)*5)+(('ZKY States AggWorkings'!E8)*3))/8</f>
        <v>0.625</v>
      </c>
      <c r="F8" s="437">
        <f>((('SLP States AggWorkings'!F8)*5)+(('ZKY States AggWorkings'!F8)*3))/8</f>
        <v>0.5</v>
      </c>
      <c r="G8" s="437">
        <f>((('SLP States AggWorkings'!G8)*5)+(('ZKY States AggWorkings'!G8)*3))/8</f>
        <v>0.5</v>
      </c>
      <c r="H8" s="437">
        <f>((('SLP States AggWorkings'!H8)*5)+(('ZKY States AggWorkings'!H8)*3))/8</f>
        <v>0.52500000000000002</v>
      </c>
      <c r="I8" s="437">
        <f>((('SLP States AggWorkings'!I8)*5)+(('ZKY States AggWorkings'!I8)*3))/8</f>
        <v>1</v>
      </c>
      <c r="J8" s="437">
        <f>((('SLP States AggWorkings'!J8)*5)+(('ZKY States AggWorkings'!J8)*3))/8</f>
        <v>0.9375</v>
      </c>
      <c r="K8" s="437">
        <f>((('SLP States AggWorkings'!K8)*5)+(('ZKY States AggWorkings'!K8)*3))/8</f>
        <v>0.84999999999999987</v>
      </c>
      <c r="L8" s="437">
        <f>((('SLP States AggWorkings'!L8)*5)+(('ZKY States AggWorkings'!L8)*3))/8</f>
        <v>1</v>
      </c>
      <c r="M8" s="437">
        <f>((('SLP States AggWorkings'!M8)*5)+(('ZKY States AggWorkings'!M8)*3))/8</f>
        <v>1.25</v>
      </c>
      <c r="N8" s="439">
        <f>((('SLP States AggWorkings'!N8)*5)+(('ZKY States AggWorkings'!N8)*3))/8</f>
        <v>1.75</v>
      </c>
      <c r="O8" s="440">
        <f>((('SLP States AggWorkings'!O8)*5)+(('ZKY States AggWorkings'!O8)*3))/8</f>
        <v>1.75</v>
      </c>
      <c r="P8" s="440">
        <f>((('SLP States AggWorkings'!P8)*5)+(('ZKY States AggWorkings'!P8)*3))/8</f>
        <v>2.0374999999999996</v>
      </c>
      <c r="Q8" s="440">
        <f>((('SLP States AggWorkings'!Q8)*5)+(('ZKY States AggWorkings'!Q8)*3))/8</f>
        <v>2.3125</v>
      </c>
      <c r="R8" s="437">
        <f>((('SLP States AggWorkings'!R8)*5)+(('ZKY States AggWorkings'!R8)*3))/8</f>
        <v>2.3125</v>
      </c>
      <c r="S8" s="437">
        <f>((('SLP States AggWorkings'!S8)*5)+(('ZKY States AggWorkings'!S8)*3))/8</f>
        <v>2.3125</v>
      </c>
      <c r="T8" s="437">
        <f>((('SLP States AggWorkings'!T8)*5)+(('ZKY States AggWorkings'!T8)*3))/8</f>
        <v>2.5687500000000001</v>
      </c>
      <c r="U8" s="437">
        <f>((('SLP States AggWorkings'!U8)*5)+(('ZKY States AggWorkings'!U8)*3))/8</f>
        <v>2.6487499999999997</v>
      </c>
      <c r="V8" s="438">
        <f>((('SLP States AggWorkings'!V8)*5)+(('ZKY States AggWorkings'!V8)*3))/8</f>
        <v>2.8824999999999998</v>
      </c>
      <c r="W8" s="80">
        <f>((('SLP States AggWorkings'!W8)*5)+(('ZKY States AggWorkings'!W8)*3)+(('A&amp;N States AggWorkings'!W8)*2))/10</f>
        <v>2.5659999999999998</v>
      </c>
      <c r="X8" s="69">
        <f>((('SLP States AggWorkings'!X8)*5)+(('ZKY States AggWorkings'!X8)*3)+(('A&amp;N States AggWorkings'!X8)*2))/10</f>
        <v>2.6069999999999998</v>
      </c>
      <c r="Y8" s="69">
        <f>((('SLP States AggWorkings'!Y8)*5)+(('ZKY States AggWorkings'!Y8)*3)+(('A&amp;N States AggWorkings'!Y8)*2))/10</f>
        <v>0</v>
      </c>
      <c r="Z8" s="69">
        <f>((('SLP States AggWorkings'!Z8)*5)+(('ZKY States AggWorkings'!Z8)*3)+(('A&amp;N States AggWorkings'!Z8)*2))/10</f>
        <v>0</v>
      </c>
      <c r="AA8" s="49"/>
      <c r="AB8" s="421"/>
      <c r="AD8" s="341">
        <f>V8</f>
        <v>2.8824999999999998</v>
      </c>
      <c r="AE8" s="335"/>
      <c r="AF8" s="341">
        <f t="shared" si="1"/>
        <v>2.5659999999999998</v>
      </c>
      <c r="AG8" s="341">
        <f t="shared" si="1"/>
        <v>2.6069999999999998</v>
      </c>
      <c r="AH8" s="342">
        <f>AG8</f>
        <v>2.6069999999999998</v>
      </c>
      <c r="AI8" s="342">
        <f>AG8</f>
        <v>2.6069999999999998</v>
      </c>
    </row>
    <row r="9" spans="1:42" s="340" customFormat="1">
      <c r="A9" s="45"/>
      <c r="B9" s="46"/>
      <c r="C9" s="48"/>
      <c r="D9" s="83"/>
      <c r="E9" s="83"/>
      <c r="F9" s="83"/>
      <c r="G9" s="83"/>
      <c r="H9" s="83"/>
      <c r="I9" s="83"/>
      <c r="J9" s="83"/>
      <c r="K9" s="83"/>
      <c r="L9" s="48"/>
      <c r="M9" s="48"/>
      <c r="N9" s="48"/>
      <c r="O9" s="48"/>
      <c r="P9" s="48"/>
      <c r="Q9" s="48"/>
      <c r="R9" s="48"/>
      <c r="S9" s="48"/>
      <c r="T9" s="48"/>
      <c r="U9" s="48"/>
      <c r="V9" s="48"/>
      <c r="W9" s="48"/>
      <c r="X9" s="48"/>
      <c r="Y9" s="48"/>
      <c r="Z9" s="48"/>
      <c r="AA9" s="49"/>
      <c r="AB9" s="421"/>
      <c r="AE9" s="335"/>
      <c r="AF9" s="343"/>
      <c r="AG9" s="343"/>
      <c r="AH9" s="335"/>
      <c r="AI9" s="338"/>
    </row>
    <row r="10" spans="1:42" ht="15.75" thickBot="1">
      <c r="A10" s="41" t="s">
        <v>186</v>
      </c>
      <c r="B10" s="42" t="s">
        <v>214</v>
      </c>
      <c r="C10" s="43" t="e">
        <f>((('SLP States AggWorkings'!C10)*5)+(('ZKY States AggWorkings'!C10)*3))/8</f>
        <v>#VALUE!</v>
      </c>
      <c r="D10" s="81" t="e">
        <f>((('SLP States AggWorkings'!D10)*5)+(('ZKY States AggWorkings'!D10)*3))/8</f>
        <v>#VALUE!</v>
      </c>
      <c r="E10" s="81" t="e">
        <f>((('SLP States AggWorkings'!E10)*5)+(('ZKY States AggWorkings'!E10)*3))/8</f>
        <v>#VALUE!</v>
      </c>
      <c r="F10" s="81" t="e">
        <f>((('SLP States AggWorkings'!F10)*5)+(('ZKY States AggWorkings'!F10)*3))/8</f>
        <v>#VALUE!</v>
      </c>
      <c r="G10" s="81" t="e">
        <f>((('SLP States AggWorkings'!G10)*5)+(('ZKY States AggWorkings'!G10)*3))/8</f>
        <v>#VALUE!</v>
      </c>
      <c r="H10" s="81" t="e">
        <f>((('SLP States AggWorkings'!H10)*5)+(('ZKY States AggWorkings'!H10)*3))/8</f>
        <v>#VALUE!</v>
      </c>
      <c r="I10" s="82">
        <f>((('SLP States AggWorkings'!I10)*5)+(('ZKY States AggWorkings'!I10)*3))/8</f>
        <v>3.375</v>
      </c>
      <c r="J10" s="81">
        <f>((('SLP States AggWorkings'!J10)*5)+(('ZKY States AggWorkings'!J10)*3))/8</f>
        <v>3.4999999999999996</v>
      </c>
      <c r="K10" s="81">
        <f>((('SLP States AggWorkings'!K10)*5)+(('ZKY States AggWorkings'!K10)*3))/8</f>
        <v>3.6249999999999996</v>
      </c>
      <c r="L10" s="44">
        <f>((('SLP States AggWorkings'!L10)*5)+(('ZKY States AggWorkings'!L10)*3))/8</f>
        <v>3.75</v>
      </c>
      <c r="M10" s="44">
        <f>((('SLP States AggWorkings'!M10)*5)+(('ZKY States AggWorkings'!M10)*3))/8</f>
        <v>3.8749999999999996</v>
      </c>
      <c r="N10" s="43">
        <f>((('SLP States AggWorkings'!N10)*5)+(('ZKY States AggWorkings'!N10)*3))/8</f>
        <v>4.125</v>
      </c>
      <c r="O10" s="44">
        <f>((('SLP States AggWorkings'!O10)*5)+(('ZKY States AggWorkings'!O10)*3))/8</f>
        <v>4.75</v>
      </c>
      <c r="P10" s="44">
        <f>((('SLP States AggWorkings'!P10)*5)+(('ZKY States AggWorkings'!P10)*3))/8</f>
        <v>5.375</v>
      </c>
      <c r="Q10" s="44">
        <f>((('SLP States AggWorkings'!Q10)*5)+(('ZKY States AggWorkings'!Q10)*3))/8</f>
        <v>6</v>
      </c>
      <c r="R10" s="43">
        <f>((('SLP States AggWorkings'!R10)*5)+(('ZKY States AggWorkings'!R10)*3))/8</f>
        <v>6.625</v>
      </c>
      <c r="S10" s="44">
        <f>((('SLP States AggWorkings'!S10)*5)+(('ZKY States AggWorkings'!S10)*3))/8</f>
        <v>6.9791666666666661</v>
      </c>
      <c r="T10" s="44">
        <f>((('SLP States AggWorkings'!T10)*5)+(('ZKY States AggWorkings'!T10)*3))/8</f>
        <v>7.333333333333333</v>
      </c>
      <c r="U10" s="44">
        <f>((('SLP States AggWorkings'!U10)*5)+(('ZKY States AggWorkings'!U10)*3))/8</f>
        <v>7.6875</v>
      </c>
      <c r="V10" s="44">
        <f>((('SLP States AggWorkings'!V10)*5)+(('ZKY States AggWorkings'!V10)*3))/8</f>
        <v>8.0416666666666661</v>
      </c>
      <c r="W10" s="44">
        <f>((('SLP States AggWorkings'!W10)*5)+(('ZKY States AggWorkings'!W10)*3)+(('A&amp;N States AggWorkings'!W10)*2))/10</f>
        <v>9.4166666666666661</v>
      </c>
      <c r="X10" s="44">
        <f>((('SLP States AggWorkings'!X10)*5)+(('ZKY States AggWorkings'!X10)*3)+(('A&amp;N States AggWorkings'!X10)*2))/10</f>
        <v>9.6999999999999993</v>
      </c>
      <c r="Y10" s="43">
        <f>((('SLP States AggWorkings'!Y10)*5)+(('ZKY States AggWorkings'!Y10)*3)+(('A&amp;N States AggWorkings'!Y10)*2))/10</f>
        <v>9.6999999999999993</v>
      </c>
      <c r="Z10" s="44">
        <f>((('SLP States AggWorkings'!Z10)*5)+(('ZKY States AggWorkings'!Z10)*3)+(('A&amp;N States AggWorkings'!Z10)*2))/10</f>
        <v>9.6999999999999993</v>
      </c>
      <c r="AA10" s="38">
        <v>15</v>
      </c>
      <c r="AB10" s="457">
        <f>AA10/22</f>
        <v>0.68181818181818177</v>
      </c>
      <c r="AD10" s="450">
        <f>V10</f>
        <v>8.0416666666666661</v>
      </c>
      <c r="AF10" s="339">
        <f t="shared" ref="AF10:AG11" si="2">IF($AG$1=16,R10,IF($AG$1=17,S10,IF($AG$1=18,T10,IF($AG$1=19,U10,IF($AG$1=20,V10,IF($AG$1=21,W10,IF($AG$1=22,X10,0)))))))</f>
        <v>9.4166666666666661</v>
      </c>
      <c r="AG10" s="339">
        <f t="shared" si="2"/>
        <v>9.6999999999999993</v>
      </c>
      <c r="AI10" s="338"/>
    </row>
    <row r="11" spans="1:42" s="340" customFormat="1" ht="15.75" thickBot="1">
      <c r="A11" s="45"/>
      <c r="B11" s="46" t="s">
        <v>215</v>
      </c>
      <c r="C11" s="79" t="e">
        <f>((('SLP States AggWorkings'!C11)*5)+(('ZKY States AggWorkings'!C11)*3))/8</f>
        <v>#VALUE!</v>
      </c>
      <c r="D11" s="436">
        <f>((('SLP States AggWorkings'!D11)*5)+(('ZKY States AggWorkings'!D11)*3))/8</f>
        <v>2.125</v>
      </c>
      <c r="E11" s="437">
        <f>((('SLP States AggWorkings'!E11)*5)+(('ZKY States AggWorkings'!E11)*3))/8</f>
        <v>2.125</v>
      </c>
      <c r="F11" s="437">
        <f>((('SLP States AggWorkings'!F11)*5)+(('ZKY States AggWorkings'!F11)*3))/8</f>
        <v>2.125</v>
      </c>
      <c r="G11" s="437">
        <f>((('SLP States AggWorkings'!G11)*5)+(('ZKY States AggWorkings'!G11)*3))/8</f>
        <v>2.125</v>
      </c>
      <c r="H11" s="437">
        <f>((('SLP States AggWorkings'!H11)*5)+(('ZKY States AggWorkings'!H11)*3))/8</f>
        <v>1.75</v>
      </c>
      <c r="I11" s="437">
        <f>((('SLP States AggWorkings'!I11)*5)+(('ZKY States AggWorkings'!I11)*3))/8</f>
        <v>3.4375</v>
      </c>
      <c r="J11" s="437">
        <f>((('SLP States AggWorkings'!J11)*5)+(('ZKY States AggWorkings'!J11)*3))/8</f>
        <v>3.875</v>
      </c>
      <c r="K11" s="437">
        <f>((('SLP States AggWorkings'!K11)*5)+(('ZKY States AggWorkings'!K11)*3))/8</f>
        <v>3.875</v>
      </c>
      <c r="L11" s="437">
        <f>((('SLP States AggWorkings'!L11)*5)+(('ZKY States AggWorkings'!L11)*3))/8</f>
        <v>3.3125</v>
      </c>
      <c r="M11" s="437">
        <f>((('SLP States AggWorkings'!M11)*5)+(('ZKY States AggWorkings'!M11)*3))/8</f>
        <v>2.0625</v>
      </c>
      <c r="N11" s="439">
        <f>((('SLP States AggWorkings'!N11)*5)+(('ZKY States AggWorkings'!N11)*3))/8</f>
        <v>3.875</v>
      </c>
      <c r="O11" s="440">
        <f>((('SLP States AggWorkings'!O11)*5)+(('ZKY States AggWorkings'!O11)*3))/8</f>
        <v>4.375</v>
      </c>
      <c r="P11" s="440">
        <f>((('SLP States AggWorkings'!P11)*5)+(('ZKY States AggWorkings'!P11)*3))/8</f>
        <v>4.5250000000000004</v>
      </c>
      <c r="Q11" s="440">
        <f>((('SLP States AggWorkings'!Q11)*5)+(('ZKY States AggWorkings'!Q11)*3))/8</f>
        <v>4.875</v>
      </c>
      <c r="R11" s="437">
        <f>((('SLP States AggWorkings'!R11)*5)+(('ZKY States AggWorkings'!R11)*3))/8</f>
        <v>5.4375</v>
      </c>
      <c r="S11" s="437">
        <f>((('SLP States AggWorkings'!S11)*5)+(('ZKY States AggWorkings'!S11)*3))/8</f>
        <v>5.625</v>
      </c>
      <c r="T11" s="437">
        <f>((('SLP States AggWorkings'!T11)*5)+(('ZKY States AggWorkings'!T11)*3))/8</f>
        <v>5.875</v>
      </c>
      <c r="U11" s="437">
        <f>((('SLP States AggWorkings'!U11)*5)+(('ZKY States AggWorkings'!U11)*3))/8</f>
        <v>6.375</v>
      </c>
      <c r="V11" s="438">
        <f>((('SLP States AggWorkings'!V11)*5)+(('ZKY States AggWorkings'!V11)*3))/8</f>
        <v>6.75</v>
      </c>
      <c r="W11" s="80">
        <f>((('SLP States AggWorkings'!W11)*5)+(('ZKY States AggWorkings'!W11)*3)+(('A&amp;N States AggWorkings'!W11)*2))/10</f>
        <v>8.1</v>
      </c>
      <c r="X11" s="69">
        <f>((('SLP States AggWorkings'!X11)*5)+(('ZKY States AggWorkings'!X11)*3)+(('A&amp;N States AggWorkings'!X11)*2))/10</f>
        <v>8.1999999999999993</v>
      </c>
      <c r="Y11" s="69">
        <f>((('SLP States AggWorkings'!Y11)*5)+(('ZKY States AggWorkings'!Y11)*3)+(('A&amp;N States AggWorkings'!Y11)*2))/10</f>
        <v>0</v>
      </c>
      <c r="Z11" s="69">
        <f>((('SLP States AggWorkings'!Z11)*5)+(('ZKY States AggWorkings'!Z11)*3)+(('A&amp;N States AggWorkings'!Z11)*2))/10</f>
        <v>0</v>
      </c>
      <c r="AA11" s="38"/>
      <c r="AB11" s="420"/>
      <c r="AD11" s="341">
        <f>V11</f>
        <v>6.75</v>
      </c>
      <c r="AE11" s="335"/>
      <c r="AF11" s="341">
        <f t="shared" si="2"/>
        <v>8.1</v>
      </c>
      <c r="AG11" s="341">
        <f t="shared" si="2"/>
        <v>8.1999999999999993</v>
      </c>
      <c r="AH11" s="342">
        <f>AG11</f>
        <v>8.1999999999999993</v>
      </c>
      <c r="AI11" s="342">
        <f>AG11</f>
        <v>8.1999999999999993</v>
      </c>
    </row>
    <row r="12" spans="1:42" s="340" customFormat="1">
      <c r="A12" s="45"/>
      <c r="B12" s="46"/>
      <c r="C12" s="48"/>
      <c r="D12" s="83"/>
      <c r="E12" s="83"/>
      <c r="F12" s="83"/>
      <c r="G12" s="83"/>
      <c r="H12" s="83"/>
      <c r="I12" s="83"/>
      <c r="J12" s="83"/>
      <c r="K12" s="83"/>
      <c r="L12" s="48"/>
      <c r="M12" s="48"/>
      <c r="N12" s="48"/>
      <c r="O12" s="48"/>
      <c r="P12" s="48"/>
      <c r="Q12" s="48"/>
      <c r="R12" s="48"/>
      <c r="S12" s="48"/>
      <c r="T12" s="48"/>
      <c r="U12" s="48"/>
      <c r="V12" s="48"/>
      <c r="W12" s="48"/>
      <c r="X12" s="48"/>
      <c r="Y12" s="48"/>
      <c r="Z12" s="48"/>
      <c r="AA12" s="49"/>
      <c r="AB12" s="421"/>
      <c r="AE12" s="335"/>
      <c r="AF12" s="344"/>
      <c r="AG12" s="344"/>
      <c r="AH12" s="335"/>
      <c r="AI12" s="338"/>
    </row>
    <row r="13" spans="1:42" ht="15.75" thickBot="1">
      <c r="A13" s="41" t="s">
        <v>187</v>
      </c>
      <c r="B13" s="42" t="s">
        <v>216</v>
      </c>
      <c r="C13" s="43">
        <f>((('SLP States AggWorkings'!C13)*5)+(('ZKY States AggWorkings'!C13)*3))/8</f>
        <v>2.375</v>
      </c>
      <c r="D13" s="81">
        <f>((('SLP States AggWorkings'!D13)*5)+(('ZKY States AggWorkings'!D13)*3))/8</f>
        <v>2.7500000000000004</v>
      </c>
      <c r="E13" s="81">
        <f>((('SLP States AggWorkings'!E13)*5)+(('ZKY States AggWorkings'!E13)*3))/8</f>
        <v>3.1249999999999996</v>
      </c>
      <c r="F13" s="81">
        <f>((('SLP States AggWorkings'!F13)*5)+(('ZKY States AggWorkings'!F13)*3))/8</f>
        <v>3.5</v>
      </c>
      <c r="G13" s="81">
        <f>((('SLP States AggWorkings'!G13)*5)+(('ZKY States AggWorkings'!G13)*3))/8</f>
        <v>3.8750000000000004</v>
      </c>
      <c r="H13" s="81">
        <f>((('SLP States AggWorkings'!H13)*5)+(('ZKY States AggWorkings'!H13)*3))/8</f>
        <v>4.25</v>
      </c>
      <c r="I13" s="82">
        <f>((('SLP States AggWorkings'!I13)*5)+(('ZKY States AggWorkings'!I13)*3))/8</f>
        <v>4.625</v>
      </c>
      <c r="J13" s="81">
        <f>((('SLP States AggWorkings'!J13)*5)+(('ZKY States AggWorkings'!J13)*3))/8</f>
        <v>4.875</v>
      </c>
      <c r="K13" s="81">
        <f>((('SLP States AggWorkings'!K13)*5)+(('ZKY States AggWorkings'!K13)*3))/8</f>
        <v>5.1249999999999991</v>
      </c>
      <c r="L13" s="44">
        <f>((('SLP States AggWorkings'!L13)*5)+(('ZKY States AggWorkings'!L13)*3))/8</f>
        <v>5.375</v>
      </c>
      <c r="M13" s="44">
        <f>((('SLP States AggWorkings'!M13)*5)+(('ZKY States AggWorkings'!M13)*3))/8</f>
        <v>5.625</v>
      </c>
      <c r="N13" s="43">
        <f>((('SLP States AggWorkings'!N13)*5)+(('ZKY States AggWorkings'!N13)*3))/8</f>
        <v>6.125</v>
      </c>
      <c r="O13" s="44">
        <f>((('SLP States AggWorkings'!O13)*5)+(('ZKY States AggWorkings'!O13)*3))/8</f>
        <v>6.65625</v>
      </c>
      <c r="P13" s="44">
        <f>((('SLP States AggWorkings'!P13)*5)+(('ZKY States AggWorkings'!P13)*3))/8</f>
        <v>7.1875</v>
      </c>
      <c r="Q13" s="44">
        <f>((('SLP States AggWorkings'!Q13)*5)+(('ZKY States AggWorkings'!Q13)*3))/8</f>
        <v>7.71875</v>
      </c>
      <c r="R13" s="43">
        <f>((('SLP States AggWorkings'!R13)*5)+(('ZKY States AggWorkings'!R13)*3))/8</f>
        <v>8.25</v>
      </c>
      <c r="S13" s="44">
        <f>((('SLP States AggWorkings'!S13)*5)+(('ZKY States AggWorkings'!S13)*3))/8</f>
        <v>8.5833333333333321</v>
      </c>
      <c r="T13" s="44">
        <f>((('SLP States AggWorkings'!T13)*5)+(('ZKY States AggWorkings'!T13)*3))/8</f>
        <v>8.9166666666666661</v>
      </c>
      <c r="U13" s="44">
        <f>((('SLP States AggWorkings'!U13)*5)+(('ZKY States AggWorkings'!U13)*3))/8</f>
        <v>9.25</v>
      </c>
      <c r="V13" s="44">
        <f>((('SLP States AggWorkings'!V13)*5)+(('ZKY States AggWorkings'!V13)*3))/8</f>
        <v>9.5833333333333321</v>
      </c>
      <c r="W13" s="44">
        <f>((('SLP States AggWorkings'!W13)*5)+(('ZKY States AggWorkings'!W13)*3)+(('A&amp;N States AggWorkings'!W13)*2))/10</f>
        <v>10.8</v>
      </c>
      <c r="X13" s="44">
        <f>((('SLP States AggWorkings'!X13)*5)+(('ZKY States AggWorkings'!X13)*3)+(('A&amp;N States AggWorkings'!X13)*2))/10</f>
        <v>11.1</v>
      </c>
      <c r="Y13" s="43">
        <f>((('SLP States AggWorkings'!Y13)*5)+(('ZKY States AggWorkings'!Y13)*3)+(('A&amp;N States AggWorkings'!Y13)*2))/10</f>
        <v>11.1</v>
      </c>
      <c r="Z13" s="44">
        <f>((('SLP States AggWorkings'!Z13)*5)+(('ZKY States AggWorkings'!Z13)*3)+(('A&amp;N States AggWorkings'!Z13)*2))/10</f>
        <v>11.1</v>
      </c>
      <c r="AA13" s="38">
        <v>15</v>
      </c>
      <c r="AB13" s="457">
        <f>AA13/22</f>
        <v>0.68181818181818177</v>
      </c>
      <c r="AD13" s="450">
        <f>V13</f>
        <v>9.5833333333333321</v>
      </c>
      <c r="AF13" s="339">
        <f t="shared" ref="AF13:AG14" si="3">IF($AG$1=16,R13,IF($AG$1=17,S13,IF($AG$1=18,T13,IF($AG$1=19,U13,IF($AG$1=20,V13,IF($AG$1=21,W13,IF($AG$1=22,X13,0)))))))</f>
        <v>10.8</v>
      </c>
      <c r="AG13" s="339">
        <f t="shared" si="3"/>
        <v>11.1</v>
      </c>
      <c r="AI13" s="338"/>
    </row>
    <row r="14" spans="1:42" s="340" customFormat="1" ht="15.75" thickBot="1">
      <c r="A14" s="45"/>
      <c r="B14" s="46" t="s">
        <v>217</v>
      </c>
      <c r="C14" s="79">
        <f>((('SLP States AggWorkings'!C14)*5)+(('ZKY States AggWorkings'!C14)*3))/8</f>
        <v>2.375</v>
      </c>
      <c r="D14" s="436">
        <f>((('SLP States AggWorkings'!D14)*5)+(('ZKY States AggWorkings'!D14)*3))/8</f>
        <v>2.75</v>
      </c>
      <c r="E14" s="437">
        <f>((('SLP States AggWorkings'!E14)*5)+(('ZKY States AggWorkings'!E14)*3))/8</f>
        <v>2.375</v>
      </c>
      <c r="F14" s="437">
        <f>((('SLP States AggWorkings'!F14)*5)+(('ZKY States AggWorkings'!F14)*3))/8</f>
        <v>2.5</v>
      </c>
      <c r="G14" s="437">
        <f>((('SLP States AggWorkings'!G14)*5)+(('ZKY States AggWorkings'!G14)*3))/8</f>
        <v>1.625</v>
      </c>
      <c r="H14" s="437">
        <f>((('SLP States AggWorkings'!H14)*5)+(('ZKY States AggWorkings'!H14)*3))/8</f>
        <v>1.625</v>
      </c>
      <c r="I14" s="437">
        <f>((('SLP States AggWorkings'!I14)*5)+(('ZKY States AggWorkings'!I14)*3))/8</f>
        <v>3.625</v>
      </c>
      <c r="J14" s="437">
        <f>((('SLP States AggWorkings'!J14)*5)+(('ZKY States AggWorkings'!J14)*3))/8</f>
        <v>3.625</v>
      </c>
      <c r="K14" s="437">
        <f>((('SLP States AggWorkings'!K14)*5)+(('ZKY States AggWorkings'!K14)*3))/8</f>
        <v>3.625</v>
      </c>
      <c r="L14" s="437">
        <f>((('SLP States AggWorkings'!L14)*5)+(('ZKY States AggWorkings'!L14)*3))/8</f>
        <v>3.375</v>
      </c>
      <c r="M14" s="437">
        <f>((('SLP States AggWorkings'!M14)*5)+(('ZKY States AggWorkings'!M14)*3))/8</f>
        <v>4.75</v>
      </c>
      <c r="N14" s="439">
        <f>((('SLP States AggWorkings'!N14)*5)+(('ZKY States AggWorkings'!N14)*3))/8</f>
        <v>5.75</v>
      </c>
      <c r="O14" s="440">
        <f>((('SLP States AggWorkings'!O14)*5)+(('ZKY States AggWorkings'!O14)*3))/8</f>
        <v>5.75</v>
      </c>
      <c r="P14" s="440">
        <f>((('SLP States AggWorkings'!P14)*5)+(('ZKY States AggWorkings'!P14)*3))/8</f>
        <v>6.5250000000000004</v>
      </c>
      <c r="Q14" s="440">
        <f>((('SLP States AggWorkings'!Q14)*5)+(('ZKY States AggWorkings'!Q14)*3))/8</f>
        <v>7</v>
      </c>
      <c r="R14" s="437">
        <f>((('SLP States AggWorkings'!R14)*5)+(('ZKY States AggWorkings'!R14)*3))/8</f>
        <v>7.5</v>
      </c>
      <c r="S14" s="437">
        <f>((('SLP States AggWorkings'!S14)*5)+(('ZKY States AggWorkings'!S14)*3))/8</f>
        <v>7.5</v>
      </c>
      <c r="T14" s="437">
        <f>((('SLP States AggWorkings'!T14)*5)+(('ZKY States AggWorkings'!T14)*3))/8</f>
        <v>7.875</v>
      </c>
      <c r="U14" s="437">
        <f>((('SLP States AggWorkings'!U14)*5)+(('ZKY States AggWorkings'!U14)*3))/8</f>
        <v>8.375</v>
      </c>
      <c r="V14" s="438">
        <f>((('SLP States AggWorkings'!V14)*5)+(('ZKY States AggWorkings'!V14)*3))/8</f>
        <v>8.625</v>
      </c>
      <c r="W14" s="80">
        <f>((('SLP States AggWorkings'!W14)*5)+(('ZKY States AggWorkings'!W14)*3)+(('A&amp;N States AggWorkings'!W14)*2))/10</f>
        <v>9.6999999999999993</v>
      </c>
      <c r="X14" s="69">
        <f>((('SLP States AggWorkings'!X14)*5)+(('ZKY States AggWorkings'!X14)*3)+(('A&amp;N States AggWorkings'!X14)*2))/10</f>
        <v>9.8000000000000007</v>
      </c>
      <c r="Y14" s="69">
        <f>((('SLP States AggWorkings'!Y14)*5)+(('ZKY States AggWorkings'!Y14)*3)+(('A&amp;N States AggWorkings'!Y14)*2))/10</f>
        <v>0</v>
      </c>
      <c r="Z14" s="69">
        <f>((('SLP States AggWorkings'!Z14)*5)+(('ZKY States AggWorkings'!Z14)*3)+(('A&amp;N States AggWorkings'!Z14)*2))/10</f>
        <v>0</v>
      </c>
      <c r="AA14" s="49"/>
      <c r="AB14" s="421"/>
      <c r="AD14" s="341">
        <f>V14</f>
        <v>8.625</v>
      </c>
      <c r="AE14" s="335"/>
      <c r="AF14" s="341">
        <f t="shared" si="3"/>
        <v>9.6999999999999993</v>
      </c>
      <c r="AG14" s="341">
        <f t="shared" si="3"/>
        <v>9.8000000000000007</v>
      </c>
      <c r="AH14" s="342">
        <f>AG14</f>
        <v>9.8000000000000007</v>
      </c>
      <c r="AI14" s="342">
        <f>AG14</f>
        <v>9.8000000000000007</v>
      </c>
    </row>
    <row r="15" spans="1:42" s="340" customFormat="1">
      <c r="A15" s="45"/>
      <c r="B15" s="46"/>
      <c r="C15" s="48"/>
      <c r="D15" s="422"/>
      <c r="E15" s="422"/>
      <c r="F15" s="422"/>
      <c r="G15" s="83"/>
      <c r="H15" s="83"/>
      <c r="I15" s="83"/>
      <c r="J15" s="83"/>
      <c r="K15" s="83"/>
      <c r="L15" s="48"/>
      <c r="M15" s="48"/>
      <c r="N15" s="48"/>
      <c r="O15" s="48"/>
      <c r="P15" s="48"/>
      <c r="Q15" s="48"/>
      <c r="R15" s="48"/>
      <c r="S15" s="48"/>
      <c r="T15" s="48"/>
      <c r="U15" s="48"/>
      <c r="V15" s="48"/>
      <c r="W15" s="48"/>
      <c r="X15" s="48"/>
      <c r="Y15" s="48"/>
      <c r="Z15" s="48"/>
      <c r="AA15" s="49"/>
      <c r="AB15" s="421"/>
      <c r="AE15" s="335"/>
      <c r="AF15" s="344"/>
      <c r="AG15" s="344"/>
      <c r="AH15" s="335"/>
      <c r="AI15" s="338"/>
    </row>
    <row r="16" spans="1:42" ht="15.75" thickBot="1">
      <c r="A16" s="41" t="s">
        <v>188</v>
      </c>
      <c r="B16" s="42" t="s">
        <v>218</v>
      </c>
      <c r="C16" s="43">
        <f>((('SLP States AggWorkings'!C16)*5)+(('ZKY States AggWorkings'!C16)*3))/8</f>
        <v>0.125</v>
      </c>
      <c r="D16" s="81">
        <f>((('SLP States AggWorkings'!D16)*5)+(('ZKY States AggWorkings'!D16)*3))/8</f>
        <v>0.1875</v>
      </c>
      <c r="E16" s="81">
        <f>((('SLP States AggWorkings'!E16)*5)+(('ZKY States AggWorkings'!E16)*3))/8</f>
        <v>0.24999999999999997</v>
      </c>
      <c r="F16" s="81">
        <f>((('SLP States AggWorkings'!F16)*5)+(('ZKY States AggWorkings'!F16)*3))/8</f>
        <v>0.3125</v>
      </c>
      <c r="G16" s="81">
        <f>((('SLP States AggWorkings'!G16)*5)+(('ZKY States AggWorkings'!G16)*3))/8</f>
        <v>0.37499999999999989</v>
      </c>
      <c r="H16" s="81">
        <f>((('SLP States AggWorkings'!H16)*5)+(('ZKY States AggWorkings'!H16)*3))/8</f>
        <v>0.4375</v>
      </c>
      <c r="I16" s="82">
        <f>((('SLP States AggWorkings'!I16)*5)+(('ZKY States AggWorkings'!I16)*3))/8</f>
        <v>0.5</v>
      </c>
      <c r="J16" s="81">
        <f>((('SLP States AggWorkings'!J16)*5)+(('ZKY States AggWorkings'!J16)*3))/8</f>
        <v>0.72916666666666663</v>
      </c>
      <c r="K16" s="81">
        <f>((('SLP States AggWorkings'!K16)*5)+(('ZKY States AggWorkings'!K16)*3))/8</f>
        <v>0.95833333333333337</v>
      </c>
      <c r="L16" s="44">
        <f>((('SLP States AggWorkings'!L16)*5)+(('ZKY States AggWorkings'!L16)*3))/8</f>
        <v>1.1875</v>
      </c>
      <c r="M16" s="44">
        <f>((('SLP States AggWorkings'!M16)*5)+(('ZKY States AggWorkings'!M16)*3))/8</f>
        <v>1.4166666666666667</v>
      </c>
      <c r="N16" s="43">
        <f>((('SLP States AggWorkings'!N16)*5)+(('ZKY States AggWorkings'!N16)*3))/8</f>
        <v>1.875</v>
      </c>
      <c r="O16" s="44">
        <f>((('SLP States AggWorkings'!O16)*5)+(('ZKY States AggWorkings'!O16)*3))/8</f>
        <v>2.09375</v>
      </c>
      <c r="P16" s="44">
        <f>((('SLP States AggWorkings'!P16)*5)+(('ZKY States AggWorkings'!P16)*3))/8</f>
        <v>2.3125</v>
      </c>
      <c r="Q16" s="44">
        <f>((('SLP States AggWorkings'!Q16)*5)+(('ZKY States AggWorkings'!Q16)*3))/8</f>
        <v>2.53125</v>
      </c>
      <c r="R16" s="43">
        <f>((('SLP States AggWorkings'!R16)*5)+(('ZKY States AggWorkings'!R16)*3))/8</f>
        <v>2.75</v>
      </c>
      <c r="S16" s="44">
        <f>((('SLP States AggWorkings'!S16)*5)+(('ZKY States AggWorkings'!S16)*3))/8</f>
        <v>3.145833333333333</v>
      </c>
      <c r="T16" s="44">
        <f>((('SLP States AggWorkings'!T16)*5)+(('ZKY States AggWorkings'!T16)*3))/8</f>
        <v>3.5416666666666665</v>
      </c>
      <c r="U16" s="44">
        <f>((('SLP States AggWorkings'!U16)*5)+(('ZKY States AggWorkings'!U16)*3))/8</f>
        <v>3.9375</v>
      </c>
      <c r="V16" s="44">
        <f>((('SLP States AggWorkings'!V16)*5)+(('ZKY States AggWorkings'!V16)*3))/8</f>
        <v>4.3333333333333339</v>
      </c>
      <c r="W16" s="44">
        <f>((('SLP States AggWorkings'!W16)*5)+(('ZKY States AggWorkings'!W16)*3)+(('A&amp;N States AggWorkings'!W16)*2))/10</f>
        <v>8.4666666666666668</v>
      </c>
      <c r="X16" s="44">
        <f>((('SLP States AggWorkings'!X16)*5)+(('ZKY States AggWorkings'!X16)*3)+(('A&amp;N States AggWorkings'!X16)*2))/10</f>
        <v>9.2666666666666675</v>
      </c>
      <c r="Y16" s="43">
        <f>((('SLP States AggWorkings'!Y16)*5)+(('ZKY States AggWorkings'!Y16)*3)+(('A&amp;N States AggWorkings'!Y16)*2))/10</f>
        <v>9.3000000000000007</v>
      </c>
      <c r="Z16" s="44">
        <f>((('SLP States AggWorkings'!Z16)*5)+(('ZKY States AggWorkings'!Z16)*3)+(('A&amp;N States AggWorkings'!Z16)*2))/10</f>
        <v>9.3000000000000007</v>
      </c>
      <c r="AA16" s="38">
        <v>15</v>
      </c>
      <c r="AB16" s="457">
        <f>AA16/22</f>
        <v>0.68181818181818177</v>
      </c>
      <c r="AD16" s="450">
        <f>V16</f>
        <v>4.3333333333333339</v>
      </c>
      <c r="AF16" s="339">
        <f t="shared" ref="AF16:AG17" si="4">IF($AG$1=16,R16,IF($AG$1=17,S16,IF($AG$1=18,T16,IF($AG$1=19,U16,IF($AG$1=20,V16,IF($AG$1=21,W16,IF($AG$1=22,X16,0)))))))</f>
        <v>8.4666666666666668</v>
      </c>
      <c r="AG16" s="339">
        <f t="shared" si="4"/>
        <v>9.2666666666666675</v>
      </c>
      <c r="AI16" s="338"/>
    </row>
    <row r="17" spans="1:42" s="340" customFormat="1" ht="15.75" thickBot="1">
      <c r="A17" s="45"/>
      <c r="B17" s="46" t="s">
        <v>219</v>
      </c>
      <c r="C17" s="79">
        <f>((('SLP States AggWorkings'!C17)*5)+(('ZKY States AggWorkings'!C17)*3))/8</f>
        <v>0.125</v>
      </c>
      <c r="D17" s="436">
        <f>((('SLP States AggWorkings'!D17)*5)+(('ZKY States AggWorkings'!D17)*3))/8</f>
        <v>0.125</v>
      </c>
      <c r="E17" s="437">
        <f>((('SLP States AggWorkings'!E17)*5)+(('ZKY States AggWorkings'!E17)*3))/8</f>
        <v>0.125</v>
      </c>
      <c r="F17" s="437">
        <f>((('SLP States AggWorkings'!F17)*5)+(('ZKY States AggWorkings'!F17)*3))/8</f>
        <v>0.125</v>
      </c>
      <c r="G17" s="437">
        <f>((('SLP States AggWorkings'!G17)*5)+(('ZKY States AggWorkings'!G17)*3))/8</f>
        <v>0.125</v>
      </c>
      <c r="H17" s="437">
        <f>((('SLP States AggWorkings'!H17)*5)+(('ZKY States AggWorkings'!H17)*3))/8</f>
        <v>0.125</v>
      </c>
      <c r="I17" s="437">
        <f>((('SLP States AggWorkings'!I17)*5)+(('ZKY States AggWorkings'!I17)*3))/8</f>
        <v>1.625</v>
      </c>
      <c r="J17" s="437">
        <f>((('SLP States AggWorkings'!J17)*5)+(('ZKY States AggWorkings'!J17)*3))/8</f>
        <v>1.75</v>
      </c>
      <c r="K17" s="437">
        <f>((('SLP States AggWorkings'!K17)*5)+(('ZKY States AggWorkings'!K17)*3))/8</f>
        <v>1.75</v>
      </c>
      <c r="L17" s="437">
        <f>((('SLP States AggWorkings'!L17)*5)+(('ZKY States AggWorkings'!L17)*3))/8</f>
        <v>0.75</v>
      </c>
      <c r="M17" s="437">
        <f>((('SLP States AggWorkings'!M17)*5)+(('ZKY States AggWorkings'!M17)*3))/8</f>
        <v>1.25</v>
      </c>
      <c r="N17" s="439">
        <f>((('SLP States AggWorkings'!N17)*5)+(('ZKY States AggWorkings'!N17)*3))/8</f>
        <v>1.625</v>
      </c>
      <c r="O17" s="440">
        <f>((('SLP States AggWorkings'!O17)*5)+(('ZKY States AggWorkings'!O17)*3))/8</f>
        <v>1.75</v>
      </c>
      <c r="P17" s="440">
        <f>((('SLP States AggWorkings'!P17)*5)+(('ZKY States AggWorkings'!P17)*3))/8</f>
        <v>1.75</v>
      </c>
      <c r="Q17" s="440">
        <f>((('SLP States AggWorkings'!Q17)*5)+(('ZKY States AggWorkings'!Q17)*3))/8</f>
        <v>1.75</v>
      </c>
      <c r="R17" s="437">
        <f>((('SLP States AggWorkings'!R17)*5)+(('ZKY States AggWorkings'!R17)*3))/8</f>
        <v>1.625</v>
      </c>
      <c r="S17" s="437">
        <f>((('SLP States AggWorkings'!S17)*5)+(('ZKY States AggWorkings'!S17)*3))/8</f>
        <v>1.625</v>
      </c>
      <c r="T17" s="437">
        <f>((('SLP States AggWorkings'!T17)*5)+(('ZKY States AggWorkings'!T17)*3))/8</f>
        <v>3.875</v>
      </c>
      <c r="U17" s="437">
        <f>((('SLP States AggWorkings'!U17)*5)+(('ZKY States AggWorkings'!U17)*3))/8</f>
        <v>3.875</v>
      </c>
      <c r="V17" s="438">
        <f>((('SLP States AggWorkings'!V17)*5)+(('ZKY States AggWorkings'!V17)*3))/8</f>
        <v>12.375</v>
      </c>
      <c r="W17" s="80">
        <f>((('SLP States AggWorkings'!W17)*5)+(('ZKY States AggWorkings'!W17)*3)+(('A&amp;N States AggWorkings'!W17)*2))/10</f>
        <v>12.3</v>
      </c>
      <c r="X17" s="69">
        <f>((('SLP States AggWorkings'!X17)*5)+(('ZKY States AggWorkings'!X17)*3)+(('A&amp;N States AggWorkings'!X17)*2))/10</f>
        <v>12.3</v>
      </c>
      <c r="Y17" s="69">
        <f>((('SLP States AggWorkings'!Y17)*5)+(('ZKY States AggWorkings'!Y17)*3)+(('A&amp;N States AggWorkings'!Y17)*2))/10</f>
        <v>0</v>
      </c>
      <c r="Z17" s="69">
        <f>((('SLP States AggWorkings'!Z17)*5)+(('ZKY States AggWorkings'!Z17)*3)+(('A&amp;N States AggWorkings'!Z17)*2))/10</f>
        <v>0</v>
      </c>
      <c r="AA17" s="49"/>
      <c r="AB17" s="421"/>
      <c r="AD17" s="341">
        <f>V17</f>
        <v>12.375</v>
      </c>
      <c r="AE17" s="335"/>
      <c r="AF17" s="341">
        <f t="shared" si="4"/>
        <v>12.3</v>
      </c>
      <c r="AG17" s="341">
        <f t="shared" si="4"/>
        <v>12.3</v>
      </c>
      <c r="AH17" s="342">
        <f>AG17</f>
        <v>12.3</v>
      </c>
      <c r="AI17" s="342">
        <f>AG17</f>
        <v>12.3</v>
      </c>
    </row>
    <row r="18" spans="1:42" s="340" customFormat="1">
      <c r="A18" s="45"/>
      <c r="B18" s="46"/>
      <c r="C18" s="48"/>
      <c r="D18" s="422"/>
      <c r="E18" s="422"/>
      <c r="F18" s="422"/>
      <c r="G18" s="83"/>
      <c r="H18" s="83"/>
      <c r="I18" s="83"/>
      <c r="J18" s="83"/>
      <c r="K18" s="83"/>
      <c r="L18" s="48"/>
      <c r="M18" s="48"/>
      <c r="N18" s="48"/>
      <c r="O18" s="48"/>
      <c r="P18" s="48"/>
      <c r="Q18" s="48"/>
      <c r="R18" s="48"/>
      <c r="S18" s="48"/>
      <c r="T18" s="48"/>
      <c r="U18" s="48"/>
      <c r="V18" s="48"/>
      <c r="W18" s="48"/>
      <c r="X18" s="48"/>
      <c r="Y18" s="48"/>
      <c r="Z18" s="48"/>
      <c r="AA18" s="49"/>
      <c r="AB18" s="421"/>
      <c r="AE18" s="335"/>
      <c r="AF18" s="344"/>
      <c r="AG18" s="344"/>
      <c r="AH18" s="335"/>
      <c r="AI18" s="338"/>
    </row>
    <row r="19" spans="1:42" ht="15.75" thickBot="1">
      <c r="A19" s="41" t="s">
        <v>189</v>
      </c>
      <c r="B19" s="42" t="s">
        <v>221</v>
      </c>
      <c r="C19" s="43">
        <f>((('SLP States AggWorkings'!C19)*5)+(('ZKY States AggWorkings'!C19)*3))/8</f>
        <v>4.875</v>
      </c>
      <c r="D19" s="81">
        <f>((('SLP States AggWorkings'!D19)*5)+(('ZKY States AggWorkings'!D19)*3))/8</f>
        <v>5.833333333333333</v>
      </c>
      <c r="E19" s="81">
        <f>((('SLP States AggWorkings'!E19)*5)+(('ZKY States AggWorkings'!E19)*3))/8</f>
        <v>6.7916666666666661</v>
      </c>
      <c r="F19" s="81">
        <f>((('SLP States AggWorkings'!F19)*5)+(('ZKY States AggWorkings'!F19)*3))/8</f>
        <v>7.75</v>
      </c>
      <c r="G19" s="81">
        <f>((('SLP States AggWorkings'!G19)*5)+(('ZKY States AggWorkings'!G19)*3))/8</f>
        <v>8.7083333333333321</v>
      </c>
      <c r="H19" s="81">
        <f>((('SLP States AggWorkings'!H19)*5)+(('ZKY States AggWorkings'!H19)*3))/8</f>
        <v>9.6666666666666643</v>
      </c>
      <c r="I19" s="82">
        <f>((('SLP States AggWorkings'!I19)*5)+(('ZKY States AggWorkings'!I19)*3))/8</f>
        <v>10.625</v>
      </c>
      <c r="J19" s="81">
        <f>((('SLP States AggWorkings'!J19)*5)+(('ZKY States AggWorkings'!J19)*3))/8</f>
        <v>11.083333333333332</v>
      </c>
      <c r="K19" s="81">
        <f>((('SLP States AggWorkings'!K19)*5)+(('ZKY States AggWorkings'!K19)*3))/8</f>
        <v>11.541666666666666</v>
      </c>
      <c r="L19" s="44">
        <f>((('SLP States AggWorkings'!L19)*5)+(('ZKY States AggWorkings'!L19)*3))/8</f>
        <v>12</v>
      </c>
      <c r="M19" s="44">
        <f>((('SLP States AggWorkings'!M19)*5)+(('ZKY States AggWorkings'!M19)*3))/8</f>
        <v>12.458333333333332</v>
      </c>
      <c r="N19" s="43">
        <f>((('SLP States AggWorkings'!N19)*5)+(('ZKY States AggWorkings'!N19)*3))/8</f>
        <v>13.375</v>
      </c>
      <c r="O19" s="44">
        <f>((('SLP States AggWorkings'!O19)*5)+(('ZKY States AggWorkings'!O19)*3))/8</f>
        <v>13.5</v>
      </c>
      <c r="P19" s="44">
        <f>((('SLP States AggWorkings'!P19)*5)+(('ZKY States AggWorkings'!P19)*3))/8</f>
        <v>13.625</v>
      </c>
      <c r="Q19" s="44">
        <f>((('SLP States AggWorkings'!Q19)*5)+(('ZKY States AggWorkings'!Q19)*3))/8</f>
        <v>13.75</v>
      </c>
      <c r="R19" s="43">
        <f>((('SLP States AggWorkings'!R19)*5)+(('ZKY States AggWorkings'!R19)*3))/8</f>
        <v>13.875</v>
      </c>
      <c r="S19" s="44">
        <f>((('SLP States AggWorkings'!S19)*5)+(('ZKY States AggWorkings'!S19)*3))/8</f>
        <v>14</v>
      </c>
      <c r="T19" s="44">
        <f>((('SLP States AggWorkings'!T19)*5)+(('ZKY States AggWorkings'!T19)*3))/8</f>
        <v>14.124999999999998</v>
      </c>
      <c r="U19" s="44">
        <f>((('SLP States AggWorkings'!U19)*5)+(('ZKY States AggWorkings'!U19)*3))/8</f>
        <v>14.25</v>
      </c>
      <c r="V19" s="44">
        <f>((('SLP States AggWorkings'!V19)*5)+(('ZKY States AggWorkings'!V19)*3))/8</f>
        <v>14.375</v>
      </c>
      <c r="W19" s="44">
        <f>((('SLP States AggWorkings'!W19)*5)+(('ZKY States AggWorkings'!W19)*3)+(('A&amp;N States AggWorkings'!W19)*2))/10</f>
        <v>14.299999999999997</v>
      </c>
      <c r="X19" s="44">
        <f>((('SLP States AggWorkings'!X19)*5)+(('ZKY States AggWorkings'!X19)*3)+(('A&amp;N States AggWorkings'!X19)*2))/10</f>
        <v>14.4</v>
      </c>
      <c r="Y19" s="43">
        <f>((('SLP States AggWorkings'!Y19)*5)+(('ZKY States AggWorkings'!Y19)*3)+(('A&amp;N States AggWorkings'!Y19)*2))/10</f>
        <v>14.4</v>
      </c>
      <c r="Z19" s="44">
        <f>((('SLP States AggWorkings'!Z19)*5)+(('ZKY States AggWorkings'!Z19)*3)+(('A&amp;N States AggWorkings'!Z19)*2))/10</f>
        <v>14.4</v>
      </c>
      <c r="AA19" s="38">
        <v>15</v>
      </c>
      <c r="AB19" s="457">
        <f>AA19/22</f>
        <v>0.68181818181818177</v>
      </c>
      <c r="AD19" s="450">
        <f>V19</f>
        <v>14.375</v>
      </c>
      <c r="AF19" s="339">
        <f t="shared" ref="AF19:AG20" si="5">IF($AG$1=16,R19,IF($AG$1=17,S19,IF($AG$1=18,T19,IF($AG$1=19,U19,IF($AG$1=20,V19,IF($AG$1=21,W19,IF($AG$1=22,X19,0)))))))</f>
        <v>14.299999999999997</v>
      </c>
      <c r="AG19" s="339">
        <f t="shared" si="5"/>
        <v>14.4</v>
      </c>
      <c r="AI19" s="338"/>
    </row>
    <row r="20" spans="1:42" s="340" customFormat="1" ht="15.75" thickBot="1">
      <c r="A20" s="45"/>
      <c r="B20" s="46" t="s">
        <v>220</v>
      </c>
      <c r="C20" s="79">
        <f>((('SLP States AggWorkings'!C20)*5)+(('ZKY States AggWorkings'!C20)*3))/8</f>
        <v>4.875</v>
      </c>
      <c r="D20" s="436">
        <f>((('SLP States AggWorkings'!D20)*5)+(('ZKY States AggWorkings'!D20)*3))/8</f>
        <v>3.25</v>
      </c>
      <c r="E20" s="437">
        <f>((('SLP States AggWorkings'!E20)*5)+(('ZKY States AggWorkings'!E20)*3))/8</f>
        <v>3.25</v>
      </c>
      <c r="F20" s="437">
        <f>((('SLP States AggWorkings'!F20)*5)+(('ZKY States AggWorkings'!F20)*3))/8</f>
        <v>3.25</v>
      </c>
      <c r="G20" s="437">
        <f>((('SLP States AggWorkings'!G20)*5)+(('ZKY States AggWorkings'!G20)*3))/8</f>
        <v>3.25</v>
      </c>
      <c r="H20" s="437">
        <f>((('SLP States AggWorkings'!H20)*5)+(('ZKY States AggWorkings'!H20)*3))/8</f>
        <v>2.875</v>
      </c>
      <c r="I20" s="437">
        <f>((('SLP States AggWorkings'!I20)*5)+(('ZKY States AggWorkings'!I20)*3))/8</f>
        <v>5.5625</v>
      </c>
      <c r="J20" s="437">
        <f>((('SLP States AggWorkings'!J20)*5)+(('ZKY States AggWorkings'!J20)*3))/8</f>
        <v>5.625</v>
      </c>
      <c r="K20" s="437">
        <f>((('SLP States AggWorkings'!K20)*5)+(('ZKY States AggWorkings'!K20)*3))/8</f>
        <v>5.625</v>
      </c>
      <c r="L20" s="437">
        <f>((('SLP States AggWorkings'!L20)*5)+(('ZKY States AggWorkings'!L20)*3))/8</f>
        <v>4.0625</v>
      </c>
      <c r="M20" s="437">
        <f>((('SLP States AggWorkings'!M20)*5)+(('ZKY States AggWorkings'!M20)*3))/8</f>
        <v>6.4375</v>
      </c>
      <c r="N20" s="439">
        <f>((('SLP States AggWorkings'!N20)*5)+(('ZKY States AggWorkings'!N20)*3))/8</f>
        <v>13.25</v>
      </c>
      <c r="O20" s="440">
        <f>((('SLP States AggWorkings'!O20)*5)+(('ZKY States AggWorkings'!O20)*3))/8</f>
        <v>13.25</v>
      </c>
      <c r="P20" s="440">
        <f>((('SLP States AggWorkings'!P20)*5)+(('ZKY States AggWorkings'!P20)*3))/8</f>
        <v>13.4375</v>
      </c>
      <c r="Q20" s="440">
        <f>((('SLP States AggWorkings'!Q20)*5)+(('ZKY States AggWorkings'!Q20)*3))/8</f>
        <v>13.625</v>
      </c>
      <c r="R20" s="437">
        <f>((('SLP States AggWorkings'!R20)*5)+(('ZKY States AggWorkings'!R20)*3))/8</f>
        <v>14.012499999999999</v>
      </c>
      <c r="S20" s="437">
        <f>((('SLP States AggWorkings'!S20)*5)+(('ZKY States AggWorkings'!S20)*3))/8</f>
        <v>14.012499999999999</v>
      </c>
      <c r="T20" s="437">
        <f>((('SLP States AggWorkings'!T20)*5)+(('ZKY States AggWorkings'!T20)*3))/8</f>
        <v>14.324999999999999</v>
      </c>
      <c r="U20" s="437">
        <f>((('SLP States AggWorkings'!U20)*5)+(('ZKY States AggWorkings'!U20)*3))/8</f>
        <v>14.324999999999999</v>
      </c>
      <c r="V20" s="438">
        <f>((('SLP States AggWorkings'!V20)*5)+(('ZKY States AggWorkings'!V20)*3))/8</f>
        <v>14.387499999999999</v>
      </c>
      <c r="W20" s="80">
        <f>((('SLP States AggWorkings'!W20)*5)+(('ZKY States AggWorkings'!W20)*3)+(('A&amp;N States AggWorkings'!W20)*2))/10</f>
        <v>14.209999999999999</v>
      </c>
      <c r="X20" s="69">
        <f>((('SLP States AggWorkings'!X20)*5)+(('ZKY States AggWorkings'!X20)*3)+(('A&amp;N States AggWorkings'!X20)*2))/10</f>
        <v>14.209999999999999</v>
      </c>
      <c r="Y20" s="69">
        <f>((('SLP States AggWorkings'!Y20)*5)+(('ZKY States AggWorkings'!Y20)*3)+(('A&amp;N States AggWorkings'!Y20)*2))/10</f>
        <v>0</v>
      </c>
      <c r="Z20" s="69">
        <f>((('SLP States AggWorkings'!Z20)*5)+(('ZKY States AggWorkings'!Z20)*3)+(('A&amp;N States AggWorkings'!Z20)*2))/10</f>
        <v>0</v>
      </c>
      <c r="AA20" s="49"/>
      <c r="AB20" s="421"/>
      <c r="AD20" s="341">
        <f>V20</f>
        <v>14.387499999999999</v>
      </c>
      <c r="AE20" s="335"/>
      <c r="AF20" s="341">
        <f t="shared" si="5"/>
        <v>14.209999999999999</v>
      </c>
      <c r="AG20" s="341">
        <f t="shared" si="5"/>
        <v>14.209999999999999</v>
      </c>
      <c r="AH20" s="342">
        <f>AG20</f>
        <v>14.209999999999999</v>
      </c>
      <c r="AI20" s="342">
        <f>AG20</f>
        <v>14.209999999999999</v>
      </c>
    </row>
    <row r="21" spans="1:42" s="340" customFormat="1">
      <c r="A21" s="45"/>
      <c r="B21" s="46"/>
      <c r="C21" s="48"/>
      <c r="D21" s="422"/>
      <c r="E21" s="422"/>
      <c r="F21" s="422"/>
      <c r="G21" s="83"/>
      <c r="H21" s="83"/>
      <c r="I21" s="83"/>
      <c r="J21" s="83"/>
      <c r="K21" s="83"/>
      <c r="L21" s="48"/>
      <c r="M21" s="48"/>
      <c r="N21" s="48"/>
      <c r="O21" s="48"/>
      <c r="P21" s="48"/>
      <c r="Q21" s="48"/>
      <c r="R21" s="48"/>
      <c r="S21" s="48"/>
      <c r="T21" s="48"/>
      <c r="U21" s="48"/>
      <c r="V21" s="48"/>
      <c r="W21" s="48"/>
      <c r="X21" s="48"/>
      <c r="Y21" s="48"/>
      <c r="Z21" s="48"/>
      <c r="AA21" s="49"/>
      <c r="AB21" s="421"/>
      <c r="AE21" s="335"/>
      <c r="AF21" s="343"/>
      <c r="AG21" s="343"/>
      <c r="AH21" s="335"/>
      <c r="AI21" s="338"/>
    </row>
    <row r="22" spans="1:42" ht="15.75" thickBot="1">
      <c r="A22" s="41" t="s">
        <v>22</v>
      </c>
      <c r="B22" s="42" t="s">
        <v>139</v>
      </c>
      <c r="C22" s="43" t="e">
        <f>((('SLP States AggWorkings'!C22)*5)+(('ZKY States AggWorkings'!C22)*3))/8</f>
        <v>#VALUE!</v>
      </c>
      <c r="D22" s="81" t="e">
        <f>((('SLP States AggWorkings'!D22)*5)+(('ZKY States AggWorkings'!D22)*3))/8</f>
        <v>#VALUE!</v>
      </c>
      <c r="E22" s="81" t="e">
        <f>((('SLP States AggWorkings'!E22)*5)+(('ZKY States AggWorkings'!E22)*3))/8</f>
        <v>#VALUE!</v>
      </c>
      <c r="F22" s="81" t="e">
        <f>((('SLP States AggWorkings'!F22)*5)+(('ZKY States AggWorkings'!F22)*3))/8</f>
        <v>#VALUE!</v>
      </c>
      <c r="G22" s="81" t="e">
        <f>((('SLP States AggWorkings'!G22)*5)+(('ZKY States AggWorkings'!G22)*3))/8</f>
        <v>#VALUE!</v>
      </c>
      <c r="H22" s="81" t="e">
        <f>((('SLP States AggWorkings'!H22)*5)+(('ZKY States AggWorkings'!H22)*3))/8</f>
        <v>#VALUE!</v>
      </c>
      <c r="I22" s="82">
        <f>((('SLP States AggWorkings'!I22)*5)+(('ZKY States AggWorkings'!I22)*3))/8</f>
        <v>2.2250000000000001</v>
      </c>
      <c r="J22" s="81">
        <f>((('SLP States AggWorkings'!J22)*5)+(('ZKY States AggWorkings'!J22)*3))/8</f>
        <v>2.2895833333333333</v>
      </c>
      <c r="K22" s="81">
        <f>((('SLP States AggWorkings'!K22)*5)+(('ZKY States AggWorkings'!K22)*3))/8</f>
        <v>2.354166666666667</v>
      </c>
      <c r="L22" s="44">
        <f>((('SLP States AggWorkings'!L22)*5)+(('ZKY States AggWorkings'!L22)*3))/8</f>
        <v>2.4187500000000002</v>
      </c>
      <c r="M22" s="44">
        <f>((('SLP States AggWorkings'!M22)*5)+(('ZKY States AggWorkings'!M22)*3))/8</f>
        <v>2.4833333333333334</v>
      </c>
      <c r="N22" s="43">
        <f>((('SLP States AggWorkings'!N22)*5)+(('ZKY States AggWorkings'!N22)*3))/8</f>
        <v>2.6124999999999998</v>
      </c>
      <c r="O22" s="44">
        <f>((('SLP States AggWorkings'!O22)*5)+(('ZKY States AggWorkings'!O22)*3))/8</f>
        <v>2.6749999999999998</v>
      </c>
      <c r="P22" s="44">
        <f>((('SLP States AggWorkings'!P22)*5)+(('ZKY States AggWorkings'!P22)*3))/8</f>
        <v>2.7374999999999998</v>
      </c>
      <c r="Q22" s="44">
        <f>((('SLP States AggWorkings'!Q22)*5)+(('ZKY States AggWorkings'!Q22)*3))/8</f>
        <v>2.8</v>
      </c>
      <c r="R22" s="43">
        <f>((('SLP States AggWorkings'!R22)*5)+(('ZKY States AggWorkings'!R22)*3))/8</f>
        <v>2.8624999999999998</v>
      </c>
      <c r="S22" s="44">
        <f>((('SLP States AggWorkings'!S22)*5)+(('ZKY States AggWorkings'!S22)*3))/8</f>
        <v>2.9354166666666668</v>
      </c>
      <c r="T22" s="44">
        <f>((('SLP States AggWorkings'!T22)*5)+(('ZKY States AggWorkings'!T22)*3))/8</f>
        <v>3.0083333333333337</v>
      </c>
      <c r="U22" s="44">
        <f>((('SLP States AggWorkings'!U22)*5)+(('ZKY States AggWorkings'!U22)*3))/8</f>
        <v>3.0812499999999998</v>
      </c>
      <c r="V22" s="44">
        <f>((('SLP States AggWorkings'!V22)*5)+(('ZKY States AggWorkings'!V22)*3))/8</f>
        <v>3.1541666666666663</v>
      </c>
      <c r="W22" s="44">
        <f>((('SLP States AggWorkings'!W22)*5)+(('ZKY States AggWorkings'!W22)*3)+(('A&amp;N States AggWorkings'!W22)*2))/10</f>
        <v>3.1149999999999993</v>
      </c>
      <c r="X22" s="44">
        <f>((('SLP States AggWorkings'!X22)*5)+(('ZKY States AggWorkings'!X22)*3)+(('A&amp;N States AggWorkings'!X22)*2))/10</f>
        <v>3.2066666666666661</v>
      </c>
      <c r="Y22" s="43">
        <f>((('SLP States AggWorkings'!Y22)*5)+(('ZKY States AggWorkings'!Y22)*3)+(('A&amp;N States AggWorkings'!Y22)*2))/10</f>
        <v>3.2299999999999995</v>
      </c>
      <c r="Z22" s="44">
        <f>((('SLP States AggWorkings'!Z22)*5)+(('ZKY States AggWorkings'!Z22)*3)+(('A&amp;N States AggWorkings'!Z22)*2))/10</f>
        <v>3.2299999999999995</v>
      </c>
      <c r="AA22" s="38">
        <v>5</v>
      </c>
      <c r="AB22" s="420">
        <f>AA22/22</f>
        <v>0.22727272727272727</v>
      </c>
      <c r="AD22" s="450">
        <f>V22</f>
        <v>3.1541666666666663</v>
      </c>
      <c r="AF22" s="339">
        <f t="shared" ref="AF22:AG23" si="6">IF($AG$1=16,R22,IF($AG$1=17,S22,IF($AG$1=18,T22,IF($AG$1=19,U22,IF($AG$1=20,V22,IF($AG$1=21,W22,IF($AG$1=22,X22,0)))))))</f>
        <v>3.1149999999999993</v>
      </c>
      <c r="AG22" s="339">
        <f t="shared" si="6"/>
        <v>3.2066666666666661</v>
      </c>
      <c r="AI22" s="338"/>
      <c r="AK22" s="462">
        <f>(AD22+AD25+AD28+((AD31+AD34+AD37+AD40)/4/2.5/8))/4</f>
        <v>2.7468750000000002</v>
      </c>
      <c r="AM22" s="460">
        <f>(AF22+AF25+AF28+((AF31+AF34+AF37+AF40)/4/2.5/8))/4</f>
        <v>2.9709374999999998</v>
      </c>
      <c r="AN22" s="460">
        <f>(AG22+AG25+AG28+((AG31+AG34+AG37+AG40)/4/2.5/8))/4</f>
        <v>3.1035416666666666</v>
      </c>
      <c r="AO22" s="758" t="s">
        <v>1205</v>
      </c>
    </row>
    <row r="23" spans="1:42" s="340" customFormat="1" ht="15.75" thickBot="1">
      <c r="A23" s="45"/>
      <c r="B23" s="46" t="s">
        <v>140</v>
      </c>
      <c r="C23" s="79" t="e">
        <f>((('SLP States AggWorkings'!C23)*5)+(('ZKY States AggWorkings'!C23)*3))/8</f>
        <v>#VALUE!</v>
      </c>
      <c r="D23" s="436">
        <f>((('SLP States AggWorkings'!D23)*5)+(('ZKY States AggWorkings'!D23)*3))/8</f>
        <v>1.35</v>
      </c>
      <c r="E23" s="437">
        <f>((('SLP States AggWorkings'!E23)*5)+(('ZKY States AggWorkings'!E23)*3))/8</f>
        <v>1.35</v>
      </c>
      <c r="F23" s="437">
        <f>((('SLP States AggWorkings'!F23)*5)+(('ZKY States AggWorkings'!F23)*3))/8</f>
        <v>1.3374999999999999</v>
      </c>
      <c r="G23" s="437">
        <f>((('SLP States AggWorkings'!G23)*5)+(('ZKY States AggWorkings'!G23)*3))/8</f>
        <v>1.3374999999999999</v>
      </c>
      <c r="H23" s="437">
        <f>((('SLP States AggWorkings'!H23)*5)+(('ZKY States AggWorkings'!H23)*3))/8</f>
        <v>1.2124999999999999</v>
      </c>
      <c r="I23" s="437">
        <f>((('SLP States AggWorkings'!I23)*5)+(('ZKY States AggWorkings'!I23)*3))/8</f>
        <v>1.5125</v>
      </c>
      <c r="J23" s="437">
        <f>((('SLP States AggWorkings'!J23)*5)+(('ZKY States AggWorkings'!J23)*3))/8</f>
        <v>1.5125000000000002</v>
      </c>
      <c r="K23" s="437">
        <f>((('SLP States AggWorkings'!K23)*5)+(('ZKY States AggWorkings'!K23)*3))/8</f>
        <v>1.5249999999999999</v>
      </c>
      <c r="L23" s="437">
        <f>((('SLP States AggWorkings'!L23)*5)+(('ZKY States AggWorkings'!L23)*3))/8</f>
        <v>1.45</v>
      </c>
      <c r="M23" s="437">
        <f>((('SLP States AggWorkings'!M23)*5)+(('ZKY States AggWorkings'!M23)*3))/8</f>
        <v>1.5874999999999999</v>
      </c>
      <c r="N23" s="439">
        <f>((('SLP States AggWorkings'!N23)*5)+(('ZKY States AggWorkings'!N23)*3))/8</f>
        <v>2.6124999999999998</v>
      </c>
      <c r="O23" s="440">
        <f>((('SLP States AggWorkings'!O23)*5)+(('ZKY States AggWorkings'!O23)*3))/8</f>
        <v>2.75</v>
      </c>
      <c r="P23" s="440">
        <f>((('SLP States AggWorkings'!P23)*5)+(('ZKY States AggWorkings'!P23)*3))/8</f>
        <v>2.6625000000000001</v>
      </c>
      <c r="Q23" s="440">
        <f>((('SLP States AggWorkings'!Q23)*5)+(('ZKY States AggWorkings'!Q23)*3))/8</f>
        <v>2.7749999999999999</v>
      </c>
      <c r="R23" s="437">
        <f>((('SLP States AggWorkings'!R23)*5)+(('ZKY States AggWorkings'!R23)*3))/8</f>
        <v>2.9375</v>
      </c>
      <c r="S23" s="437">
        <f>((('SLP States AggWorkings'!S23)*5)+(('ZKY States AggWorkings'!S23)*3))/8</f>
        <v>2.9375</v>
      </c>
      <c r="T23" s="437">
        <f>((('SLP States AggWorkings'!T23)*5)+(('ZKY States AggWorkings'!T23)*3))/8</f>
        <v>3.2374999999999998</v>
      </c>
      <c r="U23" s="437">
        <f>((('SLP States AggWorkings'!U23)*5)+(('ZKY States AggWorkings'!U23)*3))/8</f>
        <v>3.2750000000000004</v>
      </c>
      <c r="V23" s="438">
        <f>((('SLP States AggWorkings'!V23)*5)+(('ZKY States AggWorkings'!V23)*3))/8</f>
        <v>3.5125000000000002</v>
      </c>
      <c r="W23" s="80">
        <f>((('SLP States AggWorkings'!W23)*5)+(('ZKY States AggWorkings'!W23)*3)+(('A&amp;N States AggWorkings'!W23)*2))/10</f>
        <v>3.3600000000000003</v>
      </c>
      <c r="X23" s="69">
        <f>((('SLP States AggWorkings'!X23)*5)+(('ZKY States AggWorkings'!X23)*3)+(('A&amp;N States AggWorkings'!X23)*2))/10</f>
        <v>3.3099999999999996</v>
      </c>
      <c r="Y23" s="69">
        <f>((('SLP States AggWorkings'!Y23)*5)+(('ZKY States AggWorkings'!Y23)*3)+(('A&amp;N States AggWorkings'!Y23)*2))/10</f>
        <v>0</v>
      </c>
      <c r="Z23" s="69">
        <f>((('SLP States AggWorkings'!Z23)*5)+(('ZKY States AggWorkings'!Z23)*3)+(('A&amp;N States AggWorkings'!Z23)*2))/10</f>
        <v>0</v>
      </c>
      <c r="AA23" s="49"/>
      <c r="AB23" s="421"/>
      <c r="AD23" s="341">
        <f>V23</f>
        <v>3.5125000000000002</v>
      </c>
      <c r="AE23" s="335"/>
      <c r="AF23" s="341">
        <f t="shared" si="6"/>
        <v>3.3600000000000003</v>
      </c>
      <c r="AG23" s="341">
        <f t="shared" si="6"/>
        <v>3.3099999999999996</v>
      </c>
      <c r="AH23" s="342">
        <f>AG23</f>
        <v>3.3099999999999996</v>
      </c>
      <c r="AI23" s="342">
        <f>AG23</f>
        <v>3.3099999999999996</v>
      </c>
      <c r="AK23" s="461">
        <f>(AD23+AD26+AD29+((AD32+AD35+AD38+AD41)/4/2.5/8))/4</f>
        <v>3.1968749999999999</v>
      </c>
      <c r="AM23" s="461">
        <f>(AF23+AF26+AF29+((AF32+AF35+AF38+AF41)/4/2.5/8))/4</f>
        <v>3.1625000000000001</v>
      </c>
      <c r="AN23" s="461">
        <f>(AG23+AG26+AG29+((AG32+AG35+AG38+AG41)/4/2.5/8))/4</f>
        <v>3.2275</v>
      </c>
      <c r="AO23" s="342">
        <f>AN23</f>
        <v>3.2275</v>
      </c>
      <c r="AP23" s="342">
        <f>AN23</f>
        <v>3.2275</v>
      </c>
    </row>
    <row r="24" spans="1:42" s="340" customFormat="1">
      <c r="A24" s="45"/>
      <c r="B24" s="46"/>
      <c r="C24" s="48"/>
      <c r="D24" s="422"/>
      <c r="E24" s="422"/>
      <c r="F24" s="422"/>
      <c r="G24" s="83"/>
      <c r="H24" s="83"/>
      <c r="I24" s="83"/>
      <c r="J24" s="83"/>
      <c r="K24" s="83"/>
      <c r="L24" s="48"/>
      <c r="M24" s="48"/>
      <c r="N24" s="48"/>
      <c r="O24" s="48"/>
      <c r="P24" s="48"/>
      <c r="Q24" s="48"/>
      <c r="R24" s="48"/>
      <c r="S24" s="48"/>
      <c r="T24" s="48"/>
      <c r="U24" s="48"/>
      <c r="V24" s="48"/>
      <c r="W24" s="48"/>
      <c r="X24" s="48"/>
      <c r="Y24" s="48"/>
      <c r="Z24" s="48"/>
      <c r="AA24" s="49"/>
      <c r="AB24" s="421"/>
      <c r="AE24" s="335"/>
      <c r="AF24" s="343"/>
      <c r="AG24" s="343"/>
      <c r="AH24" s="335"/>
      <c r="AI24" s="338"/>
    </row>
    <row r="25" spans="1:42" ht="15.75" thickBot="1">
      <c r="A25" s="41" t="s">
        <v>23</v>
      </c>
      <c r="B25" s="42" t="s">
        <v>139</v>
      </c>
      <c r="C25" s="43" t="e">
        <f>((('SLP States AggWorkings'!C25)*5)+(('ZKY States AggWorkings'!C25)*3))/8</f>
        <v>#VALUE!</v>
      </c>
      <c r="D25" s="81" t="e">
        <f>((('SLP States AggWorkings'!D25)*5)+(('ZKY States AggWorkings'!D25)*3))/8</f>
        <v>#VALUE!</v>
      </c>
      <c r="E25" s="81" t="e">
        <f>((('SLP States AggWorkings'!E25)*5)+(('ZKY States AggWorkings'!E25)*3))/8</f>
        <v>#VALUE!</v>
      </c>
      <c r="F25" s="81" t="e">
        <f>((('SLP States AggWorkings'!F25)*5)+(('ZKY States AggWorkings'!F25)*3))/8</f>
        <v>#VALUE!</v>
      </c>
      <c r="G25" s="81" t="e">
        <f>((('SLP States AggWorkings'!G25)*5)+(('ZKY States AggWorkings'!G25)*3))/8</f>
        <v>#VALUE!</v>
      </c>
      <c r="H25" s="81" t="e">
        <f>((('SLP States AggWorkings'!H25)*5)+(('ZKY States AggWorkings'!H25)*3))/8</f>
        <v>#VALUE!</v>
      </c>
      <c r="I25" s="82">
        <f>((('SLP States AggWorkings'!I25)*5)+(('ZKY States AggWorkings'!I25)*3))/8</f>
        <v>2</v>
      </c>
      <c r="J25" s="81">
        <f>((('SLP States AggWorkings'!J25)*5)+(('ZKY States AggWorkings'!J25)*3))/8</f>
        <v>2.0614583333333338</v>
      </c>
      <c r="K25" s="81">
        <f>((('SLP States AggWorkings'!K25)*5)+(('ZKY States AggWorkings'!K25)*3))/8</f>
        <v>2.1229166666666668</v>
      </c>
      <c r="L25" s="44">
        <f>((('SLP States AggWorkings'!L25)*5)+(('ZKY States AggWorkings'!L25)*3))/8</f>
        <v>2.1843749999999997</v>
      </c>
      <c r="M25" s="44">
        <f>((('SLP States AggWorkings'!M25)*5)+(('ZKY States AggWorkings'!M25)*3))/8</f>
        <v>2.2458333333333331</v>
      </c>
      <c r="N25" s="43">
        <f>((('SLP States AggWorkings'!N25)*5)+(('ZKY States AggWorkings'!N25)*3))/8</f>
        <v>2.3687499999999999</v>
      </c>
      <c r="O25" s="44">
        <f>((('SLP States AggWorkings'!O25)*5)+(('ZKY States AggWorkings'!O25)*3))/8</f>
        <v>2.484375</v>
      </c>
      <c r="P25" s="44">
        <f>((('SLP States AggWorkings'!P25)*5)+(('ZKY States AggWorkings'!P25)*3))/8</f>
        <v>2.6</v>
      </c>
      <c r="Q25" s="44">
        <f>((('SLP States AggWorkings'!Q25)*5)+(('ZKY States AggWorkings'!Q25)*3))/8</f>
        <v>2.7156250000000002</v>
      </c>
      <c r="R25" s="43">
        <f>((('SLP States AggWorkings'!R25)*5)+(('ZKY States AggWorkings'!R25)*3))/8</f>
        <v>2.8312499999999998</v>
      </c>
      <c r="S25" s="44">
        <f>((('SLP States AggWorkings'!S25)*5)+(('ZKY States AggWorkings'!S25)*3))/8</f>
        <v>2.901041666666667</v>
      </c>
      <c r="T25" s="44">
        <f>((('SLP States AggWorkings'!T25)*5)+(('ZKY States AggWorkings'!T25)*3))/8</f>
        <v>2.9708333333333337</v>
      </c>
      <c r="U25" s="44">
        <f>((('SLP States AggWorkings'!U25)*5)+(('ZKY States AggWorkings'!U25)*3))/8</f>
        <v>3.0406249999999999</v>
      </c>
      <c r="V25" s="44">
        <f>((('SLP States AggWorkings'!V25)*5)+(('ZKY States AggWorkings'!V25)*3))/8</f>
        <v>3.1104166666666666</v>
      </c>
      <c r="W25" s="44">
        <f>((('SLP States AggWorkings'!W25)*5)+(('ZKY States AggWorkings'!W25)*3)+(('A&amp;N States AggWorkings'!W25)*2))/10</f>
        <v>3.3241666666666667</v>
      </c>
      <c r="X25" s="44">
        <f>((('SLP States AggWorkings'!X25)*5)+(('ZKY States AggWorkings'!X25)*3)+(('A&amp;N States AggWorkings'!X25)*2))/10</f>
        <v>3.4699999999999998</v>
      </c>
      <c r="Y25" s="43">
        <f>((('SLP States AggWorkings'!Y25)*5)+(('ZKY States AggWorkings'!Y25)*3)+(('A&amp;N States AggWorkings'!Y25)*2))/10</f>
        <v>3.5</v>
      </c>
      <c r="Z25" s="44">
        <f>((('SLP States AggWorkings'!Z25)*5)+(('ZKY States AggWorkings'!Z25)*3)+(('A&amp;N States AggWorkings'!Z25)*2))/10</f>
        <v>3.5</v>
      </c>
      <c r="AA25" s="38">
        <v>5</v>
      </c>
      <c r="AB25" s="420">
        <f>AA25/22</f>
        <v>0.22727272727272727</v>
      </c>
      <c r="AD25" s="450">
        <f>V25</f>
        <v>3.1104166666666666</v>
      </c>
      <c r="AF25" s="339">
        <f t="shared" ref="AF25:AG26" si="7">IF($AG$1=16,R25,IF($AG$1=17,S25,IF($AG$1=18,T25,IF($AG$1=19,U25,IF($AG$1=20,V25,IF($AG$1=21,W25,IF($AG$1=22,X25,0)))))))</f>
        <v>3.3241666666666667</v>
      </c>
      <c r="AG25" s="339">
        <f t="shared" si="7"/>
        <v>3.4699999999999998</v>
      </c>
      <c r="AI25" s="338"/>
    </row>
    <row r="26" spans="1:42" s="340" customFormat="1" ht="15.75" thickBot="1">
      <c r="A26" s="45"/>
      <c r="B26" s="46" t="s">
        <v>140</v>
      </c>
      <c r="C26" s="79" t="e">
        <f>((('SLP States AggWorkings'!C26)*5)+(('ZKY States AggWorkings'!C26)*3))/8</f>
        <v>#VALUE!</v>
      </c>
      <c r="D26" s="436">
        <f>((('SLP States AggWorkings'!D26)*5)+(('ZKY States AggWorkings'!D26)*3))/8</f>
        <v>1.2374999999999998</v>
      </c>
      <c r="E26" s="437">
        <f>((('SLP States AggWorkings'!E26)*5)+(('ZKY States AggWorkings'!E26)*3))/8</f>
        <v>1.25</v>
      </c>
      <c r="F26" s="437">
        <f>((('SLP States AggWorkings'!F26)*5)+(('ZKY States AggWorkings'!F26)*3))/8</f>
        <v>1.2625000000000002</v>
      </c>
      <c r="G26" s="437">
        <f>((('SLP States AggWorkings'!G26)*5)+(('ZKY States AggWorkings'!G26)*3))/8</f>
        <v>1.2625000000000002</v>
      </c>
      <c r="H26" s="437">
        <f>((('SLP States AggWorkings'!H26)*5)+(('ZKY States AggWorkings'!H26)*3))/8</f>
        <v>1.2625</v>
      </c>
      <c r="I26" s="437">
        <f>((('SLP States AggWorkings'!I26)*5)+(('ZKY States AggWorkings'!I26)*3))/8</f>
        <v>1.7250000000000001</v>
      </c>
      <c r="J26" s="437">
        <f>((('SLP States AggWorkings'!J26)*5)+(('ZKY States AggWorkings'!J26)*3))/8</f>
        <v>1.85</v>
      </c>
      <c r="K26" s="437">
        <f>((('SLP States AggWorkings'!K26)*5)+(('ZKY States AggWorkings'!K26)*3))/8</f>
        <v>1.8874999999999997</v>
      </c>
      <c r="L26" s="437">
        <f>((('SLP States AggWorkings'!L26)*5)+(('ZKY States AggWorkings'!L26)*3))/8</f>
        <v>1.5</v>
      </c>
      <c r="M26" s="437">
        <f>((('SLP States AggWorkings'!M26)*5)+(('ZKY States AggWorkings'!M26)*3))/8</f>
        <v>1.8625</v>
      </c>
      <c r="N26" s="439">
        <f>((('SLP States AggWorkings'!N26)*5)+(('ZKY States AggWorkings'!N26)*3))/8</f>
        <v>2.4500000000000002</v>
      </c>
      <c r="O26" s="440">
        <f>((('SLP States AggWorkings'!O26)*5)+(('ZKY States AggWorkings'!O26)*3))/8</f>
        <v>2.5625</v>
      </c>
      <c r="P26" s="440">
        <f>((('SLP States AggWorkings'!P26)*5)+(('ZKY States AggWorkings'!P26)*3))/8</f>
        <v>2.7249999999999996</v>
      </c>
      <c r="Q26" s="440">
        <f>((('SLP States AggWorkings'!Q26)*5)+(('ZKY States AggWorkings'!Q26)*3))/8</f>
        <v>2.8000000000000003</v>
      </c>
      <c r="R26" s="437">
        <f>((('SLP States AggWorkings'!R26)*5)+(('ZKY States AggWorkings'!R26)*3))/8</f>
        <v>2.9875000000000003</v>
      </c>
      <c r="S26" s="437">
        <f>((('SLP States AggWorkings'!S26)*5)+(('ZKY States AggWorkings'!S26)*3))/8</f>
        <v>3.0125000000000002</v>
      </c>
      <c r="T26" s="437">
        <f>((('SLP States AggWorkings'!T26)*5)+(('ZKY States AggWorkings'!T26)*3))/8</f>
        <v>3.5125000000000002</v>
      </c>
      <c r="U26" s="437">
        <f>((('SLP States AggWorkings'!U26)*5)+(('ZKY States AggWorkings'!U26)*3))/8</f>
        <v>3.5249999999999999</v>
      </c>
      <c r="V26" s="438">
        <f>((('SLP States AggWorkings'!V26)*5)+(('ZKY States AggWorkings'!V26)*3))/8</f>
        <v>3.7249999999999996</v>
      </c>
      <c r="W26" s="80">
        <f>((('SLP States AggWorkings'!W26)*5)+(('ZKY States AggWorkings'!W26)*3)+(('A&amp;N States AggWorkings'!W26)*2))/10</f>
        <v>3.5</v>
      </c>
      <c r="X26" s="69">
        <f>((('SLP States AggWorkings'!X26)*5)+(('ZKY States AggWorkings'!X26)*3)+(('A&amp;N States AggWorkings'!X26)*2))/10</f>
        <v>3.6000000000000005</v>
      </c>
      <c r="Y26" s="69">
        <f>((('SLP States AggWorkings'!Y26)*5)+(('ZKY States AggWorkings'!Y26)*3)+(('A&amp;N States AggWorkings'!Y26)*2))/10</f>
        <v>0</v>
      </c>
      <c r="Z26" s="69">
        <f>((('SLP States AggWorkings'!Z26)*5)+(('ZKY States AggWorkings'!Z26)*3)+(('A&amp;N States AggWorkings'!Z26)*2))/10</f>
        <v>0</v>
      </c>
      <c r="AA26" s="49"/>
      <c r="AB26" s="421"/>
      <c r="AD26" s="341">
        <f>V26</f>
        <v>3.7249999999999996</v>
      </c>
      <c r="AE26" s="335"/>
      <c r="AF26" s="341">
        <f t="shared" si="7"/>
        <v>3.5</v>
      </c>
      <c r="AG26" s="341">
        <f t="shared" si="7"/>
        <v>3.6000000000000005</v>
      </c>
      <c r="AH26" s="342">
        <f>AG26</f>
        <v>3.6000000000000005</v>
      </c>
      <c r="AI26" s="342">
        <f>AG26</f>
        <v>3.6000000000000005</v>
      </c>
    </row>
    <row r="27" spans="1:42" s="340" customFormat="1">
      <c r="A27" s="45"/>
      <c r="B27" s="46"/>
      <c r="C27" s="48"/>
      <c r="D27" s="422"/>
      <c r="E27" s="422"/>
      <c r="F27" s="422"/>
      <c r="G27" s="83"/>
      <c r="H27" s="83"/>
      <c r="I27" s="83"/>
      <c r="J27" s="83"/>
      <c r="K27" s="83"/>
      <c r="L27" s="48"/>
      <c r="M27" s="48"/>
      <c r="N27" s="48"/>
      <c r="O27" s="48"/>
      <c r="P27" s="48"/>
      <c r="Q27" s="48"/>
      <c r="R27" s="48"/>
      <c r="S27" s="48"/>
      <c r="T27" s="48"/>
      <c r="U27" s="48"/>
      <c r="V27" s="48"/>
      <c r="W27" s="48"/>
      <c r="X27" s="48"/>
      <c r="Y27" s="48"/>
      <c r="Z27" s="48"/>
      <c r="AA27" s="49"/>
      <c r="AB27" s="421"/>
      <c r="AE27" s="335"/>
      <c r="AH27" s="335"/>
      <c r="AI27" s="338"/>
    </row>
    <row r="28" spans="1:42" ht="15.75" thickBot="1">
      <c r="A28" s="41" t="s">
        <v>38</v>
      </c>
      <c r="B28" s="42" t="s">
        <v>139</v>
      </c>
      <c r="C28" s="47">
        <f>((('SLP States AggWorkings'!C28)*5)+(('ZKY States AggWorkings'!C28)*3))/8</f>
        <v>0</v>
      </c>
      <c r="D28" s="47">
        <f>((('SLP States AggWorkings'!D28)*5)+(('ZKY States AggWorkings'!D28)*3))/8</f>
        <v>0</v>
      </c>
      <c r="E28" s="47">
        <f>((('SLP States AggWorkings'!E28)*5)+(('ZKY States AggWorkings'!E28)*3))/8</f>
        <v>0</v>
      </c>
      <c r="F28" s="47">
        <f>((('SLP States AggWorkings'!F28)*5)+(('ZKY States AggWorkings'!F28)*3))/8</f>
        <v>0</v>
      </c>
      <c r="G28" s="47">
        <f>((('SLP States AggWorkings'!G28)*5)+(('ZKY States AggWorkings'!G28)*3))/8</f>
        <v>0</v>
      </c>
      <c r="H28" s="47">
        <f>((('SLP States AggWorkings'!H28)*5)+(('ZKY States AggWorkings'!H28)*3))/8</f>
        <v>0</v>
      </c>
      <c r="I28" s="47">
        <f>((('SLP States AggWorkings'!I28)*5)+(('ZKY States AggWorkings'!I28)*3))/8</f>
        <v>0</v>
      </c>
      <c r="J28" s="47">
        <f>((('SLP States AggWorkings'!J28)*5)+(('ZKY States AggWorkings'!J28)*3))/8</f>
        <v>0</v>
      </c>
      <c r="K28" s="47">
        <f>((('SLP States AggWorkings'!K28)*5)+(('ZKY States AggWorkings'!K28)*3))/8</f>
        <v>0</v>
      </c>
      <c r="L28" s="47">
        <f>((('SLP States AggWorkings'!L28)*5)+(('ZKY States AggWorkings'!L28)*3))/8</f>
        <v>0</v>
      </c>
      <c r="M28" s="47">
        <f>((('SLP States AggWorkings'!M28)*5)+(('ZKY States AggWorkings'!M28)*3))/8</f>
        <v>0</v>
      </c>
      <c r="N28" s="43">
        <f>((('SLP States AggWorkings'!N28)*5)+(('ZKY States AggWorkings'!N28)*3))/8</f>
        <v>2.8374999999999999</v>
      </c>
      <c r="O28" s="44">
        <f>((('SLP States AggWorkings'!O28)*5)+(('ZKY States AggWorkings'!O28)*3))/8</f>
        <v>2.9015624999999998</v>
      </c>
      <c r="P28" s="44">
        <f>((('SLP States AggWorkings'!P28)*5)+(('ZKY States AggWorkings'!P28)*3))/8</f>
        <v>2.9656249999999997</v>
      </c>
      <c r="Q28" s="44">
        <f>((('SLP States AggWorkings'!Q28)*5)+(('ZKY States AggWorkings'!Q28)*3))/8</f>
        <v>3.0296874999999996</v>
      </c>
      <c r="R28" s="43">
        <f>((('SLP States AggWorkings'!R28)*5)+(('ZKY States AggWorkings'!R28)*3))/8</f>
        <v>3.09375</v>
      </c>
      <c r="S28" s="44">
        <f>((('SLP States AggWorkings'!S28)*5)+(('ZKY States AggWorkings'!S28)*3))/8</f>
        <v>3.1614583333333335</v>
      </c>
      <c r="T28" s="44">
        <f>((('SLP States AggWorkings'!T28)*5)+(('ZKY States AggWorkings'!T28)*3))/8</f>
        <v>3.2291666666666665</v>
      </c>
      <c r="U28" s="44">
        <f>((('SLP States AggWorkings'!U28)*5)+(('ZKY States AggWorkings'!U28)*3))/8</f>
        <v>3.296875</v>
      </c>
      <c r="V28" s="44">
        <f>((('SLP States AggWorkings'!V28)*5)+(('ZKY States AggWorkings'!V28)*3))/8</f>
        <v>3.3645833333333335</v>
      </c>
      <c r="W28" s="44">
        <f>((('SLP States AggWorkings'!W28)*5)+(('ZKY States AggWorkings'!W28)*3)+(('A&amp;N States AggWorkings'!W28)*2))/10</f>
        <v>3.4758333333333327</v>
      </c>
      <c r="X28" s="44">
        <f>((('SLP States AggWorkings'!X28)*5)+(('ZKY States AggWorkings'!X28)*3)+(('A&amp;N States AggWorkings'!X28)*2))/10</f>
        <v>3.5666666666666664</v>
      </c>
      <c r="Y28" s="43">
        <f>((('SLP States AggWorkings'!Y28)*5)+(('ZKY States AggWorkings'!Y28)*3)+(('A&amp;N States AggWorkings'!Y28)*2))/10</f>
        <v>3.5799999999999996</v>
      </c>
      <c r="Z28" s="44">
        <f>((('SLP States AggWorkings'!Z28)*5)+(('ZKY States AggWorkings'!Z28)*3)+(('A&amp;N States AggWorkings'!Z28)*2))/10</f>
        <v>3.5799999999999996</v>
      </c>
      <c r="AA28" s="38">
        <v>5</v>
      </c>
      <c r="AB28" s="420">
        <f>AA28/22</f>
        <v>0.22727272727272727</v>
      </c>
      <c r="AD28" s="450">
        <f>V28</f>
        <v>3.3645833333333335</v>
      </c>
      <c r="AF28" s="339">
        <f t="shared" ref="AF28:AG29" si="8">IF($AG$1=16,R28,IF($AG$1=17,S28,IF($AG$1=18,T28,IF($AG$1=19,U28,IF($AG$1=20,V28,IF($AG$1=21,W28,IF($AG$1=22,X28,0)))))))</f>
        <v>3.4758333333333327</v>
      </c>
      <c r="AG28" s="339">
        <f t="shared" si="8"/>
        <v>3.5666666666666664</v>
      </c>
      <c r="AI28" s="338"/>
    </row>
    <row r="29" spans="1:42" s="340" customFormat="1" ht="15.75" thickBot="1">
      <c r="A29" s="45"/>
      <c r="B29" s="46" t="s">
        <v>140</v>
      </c>
      <c r="C29" s="47">
        <f>((('SLP States AggWorkings'!C29)*5)+(('ZKY States AggWorkings'!C29)*3))/8</f>
        <v>0</v>
      </c>
      <c r="D29" s="47">
        <f>((('SLP States AggWorkings'!D29)*5)+(('ZKY States AggWorkings'!D29)*3))/8</f>
        <v>0</v>
      </c>
      <c r="E29" s="47">
        <f>((('SLP States AggWorkings'!E29)*5)+(('ZKY States AggWorkings'!E29)*3))/8</f>
        <v>0</v>
      </c>
      <c r="F29" s="47">
        <f>((('SLP States AggWorkings'!F29)*5)+(('ZKY States AggWorkings'!F29)*3))/8</f>
        <v>0</v>
      </c>
      <c r="G29" s="47">
        <f>((('SLP States AggWorkings'!G29)*5)+(('ZKY States AggWorkings'!G29)*3))/8</f>
        <v>0</v>
      </c>
      <c r="H29" s="47">
        <f>((('SLP States AggWorkings'!H29)*5)+(('ZKY States AggWorkings'!H29)*3))/8</f>
        <v>0</v>
      </c>
      <c r="I29" s="47">
        <f>((('SLP States AggWorkings'!I29)*5)+(('ZKY States AggWorkings'!I29)*3))/8</f>
        <v>0</v>
      </c>
      <c r="J29" s="47">
        <f>((('SLP States AggWorkings'!J29)*5)+(('ZKY States AggWorkings'!J29)*3))/8</f>
        <v>0</v>
      </c>
      <c r="K29" s="47">
        <f>((('SLP States AggWorkings'!K29)*5)+(('ZKY States AggWorkings'!K29)*3))/8</f>
        <v>0</v>
      </c>
      <c r="L29" s="47">
        <f>((('SLP States AggWorkings'!L29)*5)+(('ZKY States AggWorkings'!L29)*3))/8</f>
        <v>0</v>
      </c>
      <c r="M29" s="47">
        <f>((('SLP States AggWorkings'!M29)*5)+(('ZKY States AggWorkings'!M29)*3))/8</f>
        <v>0</v>
      </c>
      <c r="N29" s="47">
        <f>((('SLP States AggWorkings'!N29)*5)+(('ZKY States AggWorkings'!N29)*3))/8</f>
        <v>2.8374999999999999</v>
      </c>
      <c r="O29" s="436">
        <f>((('SLP States AggWorkings'!O29)*5)+(('ZKY States AggWorkings'!O29)*3))/8</f>
        <v>2.5249999999999999</v>
      </c>
      <c r="P29" s="440">
        <f>((('SLP States AggWorkings'!P29)*5)+(('ZKY States AggWorkings'!P29)*3))/8</f>
        <v>2.9750000000000001</v>
      </c>
      <c r="Q29" s="440">
        <f>((('SLP States AggWorkings'!Q29)*5)+(('ZKY States AggWorkings'!Q29)*3))/8</f>
        <v>3.0375000000000001</v>
      </c>
      <c r="R29" s="437">
        <f>((('SLP States AggWorkings'!R29)*5)+(('ZKY States AggWorkings'!R29)*3))/8</f>
        <v>3.2</v>
      </c>
      <c r="S29" s="437">
        <f>((('SLP States AggWorkings'!S29)*5)+(('ZKY States AggWorkings'!S29)*3))/8</f>
        <v>3.2125000000000004</v>
      </c>
      <c r="T29" s="437">
        <f>((('SLP States AggWorkings'!T29)*5)+(('ZKY States AggWorkings'!T29)*3))/8</f>
        <v>3.4874999999999998</v>
      </c>
      <c r="U29" s="437">
        <f>((('SLP States AggWorkings'!U29)*5)+(('ZKY States AggWorkings'!U29)*3))/8</f>
        <v>3.5</v>
      </c>
      <c r="V29" s="438">
        <f>((('SLP States AggWorkings'!V29)*5)+(('ZKY States AggWorkings'!V29)*3))/8</f>
        <v>3.5875000000000004</v>
      </c>
      <c r="W29" s="80">
        <f>((('SLP States AggWorkings'!W29)*5)+(('ZKY States AggWorkings'!W29)*3)+(('A&amp;N States AggWorkings'!W29)*2))/10</f>
        <v>3.54</v>
      </c>
      <c r="X29" s="69">
        <f>((('SLP States AggWorkings'!X29)*5)+(('ZKY States AggWorkings'!X29)*3)+(('A&amp;N States AggWorkings'!X29)*2))/10</f>
        <v>3.6999999999999993</v>
      </c>
      <c r="Y29" s="69">
        <f>((('SLP States AggWorkings'!Y29)*5)+(('ZKY States AggWorkings'!Y29)*3)+(('A&amp;N States AggWorkings'!Y29)*2))/10</f>
        <v>0</v>
      </c>
      <c r="Z29" s="69">
        <f>((('SLP States AggWorkings'!Z29)*5)+(('ZKY States AggWorkings'!Z29)*3)+(('A&amp;N States AggWorkings'!Z29)*2))/10</f>
        <v>0</v>
      </c>
      <c r="AA29" s="49"/>
      <c r="AB29" s="421"/>
      <c r="AD29" s="341">
        <f>V29</f>
        <v>3.5875000000000004</v>
      </c>
      <c r="AE29" s="335"/>
      <c r="AF29" s="341">
        <f t="shared" si="8"/>
        <v>3.54</v>
      </c>
      <c r="AG29" s="341">
        <f t="shared" si="8"/>
        <v>3.6999999999999993</v>
      </c>
      <c r="AH29" s="342">
        <f>AG29</f>
        <v>3.6999999999999993</v>
      </c>
      <c r="AI29" s="342">
        <f>AG29</f>
        <v>3.6999999999999993</v>
      </c>
    </row>
    <row r="30" spans="1:42" s="340" customFormat="1">
      <c r="A30" s="45"/>
      <c r="B30" s="46"/>
      <c r="C30" s="48"/>
      <c r="D30" s="48"/>
      <c r="E30" s="48"/>
      <c r="F30" s="48"/>
      <c r="G30" s="48"/>
      <c r="H30" s="48"/>
      <c r="I30" s="48"/>
      <c r="J30" s="48"/>
      <c r="K30" s="48"/>
      <c r="L30" s="48"/>
      <c r="M30" s="48"/>
      <c r="N30" s="48"/>
      <c r="O30" s="48"/>
      <c r="P30" s="48"/>
      <c r="Q30" s="48"/>
      <c r="R30" s="48"/>
      <c r="S30" s="48"/>
      <c r="T30" s="48"/>
      <c r="U30" s="48"/>
      <c r="V30" s="48"/>
      <c r="W30" s="48"/>
      <c r="X30" s="48"/>
      <c r="Y30" s="48"/>
      <c r="Z30" s="48"/>
      <c r="AA30" s="49"/>
      <c r="AB30" s="421"/>
      <c r="AE30" s="335"/>
      <c r="AF30" s="343"/>
      <c r="AG30" s="343"/>
      <c r="AH30" s="335"/>
      <c r="AI30" s="338"/>
    </row>
    <row r="31" spans="1:42" ht="15.75" thickBot="1">
      <c r="A31" s="41" t="s">
        <v>39</v>
      </c>
      <c r="B31" s="42" t="s">
        <v>139</v>
      </c>
      <c r="C31" s="43">
        <f>'SLP States AggWorkings'!C31+'ZKY States AggWorkings'!C31</f>
        <v>0</v>
      </c>
      <c r="D31" s="73">
        <f>'SLP States AggWorkings'!D31+'ZKY States AggWorkings'!D31</f>
        <v>1.833333333333333</v>
      </c>
      <c r="E31" s="73">
        <f>'SLP States AggWorkings'!E31+'ZKY States AggWorkings'!E31</f>
        <v>3.6666666666666661</v>
      </c>
      <c r="F31" s="73">
        <f>'SLP States AggWorkings'!F31+'ZKY States AggWorkings'!F31</f>
        <v>5.5</v>
      </c>
      <c r="G31" s="73">
        <f>'SLP States AggWorkings'!G31+'ZKY States AggWorkings'!G31</f>
        <v>7.3333333333333321</v>
      </c>
      <c r="H31" s="73">
        <f>'SLP States AggWorkings'!H31+'ZKY States AggWorkings'!H31</f>
        <v>9.1666666666666643</v>
      </c>
      <c r="I31" s="74">
        <f>'SLP States AggWorkings'!I31+'ZKY States AggWorkings'!I31</f>
        <v>11</v>
      </c>
      <c r="J31" s="73">
        <f>'SLP States AggWorkings'!J31+'ZKY States AggWorkings'!J31</f>
        <v>12.833333333333336</v>
      </c>
      <c r="K31" s="73">
        <f>'SLP States AggWorkings'!K31+'ZKY States AggWorkings'!K31</f>
        <v>14.666666666666668</v>
      </c>
      <c r="L31" s="51">
        <f>'SLP States AggWorkings'!L31+'ZKY States AggWorkings'!L31</f>
        <v>16.5</v>
      </c>
      <c r="M31" s="51">
        <f>'SLP States AggWorkings'!M31+'ZKY States AggWorkings'!M31</f>
        <v>18.333333333333336</v>
      </c>
      <c r="N31" s="50">
        <f>'SLP States AggWorkings'!N31+'ZKY States AggWorkings'!N31</f>
        <v>22</v>
      </c>
      <c r="O31" s="51">
        <f>'SLP States AggWorkings'!O31+'ZKY States AggWorkings'!O31</f>
        <v>27.25</v>
      </c>
      <c r="P31" s="51">
        <f>'SLP States AggWorkings'!P31+'ZKY States AggWorkings'!P31</f>
        <v>32.5</v>
      </c>
      <c r="Q31" s="51">
        <f>'SLP States AggWorkings'!Q31+'ZKY States AggWorkings'!Q31</f>
        <v>37.75</v>
      </c>
      <c r="R31" s="50">
        <f>'SLP States AggWorkings'!R31+'ZKY States AggWorkings'!R31</f>
        <v>43</v>
      </c>
      <c r="S31" s="51">
        <f>'SLP States AggWorkings'!S31+'ZKY States AggWorkings'!S31</f>
        <v>45.5</v>
      </c>
      <c r="T31" s="51">
        <f>'SLP States AggWorkings'!T31+'ZKY States AggWorkings'!T31</f>
        <v>48.000000000000007</v>
      </c>
      <c r="U31" s="51">
        <f>'SLP States AggWorkings'!U31+'ZKY States AggWorkings'!U31</f>
        <v>50.5</v>
      </c>
      <c r="V31" s="51">
        <f>'SLP States AggWorkings'!V31+'ZKY States AggWorkings'!V31</f>
        <v>53.000000000000014</v>
      </c>
      <c r="W31" s="51">
        <f>'SLP States AggWorkings'!W31+'ZKY States AggWorkings'!W31+'A&amp;N States AggWorkings'!W31</f>
        <v>83.666666666666671</v>
      </c>
      <c r="X31" s="51">
        <f>'SLP States AggWorkings'!X31+'ZKY States AggWorkings'!X31+'A&amp;N States AggWorkings'!X31</f>
        <v>92.333333333333329</v>
      </c>
      <c r="Y31" s="50">
        <f>'SLP States AggWorkings'!Y31+'ZKY States AggWorkings'!Y31+'A&amp;N States AggWorkings'!Y31</f>
        <v>93</v>
      </c>
      <c r="Z31" s="51">
        <f>'SLP States AggWorkings'!Z31+'ZKY States AggWorkings'!Z31+'A&amp;N States AggWorkings'!Z31</f>
        <v>93</v>
      </c>
      <c r="AA31" s="38">
        <f>'SLP States AggWorkings'!AA31+'ZKY States AggWorkings'!AA31</f>
        <v>160</v>
      </c>
      <c r="AB31" s="457">
        <f>AA31/22</f>
        <v>7.2727272727272725</v>
      </c>
      <c r="AC31" s="340"/>
      <c r="AD31" s="451">
        <f>V31</f>
        <v>53.000000000000014</v>
      </c>
      <c r="AE31" s="346"/>
      <c r="AF31" s="453">
        <f t="shared" ref="AF31:AG32" si="9">IF($AG$1=16,R31,IF($AG$1=17,S31,IF($AG$1=18,T31,IF($AG$1=19,U31,IF($AG$1=20,V31,IF($AG$1=21,W31,IF($AG$1=22,X31,0)))))))</f>
        <v>83.666666666666671</v>
      </c>
      <c r="AG31" s="453">
        <f t="shared" si="9"/>
        <v>92.333333333333329</v>
      </c>
      <c r="AI31" s="338"/>
    </row>
    <row r="32" spans="1:42" s="340" customFormat="1" ht="15.75" thickBot="1">
      <c r="A32" s="45"/>
      <c r="B32" s="46" t="s">
        <v>140</v>
      </c>
      <c r="C32" s="79">
        <f>'SLP States AggWorkings'!C32+'ZKY States AggWorkings'!C32</f>
        <v>0</v>
      </c>
      <c r="D32" s="441">
        <f>'SLP States AggWorkings'!D32+'ZKY States AggWorkings'!D32</f>
        <v>1</v>
      </c>
      <c r="E32" s="442">
        <f>'SLP States AggWorkings'!E32+'ZKY States AggWorkings'!E32</f>
        <v>2</v>
      </c>
      <c r="F32" s="442">
        <f>'SLP States AggWorkings'!F32+'ZKY States AggWorkings'!F32</f>
        <v>2</v>
      </c>
      <c r="G32" s="442">
        <f>'SLP States AggWorkings'!G32+'ZKY States AggWorkings'!G32</f>
        <v>2</v>
      </c>
      <c r="H32" s="442">
        <f>'SLP States AggWorkings'!H32+'ZKY States AggWorkings'!H32</f>
        <v>3</v>
      </c>
      <c r="I32" s="442">
        <f>'SLP States AggWorkings'!I32+'ZKY States AggWorkings'!I32</f>
        <v>10</v>
      </c>
      <c r="J32" s="442">
        <f>'SLP States AggWorkings'!J32+'ZKY States AggWorkings'!J32</f>
        <v>9</v>
      </c>
      <c r="K32" s="442">
        <f>'SLP States AggWorkings'!K32+'ZKY States AggWorkings'!K32</f>
        <v>9</v>
      </c>
      <c r="L32" s="442">
        <f>'SLP States AggWorkings'!L32+'ZKY States AggWorkings'!L32</f>
        <v>21</v>
      </c>
      <c r="M32" s="442">
        <f>'SLP States AggWorkings'!M32+'ZKY States AggWorkings'!M32</f>
        <v>27</v>
      </c>
      <c r="N32" s="443">
        <f>'SLP States AggWorkings'!N32+'ZKY States AggWorkings'!N32</f>
        <v>29</v>
      </c>
      <c r="O32" s="444">
        <f>'SLP States AggWorkings'!O32+'ZKY States AggWorkings'!O32</f>
        <v>34</v>
      </c>
      <c r="P32" s="444">
        <f>'SLP States AggWorkings'!P32+'ZKY States AggWorkings'!P32</f>
        <v>44</v>
      </c>
      <c r="Q32" s="444">
        <f>'SLP States AggWorkings'!Q32+'ZKY States AggWorkings'!Q32</f>
        <v>55</v>
      </c>
      <c r="R32" s="442">
        <f>'SLP States AggWorkings'!R32+'ZKY States AggWorkings'!R32</f>
        <v>75</v>
      </c>
      <c r="S32" s="442">
        <f>'SLP States AggWorkings'!S32+'ZKY States AggWorkings'!S32</f>
        <v>90</v>
      </c>
      <c r="T32" s="442">
        <f>'SLP States AggWorkings'!T32+'ZKY States AggWorkings'!T32</f>
        <v>107</v>
      </c>
      <c r="U32" s="442">
        <f>'SLP States AggWorkings'!U32+'ZKY States AggWorkings'!U32</f>
        <v>117</v>
      </c>
      <c r="V32" s="445">
        <f>'SLP States AggWorkings'!V32+'ZKY States AggWorkings'!V32</f>
        <v>89</v>
      </c>
      <c r="W32" s="72">
        <f>'SLP States AggWorkings'!W32+'ZKY States AggWorkings'!W32+'A&amp;N States AggWorkings'!W32</f>
        <v>88</v>
      </c>
      <c r="X32" s="70">
        <f>'SLP States AggWorkings'!X32+'ZKY States AggWorkings'!X32+'A&amp;N States AggWorkings'!X32</f>
        <v>90</v>
      </c>
      <c r="Y32" s="70">
        <f>'SLP States AggWorkings'!Y32+'ZKY States AggWorkings'!Y32+'A&amp;N States AggWorkings'!Y32</f>
        <v>0</v>
      </c>
      <c r="Z32" s="70">
        <f>'SLP States AggWorkings'!Z32+'ZKY States AggWorkings'!Z32+'A&amp;N States AggWorkings'!Z32</f>
        <v>0</v>
      </c>
      <c r="AA32" s="49"/>
      <c r="AB32" s="421"/>
      <c r="AD32" s="452">
        <f>V32</f>
        <v>89</v>
      </c>
      <c r="AE32" s="346"/>
      <c r="AF32" s="452">
        <f t="shared" si="9"/>
        <v>88</v>
      </c>
      <c r="AG32" s="452">
        <f t="shared" si="9"/>
        <v>90</v>
      </c>
      <c r="AH32" s="342">
        <f>AG32</f>
        <v>90</v>
      </c>
      <c r="AI32" s="342">
        <f>AG32</f>
        <v>90</v>
      </c>
    </row>
    <row r="33" spans="1:42" s="340" customFormat="1">
      <c r="A33" s="45"/>
      <c r="B33" s="46"/>
      <c r="C33" s="53"/>
      <c r="D33" s="75"/>
      <c r="E33" s="75"/>
      <c r="F33" s="75"/>
      <c r="G33" s="75"/>
      <c r="H33" s="75"/>
      <c r="I33" s="75"/>
      <c r="J33" s="75"/>
      <c r="K33" s="75"/>
      <c r="L33" s="53"/>
      <c r="M33" s="53"/>
      <c r="N33" s="53"/>
      <c r="O33" s="53"/>
      <c r="P33" s="53"/>
      <c r="Q33" s="53"/>
      <c r="R33" s="53"/>
      <c r="S33" s="53"/>
      <c r="T33" s="53"/>
      <c r="U33" s="53"/>
      <c r="V33" s="53"/>
      <c r="W33" s="53"/>
      <c r="X33" s="53"/>
      <c r="Y33" s="53"/>
      <c r="Z33" s="53"/>
      <c r="AA33" s="49"/>
      <c r="AB33" s="421"/>
      <c r="AD33" s="345"/>
      <c r="AE33" s="346"/>
      <c r="AF33" s="454"/>
      <c r="AG33" s="454"/>
      <c r="AH33" s="335"/>
      <c r="AI33" s="338"/>
    </row>
    <row r="34" spans="1:42" ht="15.75" thickBot="1">
      <c r="A34" s="41" t="s">
        <v>185</v>
      </c>
      <c r="B34" s="42" t="s">
        <v>222</v>
      </c>
      <c r="C34" s="43">
        <f>'SLP States AggWorkings'!C34+'ZKY States AggWorkings'!C34</f>
        <v>0</v>
      </c>
      <c r="D34" s="73">
        <f>'SLP States AggWorkings'!D34+'ZKY States AggWorkings'!D34</f>
        <v>0.66666666666666663</v>
      </c>
      <c r="E34" s="73">
        <f>'SLP States AggWorkings'!E34+'ZKY States AggWorkings'!E34</f>
        <v>1.3333333333333333</v>
      </c>
      <c r="F34" s="73">
        <f>'SLP States AggWorkings'!F34+'ZKY States AggWorkings'!F34</f>
        <v>2</v>
      </c>
      <c r="G34" s="73">
        <f>'SLP States AggWorkings'!G34+'ZKY States AggWorkings'!G34</f>
        <v>2.6666666666666665</v>
      </c>
      <c r="H34" s="73">
        <f>'SLP States AggWorkings'!H34+'ZKY States AggWorkings'!H34</f>
        <v>3.333333333333333</v>
      </c>
      <c r="I34" s="74">
        <f>'SLP States AggWorkings'!I34+'ZKY States AggWorkings'!I34</f>
        <v>4</v>
      </c>
      <c r="J34" s="73">
        <f>'SLP States AggWorkings'!J34+'ZKY States AggWorkings'!J34</f>
        <v>5.166666666666667</v>
      </c>
      <c r="K34" s="73">
        <f>'SLP States AggWorkings'!K34+'ZKY States AggWorkings'!K34</f>
        <v>6.3333333333333339</v>
      </c>
      <c r="L34" s="51">
        <f>'SLP States AggWorkings'!L34+'ZKY States AggWorkings'!L34</f>
        <v>7.5</v>
      </c>
      <c r="M34" s="51">
        <f>'SLP States AggWorkings'!M34+'ZKY States AggWorkings'!M34</f>
        <v>8.6666666666666679</v>
      </c>
      <c r="N34" s="50">
        <f>'SLP States AggWorkings'!N34+'ZKY States AggWorkings'!N34</f>
        <v>11</v>
      </c>
      <c r="O34" s="51">
        <f>'SLP States AggWorkings'!O34+'ZKY States AggWorkings'!O34</f>
        <v>13.75</v>
      </c>
      <c r="P34" s="51">
        <f>'SLP States AggWorkings'!P34+'ZKY States AggWorkings'!P34</f>
        <v>16.5</v>
      </c>
      <c r="Q34" s="51">
        <f>'SLP States AggWorkings'!Q34+'ZKY States AggWorkings'!Q34</f>
        <v>19.25</v>
      </c>
      <c r="R34" s="50">
        <f>'SLP States AggWorkings'!R34+'ZKY States AggWorkings'!R34</f>
        <v>22</v>
      </c>
      <c r="S34" s="51">
        <f>'SLP States AggWorkings'!S34+'ZKY States AggWorkings'!S34</f>
        <v>23.833333333333332</v>
      </c>
      <c r="T34" s="51">
        <f>'SLP States AggWorkings'!T34+'ZKY States AggWorkings'!T34</f>
        <v>25.666666666666664</v>
      </c>
      <c r="U34" s="51">
        <f>'SLP States AggWorkings'!U34+'ZKY States AggWorkings'!U34</f>
        <v>27.5</v>
      </c>
      <c r="V34" s="51">
        <f>'SLP States AggWorkings'!V34+'ZKY States AggWorkings'!V34</f>
        <v>29.333333333333325</v>
      </c>
      <c r="W34" s="51">
        <f>'SLP States AggWorkings'!W34+'ZKY States AggWorkings'!W34+'A&amp;N States AggWorkings'!W34</f>
        <v>38.499999999999993</v>
      </c>
      <c r="X34" s="51">
        <f>'SLP States AggWorkings'!X34+'ZKY States AggWorkings'!X34+'A&amp;N States AggWorkings'!X34</f>
        <v>42.333333333333336</v>
      </c>
      <c r="Y34" s="50">
        <f>'SLP States AggWorkings'!Y34+'ZKY States AggWorkings'!Y34+'A&amp;N States AggWorkings'!Y34</f>
        <v>43</v>
      </c>
      <c r="Z34" s="51">
        <f>'SLP States AggWorkings'!Z34+'ZKY States AggWorkings'!Z34+'A&amp;N States AggWorkings'!Z34</f>
        <v>43</v>
      </c>
      <c r="AA34" s="38">
        <f>'SLP States AggWorkings'!AA34+'ZKY States AggWorkings'!AA34</f>
        <v>120</v>
      </c>
      <c r="AB34" s="457">
        <f>AA34/22</f>
        <v>5.4545454545454541</v>
      </c>
      <c r="AC34" s="340"/>
      <c r="AD34" s="451">
        <f>V34</f>
        <v>29.333333333333325</v>
      </c>
      <c r="AE34" s="346"/>
      <c r="AF34" s="453">
        <f t="shared" ref="AF34:AG35" si="10">IF($AG$1=16,R34,IF($AG$1=17,S34,IF($AG$1=18,T34,IF($AG$1=19,U34,IF($AG$1=20,V34,IF($AG$1=21,W34,IF($AG$1=22,X34,0)))))))</f>
        <v>38.499999999999993</v>
      </c>
      <c r="AG34" s="453">
        <f t="shared" si="10"/>
        <v>42.333333333333336</v>
      </c>
      <c r="AI34" s="338"/>
    </row>
    <row r="35" spans="1:42" s="340" customFormat="1" ht="15.75" thickBot="1">
      <c r="A35" s="45"/>
      <c r="B35" s="46" t="s">
        <v>223</v>
      </c>
      <c r="C35" s="79">
        <f>'SLP States AggWorkings'!C35+'ZKY States AggWorkings'!C35</f>
        <v>0</v>
      </c>
      <c r="D35" s="441">
        <f>'SLP States AggWorkings'!D35+'ZKY States AggWorkings'!D35</f>
        <v>0</v>
      </c>
      <c r="E35" s="442">
        <f>'SLP States AggWorkings'!E35+'ZKY States AggWorkings'!E35</f>
        <v>0</v>
      </c>
      <c r="F35" s="442">
        <f>'SLP States AggWorkings'!F35+'ZKY States AggWorkings'!F35</f>
        <v>0</v>
      </c>
      <c r="G35" s="442">
        <f>'SLP States AggWorkings'!G35+'ZKY States AggWorkings'!G35</f>
        <v>0</v>
      </c>
      <c r="H35" s="442">
        <f>'SLP States AggWorkings'!H35+'ZKY States AggWorkings'!H35</f>
        <v>1</v>
      </c>
      <c r="I35" s="442">
        <f>'SLP States AggWorkings'!I35+'ZKY States AggWorkings'!I35</f>
        <v>2</v>
      </c>
      <c r="J35" s="442">
        <f>'SLP States AggWorkings'!J35+'ZKY States AggWorkings'!J35</f>
        <v>2</v>
      </c>
      <c r="K35" s="442">
        <f>'SLP States AggWorkings'!K35+'ZKY States AggWorkings'!K35</f>
        <v>4</v>
      </c>
      <c r="L35" s="442">
        <f>'SLP States AggWorkings'!L35+'ZKY States AggWorkings'!L35</f>
        <v>8</v>
      </c>
      <c r="M35" s="442">
        <f>'SLP States AggWorkings'!M35+'ZKY States AggWorkings'!M35</f>
        <v>12</v>
      </c>
      <c r="N35" s="443">
        <f>'SLP States AggWorkings'!N35+'ZKY States AggWorkings'!N35</f>
        <v>16</v>
      </c>
      <c r="O35" s="444">
        <f>'SLP States AggWorkings'!O35+'ZKY States AggWorkings'!O35</f>
        <v>19</v>
      </c>
      <c r="P35" s="444">
        <f>'SLP States AggWorkings'!P35+'ZKY States AggWorkings'!P35</f>
        <v>27</v>
      </c>
      <c r="Q35" s="444">
        <f>'SLP States AggWorkings'!Q35+'ZKY States AggWorkings'!Q35</f>
        <v>29</v>
      </c>
      <c r="R35" s="442">
        <f>'SLP States AggWorkings'!R35+'ZKY States AggWorkings'!R35</f>
        <v>39</v>
      </c>
      <c r="S35" s="442">
        <f>'SLP States AggWorkings'!S35+'ZKY States AggWorkings'!S35</f>
        <v>35</v>
      </c>
      <c r="T35" s="442">
        <f>'SLP States AggWorkings'!T35+'ZKY States AggWorkings'!T35</f>
        <v>41</v>
      </c>
      <c r="U35" s="442">
        <f>'SLP States AggWorkings'!U35+'ZKY States AggWorkings'!U35</f>
        <v>48</v>
      </c>
      <c r="V35" s="445">
        <f>'SLP States AggWorkings'!V35+'ZKY States AggWorkings'!V35</f>
        <v>38</v>
      </c>
      <c r="W35" s="72">
        <f>'SLP States AggWorkings'!W35+'ZKY States AggWorkings'!W35+'A&amp;N States AggWorkings'!W35</f>
        <v>47</v>
      </c>
      <c r="X35" s="70">
        <f>'SLP States AggWorkings'!X35+'ZKY States AggWorkings'!X35+'A&amp;N States AggWorkings'!X35</f>
        <v>48</v>
      </c>
      <c r="Y35" s="70">
        <f>'SLP States AggWorkings'!Y35+'ZKY States AggWorkings'!Y35+'A&amp;N States AggWorkings'!Y35</f>
        <v>0</v>
      </c>
      <c r="Z35" s="70">
        <f>'SLP States AggWorkings'!Z35+'ZKY States AggWorkings'!Z35+'A&amp;N States AggWorkings'!Z35</f>
        <v>0</v>
      </c>
      <c r="AA35" s="49"/>
      <c r="AB35" s="421"/>
      <c r="AD35" s="452">
        <f>V35</f>
        <v>38</v>
      </c>
      <c r="AE35" s="346"/>
      <c r="AF35" s="452">
        <f t="shared" si="10"/>
        <v>47</v>
      </c>
      <c r="AG35" s="452">
        <f t="shared" si="10"/>
        <v>48</v>
      </c>
      <c r="AH35" s="342">
        <f>AG35</f>
        <v>48</v>
      </c>
      <c r="AI35" s="342">
        <f>AG35</f>
        <v>48</v>
      </c>
    </row>
    <row r="36" spans="1:42" s="340" customFormat="1">
      <c r="A36" s="45"/>
      <c r="B36" s="46"/>
      <c r="C36" s="53"/>
      <c r="D36" s="75"/>
      <c r="E36" s="75"/>
      <c r="F36" s="75"/>
      <c r="G36" s="75"/>
      <c r="H36" s="75"/>
      <c r="I36" s="75"/>
      <c r="J36" s="75"/>
      <c r="K36" s="75"/>
      <c r="L36" s="53"/>
      <c r="M36" s="53"/>
      <c r="N36" s="53"/>
      <c r="O36" s="53"/>
      <c r="P36" s="53"/>
      <c r="Q36" s="53"/>
      <c r="R36" s="53"/>
      <c r="S36" s="53"/>
      <c r="T36" s="53"/>
      <c r="U36" s="53"/>
      <c r="V36" s="53"/>
      <c r="W36" s="53"/>
      <c r="X36" s="53"/>
      <c r="Y36" s="53"/>
      <c r="Z36" s="53"/>
      <c r="AA36" s="49"/>
      <c r="AB36" s="421"/>
      <c r="AD36" s="345"/>
      <c r="AE36" s="346"/>
      <c r="AF36" s="454"/>
      <c r="AG36" s="454"/>
      <c r="AH36" s="335"/>
      <c r="AI36" s="338"/>
    </row>
    <row r="37" spans="1:42" ht="15.75" thickBot="1">
      <c r="A37" s="41" t="s">
        <v>184</v>
      </c>
      <c r="B37" s="42" t="s">
        <v>226</v>
      </c>
      <c r="C37" s="43">
        <f>'SLP States AggWorkings'!C37+'ZKY States AggWorkings'!C37</f>
        <v>0</v>
      </c>
      <c r="D37" s="73">
        <f>'SLP States AggWorkings'!D37+'ZKY States AggWorkings'!D37</f>
        <v>0.16666666666666666</v>
      </c>
      <c r="E37" s="73">
        <f>'SLP States AggWorkings'!E37+'ZKY States AggWorkings'!E37</f>
        <v>0.33333333333333331</v>
      </c>
      <c r="F37" s="73">
        <f>'SLP States AggWorkings'!F37+'ZKY States AggWorkings'!F37</f>
        <v>0.5</v>
      </c>
      <c r="G37" s="73">
        <f>'SLP States AggWorkings'!G37+'ZKY States AggWorkings'!G37</f>
        <v>0.66666666666666663</v>
      </c>
      <c r="H37" s="73">
        <f>'SLP States AggWorkings'!H37+'ZKY States AggWorkings'!H37</f>
        <v>0.83333333333333326</v>
      </c>
      <c r="I37" s="74">
        <f>'SLP States AggWorkings'!I37+'ZKY States AggWorkings'!I37</f>
        <v>1</v>
      </c>
      <c r="J37" s="73">
        <f>'SLP States AggWorkings'!J37+'ZKY States AggWorkings'!J37</f>
        <v>1.8333333333333335</v>
      </c>
      <c r="K37" s="73">
        <f>'SLP States AggWorkings'!K37+'ZKY States AggWorkings'!K37</f>
        <v>2.666666666666667</v>
      </c>
      <c r="L37" s="51">
        <f>'SLP States AggWorkings'!L37+'ZKY States AggWorkings'!L37</f>
        <v>3.5</v>
      </c>
      <c r="M37" s="51">
        <f>'SLP States AggWorkings'!M37+'ZKY States AggWorkings'!M37</f>
        <v>4.333333333333333</v>
      </c>
      <c r="N37" s="50">
        <f>'SLP States AggWorkings'!N37+'ZKY States AggWorkings'!N37</f>
        <v>6</v>
      </c>
      <c r="O37" s="51">
        <f>'SLP States AggWorkings'!O37+'ZKY States AggWorkings'!O37</f>
        <v>7.75</v>
      </c>
      <c r="P37" s="51">
        <f>'SLP States AggWorkings'!P37+'ZKY States AggWorkings'!P37</f>
        <v>9.5</v>
      </c>
      <c r="Q37" s="51">
        <f>'SLP States AggWorkings'!Q37+'ZKY States AggWorkings'!Q37</f>
        <v>11.25</v>
      </c>
      <c r="R37" s="50">
        <f>'SLP States AggWorkings'!R37+'ZKY States AggWorkings'!R37</f>
        <v>13</v>
      </c>
      <c r="S37" s="51">
        <f>'SLP States AggWorkings'!S37+'ZKY States AggWorkings'!S37</f>
        <v>14.499999999999998</v>
      </c>
      <c r="T37" s="51">
        <f>'SLP States AggWorkings'!T37+'ZKY States AggWorkings'!T37</f>
        <v>15.999999999999996</v>
      </c>
      <c r="U37" s="51">
        <f>'SLP States AggWorkings'!U37+'ZKY States AggWorkings'!U37</f>
        <v>17.5</v>
      </c>
      <c r="V37" s="51">
        <f>'SLP States AggWorkings'!V37+'ZKY States AggWorkings'!V37</f>
        <v>18.999999999999996</v>
      </c>
      <c r="W37" s="51">
        <f>'SLP States AggWorkings'!W37+'ZKY States AggWorkings'!W37+'A&amp;N States AggWorkings'!W37</f>
        <v>28</v>
      </c>
      <c r="X37" s="51">
        <f>'SLP States AggWorkings'!X37+'ZKY States AggWorkings'!X37+'A&amp;N States AggWorkings'!X37</f>
        <v>31</v>
      </c>
      <c r="Y37" s="50">
        <f>'SLP States AggWorkings'!Y37+'ZKY States AggWorkings'!Y37+'A&amp;N States AggWorkings'!Y37</f>
        <v>31</v>
      </c>
      <c r="Z37" s="51">
        <f>'SLP States AggWorkings'!Z37+'ZKY States AggWorkings'!Z37+'A&amp;N States AggWorkings'!Z37</f>
        <v>31</v>
      </c>
      <c r="AA37" s="38">
        <f>'SLP States AggWorkings'!AA37+'ZKY States AggWorkings'!AA37</f>
        <v>80</v>
      </c>
      <c r="AB37" s="457">
        <f>AA37/22</f>
        <v>3.6363636363636362</v>
      </c>
      <c r="AC37" s="340"/>
      <c r="AD37" s="451">
        <f>V37</f>
        <v>18.999999999999996</v>
      </c>
      <c r="AE37" s="346"/>
      <c r="AF37" s="453">
        <f t="shared" ref="AF37:AG38" si="11">IF($AG$1=16,R37,IF($AG$1=17,S37,IF($AG$1=18,T37,IF($AG$1=19,U37,IF($AG$1=20,V37,IF($AG$1=21,W37,IF($AG$1=22,X37,0)))))))</f>
        <v>28</v>
      </c>
      <c r="AG37" s="453">
        <f t="shared" si="11"/>
        <v>31</v>
      </c>
      <c r="AI37" s="338"/>
    </row>
    <row r="38" spans="1:42" s="340" customFormat="1" ht="15.75" thickBot="1">
      <c r="A38" s="45"/>
      <c r="B38" s="46" t="s">
        <v>227</v>
      </c>
      <c r="C38" s="79">
        <f>'SLP States AggWorkings'!C38+'ZKY States AggWorkings'!C38</f>
        <v>0</v>
      </c>
      <c r="D38" s="441">
        <f>'SLP States AggWorkings'!D38+'ZKY States AggWorkings'!D38</f>
        <v>0</v>
      </c>
      <c r="E38" s="442">
        <f>'SLP States AggWorkings'!E38+'ZKY States AggWorkings'!E38</f>
        <v>0</v>
      </c>
      <c r="F38" s="442">
        <f>'SLP States AggWorkings'!F38+'ZKY States AggWorkings'!F38</f>
        <v>0</v>
      </c>
      <c r="G38" s="442">
        <f>'SLP States AggWorkings'!G38+'ZKY States AggWorkings'!G38</f>
        <v>0</v>
      </c>
      <c r="H38" s="442">
        <f>'SLP States AggWorkings'!H38+'ZKY States AggWorkings'!H38</f>
        <v>0</v>
      </c>
      <c r="I38" s="442">
        <f>'SLP States AggWorkings'!I38+'ZKY States AggWorkings'!I38</f>
        <v>0</v>
      </c>
      <c r="J38" s="442">
        <f>'SLP States AggWorkings'!J38+'ZKY States AggWorkings'!J38</f>
        <v>0</v>
      </c>
      <c r="K38" s="442">
        <f>'SLP States AggWorkings'!K38+'ZKY States AggWorkings'!K38</f>
        <v>0</v>
      </c>
      <c r="L38" s="442">
        <f>'SLP States AggWorkings'!L38+'ZKY States AggWorkings'!L38</f>
        <v>0</v>
      </c>
      <c r="M38" s="442">
        <f>'SLP States AggWorkings'!M38+'ZKY States AggWorkings'!M38</f>
        <v>5</v>
      </c>
      <c r="N38" s="443">
        <f>'SLP States AggWorkings'!N38+'ZKY States AggWorkings'!N38</f>
        <v>6</v>
      </c>
      <c r="O38" s="444">
        <f>'SLP States AggWorkings'!O38+'ZKY States AggWorkings'!O38</f>
        <v>6</v>
      </c>
      <c r="P38" s="444">
        <f>'SLP States AggWorkings'!P38+'ZKY States AggWorkings'!P38</f>
        <v>12</v>
      </c>
      <c r="Q38" s="444">
        <f>'SLP States AggWorkings'!Q38+'ZKY States AggWorkings'!Q38</f>
        <v>14</v>
      </c>
      <c r="R38" s="442">
        <f>'SLP States AggWorkings'!R38+'ZKY States AggWorkings'!R38</f>
        <v>22</v>
      </c>
      <c r="S38" s="442">
        <f>'SLP States AggWorkings'!S38+'ZKY States AggWorkings'!S38</f>
        <v>18</v>
      </c>
      <c r="T38" s="442">
        <f>'SLP States AggWorkings'!T38+'ZKY States AggWorkings'!T38</f>
        <v>23</v>
      </c>
      <c r="U38" s="442">
        <f>'SLP States AggWorkings'!U38+'ZKY States AggWorkings'!U38</f>
        <v>26</v>
      </c>
      <c r="V38" s="445">
        <f>'SLP States AggWorkings'!V38+'ZKY States AggWorkings'!V38</f>
        <v>27</v>
      </c>
      <c r="W38" s="72">
        <f>'SLP States AggWorkings'!W38+'ZKY States AggWorkings'!W38+'A&amp;N States AggWorkings'!W38</f>
        <v>42</v>
      </c>
      <c r="X38" s="70">
        <f>'SLP States AggWorkings'!X38+'ZKY States AggWorkings'!X38+'A&amp;N States AggWorkings'!X38</f>
        <v>43</v>
      </c>
      <c r="Y38" s="70">
        <f>'SLP States AggWorkings'!Y38+'ZKY States AggWorkings'!Y38+'A&amp;N States AggWorkings'!Y38</f>
        <v>0</v>
      </c>
      <c r="Z38" s="70">
        <f>'SLP States AggWorkings'!Z38+'ZKY States AggWorkings'!Z38+'A&amp;N States AggWorkings'!Z38</f>
        <v>0</v>
      </c>
      <c r="AA38" s="49"/>
      <c r="AB38" s="421"/>
      <c r="AD38" s="452">
        <f>V38</f>
        <v>27</v>
      </c>
      <c r="AE38" s="346"/>
      <c r="AF38" s="452">
        <f t="shared" si="11"/>
        <v>42</v>
      </c>
      <c r="AG38" s="452">
        <f t="shared" si="11"/>
        <v>43</v>
      </c>
      <c r="AH38" s="342">
        <f>AG38</f>
        <v>43</v>
      </c>
      <c r="AI38" s="342">
        <f>AG38</f>
        <v>43</v>
      </c>
    </row>
    <row r="39" spans="1:42" s="340" customFormat="1">
      <c r="A39" s="45"/>
      <c r="B39" s="46"/>
      <c r="C39" s="53"/>
      <c r="D39" s="75"/>
      <c r="E39" s="75"/>
      <c r="F39" s="75"/>
      <c r="G39" s="75"/>
      <c r="H39" s="75"/>
      <c r="I39" s="75"/>
      <c r="J39" s="75"/>
      <c r="K39" s="75"/>
      <c r="L39" s="53"/>
      <c r="M39" s="53"/>
      <c r="N39" s="53"/>
      <c r="O39" s="53"/>
      <c r="P39" s="53"/>
      <c r="Q39" s="53"/>
      <c r="R39" s="53"/>
      <c r="S39" s="53"/>
      <c r="T39" s="53"/>
      <c r="U39" s="53"/>
      <c r="V39" s="53"/>
      <c r="W39" s="53"/>
      <c r="X39" s="53"/>
      <c r="Y39" s="53"/>
      <c r="Z39" s="53"/>
      <c r="AA39" s="49"/>
      <c r="AB39" s="421"/>
      <c r="AD39" s="345"/>
      <c r="AE39" s="346"/>
      <c r="AF39" s="454"/>
      <c r="AG39" s="454"/>
      <c r="AH39" s="335"/>
      <c r="AI39" s="338"/>
    </row>
    <row r="40" spans="1:42" ht="15.75" thickBot="1">
      <c r="A40" s="41" t="s">
        <v>183</v>
      </c>
      <c r="B40" s="42" t="s">
        <v>224</v>
      </c>
      <c r="C40" s="43">
        <f>'SLP States AggWorkings'!C40+'ZKY States AggWorkings'!C40</f>
        <v>0</v>
      </c>
      <c r="D40" s="73">
        <f>'SLP States AggWorkings'!D40+'ZKY States AggWorkings'!D40</f>
        <v>0</v>
      </c>
      <c r="E40" s="73">
        <f>'SLP States AggWorkings'!E40+'ZKY States AggWorkings'!E40</f>
        <v>0</v>
      </c>
      <c r="F40" s="73">
        <f>'SLP States AggWorkings'!F40+'ZKY States AggWorkings'!F40</f>
        <v>0</v>
      </c>
      <c r="G40" s="73">
        <f>'SLP States AggWorkings'!G40+'ZKY States AggWorkings'!G40</f>
        <v>0</v>
      </c>
      <c r="H40" s="73">
        <f>'SLP States AggWorkings'!H40+'ZKY States AggWorkings'!H40</f>
        <v>0</v>
      </c>
      <c r="I40" s="74">
        <f>'SLP States AggWorkings'!I40+'ZKY States AggWorkings'!I40</f>
        <v>0</v>
      </c>
      <c r="J40" s="73">
        <f>'SLP States AggWorkings'!J40+'ZKY States AggWorkings'!J40</f>
        <v>0.16666666666666666</v>
      </c>
      <c r="K40" s="73">
        <f>'SLP States AggWorkings'!K40+'ZKY States AggWorkings'!K40</f>
        <v>0.33333333333333331</v>
      </c>
      <c r="L40" s="51">
        <f>'SLP States AggWorkings'!L40+'ZKY States AggWorkings'!L40</f>
        <v>0.5</v>
      </c>
      <c r="M40" s="51">
        <f>'SLP States AggWorkings'!M40+'ZKY States AggWorkings'!M40</f>
        <v>0.66666666666666663</v>
      </c>
      <c r="N40" s="50">
        <f>'SLP States AggWorkings'!N40+'ZKY States AggWorkings'!N40</f>
        <v>1</v>
      </c>
      <c r="O40" s="51">
        <f>'SLP States AggWorkings'!O40+'ZKY States AggWorkings'!O40</f>
        <v>1.75</v>
      </c>
      <c r="P40" s="51">
        <f>'SLP States AggWorkings'!P40+'ZKY States AggWorkings'!P40</f>
        <v>2.5</v>
      </c>
      <c r="Q40" s="51">
        <f>'SLP States AggWorkings'!Q40+'ZKY States AggWorkings'!Q40</f>
        <v>3.25</v>
      </c>
      <c r="R40" s="50">
        <f>'SLP States AggWorkings'!R40+'ZKY States AggWorkings'!R40</f>
        <v>4</v>
      </c>
      <c r="S40" s="51">
        <f>'SLP States AggWorkings'!S40+'ZKY States AggWorkings'!S40</f>
        <v>4.833333333333333</v>
      </c>
      <c r="T40" s="51">
        <f>'SLP States AggWorkings'!T40+'ZKY States AggWorkings'!T40</f>
        <v>5.666666666666667</v>
      </c>
      <c r="U40" s="51">
        <f>'SLP States AggWorkings'!U40+'ZKY States AggWorkings'!U40</f>
        <v>6.5</v>
      </c>
      <c r="V40" s="51">
        <f>'SLP States AggWorkings'!V40+'ZKY States AggWorkings'!V40</f>
        <v>7.3333333333333339</v>
      </c>
      <c r="W40" s="51">
        <f>'SLP States AggWorkings'!W40+'ZKY States AggWorkings'!W40+'A&amp;N States AggWorkings'!W40</f>
        <v>7.333333333333333</v>
      </c>
      <c r="X40" s="51">
        <f>'SLP States AggWorkings'!X40+'ZKY States AggWorkings'!X40+'A&amp;N States AggWorkings'!X40</f>
        <v>8</v>
      </c>
      <c r="Y40" s="50">
        <f>'SLP States AggWorkings'!Y40+'ZKY States AggWorkings'!Y40+'A&amp;N States AggWorkings'!Y40</f>
        <v>8</v>
      </c>
      <c r="Z40" s="51">
        <f>'SLP States AggWorkings'!Z40+'ZKY States AggWorkings'!Z40+'A&amp;N States AggWorkings'!Z40</f>
        <v>8</v>
      </c>
      <c r="AA40" s="38">
        <f>'SLP States AggWorkings'!AA40+'ZKY States AggWorkings'!AA40</f>
        <v>40</v>
      </c>
      <c r="AB40" s="457">
        <f>AA40/22</f>
        <v>1.8181818181818181</v>
      </c>
      <c r="AC40" s="340"/>
      <c r="AD40" s="451">
        <f>V40</f>
        <v>7.3333333333333339</v>
      </c>
      <c r="AE40" s="346"/>
      <c r="AF40" s="453">
        <f t="shared" ref="AF40:AG41" si="12">IF($AG$1=16,R40,IF($AG$1=17,S40,IF($AG$1=18,T40,IF($AG$1=19,U40,IF($AG$1=20,V40,IF($AG$1=21,W40,IF($AG$1=22,X40,0)))))))</f>
        <v>7.333333333333333</v>
      </c>
      <c r="AG40" s="453">
        <f t="shared" si="12"/>
        <v>8</v>
      </c>
      <c r="AI40" s="338"/>
    </row>
    <row r="41" spans="1:42" s="340" customFormat="1" ht="15.75" thickBot="1">
      <c r="A41" s="45"/>
      <c r="B41" s="46" t="s">
        <v>225</v>
      </c>
      <c r="C41" s="79">
        <f>'SLP States AggWorkings'!C41+'ZKY States AggWorkings'!C41</f>
        <v>0</v>
      </c>
      <c r="D41" s="441">
        <f>'SLP States AggWorkings'!D41+'ZKY States AggWorkings'!D41</f>
        <v>0</v>
      </c>
      <c r="E41" s="442">
        <f>'SLP States AggWorkings'!E41+'ZKY States AggWorkings'!E41</f>
        <v>0</v>
      </c>
      <c r="F41" s="442">
        <f>'SLP States AggWorkings'!F41+'ZKY States AggWorkings'!F41</f>
        <v>0</v>
      </c>
      <c r="G41" s="442">
        <f>'SLP States AggWorkings'!G41+'ZKY States AggWorkings'!G41</f>
        <v>0</v>
      </c>
      <c r="H41" s="442">
        <f>'SLP States AggWorkings'!H41+'ZKY States AggWorkings'!H41</f>
        <v>0</v>
      </c>
      <c r="I41" s="442">
        <f>'SLP States AggWorkings'!I41+'ZKY States AggWorkings'!I41</f>
        <v>0</v>
      </c>
      <c r="J41" s="442">
        <f>'SLP States AggWorkings'!J41+'ZKY States AggWorkings'!J41</f>
        <v>0</v>
      </c>
      <c r="K41" s="442">
        <f>'SLP States AggWorkings'!K41+'ZKY States AggWorkings'!K41</f>
        <v>0</v>
      </c>
      <c r="L41" s="442">
        <f>'SLP States AggWorkings'!L41+'ZKY States AggWorkings'!L41</f>
        <v>0</v>
      </c>
      <c r="M41" s="442">
        <f>'SLP States AggWorkings'!M41+'ZKY States AggWorkings'!M41</f>
        <v>0</v>
      </c>
      <c r="N41" s="443">
        <f>'SLP States AggWorkings'!N41+'ZKY States AggWorkings'!N41</f>
        <v>0</v>
      </c>
      <c r="O41" s="444">
        <f>'SLP States AggWorkings'!O41+'ZKY States AggWorkings'!O41</f>
        <v>0</v>
      </c>
      <c r="P41" s="444">
        <f>'SLP States AggWorkings'!P41+'ZKY States AggWorkings'!P41</f>
        <v>0</v>
      </c>
      <c r="Q41" s="444">
        <f>'SLP States AggWorkings'!Q41+'ZKY States AggWorkings'!Q41</f>
        <v>1</v>
      </c>
      <c r="R41" s="442">
        <f>'SLP States AggWorkings'!R41+'ZKY States AggWorkings'!R41</f>
        <v>4</v>
      </c>
      <c r="S41" s="442">
        <f>'SLP States AggWorkings'!S41+'ZKY States AggWorkings'!S41</f>
        <v>6</v>
      </c>
      <c r="T41" s="442">
        <f>'SLP States AggWorkings'!T41+'ZKY States AggWorkings'!T41</f>
        <v>8</v>
      </c>
      <c r="U41" s="442">
        <f>'SLP States AggWorkings'!U41+'ZKY States AggWorkings'!U41</f>
        <v>13</v>
      </c>
      <c r="V41" s="445">
        <f>'SLP States AggWorkings'!V41+'ZKY States AggWorkings'!V41</f>
        <v>3</v>
      </c>
      <c r="W41" s="72">
        <f>'SLP States AggWorkings'!W41+'ZKY States AggWorkings'!W41+'A&amp;N States AggWorkings'!W41</f>
        <v>3</v>
      </c>
      <c r="X41" s="70">
        <f>'SLP States AggWorkings'!X41+'ZKY States AggWorkings'!X41+'A&amp;N States AggWorkings'!X41</f>
        <v>3</v>
      </c>
      <c r="Y41" s="70">
        <f>'SLP States AggWorkings'!Y41+'ZKY States AggWorkings'!Y41+'A&amp;N States AggWorkings'!Y41</f>
        <v>0</v>
      </c>
      <c r="Z41" s="70">
        <f>'SLP States AggWorkings'!Z41+'ZKY States AggWorkings'!Z41+'A&amp;N States AggWorkings'!Z41</f>
        <v>0</v>
      </c>
      <c r="AA41" s="49"/>
      <c r="AB41" s="421"/>
      <c r="AD41" s="452">
        <f>V41</f>
        <v>3</v>
      </c>
      <c r="AE41" s="346"/>
      <c r="AF41" s="452">
        <f t="shared" si="12"/>
        <v>3</v>
      </c>
      <c r="AG41" s="452">
        <f t="shared" si="12"/>
        <v>3</v>
      </c>
      <c r="AH41" s="342">
        <f>AG41</f>
        <v>3</v>
      </c>
      <c r="AI41" s="342">
        <f>AG41</f>
        <v>3</v>
      </c>
    </row>
    <row r="42" spans="1:42" s="340" customFormat="1">
      <c r="A42" s="45"/>
      <c r="B42" s="46"/>
      <c r="C42" s="48"/>
      <c r="D42" s="83"/>
      <c r="E42" s="83"/>
      <c r="F42" s="83"/>
      <c r="G42" s="83"/>
      <c r="H42" s="83"/>
      <c r="I42" s="83"/>
      <c r="J42" s="83"/>
      <c r="K42" s="83"/>
      <c r="L42" s="48"/>
      <c r="M42" s="48"/>
      <c r="N42" s="48"/>
      <c r="O42" s="48"/>
      <c r="P42" s="48"/>
      <c r="Q42" s="48"/>
      <c r="R42" s="48"/>
      <c r="S42" s="48"/>
      <c r="T42" s="48"/>
      <c r="U42" s="48"/>
      <c r="V42" s="48"/>
      <c r="W42" s="48"/>
      <c r="X42" s="48"/>
      <c r="Y42" s="48"/>
      <c r="Z42" s="48"/>
      <c r="AA42" s="49"/>
      <c r="AB42" s="421"/>
      <c r="AE42" s="335"/>
      <c r="AH42" s="335"/>
      <c r="AI42" s="338"/>
    </row>
    <row r="43" spans="1:42" ht="15.75" thickBot="1">
      <c r="A43" s="41" t="s">
        <v>16</v>
      </c>
      <c r="B43" s="42" t="s">
        <v>139</v>
      </c>
      <c r="C43" s="43" t="e">
        <f>((('SLP States AggWorkings'!C43)*5)+(('ZKY States AggWorkings'!C43)*3))/8</f>
        <v>#VALUE!</v>
      </c>
      <c r="D43" s="81" t="e">
        <f>((('SLP States AggWorkings'!D43)*5)+(('ZKY States AggWorkings'!D43)*3))/8</f>
        <v>#VALUE!</v>
      </c>
      <c r="E43" s="81" t="e">
        <f>((('SLP States AggWorkings'!E43)*5)+(('ZKY States AggWorkings'!E43)*3))/8</f>
        <v>#VALUE!</v>
      </c>
      <c r="F43" s="81" t="e">
        <f>((('SLP States AggWorkings'!F43)*5)+(('ZKY States AggWorkings'!F43)*3))/8</f>
        <v>#VALUE!</v>
      </c>
      <c r="G43" s="81" t="e">
        <f>((('SLP States AggWorkings'!G43)*5)+(('ZKY States AggWorkings'!G43)*3))/8</f>
        <v>#VALUE!</v>
      </c>
      <c r="H43" s="81" t="e">
        <f>((('SLP States AggWorkings'!H43)*5)+(('ZKY States AggWorkings'!H43)*3))/8</f>
        <v>#VALUE!</v>
      </c>
      <c r="I43" s="82">
        <f>((('SLP States AggWorkings'!I43)*5)+(('ZKY States AggWorkings'!I43)*3))/8</f>
        <v>1.625</v>
      </c>
      <c r="J43" s="81">
        <f>((('SLP States AggWorkings'!J43)*5)+(('ZKY States AggWorkings'!J43)*3))/8</f>
        <v>1.708333333333333</v>
      </c>
      <c r="K43" s="81">
        <f>((('SLP States AggWorkings'!K43)*5)+(('ZKY States AggWorkings'!K43)*3))/8</f>
        <v>1.791666666666667</v>
      </c>
      <c r="L43" s="44">
        <f>((('SLP States AggWorkings'!L43)*5)+(('ZKY States AggWorkings'!L43)*3))/8</f>
        <v>1.875</v>
      </c>
      <c r="M43" s="44">
        <f>((('SLP States AggWorkings'!M43)*5)+(('ZKY States AggWorkings'!M43)*3))/8</f>
        <v>1.958333333333333</v>
      </c>
      <c r="N43" s="43">
        <f>((('SLP States AggWorkings'!N43)*5)+(('ZKY States AggWorkings'!N43)*3))/8</f>
        <v>2.125</v>
      </c>
      <c r="O43" s="44">
        <f>((('SLP States AggWorkings'!O43)*5)+(('ZKY States AggWorkings'!O43)*3))/8</f>
        <v>2.2406250000000001</v>
      </c>
      <c r="P43" s="44">
        <f>((('SLP States AggWorkings'!P43)*5)+(('ZKY States AggWorkings'!P43)*3))/8</f>
        <v>2.3562500000000002</v>
      </c>
      <c r="Q43" s="44">
        <f>((('SLP States AggWorkings'!Q43)*5)+(('ZKY States AggWorkings'!Q43)*3))/8</f>
        <v>2.4718749999999998</v>
      </c>
      <c r="R43" s="43">
        <f>((('SLP States AggWorkings'!R43)*5)+(('ZKY States AggWorkings'!R43)*3))/8</f>
        <v>2.5875000000000004</v>
      </c>
      <c r="S43" s="44">
        <f>((('SLP States AggWorkings'!S43)*5)+(('ZKY States AggWorkings'!S43)*3))/8</f>
        <v>2.7104166666666667</v>
      </c>
      <c r="T43" s="44">
        <f>((('SLP States AggWorkings'!T43)*5)+(('ZKY States AggWorkings'!T43)*3))/8</f>
        <v>2.833333333333333</v>
      </c>
      <c r="U43" s="44">
        <f>((('SLP States AggWorkings'!U43)*5)+(('ZKY States AggWorkings'!U43)*3))/8</f>
        <v>2.9562499999999998</v>
      </c>
      <c r="V43" s="44">
        <f>((('SLP States AggWorkings'!V43)*5)+(('ZKY States AggWorkings'!V43)*3))/8</f>
        <v>3.0791666666666666</v>
      </c>
      <c r="W43" s="44">
        <f>((('SLP States AggWorkings'!W43)*5)+(('ZKY States AggWorkings'!W43)*3)+(('A&amp;N States AggWorkings'!W43)*2))/10</f>
        <v>3.0349999999999997</v>
      </c>
      <c r="X43" s="44">
        <f>((('SLP States AggWorkings'!X43)*5)+(('ZKY States AggWorkings'!X43)*3)+(('A&amp;N States AggWorkings'!X43)*2))/10</f>
        <v>3.2033333333333331</v>
      </c>
      <c r="Y43" s="43">
        <f>((('SLP States AggWorkings'!Y43)*5)+(('ZKY States AggWorkings'!Y43)*3)+(('A&amp;N States AggWorkings'!Y43)*2))/10</f>
        <v>3.2299999999999995</v>
      </c>
      <c r="Z43" s="44">
        <f>((('SLP States AggWorkings'!Z43)*5)+(('ZKY States AggWorkings'!Z43)*3)+(('A&amp;N States AggWorkings'!Z43)*2))/10</f>
        <v>3.2299999999999995</v>
      </c>
      <c r="AA43" s="38">
        <v>5</v>
      </c>
      <c r="AB43" s="420">
        <f>AA43/22</f>
        <v>0.22727272727272727</v>
      </c>
      <c r="AC43" s="340"/>
      <c r="AD43" s="450">
        <f>V43</f>
        <v>3.0791666666666666</v>
      </c>
      <c r="AF43" s="339">
        <f t="shared" ref="AF43:AG44" si="13">IF($AG$1=16,R43,IF($AG$1=17,S43,IF($AG$1=18,T43,IF($AG$1=19,U43,IF($AG$1=20,V43,IF($AG$1=21,W43,IF($AG$1=22,X43,0)))))))</f>
        <v>3.0349999999999997</v>
      </c>
      <c r="AG43" s="339">
        <f t="shared" si="13"/>
        <v>3.2033333333333331</v>
      </c>
      <c r="AI43" s="338"/>
      <c r="AK43" s="462">
        <f>(AD43+AD46+((AD49)/2/8))/3</f>
        <v>2.6423611111111112</v>
      </c>
      <c r="AM43" s="460">
        <f>(AF43+AF46+((AF49)/2/8))/3</f>
        <v>3.0445833333333332</v>
      </c>
      <c r="AN43" s="460">
        <f>(AG43+AG46+((AG49)/2/8))/3</f>
        <v>3.2772222222222225</v>
      </c>
      <c r="AO43" s="758" t="s">
        <v>1108</v>
      </c>
    </row>
    <row r="44" spans="1:42" s="340" customFormat="1" ht="15.75" thickBot="1">
      <c r="A44" s="45"/>
      <c r="B44" s="46" t="s">
        <v>140</v>
      </c>
      <c r="C44" s="79" t="e">
        <f>((('SLP States AggWorkings'!C44)*5)+(('ZKY States AggWorkings'!C44)*3))/8</f>
        <v>#VALUE!</v>
      </c>
      <c r="D44" s="436">
        <f>((('SLP States AggWorkings'!D44)*5)+(('ZKY States AggWorkings'!D44)*3))/8</f>
        <v>0.67500000000000004</v>
      </c>
      <c r="E44" s="437">
        <f>((('SLP States AggWorkings'!E44)*5)+(('ZKY States AggWorkings'!E44)*3))/8</f>
        <v>0.6875</v>
      </c>
      <c r="F44" s="437">
        <f>((('SLP States AggWorkings'!F44)*5)+(('ZKY States AggWorkings'!F44)*3))/8</f>
        <v>0.71250000000000013</v>
      </c>
      <c r="G44" s="437">
        <f>((('SLP States AggWorkings'!G44)*5)+(('ZKY States AggWorkings'!G44)*3))/8</f>
        <v>0.73750000000000004</v>
      </c>
      <c r="H44" s="437">
        <f>((('SLP States AggWorkings'!H44)*5)+(('ZKY States AggWorkings'!H44)*3))/8</f>
        <v>0.75</v>
      </c>
      <c r="I44" s="437">
        <f>((('SLP States AggWorkings'!I44)*5)+(('ZKY States AggWorkings'!I44)*3))/8</f>
        <v>1.3</v>
      </c>
      <c r="J44" s="437">
        <f>((('SLP States AggWorkings'!J44)*5)+(('ZKY States AggWorkings'!J44)*3))/8</f>
        <v>1.4</v>
      </c>
      <c r="K44" s="437">
        <f>((('SLP States AggWorkings'!K44)*5)+(('ZKY States AggWorkings'!K44)*3))/8</f>
        <v>1.4</v>
      </c>
      <c r="L44" s="437">
        <f>((('SLP States AggWorkings'!L44)*5)+(('ZKY States AggWorkings'!L44)*3))/8</f>
        <v>1.3125</v>
      </c>
      <c r="M44" s="437">
        <f>((('SLP States AggWorkings'!M44)*5)+(('ZKY States AggWorkings'!M44)*3))/8</f>
        <v>1.5625</v>
      </c>
      <c r="N44" s="439">
        <f>((('SLP States AggWorkings'!N44)*5)+(('ZKY States AggWorkings'!N44)*3))/8</f>
        <v>2.0125000000000002</v>
      </c>
      <c r="O44" s="440">
        <f>((('SLP States AggWorkings'!O44)*5)+(('ZKY States AggWorkings'!O44)*3))/8</f>
        <v>2.1624999999999996</v>
      </c>
      <c r="P44" s="440">
        <f>((('SLP States AggWorkings'!P44)*5)+(('ZKY States AggWorkings'!P44)*3))/8</f>
        <v>2.3187500000000001</v>
      </c>
      <c r="Q44" s="440">
        <f>((('SLP States AggWorkings'!Q44)*5)+(('ZKY States AggWorkings'!Q44)*3))/8</f>
        <v>2.6749999999999998</v>
      </c>
      <c r="R44" s="437">
        <f>((('SLP States AggWorkings'!R44)*5)+(('ZKY States AggWorkings'!R44)*3))/8</f>
        <v>2.5875000000000004</v>
      </c>
      <c r="S44" s="437">
        <f>((('SLP States AggWorkings'!S44)*5)+(('ZKY States AggWorkings'!S44)*3))/8</f>
        <v>2.6</v>
      </c>
      <c r="T44" s="437">
        <f>((('SLP States AggWorkings'!T44)*5)+(('ZKY States AggWorkings'!T44)*3))/8</f>
        <v>2.9375</v>
      </c>
      <c r="U44" s="437">
        <f>((('SLP States AggWorkings'!U44)*5)+(('ZKY States AggWorkings'!U44)*3))/8</f>
        <v>3.3412500000000001</v>
      </c>
      <c r="V44" s="438">
        <f>((('SLP States AggWorkings'!V44)*5)+(('ZKY States AggWorkings'!V44)*3))/8</f>
        <v>3.65</v>
      </c>
      <c r="W44" s="80">
        <f>((('SLP States AggWorkings'!W44)*5)+(('ZKY States AggWorkings'!W44)*3)+(('A&amp;N States AggWorkings'!W44)*2))/10</f>
        <v>3.2233333333333336</v>
      </c>
      <c r="X44" s="69">
        <f>((('SLP States AggWorkings'!X44)*5)+(('ZKY States AggWorkings'!X44)*3)+(('A&amp;N States AggWorkings'!X44)*2))/10</f>
        <v>3.4850000000000003</v>
      </c>
      <c r="Y44" s="69">
        <f>((('SLP States AggWorkings'!Y44)*5)+(('ZKY States AggWorkings'!Y44)*3)+(('A&amp;N States AggWorkings'!Y44)*2))/10</f>
        <v>0</v>
      </c>
      <c r="Z44" s="69">
        <f>((('SLP States AggWorkings'!Z44)*5)+(('ZKY States AggWorkings'!Z44)*3)+(('A&amp;N States AggWorkings'!Z44)*2))/10</f>
        <v>0</v>
      </c>
      <c r="AA44" s="49"/>
      <c r="AB44" s="421"/>
      <c r="AD44" s="341">
        <f>V44</f>
        <v>3.65</v>
      </c>
      <c r="AE44" s="335"/>
      <c r="AF44" s="341">
        <f t="shared" si="13"/>
        <v>3.2233333333333336</v>
      </c>
      <c r="AG44" s="341">
        <f t="shared" si="13"/>
        <v>3.4850000000000003</v>
      </c>
      <c r="AH44" s="342">
        <f>AG44</f>
        <v>3.4850000000000003</v>
      </c>
      <c r="AI44" s="342">
        <f>AG44</f>
        <v>3.4850000000000003</v>
      </c>
      <c r="AK44" s="461">
        <f>(AD44+AD47+((AD50)/2/8))/3</f>
        <v>3.6970833333333331</v>
      </c>
      <c r="AM44" s="461">
        <f>(AF44+AF47+((AF50)/2/8))/3</f>
        <v>3.5747222222222224</v>
      </c>
      <c r="AN44" s="461">
        <f>(AG44+AG47+((AG50)/2/8))/3</f>
        <v>3.9191666666666669</v>
      </c>
      <c r="AO44" s="342">
        <f>AN44</f>
        <v>3.9191666666666669</v>
      </c>
      <c r="AP44" s="342">
        <f>AN44</f>
        <v>3.9191666666666669</v>
      </c>
    </row>
    <row r="45" spans="1:42" s="340" customFormat="1">
      <c r="A45" s="45"/>
      <c r="B45" s="46"/>
      <c r="C45" s="48"/>
      <c r="D45" s="83"/>
      <c r="E45" s="83"/>
      <c r="F45" s="83"/>
      <c r="G45" s="83"/>
      <c r="H45" s="83"/>
      <c r="I45" s="83"/>
      <c r="J45" s="83"/>
      <c r="K45" s="83"/>
      <c r="L45" s="48"/>
      <c r="M45" s="48"/>
      <c r="N45" s="48"/>
      <c r="O45" s="48"/>
      <c r="P45" s="48"/>
      <c r="Q45" s="48"/>
      <c r="R45" s="48"/>
      <c r="S45" s="48"/>
      <c r="T45" s="48"/>
      <c r="U45" s="48"/>
      <c r="V45" s="48"/>
      <c r="W45" s="48"/>
      <c r="X45" s="48"/>
      <c r="Y45" s="48"/>
      <c r="Z45" s="48"/>
      <c r="AA45" s="49"/>
      <c r="AB45" s="421"/>
      <c r="AE45" s="335"/>
      <c r="AH45" s="335"/>
      <c r="AI45" s="338"/>
    </row>
    <row r="46" spans="1:42" ht="15.75" thickBot="1">
      <c r="A46" s="41" t="s">
        <v>17</v>
      </c>
      <c r="B46" s="42" t="s">
        <v>139</v>
      </c>
      <c r="C46" s="43" t="e">
        <f>((('SLP States AggWorkings'!C46)*5)+(('ZKY States AggWorkings'!C46)*3))/8</f>
        <v>#VALUE!</v>
      </c>
      <c r="D46" s="81" t="e">
        <f>((('SLP States AggWorkings'!D46)*5)+(('ZKY States AggWorkings'!D46)*3))/8</f>
        <v>#VALUE!</v>
      </c>
      <c r="E46" s="81" t="e">
        <f>((('SLP States AggWorkings'!E46)*5)+(('ZKY States AggWorkings'!E46)*3))/8</f>
        <v>#VALUE!</v>
      </c>
      <c r="F46" s="81" t="e">
        <f>((('SLP States AggWorkings'!F46)*5)+(('ZKY States AggWorkings'!F46)*3))/8</f>
        <v>#VALUE!</v>
      </c>
      <c r="G46" s="81" t="e">
        <f>((('SLP States AggWorkings'!G46)*5)+(('ZKY States AggWorkings'!G46)*3))/8</f>
        <v>#VALUE!</v>
      </c>
      <c r="H46" s="81" t="e">
        <f>((('SLP States AggWorkings'!H46)*5)+(('ZKY States AggWorkings'!H46)*3))/8</f>
        <v>#VALUE!</v>
      </c>
      <c r="I46" s="82">
        <f>((('SLP States AggWorkings'!I46)*5)+(('ZKY States AggWorkings'!I46)*3))/8</f>
        <v>1.375</v>
      </c>
      <c r="J46" s="81">
        <f>((('SLP States AggWorkings'!J46)*5)+(('ZKY States AggWorkings'!J46)*3))/8</f>
        <v>1.4895833333333333</v>
      </c>
      <c r="K46" s="81">
        <f>((('SLP States AggWorkings'!K46)*5)+(('ZKY States AggWorkings'!K46)*3))/8</f>
        <v>1.6041666666666665</v>
      </c>
      <c r="L46" s="44">
        <f>((('SLP States AggWorkings'!L46)*5)+(('ZKY States AggWorkings'!L46)*3))/8</f>
        <v>1.71875</v>
      </c>
      <c r="M46" s="44">
        <f>((('SLP States AggWorkings'!M46)*5)+(('ZKY States AggWorkings'!M46)*3))/8</f>
        <v>1.833333333333333</v>
      </c>
      <c r="N46" s="43">
        <f>((('SLP States AggWorkings'!N46)*5)+(('ZKY States AggWorkings'!N46)*3))/8</f>
        <v>2.0625</v>
      </c>
      <c r="O46" s="44">
        <f>((('SLP States AggWorkings'!O46)*5)+(('ZKY States AggWorkings'!O46)*3))/8</f>
        <v>2.1937500000000001</v>
      </c>
      <c r="P46" s="44">
        <f>((('SLP States AggWorkings'!P46)*5)+(('ZKY States AggWorkings'!P46)*3))/8</f>
        <v>2.3250000000000002</v>
      </c>
      <c r="Q46" s="44">
        <f>((('SLP States AggWorkings'!Q46)*5)+(('ZKY States AggWorkings'!Q46)*3))/8</f>
        <v>2.4562499999999998</v>
      </c>
      <c r="R46" s="43">
        <f>((('SLP States AggWorkings'!R46)*5)+(('ZKY States AggWorkings'!R46)*3))/8</f>
        <v>2.5874999999999999</v>
      </c>
      <c r="S46" s="44">
        <f>((('SLP States AggWorkings'!S46)*5)+(('ZKY States AggWorkings'!S46)*3))/8</f>
        <v>2.7083333333333335</v>
      </c>
      <c r="T46" s="44">
        <f>((('SLP States AggWorkings'!T46)*5)+(('ZKY States AggWorkings'!T46)*3))/8</f>
        <v>2.8291666666666666</v>
      </c>
      <c r="U46" s="44">
        <f>((('SLP States AggWorkings'!U46)*5)+(('ZKY States AggWorkings'!U46)*3))/8</f>
        <v>2.9499999999999997</v>
      </c>
      <c r="V46" s="44">
        <f>((('SLP States AggWorkings'!V46)*5)+(('ZKY States AggWorkings'!V46)*3))/8</f>
        <v>3.0708333333333333</v>
      </c>
      <c r="W46" s="44">
        <f>((('SLP States AggWorkings'!W46)*5)+(('ZKY States AggWorkings'!W46)*3)+(('A&amp;N States AggWorkings'!W46)*2))/10</f>
        <v>3.0883333333333325</v>
      </c>
      <c r="X46" s="44">
        <f>((('SLP States AggWorkings'!X46)*5)+(('ZKY States AggWorkings'!X46)*3)+(('A&amp;N States AggWorkings'!X46)*2))/10</f>
        <v>3.253333333333333</v>
      </c>
      <c r="Y46" s="43">
        <f>((('SLP States AggWorkings'!Y46)*5)+(('ZKY States AggWorkings'!Y46)*3)+(('A&amp;N States AggWorkings'!Y46)*2))/10</f>
        <v>3.28</v>
      </c>
      <c r="Z46" s="44">
        <f>((('SLP States AggWorkings'!Z46)*5)+(('ZKY States AggWorkings'!Z46)*3)+(('A&amp;N States AggWorkings'!Z46)*2))/10</f>
        <v>3.28</v>
      </c>
      <c r="AA46" s="38">
        <v>5</v>
      </c>
      <c r="AB46" s="420">
        <f>AA46/22</f>
        <v>0.22727272727272727</v>
      </c>
      <c r="AC46" s="340"/>
      <c r="AD46" s="450">
        <f>V46</f>
        <v>3.0708333333333333</v>
      </c>
      <c r="AF46" s="339">
        <f t="shared" ref="AF46:AG47" si="14">IF($AG$1=16,R46,IF($AG$1=17,S46,IF($AG$1=18,T46,IF($AG$1=19,U46,IF($AG$1=20,V46,IF($AG$1=21,W46,IF($AG$1=22,X46,0)))))))</f>
        <v>3.0883333333333325</v>
      </c>
      <c r="AG46" s="339">
        <f t="shared" si="14"/>
        <v>3.253333333333333</v>
      </c>
      <c r="AI46" s="338"/>
    </row>
    <row r="47" spans="1:42" s="340" customFormat="1" ht="15.75" thickBot="1">
      <c r="A47" s="45"/>
      <c r="B47" s="46" t="s">
        <v>140</v>
      </c>
      <c r="C47" s="79" t="e">
        <f>((('SLP States AggWorkings'!C47)*5)+(('ZKY States AggWorkings'!C47)*3))/8</f>
        <v>#VALUE!</v>
      </c>
      <c r="D47" s="436">
        <f>((('SLP States AggWorkings'!D47)*5)+(('ZKY States AggWorkings'!D47)*3))/8</f>
        <v>0.53749999999999998</v>
      </c>
      <c r="E47" s="437">
        <f>((('SLP States AggWorkings'!E47)*5)+(('ZKY States AggWorkings'!E47)*3))/8</f>
        <v>0.55000000000000004</v>
      </c>
      <c r="F47" s="437">
        <f>((('SLP States AggWorkings'!F47)*5)+(('ZKY States AggWorkings'!F47)*3))/8</f>
        <v>0.5625</v>
      </c>
      <c r="G47" s="437">
        <f>((('SLP States AggWorkings'!G47)*5)+(('ZKY States AggWorkings'!G47)*3))/8</f>
        <v>0.58750000000000002</v>
      </c>
      <c r="H47" s="437">
        <f>((('SLP States AggWorkings'!H47)*5)+(('ZKY States AggWorkings'!H47)*3))/8</f>
        <v>0.57499999999999996</v>
      </c>
      <c r="I47" s="437">
        <f>((('SLP States AggWorkings'!I47)*5)+(('ZKY States AggWorkings'!I47)*3))/8</f>
        <v>0.92500000000000004</v>
      </c>
      <c r="J47" s="437">
        <f>((('SLP States AggWorkings'!J47)*5)+(('ZKY States AggWorkings'!J47)*3))/8</f>
        <v>0.89999999999999991</v>
      </c>
      <c r="K47" s="437">
        <f>((('SLP States AggWorkings'!K47)*5)+(('ZKY States AggWorkings'!K47)*3))/8</f>
        <v>0.89999999999999991</v>
      </c>
      <c r="L47" s="437">
        <f>((('SLP States AggWorkings'!L47)*5)+(('ZKY States AggWorkings'!L47)*3))/8</f>
        <v>1.25</v>
      </c>
      <c r="M47" s="437">
        <f>((('SLP States AggWorkings'!M47)*5)+(('ZKY States AggWorkings'!M47)*3))/8</f>
        <v>1.375</v>
      </c>
      <c r="N47" s="439">
        <f>((('SLP States AggWorkings'!N47)*5)+(('ZKY States AggWorkings'!N47)*3))/8</f>
        <v>2.1500000000000004</v>
      </c>
      <c r="O47" s="440">
        <f>((('SLP States AggWorkings'!O47)*5)+(('ZKY States AggWorkings'!O47)*3))/8</f>
        <v>2.3125</v>
      </c>
      <c r="P47" s="440">
        <f>((('SLP States AggWorkings'!P47)*5)+(('ZKY States AggWorkings'!P47)*3))/8</f>
        <v>2.4375</v>
      </c>
      <c r="Q47" s="440">
        <f>((('SLP States AggWorkings'!Q47)*5)+(('ZKY States AggWorkings'!Q47)*3))/8</f>
        <v>2.7250000000000001</v>
      </c>
      <c r="R47" s="437">
        <f>((('SLP States AggWorkings'!R47)*5)+(('ZKY States AggWorkings'!R47)*3))/8</f>
        <v>2.5750000000000002</v>
      </c>
      <c r="S47" s="437">
        <f>((('SLP States AggWorkings'!S47)*5)+(('ZKY States AggWorkings'!S47)*3))/8</f>
        <v>2.9624999999999999</v>
      </c>
      <c r="T47" s="437">
        <f>((('SLP States AggWorkings'!T47)*5)+(('ZKY States AggWorkings'!T47)*3))/8</f>
        <v>3.125</v>
      </c>
      <c r="U47" s="437">
        <f>((('SLP States AggWorkings'!U47)*5)+(('ZKY States AggWorkings'!U47)*3))/8</f>
        <v>3.5462499999999997</v>
      </c>
      <c r="V47" s="438">
        <f>((('SLP States AggWorkings'!V47)*5)+(('ZKY States AggWorkings'!V47)*3))/8</f>
        <v>3.6287499999999997</v>
      </c>
      <c r="W47" s="80">
        <f>((('SLP States AggWorkings'!W47)*5)+(('ZKY States AggWorkings'!W47)*3)+(('A&amp;N States AggWorkings'!W47)*2))/10</f>
        <v>3.3133333333333335</v>
      </c>
      <c r="X47" s="69">
        <f>((('SLP States AggWorkings'!X47)*5)+(('ZKY States AggWorkings'!X47)*3)+(('A&amp;N States AggWorkings'!X47)*2))/10</f>
        <v>3.46</v>
      </c>
      <c r="Y47" s="69">
        <f>((('SLP States AggWorkings'!Y47)*5)+(('ZKY States AggWorkings'!Y47)*3)+(('A&amp;N States AggWorkings'!Y47)*2))/10</f>
        <v>0</v>
      </c>
      <c r="Z47" s="69">
        <f>((('SLP States AggWorkings'!Z47)*5)+(('ZKY States AggWorkings'!Z47)*3)+(('A&amp;N States AggWorkings'!Z47)*2))/10</f>
        <v>0</v>
      </c>
      <c r="AA47" s="49"/>
      <c r="AB47" s="421"/>
      <c r="AD47" s="341">
        <f>V47</f>
        <v>3.6287499999999997</v>
      </c>
      <c r="AE47" s="335"/>
      <c r="AF47" s="341">
        <f t="shared" si="14"/>
        <v>3.3133333333333335</v>
      </c>
      <c r="AG47" s="341">
        <f t="shared" si="14"/>
        <v>3.46</v>
      </c>
      <c r="AH47" s="342">
        <f>AG47</f>
        <v>3.46</v>
      </c>
      <c r="AI47" s="342">
        <f>AG47</f>
        <v>3.46</v>
      </c>
    </row>
    <row r="48" spans="1:42" s="340" customFormat="1">
      <c r="A48" s="45"/>
      <c r="B48" s="46"/>
      <c r="C48" s="48"/>
      <c r="D48" s="83"/>
      <c r="E48" s="83"/>
      <c r="F48" s="83"/>
      <c r="G48" s="83"/>
      <c r="H48" s="83"/>
      <c r="I48" s="83"/>
      <c r="J48" s="83"/>
      <c r="K48" s="83"/>
      <c r="L48" s="48"/>
      <c r="M48" s="48"/>
      <c r="N48" s="48"/>
      <c r="O48" s="48"/>
      <c r="P48" s="48"/>
      <c r="Q48" s="48"/>
      <c r="R48" s="48"/>
      <c r="S48" s="48"/>
      <c r="T48" s="48"/>
      <c r="U48" s="48"/>
      <c r="V48" s="48"/>
      <c r="W48" s="48"/>
      <c r="X48" s="48"/>
      <c r="Y48" s="48"/>
      <c r="Z48" s="48"/>
      <c r="AA48" s="49"/>
      <c r="AB48" s="421"/>
      <c r="AE48" s="335"/>
      <c r="AH48" s="335"/>
      <c r="AI48" s="338"/>
    </row>
    <row r="49" spans="1:42" ht="15.75" thickBot="1">
      <c r="A49" s="41" t="s">
        <v>18</v>
      </c>
      <c r="B49" s="42" t="s">
        <v>139</v>
      </c>
      <c r="C49" s="43" t="e">
        <f>'SLP States AggWorkings'!C49+'ZKY States AggWorkings'!C49</f>
        <v>#VALUE!</v>
      </c>
      <c r="D49" s="73" t="e">
        <f>'SLP States AggWorkings'!D49+'ZKY States AggWorkings'!D49</f>
        <v>#VALUE!</v>
      </c>
      <c r="E49" s="73" t="e">
        <f>'SLP States AggWorkings'!E49+'ZKY States AggWorkings'!E49</f>
        <v>#VALUE!</v>
      </c>
      <c r="F49" s="73" t="e">
        <f>'SLP States AggWorkings'!F49+'ZKY States AggWorkings'!F49</f>
        <v>#VALUE!</v>
      </c>
      <c r="G49" s="73" t="e">
        <f>'SLP States AggWorkings'!G49+'ZKY States AggWorkings'!G49</f>
        <v>#VALUE!</v>
      </c>
      <c r="H49" s="73" t="e">
        <f>'SLP States AggWorkings'!H49+'ZKY States AggWorkings'!H49</f>
        <v>#VALUE!</v>
      </c>
      <c r="I49" s="74">
        <f>'SLP States AggWorkings'!I49+'ZKY States AggWorkings'!I49</f>
        <v>9</v>
      </c>
      <c r="J49" s="73">
        <f>'SLP States AggWorkings'!J49+'ZKY States AggWorkings'!J49</f>
        <v>10.5</v>
      </c>
      <c r="K49" s="73">
        <f>'SLP States AggWorkings'!K49+'ZKY States AggWorkings'!K49</f>
        <v>12</v>
      </c>
      <c r="L49" s="51">
        <f>'SLP States AggWorkings'!L49+'ZKY States AggWorkings'!L49</f>
        <v>13.5</v>
      </c>
      <c r="M49" s="51">
        <f>'SLP States AggWorkings'!M49+'ZKY States AggWorkings'!M49</f>
        <v>14.999999999999998</v>
      </c>
      <c r="N49" s="50">
        <f>'SLP States AggWorkings'!N49+'ZKY States AggWorkings'!N49</f>
        <v>18</v>
      </c>
      <c r="O49" s="51">
        <f>'SLP States AggWorkings'!O49+'ZKY States AggWorkings'!O49</f>
        <v>18.375</v>
      </c>
      <c r="P49" s="51">
        <f>'SLP States AggWorkings'!P49+'ZKY States AggWorkings'!P49</f>
        <v>18.75</v>
      </c>
      <c r="Q49" s="51">
        <f>'SLP States AggWorkings'!Q49+'ZKY States AggWorkings'!Q49</f>
        <v>19.125</v>
      </c>
      <c r="R49" s="50">
        <f>'SLP States AggWorkings'!R49+'ZKY States AggWorkings'!R49</f>
        <v>19.5</v>
      </c>
      <c r="S49" s="51">
        <f>'SLP States AggWorkings'!S49+'ZKY States AggWorkings'!S49</f>
        <v>21.733333333333334</v>
      </c>
      <c r="T49" s="51">
        <f>'SLP States AggWorkings'!T49+'ZKY States AggWorkings'!T49</f>
        <v>23.966666666666669</v>
      </c>
      <c r="U49" s="51">
        <f>'SLP States AggWorkings'!U49+'ZKY States AggWorkings'!U49</f>
        <v>26.199999999999996</v>
      </c>
      <c r="V49" s="51">
        <f>'SLP States AggWorkings'!V49+'ZKY States AggWorkings'!V49</f>
        <v>28.43333333333333</v>
      </c>
      <c r="W49" s="51">
        <f>'SLP States AggWorkings'!W49+'ZKY States AggWorkings'!W49+'A&amp;N States AggWorkings'!W49</f>
        <v>48.166666666666671</v>
      </c>
      <c r="X49" s="51">
        <f>'SLP States AggWorkings'!X49+'ZKY States AggWorkings'!X49+'A&amp;N States AggWorkings'!X49</f>
        <v>54</v>
      </c>
      <c r="Y49" s="50">
        <f>'SLP States AggWorkings'!Y49+'ZKY States AggWorkings'!Y49+'A&amp;N States AggWorkings'!Y49</f>
        <v>54</v>
      </c>
      <c r="Z49" s="51">
        <f>'SLP States AggWorkings'!Z49+'ZKY States AggWorkings'!Z49+'A&amp;N States AggWorkings'!Z49</f>
        <v>54</v>
      </c>
      <c r="AA49" s="38">
        <f>'SLP States AggWorkings'!AA49+'ZKY States AggWorkings'!AA49</f>
        <v>80</v>
      </c>
      <c r="AB49" s="457">
        <f>AA49/22</f>
        <v>3.6363636363636362</v>
      </c>
      <c r="AC49" s="340"/>
      <c r="AD49" s="451">
        <f>V49</f>
        <v>28.43333333333333</v>
      </c>
      <c r="AE49" s="346"/>
      <c r="AF49" s="453">
        <f t="shared" ref="AF49:AG50" si="15">IF($AG$1=16,R49,IF($AG$1=17,S49,IF($AG$1=18,T49,IF($AG$1=19,U49,IF($AG$1=20,V49,IF($AG$1=21,W49,IF($AG$1=22,X49,0)))))))</f>
        <v>48.166666666666671</v>
      </c>
      <c r="AG49" s="453">
        <f t="shared" si="15"/>
        <v>54</v>
      </c>
      <c r="AI49" s="338"/>
    </row>
    <row r="50" spans="1:42" s="340" customFormat="1" ht="15.75" thickBot="1">
      <c r="A50" s="45"/>
      <c r="B50" s="46" t="s">
        <v>140</v>
      </c>
      <c r="C50" s="79" t="e">
        <f>'SLP States AggWorkings'!C50+'ZKY States AggWorkings'!C50</f>
        <v>#VALUE!</v>
      </c>
      <c r="D50" s="441">
        <f>'SLP States AggWorkings'!D50+'ZKY States AggWorkings'!D50</f>
        <v>1</v>
      </c>
      <c r="E50" s="442">
        <f>'SLP States AggWorkings'!E50+'ZKY States AggWorkings'!E50</f>
        <v>1</v>
      </c>
      <c r="F50" s="442">
        <f>'SLP States AggWorkings'!F50+'ZKY States AggWorkings'!F50</f>
        <v>1</v>
      </c>
      <c r="G50" s="442">
        <f>'SLP States AggWorkings'!G50+'ZKY States AggWorkings'!G50</f>
        <v>1</v>
      </c>
      <c r="H50" s="442">
        <f>'SLP States AggWorkings'!H50+'ZKY States AggWorkings'!H50</f>
        <v>1</v>
      </c>
      <c r="I50" s="442">
        <f>'SLP States AggWorkings'!I50+'ZKY States AggWorkings'!I50</f>
        <v>1</v>
      </c>
      <c r="J50" s="442">
        <f>'SLP States AggWorkings'!J50+'ZKY States AggWorkings'!J50</f>
        <v>1</v>
      </c>
      <c r="K50" s="442">
        <f>'SLP States AggWorkings'!K50+'ZKY States AggWorkings'!K50</f>
        <v>1</v>
      </c>
      <c r="L50" s="442">
        <f>'SLP States AggWorkings'!L50+'ZKY States AggWorkings'!L50</f>
        <v>11</v>
      </c>
      <c r="M50" s="442">
        <f>'SLP States AggWorkings'!M50+'ZKY States AggWorkings'!M50</f>
        <v>9</v>
      </c>
      <c r="N50" s="443">
        <f>'SLP States AggWorkings'!N50+'ZKY States AggWorkings'!N50</f>
        <v>11</v>
      </c>
      <c r="O50" s="444">
        <f>'SLP States AggWorkings'!O50+'ZKY States AggWorkings'!O50</f>
        <v>18</v>
      </c>
      <c r="P50" s="444">
        <f>'SLP States AggWorkings'!P50+'ZKY States AggWorkings'!P50</f>
        <v>26</v>
      </c>
      <c r="Q50" s="444">
        <f>'SLP States AggWorkings'!Q50+'ZKY States AggWorkings'!Q50</f>
        <v>31</v>
      </c>
      <c r="R50" s="442">
        <f>'SLP States AggWorkings'!R50+'ZKY States AggWorkings'!R50</f>
        <v>38</v>
      </c>
      <c r="S50" s="442">
        <f>'SLP States AggWorkings'!S50+'ZKY States AggWorkings'!S50</f>
        <v>34</v>
      </c>
      <c r="T50" s="442">
        <f>'SLP States AggWorkings'!T50+'ZKY States AggWorkings'!T50</f>
        <v>49</v>
      </c>
      <c r="U50" s="442">
        <f>'SLP States AggWorkings'!U50+'ZKY States AggWorkings'!U50</f>
        <v>54</v>
      </c>
      <c r="V50" s="445">
        <f>'SLP States AggWorkings'!V50+'ZKY States AggWorkings'!V50</f>
        <v>61</v>
      </c>
      <c r="W50" s="72">
        <f>'SLP States AggWorkings'!W50+'ZKY States AggWorkings'!W50+'A&amp;N States AggWorkings'!W50</f>
        <v>67</v>
      </c>
      <c r="X50" s="70">
        <f>'SLP States AggWorkings'!X50+'ZKY States AggWorkings'!X50+'A&amp;N States AggWorkings'!X50</f>
        <v>77</v>
      </c>
      <c r="Y50" s="70">
        <f>'SLP States AggWorkings'!Y50+'ZKY States AggWorkings'!Y50+'A&amp;N States AggWorkings'!Y50</f>
        <v>0</v>
      </c>
      <c r="Z50" s="70">
        <f>'SLP States AggWorkings'!Z50+'ZKY States AggWorkings'!Z50+'A&amp;N States AggWorkings'!Z50</f>
        <v>0</v>
      </c>
      <c r="AA50" s="49"/>
      <c r="AB50" s="421"/>
      <c r="AD50" s="452">
        <f>V50</f>
        <v>61</v>
      </c>
      <c r="AE50" s="346"/>
      <c r="AF50" s="452">
        <f t="shared" si="15"/>
        <v>67</v>
      </c>
      <c r="AG50" s="452">
        <f t="shared" si="15"/>
        <v>77</v>
      </c>
      <c r="AH50" s="342">
        <f>AG50</f>
        <v>77</v>
      </c>
      <c r="AI50" s="342">
        <f>AG50</f>
        <v>77</v>
      </c>
    </row>
    <row r="51" spans="1:42" s="340" customFormat="1">
      <c r="A51" s="45"/>
      <c r="B51" s="46"/>
      <c r="C51" s="48"/>
      <c r="D51" s="83"/>
      <c r="E51" s="83"/>
      <c r="F51" s="83"/>
      <c r="G51" s="83"/>
      <c r="H51" s="83"/>
      <c r="I51" s="83"/>
      <c r="J51" s="83"/>
      <c r="K51" s="83"/>
      <c r="L51" s="48"/>
      <c r="M51" s="48"/>
      <c r="N51" s="48"/>
      <c r="O51" s="48"/>
      <c r="P51" s="48"/>
      <c r="Q51" s="48"/>
      <c r="R51" s="48"/>
      <c r="S51" s="48"/>
      <c r="T51" s="48"/>
      <c r="U51" s="48"/>
      <c r="V51" s="48"/>
      <c r="W51" s="48"/>
      <c r="X51" s="48"/>
      <c r="Y51" s="48"/>
      <c r="Z51" s="48"/>
      <c r="AA51" s="49"/>
      <c r="AB51" s="421"/>
      <c r="AE51" s="335"/>
      <c r="AH51" s="335"/>
      <c r="AI51" s="338"/>
    </row>
    <row r="52" spans="1:42" ht="15.75" thickBot="1">
      <c r="A52" s="41" t="s">
        <v>19</v>
      </c>
      <c r="B52" s="42" t="s">
        <v>139</v>
      </c>
      <c r="C52" s="43" t="e">
        <f>((('SLP States AggWorkings'!C52)*5)+(('ZKY States AggWorkings'!C52)*3))/8</f>
        <v>#VALUE!</v>
      </c>
      <c r="D52" s="81" t="e">
        <f>((('SLP States AggWorkings'!D52)*5)+(('ZKY States AggWorkings'!D52)*3))/8</f>
        <v>#VALUE!</v>
      </c>
      <c r="E52" s="81" t="e">
        <f>((('SLP States AggWorkings'!E52)*5)+(('ZKY States AggWorkings'!E52)*3))/8</f>
        <v>#VALUE!</v>
      </c>
      <c r="F52" s="81" t="e">
        <f>((('SLP States AggWorkings'!F52)*5)+(('ZKY States AggWorkings'!F52)*3))/8</f>
        <v>#VALUE!</v>
      </c>
      <c r="G52" s="81" t="e">
        <f>((('SLP States AggWorkings'!G52)*5)+(('ZKY States AggWorkings'!G52)*3))/8</f>
        <v>#VALUE!</v>
      </c>
      <c r="H52" s="81" t="e">
        <f>((('SLP States AggWorkings'!H52)*5)+(('ZKY States AggWorkings'!H52)*3))/8</f>
        <v>#VALUE!</v>
      </c>
      <c r="I52" s="82">
        <f>((('SLP States AggWorkings'!I52)*5)+(('ZKY States AggWorkings'!I52)*3))/8</f>
        <v>1.4375</v>
      </c>
      <c r="J52" s="81">
        <f>((('SLP States AggWorkings'!J52)*5)+(('ZKY States AggWorkings'!J52)*3))/8</f>
        <v>1.5104166666666665</v>
      </c>
      <c r="K52" s="81">
        <f>((('SLP States AggWorkings'!K52)*5)+(('ZKY States AggWorkings'!K52)*3))/8</f>
        <v>1.5833333333333333</v>
      </c>
      <c r="L52" s="44">
        <f>((('SLP States AggWorkings'!L52)*5)+(('ZKY States AggWorkings'!L52)*3))/8</f>
        <v>1.65625</v>
      </c>
      <c r="M52" s="44">
        <f>((('SLP States AggWorkings'!M52)*5)+(('ZKY States AggWorkings'!M52)*3))/8</f>
        <v>1.7291666666666665</v>
      </c>
      <c r="N52" s="43">
        <f>((('SLP States AggWorkings'!N52)*5)+(('ZKY States AggWorkings'!N52)*3))/8</f>
        <v>1.875</v>
      </c>
      <c r="O52" s="44">
        <f>((('SLP States AggWorkings'!O52)*5)+(('ZKY States AggWorkings'!O52)*3))/8</f>
        <v>2.03125</v>
      </c>
      <c r="P52" s="44">
        <f>((('SLP States AggWorkings'!P52)*5)+(('ZKY States AggWorkings'!P52)*3))/8</f>
        <v>2.1875</v>
      </c>
      <c r="Q52" s="44">
        <f>((('SLP States AggWorkings'!Q52)*5)+(('ZKY States AggWorkings'!Q52)*3))/8</f>
        <v>2.34375</v>
      </c>
      <c r="R52" s="43">
        <f>((('SLP States AggWorkings'!R52)*5)+(('ZKY States AggWorkings'!R52)*3))/8</f>
        <v>2.5</v>
      </c>
      <c r="S52" s="44">
        <f>((('SLP States AggWorkings'!S52)*5)+(('ZKY States AggWorkings'!S52)*3))/8</f>
        <v>2.625</v>
      </c>
      <c r="T52" s="44">
        <f>((('SLP States AggWorkings'!T52)*5)+(('ZKY States AggWorkings'!T52)*3))/8</f>
        <v>2.75</v>
      </c>
      <c r="U52" s="44">
        <f>((('SLP States AggWorkings'!U52)*5)+(('ZKY States AggWorkings'!U52)*3))/8</f>
        <v>2.875</v>
      </c>
      <c r="V52" s="44">
        <f>((('SLP States AggWorkings'!V52)*5)+(('ZKY States AggWorkings'!V52)*3))/8</f>
        <v>3</v>
      </c>
      <c r="W52" s="44">
        <f>((('SLP States AggWorkings'!W52)*5)+(('ZKY States AggWorkings'!W52)*3)+(('A&amp;N States AggWorkings'!W52)*2))/10</f>
        <v>2.9616666666666669</v>
      </c>
      <c r="X52" s="44">
        <f>((('SLP States AggWorkings'!X52)*5)+(('ZKY States AggWorkings'!X52)*3)+(('A&amp;N States AggWorkings'!X52)*2))/10</f>
        <v>3.1333333333333337</v>
      </c>
      <c r="Y52" s="43">
        <f>((('SLP States AggWorkings'!Y52)*5)+(('ZKY States AggWorkings'!Y52)*3)+(('A&amp;N States AggWorkings'!Y52)*2))/10</f>
        <v>3.16</v>
      </c>
      <c r="Z52" s="44">
        <f>((('SLP States AggWorkings'!Z52)*5)+(('ZKY States AggWorkings'!Z52)*3)+(('A&amp;N States AggWorkings'!Z52)*2))/10</f>
        <v>3.16</v>
      </c>
      <c r="AA52" s="38">
        <v>5</v>
      </c>
      <c r="AB52" s="420">
        <f>AA52/22</f>
        <v>0.22727272727272727</v>
      </c>
      <c r="AC52" s="340"/>
      <c r="AD52" s="450">
        <f>V52</f>
        <v>3</v>
      </c>
      <c r="AF52" s="339">
        <f t="shared" ref="AF52:AG53" si="16">IF($AG$1=16,R52,IF($AG$1=17,S52,IF($AG$1=18,T52,IF($AG$1=19,U52,IF($AG$1=20,V52,IF($AG$1=21,W52,IF($AG$1=22,X52,0)))))))</f>
        <v>2.9616666666666669</v>
      </c>
      <c r="AG52" s="339">
        <f t="shared" si="16"/>
        <v>3.1333333333333337</v>
      </c>
      <c r="AI52" s="338"/>
      <c r="AK52" s="462">
        <f>(AD52+AD55+((AD58)/2/8))/3</f>
        <v>2.7694444444444444</v>
      </c>
      <c r="AM52" s="460">
        <f>(AF52+AF55+((AF58)/2/8))/3</f>
        <v>3.0059722222222223</v>
      </c>
      <c r="AN52" s="460">
        <f>(AG52+AG55+((AG58)/2/8))/3</f>
        <v>3.2238888888888888</v>
      </c>
      <c r="AO52" s="758" t="s">
        <v>1110</v>
      </c>
    </row>
    <row r="53" spans="1:42" s="340" customFormat="1" ht="15.75" thickBot="1">
      <c r="A53" s="45"/>
      <c r="B53" s="46" t="s">
        <v>140</v>
      </c>
      <c r="C53" s="79" t="e">
        <f>((('SLP States AggWorkings'!C53)*5)+(('ZKY States AggWorkings'!C53)*3))/8</f>
        <v>#VALUE!</v>
      </c>
      <c r="D53" s="436">
        <f>((('SLP States AggWorkings'!D53)*5)+(('ZKY States AggWorkings'!D53)*3))/8</f>
        <v>0.65</v>
      </c>
      <c r="E53" s="437">
        <f>((('SLP States AggWorkings'!E53)*5)+(('ZKY States AggWorkings'!E53)*3))/8</f>
        <v>0.65</v>
      </c>
      <c r="F53" s="437">
        <f>((('SLP States AggWorkings'!F53)*5)+(('ZKY States AggWorkings'!F53)*3))/8</f>
        <v>0.66250000000000009</v>
      </c>
      <c r="G53" s="437">
        <f>((('SLP States AggWorkings'!G53)*5)+(('ZKY States AggWorkings'!G53)*3))/8</f>
        <v>0.66250000000000009</v>
      </c>
      <c r="H53" s="437">
        <f>((('SLP States AggWorkings'!H53)*5)+(('ZKY States AggWorkings'!H53)*3))/8</f>
        <v>0.67500000000000004</v>
      </c>
      <c r="I53" s="437">
        <f>((('SLP States AggWorkings'!I53)*5)+(('ZKY States AggWorkings'!I53)*3))/8</f>
        <v>0.75</v>
      </c>
      <c r="J53" s="437">
        <f>((('SLP States AggWorkings'!J53)*5)+(('ZKY States AggWorkings'!J53)*3))/8</f>
        <v>0.96250000000000002</v>
      </c>
      <c r="K53" s="437">
        <f>((('SLP States AggWorkings'!K53)*5)+(('ZKY States AggWorkings'!K53)*3))/8</f>
        <v>0.96250000000000002</v>
      </c>
      <c r="L53" s="437">
        <f>((('SLP States AggWorkings'!L53)*5)+(('ZKY States AggWorkings'!L53)*3))/8</f>
        <v>1.25</v>
      </c>
      <c r="M53" s="437">
        <f>((('SLP States AggWorkings'!M53)*5)+(('ZKY States AggWorkings'!M53)*3))/8</f>
        <v>1.2625</v>
      </c>
      <c r="N53" s="439">
        <f>((('SLP States AggWorkings'!N53)*5)+(('ZKY States AggWorkings'!N53)*3))/8</f>
        <v>1.9375</v>
      </c>
      <c r="O53" s="440">
        <f>((('SLP States AggWorkings'!O53)*5)+(('ZKY States AggWorkings'!O53)*3))/8</f>
        <v>2.1</v>
      </c>
      <c r="P53" s="440">
        <f>((('SLP States AggWorkings'!P53)*5)+(('ZKY States AggWorkings'!P53)*3))/8</f>
        <v>2.2374999999999998</v>
      </c>
      <c r="Q53" s="440">
        <f>((('SLP States AggWorkings'!Q53)*5)+(('ZKY States AggWorkings'!Q53)*3))/8</f>
        <v>2.5374999999999996</v>
      </c>
      <c r="R53" s="437">
        <f>((('SLP States AggWorkings'!R53)*5)+(('ZKY States AggWorkings'!R53)*3))/8</f>
        <v>2.6500000000000004</v>
      </c>
      <c r="S53" s="437">
        <f>((('SLP States AggWorkings'!S53)*5)+(('ZKY States AggWorkings'!S53)*3))/8</f>
        <v>3.0624999999999996</v>
      </c>
      <c r="T53" s="437">
        <f>((('SLP States AggWorkings'!T53)*5)+(('ZKY States AggWorkings'!T53)*3))/8</f>
        <v>2.8250000000000002</v>
      </c>
      <c r="U53" s="437">
        <f>((('SLP States AggWorkings'!U53)*5)+(('ZKY States AggWorkings'!U53)*3))/8</f>
        <v>3.4274999999999998</v>
      </c>
      <c r="V53" s="438">
        <f>((('SLP States AggWorkings'!V53)*5)+(('ZKY States AggWorkings'!V53)*3))/8</f>
        <v>3.65625</v>
      </c>
      <c r="W53" s="80">
        <f>((('SLP States AggWorkings'!W53)*5)+(('ZKY States AggWorkings'!W53)*3)+(('A&amp;N States AggWorkings'!W53)*2))/10</f>
        <v>3.2250000000000001</v>
      </c>
      <c r="X53" s="69">
        <f>((('SLP States AggWorkings'!X53)*5)+(('ZKY States AggWorkings'!X53)*3)+(('A&amp;N States AggWorkings'!X53)*2))/10</f>
        <v>3.38</v>
      </c>
      <c r="Y53" s="69">
        <f>((('SLP States AggWorkings'!Y53)*5)+(('ZKY States AggWorkings'!Y53)*3)+(('A&amp;N States AggWorkings'!Y53)*2))/10</f>
        <v>0</v>
      </c>
      <c r="Z53" s="69">
        <f>((('SLP States AggWorkings'!Z53)*5)+(('ZKY States AggWorkings'!Z53)*3)+(('A&amp;N States AggWorkings'!Z53)*2))/10</f>
        <v>0</v>
      </c>
      <c r="AA53" s="49"/>
      <c r="AB53" s="421"/>
      <c r="AD53" s="341">
        <f>V53</f>
        <v>3.65625</v>
      </c>
      <c r="AE53" s="335"/>
      <c r="AF53" s="341">
        <f t="shared" si="16"/>
        <v>3.2250000000000001</v>
      </c>
      <c r="AG53" s="341">
        <f t="shared" si="16"/>
        <v>3.38</v>
      </c>
      <c r="AH53" s="342">
        <f>AG53</f>
        <v>3.38</v>
      </c>
      <c r="AI53" s="342">
        <f>AG53</f>
        <v>3.38</v>
      </c>
      <c r="AK53" s="461">
        <f>(AD53+AD56+((AD59)/2/8))/3</f>
        <v>3.6145833333333335</v>
      </c>
      <c r="AM53" s="461">
        <f>(AF53+AF56+((AF59)/2/8))/3</f>
        <v>3.3574999999999999</v>
      </c>
      <c r="AN53" s="461">
        <f>(AG53+AG56+((AG59)/2/8))/3</f>
        <v>3.4916666666666667</v>
      </c>
      <c r="AO53" s="342">
        <f>AN53</f>
        <v>3.4916666666666667</v>
      </c>
      <c r="AP53" s="342">
        <f>AN53</f>
        <v>3.4916666666666667</v>
      </c>
    </row>
    <row r="54" spans="1:42" s="340" customFormat="1">
      <c r="A54" s="45"/>
      <c r="B54" s="46"/>
      <c r="C54" s="48"/>
      <c r="D54" s="83"/>
      <c r="E54" s="83"/>
      <c r="F54" s="83"/>
      <c r="G54" s="83"/>
      <c r="H54" s="83"/>
      <c r="I54" s="83"/>
      <c r="J54" s="83"/>
      <c r="K54" s="83"/>
      <c r="L54" s="48"/>
      <c r="M54" s="48"/>
      <c r="N54" s="48"/>
      <c r="O54" s="48"/>
      <c r="P54" s="48"/>
      <c r="Q54" s="48"/>
      <c r="R54" s="48"/>
      <c r="S54" s="48"/>
      <c r="T54" s="48"/>
      <c r="U54" s="48"/>
      <c r="V54" s="48"/>
      <c r="W54" s="48"/>
      <c r="X54" s="48"/>
      <c r="Y54" s="48"/>
      <c r="Z54" s="48"/>
      <c r="AA54" s="49"/>
      <c r="AB54" s="421"/>
      <c r="AE54" s="335"/>
      <c r="AH54" s="335"/>
      <c r="AI54" s="338"/>
    </row>
    <row r="55" spans="1:42" ht="15.75" thickBot="1">
      <c r="A55" s="41" t="s">
        <v>20</v>
      </c>
      <c r="B55" s="42" t="s">
        <v>139</v>
      </c>
      <c r="C55" s="43" t="e">
        <f>((('SLP States AggWorkings'!C55)*5)+(('ZKY States AggWorkings'!C55)*3))/8</f>
        <v>#VALUE!</v>
      </c>
      <c r="D55" s="81" t="e">
        <f>((('SLP States AggWorkings'!D55)*5)+(('ZKY States AggWorkings'!D55)*3))/8</f>
        <v>#VALUE!</v>
      </c>
      <c r="E55" s="81" t="e">
        <f>((('SLP States AggWorkings'!E55)*5)+(('ZKY States AggWorkings'!E55)*3))/8</f>
        <v>#VALUE!</v>
      </c>
      <c r="F55" s="81" t="e">
        <f>((('SLP States AggWorkings'!F55)*5)+(('ZKY States AggWorkings'!F55)*3))/8</f>
        <v>#VALUE!</v>
      </c>
      <c r="G55" s="81" t="e">
        <f>((('SLP States AggWorkings'!G55)*5)+(('ZKY States AggWorkings'!G55)*3))/8</f>
        <v>#VALUE!</v>
      </c>
      <c r="H55" s="81" t="e">
        <f>((('SLP States AggWorkings'!H55)*5)+(('ZKY States AggWorkings'!H55)*3))/8</f>
        <v>#VALUE!</v>
      </c>
      <c r="I55" s="82">
        <f>((('SLP States AggWorkings'!I55)*5)+(('ZKY States AggWorkings'!I55)*3))/8</f>
        <v>1.4</v>
      </c>
      <c r="J55" s="81">
        <f>((('SLP States AggWorkings'!J55)*5)+(('ZKY States AggWorkings'!J55)*3))/8</f>
        <v>1.4895833333333333</v>
      </c>
      <c r="K55" s="81">
        <f>((('SLP States AggWorkings'!K55)*5)+(('ZKY States AggWorkings'!K55)*3))/8</f>
        <v>1.5791666666666666</v>
      </c>
      <c r="L55" s="44">
        <f>((('SLP States AggWorkings'!L55)*5)+(('ZKY States AggWorkings'!L55)*3))/8</f>
        <v>1.66875</v>
      </c>
      <c r="M55" s="44">
        <f>((('SLP States AggWorkings'!M55)*5)+(('ZKY States AggWorkings'!M55)*3))/8</f>
        <v>1.7583333333333331</v>
      </c>
      <c r="N55" s="43">
        <f>((('SLP States AggWorkings'!N55)*5)+(('ZKY States AggWorkings'!N55)*3))/8</f>
        <v>1.9375</v>
      </c>
      <c r="O55" s="44">
        <f>((('SLP States AggWorkings'!O55)*5)+(('ZKY States AggWorkings'!O55)*3))/8</f>
        <v>2.0750000000000002</v>
      </c>
      <c r="P55" s="44">
        <f>((('SLP States AggWorkings'!P55)*5)+(('ZKY States AggWorkings'!P55)*3))/8</f>
        <v>2.2124999999999999</v>
      </c>
      <c r="Q55" s="44">
        <f>((('SLP States AggWorkings'!Q55)*5)+(('ZKY States AggWorkings'!Q55)*3))/8</f>
        <v>2.35</v>
      </c>
      <c r="R55" s="43">
        <f>((('SLP States AggWorkings'!R55)*5)+(('ZKY States AggWorkings'!R55)*3))/8</f>
        <v>2.4874999999999998</v>
      </c>
      <c r="S55" s="44">
        <f>((('SLP States AggWorkings'!S55)*5)+(('ZKY States AggWorkings'!S55)*3))/8</f>
        <v>2.625</v>
      </c>
      <c r="T55" s="44">
        <f>((('SLP States AggWorkings'!T55)*5)+(('ZKY States AggWorkings'!T55)*3))/8</f>
        <v>2.7625000000000002</v>
      </c>
      <c r="U55" s="44">
        <f>((('SLP States AggWorkings'!U55)*5)+(('ZKY States AggWorkings'!U55)*3))/8</f>
        <v>2.8999999999999995</v>
      </c>
      <c r="V55" s="44">
        <f>((('SLP States AggWorkings'!V55)*5)+(('ZKY States AggWorkings'!V55)*3))/8</f>
        <v>3.0374999999999996</v>
      </c>
      <c r="W55" s="44">
        <f>((('SLP States AggWorkings'!W55)*5)+(('ZKY States AggWorkings'!W55)*3)+(('A&amp;N States AggWorkings'!W55)*2))/10</f>
        <v>2.9833333333333329</v>
      </c>
      <c r="X55" s="44">
        <f>((('SLP States AggWorkings'!X55)*5)+(('ZKY States AggWorkings'!X55)*3)+(('A&amp;N States AggWorkings'!X55)*2))/10</f>
        <v>3.1633333333333331</v>
      </c>
      <c r="Y55" s="43">
        <f>((('SLP States AggWorkings'!Y55)*5)+(('ZKY States AggWorkings'!Y55)*3)+(('A&amp;N States AggWorkings'!Y55)*2))/10</f>
        <v>3.1900000000000004</v>
      </c>
      <c r="Z55" s="44">
        <f>((('SLP States AggWorkings'!Z55)*5)+(('ZKY States AggWorkings'!Z55)*3)+(('A&amp;N States AggWorkings'!Z55)*2))/10</f>
        <v>3.1900000000000004</v>
      </c>
      <c r="AA55" s="38">
        <v>5</v>
      </c>
      <c r="AB55" s="420">
        <f>AA55/22</f>
        <v>0.22727272727272727</v>
      </c>
      <c r="AC55" s="340"/>
      <c r="AD55" s="450">
        <f>V55</f>
        <v>3.0374999999999996</v>
      </c>
      <c r="AF55" s="339">
        <f t="shared" ref="AF55:AG56" si="17">IF($AG$1=16,R55,IF($AG$1=17,S55,IF($AG$1=18,T55,IF($AG$1=19,U55,IF($AG$1=20,V55,IF($AG$1=21,W55,IF($AG$1=22,X55,0)))))))</f>
        <v>2.9833333333333329</v>
      </c>
      <c r="AG55" s="339">
        <f t="shared" si="17"/>
        <v>3.1633333333333331</v>
      </c>
      <c r="AI55" s="338"/>
    </row>
    <row r="56" spans="1:42" s="340" customFormat="1" ht="15.75" thickBot="1">
      <c r="A56" s="45"/>
      <c r="B56" s="46" t="s">
        <v>140</v>
      </c>
      <c r="C56" s="79" t="e">
        <f>((('SLP States AggWorkings'!C56)*5)+(('ZKY States AggWorkings'!C56)*3))/8</f>
        <v>#VALUE!</v>
      </c>
      <c r="D56" s="436">
        <f>((('SLP States AggWorkings'!D56)*5)+(('ZKY States AggWorkings'!D56)*3))/8</f>
        <v>0.63749999999999996</v>
      </c>
      <c r="E56" s="437">
        <f>((('SLP States AggWorkings'!E56)*5)+(('ZKY States AggWorkings'!E56)*3))/8</f>
        <v>0.6875</v>
      </c>
      <c r="F56" s="437">
        <f>((('SLP States AggWorkings'!F56)*5)+(('ZKY States AggWorkings'!F56)*3))/8</f>
        <v>0.66250000000000009</v>
      </c>
      <c r="G56" s="437">
        <f>((('SLP States AggWorkings'!G56)*5)+(('ZKY States AggWorkings'!G56)*3))/8</f>
        <v>0.67500000000000004</v>
      </c>
      <c r="H56" s="437">
        <f>((('SLP States AggWorkings'!H56)*5)+(('ZKY States AggWorkings'!H56)*3))/8</f>
        <v>0.6875</v>
      </c>
      <c r="I56" s="437">
        <f>((('SLP States AggWorkings'!I56)*5)+(('ZKY States AggWorkings'!I56)*3))/8</f>
        <v>0.5625</v>
      </c>
      <c r="J56" s="437">
        <f>((('SLP States AggWorkings'!J56)*5)+(('ZKY States AggWorkings'!J56)*3))/8</f>
        <v>0.6875</v>
      </c>
      <c r="K56" s="437">
        <f>((('SLP States AggWorkings'!K56)*5)+(('ZKY States AggWorkings'!K56)*3))/8</f>
        <v>0.6875</v>
      </c>
      <c r="L56" s="437">
        <f>((('SLP States AggWorkings'!L56)*5)+(('ZKY States AggWorkings'!L56)*3))/8</f>
        <v>1.25</v>
      </c>
      <c r="M56" s="437">
        <f>((('SLP States AggWorkings'!M56)*5)+(('ZKY States AggWorkings'!M56)*3))/8</f>
        <v>1.4375</v>
      </c>
      <c r="N56" s="439">
        <f>((('SLP States AggWorkings'!N56)*5)+(('ZKY States AggWorkings'!N56)*3))/8</f>
        <v>2.1875</v>
      </c>
      <c r="O56" s="440">
        <f>((('SLP States AggWorkings'!O56)*5)+(('ZKY States AggWorkings'!O56)*3))/8</f>
        <v>2.1375000000000002</v>
      </c>
      <c r="P56" s="440">
        <f>((('SLP States AggWorkings'!P56)*5)+(('ZKY States AggWorkings'!P56)*3))/8</f>
        <v>2.2250000000000001</v>
      </c>
      <c r="Q56" s="440">
        <f>((('SLP States AggWorkings'!Q56)*5)+(('ZKY States AggWorkings'!Q56)*3))/8</f>
        <v>2.5374999999999996</v>
      </c>
      <c r="R56" s="437">
        <f>((('SLP States AggWorkings'!R56)*5)+(('ZKY States AggWorkings'!R56)*3))/8</f>
        <v>3.0999999999999996</v>
      </c>
      <c r="S56" s="437">
        <f>((('SLP States AggWorkings'!S56)*5)+(('ZKY States AggWorkings'!S56)*3))/8</f>
        <v>3.3125</v>
      </c>
      <c r="T56" s="437">
        <f>((('SLP States AggWorkings'!T56)*5)+(('ZKY States AggWorkings'!T56)*3))/8</f>
        <v>3.1062500000000002</v>
      </c>
      <c r="U56" s="437">
        <f>((('SLP States AggWorkings'!U56)*5)+(('ZKY States AggWorkings'!U56)*3))/8</f>
        <v>3.375</v>
      </c>
      <c r="V56" s="438">
        <f>((('SLP States AggWorkings'!V56)*5)+(('ZKY States AggWorkings'!V56)*3))/8</f>
        <v>3.5</v>
      </c>
      <c r="W56" s="80">
        <f>((('SLP States AggWorkings'!W56)*5)+(('ZKY States AggWorkings'!W56)*3)+(('A&amp;N States AggWorkings'!W56)*2))/10</f>
        <v>3.1599999999999997</v>
      </c>
      <c r="X56" s="69">
        <f>((('SLP States AggWorkings'!X56)*5)+(('ZKY States AggWorkings'!X56)*3)+(('A&amp;N States AggWorkings'!X56)*2))/10</f>
        <v>3.22</v>
      </c>
      <c r="Y56" s="69">
        <f>((('SLP States AggWorkings'!Y56)*5)+(('ZKY States AggWorkings'!Y56)*3)+(('A&amp;N States AggWorkings'!Y56)*2))/10</f>
        <v>0</v>
      </c>
      <c r="Z56" s="69">
        <f>((('SLP States AggWorkings'!Z56)*5)+(('ZKY States AggWorkings'!Z56)*3)+(('A&amp;N States AggWorkings'!Z56)*2))/10</f>
        <v>0</v>
      </c>
      <c r="AA56" s="49"/>
      <c r="AB56" s="421"/>
      <c r="AD56" s="341">
        <f>V56</f>
        <v>3.5</v>
      </c>
      <c r="AE56" s="335"/>
      <c r="AF56" s="341">
        <f t="shared" si="17"/>
        <v>3.1599999999999997</v>
      </c>
      <c r="AG56" s="341">
        <f t="shared" si="17"/>
        <v>3.22</v>
      </c>
      <c r="AH56" s="342">
        <f>AG56</f>
        <v>3.22</v>
      </c>
      <c r="AI56" s="342">
        <f>AG56</f>
        <v>3.22</v>
      </c>
    </row>
    <row r="57" spans="1:42" s="340" customFormat="1">
      <c r="A57" s="45"/>
      <c r="B57" s="46"/>
      <c r="C57" s="48"/>
      <c r="D57" s="83"/>
      <c r="E57" s="83"/>
      <c r="F57" s="83"/>
      <c r="G57" s="83"/>
      <c r="H57" s="83"/>
      <c r="I57" s="83"/>
      <c r="J57" s="83"/>
      <c r="K57" s="83"/>
      <c r="L57" s="48"/>
      <c r="M57" s="48"/>
      <c r="N57" s="48"/>
      <c r="O57" s="48"/>
      <c r="P57" s="48"/>
      <c r="Q57" s="48"/>
      <c r="R57" s="48"/>
      <c r="S57" s="48"/>
      <c r="T57" s="48"/>
      <c r="U57" s="48"/>
      <c r="V57" s="48"/>
      <c r="W57" s="48"/>
      <c r="X57" s="48"/>
      <c r="Y57" s="48"/>
      <c r="Z57" s="48"/>
      <c r="AA57" s="49"/>
      <c r="AB57" s="421"/>
      <c r="AE57" s="335"/>
      <c r="AH57" s="335"/>
      <c r="AI57" s="338"/>
    </row>
    <row r="58" spans="1:42" ht="15.75" thickBot="1">
      <c r="A58" s="41" t="s">
        <v>21</v>
      </c>
      <c r="B58" s="42" t="s">
        <v>139</v>
      </c>
      <c r="C58" s="43" t="e">
        <f>'SLP States AggWorkings'!C58+'ZKY States AggWorkings'!C58</f>
        <v>#VALUE!</v>
      </c>
      <c r="D58" s="73" t="e">
        <f>'SLP States AggWorkings'!D58+'ZKY States AggWorkings'!D58</f>
        <v>#VALUE!</v>
      </c>
      <c r="E58" s="73" t="e">
        <f>'SLP States AggWorkings'!E58+'ZKY States AggWorkings'!E58</f>
        <v>#VALUE!</v>
      </c>
      <c r="F58" s="73" t="e">
        <f>'SLP States AggWorkings'!F58+'ZKY States AggWorkings'!F58</f>
        <v>#VALUE!</v>
      </c>
      <c r="G58" s="73" t="e">
        <f>'SLP States AggWorkings'!G58+'ZKY States AggWorkings'!G58</f>
        <v>#VALUE!</v>
      </c>
      <c r="H58" s="73" t="e">
        <f>'SLP States AggWorkings'!H58+'ZKY States AggWorkings'!H58</f>
        <v>#VALUE!</v>
      </c>
      <c r="I58" s="74">
        <f>'SLP States AggWorkings'!I58+'ZKY States AggWorkings'!I58</f>
        <v>7</v>
      </c>
      <c r="J58" s="73">
        <f>'SLP States AggWorkings'!J58+'ZKY States AggWorkings'!J58</f>
        <v>8.1666666666666661</v>
      </c>
      <c r="K58" s="73">
        <f>'SLP States AggWorkings'!K58+'ZKY States AggWorkings'!K58</f>
        <v>9.3333333333333321</v>
      </c>
      <c r="L58" s="51">
        <f>'SLP States AggWorkings'!L58+'ZKY States AggWorkings'!L58</f>
        <v>10.5</v>
      </c>
      <c r="M58" s="51">
        <f>'SLP States AggWorkings'!M58+'ZKY States AggWorkings'!M58</f>
        <v>11.666666666666668</v>
      </c>
      <c r="N58" s="50">
        <f>'SLP States AggWorkings'!N58+'ZKY States AggWorkings'!N58</f>
        <v>14</v>
      </c>
      <c r="O58" s="51">
        <f>'SLP States AggWorkings'!O58+'ZKY States AggWorkings'!O58</f>
        <v>16.75</v>
      </c>
      <c r="P58" s="51">
        <f>'SLP States AggWorkings'!P58+'ZKY States AggWorkings'!P58</f>
        <v>19.5</v>
      </c>
      <c r="Q58" s="51">
        <f>'SLP States AggWorkings'!Q58+'ZKY States AggWorkings'!Q58</f>
        <v>22.25</v>
      </c>
      <c r="R58" s="50">
        <f>'SLP States AggWorkings'!R58+'ZKY States AggWorkings'!R58</f>
        <v>25</v>
      </c>
      <c r="S58" s="51">
        <f>'SLP States AggWorkings'!S58+'ZKY States AggWorkings'!S58</f>
        <v>27.833333333333329</v>
      </c>
      <c r="T58" s="51">
        <f>'SLP States AggWorkings'!T58+'ZKY States AggWorkings'!T58</f>
        <v>30.666666666666668</v>
      </c>
      <c r="U58" s="51">
        <f>'SLP States AggWorkings'!U58+'ZKY States AggWorkings'!U58</f>
        <v>33.5</v>
      </c>
      <c r="V58" s="51">
        <f>'SLP States AggWorkings'!V58+'ZKY States AggWorkings'!V58</f>
        <v>36.333333333333329</v>
      </c>
      <c r="W58" s="51">
        <f>'SLP States AggWorkings'!W58+'ZKY States AggWorkings'!W58+'A&amp;N States AggWorkings'!W58</f>
        <v>49.166666666666664</v>
      </c>
      <c r="X58" s="51">
        <f>'SLP States AggWorkings'!X58+'ZKY States AggWorkings'!X58+'A&amp;N States AggWorkings'!X58</f>
        <v>54</v>
      </c>
      <c r="Y58" s="50">
        <f>'SLP States AggWorkings'!Y58+'ZKY States AggWorkings'!Y58+'A&amp;N States AggWorkings'!Y58</f>
        <v>54</v>
      </c>
      <c r="Z58" s="51">
        <f>'SLP States AggWorkings'!Z58+'ZKY States AggWorkings'!Z58+'A&amp;N States AggWorkings'!Z58</f>
        <v>54</v>
      </c>
      <c r="AA58" s="38">
        <f>'SLP States AggWorkings'!AA58+'ZKY States AggWorkings'!AA58</f>
        <v>80</v>
      </c>
      <c r="AB58" s="457">
        <f>AA58/22</f>
        <v>3.6363636363636362</v>
      </c>
      <c r="AC58" s="340"/>
      <c r="AD58" s="451">
        <f>V58</f>
        <v>36.333333333333329</v>
      </c>
      <c r="AE58" s="346"/>
      <c r="AF58" s="453">
        <f t="shared" ref="AF58:AG59" si="18">IF($AG$1=16,R58,IF($AG$1=17,S58,IF($AG$1=18,T58,IF($AG$1=19,U58,IF($AG$1=20,V58,IF($AG$1=21,W58,IF($AG$1=22,X58,0)))))))</f>
        <v>49.166666666666664</v>
      </c>
      <c r="AG58" s="453">
        <f t="shared" si="18"/>
        <v>54</v>
      </c>
      <c r="AI58" s="338"/>
    </row>
    <row r="59" spans="1:42" s="340" customFormat="1" ht="15.75" thickBot="1">
      <c r="A59" s="45"/>
      <c r="B59" s="46" t="s">
        <v>140</v>
      </c>
      <c r="C59" s="79" t="e">
        <f>'SLP States AggWorkings'!C59+'ZKY States AggWorkings'!C59</f>
        <v>#VALUE!</v>
      </c>
      <c r="D59" s="441">
        <f>'SLP States AggWorkings'!D59+'ZKY States AggWorkings'!D59</f>
        <v>0</v>
      </c>
      <c r="E59" s="442">
        <f>'SLP States AggWorkings'!E59+'ZKY States AggWorkings'!E59</f>
        <v>0</v>
      </c>
      <c r="F59" s="442">
        <f>'SLP States AggWorkings'!F59+'ZKY States AggWorkings'!F59</f>
        <v>0</v>
      </c>
      <c r="G59" s="442">
        <f>'SLP States AggWorkings'!G59+'ZKY States AggWorkings'!G59</f>
        <v>0</v>
      </c>
      <c r="H59" s="442">
        <f>'SLP States AggWorkings'!H59+'ZKY States AggWorkings'!H59</f>
        <v>0</v>
      </c>
      <c r="I59" s="442">
        <f>'SLP States AggWorkings'!I59+'ZKY States AggWorkings'!I59</f>
        <v>0</v>
      </c>
      <c r="J59" s="442">
        <f>'SLP States AggWorkings'!J59+'ZKY States AggWorkings'!J59</f>
        <v>0</v>
      </c>
      <c r="K59" s="442">
        <f>'SLP States AggWorkings'!K59+'ZKY States AggWorkings'!K59</f>
        <v>0</v>
      </c>
      <c r="L59" s="442">
        <f>'SLP States AggWorkings'!L59+'ZKY States AggWorkings'!L59</f>
        <v>19</v>
      </c>
      <c r="M59" s="442">
        <f>'SLP States AggWorkings'!M59+'ZKY States AggWorkings'!M59</f>
        <v>20</v>
      </c>
      <c r="N59" s="443">
        <f>'SLP States AggWorkings'!N59+'ZKY States AggWorkings'!N59</f>
        <v>16</v>
      </c>
      <c r="O59" s="444">
        <f>'SLP States AggWorkings'!O59+'ZKY States AggWorkings'!O59</f>
        <v>20</v>
      </c>
      <c r="P59" s="444">
        <f>'SLP States AggWorkings'!P59+'ZKY States AggWorkings'!P59</f>
        <v>35</v>
      </c>
      <c r="Q59" s="444">
        <f>'SLP States AggWorkings'!Q59+'ZKY States AggWorkings'!Q59</f>
        <v>29</v>
      </c>
      <c r="R59" s="442">
        <f>'SLP States AggWorkings'!R59+'ZKY States AggWorkings'!R59</f>
        <v>39</v>
      </c>
      <c r="S59" s="442">
        <f>'SLP States AggWorkings'!S59+'ZKY States AggWorkings'!S59</f>
        <v>44</v>
      </c>
      <c r="T59" s="442">
        <f>'SLP States AggWorkings'!T59+'ZKY States AggWorkings'!T59</f>
        <v>51</v>
      </c>
      <c r="U59" s="442">
        <f>'SLP States AggWorkings'!U59+'ZKY States AggWorkings'!U59</f>
        <v>62</v>
      </c>
      <c r="V59" s="445">
        <f>'SLP States AggWorkings'!V59+'ZKY States AggWorkings'!V59</f>
        <v>59</v>
      </c>
      <c r="W59" s="72">
        <f>'SLP States AggWorkings'!W59+'ZKY States AggWorkings'!W59+'A&amp;N States AggWorkings'!W59</f>
        <v>59</v>
      </c>
      <c r="X59" s="70">
        <f>'SLP States AggWorkings'!X59+'ZKY States AggWorkings'!X59+'A&amp;N States AggWorkings'!X59</f>
        <v>62</v>
      </c>
      <c r="Y59" s="70">
        <f>'SLP States AggWorkings'!Y59+'ZKY States AggWorkings'!Y59+'A&amp;N States AggWorkings'!Y59</f>
        <v>0</v>
      </c>
      <c r="Z59" s="70">
        <f>'SLP States AggWorkings'!Z59+'ZKY States AggWorkings'!Z59+'A&amp;N States AggWorkings'!Z59</f>
        <v>0</v>
      </c>
      <c r="AA59" s="49"/>
      <c r="AB59" s="421"/>
      <c r="AD59" s="452">
        <f>V59</f>
        <v>59</v>
      </c>
      <c r="AE59" s="346"/>
      <c r="AF59" s="452">
        <f t="shared" si="18"/>
        <v>59</v>
      </c>
      <c r="AG59" s="452">
        <f t="shared" si="18"/>
        <v>62</v>
      </c>
      <c r="AH59" s="342">
        <f>AG59</f>
        <v>62</v>
      </c>
      <c r="AI59" s="342">
        <f>AG59</f>
        <v>62</v>
      </c>
    </row>
    <row r="60" spans="1:42" s="340" customFormat="1">
      <c r="A60" s="45"/>
      <c r="B60" s="46"/>
      <c r="C60" s="53"/>
      <c r="D60" s="83"/>
      <c r="E60" s="83"/>
      <c r="F60" s="83"/>
      <c r="G60" s="83"/>
      <c r="H60" s="83"/>
      <c r="I60" s="83"/>
      <c r="J60" s="83"/>
      <c r="K60" s="83"/>
      <c r="L60" s="53"/>
      <c r="M60" s="53"/>
      <c r="N60" s="53"/>
      <c r="O60" s="53"/>
      <c r="P60" s="53"/>
      <c r="Q60" s="53"/>
      <c r="R60" s="53"/>
      <c r="S60" s="53"/>
      <c r="T60" s="53"/>
      <c r="U60" s="53"/>
      <c r="V60" s="53"/>
      <c r="W60" s="53"/>
      <c r="X60" s="53"/>
      <c r="Y60" s="53"/>
      <c r="Z60" s="53"/>
      <c r="AA60" s="49"/>
      <c r="AB60" s="421"/>
      <c r="AE60" s="335"/>
      <c r="AH60" s="335"/>
      <c r="AI60" s="338"/>
    </row>
    <row r="61" spans="1:42" ht="15.75" thickBot="1">
      <c r="A61" s="41" t="s">
        <v>166</v>
      </c>
      <c r="B61" s="42" t="s">
        <v>202</v>
      </c>
      <c r="C61" s="43" t="e">
        <f>'SLP States AggWorkings'!C61+'ZKY States AggWorkings'!C61</f>
        <v>#VALUE!</v>
      </c>
      <c r="D61" s="73" t="e">
        <f>'SLP States AggWorkings'!D61+'ZKY States AggWorkings'!D61</f>
        <v>#VALUE!</v>
      </c>
      <c r="E61" s="73" t="e">
        <f>'SLP States AggWorkings'!E61+'ZKY States AggWorkings'!E61</f>
        <v>#VALUE!</v>
      </c>
      <c r="F61" s="73" t="e">
        <f>'SLP States AggWorkings'!F61+'ZKY States AggWorkings'!F61</f>
        <v>#VALUE!</v>
      </c>
      <c r="G61" s="73" t="e">
        <f>'SLP States AggWorkings'!G61+'ZKY States AggWorkings'!G61</f>
        <v>#VALUE!</v>
      </c>
      <c r="H61" s="73" t="e">
        <f>'SLP States AggWorkings'!H61+'ZKY States AggWorkings'!H61</f>
        <v>#VALUE!</v>
      </c>
      <c r="I61" s="74">
        <f>'SLP States AggWorkings'!I61+'ZKY States AggWorkings'!I61</f>
        <v>30</v>
      </c>
      <c r="J61" s="73">
        <f>'SLP States AggWorkings'!J61+'ZKY States AggWorkings'!J61</f>
        <v>33</v>
      </c>
      <c r="K61" s="73">
        <f>'SLP States AggWorkings'!K61+'ZKY States AggWorkings'!K61</f>
        <v>36</v>
      </c>
      <c r="L61" s="51">
        <f>'SLP States AggWorkings'!L61+'ZKY States AggWorkings'!L61</f>
        <v>39</v>
      </c>
      <c r="M61" s="51">
        <f>'SLP States AggWorkings'!M61+'ZKY States AggWorkings'!M61</f>
        <v>42</v>
      </c>
      <c r="N61" s="50">
        <f>'SLP States AggWorkings'!N61+'ZKY States AggWorkings'!N61</f>
        <v>48</v>
      </c>
      <c r="O61" s="51">
        <f>'SLP States AggWorkings'!O61+'ZKY States AggWorkings'!O61</f>
        <v>48.75</v>
      </c>
      <c r="P61" s="51">
        <f>'SLP States AggWorkings'!P61+'ZKY States AggWorkings'!P61</f>
        <v>49.5</v>
      </c>
      <c r="Q61" s="51">
        <f>'SLP States AggWorkings'!Q61+'ZKY States AggWorkings'!Q61</f>
        <v>50.25</v>
      </c>
      <c r="R61" s="50">
        <f>'SLP States AggWorkings'!R61+'ZKY States AggWorkings'!R61</f>
        <v>51</v>
      </c>
      <c r="S61" s="51">
        <f>'SLP States AggWorkings'!S61+'ZKY States AggWorkings'!S61</f>
        <v>54.166666666666671</v>
      </c>
      <c r="T61" s="51">
        <f>'SLP States AggWorkings'!T61+'ZKY States AggWorkings'!T61</f>
        <v>57.333333333333336</v>
      </c>
      <c r="U61" s="51">
        <f>'SLP States AggWorkings'!U61+'ZKY States AggWorkings'!U61</f>
        <v>60.500000000000007</v>
      </c>
      <c r="V61" s="51">
        <f>'SLP States AggWorkings'!V61+'ZKY States AggWorkings'!V61</f>
        <v>63.666666666666671</v>
      </c>
      <c r="W61" s="51">
        <f>'SLP States AggWorkings'!W61+'ZKY States AggWorkings'!W61+'A&amp;N States AggWorkings'!W61</f>
        <v>76.666666666666671</v>
      </c>
      <c r="X61" s="51">
        <f>'SLP States AggWorkings'!X61+'ZKY States AggWorkings'!X61+'A&amp;N States AggWorkings'!X61</f>
        <v>82.333333333333329</v>
      </c>
      <c r="Y61" s="50">
        <f>'SLP States AggWorkings'!Y61+'ZKY States AggWorkings'!Y61+'A&amp;N States AggWorkings'!Y61</f>
        <v>84</v>
      </c>
      <c r="Z61" s="51">
        <f>'SLP States AggWorkings'!Z61+'ZKY States AggWorkings'!Z61+'A&amp;N States AggWorkings'!Z61</f>
        <v>84</v>
      </c>
      <c r="AA61" s="38">
        <f>'SLP States AggWorkings'!AA61+'ZKY States AggWorkings'!AA61</f>
        <v>160</v>
      </c>
      <c r="AB61" s="457">
        <f>AA61/22</f>
        <v>7.2727272727272725</v>
      </c>
      <c r="AC61" s="340"/>
      <c r="AD61" s="451">
        <f>V61</f>
        <v>63.666666666666671</v>
      </c>
      <c r="AE61" s="346"/>
      <c r="AF61" s="453">
        <f t="shared" ref="AF61:AG62" si="19">IF($AG$1=16,R61,IF($AG$1=17,S61,IF($AG$1=18,T61,IF($AG$1=19,U61,IF($AG$1=20,V61,IF($AG$1=21,W61,IF($AG$1=22,X61,0)))))))</f>
        <v>76.666666666666671</v>
      </c>
      <c r="AG61" s="453">
        <f t="shared" si="19"/>
        <v>82.333333333333329</v>
      </c>
      <c r="AI61" s="338"/>
      <c r="AK61" s="462">
        <f>(((AD61+AD64+AD67+AD70)/4/4/8)+((AD73+AD76+AD79+AD82)/4/4/8)+((AD85+AD88)/2/20)+AD91)/4</f>
        <v>2.2001302083333334</v>
      </c>
      <c r="AM61" s="460">
        <f>(((AF61+AF64+AF67+AF70)/4/4/8)+((AF73+AF76+AF79+AF82)/4/4/8)+((AF85+AF88)/2/20)+AF91)/4</f>
        <v>2.4500130208333335</v>
      </c>
      <c r="AN61" s="460">
        <f>(((AG61+AG64+AG67+AG70)/4/4/8)+((AG73+AG76+AG79+AG82)/4/4/8)+((AG85+AG88)/2/20)+AG91)/4</f>
        <v>2.5847916666666668</v>
      </c>
      <c r="AO61" s="338" t="s">
        <v>1111</v>
      </c>
    </row>
    <row r="62" spans="1:42" s="340" customFormat="1" ht="15.75" thickBot="1">
      <c r="A62" s="45"/>
      <c r="B62" s="46" t="s">
        <v>203</v>
      </c>
      <c r="C62" s="79" t="e">
        <f>'SLP States AggWorkings'!C62+'ZKY States AggWorkings'!C62</f>
        <v>#VALUE!</v>
      </c>
      <c r="D62" s="441">
        <f>'SLP States AggWorkings'!D62+'ZKY States AggWorkings'!D62</f>
        <v>2</v>
      </c>
      <c r="E62" s="442">
        <f>'SLP States AggWorkings'!E62+'ZKY States AggWorkings'!E62</f>
        <v>2</v>
      </c>
      <c r="F62" s="442">
        <f>'SLP States AggWorkings'!F62+'ZKY States AggWorkings'!F62</f>
        <v>3</v>
      </c>
      <c r="G62" s="442">
        <f>'SLP States AggWorkings'!G62+'ZKY States AggWorkings'!G62</f>
        <v>3</v>
      </c>
      <c r="H62" s="442">
        <f>'SLP States AggWorkings'!H62+'ZKY States AggWorkings'!H62</f>
        <v>3</v>
      </c>
      <c r="I62" s="442">
        <f>'SLP States AggWorkings'!I62+'ZKY States AggWorkings'!I62</f>
        <v>11</v>
      </c>
      <c r="J62" s="442">
        <f>'SLP States AggWorkings'!J62+'ZKY States AggWorkings'!J62</f>
        <v>11</v>
      </c>
      <c r="K62" s="442">
        <f>'SLP States AggWorkings'!K62+'ZKY States AggWorkings'!K62</f>
        <v>11</v>
      </c>
      <c r="L62" s="442">
        <f>'SLP States AggWorkings'!L62+'ZKY States AggWorkings'!L62</f>
        <v>9</v>
      </c>
      <c r="M62" s="442">
        <f>'SLP States AggWorkings'!M62+'ZKY States AggWorkings'!M62</f>
        <v>14</v>
      </c>
      <c r="N62" s="443">
        <f>'SLP States AggWorkings'!N62+'ZKY States AggWorkings'!N62</f>
        <v>29</v>
      </c>
      <c r="O62" s="444">
        <f>'SLP States AggWorkings'!O62+'ZKY States AggWorkings'!O62</f>
        <v>33</v>
      </c>
      <c r="P62" s="444">
        <f>'SLP States AggWorkings'!P62+'ZKY States AggWorkings'!P62</f>
        <v>38</v>
      </c>
      <c r="Q62" s="444">
        <f>'SLP States AggWorkings'!Q62+'ZKY States AggWorkings'!Q62</f>
        <v>66</v>
      </c>
      <c r="R62" s="442">
        <f>'SLP States AggWorkings'!R62+'ZKY States AggWorkings'!R62</f>
        <v>76</v>
      </c>
      <c r="S62" s="442">
        <f>'SLP States AggWorkings'!S62+'ZKY States AggWorkings'!S62</f>
        <v>83</v>
      </c>
      <c r="T62" s="442">
        <f>'SLP States AggWorkings'!T62+'ZKY States AggWorkings'!T62</f>
        <v>97</v>
      </c>
      <c r="U62" s="442">
        <f>'SLP States AggWorkings'!U62+'ZKY States AggWorkings'!U62</f>
        <v>106</v>
      </c>
      <c r="V62" s="445">
        <f>'SLP States AggWorkings'!V62+'ZKY States AggWorkings'!V62</f>
        <v>76</v>
      </c>
      <c r="W62" s="72">
        <f>'SLP States AggWorkings'!W62+'ZKY States AggWorkings'!W62+'A&amp;N States AggWorkings'!W62</f>
        <v>91</v>
      </c>
      <c r="X62" s="70">
        <f>'SLP States AggWorkings'!X62+'ZKY States AggWorkings'!X62+'A&amp;N States AggWorkings'!X62</f>
        <v>108</v>
      </c>
      <c r="Y62" s="70">
        <f>'SLP States AggWorkings'!Y62+'ZKY States AggWorkings'!Y62+'A&amp;N States AggWorkings'!Y62</f>
        <v>0</v>
      </c>
      <c r="Z62" s="70">
        <f>'SLP States AggWorkings'!Z62+'ZKY States AggWorkings'!Z62+'A&amp;N States AggWorkings'!Z62</f>
        <v>0</v>
      </c>
      <c r="AA62" s="49"/>
      <c r="AB62" s="421"/>
      <c r="AD62" s="452">
        <f>V62</f>
        <v>76</v>
      </c>
      <c r="AE62" s="346"/>
      <c r="AF62" s="452">
        <f t="shared" si="19"/>
        <v>91</v>
      </c>
      <c r="AG62" s="452">
        <f t="shared" si="19"/>
        <v>108</v>
      </c>
      <c r="AH62" s="342">
        <f>AG62</f>
        <v>108</v>
      </c>
      <c r="AI62" s="342">
        <f>AG62</f>
        <v>108</v>
      </c>
      <c r="AK62" s="461">
        <f>(((AD62+AD65+AD68+AD71)/4/4/8)+((AD74+AD77+AD80+AD83)/4/4/8)+((AD86+AD89)/2/20)+AD92)/4</f>
        <v>2.5906250000000002</v>
      </c>
      <c r="AM62" s="461">
        <f>(((AF62+AF65+AF68+AF71)/4/4/8)+((AF74+AF77+AF80+AF83)/4/4/8)+((AF86+AF89)/2/20)+AF92)/4</f>
        <v>2.6583072916666666</v>
      </c>
      <c r="AN62" s="461">
        <f>(((AG62+AG65+AG68+AG71)/4/4/8)+((AG74+AG77+AG80+AG83)/4/4/8)+((AG86+AG89)/2/20)+AG92)/4</f>
        <v>2.8307031249999999</v>
      </c>
      <c r="AO62" s="342">
        <f>AN62</f>
        <v>2.8307031249999999</v>
      </c>
      <c r="AP62" s="342">
        <f>AN62</f>
        <v>2.8307031249999999</v>
      </c>
    </row>
    <row r="63" spans="1:42" s="340" customFormat="1">
      <c r="A63" s="45"/>
      <c r="B63" s="46"/>
      <c r="C63" s="53"/>
      <c r="D63" s="427"/>
      <c r="E63" s="427"/>
      <c r="F63" s="427"/>
      <c r="G63" s="75"/>
      <c r="H63" s="75"/>
      <c r="I63" s="75"/>
      <c r="J63" s="75"/>
      <c r="K63" s="75"/>
      <c r="L63" s="53"/>
      <c r="M63" s="53"/>
      <c r="N63" s="53"/>
      <c r="O63" s="53"/>
      <c r="P63" s="53"/>
      <c r="Q63" s="53"/>
      <c r="R63" s="53"/>
      <c r="S63" s="53"/>
      <c r="T63" s="53"/>
      <c r="U63" s="53"/>
      <c r="V63" s="53"/>
      <c r="W63" s="53"/>
      <c r="X63" s="53"/>
      <c r="Y63" s="53"/>
      <c r="Z63" s="53"/>
      <c r="AA63" s="49"/>
      <c r="AB63" s="421"/>
      <c r="AD63" s="345"/>
      <c r="AE63" s="346"/>
      <c r="AF63" s="345"/>
      <c r="AG63" s="345"/>
      <c r="AH63" s="335"/>
      <c r="AI63" s="338"/>
    </row>
    <row r="64" spans="1:42" ht="15.75" thickBot="1">
      <c r="A64" s="41" t="s">
        <v>167</v>
      </c>
      <c r="B64" s="42" t="s">
        <v>213</v>
      </c>
      <c r="C64" s="43">
        <f>'SLP States AggWorkings'!C64+'ZKY States AggWorkings'!C64</f>
        <v>0</v>
      </c>
      <c r="D64" s="73">
        <f>'SLP States AggWorkings'!D64+'ZKY States AggWorkings'!D64</f>
        <v>2.1666666666666665</v>
      </c>
      <c r="E64" s="73">
        <f>'SLP States AggWorkings'!E64+'ZKY States AggWorkings'!E64</f>
        <v>4.333333333333333</v>
      </c>
      <c r="F64" s="73">
        <f>'SLP States AggWorkings'!F64+'ZKY States AggWorkings'!F64</f>
        <v>6.5</v>
      </c>
      <c r="G64" s="73">
        <f>'SLP States AggWorkings'!G64+'ZKY States AggWorkings'!G64</f>
        <v>8.6666666666666661</v>
      </c>
      <c r="H64" s="73">
        <f>'SLP States AggWorkings'!H64+'ZKY States AggWorkings'!H64</f>
        <v>10.833333333333332</v>
      </c>
      <c r="I64" s="74">
        <f>'SLP States AggWorkings'!I64+'ZKY States AggWorkings'!I64</f>
        <v>13</v>
      </c>
      <c r="J64" s="73">
        <f>'SLP States AggWorkings'!J64+'ZKY States AggWorkings'!J64</f>
        <v>15.000000000000002</v>
      </c>
      <c r="K64" s="73">
        <f>'SLP States AggWorkings'!K64+'ZKY States AggWorkings'!K64</f>
        <v>17.000000000000004</v>
      </c>
      <c r="L64" s="51">
        <f>'SLP States AggWorkings'!L64+'ZKY States AggWorkings'!L64</f>
        <v>19</v>
      </c>
      <c r="M64" s="51">
        <f>'SLP States AggWorkings'!M64+'ZKY States AggWorkings'!M64</f>
        <v>21.000000000000004</v>
      </c>
      <c r="N64" s="50">
        <f>'SLP States AggWorkings'!N64+'ZKY States AggWorkings'!N64</f>
        <v>25</v>
      </c>
      <c r="O64" s="51">
        <f>'SLP States AggWorkings'!O64+'ZKY States AggWorkings'!O64</f>
        <v>27.25</v>
      </c>
      <c r="P64" s="51">
        <f>'SLP States AggWorkings'!P64+'ZKY States AggWorkings'!P64</f>
        <v>29.5</v>
      </c>
      <c r="Q64" s="51">
        <f>'SLP States AggWorkings'!Q64+'ZKY States AggWorkings'!Q64</f>
        <v>31.75</v>
      </c>
      <c r="R64" s="50">
        <f>'SLP States AggWorkings'!R64+'ZKY States AggWorkings'!R64</f>
        <v>34</v>
      </c>
      <c r="S64" s="51">
        <f>'SLP States AggWorkings'!S64+'ZKY States AggWorkings'!S64</f>
        <v>36.833333333333329</v>
      </c>
      <c r="T64" s="51">
        <f>'SLP States AggWorkings'!T64+'ZKY States AggWorkings'!T64</f>
        <v>39.666666666666664</v>
      </c>
      <c r="U64" s="51">
        <f>'SLP States AggWorkings'!U64+'ZKY States AggWorkings'!U64</f>
        <v>42.499999999999993</v>
      </c>
      <c r="V64" s="51">
        <f>'SLP States AggWorkings'!V64+'ZKY States AggWorkings'!V64</f>
        <v>45.333333333333329</v>
      </c>
      <c r="W64" s="51">
        <f>'SLP States AggWorkings'!W64+'ZKY States AggWorkings'!W64+'A&amp;N States AggWorkings'!W64</f>
        <v>61.499999999999993</v>
      </c>
      <c r="X64" s="51">
        <f>'SLP States AggWorkings'!X64+'ZKY States AggWorkings'!X64+'A&amp;N States AggWorkings'!X64</f>
        <v>68.333333333333329</v>
      </c>
      <c r="Y64" s="50">
        <f>'SLP States AggWorkings'!Y64+'ZKY States AggWorkings'!Y64+'A&amp;N States AggWorkings'!Y64</f>
        <v>70</v>
      </c>
      <c r="Z64" s="51">
        <f>'SLP States AggWorkings'!Z64+'ZKY States AggWorkings'!Z64+'A&amp;N States AggWorkings'!Z64</f>
        <v>70</v>
      </c>
      <c r="AA64" s="38">
        <f>'SLP States AggWorkings'!AA64+'ZKY States AggWorkings'!AA64</f>
        <v>160</v>
      </c>
      <c r="AB64" s="457">
        <f>AA64/22</f>
        <v>7.2727272727272725</v>
      </c>
      <c r="AC64" s="340"/>
      <c r="AD64" s="451">
        <f>V64</f>
        <v>45.333333333333329</v>
      </c>
      <c r="AE64" s="346"/>
      <c r="AF64" s="453">
        <f t="shared" ref="AF64:AG65" si="20">IF($AG$1=16,R64,IF($AG$1=17,S64,IF($AG$1=18,T64,IF($AG$1=19,U64,IF($AG$1=20,V64,IF($AG$1=21,W64,IF($AG$1=22,X64,0)))))))</f>
        <v>61.499999999999993</v>
      </c>
      <c r="AG64" s="453">
        <f t="shared" si="20"/>
        <v>68.333333333333329</v>
      </c>
      <c r="AI64" s="338"/>
    </row>
    <row r="65" spans="1:35" s="340" customFormat="1" ht="15.75" thickBot="1">
      <c r="A65" s="45"/>
      <c r="B65" s="46" t="s">
        <v>212</v>
      </c>
      <c r="C65" s="79">
        <f>'SLP States AggWorkings'!C65+'ZKY States AggWorkings'!C65</f>
        <v>0</v>
      </c>
      <c r="D65" s="441">
        <f>'SLP States AggWorkings'!D65+'ZKY States AggWorkings'!D65</f>
        <v>0</v>
      </c>
      <c r="E65" s="442">
        <f>'SLP States AggWorkings'!E65+'ZKY States AggWorkings'!E65</f>
        <v>1</v>
      </c>
      <c r="F65" s="442">
        <f>'SLP States AggWorkings'!F65+'ZKY States AggWorkings'!F65</f>
        <v>1</v>
      </c>
      <c r="G65" s="442">
        <f>'SLP States AggWorkings'!G65+'ZKY States AggWorkings'!G65</f>
        <v>1</v>
      </c>
      <c r="H65" s="442">
        <f>'SLP States AggWorkings'!H65+'ZKY States AggWorkings'!H65</f>
        <v>2</v>
      </c>
      <c r="I65" s="442">
        <f>'SLP States AggWorkings'!I65+'ZKY States AggWorkings'!I65</f>
        <v>7</v>
      </c>
      <c r="J65" s="442">
        <f>'SLP States AggWorkings'!J65+'ZKY States AggWorkings'!J65</f>
        <v>8</v>
      </c>
      <c r="K65" s="442">
        <f>'SLP States AggWorkings'!K65+'ZKY States AggWorkings'!K65</f>
        <v>10</v>
      </c>
      <c r="L65" s="442">
        <f>'SLP States AggWorkings'!L65+'ZKY States AggWorkings'!L65</f>
        <v>8</v>
      </c>
      <c r="M65" s="442">
        <f>'SLP States AggWorkings'!M65+'ZKY States AggWorkings'!M65</f>
        <v>12</v>
      </c>
      <c r="N65" s="443">
        <f>'SLP States AggWorkings'!N65+'ZKY States AggWorkings'!N65</f>
        <v>22</v>
      </c>
      <c r="O65" s="444">
        <f>'SLP States AggWorkings'!O65+'ZKY States AggWorkings'!O65</f>
        <v>27</v>
      </c>
      <c r="P65" s="444">
        <f>'SLP States AggWorkings'!P65+'ZKY States AggWorkings'!P65</f>
        <v>43</v>
      </c>
      <c r="Q65" s="444">
        <f>'SLP States AggWorkings'!Q65+'ZKY States AggWorkings'!Q65</f>
        <v>47</v>
      </c>
      <c r="R65" s="442">
        <f>'SLP States AggWorkings'!R65+'ZKY States AggWorkings'!R65</f>
        <v>60</v>
      </c>
      <c r="S65" s="442">
        <f>'SLP States AggWorkings'!S65+'ZKY States AggWorkings'!S65</f>
        <v>68</v>
      </c>
      <c r="T65" s="442">
        <f>'SLP States AggWorkings'!T65+'ZKY States AggWorkings'!T65</f>
        <v>80</v>
      </c>
      <c r="U65" s="442">
        <f>'SLP States AggWorkings'!U65+'ZKY States AggWorkings'!U65</f>
        <v>88</v>
      </c>
      <c r="V65" s="445">
        <f>'SLP States AggWorkings'!V65+'ZKY States AggWorkings'!V65</f>
        <v>71</v>
      </c>
      <c r="W65" s="72">
        <f>'SLP States AggWorkings'!W65+'ZKY States AggWorkings'!W65+'A&amp;N States AggWorkings'!W65</f>
        <v>81</v>
      </c>
      <c r="X65" s="70">
        <f>'SLP States AggWorkings'!X65+'ZKY States AggWorkings'!X65+'A&amp;N States AggWorkings'!X65</f>
        <v>97</v>
      </c>
      <c r="Y65" s="70">
        <f>'SLP States AggWorkings'!Y65+'ZKY States AggWorkings'!Y65+'A&amp;N States AggWorkings'!Y65</f>
        <v>0</v>
      </c>
      <c r="Z65" s="70">
        <f>'SLP States AggWorkings'!Z65+'ZKY States AggWorkings'!Z65+'A&amp;N States AggWorkings'!Z65</f>
        <v>0</v>
      </c>
      <c r="AA65" s="49"/>
      <c r="AB65" s="421"/>
      <c r="AD65" s="452">
        <f>V65</f>
        <v>71</v>
      </c>
      <c r="AE65" s="346"/>
      <c r="AF65" s="452">
        <f t="shared" si="20"/>
        <v>81</v>
      </c>
      <c r="AG65" s="452">
        <f t="shared" si="20"/>
        <v>97</v>
      </c>
      <c r="AH65" s="342">
        <f>AG65</f>
        <v>97</v>
      </c>
      <c r="AI65" s="342">
        <f>AG65</f>
        <v>97</v>
      </c>
    </row>
    <row r="66" spans="1:35" s="340" customFormat="1">
      <c r="A66" s="45"/>
      <c r="B66" s="46"/>
      <c r="C66" s="53"/>
      <c r="D66" s="427"/>
      <c r="E66" s="427"/>
      <c r="F66" s="427"/>
      <c r="G66" s="75"/>
      <c r="H66" s="75"/>
      <c r="I66" s="75"/>
      <c r="J66" s="75"/>
      <c r="K66" s="75"/>
      <c r="L66" s="53"/>
      <c r="M66" s="53"/>
      <c r="N66" s="53"/>
      <c r="O66" s="53"/>
      <c r="P66" s="53"/>
      <c r="Q66" s="53"/>
      <c r="R66" s="53"/>
      <c r="S66" s="53"/>
      <c r="T66" s="53"/>
      <c r="U66" s="53"/>
      <c r="V66" s="53"/>
      <c r="W66" s="53"/>
      <c r="X66" s="53"/>
      <c r="Y66" s="53"/>
      <c r="Z66" s="53"/>
      <c r="AA66" s="49"/>
      <c r="AB66" s="421"/>
      <c r="AD66" s="345"/>
      <c r="AE66" s="346"/>
      <c r="AF66" s="345"/>
      <c r="AG66" s="345"/>
      <c r="AH66" s="335"/>
      <c r="AI66" s="338"/>
    </row>
    <row r="67" spans="1:35" ht="15.75" thickBot="1">
      <c r="A67" s="41" t="s">
        <v>168</v>
      </c>
      <c r="B67" s="42" t="s">
        <v>211</v>
      </c>
      <c r="C67" s="43">
        <f>'SLP States AggWorkings'!C67+'ZKY States AggWorkings'!C67</f>
        <v>0</v>
      </c>
      <c r="D67" s="73">
        <f>'SLP States AggWorkings'!D67+'ZKY States AggWorkings'!D67</f>
        <v>1.1666666666666667</v>
      </c>
      <c r="E67" s="73">
        <f>'SLP States AggWorkings'!E67+'ZKY States AggWorkings'!E67</f>
        <v>2.3333333333333335</v>
      </c>
      <c r="F67" s="73">
        <f>'SLP States AggWorkings'!F67+'ZKY States AggWorkings'!F67</f>
        <v>3.5</v>
      </c>
      <c r="G67" s="73">
        <f>'SLP States AggWorkings'!G67+'ZKY States AggWorkings'!G67</f>
        <v>4.666666666666667</v>
      </c>
      <c r="H67" s="73">
        <f>'SLP States AggWorkings'!H67+'ZKY States AggWorkings'!H67</f>
        <v>5.833333333333333</v>
      </c>
      <c r="I67" s="74">
        <f>'SLP States AggWorkings'!I67+'ZKY States AggWorkings'!I67</f>
        <v>7</v>
      </c>
      <c r="J67" s="73">
        <f>'SLP States AggWorkings'!J67+'ZKY States AggWorkings'!J67</f>
        <v>8.6666666666666679</v>
      </c>
      <c r="K67" s="73">
        <f>'SLP States AggWorkings'!K67+'ZKY States AggWorkings'!K67</f>
        <v>10.333333333333334</v>
      </c>
      <c r="L67" s="51">
        <f>'SLP States AggWorkings'!L67+'ZKY States AggWorkings'!L67</f>
        <v>12</v>
      </c>
      <c r="M67" s="51">
        <f>'SLP States AggWorkings'!M67+'ZKY States AggWorkings'!M67</f>
        <v>13.666666666666668</v>
      </c>
      <c r="N67" s="50">
        <f>'SLP States AggWorkings'!N67+'ZKY States AggWorkings'!N67</f>
        <v>17</v>
      </c>
      <c r="O67" s="51">
        <f>'SLP States AggWorkings'!O67+'ZKY States AggWorkings'!O67</f>
        <v>19.25</v>
      </c>
      <c r="P67" s="51">
        <f>'SLP States AggWorkings'!P67+'ZKY States AggWorkings'!P67</f>
        <v>21.5</v>
      </c>
      <c r="Q67" s="51">
        <f>'SLP States AggWorkings'!Q67+'ZKY States AggWorkings'!Q67</f>
        <v>23.75</v>
      </c>
      <c r="R67" s="50">
        <f>'SLP States AggWorkings'!R67+'ZKY States AggWorkings'!R67</f>
        <v>26</v>
      </c>
      <c r="S67" s="51">
        <f>'SLP States AggWorkings'!S67+'ZKY States AggWorkings'!S67</f>
        <v>28.666666666666668</v>
      </c>
      <c r="T67" s="51">
        <f>'SLP States AggWorkings'!T67+'ZKY States AggWorkings'!T67</f>
        <v>31.333333333333336</v>
      </c>
      <c r="U67" s="51">
        <f>'SLP States AggWorkings'!U67+'ZKY States AggWorkings'!U67</f>
        <v>33.999999999999993</v>
      </c>
      <c r="V67" s="51">
        <f>'SLP States AggWorkings'!V67+'ZKY States AggWorkings'!V67</f>
        <v>36.666666666666664</v>
      </c>
      <c r="W67" s="51">
        <f>'SLP States AggWorkings'!W67+'ZKY States AggWorkings'!W67+'A&amp;N States AggWorkings'!W67</f>
        <v>42</v>
      </c>
      <c r="X67" s="51">
        <f>'SLP States AggWorkings'!X67+'ZKY States AggWorkings'!X67+'A&amp;N States AggWorkings'!X67</f>
        <v>46</v>
      </c>
      <c r="Y67" s="50">
        <f>'SLP States AggWorkings'!Y67+'ZKY States AggWorkings'!Y67+'A&amp;N States AggWorkings'!Y67</f>
        <v>47</v>
      </c>
      <c r="Z67" s="51">
        <f>'SLP States AggWorkings'!Z67+'ZKY States AggWorkings'!Z67+'A&amp;N States AggWorkings'!Z67</f>
        <v>47</v>
      </c>
      <c r="AA67" s="38">
        <f>'SLP States AggWorkings'!AA67+'ZKY States AggWorkings'!AA67</f>
        <v>160</v>
      </c>
      <c r="AB67" s="457">
        <f>AA67/22</f>
        <v>7.2727272727272725</v>
      </c>
      <c r="AC67" s="340"/>
      <c r="AD67" s="451">
        <f>V67</f>
        <v>36.666666666666664</v>
      </c>
      <c r="AE67" s="346"/>
      <c r="AF67" s="453">
        <f t="shared" ref="AF67:AG68" si="21">IF($AG$1=16,R67,IF($AG$1=17,S67,IF($AG$1=18,T67,IF($AG$1=19,U67,IF($AG$1=20,V67,IF($AG$1=21,W67,IF($AG$1=22,X67,0)))))))</f>
        <v>42</v>
      </c>
      <c r="AG67" s="453">
        <f t="shared" si="21"/>
        <v>46</v>
      </c>
      <c r="AI67" s="338"/>
    </row>
    <row r="68" spans="1:35" s="340" customFormat="1" ht="15.75" thickBot="1">
      <c r="A68" s="45"/>
      <c r="B68" s="46" t="s">
        <v>210</v>
      </c>
      <c r="C68" s="79">
        <f>'SLP States AggWorkings'!C68+'ZKY States AggWorkings'!C68</f>
        <v>0</v>
      </c>
      <c r="D68" s="441">
        <f>'SLP States AggWorkings'!D68+'ZKY States AggWorkings'!D68</f>
        <v>0</v>
      </c>
      <c r="E68" s="442">
        <f>'SLP States AggWorkings'!E68+'ZKY States AggWorkings'!E68</f>
        <v>0</v>
      </c>
      <c r="F68" s="442">
        <f>'SLP States AggWorkings'!F68+'ZKY States AggWorkings'!F68</f>
        <v>1</v>
      </c>
      <c r="G68" s="442">
        <f>'SLP States AggWorkings'!G68+'ZKY States AggWorkings'!G68</f>
        <v>1</v>
      </c>
      <c r="H68" s="442">
        <f>'SLP States AggWorkings'!H68+'ZKY States AggWorkings'!H68</f>
        <v>1</v>
      </c>
      <c r="I68" s="442">
        <f>'SLP States AggWorkings'!I68+'ZKY States AggWorkings'!I68</f>
        <v>6</v>
      </c>
      <c r="J68" s="442">
        <f>'SLP States AggWorkings'!J68+'ZKY States AggWorkings'!J68</f>
        <v>6</v>
      </c>
      <c r="K68" s="442">
        <f>'SLP States AggWorkings'!K68+'ZKY States AggWorkings'!K68</f>
        <v>8</v>
      </c>
      <c r="L68" s="442">
        <f>'SLP States AggWorkings'!L68+'ZKY States AggWorkings'!L68</f>
        <v>6</v>
      </c>
      <c r="M68" s="442">
        <f>'SLP States AggWorkings'!M68+'ZKY States AggWorkings'!M68</f>
        <v>8</v>
      </c>
      <c r="N68" s="443">
        <f>'SLP States AggWorkings'!N68+'ZKY States AggWorkings'!N68</f>
        <v>16</v>
      </c>
      <c r="O68" s="444">
        <f>'SLP States AggWorkings'!O68+'ZKY States AggWorkings'!O68</f>
        <v>20</v>
      </c>
      <c r="P68" s="444">
        <f>'SLP States AggWorkings'!P68+'ZKY States AggWorkings'!P68</f>
        <v>28</v>
      </c>
      <c r="Q68" s="444">
        <f>'SLP States AggWorkings'!Q68+'ZKY States AggWorkings'!Q68</f>
        <v>37</v>
      </c>
      <c r="R68" s="442">
        <f>'SLP States AggWorkings'!R68+'ZKY States AggWorkings'!R68</f>
        <v>37</v>
      </c>
      <c r="S68" s="442">
        <f>'SLP States AggWorkings'!S68+'ZKY States AggWorkings'!S68</f>
        <v>48</v>
      </c>
      <c r="T68" s="442">
        <f>'SLP States AggWorkings'!T68+'ZKY States AggWorkings'!T68</f>
        <v>56</v>
      </c>
      <c r="U68" s="442">
        <f>'SLP States AggWorkings'!U68+'ZKY States AggWorkings'!U68</f>
        <v>58</v>
      </c>
      <c r="V68" s="445">
        <f>'SLP States AggWorkings'!V68+'ZKY States AggWorkings'!V68</f>
        <v>50</v>
      </c>
      <c r="W68" s="72">
        <f>'SLP States AggWorkings'!W68+'ZKY States AggWorkings'!W68+'A&amp;N States AggWorkings'!W68</f>
        <v>52</v>
      </c>
      <c r="X68" s="70">
        <f>'SLP States AggWorkings'!X68+'ZKY States AggWorkings'!X68+'A&amp;N States AggWorkings'!X68</f>
        <v>67</v>
      </c>
      <c r="Y68" s="70">
        <f>'SLP States AggWorkings'!Y68+'ZKY States AggWorkings'!Y68+'A&amp;N States AggWorkings'!Y68</f>
        <v>0</v>
      </c>
      <c r="Z68" s="70">
        <f>'SLP States AggWorkings'!Z68+'ZKY States AggWorkings'!Z68+'A&amp;N States AggWorkings'!Z68</f>
        <v>0</v>
      </c>
      <c r="AA68" s="49"/>
      <c r="AB68" s="421"/>
      <c r="AD68" s="452">
        <f>V68</f>
        <v>50</v>
      </c>
      <c r="AE68" s="346"/>
      <c r="AF68" s="452">
        <f t="shared" si="21"/>
        <v>52</v>
      </c>
      <c r="AG68" s="452">
        <f t="shared" si="21"/>
        <v>67</v>
      </c>
      <c r="AH68" s="342">
        <f>AG68</f>
        <v>67</v>
      </c>
      <c r="AI68" s="342">
        <f>AG68</f>
        <v>67</v>
      </c>
    </row>
    <row r="69" spans="1:35" s="340" customFormat="1">
      <c r="A69" s="45"/>
      <c r="B69" s="46"/>
      <c r="C69" s="53"/>
      <c r="D69" s="427"/>
      <c r="E69" s="427"/>
      <c r="F69" s="427"/>
      <c r="G69" s="75"/>
      <c r="H69" s="75"/>
      <c r="I69" s="75"/>
      <c r="J69" s="75"/>
      <c r="K69" s="75"/>
      <c r="L69" s="53"/>
      <c r="M69" s="53"/>
      <c r="N69" s="53"/>
      <c r="O69" s="53"/>
      <c r="P69" s="53"/>
      <c r="Q69" s="53"/>
      <c r="R69" s="53"/>
      <c r="S69" s="53"/>
      <c r="T69" s="53"/>
      <c r="U69" s="53"/>
      <c r="V69" s="53"/>
      <c r="W69" s="53"/>
      <c r="X69" s="53"/>
      <c r="Y69" s="53"/>
      <c r="Z69" s="53"/>
      <c r="AA69" s="49"/>
      <c r="AB69" s="421"/>
      <c r="AD69" s="345"/>
      <c r="AE69" s="346"/>
      <c r="AF69" s="345"/>
      <c r="AG69" s="345"/>
      <c r="AH69" s="335"/>
      <c r="AI69" s="338"/>
    </row>
    <row r="70" spans="1:35" ht="15.75" thickBot="1">
      <c r="A70" s="41" t="s">
        <v>169</v>
      </c>
      <c r="B70" s="42" t="s">
        <v>209</v>
      </c>
      <c r="C70" s="43">
        <f>'SLP States AggWorkings'!C70+'ZKY States AggWorkings'!C70</f>
        <v>0</v>
      </c>
      <c r="D70" s="73">
        <f>'SLP States AggWorkings'!D70+'ZKY States AggWorkings'!D70</f>
        <v>0.5</v>
      </c>
      <c r="E70" s="73">
        <f>'SLP States AggWorkings'!E70+'ZKY States AggWorkings'!E70</f>
        <v>1</v>
      </c>
      <c r="F70" s="73">
        <f>'SLP States AggWorkings'!F70+'ZKY States AggWorkings'!F70</f>
        <v>1.5</v>
      </c>
      <c r="G70" s="73">
        <f>'SLP States AggWorkings'!G70+'ZKY States AggWorkings'!G70</f>
        <v>2</v>
      </c>
      <c r="H70" s="73">
        <f>'SLP States AggWorkings'!H70+'ZKY States AggWorkings'!H70</f>
        <v>2.5</v>
      </c>
      <c r="I70" s="74">
        <f>'SLP States AggWorkings'!I70+'ZKY States AggWorkings'!I70</f>
        <v>3</v>
      </c>
      <c r="J70" s="73">
        <f>'SLP States AggWorkings'!J70+'ZKY States AggWorkings'!J70</f>
        <v>3.833333333333333</v>
      </c>
      <c r="K70" s="73">
        <f>'SLP States AggWorkings'!K70+'ZKY States AggWorkings'!K70</f>
        <v>4.6666666666666661</v>
      </c>
      <c r="L70" s="51">
        <f>'SLP States AggWorkings'!L70+'ZKY States AggWorkings'!L70</f>
        <v>5.5</v>
      </c>
      <c r="M70" s="51">
        <f>'SLP States AggWorkings'!M70+'ZKY States AggWorkings'!M70</f>
        <v>6.333333333333333</v>
      </c>
      <c r="N70" s="50">
        <f>'SLP States AggWorkings'!N70+'ZKY States AggWorkings'!N70</f>
        <v>8</v>
      </c>
      <c r="O70" s="51">
        <f>'SLP States AggWorkings'!O70+'ZKY States AggWorkings'!O70</f>
        <v>9.75</v>
      </c>
      <c r="P70" s="51">
        <f>'SLP States AggWorkings'!P70+'ZKY States AggWorkings'!P70</f>
        <v>11.5</v>
      </c>
      <c r="Q70" s="51">
        <f>'SLP States AggWorkings'!Q70+'ZKY States AggWorkings'!Q70</f>
        <v>13.25</v>
      </c>
      <c r="R70" s="50">
        <f>'SLP States AggWorkings'!R70+'ZKY States AggWorkings'!R70</f>
        <v>15</v>
      </c>
      <c r="S70" s="51">
        <f>'SLP States AggWorkings'!S70+'ZKY States AggWorkings'!S70</f>
        <v>17.166666666666668</v>
      </c>
      <c r="T70" s="51">
        <f>'SLP States AggWorkings'!T70+'ZKY States AggWorkings'!T70</f>
        <v>19.333333333333339</v>
      </c>
      <c r="U70" s="51">
        <f>'SLP States AggWorkings'!U70+'ZKY States AggWorkings'!U70</f>
        <v>21.5</v>
      </c>
      <c r="V70" s="51">
        <f>'SLP States AggWorkings'!V70+'ZKY States AggWorkings'!V70</f>
        <v>23.666666666666664</v>
      </c>
      <c r="W70" s="51">
        <f>'SLP States AggWorkings'!W70+'ZKY States AggWorkings'!W70+'A&amp;N States AggWorkings'!W70</f>
        <v>19.166666666666671</v>
      </c>
      <c r="X70" s="51">
        <f>'SLP States AggWorkings'!X70+'ZKY States AggWorkings'!X70+'A&amp;N States AggWorkings'!X70</f>
        <v>20</v>
      </c>
      <c r="Y70" s="50">
        <f>'SLP States AggWorkings'!Y70+'ZKY States AggWorkings'!Y70+'A&amp;N States AggWorkings'!Y70</f>
        <v>20</v>
      </c>
      <c r="Z70" s="51">
        <f>'SLP States AggWorkings'!Z70+'ZKY States AggWorkings'!Z70+'A&amp;N States AggWorkings'!Z70</f>
        <v>20</v>
      </c>
      <c r="AA70" s="38">
        <f>'SLP States AggWorkings'!AA70+'ZKY States AggWorkings'!AA70</f>
        <v>160</v>
      </c>
      <c r="AB70" s="457">
        <f>AA70/22</f>
        <v>7.2727272727272725</v>
      </c>
      <c r="AC70" s="340"/>
      <c r="AD70" s="451">
        <f>V70</f>
        <v>23.666666666666664</v>
      </c>
      <c r="AE70" s="346"/>
      <c r="AF70" s="453">
        <f t="shared" ref="AF70:AG71" si="22">IF($AG$1=16,R70,IF($AG$1=17,S70,IF($AG$1=18,T70,IF($AG$1=19,U70,IF($AG$1=20,V70,IF($AG$1=21,W70,IF($AG$1=22,X70,0)))))))</f>
        <v>19.166666666666671</v>
      </c>
      <c r="AG70" s="453">
        <f t="shared" si="22"/>
        <v>20</v>
      </c>
      <c r="AI70" s="338"/>
    </row>
    <row r="71" spans="1:35" s="340" customFormat="1" ht="15.75" thickBot="1">
      <c r="A71" s="45"/>
      <c r="B71" s="46" t="s">
        <v>208</v>
      </c>
      <c r="C71" s="79">
        <f>'SLP States AggWorkings'!C71+'ZKY States AggWorkings'!C71</f>
        <v>0</v>
      </c>
      <c r="D71" s="441">
        <f>'SLP States AggWorkings'!D71+'ZKY States AggWorkings'!D71</f>
        <v>0</v>
      </c>
      <c r="E71" s="442">
        <f>'SLP States AggWorkings'!E71+'ZKY States AggWorkings'!E71</f>
        <v>0</v>
      </c>
      <c r="F71" s="442">
        <f>'SLP States AggWorkings'!F71+'ZKY States AggWorkings'!F71</f>
        <v>0</v>
      </c>
      <c r="G71" s="442">
        <f>'SLP States AggWorkings'!G71+'ZKY States AggWorkings'!G71</f>
        <v>0</v>
      </c>
      <c r="H71" s="442">
        <f>'SLP States AggWorkings'!H71+'ZKY States AggWorkings'!H71</f>
        <v>0</v>
      </c>
      <c r="I71" s="442">
        <f>'SLP States AggWorkings'!I71+'ZKY States AggWorkings'!I71</f>
        <v>4</v>
      </c>
      <c r="J71" s="442">
        <f>'SLP States AggWorkings'!J71+'ZKY States AggWorkings'!J71</f>
        <v>4</v>
      </c>
      <c r="K71" s="442">
        <f>'SLP States AggWorkings'!K71+'ZKY States AggWorkings'!K71</f>
        <v>5</v>
      </c>
      <c r="L71" s="442">
        <f>'SLP States AggWorkings'!L71+'ZKY States AggWorkings'!L71</f>
        <v>5</v>
      </c>
      <c r="M71" s="442">
        <f>'SLP States AggWorkings'!M71+'ZKY States AggWorkings'!M71</f>
        <v>10</v>
      </c>
      <c r="N71" s="443">
        <f>'SLP States AggWorkings'!N71+'ZKY States AggWorkings'!N71</f>
        <v>10</v>
      </c>
      <c r="O71" s="444">
        <f>'SLP States AggWorkings'!O71+'ZKY States AggWorkings'!O71</f>
        <v>10</v>
      </c>
      <c r="P71" s="444">
        <f>'SLP States AggWorkings'!P71+'ZKY States AggWorkings'!P71</f>
        <v>17</v>
      </c>
      <c r="Q71" s="444">
        <f>'SLP States AggWorkings'!Q71+'ZKY States AggWorkings'!Q71</f>
        <v>14</v>
      </c>
      <c r="R71" s="442">
        <f>'SLP States AggWorkings'!R71+'ZKY States AggWorkings'!R71</f>
        <v>20</v>
      </c>
      <c r="S71" s="442">
        <f>'SLP States AggWorkings'!S71+'ZKY States AggWorkings'!S71</f>
        <v>27</v>
      </c>
      <c r="T71" s="442">
        <f>'SLP States AggWorkings'!T71+'ZKY States AggWorkings'!T71</f>
        <v>33</v>
      </c>
      <c r="U71" s="442">
        <f>'SLP States AggWorkings'!U71+'ZKY States AggWorkings'!U71</f>
        <v>41</v>
      </c>
      <c r="V71" s="445">
        <f>'SLP States AggWorkings'!V71+'ZKY States AggWorkings'!V71</f>
        <v>11</v>
      </c>
      <c r="W71" s="72">
        <f>'SLP States AggWorkings'!W71+'ZKY States AggWorkings'!W71+'A&amp;N States AggWorkings'!W71</f>
        <v>13</v>
      </c>
      <c r="X71" s="70">
        <f>'SLP States AggWorkings'!X71+'ZKY States AggWorkings'!X71+'A&amp;N States AggWorkings'!X71</f>
        <v>16</v>
      </c>
      <c r="Y71" s="70">
        <f>'SLP States AggWorkings'!Y71+'ZKY States AggWorkings'!Y71+'A&amp;N States AggWorkings'!Y71</f>
        <v>0</v>
      </c>
      <c r="Z71" s="70">
        <f>'SLP States AggWorkings'!Z71+'ZKY States AggWorkings'!Z71+'A&amp;N States AggWorkings'!Z71</f>
        <v>0</v>
      </c>
      <c r="AA71" s="49"/>
      <c r="AB71" s="421"/>
      <c r="AD71" s="452">
        <f>V71</f>
        <v>11</v>
      </c>
      <c r="AE71" s="346"/>
      <c r="AF71" s="452">
        <f t="shared" si="22"/>
        <v>13</v>
      </c>
      <c r="AG71" s="452">
        <f t="shared" si="22"/>
        <v>16</v>
      </c>
      <c r="AH71" s="342">
        <f>AG71</f>
        <v>16</v>
      </c>
      <c r="AI71" s="342">
        <f>AG71</f>
        <v>16</v>
      </c>
    </row>
    <row r="72" spans="1:35" s="340" customFormat="1">
      <c r="A72" s="45"/>
      <c r="B72" s="46"/>
      <c r="C72" s="53"/>
      <c r="D72" s="427"/>
      <c r="E72" s="427"/>
      <c r="F72" s="427"/>
      <c r="G72" s="75"/>
      <c r="H72" s="75"/>
      <c r="I72" s="75"/>
      <c r="J72" s="75"/>
      <c r="K72" s="75"/>
      <c r="L72" s="53"/>
      <c r="M72" s="53"/>
      <c r="N72" s="53"/>
      <c r="O72" s="53"/>
      <c r="P72" s="53"/>
      <c r="Q72" s="53"/>
      <c r="R72" s="53"/>
      <c r="S72" s="53"/>
      <c r="T72" s="53"/>
      <c r="U72" s="53"/>
      <c r="V72" s="53"/>
      <c r="W72" s="53"/>
      <c r="X72" s="53"/>
      <c r="Y72" s="53"/>
      <c r="Z72" s="53"/>
      <c r="AA72" s="49"/>
      <c r="AB72" s="421"/>
      <c r="AD72" s="345"/>
      <c r="AE72" s="346"/>
      <c r="AF72" s="345"/>
      <c r="AG72" s="345"/>
      <c r="AH72" s="335"/>
      <c r="AI72" s="338"/>
    </row>
    <row r="73" spans="1:35" ht="15.75" thickBot="1">
      <c r="A73" s="41" t="s">
        <v>162</v>
      </c>
      <c r="B73" s="42" t="s">
        <v>202</v>
      </c>
      <c r="C73" s="43" t="e">
        <f>'SLP States AggWorkings'!C73+'ZKY States AggWorkings'!C73</f>
        <v>#VALUE!</v>
      </c>
      <c r="D73" s="73" t="e">
        <f>'SLP States AggWorkings'!D73+'ZKY States AggWorkings'!D73</f>
        <v>#VALUE!</v>
      </c>
      <c r="E73" s="73" t="e">
        <f>'SLP States AggWorkings'!E73+'ZKY States AggWorkings'!E73</f>
        <v>#VALUE!</v>
      </c>
      <c r="F73" s="73" t="e">
        <f>'SLP States AggWorkings'!F73+'ZKY States AggWorkings'!F73</f>
        <v>#VALUE!</v>
      </c>
      <c r="G73" s="73" t="e">
        <f>'SLP States AggWorkings'!G73+'ZKY States AggWorkings'!G73</f>
        <v>#VALUE!</v>
      </c>
      <c r="H73" s="73" t="e">
        <f>'SLP States AggWorkings'!H73+'ZKY States AggWorkings'!H73</f>
        <v>#VALUE!</v>
      </c>
      <c r="I73" s="74">
        <f>'SLP States AggWorkings'!I73+'ZKY States AggWorkings'!I73</f>
        <v>15</v>
      </c>
      <c r="J73" s="73">
        <f>'SLP States AggWorkings'!J73+'ZKY States AggWorkings'!J73</f>
        <v>17.333333333333336</v>
      </c>
      <c r="K73" s="73">
        <f>'SLP States AggWorkings'!K73+'ZKY States AggWorkings'!K73</f>
        <v>19.666666666666668</v>
      </c>
      <c r="L73" s="51">
        <f>'SLP States AggWorkings'!L73+'ZKY States AggWorkings'!L73</f>
        <v>22</v>
      </c>
      <c r="M73" s="51">
        <f>'SLP States AggWorkings'!M73+'ZKY States AggWorkings'!M73</f>
        <v>24.333333333333332</v>
      </c>
      <c r="N73" s="50">
        <f>'SLP States AggWorkings'!N73+'ZKY States AggWorkings'!N73</f>
        <v>29</v>
      </c>
      <c r="O73" s="51">
        <f>'SLP States AggWorkings'!O73+'ZKY States AggWorkings'!O73</f>
        <v>33</v>
      </c>
      <c r="P73" s="51">
        <f>'SLP States AggWorkings'!P73+'ZKY States AggWorkings'!P73</f>
        <v>37</v>
      </c>
      <c r="Q73" s="51">
        <f>'SLP States AggWorkings'!Q73+'ZKY States AggWorkings'!Q73</f>
        <v>41</v>
      </c>
      <c r="R73" s="50">
        <f>'SLP States AggWorkings'!R73+'ZKY States AggWorkings'!R73</f>
        <v>45</v>
      </c>
      <c r="S73" s="51">
        <f>'SLP States AggWorkings'!S73+'ZKY States AggWorkings'!S73</f>
        <v>47.333333333333336</v>
      </c>
      <c r="T73" s="51">
        <f>'SLP States AggWorkings'!T73+'ZKY States AggWorkings'!T73</f>
        <v>49.666666666666671</v>
      </c>
      <c r="U73" s="51">
        <f>'SLP States AggWorkings'!U73+'ZKY States AggWorkings'!U73</f>
        <v>52.000000000000007</v>
      </c>
      <c r="V73" s="51">
        <f>'SLP States AggWorkings'!V73+'ZKY States AggWorkings'!V73</f>
        <v>54.333333333333336</v>
      </c>
      <c r="W73" s="51">
        <f>'SLP States AggWorkings'!W73+'ZKY States AggWorkings'!W73+'A&amp;N States AggWorkings'!W73</f>
        <v>72.000000000000014</v>
      </c>
      <c r="X73" s="51">
        <f>'SLP States AggWorkings'!X73+'ZKY States AggWorkings'!X73+'A&amp;N States AggWorkings'!X73</f>
        <v>77</v>
      </c>
      <c r="Y73" s="50">
        <f>'SLP States AggWorkings'!Y73+'ZKY States AggWorkings'!Y73+'A&amp;N States AggWorkings'!Y73</f>
        <v>78</v>
      </c>
      <c r="Z73" s="51">
        <f>'SLP States AggWorkings'!Z73+'ZKY States AggWorkings'!Z73+'A&amp;N States AggWorkings'!Z73</f>
        <v>78</v>
      </c>
      <c r="AA73" s="38">
        <f>'SLP States AggWorkings'!AA73+'ZKY States AggWorkings'!AA73</f>
        <v>160</v>
      </c>
      <c r="AB73" s="457">
        <f>AA73/22</f>
        <v>7.2727272727272725</v>
      </c>
      <c r="AC73" s="340"/>
      <c r="AD73" s="451">
        <f>V73</f>
        <v>54.333333333333336</v>
      </c>
      <c r="AE73" s="346"/>
      <c r="AF73" s="453">
        <f t="shared" ref="AF73:AG74" si="23">IF($AG$1=16,R73,IF($AG$1=17,S73,IF($AG$1=18,T73,IF($AG$1=19,U73,IF($AG$1=20,V73,IF($AG$1=21,W73,IF($AG$1=22,X73,0)))))))</f>
        <v>72.000000000000014</v>
      </c>
      <c r="AG73" s="453">
        <f t="shared" si="23"/>
        <v>77</v>
      </c>
      <c r="AI73" s="338"/>
    </row>
    <row r="74" spans="1:35" s="340" customFormat="1" ht="15.75" thickBot="1">
      <c r="A74" s="45"/>
      <c r="B74" s="46" t="s">
        <v>203</v>
      </c>
      <c r="C74" s="79" t="e">
        <f>'SLP States AggWorkings'!C74+'ZKY States AggWorkings'!C74</f>
        <v>#VALUE!</v>
      </c>
      <c r="D74" s="441">
        <f>'SLP States AggWorkings'!D74+'ZKY States AggWorkings'!D74</f>
        <v>0</v>
      </c>
      <c r="E74" s="442">
        <f>'SLP States AggWorkings'!E74+'ZKY States AggWorkings'!E74</f>
        <v>0</v>
      </c>
      <c r="F74" s="442">
        <f>'SLP States AggWorkings'!F74+'ZKY States AggWorkings'!F74</f>
        <v>0</v>
      </c>
      <c r="G74" s="442">
        <f>'SLP States AggWorkings'!G74+'ZKY States AggWorkings'!G74</f>
        <v>0</v>
      </c>
      <c r="H74" s="442">
        <f>'SLP States AggWorkings'!H74+'ZKY States AggWorkings'!H74</f>
        <v>0</v>
      </c>
      <c r="I74" s="442">
        <f>'SLP States AggWorkings'!I74+'ZKY States AggWorkings'!I74</f>
        <v>0</v>
      </c>
      <c r="J74" s="442">
        <f>'SLP States AggWorkings'!J74+'ZKY States AggWorkings'!J74</f>
        <v>0</v>
      </c>
      <c r="K74" s="442">
        <f>'SLP States AggWorkings'!K74+'ZKY States AggWorkings'!K74</f>
        <v>0</v>
      </c>
      <c r="L74" s="442">
        <f>'SLP States AggWorkings'!L74+'ZKY States AggWorkings'!L74</f>
        <v>7</v>
      </c>
      <c r="M74" s="442">
        <f>'SLP States AggWorkings'!M74+'ZKY States AggWorkings'!M74</f>
        <v>7</v>
      </c>
      <c r="N74" s="443">
        <f>'SLP States AggWorkings'!N74+'ZKY States AggWorkings'!N74</f>
        <v>20</v>
      </c>
      <c r="O74" s="444">
        <f>'SLP States AggWorkings'!O74+'ZKY States AggWorkings'!O74</f>
        <v>22</v>
      </c>
      <c r="P74" s="444">
        <f>'SLP States AggWorkings'!P74+'ZKY States AggWorkings'!P74</f>
        <v>25</v>
      </c>
      <c r="Q74" s="444">
        <f>'SLP States AggWorkings'!Q74+'ZKY States AggWorkings'!Q74</f>
        <v>40</v>
      </c>
      <c r="R74" s="442">
        <f>'SLP States AggWorkings'!R74+'ZKY States AggWorkings'!R74</f>
        <v>37</v>
      </c>
      <c r="S74" s="442">
        <f>'SLP States AggWorkings'!S74+'ZKY States AggWorkings'!S74</f>
        <v>51</v>
      </c>
      <c r="T74" s="442">
        <f>'SLP States AggWorkings'!T74+'ZKY States AggWorkings'!T74</f>
        <v>68</v>
      </c>
      <c r="U74" s="442">
        <f>'SLP States AggWorkings'!U74+'ZKY States AggWorkings'!U74</f>
        <v>66</v>
      </c>
      <c r="V74" s="445">
        <f>'SLP States AggWorkings'!V74+'ZKY States AggWorkings'!V74</f>
        <v>65</v>
      </c>
      <c r="W74" s="72">
        <f>'SLP States AggWorkings'!W74+'ZKY States AggWorkings'!W74+'A&amp;N States AggWorkings'!W74</f>
        <v>87</v>
      </c>
      <c r="X74" s="70">
        <f>'SLP States AggWorkings'!X74+'ZKY States AggWorkings'!X74+'A&amp;N States AggWorkings'!X74</f>
        <v>91</v>
      </c>
      <c r="Y74" s="70">
        <f>'SLP States AggWorkings'!Y74+'ZKY States AggWorkings'!Y74+'A&amp;N States AggWorkings'!Y74</f>
        <v>0</v>
      </c>
      <c r="Z74" s="70">
        <f>'SLP States AggWorkings'!Z74+'ZKY States AggWorkings'!Z74+'A&amp;N States AggWorkings'!Z74</f>
        <v>0</v>
      </c>
      <c r="AA74" s="49"/>
      <c r="AB74" s="421"/>
      <c r="AD74" s="452">
        <f>V74</f>
        <v>65</v>
      </c>
      <c r="AE74" s="346"/>
      <c r="AF74" s="452">
        <f t="shared" si="23"/>
        <v>87</v>
      </c>
      <c r="AG74" s="452">
        <f t="shared" si="23"/>
        <v>91</v>
      </c>
      <c r="AH74" s="342">
        <f>AG74</f>
        <v>91</v>
      </c>
      <c r="AI74" s="342">
        <f>AG74</f>
        <v>91</v>
      </c>
    </row>
    <row r="75" spans="1:35" s="340" customFormat="1">
      <c r="A75" s="45"/>
      <c r="B75" s="46"/>
      <c r="C75" s="53"/>
      <c r="D75" s="428"/>
      <c r="E75" s="428"/>
      <c r="F75" s="428"/>
      <c r="G75" s="53"/>
      <c r="H75" s="53"/>
      <c r="I75" s="53"/>
      <c r="J75" s="53"/>
      <c r="K75" s="53"/>
      <c r="L75" s="53"/>
      <c r="M75" s="53"/>
      <c r="N75" s="53"/>
      <c r="O75" s="53"/>
      <c r="P75" s="53"/>
      <c r="Q75" s="53"/>
      <c r="R75" s="53"/>
      <c r="S75" s="53"/>
      <c r="T75" s="53"/>
      <c r="U75" s="53"/>
      <c r="V75" s="53"/>
      <c r="W75" s="53"/>
      <c r="X75" s="53"/>
      <c r="Y75" s="53"/>
      <c r="Z75" s="53"/>
      <c r="AA75" s="49"/>
      <c r="AB75" s="421"/>
      <c r="AD75" s="345"/>
      <c r="AE75" s="346"/>
      <c r="AF75" s="345"/>
      <c r="AG75" s="345"/>
      <c r="AH75" s="335"/>
      <c r="AI75" s="338"/>
    </row>
    <row r="76" spans="1:35" ht="15.75" thickBot="1">
      <c r="A76" s="41" t="s">
        <v>163</v>
      </c>
      <c r="B76" s="42" t="s">
        <v>213</v>
      </c>
      <c r="C76" s="43">
        <f>'SLP States AggWorkings'!C76+'ZKY States AggWorkings'!C76</f>
        <v>0</v>
      </c>
      <c r="D76" s="73">
        <f>'SLP States AggWorkings'!D76+'ZKY States AggWorkings'!D76</f>
        <v>1.6666666666666665</v>
      </c>
      <c r="E76" s="73">
        <f>'SLP States AggWorkings'!E76+'ZKY States AggWorkings'!E76</f>
        <v>3.333333333333333</v>
      </c>
      <c r="F76" s="73">
        <f>'SLP States AggWorkings'!F76+'ZKY States AggWorkings'!F76</f>
        <v>5</v>
      </c>
      <c r="G76" s="73">
        <f>'SLP States AggWorkings'!G76+'ZKY States AggWorkings'!G76</f>
        <v>6.6666666666666661</v>
      </c>
      <c r="H76" s="73">
        <f>'SLP States AggWorkings'!H76+'ZKY States AggWorkings'!H76</f>
        <v>8.3333333333333321</v>
      </c>
      <c r="I76" s="74">
        <f>'SLP States AggWorkings'!I76+'ZKY States AggWorkings'!I76</f>
        <v>10</v>
      </c>
      <c r="J76" s="73">
        <f>'SLP States AggWorkings'!J76+'ZKY States AggWorkings'!J76</f>
        <v>12.166666666666668</v>
      </c>
      <c r="K76" s="73">
        <f>'SLP States AggWorkings'!K76+'ZKY States AggWorkings'!K76</f>
        <v>14.333333333333334</v>
      </c>
      <c r="L76" s="51">
        <f>'SLP States AggWorkings'!L76+'ZKY States AggWorkings'!L76</f>
        <v>16.5</v>
      </c>
      <c r="M76" s="51">
        <f>'SLP States AggWorkings'!M76+'ZKY States AggWorkings'!M76</f>
        <v>18.666666666666668</v>
      </c>
      <c r="N76" s="50">
        <f>'SLP States AggWorkings'!N76+'ZKY States AggWorkings'!N76</f>
        <v>23</v>
      </c>
      <c r="O76" s="51">
        <f>'SLP States AggWorkings'!O76+'ZKY States AggWorkings'!O76</f>
        <v>25.75</v>
      </c>
      <c r="P76" s="51">
        <f>'SLP States AggWorkings'!P76+'ZKY States AggWorkings'!P76</f>
        <v>28.5</v>
      </c>
      <c r="Q76" s="51">
        <f>'SLP States AggWorkings'!Q76+'ZKY States AggWorkings'!Q76</f>
        <v>31.25</v>
      </c>
      <c r="R76" s="50">
        <f>'SLP States AggWorkings'!R76+'ZKY States AggWorkings'!R76</f>
        <v>34</v>
      </c>
      <c r="S76" s="51">
        <f>'SLP States AggWorkings'!S76+'ZKY States AggWorkings'!S76</f>
        <v>36</v>
      </c>
      <c r="T76" s="51">
        <f>'SLP States AggWorkings'!T76+'ZKY States AggWorkings'!T76</f>
        <v>38</v>
      </c>
      <c r="U76" s="51">
        <f>'SLP States AggWorkings'!U76+'ZKY States AggWorkings'!U76</f>
        <v>39.999999999999993</v>
      </c>
      <c r="V76" s="51">
        <f>'SLP States AggWorkings'!V76+'ZKY States AggWorkings'!V76</f>
        <v>42</v>
      </c>
      <c r="W76" s="51">
        <f>'SLP States AggWorkings'!W76+'ZKY States AggWorkings'!W76+'A&amp;N States AggWorkings'!W76</f>
        <v>58.166666666666657</v>
      </c>
      <c r="X76" s="51">
        <f>'SLP States AggWorkings'!X76+'ZKY States AggWorkings'!X76+'A&amp;N States AggWorkings'!X76</f>
        <v>63</v>
      </c>
      <c r="Y76" s="50">
        <f>'SLP States AggWorkings'!Y76+'ZKY States AggWorkings'!Y76+'A&amp;N States AggWorkings'!Y76</f>
        <v>64</v>
      </c>
      <c r="Z76" s="51">
        <f>'SLP States AggWorkings'!Z76+'ZKY States AggWorkings'!Z76+'A&amp;N States AggWorkings'!Z76</f>
        <v>64</v>
      </c>
      <c r="AA76" s="38">
        <f>'SLP States AggWorkings'!AA76+'ZKY States AggWorkings'!AA76</f>
        <v>160</v>
      </c>
      <c r="AB76" s="457">
        <f>AA76/22</f>
        <v>7.2727272727272725</v>
      </c>
      <c r="AC76" s="340"/>
      <c r="AD76" s="451">
        <f>V76</f>
        <v>42</v>
      </c>
      <c r="AE76" s="346"/>
      <c r="AF76" s="453">
        <f t="shared" ref="AF76:AG77" si="24">IF($AG$1=16,R76,IF($AG$1=17,S76,IF($AG$1=18,T76,IF($AG$1=19,U76,IF($AG$1=20,V76,IF($AG$1=21,W76,IF($AG$1=22,X76,0)))))))</f>
        <v>58.166666666666657</v>
      </c>
      <c r="AG76" s="453">
        <f t="shared" si="24"/>
        <v>63</v>
      </c>
      <c r="AI76" s="338"/>
    </row>
    <row r="77" spans="1:35" s="340" customFormat="1" ht="15.75" thickBot="1">
      <c r="A77" s="45"/>
      <c r="B77" s="46" t="s">
        <v>212</v>
      </c>
      <c r="C77" s="79">
        <f>'SLP States AggWorkings'!C77+'ZKY States AggWorkings'!C77</f>
        <v>0</v>
      </c>
      <c r="D77" s="441">
        <f>'SLP States AggWorkings'!D77+'ZKY States AggWorkings'!D77</f>
        <v>0</v>
      </c>
      <c r="E77" s="442">
        <f>'SLP States AggWorkings'!E77+'ZKY States AggWorkings'!E77</f>
        <v>0</v>
      </c>
      <c r="F77" s="442">
        <f>'SLP States AggWorkings'!F77+'ZKY States AggWorkings'!F77</f>
        <v>0</v>
      </c>
      <c r="G77" s="442">
        <f>'SLP States AggWorkings'!G77+'ZKY States AggWorkings'!G77</f>
        <v>0</v>
      </c>
      <c r="H77" s="442">
        <f>'SLP States AggWorkings'!H77+'ZKY States AggWorkings'!H77</f>
        <v>0</v>
      </c>
      <c r="I77" s="442">
        <f>'SLP States AggWorkings'!I77+'ZKY States AggWorkings'!I77</f>
        <v>1</v>
      </c>
      <c r="J77" s="442">
        <f>'SLP States AggWorkings'!J77+'ZKY States AggWorkings'!J77</f>
        <v>2</v>
      </c>
      <c r="K77" s="442">
        <f>'SLP States AggWorkings'!K77+'ZKY States AggWorkings'!K77</f>
        <v>3</v>
      </c>
      <c r="L77" s="442">
        <f>'SLP States AggWorkings'!L77+'ZKY States AggWorkings'!L77</f>
        <v>6</v>
      </c>
      <c r="M77" s="442">
        <f>'SLP States AggWorkings'!M77+'ZKY States AggWorkings'!M77</f>
        <v>9</v>
      </c>
      <c r="N77" s="443">
        <f>'SLP States AggWorkings'!N77+'ZKY States AggWorkings'!N77</f>
        <v>22</v>
      </c>
      <c r="O77" s="444">
        <f>'SLP States AggWorkings'!O77+'ZKY States AggWorkings'!O77</f>
        <v>24</v>
      </c>
      <c r="P77" s="444">
        <f>'SLP States AggWorkings'!P77+'ZKY States AggWorkings'!P77</f>
        <v>25</v>
      </c>
      <c r="Q77" s="444">
        <f>'SLP States AggWorkings'!Q77+'ZKY States AggWorkings'!Q77</f>
        <v>30</v>
      </c>
      <c r="R77" s="442">
        <f>'SLP States AggWorkings'!R77+'ZKY States AggWorkings'!R77</f>
        <v>26</v>
      </c>
      <c r="S77" s="442">
        <f>'SLP States AggWorkings'!S77+'ZKY States AggWorkings'!S77</f>
        <v>48</v>
      </c>
      <c r="T77" s="442">
        <f>'SLP States AggWorkings'!T77+'ZKY States AggWorkings'!T77</f>
        <v>56</v>
      </c>
      <c r="U77" s="442">
        <f>'SLP States AggWorkings'!U77+'ZKY States AggWorkings'!U77</f>
        <v>58</v>
      </c>
      <c r="V77" s="445">
        <f>'SLP States AggWorkings'!V77+'ZKY States AggWorkings'!V77</f>
        <v>60</v>
      </c>
      <c r="W77" s="72">
        <f>'SLP States AggWorkings'!W77+'ZKY States AggWorkings'!W77+'A&amp;N States AggWorkings'!W77</f>
        <v>76</v>
      </c>
      <c r="X77" s="70">
        <f>'SLP States AggWorkings'!X77+'ZKY States AggWorkings'!X77+'A&amp;N States AggWorkings'!X77</f>
        <v>78</v>
      </c>
      <c r="Y77" s="70">
        <f>'SLP States AggWorkings'!Y77+'ZKY States AggWorkings'!Y77+'A&amp;N States AggWorkings'!Y77</f>
        <v>0</v>
      </c>
      <c r="Z77" s="70">
        <f>'SLP States AggWorkings'!Z77+'ZKY States AggWorkings'!Z77+'A&amp;N States AggWorkings'!Z77</f>
        <v>0</v>
      </c>
      <c r="AA77" s="49"/>
      <c r="AB77" s="421"/>
      <c r="AD77" s="452">
        <f>V77</f>
        <v>60</v>
      </c>
      <c r="AE77" s="346"/>
      <c r="AF77" s="452">
        <f t="shared" si="24"/>
        <v>76</v>
      </c>
      <c r="AG77" s="452">
        <f t="shared" si="24"/>
        <v>78</v>
      </c>
      <c r="AH77" s="342">
        <f>AG77</f>
        <v>78</v>
      </c>
      <c r="AI77" s="342">
        <f>AG77</f>
        <v>78</v>
      </c>
    </row>
    <row r="78" spans="1:35" s="340" customFormat="1">
      <c r="A78" s="45"/>
      <c r="B78" s="46"/>
      <c r="C78" s="53"/>
      <c r="D78" s="428"/>
      <c r="E78" s="428"/>
      <c r="F78" s="428"/>
      <c r="G78" s="53"/>
      <c r="H78" s="53"/>
      <c r="I78" s="53"/>
      <c r="J78" s="53"/>
      <c r="K78" s="53"/>
      <c r="L78" s="53"/>
      <c r="M78" s="53"/>
      <c r="N78" s="53"/>
      <c r="O78" s="53"/>
      <c r="P78" s="53"/>
      <c r="Q78" s="53"/>
      <c r="R78" s="53"/>
      <c r="S78" s="53"/>
      <c r="T78" s="53"/>
      <c r="U78" s="53"/>
      <c r="V78" s="53"/>
      <c r="W78" s="53"/>
      <c r="X78" s="53"/>
      <c r="Y78" s="53"/>
      <c r="Z78" s="53"/>
      <c r="AA78" s="49"/>
      <c r="AB78" s="421"/>
      <c r="AD78" s="345"/>
      <c r="AE78" s="346"/>
      <c r="AF78" s="345"/>
      <c r="AG78" s="345"/>
      <c r="AH78" s="335"/>
      <c r="AI78" s="338"/>
    </row>
    <row r="79" spans="1:35" ht="15.75" thickBot="1">
      <c r="A79" s="41" t="s">
        <v>164</v>
      </c>
      <c r="B79" s="42" t="s">
        <v>211</v>
      </c>
      <c r="C79" s="43">
        <f>'SLP States AggWorkings'!C79+'ZKY States AggWorkings'!C79</f>
        <v>0</v>
      </c>
      <c r="D79" s="73">
        <f>'SLP States AggWorkings'!D79+'ZKY States AggWorkings'!D79</f>
        <v>1.1666666666666667</v>
      </c>
      <c r="E79" s="73">
        <f>'SLP States AggWorkings'!E79+'ZKY States AggWorkings'!E79</f>
        <v>2.3333333333333335</v>
      </c>
      <c r="F79" s="73">
        <f>'SLP States AggWorkings'!F79+'ZKY States AggWorkings'!F79</f>
        <v>3.5</v>
      </c>
      <c r="G79" s="73">
        <f>'SLP States AggWorkings'!G79+'ZKY States AggWorkings'!G79</f>
        <v>4.666666666666667</v>
      </c>
      <c r="H79" s="73">
        <f>'SLP States AggWorkings'!H79+'ZKY States AggWorkings'!H79</f>
        <v>5.833333333333333</v>
      </c>
      <c r="I79" s="74">
        <f>'SLP States AggWorkings'!I79+'ZKY States AggWorkings'!I79</f>
        <v>7</v>
      </c>
      <c r="J79" s="73">
        <f>'SLP States AggWorkings'!J79+'ZKY States AggWorkings'!J79</f>
        <v>8.3333333333333339</v>
      </c>
      <c r="K79" s="73">
        <f>'SLP States AggWorkings'!K79+'ZKY States AggWorkings'!K79</f>
        <v>9.6666666666666661</v>
      </c>
      <c r="L79" s="51">
        <f>'SLP States AggWorkings'!L79+'ZKY States AggWorkings'!L79</f>
        <v>10.999999999999998</v>
      </c>
      <c r="M79" s="51">
        <f>'SLP States AggWorkings'!M79+'ZKY States AggWorkings'!M79</f>
        <v>12.333333333333332</v>
      </c>
      <c r="N79" s="50">
        <f>'SLP States AggWorkings'!N79+'ZKY States AggWorkings'!N79</f>
        <v>15</v>
      </c>
      <c r="O79" s="51">
        <f>'SLP States AggWorkings'!O79+'ZKY States AggWorkings'!O79</f>
        <v>17.5</v>
      </c>
      <c r="P79" s="51">
        <f>'SLP States AggWorkings'!P79+'ZKY States AggWorkings'!P79</f>
        <v>20</v>
      </c>
      <c r="Q79" s="51">
        <f>'SLP States AggWorkings'!Q79+'ZKY States AggWorkings'!Q79</f>
        <v>22.5</v>
      </c>
      <c r="R79" s="50">
        <f>'SLP States AggWorkings'!R79+'ZKY States AggWorkings'!R79</f>
        <v>25</v>
      </c>
      <c r="S79" s="51">
        <f>'SLP States AggWorkings'!S79+'ZKY States AggWorkings'!S79</f>
        <v>27</v>
      </c>
      <c r="T79" s="51">
        <f>'SLP States AggWorkings'!T79+'ZKY States AggWorkings'!T79</f>
        <v>29</v>
      </c>
      <c r="U79" s="51">
        <f>'SLP States AggWorkings'!U79+'ZKY States AggWorkings'!U79</f>
        <v>30.999999999999996</v>
      </c>
      <c r="V79" s="51">
        <f>'SLP States AggWorkings'!V79+'ZKY States AggWorkings'!V79</f>
        <v>33</v>
      </c>
      <c r="W79" s="51">
        <f>'SLP States AggWorkings'!W79+'ZKY States AggWorkings'!W79+'A&amp;N States AggWorkings'!W79</f>
        <v>39.333333333333329</v>
      </c>
      <c r="X79" s="51">
        <f>'SLP States AggWorkings'!X79+'ZKY States AggWorkings'!X79+'A&amp;N States AggWorkings'!X79</f>
        <v>42.333333333333336</v>
      </c>
      <c r="Y79" s="50">
        <f>'SLP States AggWorkings'!Y79+'ZKY States AggWorkings'!Y79+'A&amp;N States AggWorkings'!Y79</f>
        <v>43</v>
      </c>
      <c r="Z79" s="51">
        <f>'SLP States AggWorkings'!Z79+'ZKY States AggWorkings'!Z79+'A&amp;N States AggWorkings'!Z79</f>
        <v>43</v>
      </c>
      <c r="AA79" s="38">
        <f>'SLP States AggWorkings'!AA79+'ZKY States AggWorkings'!AA79</f>
        <v>160</v>
      </c>
      <c r="AB79" s="457">
        <f>AA79/22</f>
        <v>7.2727272727272725</v>
      </c>
      <c r="AC79" s="340"/>
      <c r="AD79" s="451">
        <f>V79</f>
        <v>33</v>
      </c>
      <c r="AE79" s="346"/>
      <c r="AF79" s="453">
        <f t="shared" ref="AF79:AG80" si="25">IF($AG$1=16,R79,IF($AG$1=17,S79,IF($AG$1=18,T79,IF($AG$1=19,U79,IF($AG$1=20,V79,IF($AG$1=21,W79,IF($AG$1=22,X79,0)))))))</f>
        <v>39.333333333333329</v>
      </c>
      <c r="AG79" s="453">
        <f t="shared" si="25"/>
        <v>42.333333333333336</v>
      </c>
      <c r="AI79" s="338"/>
    </row>
    <row r="80" spans="1:35" s="340" customFormat="1" ht="15.75" thickBot="1">
      <c r="A80" s="45"/>
      <c r="B80" s="46" t="s">
        <v>210</v>
      </c>
      <c r="C80" s="79">
        <f>'SLP States AggWorkings'!C80+'ZKY States AggWorkings'!C80</f>
        <v>0</v>
      </c>
      <c r="D80" s="441">
        <f>'SLP States AggWorkings'!D80+'ZKY States AggWorkings'!D80</f>
        <v>0</v>
      </c>
      <c r="E80" s="442">
        <f>'SLP States AggWorkings'!E80+'ZKY States AggWorkings'!E80</f>
        <v>0</v>
      </c>
      <c r="F80" s="442">
        <f>'SLP States AggWorkings'!F80+'ZKY States AggWorkings'!F80</f>
        <v>0</v>
      </c>
      <c r="G80" s="442">
        <f>'SLP States AggWorkings'!G80+'ZKY States AggWorkings'!G80</f>
        <v>0</v>
      </c>
      <c r="H80" s="442">
        <f>'SLP States AggWorkings'!H80+'ZKY States AggWorkings'!H80</f>
        <v>0</v>
      </c>
      <c r="I80" s="442">
        <f>'SLP States AggWorkings'!I80+'ZKY States AggWorkings'!I80</f>
        <v>1</v>
      </c>
      <c r="J80" s="442">
        <f>'SLP States AggWorkings'!J80+'ZKY States AggWorkings'!J80</f>
        <v>1</v>
      </c>
      <c r="K80" s="442">
        <f>'SLP States AggWorkings'!K80+'ZKY States AggWorkings'!K80</f>
        <v>2</v>
      </c>
      <c r="L80" s="442">
        <f>'SLP States AggWorkings'!L80+'ZKY States AggWorkings'!L80</f>
        <v>6</v>
      </c>
      <c r="M80" s="442">
        <f>'SLP States AggWorkings'!M80+'ZKY States AggWorkings'!M80</f>
        <v>9</v>
      </c>
      <c r="N80" s="443">
        <f>'SLP States AggWorkings'!N80+'ZKY States AggWorkings'!N80</f>
        <v>17</v>
      </c>
      <c r="O80" s="444">
        <f>'SLP States AggWorkings'!O80+'ZKY States AggWorkings'!O80</f>
        <v>18</v>
      </c>
      <c r="P80" s="444">
        <f>'SLP States AggWorkings'!P80+'ZKY States AggWorkings'!P80</f>
        <v>17</v>
      </c>
      <c r="Q80" s="444">
        <f>'SLP States AggWorkings'!Q80+'ZKY States AggWorkings'!Q80</f>
        <v>24</v>
      </c>
      <c r="R80" s="442">
        <f>'SLP States AggWorkings'!R80+'ZKY States AggWorkings'!R80</f>
        <v>19</v>
      </c>
      <c r="S80" s="442">
        <f>'SLP States AggWorkings'!S80+'ZKY States AggWorkings'!S80</f>
        <v>39</v>
      </c>
      <c r="T80" s="442">
        <f>'SLP States AggWorkings'!T80+'ZKY States AggWorkings'!T80</f>
        <v>45</v>
      </c>
      <c r="U80" s="442">
        <f>'SLP States AggWorkings'!U80+'ZKY States AggWorkings'!U80</f>
        <v>43</v>
      </c>
      <c r="V80" s="445">
        <f>'SLP States AggWorkings'!V80+'ZKY States AggWorkings'!V80</f>
        <v>43</v>
      </c>
      <c r="W80" s="72">
        <f>'SLP States AggWorkings'!W80+'ZKY States AggWorkings'!W80+'A&amp;N States AggWorkings'!W80</f>
        <v>49</v>
      </c>
      <c r="X80" s="70">
        <f>'SLP States AggWorkings'!X80+'ZKY States AggWorkings'!X80+'A&amp;N States AggWorkings'!X80</f>
        <v>48</v>
      </c>
      <c r="Y80" s="70">
        <f>'SLP States AggWorkings'!Y80+'ZKY States AggWorkings'!Y80+'A&amp;N States AggWorkings'!Y80</f>
        <v>0</v>
      </c>
      <c r="Z80" s="70">
        <f>'SLP States AggWorkings'!Z80+'ZKY States AggWorkings'!Z80+'A&amp;N States AggWorkings'!Z80</f>
        <v>0</v>
      </c>
      <c r="AA80" s="49"/>
      <c r="AB80" s="421"/>
      <c r="AD80" s="452">
        <f>V80</f>
        <v>43</v>
      </c>
      <c r="AE80" s="346"/>
      <c r="AF80" s="452">
        <f t="shared" si="25"/>
        <v>49</v>
      </c>
      <c r="AG80" s="452">
        <f t="shared" si="25"/>
        <v>48</v>
      </c>
      <c r="AH80" s="342">
        <f>AG80</f>
        <v>48</v>
      </c>
      <c r="AI80" s="342">
        <f>AG80</f>
        <v>48</v>
      </c>
    </row>
    <row r="81" spans="1:42" s="340" customFormat="1">
      <c r="A81" s="45"/>
      <c r="B81" s="46"/>
      <c r="C81" s="53"/>
      <c r="D81" s="428"/>
      <c r="E81" s="428"/>
      <c r="F81" s="428"/>
      <c r="G81" s="53"/>
      <c r="H81" s="53"/>
      <c r="I81" s="53"/>
      <c r="J81" s="53"/>
      <c r="K81" s="53"/>
      <c r="L81" s="53"/>
      <c r="M81" s="53"/>
      <c r="N81" s="53"/>
      <c r="O81" s="53"/>
      <c r="P81" s="53"/>
      <c r="Q81" s="53"/>
      <c r="R81" s="53"/>
      <c r="S81" s="53"/>
      <c r="T81" s="53"/>
      <c r="U81" s="53"/>
      <c r="V81" s="53"/>
      <c r="W81" s="53"/>
      <c r="X81" s="53"/>
      <c r="Y81" s="53"/>
      <c r="Z81" s="53"/>
      <c r="AA81" s="49"/>
      <c r="AB81" s="421"/>
      <c r="AD81" s="345"/>
      <c r="AE81" s="346"/>
      <c r="AF81" s="345"/>
      <c r="AG81" s="345"/>
      <c r="AH81" s="335"/>
      <c r="AI81" s="338"/>
    </row>
    <row r="82" spans="1:42" ht="15.75" thickBot="1">
      <c r="A82" s="41" t="s">
        <v>165</v>
      </c>
      <c r="B82" s="42" t="s">
        <v>209</v>
      </c>
      <c r="C82" s="43">
        <f>'SLP States AggWorkings'!C82+'ZKY States AggWorkings'!C82</f>
        <v>0</v>
      </c>
      <c r="D82" s="73">
        <f>'SLP States AggWorkings'!D82+'ZKY States AggWorkings'!D82</f>
        <v>0.33333333333333331</v>
      </c>
      <c r="E82" s="73">
        <f>'SLP States AggWorkings'!E82+'ZKY States AggWorkings'!E82</f>
        <v>0.66666666666666663</v>
      </c>
      <c r="F82" s="73">
        <f>'SLP States AggWorkings'!F82+'ZKY States AggWorkings'!F82</f>
        <v>1</v>
      </c>
      <c r="G82" s="73">
        <f>'SLP States AggWorkings'!G82+'ZKY States AggWorkings'!G82</f>
        <v>1.3333333333333333</v>
      </c>
      <c r="H82" s="73">
        <f>'SLP States AggWorkings'!H82+'ZKY States AggWorkings'!H82</f>
        <v>1.6666666666666665</v>
      </c>
      <c r="I82" s="74">
        <f>'SLP States AggWorkings'!I82+'ZKY States AggWorkings'!I82</f>
        <v>2</v>
      </c>
      <c r="J82" s="73">
        <f>'SLP States AggWorkings'!J82+'ZKY States AggWorkings'!J82</f>
        <v>3</v>
      </c>
      <c r="K82" s="73">
        <f>'SLP States AggWorkings'!K82+'ZKY States AggWorkings'!K82</f>
        <v>4</v>
      </c>
      <c r="L82" s="51">
        <f>'SLP States AggWorkings'!L82+'ZKY States AggWorkings'!L82</f>
        <v>5</v>
      </c>
      <c r="M82" s="51">
        <f>'SLP States AggWorkings'!M82+'ZKY States AggWorkings'!M82</f>
        <v>6</v>
      </c>
      <c r="N82" s="50">
        <f>'SLP States AggWorkings'!N82+'ZKY States AggWorkings'!N82</f>
        <v>8</v>
      </c>
      <c r="O82" s="51">
        <f>'SLP States AggWorkings'!O82+'ZKY States AggWorkings'!O82</f>
        <v>9.75</v>
      </c>
      <c r="P82" s="51">
        <f>'SLP States AggWorkings'!P82+'ZKY States AggWorkings'!P82</f>
        <v>11.5</v>
      </c>
      <c r="Q82" s="51">
        <f>'SLP States AggWorkings'!Q82+'ZKY States AggWorkings'!Q82</f>
        <v>13.25</v>
      </c>
      <c r="R82" s="50">
        <f>'SLP States AggWorkings'!R82+'ZKY States AggWorkings'!R82</f>
        <v>15</v>
      </c>
      <c r="S82" s="51">
        <f>'SLP States AggWorkings'!S82+'ZKY States AggWorkings'!S82</f>
        <v>16.666666666666668</v>
      </c>
      <c r="T82" s="51">
        <f>'SLP States AggWorkings'!T82+'ZKY States AggWorkings'!T82</f>
        <v>18.333333333333332</v>
      </c>
      <c r="U82" s="51">
        <f>'SLP States AggWorkings'!U82+'ZKY States AggWorkings'!U82</f>
        <v>20</v>
      </c>
      <c r="V82" s="51">
        <f>'SLP States AggWorkings'!V82+'ZKY States AggWorkings'!V82</f>
        <v>21.666666666666664</v>
      </c>
      <c r="W82" s="51">
        <f>'SLP States AggWorkings'!W82+'ZKY States AggWorkings'!W82+'A&amp;N States AggWorkings'!W82</f>
        <v>23.333333333333332</v>
      </c>
      <c r="X82" s="51">
        <f>'SLP States AggWorkings'!X82+'ZKY States AggWorkings'!X82+'A&amp;N States AggWorkings'!X82</f>
        <v>25</v>
      </c>
      <c r="Y82" s="50">
        <f>'SLP States AggWorkings'!Y82+'ZKY States AggWorkings'!Y82+'A&amp;N States AggWorkings'!Y82</f>
        <v>25</v>
      </c>
      <c r="Z82" s="51">
        <f>'SLP States AggWorkings'!Z82+'ZKY States AggWorkings'!Z82+'A&amp;N States AggWorkings'!Z82</f>
        <v>25</v>
      </c>
      <c r="AA82" s="38">
        <f>'SLP States AggWorkings'!AA82+'ZKY States AggWorkings'!AA82</f>
        <v>160</v>
      </c>
      <c r="AB82" s="457">
        <f>AA82/22</f>
        <v>7.2727272727272725</v>
      </c>
      <c r="AC82" s="340"/>
      <c r="AD82" s="451">
        <f>V82</f>
        <v>21.666666666666664</v>
      </c>
      <c r="AE82" s="346"/>
      <c r="AF82" s="453">
        <f t="shared" ref="AF82:AG83" si="26">IF($AG$1=16,R82,IF($AG$1=17,S82,IF($AG$1=18,T82,IF($AG$1=19,U82,IF($AG$1=20,V82,IF($AG$1=21,W82,IF($AG$1=22,X82,0)))))))</f>
        <v>23.333333333333332</v>
      </c>
      <c r="AG82" s="453">
        <f t="shared" si="26"/>
        <v>25</v>
      </c>
      <c r="AI82" s="338"/>
    </row>
    <row r="83" spans="1:42" s="340" customFormat="1" ht="15.75" thickBot="1">
      <c r="A83" s="45"/>
      <c r="B83" s="46" t="s">
        <v>208</v>
      </c>
      <c r="C83" s="79">
        <f>'SLP States AggWorkings'!C83+'ZKY States AggWorkings'!C83</f>
        <v>0</v>
      </c>
      <c r="D83" s="441">
        <f>'SLP States AggWorkings'!D83+'ZKY States AggWorkings'!D83</f>
        <v>0</v>
      </c>
      <c r="E83" s="442">
        <f>'SLP States AggWorkings'!E83+'ZKY States AggWorkings'!E83</f>
        <v>0</v>
      </c>
      <c r="F83" s="442">
        <f>'SLP States AggWorkings'!F83+'ZKY States AggWorkings'!F83</f>
        <v>0</v>
      </c>
      <c r="G83" s="442">
        <f>'SLP States AggWorkings'!G83+'ZKY States AggWorkings'!G83</f>
        <v>0</v>
      </c>
      <c r="H83" s="442">
        <f>'SLP States AggWorkings'!H83+'ZKY States AggWorkings'!H83</f>
        <v>0</v>
      </c>
      <c r="I83" s="442">
        <f>'SLP States AggWorkings'!I83+'ZKY States AggWorkings'!I83</f>
        <v>0</v>
      </c>
      <c r="J83" s="442">
        <f>'SLP States AggWorkings'!J83+'ZKY States AggWorkings'!J83</f>
        <v>0</v>
      </c>
      <c r="K83" s="442">
        <f>'SLP States AggWorkings'!K83+'ZKY States AggWorkings'!K83</f>
        <v>0</v>
      </c>
      <c r="L83" s="442">
        <f>'SLP States AggWorkings'!L83+'ZKY States AggWorkings'!L83</f>
        <v>6</v>
      </c>
      <c r="M83" s="442">
        <f>'SLP States AggWorkings'!M83+'ZKY States AggWorkings'!M83</f>
        <v>9</v>
      </c>
      <c r="N83" s="443">
        <f>'SLP States AggWorkings'!N83+'ZKY States AggWorkings'!N83</f>
        <v>7</v>
      </c>
      <c r="O83" s="444">
        <f>'SLP States AggWorkings'!O83+'ZKY States AggWorkings'!O83</f>
        <v>9</v>
      </c>
      <c r="P83" s="444">
        <f>'SLP States AggWorkings'!P83+'ZKY States AggWorkings'!P83</f>
        <v>15</v>
      </c>
      <c r="Q83" s="444">
        <f>'SLP States AggWorkings'!Q83+'ZKY States AggWorkings'!Q83</f>
        <v>20</v>
      </c>
      <c r="R83" s="442">
        <f>'SLP States AggWorkings'!R83+'ZKY States AggWorkings'!R83</f>
        <v>8</v>
      </c>
      <c r="S83" s="442">
        <f>'SLP States AggWorkings'!S83+'ZKY States AggWorkings'!S83</f>
        <v>21</v>
      </c>
      <c r="T83" s="442">
        <f>'SLP States AggWorkings'!T83+'ZKY States AggWorkings'!T83</f>
        <v>29</v>
      </c>
      <c r="U83" s="442">
        <f>'SLP States AggWorkings'!U83+'ZKY States AggWorkings'!U83</f>
        <v>31</v>
      </c>
      <c r="V83" s="445">
        <f>'SLP States AggWorkings'!V83+'ZKY States AggWorkings'!V83</f>
        <v>6</v>
      </c>
      <c r="W83" s="72">
        <f>'SLP States AggWorkings'!W83+'ZKY States AggWorkings'!W83+'A&amp;N States AggWorkings'!W83</f>
        <v>8</v>
      </c>
      <c r="X83" s="70">
        <f>'SLP States AggWorkings'!X83+'ZKY States AggWorkings'!X83+'A&amp;N States AggWorkings'!X83</f>
        <v>8</v>
      </c>
      <c r="Y83" s="70">
        <f>'SLP States AggWorkings'!Y83+'ZKY States AggWorkings'!Y83+'A&amp;N States AggWorkings'!Y83</f>
        <v>0</v>
      </c>
      <c r="Z83" s="70">
        <f>'SLP States AggWorkings'!Z83+'ZKY States AggWorkings'!Z83+'A&amp;N States AggWorkings'!Z83</f>
        <v>0</v>
      </c>
      <c r="AA83" s="49"/>
      <c r="AB83" s="421"/>
      <c r="AD83" s="452">
        <f>V83</f>
        <v>6</v>
      </c>
      <c r="AE83" s="346"/>
      <c r="AF83" s="452">
        <f t="shared" si="26"/>
        <v>8</v>
      </c>
      <c r="AG83" s="452">
        <f t="shared" si="26"/>
        <v>8</v>
      </c>
      <c r="AH83" s="342">
        <f>AG83</f>
        <v>8</v>
      </c>
      <c r="AI83" s="342">
        <f>AG83</f>
        <v>8</v>
      </c>
    </row>
    <row r="84" spans="1:42" s="340" customFormat="1">
      <c r="A84" s="45"/>
      <c r="B84" s="46"/>
      <c r="C84" s="53"/>
      <c r="D84" s="428"/>
      <c r="E84" s="428"/>
      <c r="F84" s="428"/>
      <c r="G84" s="53"/>
      <c r="H84" s="53"/>
      <c r="I84" s="53"/>
      <c r="J84" s="53"/>
      <c r="K84" s="53"/>
      <c r="L84" s="53"/>
      <c r="M84" s="53"/>
      <c r="N84" s="53"/>
      <c r="O84" s="53"/>
      <c r="P84" s="53"/>
      <c r="Q84" s="53"/>
      <c r="R84" s="53"/>
      <c r="S84" s="53"/>
      <c r="T84" s="53"/>
      <c r="U84" s="53"/>
      <c r="V84" s="53"/>
      <c r="W84" s="53"/>
      <c r="X84" s="53"/>
      <c r="Y84" s="53"/>
      <c r="Z84" s="53"/>
      <c r="AA84" s="49"/>
      <c r="AB84" s="421"/>
      <c r="AD84" s="345"/>
      <c r="AE84" s="346"/>
      <c r="AF84" s="345"/>
      <c r="AG84" s="345"/>
      <c r="AH84" s="335"/>
      <c r="AI84" s="338"/>
    </row>
    <row r="85" spans="1:42" ht="15.75" thickBot="1">
      <c r="A85" s="41" t="s">
        <v>160</v>
      </c>
      <c r="B85" s="42" t="s">
        <v>201</v>
      </c>
      <c r="C85" s="52">
        <f>((('SLP States AggWorkings'!C85)*5)+(('ZKY States AggWorkings'!C85)*3))/8</f>
        <v>0</v>
      </c>
      <c r="D85" s="52">
        <f>((('SLP States AggWorkings'!D85)*5)+(('ZKY States AggWorkings'!D85)*3))/8</f>
        <v>0</v>
      </c>
      <c r="E85" s="52">
        <f>((('SLP States AggWorkings'!E85)*5)+(('ZKY States AggWorkings'!E85)*3))/8</f>
        <v>0</v>
      </c>
      <c r="F85" s="52">
        <f>((('SLP States AggWorkings'!F85)*5)+(('ZKY States AggWorkings'!F85)*3))/8</f>
        <v>0</v>
      </c>
      <c r="G85" s="52">
        <f>((('SLP States AggWorkings'!G85)*5)+(('ZKY States AggWorkings'!G85)*3))/8</f>
        <v>0</v>
      </c>
      <c r="H85" s="52">
        <f>((('SLP States AggWorkings'!H85)*5)+(('ZKY States AggWorkings'!H85)*3))/8</f>
        <v>0</v>
      </c>
      <c r="I85" s="52">
        <f>((('SLP States AggWorkings'!I85)*5)+(('ZKY States AggWorkings'!I85)*3))/8</f>
        <v>0</v>
      </c>
      <c r="J85" s="52">
        <f>((('SLP States AggWorkings'!J85)*5)+(('ZKY States AggWorkings'!J85)*3))/8</f>
        <v>0</v>
      </c>
      <c r="K85" s="52">
        <f>((('SLP States AggWorkings'!K85)*5)+(('ZKY States AggWorkings'!K85)*3))/8</f>
        <v>0</v>
      </c>
      <c r="L85" s="52">
        <f>((('SLP States AggWorkings'!L85)*5)+(('ZKY States AggWorkings'!L85)*3))/8</f>
        <v>0</v>
      </c>
      <c r="M85" s="52">
        <f>((('SLP States AggWorkings'!M85)*5)+(('ZKY States AggWorkings'!M85)*3))/8</f>
        <v>0</v>
      </c>
      <c r="N85" s="50">
        <f>((('SLP States AggWorkings'!N85)*5)+(('ZKY States AggWorkings'!N85)*3))/8</f>
        <v>41.75</v>
      </c>
      <c r="O85" s="51">
        <f>((('SLP States AggWorkings'!O85)*5)+(('ZKY States AggWorkings'!O85)*3))/8</f>
        <v>45.0625</v>
      </c>
      <c r="P85" s="51">
        <f>((('SLP States AggWorkings'!P85)*5)+(('ZKY States AggWorkings'!P85)*3))/8</f>
        <v>48.375</v>
      </c>
      <c r="Q85" s="51">
        <f>((('SLP States AggWorkings'!Q85)*5)+(('ZKY States AggWorkings'!Q85)*3))/8</f>
        <v>51.6875</v>
      </c>
      <c r="R85" s="50">
        <f>((('SLP States AggWorkings'!R85)*5)+(('ZKY States AggWorkings'!R85)*3))/8</f>
        <v>55</v>
      </c>
      <c r="S85" s="51">
        <f>((('SLP States AggWorkings'!S85)*5)+(('ZKY States AggWorkings'!S85)*3))/8</f>
        <v>58.4375</v>
      </c>
      <c r="T85" s="51">
        <f>((('SLP States AggWorkings'!T85)*5)+(('ZKY States AggWorkings'!T85)*3))/8</f>
        <v>61.875000000000007</v>
      </c>
      <c r="U85" s="51">
        <f>((('SLP States AggWorkings'!U85)*5)+(('ZKY States AggWorkings'!U85)*3))/8</f>
        <v>65.3125</v>
      </c>
      <c r="V85" s="51">
        <f>((('SLP States AggWorkings'!V85)*5)+(('ZKY States AggWorkings'!V85)*3))/8</f>
        <v>68.75</v>
      </c>
      <c r="W85" s="51">
        <f>((('SLP States AggWorkings'!W85)*5)+(('ZKY States AggWorkings'!W85)*3)+(('A&amp;N States AggWorkings'!W85)*2))/10</f>
        <v>67.966666666666669</v>
      </c>
      <c r="X85" s="51">
        <f>((('SLP States AggWorkings'!X85)*5)+(('ZKY States AggWorkings'!X85)*3)+(('A&amp;N States AggWorkings'!X85)*2))/10</f>
        <v>71.8</v>
      </c>
      <c r="Y85" s="50">
        <f>((('SLP States AggWorkings'!Y85)*5)+(('ZKY States AggWorkings'!Y85)*3)+(('A&amp;N States AggWorkings'!Y85)*2))/10</f>
        <v>72.8</v>
      </c>
      <c r="Z85" s="51">
        <f>((('SLP States AggWorkings'!Z85)*5)+(('ZKY States AggWorkings'!Z85)*3)+(('A&amp;N States AggWorkings'!Z85)*2))/10</f>
        <v>72.8</v>
      </c>
      <c r="AA85" s="38">
        <v>100</v>
      </c>
      <c r="AB85" s="457">
        <f>AA85/22</f>
        <v>4.5454545454545459</v>
      </c>
      <c r="AC85" s="340"/>
      <c r="AD85" s="451">
        <f>V85</f>
        <v>68.75</v>
      </c>
      <c r="AE85" s="346"/>
      <c r="AF85" s="453">
        <f t="shared" ref="AF85:AG86" si="27">IF($AG$1=16,R85,IF($AG$1=17,S85,IF($AG$1=18,T85,IF($AG$1=19,U85,IF($AG$1=20,V85,IF($AG$1=21,W85,IF($AG$1=22,X85,0)))))))</f>
        <v>67.966666666666669</v>
      </c>
      <c r="AG85" s="453">
        <f t="shared" si="27"/>
        <v>71.8</v>
      </c>
      <c r="AI85" s="338"/>
    </row>
    <row r="86" spans="1:42" s="340" customFormat="1" ht="15.75" thickBot="1">
      <c r="A86" s="45"/>
      <c r="B86" s="46" t="s">
        <v>200</v>
      </c>
      <c r="C86" s="52">
        <f>((('SLP States AggWorkings'!C86)*5)+(('ZKY States AggWorkings'!C86)*3))/8</f>
        <v>0</v>
      </c>
      <c r="D86" s="52">
        <f>((('SLP States AggWorkings'!D86)*5)+(('ZKY States AggWorkings'!D86)*3))/8</f>
        <v>0</v>
      </c>
      <c r="E86" s="52">
        <f>((('SLP States AggWorkings'!E86)*5)+(('ZKY States AggWorkings'!E86)*3))/8</f>
        <v>0</v>
      </c>
      <c r="F86" s="52">
        <f>((('SLP States AggWorkings'!F86)*5)+(('ZKY States AggWorkings'!F86)*3))/8</f>
        <v>0</v>
      </c>
      <c r="G86" s="52">
        <f>((('SLP States AggWorkings'!G86)*5)+(('ZKY States AggWorkings'!G86)*3))/8</f>
        <v>0</v>
      </c>
      <c r="H86" s="52">
        <f>((('SLP States AggWorkings'!H86)*5)+(('ZKY States AggWorkings'!H86)*3))/8</f>
        <v>0</v>
      </c>
      <c r="I86" s="52">
        <f>((('SLP States AggWorkings'!I86)*5)+(('ZKY States AggWorkings'!I86)*3))/8</f>
        <v>0</v>
      </c>
      <c r="J86" s="52">
        <f>((('SLP States AggWorkings'!J86)*5)+(('ZKY States AggWorkings'!J86)*3))/8</f>
        <v>0</v>
      </c>
      <c r="K86" s="52">
        <f>((('SLP States AggWorkings'!K86)*5)+(('ZKY States AggWorkings'!K86)*3))/8</f>
        <v>0</v>
      </c>
      <c r="L86" s="52">
        <f>((('SLP States AggWorkings'!L86)*5)+(('ZKY States AggWorkings'!L86)*3))/8</f>
        <v>0</v>
      </c>
      <c r="M86" s="52">
        <f>((('SLP States AggWorkings'!M86)*5)+(('ZKY States AggWorkings'!M86)*3))/8</f>
        <v>0</v>
      </c>
      <c r="N86" s="52">
        <f>((('SLP States AggWorkings'!N86)*5)+(('ZKY States AggWorkings'!N86)*3))/8</f>
        <v>41.75</v>
      </c>
      <c r="O86" s="441">
        <f>((('SLP States AggWorkings'!O86)*5)+(('ZKY States AggWorkings'!O86)*3))/8</f>
        <v>45.375</v>
      </c>
      <c r="P86" s="444">
        <f>((('SLP States AggWorkings'!P86)*5)+(('ZKY States AggWorkings'!P86)*3))/8</f>
        <v>51.125</v>
      </c>
      <c r="Q86" s="444">
        <f>((('SLP States AggWorkings'!Q86)*5)+(('ZKY States AggWorkings'!Q86)*3))/8</f>
        <v>54.875</v>
      </c>
      <c r="R86" s="442">
        <f>((('SLP States AggWorkings'!R86)*5)+(('ZKY States AggWorkings'!R86)*3))/8</f>
        <v>63.5</v>
      </c>
      <c r="S86" s="442">
        <f>((('SLP States AggWorkings'!S86)*5)+(('ZKY States AggWorkings'!S86)*3))/8</f>
        <v>64.875</v>
      </c>
      <c r="T86" s="442">
        <f>((('SLP States AggWorkings'!T86)*5)+(('ZKY States AggWorkings'!T86)*3))/8</f>
        <v>68.125</v>
      </c>
      <c r="U86" s="442">
        <f>((('SLP States AggWorkings'!U86)*5)+(('ZKY States AggWorkings'!U86)*3))/8</f>
        <v>70.75</v>
      </c>
      <c r="V86" s="445">
        <f>((('SLP States AggWorkings'!V86)*5)+(('ZKY States AggWorkings'!V86)*3))/8</f>
        <v>71.75</v>
      </c>
      <c r="W86" s="72">
        <f>((('SLP States AggWorkings'!W86)*5)+(('ZKY States AggWorkings'!W86)*3)+(('A&amp;N States AggWorkings'!W86)*2))/10</f>
        <v>67.216666666666669</v>
      </c>
      <c r="X86" s="70">
        <f>((('SLP States AggWorkings'!X86)*5)+(('ZKY States AggWorkings'!X86)*3)+(('A&amp;N States AggWorkings'!X86)*2))/10</f>
        <v>68.966666666666669</v>
      </c>
      <c r="Y86" s="70">
        <f>((('SLP States AggWorkings'!Y86)*5)+(('ZKY States AggWorkings'!Y86)*3)+(('A&amp;N States AggWorkings'!Y86)*2))/10</f>
        <v>0</v>
      </c>
      <c r="Z86" s="70">
        <f>((('SLP States AggWorkings'!Z86)*5)+(('ZKY States AggWorkings'!Z86)*3)+(('A&amp;N States AggWorkings'!Z86)*2))/10</f>
        <v>0</v>
      </c>
      <c r="AA86" s="49"/>
      <c r="AB86" s="421"/>
      <c r="AD86" s="452">
        <f>V86</f>
        <v>71.75</v>
      </c>
      <c r="AE86" s="346"/>
      <c r="AF86" s="452">
        <f t="shared" si="27"/>
        <v>67.216666666666669</v>
      </c>
      <c r="AG86" s="452">
        <f t="shared" si="27"/>
        <v>68.966666666666669</v>
      </c>
      <c r="AH86" s="342">
        <f>AG86</f>
        <v>68.966666666666669</v>
      </c>
      <c r="AI86" s="342">
        <f>AG86</f>
        <v>68.966666666666669</v>
      </c>
    </row>
    <row r="87" spans="1:42" s="340" customFormat="1">
      <c r="A87" s="45"/>
      <c r="B87" s="46"/>
      <c r="C87" s="53"/>
      <c r="D87" s="428"/>
      <c r="E87" s="428"/>
      <c r="F87" s="428"/>
      <c r="G87" s="53"/>
      <c r="H87" s="53"/>
      <c r="I87" s="53"/>
      <c r="J87" s="53"/>
      <c r="K87" s="53"/>
      <c r="L87" s="53"/>
      <c r="M87" s="53"/>
      <c r="N87" s="53"/>
      <c r="O87" s="53"/>
      <c r="P87" s="53"/>
      <c r="Q87" s="53"/>
      <c r="R87" s="53"/>
      <c r="S87" s="53"/>
      <c r="T87" s="53"/>
      <c r="U87" s="53"/>
      <c r="V87" s="53"/>
      <c r="W87" s="53"/>
      <c r="X87" s="53"/>
      <c r="Y87" s="53"/>
      <c r="Z87" s="53"/>
      <c r="AA87" s="49"/>
      <c r="AB87" s="421"/>
      <c r="AD87" s="345"/>
      <c r="AE87" s="346"/>
      <c r="AF87" s="454"/>
      <c r="AG87" s="454"/>
      <c r="AH87" s="335"/>
      <c r="AI87" s="338"/>
    </row>
    <row r="88" spans="1:42" ht="15.75" thickBot="1">
      <c r="A88" s="41" t="s">
        <v>161</v>
      </c>
      <c r="B88" s="42" t="s">
        <v>198</v>
      </c>
      <c r="C88" s="52">
        <f>((('SLP States AggWorkings'!C88)*5)+(('ZKY States AggWorkings'!C88)*3))/8</f>
        <v>0</v>
      </c>
      <c r="D88" s="52">
        <f>((('SLP States AggWorkings'!D88)*5)+(('ZKY States AggWorkings'!D88)*3))/8</f>
        <v>0</v>
      </c>
      <c r="E88" s="52">
        <f>((('SLP States AggWorkings'!E88)*5)+(('ZKY States AggWorkings'!E88)*3))/8</f>
        <v>0</v>
      </c>
      <c r="F88" s="52">
        <f>((('SLP States AggWorkings'!F88)*5)+(('ZKY States AggWorkings'!F88)*3))/8</f>
        <v>0</v>
      </c>
      <c r="G88" s="52">
        <f>((('SLP States AggWorkings'!G88)*5)+(('ZKY States AggWorkings'!G88)*3))/8</f>
        <v>0</v>
      </c>
      <c r="H88" s="52">
        <f>((('SLP States AggWorkings'!H88)*5)+(('ZKY States AggWorkings'!H88)*3))/8</f>
        <v>0</v>
      </c>
      <c r="I88" s="52">
        <f>((('SLP States AggWorkings'!I88)*5)+(('ZKY States AggWorkings'!I88)*3))/8</f>
        <v>0</v>
      </c>
      <c r="J88" s="52">
        <f>((('SLP States AggWorkings'!J88)*5)+(('ZKY States AggWorkings'!J88)*3))/8</f>
        <v>0</v>
      </c>
      <c r="K88" s="52">
        <f>((('SLP States AggWorkings'!K88)*5)+(('ZKY States AggWorkings'!K88)*3))/8</f>
        <v>0</v>
      </c>
      <c r="L88" s="52">
        <f>((('SLP States AggWorkings'!L88)*5)+(('ZKY States AggWorkings'!L88)*3))/8</f>
        <v>0</v>
      </c>
      <c r="M88" s="52">
        <f>((('SLP States AggWorkings'!M88)*5)+(('ZKY States AggWorkings'!M88)*3))/8</f>
        <v>0</v>
      </c>
      <c r="N88" s="50">
        <f>((('SLP States AggWorkings'!N88)*5)+(('ZKY States AggWorkings'!N88)*3))/8</f>
        <v>30.625</v>
      </c>
      <c r="O88" s="51">
        <f>((('SLP States AggWorkings'!O88)*5)+(('ZKY States AggWorkings'!O88)*3))/8</f>
        <v>31.84375</v>
      </c>
      <c r="P88" s="51">
        <f>((('SLP States AggWorkings'!P88)*5)+(('ZKY States AggWorkings'!P88)*3))/8</f>
        <v>33.0625</v>
      </c>
      <c r="Q88" s="51">
        <f>((('SLP States AggWorkings'!Q88)*5)+(('ZKY States AggWorkings'!Q88)*3))/8</f>
        <v>34.28125</v>
      </c>
      <c r="R88" s="50">
        <f>((('SLP States AggWorkings'!R88)*5)+(('ZKY States AggWorkings'!R88)*3))/8</f>
        <v>35.5</v>
      </c>
      <c r="S88" s="51">
        <f>((('SLP States AggWorkings'!S88)*5)+(('ZKY States AggWorkings'!S88)*3))/8</f>
        <v>37.291666666666671</v>
      </c>
      <c r="T88" s="51">
        <f>((('SLP States AggWorkings'!T88)*5)+(('ZKY States AggWorkings'!T88)*3))/8</f>
        <v>39.083333333333336</v>
      </c>
      <c r="U88" s="51">
        <f>((('SLP States AggWorkings'!U88)*5)+(('ZKY States AggWorkings'!U88)*3))/8</f>
        <v>40.875</v>
      </c>
      <c r="V88" s="51">
        <f>((('SLP States AggWorkings'!V88)*5)+(('ZKY States AggWorkings'!V88)*3))/8</f>
        <v>42.666666666666671</v>
      </c>
      <c r="W88" s="51">
        <f>((('SLP States AggWorkings'!W88)*5)+(('ZKY States AggWorkings'!W88)*3)+(('A&amp;N States AggWorkings'!W88)*2))/10</f>
        <v>60.75</v>
      </c>
      <c r="X88" s="51">
        <f>((('SLP States AggWorkings'!X88)*5)+(('ZKY States AggWorkings'!X88)*3)+(('A&amp;N States AggWorkings'!X88)*2))/10</f>
        <v>64.733333333333334</v>
      </c>
      <c r="Y88" s="50">
        <f>((('SLP States AggWorkings'!Y88)*5)+(('ZKY States AggWorkings'!Y88)*3)+(('A&amp;N States AggWorkings'!Y88)*2))/10</f>
        <v>65.2</v>
      </c>
      <c r="Z88" s="51">
        <f>((('SLP States AggWorkings'!Z88)*5)+(('ZKY States AggWorkings'!Z88)*3)+(('A&amp;N States AggWorkings'!Z88)*2))/10</f>
        <v>65.2</v>
      </c>
      <c r="AA88" s="38">
        <v>100</v>
      </c>
      <c r="AB88" s="457">
        <f>AA88/22</f>
        <v>4.5454545454545459</v>
      </c>
      <c r="AC88" s="340"/>
      <c r="AD88" s="451">
        <f>V88</f>
        <v>42.666666666666671</v>
      </c>
      <c r="AE88" s="346"/>
      <c r="AF88" s="453">
        <f t="shared" ref="AF88:AG89" si="28">IF($AG$1=16,R88,IF($AG$1=17,S88,IF($AG$1=18,T88,IF($AG$1=19,U88,IF($AG$1=20,V88,IF($AG$1=21,W88,IF($AG$1=22,X88,0)))))))</f>
        <v>60.75</v>
      </c>
      <c r="AG88" s="453">
        <f t="shared" si="28"/>
        <v>64.733333333333334</v>
      </c>
      <c r="AI88" s="338"/>
    </row>
    <row r="89" spans="1:42" s="340" customFormat="1" ht="15.75" thickBot="1">
      <c r="A89" s="45"/>
      <c r="B89" s="46" t="s">
        <v>199</v>
      </c>
      <c r="C89" s="52">
        <f>((('SLP States AggWorkings'!C89)*5)+(('ZKY States AggWorkings'!C89)*3))/8</f>
        <v>0</v>
      </c>
      <c r="D89" s="52">
        <f>((('SLP States AggWorkings'!D89)*5)+(('ZKY States AggWorkings'!D89)*3))/8</f>
        <v>0</v>
      </c>
      <c r="E89" s="52">
        <f>((('SLP States AggWorkings'!E89)*5)+(('ZKY States AggWorkings'!E89)*3))/8</f>
        <v>0</v>
      </c>
      <c r="F89" s="52">
        <f>((('SLP States AggWorkings'!F89)*5)+(('ZKY States AggWorkings'!F89)*3))/8</f>
        <v>0</v>
      </c>
      <c r="G89" s="52">
        <f>((('SLP States AggWorkings'!G89)*5)+(('ZKY States AggWorkings'!G89)*3))/8</f>
        <v>0</v>
      </c>
      <c r="H89" s="52">
        <f>((('SLP States AggWorkings'!H89)*5)+(('ZKY States AggWorkings'!H89)*3))/8</f>
        <v>0</v>
      </c>
      <c r="I89" s="52">
        <f>((('SLP States AggWorkings'!I89)*5)+(('ZKY States AggWorkings'!I89)*3))/8</f>
        <v>0</v>
      </c>
      <c r="J89" s="52">
        <f>((('SLP States AggWorkings'!J89)*5)+(('ZKY States AggWorkings'!J89)*3))/8</f>
        <v>0</v>
      </c>
      <c r="K89" s="52">
        <f>((('SLP States AggWorkings'!K89)*5)+(('ZKY States AggWorkings'!K89)*3))/8</f>
        <v>0</v>
      </c>
      <c r="L89" s="52">
        <f>((('SLP States AggWorkings'!L89)*5)+(('ZKY States AggWorkings'!L89)*3))/8</f>
        <v>0</v>
      </c>
      <c r="M89" s="52">
        <f>((('SLP States AggWorkings'!M89)*5)+(('ZKY States AggWorkings'!M89)*3))/8</f>
        <v>0</v>
      </c>
      <c r="N89" s="52">
        <f>((('SLP States AggWorkings'!N89)*5)+(('ZKY States AggWorkings'!N89)*3))/8</f>
        <v>30.625</v>
      </c>
      <c r="O89" s="441">
        <f>((('SLP States AggWorkings'!O89)*5)+(('ZKY States AggWorkings'!O89)*3))/8</f>
        <v>35.625</v>
      </c>
      <c r="P89" s="444">
        <f>((('SLP States AggWorkings'!P89)*5)+(('ZKY States AggWorkings'!P89)*3))/8</f>
        <v>36.75</v>
      </c>
      <c r="Q89" s="444">
        <f>((('SLP States AggWorkings'!Q89)*5)+(('ZKY States AggWorkings'!Q89)*3))/8</f>
        <v>45.875</v>
      </c>
      <c r="R89" s="442">
        <f>((('SLP States AggWorkings'!R89)*5)+(('ZKY States AggWorkings'!R89)*3))/8</f>
        <v>47.412500000000001</v>
      </c>
      <c r="S89" s="442">
        <f>((('SLP States AggWorkings'!S89)*5)+(('ZKY States AggWorkings'!S89)*3))/8</f>
        <v>45.625</v>
      </c>
      <c r="T89" s="442">
        <f>((('SLP States AggWorkings'!T89)*5)+(('ZKY States AggWorkings'!T89)*3))/8</f>
        <v>49.75</v>
      </c>
      <c r="U89" s="442">
        <f>((('SLP States AggWorkings'!U89)*5)+(('ZKY States AggWorkings'!U89)*3))/8</f>
        <v>56.5</v>
      </c>
      <c r="V89" s="445">
        <f>((('SLP States AggWorkings'!V89)*5)+(('ZKY States AggWorkings'!V89)*3))/8</f>
        <v>68.875</v>
      </c>
      <c r="W89" s="72">
        <f>((('SLP States AggWorkings'!W89)*5)+(('ZKY States AggWorkings'!W89)*3)+(('A&amp;N States AggWorkings'!W89)*2))/10</f>
        <v>67.3</v>
      </c>
      <c r="X89" s="70">
        <f>((('SLP States AggWorkings'!X89)*5)+(('ZKY States AggWorkings'!X89)*3)+(('A&amp;N States AggWorkings'!X89)*2))/10</f>
        <v>73.833333333333329</v>
      </c>
      <c r="Y89" s="70">
        <f>((('SLP States AggWorkings'!Y89)*5)+(('ZKY States AggWorkings'!Y89)*3)+(('A&amp;N States AggWorkings'!Y89)*2))/10</f>
        <v>0</v>
      </c>
      <c r="Z89" s="70">
        <f>((('SLP States AggWorkings'!Z89)*5)+(('ZKY States AggWorkings'!Z89)*3)+(('A&amp;N States AggWorkings'!Z89)*2))/10</f>
        <v>0</v>
      </c>
      <c r="AA89" s="49"/>
      <c r="AB89" s="421"/>
      <c r="AD89" s="452">
        <f>V89</f>
        <v>68.875</v>
      </c>
      <c r="AE89" s="346"/>
      <c r="AF89" s="452">
        <f t="shared" si="28"/>
        <v>67.3</v>
      </c>
      <c r="AG89" s="452">
        <f t="shared" si="28"/>
        <v>73.833333333333329</v>
      </c>
      <c r="AH89" s="342">
        <f>AG89</f>
        <v>73.833333333333329</v>
      </c>
      <c r="AI89" s="342">
        <f>AG89</f>
        <v>73.833333333333329</v>
      </c>
    </row>
    <row r="90" spans="1:42" s="340" customFormat="1">
      <c r="A90" s="45"/>
      <c r="B90" s="46"/>
      <c r="C90" s="53"/>
      <c r="D90" s="428"/>
      <c r="E90" s="428"/>
      <c r="F90" s="428"/>
      <c r="G90" s="53"/>
      <c r="H90" s="53"/>
      <c r="I90" s="53"/>
      <c r="J90" s="53"/>
      <c r="K90" s="53"/>
      <c r="L90" s="53"/>
      <c r="M90" s="53"/>
      <c r="N90" s="53"/>
      <c r="O90" s="53"/>
      <c r="P90" s="53"/>
      <c r="Q90" s="53"/>
      <c r="R90" s="48"/>
      <c r="S90" s="48"/>
      <c r="T90" s="48"/>
      <c r="U90" s="48"/>
      <c r="V90" s="48"/>
      <c r="W90" s="48"/>
      <c r="X90" s="48"/>
      <c r="Y90" s="48"/>
      <c r="Z90" s="48"/>
      <c r="AA90" s="49"/>
      <c r="AB90" s="421"/>
      <c r="AE90" s="335"/>
      <c r="AF90" s="343"/>
      <c r="AG90" s="343"/>
      <c r="AH90" s="335"/>
      <c r="AI90" s="338"/>
    </row>
    <row r="91" spans="1:42" ht="15.75" thickBot="1">
      <c r="A91" s="41" t="s">
        <v>40</v>
      </c>
      <c r="B91" s="42" t="s">
        <v>139</v>
      </c>
      <c r="C91" s="52">
        <f>((('SLP States AggWorkings'!C91)*5)+(('ZKY States AggWorkings'!C91)*3))/8</f>
        <v>0</v>
      </c>
      <c r="D91" s="52">
        <f>((('SLP States AggWorkings'!D91)*5)+(('ZKY States AggWorkings'!D91)*3))/8</f>
        <v>0</v>
      </c>
      <c r="E91" s="52">
        <f>((('SLP States AggWorkings'!E91)*5)+(('ZKY States AggWorkings'!E91)*3))/8</f>
        <v>0</v>
      </c>
      <c r="F91" s="52">
        <f>((('SLP States AggWorkings'!F91)*5)+(('ZKY States AggWorkings'!F91)*3))/8</f>
        <v>0</v>
      </c>
      <c r="G91" s="52">
        <f>((('SLP States AggWorkings'!G91)*5)+(('ZKY States AggWorkings'!G91)*3))/8</f>
        <v>0</v>
      </c>
      <c r="H91" s="52">
        <f>((('SLP States AggWorkings'!H91)*5)+(('ZKY States AggWorkings'!H91)*3))/8</f>
        <v>0</v>
      </c>
      <c r="I91" s="52">
        <f>((('SLP States AggWorkings'!I91)*5)+(('ZKY States AggWorkings'!I91)*3))/8</f>
        <v>0</v>
      </c>
      <c r="J91" s="52">
        <f>((('SLP States AggWorkings'!J91)*5)+(('ZKY States AggWorkings'!J91)*3))/8</f>
        <v>0</v>
      </c>
      <c r="K91" s="52">
        <f>((('SLP States AggWorkings'!K91)*5)+(('ZKY States AggWorkings'!K91)*3))/8</f>
        <v>0</v>
      </c>
      <c r="L91" s="52">
        <f>((('SLP States AggWorkings'!L91)*5)+(('ZKY States AggWorkings'!L91)*3))/8</f>
        <v>0</v>
      </c>
      <c r="M91" s="52">
        <f>((('SLP States AggWorkings'!M91)*5)+(('ZKY States AggWorkings'!M91)*3))/8</f>
        <v>0</v>
      </c>
      <c r="N91" s="43">
        <f>((('SLP States AggWorkings'!N91)*5)+(('ZKY States AggWorkings'!N91)*3))/8</f>
        <v>2.9375</v>
      </c>
      <c r="O91" s="44">
        <f>((('SLP States AggWorkings'!O91)*5)+(('ZKY States AggWorkings'!O91)*3))/8</f>
        <v>3.0125000000000002</v>
      </c>
      <c r="P91" s="44">
        <f>((('SLP States AggWorkings'!P91)*5)+(('ZKY States AggWorkings'!P91)*3))/8</f>
        <v>3.0875000000000004</v>
      </c>
      <c r="Q91" s="44">
        <f>((('SLP States AggWorkings'!Q91)*5)+(('ZKY States AggWorkings'!Q91)*3))/8</f>
        <v>3.1625000000000001</v>
      </c>
      <c r="R91" s="43">
        <f>((('SLP States AggWorkings'!R91)*5)+(('ZKY States AggWorkings'!R91)*3))/8</f>
        <v>3.2374999999999998</v>
      </c>
      <c r="S91" s="44">
        <f>((('SLP States AggWorkings'!S91)*5)+(('ZKY States AggWorkings'!S91)*3))/8</f>
        <v>3.3062499999999999</v>
      </c>
      <c r="T91" s="44">
        <f>((('SLP States AggWorkings'!T91)*5)+(('ZKY States AggWorkings'!T91)*3))/8</f>
        <v>3.375</v>
      </c>
      <c r="U91" s="44">
        <f>((('SLP States AggWorkings'!U91)*5)+(('ZKY States AggWorkings'!U91)*3))/8</f>
        <v>3.4437500000000001</v>
      </c>
      <c r="V91" s="44">
        <f>((('SLP States AggWorkings'!V91)*5)+(('ZKY States AggWorkings'!V91)*3))/8</f>
        <v>3.5124999999999997</v>
      </c>
      <c r="W91" s="44">
        <f>((('SLP States AggWorkings'!W91)*5)+(('ZKY States AggWorkings'!W91)*3)+(('A&amp;N States AggWorkings'!W91)*2))/10</f>
        <v>3.5183333333333335</v>
      </c>
      <c r="X91" s="44">
        <f>((('SLP States AggWorkings'!X91)*5)+(('ZKY States AggWorkings'!X91)*3)+(('A&amp;N States AggWorkings'!X91)*2))/10</f>
        <v>3.6133333333333333</v>
      </c>
      <c r="Y91" s="43">
        <f>((('SLP States AggWorkings'!Y91)*5)+(('ZKY States AggWorkings'!Y91)*3)+(('A&amp;N States AggWorkings'!Y91)*2))/10</f>
        <v>3.6399999999999997</v>
      </c>
      <c r="Z91" s="44">
        <f>((('SLP States AggWorkings'!Z91)*5)+(('ZKY States AggWorkings'!Z91)*3)+(('A&amp;N States AggWorkings'!Z91)*2))/10</f>
        <v>3.6399999999999997</v>
      </c>
      <c r="AA91" s="38">
        <v>5</v>
      </c>
      <c r="AB91" s="420">
        <f>AA91/22</f>
        <v>0.22727272727272727</v>
      </c>
      <c r="AC91" s="340"/>
      <c r="AD91" s="450">
        <f>V91</f>
        <v>3.5124999999999997</v>
      </c>
      <c r="AF91" s="339">
        <f t="shared" ref="AF91:AG92" si="29">IF($AG$1=16,R91,IF($AG$1=17,S91,IF($AG$1=18,T91,IF($AG$1=19,U91,IF($AG$1=20,V91,IF($AG$1=21,W91,IF($AG$1=22,X91,0)))))))</f>
        <v>3.5183333333333335</v>
      </c>
      <c r="AG91" s="339">
        <f t="shared" si="29"/>
        <v>3.6133333333333333</v>
      </c>
      <c r="AI91" s="338"/>
    </row>
    <row r="92" spans="1:42" s="340" customFormat="1" ht="15.75" thickBot="1">
      <c r="A92" s="45"/>
      <c r="B92" s="46" t="s">
        <v>140</v>
      </c>
      <c r="C92" s="52">
        <f>((('SLP States AggWorkings'!C92)*5)+(('ZKY States AggWorkings'!C92)*3))/8</f>
        <v>0</v>
      </c>
      <c r="D92" s="52">
        <f>((('SLP States AggWorkings'!D92)*5)+(('ZKY States AggWorkings'!D92)*3))/8</f>
        <v>0</v>
      </c>
      <c r="E92" s="52">
        <f>((('SLP States AggWorkings'!E92)*5)+(('ZKY States AggWorkings'!E92)*3))/8</f>
        <v>0</v>
      </c>
      <c r="F92" s="52">
        <f>((('SLP States AggWorkings'!F92)*5)+(('ZKY States AggWorkings'!F92)*3))/8</f>
        <v>0</v>
      </c>
      <c r="G92" s="52">
        <f>((('SLP States AggWorkings'!G92)*5)+(('ZKY States AggWorkings'!G92)*3))/8</f>
        <v>0</v>
      </c>
      <c r="H92" s="52">
        <f>((('SLP States AggWorkings'!H92)*5)+(('ZKY States AggWorkings'!H92)*3))/8</f>
        <v>0</v>
      </c>
      <c r="I92" s="52">
        <f>((('SLP States AggWorkings'!I92)*5)+(('ZKY States AggWorkings'!I92)*3))/8</f>
        <v>0</v>
      </c>
      <c r="J92" s="52">
        <f>((('SLP States AggWorkings'!J92)*5)+(('ZKY States AggWorkings'!J92)*3))/8</f>
        <v>0</v>
      </c>
      <c r="K92" s="52">
        <f>((('SLP States AggWorkings'!K92)*5)+(('ZKY States AggWorkings'!K92)*3))/8</f>
        <v>0</v>
      </c>
      <c r="L92" s="52">
        <f>((('SLP States AggWorkings'!L92)*5)+(('ZKY States AggWorkings'!L92)*3))/8</f>
        <v>0</v>
      </c>
      <c r="M92" s="52">
        <f>((('SLP States AggWorkings'!M92)*5)+(('ZKY States AggWorkings'!M92)*3))/8</f>
        <v>0</v>
      </c>
      <c r="N92" s="47">
        <f>((('SLP States AggWorkings'!N92)*5)+(('ZKY States AggWorkings'!N92)*3))/8</f>
        <v>2.9375</v>
      </c>
      <c r="O92" s="436">
        <f>((('SLP States AggWorkings'!O92)*5)+(('ZKY States AggWorkings'!O92)*3))/8</f>
        <v>3.0125000000000002</v>
      </c>
      <c r="P92" s="440">
        <f>((('SLP States AggWorkings'!P92)*5)+(('ZKY States AggWorkings'!P92)*3))/8</f>
        <v>2.9812500000000002</v>
      </c>
      <c r="Q92" s="440">
        <f>((('SLP States AggWorkings'!Q92)*5)+(('ZKY States AggWorkings'!Q92)*3))/8</f>
        <v>3.2374999999999998</v>
      </c>
      <c r="R92" s="437">
        <f>((('SLP States AggWorkings'!R92)*5)+(('ZKY States AggWorkings'!R92)*3))/8</f>
        <v>3.2624999999999997</v>
      </c>
      <c r="S92" s="437">
        <f>((('SLP States AggWorkings'!S92)*5)+(('ZKY States AggWorkings'!S92)*3))/8</f>
        <v>3.2250000000000001</v>
      </c>
      <c r="T92" s="437">
        <f>((('SLP States AggWorkings'!T92)*5)+(('ZKY States AggWorkings'!T92)*3))/8</f>
        <v>3.5249999999999999</v>
      </c>
      <c r="U92" s="437">
        <f>((('SLP States AggWorkings'!U92)*5)+(('ZKY States AggWorkings'!U92)*3))/8</f>
        <v>3.56</v>
      </c>
      <c r="V92" s="438">
        <f>((('SLP States AggWorkings'!V92)*5)+(('ZKY States AggWorkings'!V92)*3))/8</f>
        <v>3.8625000000000003</v>
      </c>
      <c r="W92" s="80">
        <f>((('SLP States AggWorkings'!W92)*5)+(('ZKY States AggWorkings'!W92)*3)+(('A&amp;N States AggWorkings'!W92)*2))/10</f>
        <v>3.7000000000000006</v>
      </c>
      <c r="X92" s="69">
        <f>((('SLP States AggWorkings'!X92)*5)+(('ZKY States AggWorkings'!X92)*3)+(('A&amp;N States AggWorkings'!X92)*2))/10</f>
        <v>3.7449999999999997</v>
      </c>
      <c r="Y92" s="69">
        <f>((('SLP States AggWorkings'!Y92)*5)+(('ZKY States AggWorkings'!Y92)*3)+(('A&amp;N States AggWorkings'!Y92)*2))/10</f>
        <v>0</v>
      </c>
      <c r="Z92" s="69">
        <f>((('SLP States AggWorkings'!Z92)*5)+(('ZKY States AggWorkings'!Z92)*3)+(('A&amp;N States AggWorkings'!Z92)*2))/10</f>
        <v>0</v>
      </c>
      <c r="AA92" s="49"/>
      <c r="AB92" s="421"/>
      <c r="AD92" s="341">
        <f>V92</f>
        <v>3.8625000000000003</v>
      </c>
      <c r="AE92" s="335"/>
      <c r="AF92" s="341">
        <f t="shared" si="29"/>
        <v>3.7000000000000006</v>
      </c>
      <c r="AG92" s="341">
        <f t="shared" si="29"/>
        <v>3.7449999999999997</v>
      </c>
      <c r="AH92" s="342">
        <f>AG92</f>
        <v>3.7449999999999997</v>
      </c>
      <c r="AI92" s="342">
        <f>AG92</f>
        <v>3.7449999999999997</v>
      </c>
    </row>
    <row r="93" spans="1:42" s="340" customFormat="1">
      <c r="A93" s="45"/>
      <c r="B93" s="46"/>
      <c r="C93" s="48"/>
      <c r="D93" s="48"/>
      <c r="E93" s="48"/>
      <c r="F93" s="48"/>
      <c r="G93" s="48"/>
      <c r="H93" s="48"/>
      <c r="I93" s="48"/>
      <c r="J93" s="48"/>
      <c r="K93" s="48"/>
      <c r="L93" s="48"/>
      <c r="M93" s="48"/>
      <c r="N93" s="48"/>
      <c r="O93" s="48"/>
      <c r="P93" s="48"/>
      <c r="Q93" s="48"/>
      <c r="R93" s="48"/>
      <c r="S93" s="48"/>
      <c r="T93" s="48"/>
      <c r="U93" s="48"/>
      <c r="V93" s="48"/>
      <c r="W93" s="48"/>
      <c r="X93" s="48"/>
      <c r="Y93" s="48"/>
      <c r="Z93" s="48"/>
      <c r="AA93" s="49"/>
      <c r="AB93" s="421"/>
      <c r="AE93" s="335"/>
      <c r="AF93" s="343"/>
      <c r="AG93" s="343"/>
      <c r="AH93" s="335"/>
      <c r="AI93" s="338"/>
    </row>
    <row r="94" spans="1:42" ht="15.75" thickBot="1">
      <c r="A94" s="41" t="s">
        <v>32</v>
      </c>
      <c r="B94" s="42" t="s">
        <v>139</v>
      </c>
      <c r="C94" s="43" t="e">
        <f>((('SLP States AggWorkings'!C94)*5)+(('ZKY States AggWorkings'!C94)*3))/8</f>
        <v>#VALUE!</v>
      </c>
      <c r="D94" s="81" t="e">
        <f>((('SLP States AggWorkings'!D94)*5)+(('ZKY States AggWorkings'!D94)*3))/8</f>
        <v>#VALUE!</v>
      </c>
      <c r="E94" s="81" t="e">
        <f>((('SLP States AggWorkings'!E94)*5)+(('ZKY States AggWorkings'!E94)*3))/8</f>
        <v>#VALUE!</v>
      </c>
      <c r="F94" s="81" t="e">
        <f>((('SLP States AggWorkings'!F94)*5)+(('ZKY States AggWorkings'!F94)*3))/8</f>
        <v>#VALUE!</v>
      </c>
      <c r="G94" s="81" t="e">
        <f>((('SLP States AggWorkings'!G94)*5)+(('ZKY States AggWorkings'!G94)*3))/8</f>
        <v>#VALUE!</v>
      </c>
      <c r="H94" s="81" t="e">
        <f>((('SLP States AggWorkings'!H94)*5)+(('ZKY States AggWorkings'!H94)*3))/8</f>
        <v>#VALUE!</v>
      </c>
      <c r="I94" s="82">
        <f>((('SLP States AggWorkings'!I94)*5)+(('ZKY States AggWorkings'!I94)*3))/8</f>
        <v>1.75</v>
      </c>
      <c r="J94" s="81">
        <f>((('SLP States AggWorkings'!J94)*5)+(('ZKY States AggWorkings'!J94)*3))/8</f>
        <v>1.8125000000000002</v>
      </c>
      <c r="K94" s="81">
        <f>((('SLP States AggWorkings'!K94)*5)+(('ZKY States AggWorkings'!K94)*3))/8</f>
        <v>1.875</v>
      </c>
      <c r="L94" s="44">
        <f>((('SLP States AggWorkings'!L94)*5)+(('ZKY States AggWorkings'!L94)*3))/8</f>
        <v>1.9375</v>
      </c>
      <c r="M94" s="44">
        <f>((('SLP States AggWorkings'!M94)*5)+(('ZKY States AggWorkings'!M94)*3))/8</f>
        <v>2</v>
      </c>
      <c r="N94" s="43">
        <f>((('SLP States AggWorkings'!N94)*5)+(('ZKY States AggWorkings'!N94)*3))/8</f>
        <v>2.125</v>
      </c>
      <c r="O94" s="44">
        <f>((('SLP States AggWorkings'!O94)*5)+(('ZKY States AggWorkings'!O94)*3))/8</f>
        <v>2.2000000000000002</v>
      </c>
      <c r="P94" s="44">
        <f>((('SLP States AggWorkings'!P94)*5)+(('ZKY States AggWorkings'!P94)*3))/8</f>
        <v>2.2749999999999999</v>
      </c>
      <c r="Q94" s="44">
        <f>((('SLP States AggWorkings'!Q94)*5)+(('ZKY States AggWorkings'!Q94)*3))/8</f>
        <v>2.35</v>
      </c>
      <c r="R94" s="43">
        <f>((('SLP States AggWorkings'!R94)*5)+(('ZKY States AggWorkings'!R94)*3))/8</f>
        <v>2.4250000000000003</v>
      </c>
      <c r="S94" s="44">
        <f>((('SLP States AggWorkings'!S94)*5)+(('ZKY States AggWorkings'!S94)*3))/8</f>
        <v>2.5333333333333337</v>
      </c>
      <c r="T94" s="44">
        <f>((('SLP States AggWorkings'!T94)*5)+(('ZKY States AggWorkings'!T94)*3))/8</f>
        <v>2.6416666666666666</v>
      </c>
      <c r="U94" s="44">
        <f>((('SLP States AggWorkings'!U94)*5)+(('ZKY States AggWorkings'!U94)*3))/8</f>
        <v>2.75</v>
      </c>
      <c r="V94" s="44">
        <f>((('SLP States AggWorkings'!V94)*5)+(('ZKY States AggWorkings'!V94)*3))/8</f>
        <v>2.8583333333333334</v>
      </c>
      <c r="W94" s="44">
        <f>((('SLP States AggWorkings'!W94)*5)+(('ZKY States AggWorkings'!W94)*3)+(('A&amp;N States AggWorkings'!W94)*2))/10</f>
        <v>2.9433333333333329</v>
      </c>
      <c r="X94" s="44">
        <f>((('SLP States AggWorkings'!X94)*5)+(('ZKY States AggWorkings'!X94)*3)+(('A&amp;N States AggWorkings'!X94)*2))/10</f>
        <v>3.1366666666666667</v>
      </c>
      <c r="Y94" s="43">
        <f>((('SLP States AggWorkings'!Y94)*5)+(('ZKY States AggWorkings'!Y94)*3)+(('A&amp;N States AggWorkings'!Y94)*2))/10</f>
        <v>3.19</v>
      </c>
      <c r="Z94" s="44">
        <f>((('SLP States AggWorkings'!Z94)*5)+(('ZKY States AggWorkings'!Z94)*3)+(('A&amp;N States AggWorkings'!Z94)*2))/10</f>
        <v>3.19</v>
      </c>
      <c r="AA94" s="38">
        <v>5</v>
      </c>
      <c r="AB94" s="420">
        <f>AA94/22</f>
        <v>0.22727272727272727</v>
      </c>
      <c r="AC94" s="340"/>
      <c r="AD94" s="450">
        <f>V94</f>
        <v>2.8583333333333334</v>
      </c>
      <c r="AF94" s="339">
        <f t="shared" ref="AF94:AG95" si="30">IF($AG$1=16,R94,IF($AG$1=17,S94,IF($AG$1=18,T94,IF($AG$1=19,U94,IF($AG$1=20,V94,IF($AG$1=21,W94,IF($AG$1=22,X94,0)))))))</f>
        <v>2.9433333333333329</v>
      </c>
      <c r="AG94" s="339">
        <f t="shared" si="30"/>
        <v>3.1366666666666667</v>
      </c>
      <c r="AI94" s="338"/>
      <c r="AK94" s="462">
        <f>(AD94+AD97+AD100+AD103+((AD106+AD109)/2/3/8))/5</f>
        <v>2.5869444444444447</v>
      </c>
      <c r="AM94" s="460">
        <f>(AF94+AF97+AF100+AF103+((AF106+AF109)/2/3/8))/5</f>
        <v>2.82525</v>
      </c>
      <c r="AN94" s="460">
        <f>(AG94+AG97+AG100+AG103+((AG106+AG109)/2/3/8))/5</f>
        <v>3.0037777777777777</v>
      </c>
      <c r="AO94" s="338" t="s">
        <v>1112</v>
      </c>
    </row>
    <row r="95" spans="1:42" s="340" customFormat="1" ht="15.75" thickBot="1">
      <c r="A95" s="45"/>
      <c r="B95" s="46" t="s">
        <v>140</v>
      </c>
      <c r="C95" s="79" t="e">
        <f>((('SLP States AggWorkings'!C95)*5)+(('ZKY States AggWorkings'!C95)*3))/8</f>
        <v>#VALUE!</v>
      </c>
      <c r="D95" s="436">
        <f>((('SLP States AggWorkings'!D95)*5)+(('ZKY States AggWorkings'!D95)*3))/8</f>
        <v>0.77500000000000002</v>
      </c>
      <c r="E95" s="437">
        <f>((('SLP States AggWorkings'!E95)*5)+(('ZKY States AggWorkings'!E95)*3))/8</f>
        <v>0.78749999999999998</v>
      </c>
      <c r="F95" s="437">
        <f>((('SLP States AggWorkings'!F95)*5)+(('ZKY States AggWorkings'!F95)*3))/8</f>
        <v>0.82499999999999996</v>
      </c>
      <c r="G95" s="437">
        <f>((('SLP States AggWorkings'!G95)*5)+(('ZKY States AggWorkings'!G95)*3))/8</f>
        <v>0.84999999999999987</v>
      </c>
      <c r="H95" s="437">
        <f>((('SLP States AggWorkings'!H95)*5)+(('ZKY States AggWorkings'!H95)*3))/8</f>
        <v>0.84999999999999987</v>
      </c>
      <c r="I95" s="437">
        <f>((('SLP States AggWorkings'!I95)*5)+(('ZKY States AggWorkings'!I95)*3))/8</f>
        <v>1.2</v>
      </c>
      <c r="J95" s="437">
        <f>((('SLP States AggWorkings'!J95)*5)+(('ZKY States AggWorkings'!J95)*3))/8</f>
        <v>1.0125</v>
      </c>
      <c r="K95" s="437">
        <f>((('SLP States AggWorkings'!K95)*5)+(('ZKY States AggWorkings'!K95)*3))/8</f>
        <v>1.0125</v>
      </c>
      <c r="L95" s="437">
        <f>((('SLP States AggWorkings'!L95)*5)+(('ZKY States AggWorkings'!L95)*3))/8</f>
        <v>1.375</v>
      </c>
      <c r="M95" s="437">
        <f>((('SLP States AggWorkings'!M95)*5)+(('ZKY States AggWorkings'!M95)*3))/8</f>
        <v>1.375</v>
      </c>
      <c r="N95" s="439">
        <f>((('SLP States AggWorkings'!N95)*5)+(('ZKY States AggWorkings'!N95)*3))/8</f>
        <v>2.2250000000000001</v>
      </c>
      <c r="O95" s="440">
        <f>((('SLP States AggWorkings'!O95)*5)+(('ZKY States AggWorkings'!O95)*3))/8</f>
        <v>2.125</v>
      </c>
      <c r="P95" s="440">
        <f>((('SLP States AggWorkings'!P95)*5)+(('ZKY States AggWorkings'!P95)*3))/8</f>
        <v>2.25</v>
      </c>
      <c r="Q95" s="440">
        <f>((('SLP States AggWorkings'!Q95)*5)+(('ZKY States AggWorkings'!Q95)*3))/8</f>
        <v>2.4375</v>
      </c>
      <c r="R95" s="437">
        <f>((('SLP States AggWorkings'!R95)*5)+(('ZKY States AggWorkings'!R95)*3))/8</f>
        <v>2.9124999999999996</v>
      </c>
      <c r="S95" s="437">
        <f>((('SLP States AggWorkings'!S95)*5)+(('ZKY States AggWorkings'!S95)*3))/8</f>
        <v>2.9124999999999996</v>
      </c>
      <c r="T95" s="437">
        <f>((('SLP States AggWorkings'!T95)*5)+(('ZKY States AggWorkings'!T95)*3))/8</f>
        <v>3.3624999999999998</v>
      </c>
      <c r="U95" s="437">
        <f>((('SLP States AggWorkings'!U95)*5)+(('ZKY States AggWorkings'!U95)*3))/8</f>
        <v>3.4749999999999996</v>
      </c>
      <c r="V95" s="438">
        <f>((('SLP States AggWorkings'!V95)*5)+(('ZKY States AggWorkings'!V95)*3))/8</f>
        <v>3.4624999999999999</v>
      </c>
      <c r="W95" s="80">
        <f>((('SLP States AggWorkings'!W95)*5)+(('ZKY States AggWorkings'!W95)*3)+(('A&amp;N States AggWorkings'!W95)*2))/10</f>
        <v>3.2</v>
      </c>
      <c r="X95" s="69">
        <f>((('SLP States AggWorkings'!X95)*5)+(('ZKY States AggWorkings'!X95)*3)+(('A&amp;N States AggWorkings'!X95)*2))/10</f>
        <v>3.31</v>
      </c>
      <c r="Y95" s="69">
        <f>((('SLP States AggWorkings'!Y95)*5)+(('ZKY States AggWorkings'!Y95)*3)+(('A&amp;N States AggWorkings'!Y95)*2))/10</f>
        <v>0</v>
      </c>
      <c r="Z95" s="69">
        <f>((('SLP States AggWorkings'!Z95)*5)+(('ZKY States AggWorkings'!Z95)*3)+(('A&amp;N States AggWorkings'!Z95)*2))/10</f>
        <v>0</v>
      </c>
      <c r="AA95" s="49"/>
      <c r="AB95" s="421"/>
      <c r="AD95" s="341">
        <f>V95</f>
        <v>3.4624999999999999</v>
      </c>
      <c r="AE95" s="335"/>
      <c r="AF95" s="341">
        <f t="shared" si="30"/>
        <v>3.2</v>
      </c>
      <c r="AG95" s="341">
        <f t="shared" si="30"/>
        <v>3.31</v>
      </c>
      <c r="AH95" s="342">
        <f>AG95</f>
        <v>3.31</v>
      </c>
      <c r="AI95" s="342">
        <f>AG95</f>
        <v>3.31</v>
      </c>
      <c r="AK95" s="461">
        <f>(AD95+AD98+AD101+AD104+((AD107+AD110)/2/3/8))/5</f>
        <v>3.3866666666666667</v>
      </c>
      <c r="AM95" s="461">
        <f>(AF95+AF98+AF101+AF104+((AF107+AF110)/2/3/8))/5</f>
        <v>3.2111666666666663</v>
      </c>
      <c r="AN95" s="461">
        <f>(AG95+AG98+AG101+AG104+((AG107+AG110)/2/3/8))/5</f>
        <v>3.3068333333333335</v>
      </c>
      <c r="AO95" s="342">
        <f>AN95</f>
        <v>3.3068333333333335</v>
      </c>
      <c r="AP95" s="342">
        <f>AN95</f>
        <v>3.3068333333333335</v>
      </c>
    </row>
    <row r="96" spans="1:42" s="340" customFormat="1">
      <c r="A96" s="45"/>
      <c r="B96" s="46"/>
      <c r="C96" s="48"/>
      <c r="D96" s="83"/>
      <c r="E96" s="83"/>
      <c r="F96" s="83"/>
      <c r="G96" s="83"/>
      <c r="H96" s="83"/>
      <c r="I96" s="83"/>
      <c r="J96" s="83"/>
      <c r="K96" s="83"/>
      <c r="L96" s="48"/>
      <c r="M96" s="48"/>
      <c r="N96" s="48"/>
      <c r="O96" s="48"/>
      <c r="P96" s="48"/>
      <c r="Q96" s="48"/>
      <c r="R96" s="48"/>
      <c r="S96" s="48"/>
      <c r="T96" s="48"/>
      <c r="U96" s="48"/>
      <c r="V96" s="48"/>
      <c r="W96" s="48"/>
      <c r="X96" s="48"/>
      <c r="Y96" s="48"/>
      <c r="Z96" s="48"/>
      <c r="AA96" s="49"/>
      <c r="AB96" s="421"/>
      <c r="AE96" s="335"/>
      <c r="AF96" s="343"/>
      <c r="AG96" s="343"/>
      <c r="AH96" s="335"/>
      <c r="AI96" s="338"/>
    </row>
    <row r="97" spans="1:41" ht="15.75" thickBot="1">
      <c r="A97" s="41" t="s">
        <v>33</v>
      </c>
      <c r="B97" s="42" t="s">
        <v>139</v>
      </c>
      <c r="C97" s="43" t="e">
        <v>#VALUE!</v>
      </c>
      <c r="D97" s="81" t="e">
        <v>#VALUE!</v>
      </c>
      <c r="E97" s="81" t="e">
        <v>#VALUE!</v>
      </c>
      <c r="F97" s="81" t="e">
        <v>#VALUE!</v>
      </c>
      <c r="G97" s="81" t="e">
        <v>#VALUE!</v>
      </c>
      <c r="H97" s="81" t="e">
        <v>#VALUE!</v>
      </c>
      <c r="I97" s="82">
        <v>2.1875</v>
      </c>
      <c r="J97" s="81">
        <v>2.2750000000000004</v>
      </c>
      <c r="K97" s="81">
        <v>2.3624999999999998</v>
      </c>
      <c r="L97" s="44">
        <v>2.4500000000000002</v>
      </c>
      <c r="M97" s="44">
        <v>2.5374999999999996</v>
      </c>
      <c r="N97" s="43">
        <v>2.7124999999999999</v>
      </c>
      <c r="O97" s="44">
        <v>2.7625000000000002</v>
      </c>
      <c r="P97" s="44">
        <v>2.8125</v>
      </c>
      <c r="Q97" s="44">
        <v>2.8625000000000003</v>
      </c>
      <c r="R97" s="43">
        <v>2.9125000000000001</v>
      </c>
      <c r="S97" s="44">
        <v>2.8583333333333334</v>
      </c>
      <c r="T97" s="44">
        <v>2.8041666666666667</v>
      </c>
      <c r="U97" s="44">
        <v>2.7499999999999996</v>
      </c>
      <c r="V97" s="44">
        <v>2.6958333333333329</v>
      </c>
      <c r="W97" s="44">
        <f>((('SLP States AggWorkings'!W97)*5)+(('ZKY States AggWorkings'!W97)*3)+(('A&amp;N States AggWorkings'!W97)*2))/10</f>
        <v>3.5450000000000004</v>
      </c>
      <c r="X97" s="44">
        <f>((('SLP States AggWorkings'!X97)*5)+(('ZKY States AggWorkings'!X97)*3)+(('A&amp;N States AggWorkings'!X97)*2))/10</f>
        <v>3.7633333333333332</v>
      </c>
      <c r="Y97" s="43">
        <f>((('SLP States AggWorkings'!Y97)*5)+(('ZKY States AggWorkings'!Y97)*3)+(('A&amp;N States AggWorkings'!Y97)*2))/10</f>
        <v>3.84</v>
      </c>
      <c r="Z97" s="44">
        <f>((('SLP States AggWorkings'!Z97)*5)+(('ZKY States AggWorkings'!Z97)*3)+(('A&amp;N States AggWorkings'!Z97)*2))/10</f>
        <v>3.84</v>
      </c>
      <c r="AA97" s="38">
        <v>5</v>
      </c>
      <c r="AB97" s="420">
        <f>AA97/22</f>
        <v>0.22727272727272727</v>
      </c>
      <c r="AC97" s="340"/>
      <c r="AD97" s="450">
        <f>V97</f>
        <v>2.6958333333333329</v>
      </c>
      <c r="AF97" s="339">
        <f t="shared" ref="AF97:AG98" si="31">IF($AG$1=16,R97,IF($AG$1=17,S97,IF($AG$1=18,T97,IF($AG$1=19,U97,IF($AG$1=20,V97,IF($AG$1=21,W97,IF($AG$1=22,X97,0)))))))</f>
        <v>3.5450000000000004</v>
      </c>
      <c r="AG97" s="339">
        <f t="shared" si="31"/>
        <v>3.7633333333333332</v>
      </c>
      <c r="AI97" s="338"/>
    </row>
    <row r="98" spans="1:41" s="340" customFormat="1" ht="15.75" thickBot="1">
      <c r="A98" s="45"/>
      <c r="B98" s="46" t="s">
        <v>140</v>
      </c>
      <c r="C98" s="79" t="e">
        <v>#VALUE!</v>
      </c>
      <c r="D98" s="436">
        <v>1.3125</v>
      </c>
      <c r="E98" s="437">
        <v>1.3125</v>
      </c>
      <c r="F98" s="437">
        <v>1.3125</v>
      </c>
      <c r="G98" s="437">
        <v>1.3125</v>
      </c>
      <c r="H98" s="437">
        <v>0.89999999999999991</v>
      </c>
      <c r="I98" s="437">
        <v>1.5625</v>
      </c>
      <c r="J98" s="437">
        <v>1.6625000000000001</v>
      </c>
      <c r="K98" s="437">
        <v>1.575</v>
      </c>
      <c r="L98" s="437">
        <v>1.5</v>
      </c>
      <c r="M98" s="437">
        <v>1.4874999999999998</v>
      </c>
      <c r="N98" s="439">
        <v>2.65</v>
      </c>
      <c r="O98" s="440">
        <v>2.7649999999999997</v>
      </c>
      <c r="P98" s="440">
        <v>2.8287500000000003</v>
      </c>
      <c r="Q98" s="440">
        <v>3.0250000000000004</v>
      </c>
      <c r="R98" s="437">
        <v>2.9000000000000004</v>
      </c>
      <c r="S98" s="437">
        <f>((('SLP States AggWorkings'!S98)*5)+(('ZKY States AggWorkings'!S98)*3))/8</f>
        <v>3.4249999999999998</v>
      </c>
      <c r="T98" s="437">
        <f>((('SLP States AggWorkings'!T98)*5)+(('ZKY States AggWorkings'!T98)*3))/8</f>
        <v>3.7749999999999999</v>
      </c>
      <c r="U98" s="437">
        <f>((('SLP States AggWorkings'!U98)*5)+(('ZKY States AggWorkings'!U98)*3))/8</f>
        <v>3.9125000000000005</v>
      </c>
      <c r="V98" s="438">
        <f>((('SLP States AggWorkings'!V98)*5)+(('ZKY States AggWorkings'!V98)*3))/8</f>
        <v>4.2874999999999996</v>
      </c>
      <c r="W98" s="80">
        <f>((('SLP States AggWorkings'!W98)*5)+(('ZKY States AggWorkings'!W98)*3)+(('A&amp;N States AggWorkings'!W98)*2))/10</f>
        <v>4.089999999999999</v>
      </c>
      <c r="X98" s="69">
        <f>((('SLP States AggWorkings'!X98)*5)+(('ZKY States AggWorkings'!X98)*3)+(('A&amp;N States AggWorkings'!X98)*2))/10</f>
        <v>4.1399999999999988</v>
      </c>
      <c r="Y98" s="69">
        <f>((('SLP States AggWorkings'!Y98)*5)+(('ZKY States AggWorkings'!Y98)*3)+(('A&amp;N States AggWorkings'!Y98)*2))/10</f>
        <v>0</v>
      </c>
      <c r="Z98" s="69">
        <f>((('SLP States AggWorkings'!Z98)*5)+(('ZKY States AggWorkings'!Z98)*3)+(('A&amp;N States AggWorkings'!Z98)*2))/10</f>
        <v>0</v>
      </c>
      <c r="AA98" s="49"/>
      <c r="AB98" s="421"/>
      <c r="AD98" s="341">
        <f>V98</f>
        <v>4.2874999999999996</v>
      </c>
      <c r="AE98" s="335"/>
      <c r="AF98" s="341">
        <f t="shared" si="31"/>
        <v>4.089999999999999</v>
      </c>
      <c r="AG98" s="341">
        <f t="shared" si="31"/>
        <v>4.1399999999999988</v>
      </c>
      <c r="AH98" s="342">
        <f>AG98</f>
        <v>4.1399999999999988</v>
      </c>
      <c r="AI98" s="342">
        <f>AG98</f>
        <v>4.1399999999999988</v>
      </c>
    </row>
    <row r="99" spans="1:41" s="340" customFormat="1">
      <c r="A99" s="45"/>
      <c r="B99" s="46"/>
      <c r="C99" s="48"/>
      <c r="D99" s="83"/>
      <c r="E99" s="83"/>
      <c r="F99" s="83"/>
      <c r="G99" s="83"/>
      <c r="H99" s="83"/>
      <c r="I99" s="83"/>
      <c r="J99" s="83"/>
      <c r="K99" s="83"/>
      <c r="L99" s="48"/>
      <c r="M99" s="48"/>
      <c r="N99" s="48"/>
      <c r="O99" s="48"/>
      <c r="P99" s="48"/>
      <c r="Q99" s="48"/>
      <c r="R99" s="48"/>
      <c r="S99" s="48"/>
      <c r="T99" s="48"/>
      <c r="U99" s="48"/>
      <c r="V99" s="48"/>
      <c r="W99" s="48"/>
      <c r="X99" s="48"/>
      <c r="Y99" s="48"/>
      <c r="Z99" s="48"/>
      <c r="AA99" s="49"/>
      <c r="AB99" s="421"/>
      <c r="AE99" s="335"/>
      <c r="AF99" s="343"/>
      <c r="AG99" s="343"/>
      <c r="AH99" s="335"/>
      <c r="AI99" s="338"/>
    </row>
    <row r="100" spans="1:41" ht="15.75" thickBot="1">
      <c r="A100" s="41" t="s">
        <v>34</v>
      </c>
      <c r="B100" s="42" t="s">
        <v>139</v>
      </c>
      <c r="C100" s="43" t="e">
        <f>((('SLP States AggWorkings'!C100)*5)+(('ZKY States AggWorkings'!C100)*3))/8</f>
        <v>#VALUE!</v>
      </c>
      <c r="D100" s="81" t="e">
        <f>((('SLP States AggWorkings'!D100)*5)+(('ZKY States AggWorkings'!D100)*3))/8</f>
        <v>#VALUE!</v>
      </c>
      <c r="E100" s="81" t="e">
        <f>((('SLP States AggWorkings'!E100)*5)+(('ZKY States AggWorkings'!E100)*3))/8</f>
        <v>#VALUE!</v>
      </c>
      <c r="F100" s="81" t="e">
        <f>((('SLP States AggWorkings'!F100)*5)+(('ZKY States AggWorkings'!F100)*3))/8</f>
        <v>#VALUE!</v>
      </c>
      <c r="G100" s="81" t="e">
        <f>((('SLP States AggWorkings'!G100)*5)+(('ZKY States AggWorkings'!G100)*3))/8</f>
        <v>#VALUE!</v>
      </c>
      <c r="H100" s="81" t="e">
        <f>((('SLP States AggWorkings'!H100)*5)+(('ZKY States AggWorkings'!H100)*3))/8</f>
        <v>#VALUE!</v>
      </c>
      <c r="I100" s="82">
        <f>((('SLP States AggWorkings'!I100)*5)+(('ZKY States AggWorkings'!I100)*3))/8</f>
        <v>1.4750000000000001</v>
      </c>
      <c r="J100" s="81">
        <f>((('SLP States AggWorkings'!J100)*5)+(('ZKY States AggWorkings'!J100)*3))/8</f>
        <v>1.5791666666666666</v>
      </c>
      <c r="K100" s="81">
        <f>((('SLP States AggWorkings'!K100)*5)+(('ZKY States AggWorkings'!K100)*3))/8</f>
        <v>1.6833333333333336</v>
      </c>
      <c r="L100" s="44">
        <f>((('SLP States AggWorkings'!L100)*5)+(('ZKY States AggWorkings'!L100)*3))/8</f>
        <v>1.7875000000000001</v>
      </c>
      <c r="M100" s="44">
        <f>((('SLP States AggWorkings'!M100)*5)+(('ZKY States AggWorkings'!M100)*3))/8</f>
        <v>1.8916666666666666</v>
      </c>
      <c r="N100" s="43">
        <f>((('SLP States AggWorkings'!N100)*5)+(('ZKY States AggWorkings'!N100)*3))/8</f>
        <v>2.1</v>
      </c>
      <c r="O100" s="44">
        <f>((('SLP States AggWorkings'!O100)*5)+(('ZKY States AggWorkings'!O100)*3))/8</f>
        <v>2.1875</v>
      </c>
      <c r="P100" s="44">
        <f>((('SLP States AggWorkings'!P100)*5)+(('ZKY States AggWorkings'!P100)*3))/8</f>
        <v>2.2749999999999999</v>
      </c>
      <c r="Q100" s="44">
        <f>((('SLP States AggWorkings'!Q100)*5)+(('ZKY States AggWorkings'!Q100)*3))/8</f>
        <v>2.3624999999999998</v>
      </c>
      <c r="R100" s="43">
        <f>((('SLP States AggWorkings'!R100)*5)+(('ZKY States AggWorkings'!R100)*3))/8</f>
        <v>2.4500000000000002</v>
      </c>
      <c r="S100" s="44">
        <f>((('SLP States AggWorkings'!S100)*5)+(('ZKY States AggWorkings'!S100)*3))/8</f>
        <v>2.5437500000000002</v>
      </c>
      <c r="T100" s="44">
        <f>((('SLP States AggWorkings'!T100)*5)+(('ZKY States AggWorkings'!T100)*3))/8</f>
        <v>2.6375000000000002</v>
      </c>
      <c r="U100" s="44">
        <f>((('SLP States AggWorkings'!U100)*5)+(('ZKY States AggWorkings'!U100)*3))/8</f>
        <v>2.7312500000000002</v>
      </c>
      <c r="V100" s="44">
        <f>((('SLP States AggWorkings'!V100)*5)+(('ZKY States AggWorkings'!V100)*3))/8</f>
        <v>2.8250000000000002</v>
      </c>
      <c r="W100" s="44">
        <f>((('SLP States AggWorkings'!W100)*5)+(('ZKY States AggWorkings'!W100)*3)+(('A&amp;N States AggWorkings'!W100)*2))/10</f>
        <v>2.7050000000000001</v>
      </c>
      <c r="X100" s="44">
        <f>((('SLP States AggWorkings'!X100)*5)+(('ZKY States AggWorkings'!X100)*3)+(('A&amp;N States AggWorkings'!X100)*2))/10</f>
        <v>2.8500000000000005</v>
      </c>
      <c r="Y100" s="43">
        <f>((('SLP States AggWorkings'!Y100)*5)+(('ZKY States AggWorkings'!Y100)*3)+(('A&amp;N States AggWorkings'!Y100)*2))/10</f>
        <v>2.8999999999999995</v>
      </c>
      <c r="Z100" s="44">
        <f>((('SLP States AggWorkings'!Z100)*5)+(('ZKY States AggWorkings'!Z100)*3)+(('A&amp;N States AggWorkings'!Z100)*2))/10</f>
        <v>2.8999999999999995</v>
      </c>
      <c r="AA100" s="38">
        <v>5</v>
      </c>
      <c r="AB100" s="420">
        <f>AA100/22</f>
        <v>0.22727272727272727</v>
      </c>
      <c r="AC100" s="340"/>
      <c r="AD100" s="450">
        <f>V100</f>
        <v>2.8250000000000002</v>
      </c>
      <c r="AF100" s="339">
        <f t="shared" ref="AF100:AG101" si="32">IF($AG$1=16,R100,IF($AG$1=17,S100,IF($AG$1=18,T100,IF($AG$1=19,U100,IF($AG$1=20,V100,IF($AG$1=21,W100,IF($AG$1=22,X100,0)))))))</f>
        <v>2.7050000000000001</v>
      </c>
      <c r="AG100" s="339">
        <f t="shared" si="32"/>
        <v>2.8500000000000005</v>
      </c>
      <c r="AI100" s="338"/>
    </row>
    <row r="101" spans="1:41" s="340" customFormat="1" ht="15.75" thickBot="1">
      <c r="A101" s="45"/>
      <c r="B101" s="46" t="s">
        <v>140</v>
      </c>
      <c r="C101" s="79" t="e">
        <f>((('SLP States AggWorkings'!C101)*5)+(('ZKY States AggWorkings'!C101)*3))/8</f>
        <v>#VALUE!</v>
      </c>
      <c r="D101" s="436">
        <f>((('SLP States AggWorkings'!D101)*5)+(('ZKY States AggWorkings'!D101)*3))/8</f>
        <v>0.875</v>
      </c>
      <c r="E101" s="437">
        <f>((('SLP States AggWorkings'!E101)*5)+(('ZKY States AggWorkings'!E101)*3))/8</f>
        <v>0.875</v>
      </c>
      <c r="F101" s="437">
        <f>((('SLP States AggWorkings'!F101)*5)+(('ZKY States AggWorkings'!F101)*3))/8</f>
        <v>0.875</v>
      </c>
      <c r="G101" s="437">
        <f>((('SLP States AggWorkings'!G101)*5)+(('ZKY States AggWorkings'!G101)*3))/8</f>
        <v>0.875</v>
      </c>
      <c r="H101" s="437">
        <f>((('SLP States AggWorkings'!H101)*5)+(('ZKY States AggWorkings'!H101)*3))/8</f>
        <v>0.875</v>
      </c>
      <c r="I101" s="437">
        <f>((('SLP States AggWorkings'!I101)*5)+(('ZKY States AggWorkings'!I101)*3))/8</f>
        <v>1.3125</v>
      </c>
      <c r="J101" s="437">
        <f>((('SLP States AggWorkings'!J101)*5)+(('ZKY States AggWorkings'!J101)*3))/8</f>
        <v>1.2250000000000001</v>
      </c>
      <c r="K101" s="437">
        <f>((('SLP States AggWorkings'!K101)*5)+(('ZKY States AggWorkings'!K101)*3))/8</f>
        <v>1.2875000000000001</v>
      </c>
      <c r="L101" s="437">
        <f>((('SLP States AggWorkings'!L101)*5)+(('ZKY States AggWorkings'!L101)*3))/8</f>
        <v>1.625</v>
      </c>
      <c r="M101" s="437">
        <f>((('SLP States AggWorkings'!M101)*5)+(('ZKY States AggWorkings'!M101)*3))/8</f>
        <v>1.625</v>
      </c>
      <c r="N101" s="439">
        <f>((('SLP States AggWorkings'!N101)*5)+(('ZKY States AggWorkings'!N101)*3))/8</f>
        <v>1.9875000000000003</v>
      </c>
      <c r="O101" s="440">
        <f>((('SLP States AggWorkings'!O101)*5)+(('ZKY States AggWorkings'!O101)*3))/8</f>
        <v>2.1875</v>
      </c>
      <c r="P101" s="440">
        <f>((('SLP States AggWorkings'!P101)*5)+(('ZKY States AggWorkings'!P101)*3))/8</f>
        <v>2.3250000000000002</v>
      </c>
      <c r="Q101" s="440">
        <f>((('SLP States AggWorkings'!Q101)*5)+(('ZKY States AggWorkings'!Q101)*3))/8</f>
        <v>2.7</v>
      </c>
      <c r="R101" s="437">
        <f>((('SLP States AggWorkings'!R101)*5)+(('ZKY States AggWorkings'!R101)*3))/8</f>
        <v>2.65</v>
      </c>
      <c r="S101" s="437">
        <f>((('SLP States AggWorkings'!S101)*5)+(('ZKY States AggWorkings'!S101)*3))/8</f>
        <v>2.75</v>
      </c>
      <c r="T101" s="437">
        <f>((('SLP States AggWorkings'!T101)*5)+(('ZKY States AggWorkings'!T101)*3))/8</f>
        <v>3.1624999999999996</v>
      </c>
      <c r="U101" s="437">
        <f>((('SLP States AggWorkings'!U101)*5)+(('ZKY States AggWorkings'!U101)*3))/8</f>
        <v>3.3</v>
      </c>
      <c r="V101" s="438">
        <f>((('SLP States AggWorkings'!V101)*5)+(('ZKY States AggWorkings'!V101)*3))/8</f>
        <v>3.5500000000000003</v>
      </c>
      <c r="W101" s="80">
        <f>((('SLP States AggWorkings'!W101)*5)+(('ZKY States AggWorkings'!W101)*3)+(('A&amp;N States AggWorkings'!W101)*2))/10</f>
        <v>3.2300000000000004</v>
      </c>
      <c r="X101" s="69">
        <f>((('SLP States AggWorkings'!X101)*5)+(('ZKY States AggWorkings'!X101)*3)+(('A&amp;N States AggWorkings'!X101)*2))/10</f>
        <v>3.28</v>
      </c>
      <c r="Y101" s="69">
        <f>((('SLP States AggWorkings'!Y101)*5)+(('ZKY States AggWorkings'!Y101)*3)+(('A&amp;N States AggWorkings'!Y101)*2))/10</f>
        <v>0</v>
      </c>
      <c r="Z101" s="69">
        <f>((('SLP States AggWorkings'!Z101)*5)+(('ZKY States AggWorkings'!Z101)*3)+(('A&amp;N States AggWorkings'!Z101)*2))/10</f>
        <v>0</v>
      </c>
      <c r="AA101" s="49"/>
      <c r="AB101" s="421"/>
      <c r="AD101" s="341">
        <f>V101</f>
        <v>3.5500000000000003</v>
      </c>
      <c r="AE101" s="335"/>
      <c r="AF101" s="341">
        <f t="shared" si="32"/>
        <v>3.2300000000000004</v>
      </c>
      <c r="AG101" s="341">
        <f t="shared" si="32"/>
        <v>3.28</v>
      </c>
      <c r="AH101" s="342">
        <f>AG101</f>
        <v>3.28</v>
      </c>
      <c r="AI101" s="342">
        <f>AG101</f>
        <v>3.28</v>
      </c>
    </row>
    <row r="102" spans="1:41" s="340" customFormat="1">
      <c r="A102" s="45"/>
      <c r="B102" s="46"/>
      <c r="C102" s="48"/>
      <c r="D102" s="83"/>
      <c r="E102" s="83"/>
      <c r="F102" s="83"/>
      <c r="G102" s="83"/>
      <c r="H102" s="83"/>
      <c r="I102" s="83"/>
      <c r="J102" s="83"/>
      <c r="K102" s="83"/>
      <c r="L102" s="48"/>
      <c r="M102" s="48"/>
      <c r="N102" s="48"/>
      <c r="O102" s="48"/>
      <c r="P102" s="48"/>
      <c r="Q102" s="48"/>
      <c r="R102" s="48"/>
      <c r="S102" s="48"/>
      <c r="T102" s="48"/>
      <c r="U102" s="48"/>
      <c r="V102" s="48"/>
      <c r="W102" s="48"/>
      <c r="X102" s="48"/>
      <c r="Y102" s="48"/>
      <c r="Z102" s="48"/>
      <c r="AA102" s="49"/>
      <c r="AB102" s="421"/>
      <c r="AE102" s="335"/>
      <c r="AF102" s="343"/>
      <c r="AG102" s="343"/>
      <c r="AH102" s="335"/>
      <c r="AI102" s="338"/>
    </row>
    <row r="103" spans="1:41" ht="15.75" thickBot="1">
      <c r="A103" s="41" t="s">
        <v>41</v>
      </c>
      <c r="B103" s="42" t="s">
        <v>139</v>
      </c>
      <c r="C103" s="43" t="e">
        <f>((('SLP States AggWorkings'!C103)*5)+(('ZKY States AggWorkings'!C103)*3))/8</f>
        <v>#VALUE!</v>
      </c>
      <c r="D103" s="81" t="e">
        <f>((('SLP States AggWorkings'!D103)*5)+(('ZKY States AggWorkings'!D103)*3))/8</f>
        <v>#VALUE!</v>
      </c>
      <c r="E103" s="81" t="e">
        <f>((('SLP States AggWorkings'!E103)*5)+(('ZKY States AggWorkings'!E103)*3))/8</f>
        <v>#VALUE!</v>
      </c>
      <c r="F103" s="81" t="e">
        <f>((('SLP States AggWorkings'!F103)*5)+(('ZKY States AggWorkings'!F103)*3))/8</f>
        <v>#VALUE!</v>
      </c>
      <c r="G103" s="81" t="e">
        <f>((('SLP States AggWorkings'!G103)*5)+(('ZKY States AggWorkings'!G103)*3))/8</f>
        <v>#VALUE!</v>
      </c>
      <c r="H103" s="81" t="e">
        <f>((('SLP States AggWorkings'!H103)*5)+(('ZKY States AggWorkings'!H103)*3))/8</f>
        <v>#VALUE!</v>
      </c>
      <c r="I103" s="82">
        <f>((('SLP States AggWorkings'!I103)*5)+(('ZKY States AggWorkings'!I103)*3))/8</f>
        <v>1.65</v>
      </c>
      <c r="J103" s="81">
        <f>((('SLP States AggWorkings'!J103)*5)+(('ZKY States AggWorkings'!J103)*3))/8</f>
        <v>1.7541666666666664</v>
      </c>
      <c r="K103" s="81">
        <f>((('SLP States AggWorkings'!K103)*5)+(('ZKY States AggWorkings'!K103)*3))/8</f>
        <v>1.8583333333333332</v>
      </c>
      <c r="L103" s="44">
        <f>((('SLP States AggWorkings'!L103)*5)+(('ZKY States AggWorkings'!L103)*3))/8</f>
        <v>1.9624999999999999</v>
      </c>
      <c r="M103" s="44">
        <f>((('SLP States AggWorkings'!M103)*5)+(('ZKY States AggWorkings'!M103)*3))/8</f>
        <v>2.0666666666666664</v>
      </c>
      <c r="N103" s="43">
        <f>((('SLP States AggWorkings'!N103)*5)+(('ZKY States AggWorkings'!N103)*3))/8</f>
        <v>2.2749999999999999</v>
      </c>
      <c r="O103" s="44">
        <f>((('SLP States AggWorkings'!O103)*5)+(('ZKY States AggWorkings'!O103)*3))/8</f>
        <v>2.328125</v>
      </c>
      <c r="P103" s="44">
        <f>((('SLP States AggWorkings'!P103)*5)+(('ZKY States AggWorkings'!P103)*3))/8</f>
        <v>2.3812499999999996</v>
      </c>
      <c r="Q103" s="44">
        <f>((('SLP States AggWorkings'!Q103)*5)+(('ZKY States AggWorkings'!Q103)*3))/8</f>
        <v>2.4343749999999997</v>
      </c>
      <c r="R103" s="43">
        <f>((('SLP States AggWorkings'!R103)*5)+(('ZKY States AggWorkings'!R103)*3))/8</f>
        <v>2.4874999999999998</v>
      </c>
      <c r="S103" s="44">
        <f>((('SLP States AggWorkings'!S103)*5)+(('ZKY States AggWorkings'!S103)*3))/8</f>
        <v>2.5791666666666671</v>
      </c>
      <c r="T103" s="44">
        <f>((('SLP States AggWorkings'!T103)*5)+(('ZKY States AggWorkings'!T103)*3))/8</f>
        <v>2.6708333333333334</v>
      </c>
      <c r="U103" s="44">
        <f>((('SLP States AggWorkings'!U103)*5)+(('ZKY States AggWorkings'!U103)*3))/8</f>
        <v>2.7625000000000002</v>
      </c>
      <c r="V103" s="44">
        <f>((('SLP States AggWorkings'!V103)*5)+(('ZKY States AggWorkings'!V103)*3))/8</f>
        <v>2.854166666666667</v>
      </c>
      <c r="W103" s="44">
        <f>((('SLP States AggWorkings'!W103)*5)+(('ZKY States AggWorkings'!W103)*3)+(('A&amp;N States AggWorkings'!W103)*2))/10</f>
        <v>2.8183333333333334</v>
      </c>
      <c r="X103" s="44">
        <f>((('SLP States AggWorkings'!X103)*5)+(('ZKY States AggWorkings'!X103)*3)+(('A&amp;N States AggWorkings'!X103)*2))/10</f>
        <v>2.9633333333333334</v>
      </c>
      <c r="Y103" s="43">
        <f>((('SLP States AggWorkings'!Y103)*5)+(('ZKY States AggWorkings'!Y103)*3)+(('A&amp;N States AggWorkings'!Y103)*2))/10</f>
        <v>3</v>
      </c>
      <c r="Z103" s="44">
        <f>((('SLP States AggWorkings'!Z103)*5)+(('ZKY States AggWorkings'!Z103)*3)+(('A&amp;N States AggWorkings'!Z103)*2))/10</f>
        <v>3</v>
      </c>
      <c r="AA103" s="38">
        <v>5</v>
      </c>
      <c r="AB103" s="420">
        <f>AA103/22</f>
        <v>0.22727272727272727</v>
      </c>
      <c r="AC103" s="340"/>
      <c r="AD103" s="450">
        <f>V103</f>
        <v>2.854166666666667</v>
      </c>
      <c r="AF103" s="339">
        <f t="shared" ref="AF103:AG104" si="33">IF($AG$1=16,R103,IF($AG$1=17,S103,IF($AG$1=18,T103,IF($AG$1=19,U103,IF($AG$1=20,V103,IF($AG$1=21,W103,IF($AG$1=22,X103,0)))))))</f>
        <v>2.8183333333333334</v>
      </c>
      <c r="AG103" s="339">
        <f t="shared" si="33"/>
        <v>2.9633333333333334</v>
      </c>
      <c r="AI103" s="338"/>
    </row>
    <row r="104" spans="1:41" s="340" customFormat="1" ht="15.75" thickBot="1">
      <c r="A104" s="45"/>
      <c r="B104" s="46" t="s">
        <v>140</v>
      </c>
      <c r="C104" s="79" t="e">
        <f>((('SLP States AggWorkings'!C104)*5)+(('ZKY States AggWorkings'!C104)*3))/8</f>
        <v>#VALUE!</v>
      </c>
      <c r="D104" s="436">
        <f>((('SLP States AggWorkings'!D104)*5)+(('ZKY States AggWorkings'!D104)*3))/8</f>
        <v>0.75</v>
      </c>
      <c r="E104" s="437">
        <f>((('SLP States AggWorkings'!E104)*5)+(('ZKY States AggWorkings'!E104)*3))/8</f>
        <v>0.75</v>
      </c>
      <c r="F104" s="437">
        <f>((('SLP States AggWorkings'!F104)*5)+(('ZKY States AggWorkings'!F104)*3))/8</f>
        <v>0.75</v>
      </c>
      <c r="G104" s="437">
        <f>((('SLP States AggWorkings'!G104)*5)+(('ZKY States AggWorkings'!G104)*3))/8</f>
        <v>0.75</v>
      </c>
      <c r="H104" s="437">
        <f>((('SLP States AggWorkings'!H104)*5)+(('ZKY States AggWorkings'!H104)*3))/8</f>
        <v>0.75</v>
      </c>
      <c r="I104" s="437">
        <f>((('SLP States AggWorkings'!I104)*5)+(('ZKY States AggWorkings'!I104)*3))/8</f>
        <v>1.0874999999999999</v>
      </c>
      <c r="J104" s="437">
        <f>((('SLP States AggWorkings'!J104)*5)+(('ZKY States AggWorkings'!J104)*3))/8</f>
        <v>0.96250000000000002</v>
      </c>
      <c r="K104" s="437">
        <f>((('SLP States AggWorkings'!K104)*5)+(('ZKY States AggWorkings'!K104)*3))/8</f>
        <v>0.96250000000000002</v>
      </c>
      <c r="L104" s="437">
        <f>((('SLP States AggWorkings'!L104)*5)+(('ZKY States AggWorkings'!L104)*3))/8</f>
        <v>1.375</v>
      </c>
      <c r="M104" s="437">
        <f>((('SLP States AggWorkings'!M104)*5)+(('ZKY States AggWorkings'!M104)*3))/8</f>
        <v>1.375</v>
      </c>
      <c r="N104" s="439">
        <f>((('SLP States AggWorkings'!N104)*5)+(('ZKY States AggWorkings'!N104)*3))/8</f>
        <v>1.9750000000000001</v>
      </c>
      <c r="O104" s="440">
        <f>((('SLP States AggWorkings'!O104)*5)+(('ZKY States AggWorkings'!O104)*3))/8</f>
        <v>2.1375000000000002</v>
      </c>
      <c r="P104" s="440">
        <f>((('SLP States AggWorkings'!P104)*5)+(('ZKY States AggWorkings'!P104)*3))/8</f>
        <v>2.4375</v>
      </c>
      <c r="Q104" s="440">
        <f>((('SLP States AggWorkings'!Q104)*5)+(('ZKY States AggWorkings'!Q104)*3))/8</f>
        <v>2.7750000000000004</v>
      </c>
      <c r="R104" s="437">
        <f>((('SLP States AggWorkings'!R104)*5)+(('ZKY States AggWorkings'!R104)*3))/8</f>
        <v>2.75</v>
      </c>
      <c r="S104" s="437">
        <f>((('SLP States AggWorkings'!S104)*5)+(('ZKY States AggWorkings'!S104)*3))/8</f>
        <v>2.9000000000000004</v>
      </c>
      <c r="T104" s="437">
        <f>((('SLP States AggWorkings'!T104)*5)+(('ZKY States AggWorkings'!T104)*3))/8</f>
        <v>3.1124999999999998</v>
      </c>
      <c r="U104" s="437">
        <f>((('SLP States AggWorkings'!U104)*5)+(('ZKY States AggWorkings'!U104)*3))/8</f>
        <v>3.4</v>
      </c>
      <c r="V104" s="438">
        <f>((('SLP States AggWorkings'!V104)*5)+(('ZKY States AggWorkings'!V104)*3))/8</f>
        <v>3.4875000000000003</v>
      </c>
      <c r="W104" s="80">
        <f>((('SLP States AggWorkings'!W104)*5)+(('ZKY States AggWorkings'!W104)*3)+(('A&amp;N States AggWorkings'!W104)*2))/10</f>
        <v>3.1399999999999997</v>
      </c>
      <c r="X104" s="69">
        <f>((('SLP States AggWorkings'!X104)*5)+(('ZKY States AggWorkings'!X104)*3)+(('A&amp;N States AggWorkings'!X104)*2))/10</f>
        <v>3.2</v>
      </c>
      <c r="Y104" s="69">
        <f>((('SLP States AggWorkings'!Y104)*5)+(('ZKY States AggWorkings'!Y104)*3)+(('A&amp;N States AggWorkings'!Y104)*2))/10</f>
        <v>0</v>
      </c>
      <c r="Z104" s="69">
        <f>((('SLP States AggWorkings'!Z104)*5)+(('ZKY States AggWorkings'!Z104)*3)+(('A&amp;N States AggWorkings'!Z104)*2))/10</f>
        <v>0</v>
      </c>
      <c r="AA104" s="49"/>
      <c r="AB104" s="421"/>
      <c r="AD104" s="341">
        <f>V104</f>
        <v>3.4875000000000003</v>
      </c>
      <c r="AE104" s="335"/>
      <c r="AF104" s="341">
        <f t="shared" si="33"/>
        <v>3.1399999999999997</v>
      </c>
      <c r="AG104" s="341">
        <f t="shared" si="33"/>
        <v>3.2</v>
      </c>
      <c r="AH104" s="342">
        <f>AG104</f>
        <v>3.2</v>
      </c>
      <c r="AI104" s="342">
        <f>AG104</f>
        <v>3.2</v>
      </c>
    </row>
    <row r="105" spans="1:41" s="340" customFormat="1">
      <c r="A105" s="45"/>
      <c r="B105" s="46"/>
      <c r="C105" s="48"/>
      <c r="D105" s="83"/>
      <c r="E105" s="83"/>
      <c r="F105" s="83"/>
      <c r="G105" s="83"/>
      <c r="H105" s="83"/>
      <c r="I105" s="83"/>
      <c r="J105" s="83"/>
      <c r="K105" s="83"/>
      <c r="L105" s="48"/>
      <c r="M105" s="48"/>
      <c r="N105" s="48"/>
      <c r="O105" s="48"/>
      <c r="P105" s="48"/>
      <c r="Q105" s="48"/>
      <c r="R105" s="53"/>
      <c r="S105" s="53"/>
      <c r="T105" s="53"/>
      <c r="U105" s="53"/>
      <c r="V105" s="53"/>
      <c r="W105" s="53"/>
      <c r="X105" s="53"/>
      <c r="Y105" s="53"/>
      <c r="Z105" s="53"/>
      <c r="AA105" s="49"/>
      <c r="AB105" s="421"/>
      <c r="AE105" s="335"/>
      <c r="AF105" s="343"/>
      <c r="AG105" s="343"/>
      <c r="AH105" s="335"/>
      <c r="AI105" s="338"/>
    </row>
    <row r="106" spans="1:41" ht="15.75" thickBot="1">
      <c r="A106" s="41" t="s">
        <v>181</v>
      </c>
      <c r="B106" s="42" t="s">
        <v>204</v>
      </c>
      <c r="C106" s="43" t="e">
        <f>'SLP States AggWorkings'!C106+'ZKY States AggWorkings'!C106</f>
        <v>#VALUE!</v>
      </c>
      <c r="D106" s="73" t="e">
        <f>'SLP States AggWorkings'!D106+'ZKY States AggWorkings'!D106</f>
        <v>#VALUE!</v>
      </c>
      <c r="E106" s="73" t="e">
        <f>'SLP States AggWorkings'!E106+'ZKY States AggWorkings'!E106</f>
        <v>#VALUE!</v>
      </c>
      <c r="F106" s="73" t="e">
        <f>'SLP States AggWorkings'!F106+'ZKY States AggWorkings'!F106</f>
        <v>#VALUE!</v>
      </c>
      <c r="G106" s="73" t="e">
        <f>'SLP States AggWorkings'!G106+'ZKY States AggWorkings'!G106</f>
        <v>#VALUE!</v>
      </c>
      <c r="H106" s="73" t="e">
        <f>'SLP States AggWorkings'!H106+'ZKY States AggWorkings'!H106</f>
        <v>#VALUE!</v>
      </c>
      <c r="I106" s="74">
        <f>'SLP States AggWorkings'!I106+'ZKY States AggWorkings'!I106</f>
        <v>14</v>
      </c>
      <c r="J106" s="73">
        <f>'SLP States AggWorkings'!J106+'ZKY States AggWorkings'!J106</f>
        <v>16.5</v>
      </c>
      <c r="K106" s="73">
        <f>'SLP States AggWorkings'!K106+'ZKY States AggWorkings'!K106</f>
        <v>19.000000000000004</v>
      </c>
      <c r="L106" s="51">
        <f>'SLP States AggWorkings'!L106+'ZKY States AggWorkings'!L106</f>
        <v>21.5</v>
      </c>
      <c r="M106" s="51">
        <f>'SLP States AggWorkings'!M106+'ZKY States AggWorkings'!M106</f>
        <v>23.999999999999996</v>
      </c>
      <c r="N106" s="50">
        <f>'SLP States AggWorkings'!N106+'ZKY States AggWorkings'!N106</f>
        <v>29</v>
      </c>
      <c r="O106" s="51">
        <f>'SLP States AggWorkings'!O106+'ZKY States AggWorkings'!O106</f>
        <v>32.75</v>
      </c>
      <c r="P106" s="51">
        <f>'SLP States AggWorkings'!P106+'ZKY States AggWorkings'!P106</f>
        <v>36.5</v>
      </c>
      <c r="Q106" s="51">
        <f>'SLP States AggWorkings'!Q106+'ZKY States AggWorkings'!Q106</f>
        <v>40.25</v>
      </c>
      <c r="R106" s="50">
        <f>'SLP States AggWorkings'!R106+'ZKY States AggWorkings'!R106</f>
        <v>44</v>
      </c>
      <c r="S106" s="51">
        <f>'SLP States AggWorkings'!S106+'ZKY States AggWorkings'!S106</f>
        <v>47.166666666666671</v>
      </c>
      <c r="T106" s="51">
        <f>'SLP States AggWorkings'!T106+'ZKY States AggWorkings'!T106</f>
        <v>50.333333333333343</v>
      </c>
      <c r="U106" s="51">
        <f>'SLP States AggWorkings'!U106+'ZKY States AggWorkings'!U106</f>
        <v>53.5</v>
      </c>
      <c r="V106" s="51">
        <f>'SLP States AggWorkings'!V106+'ZKY States AggWorkings'!V106</f>
        <v>56.666666666666671</v>
      </c>
      <c r="W106" s="51">
        <f>'SLP States AggWorkings'!W106+'ZKY States AggWorkings'!W106+'A&amp;N States AggWorkings'!W106</f>
        <v>66.000000000000014</v>
      </c>
      <c r="X106" s="51">
        <f>'SLP States AggWorkings'!X106+'ZKY States AggWorkings'!X106+'A&amp;N States AggWorkings'!X106</f>
        <v>71.333333333333329</v>
      </c>
      <c r="Y106" s="50">
        <f>'SLP States AggWorkings'!Y106+'ZKY States AggWorkings'!Y106+'A&amp;N States AggWorkings'!Y106</f>
        <v>73</v>
      </c>
      <c r="Z106" s="51">
        <f>'SLP States AggWorkings'!Z106+'ZKY States AggWorkings'!Z106+'A&amp;N States AggWorkings'!Z106</f>
        <v>73</v>
      </c>
      <c r="AA106" s="38">
        <f>'SLP States AggWorkings'!AA106+'ZKY States AggWorkings'!AA106</f>
        <v>160</v>
      </c>
      <c r="AB106" s="457">
        <f>AA106/22</f>
        <v>7.2727272727272725</v>
      </c>
      <c r="AC106" s="340"/>
      <c r="AD106" s="451">
        <f>V106</f>
        <v>56.666666666666671</v>
      </c>
      <c r="AE106" s="346"/>
      <c r="AF106" s="453">
        <f t="shared" ref="AF106:AG107" si="34">IF($AG$1=16,R106,IF($AG$1=17,S106,IF($AG$1=18,T106,IF($AG$1=19,U106,IF($AG$1=20,V106,IF($AG$1=21,W106,IF($AG$1=22,X106,0)))))))</f>
        <v>66.000000000000014</v>
      </c>
      <c r="AG106" s="453">
        <f t="shared" si="34"/>
        <v>71.333333333333329</v>
      </c>
      <c r="AI106" s="338"/>
    </row>
    <row r="107" spans="1:41" s="340" customFormat="1" ht="15.75" thickBot="1">
      <c r="A107" s="45"/>
      <c r="B107" s="46" t="s">
        <v>205</v>
      </c>
      <c r="C107" s="79" t="e">
        <f>'SLP States AggWorkings'!C107+'ZKY States AggWorkings'!C107</f>
        <v>#VALUE!</v>
      </c>
      <c r="D107" s="441">
        <f>'SLP States AggWorkings'!D107+'ZKY States AggWorkings'!D107</f>
        <v>0</v>
      </c>
      <c r="E107" s="442">
        <f>'SLP States AggWorkings'!E107+'ZKY States AggWorkings'!E107</f>
        <v>0</v>
      </c>
      <c r="F107" s="442">
        <f>'SLP States AggWorkings'!F107+'ZKY States AggWorkings'!F107</f>
        <v>0</v>
      </c>
      <c r="G107" s="442">
        <f>'SLP States AggWorkings'!G107+'ZKY States AggWorkings'!G107</f>
        <v>0</v>
      </c>
      <c r="H107" s="442">
        <f>'SLP States AggWorkings'!H107+'ZKY States AggWorkings'!H107</f>
        <v>0</v>
      </c>
      <c r="I107" s="442">
        <f>'SLP States AggWorkings'!I107+'ZKY States AggWorkings'!I107</f>
        <v>0</v>
      </c>
      <c r="J107" s="442">
        <f>'SLP States AggWorkings'!J107+'ZKY States AggWorkings'!J107</f>
        <v>0</v>
      </c>
      <c r="K107" s="442">
        <f>'SLP States AggWorkings'!K107+'ZKY States AggWorkings'!K107</f>
        <v>0</v>
      </c>
      <c r="L107" s="442">
        <f>'SLP States AggWorkings'!L107+'ZKY States AggWorkings'!L107</f>
        <v>14</v>
      </c>
      <c r="M107" s="442">
        <f>'SLP States AggWorkings'!M107+'ZKY States AggWorkings'!M107</f>
        <v>12</v>
      </c>
      <c r="N107" s="443">
        <f>'SLP States AggWorkings'!N107+'ZKY States AggWorkings'!N107</f>
        <v>28</v>
      </c>
      <c r="O107" s="444">
        <f>'SLP States AggWorkings'!O107+'ZKY States AggWorkings'!O107</f>
        <v>33</v>
      </c>
      <c r="P107" s="444">
        <f>'SLP States AggWorkings'!P107+'ZKY States AggWorkings'!P107</f>
        <v>47</v>
      </c>
      <c r="Q107" s="444">
        <f>'SLP States AggWorkings'!Q107+'ZKY States AggWorkings'!Q107</f>
        <v>59.5</v>
      </c>
      <c r="R107" s="442">
        <f>'SLP States AggWorkings'!R107+'ZKY States AggWorkings'!R107</f>
        <v>47.8</v>
      </c>
      <c r="S107" s="442">
        <f>'SLP States AggWorkings'!S107+'ZKY States AggWorkings'!S107</f>
        <v>48</v>
      </c>
      <c r="T107" s="442">
        <f>'SLP States AggWorkings'!T107+'ZKY States AggWorkings'!T107</f>
        <v>58</v>
      </c>
      <c r="U107" s="442">
        <f>'SLP States AggWorkings'!U107+'ZKY States AggWorkings'!U107</f>
        <v>64</v>
      </c>
      <c r="V107" s="445">
        <f>'SLP States AggWorkings'!V107+'ZKY States AggWorkings'!V107</f>
        <v>65</v>
      </c>
      <c r="W107" s="72">
        <f>'SLP States AggWorkings'!W107+'ZKY States AggWorkings'!W107+'A&amp;N States AggWorkings'!W107</f>
        <v>74</v>
      </c>
      <c r="X107" s="70">
        <f>'SLP States AggWorkings'!X107+'ZKY States AggWorkings'!X107+'A&amp;N States AggWorkings'!X107</f>
        <v>80</v>
      </c>
      <c r="Y107" s="70">
        <f>'SLP States AggWorkings'!Y107+'ZKY States AggWorkings'!Y107+'A&amp;N States AggWorkings'!Y107</f>
        <v>0</v>
      </c>
      <c r="Z107" s="70">
        <f>'SLP States AggWorkings'!Z107+'ZKY States AggWorkings'!Z107+'A&amp;N States AggWorkings'!Z107</f>
        <v>0</v>
      </c>
      <c r="AA107" s="49"/>
      <c r="AB107" s="421"/>
      <c r="AD107" s="452">
        <f>V107</f>
        <v>65</v>
      </c>
      <c r="AE107" s="346"/>
      <c r="AF107" s="452">
        <f t="shared" si="34"/>
        <v>74</v>
      </c>
      <c r="AG107" s="452">
        <f t="shared" si="34"/>
        <v>80</v>
      </c>
      <c r="AH107" s="342">
        <f>AG107</f>
        <v>80</v>
      </c>
      <c r="AI107" s="342">
        <f>AG107</f>
        <v>80</v>
      </c>
    </row>
    <row r="108" spans="1:41" s="340" customFormat="1">
      <c r="A108" s="45"/>
      <c r="B108" s="46"/>
      <c r="C108" s="53"/>
      <c r="D108" s="75"/>
      <c r="E108" s="75"/>
      <c r="F108" s="75"/>
      <c r="G108" s="75"/>
      <c r="H108" s="75"/>
      <c r="I108" s="75"/>
      <c r="J108" s="75"/>
      <c r="K108" s="75"/>
      <c r="L108" s="53"/>
      <c r="M108" s="53"/>
      <c r="N108" s="53"/>
      <c r="O108" s="53"/>
      <c r="P108" s="53"/>
      <c r="Q108" s="53"/>
      <c r="R108" s="53"/>
      <c r="S108" s="53"/>
      <c r="T108" s="53"/>
      <c r="U108" s="53"/>
      <c r="V108" s="53"/>
      <c r="W108" s="53"/>
      <c r="X108" s="53"/>
      <c r="Y108" s="53"/>
      <c r="Z108" s="53"/>
      <c r="AA108" s="49"/>
      <c r="AB108" s="421"/>
      <c r="AD108" s="345"/>
      <c r="AE108" s="346"/>
      <c r="AF108" s="454"/>
      <c r="AG108" s="454"/>
      <c r="AH108" s="335"/>
      <c r="AI108" s="338"/>
    </row>
    <row r="109" spans="1:41" ht="15.75" thickBot="1">
      <c r="A109" s="41" t="s">
        <v>182</v>
      </c>
      <c r="B109" s="42" t="s">
        <v>206</v>
      </c>
      <c r="C109" s="43" t="e">
        <f>'SLP States AggWorkings'!C109+'ZKY States AggWorkings'!C109</f>
        <v>#VALUE!</v>
      </c>
      <c r="D109" s="73" t="e">
        <f>'SLP States AggWorkings'!D109+'ZKY States AggWorkings'!D109</f>
        <v>#VALUE!</v>
      </c>
      <c r="E109" s="73" t="e">
        <f>'SLP States AggWorkings'!E109+'ZKY States AggWorkings'!E109</f>
        <v>#VALUE!</v>
      </c>
      <c r="F109" s="73" t="e">
        <f>'SLP States AggWorkings'!F109+'ZKY States AggWorkings'!F109</f>
        <v>#VALUE!</v>
      </c>
      <c r="G109" s="73" t="e">
        <f>'SLP States AggWorkings'!G109+'ZKY States AggWorkings'!G109</f>
        <v>#VALUE!</v>
      </c>
      <c r="H109" s="73" t="e">
        <f>'SLP States AggWorkings'!H109+'ZKY States AggWorkings'!H109</f>
        <v>#VALUE!</v>
      </c>
      <c r="I109" s="74">
        <f>'SLP States AggWorkings'!I109+'ZKY States AggWorkings'!I109</f>
        <v>7</v>
      </c>
      <c r="J109" s="73">
        <f>'SLP States AggWorkings'!J109+'ZKY States AggWorkings'!J109</f>
        <v>7.666666666666667</v>
      </c>
      <c r="K109" s="73">
        <f>'SLP States AggWorkings'!K109+'ZKY States AggWorkings'!K109</f>
        <v>8.3333333333333339</v>
      </c>
      <c r="L109" s="51">
        <f>'SLP States AggWorkings'!L109+'ZKY States AggWorkings'!L109</f>
        <v>9</v>
      </c>
      <c r="M109" s="51">
        <f>'SLP States AggWorkings'!M109+'ZKY States AggWorkings'!M109</f>
        <v>9.6666666666666661</v>
      </c>
      <c r="N109" s="50">
        <f>'SLP States AggWorkings'!N109+'ZKY States AggWorkings'!N109</f>
        <v>11</v>
      </c>
      <c r="O109" s="51">
        <f>'SLP States AggWorkings'!O109+'ZKY States AggWorkings'!O109</f>
        <v>13</v>
      </c>
      <c r="P109" s="51">
        <f>'SLP States AggWorkings'!P109+'ZKY States AggWorkings'!P109</f>
        <v>15</v>
      </c>
      <c r="Q109" s="51">
        <f>'SLP States AggWorkings'!Q109+'ZKY States AggWorkings'!Q109</f>
        <v>17</v>
      </c>
      <c r="R109" s="50">
        <f>'SLP States AggWorkings'!R109+'ZKY States AggWorkings'!R109</f>
        <v>19</v>
      </c>
      <c r="S109" s="51">
        <f>'SLP States AggWorkings'!S109+'ZKY States AggWorkings'!S109</f>
        <v>20.5</v>
      </c>
      <c r="T109" s="51">
        <f>'SLP States AggWorkings'!T109+'ZKY States AggWorkings'!T109</f>
        <v>22</v>
      </c>
      <c r="U109" s="51">
        <f>'SLP States AggWorkings'!U109+'ZKY States AggWorkings'!U109</f>
        <v>23.499999999999996</v>
      </c>
      <c r="V109" s="51">
        <f>'SLP States AggWorkings'!V109+'ZKY States AggWorkings'!V109</f>
        <v>24.999999999999996</v>
      </c>
      <c r="W109" s="51">
        <f>'SLP States AggWorkings'!W109+'ZKY States AggWorkings'!W109+'A&amp;N States AggWorkings'!W109</f>
        <v>35.5</v>
      </c>
      <c r="X109" s="51">
        <f>'SLP States AggWorkings'!X109+'ZKY States AggWorkings'!X109+'A&amp;N States AggWorkings'!X109</f>
        <v>39.333333333333336</v>
      </c>
      <c r="Y109" s="50">
        <f>'SLP States AggWorkings'!Y109+'ZKY States AggWorkings'!Y109+'A&amp;N States AggWorkings'!Y109</f>
        <v>40</v>
      </c>
      <c r="Z109" s="51">
        <f>'SLP States AggWorkings'!Z109+'ZKY States AggWorkings'!Z109+'A&amp;N States AggWorkings'!Z109</f>
        <v>40</v>
      </c>
      <c r="AA109" s="38">
        <f>'SLP States AggWorkings'!AA109+'ZKY States AggWorkings'!AA109</f>
        <v>80</v>
      </c>
      <c r="AB109" s="457">
        <f>AA109/22</f>
        <v>3.6363636363636362</v>
      </c>
      <c r="AC109" s="340"/>
      <c r="AD109" s="451">
        <f>V109</f>
        <v>24.999999999999996</v>
      </c>
      <c r="AE109" s="346"/>
      <c r="AF109" s="453">
        <f t="shared" ref="AF109:AG110" si="35">IF($AG$1=16,R109,IF($AG$1=17,S109,IF($AG$1=18,T109,IF($AG$1=19,U109,IF($AG$1=20,V109,IF($AG$1=21,W109,IF($AG$1=22,X109,0)))))))</f>
        <v>35.5</v>
      </c>
      <c r="AG109" s="453">
        <f t="shared" si="35"/>
        <v>39.333333333333336</v>
      </c>
      <c r="AI109" s="338"/>
    </row>
    <row r="110" spans="1:41" s="340" customFormat="1" ht="15.75" thickBot="1">
      <c r="A110" s="45"/>
      <c r="B110" s="46" t="s">
        <v>207</v>
      </c>
      <c r="C110" s="79" t="e">
        <f>'SLP States AggWorkings'!C110+'ZKY States AggWorkings'!C110</f>
        <v>#VALUE!</v>
      </c>
      <c r="D110" s="441">
        <f>'SLP States AggWorkings'!D110+'ZKY States AggWorkings'!D110</f>
        <v>0</v>
      </c>
      <c r="E110" s="442">
        <f>'SLP States AggWorkings'!E110+'ZKY States AggWorkings'!E110</f>
        <v>0</v>
      </c>
      <c r="F110" s="442">
        <f>'SLP States AggWorkings'!F110+'ZKY States AggWorkings'!F110</f>
        <v>0</v>
      </c>
      <c r="G110" s="442">
        <f>'SLP States AggWorkings'!G110+'ZKY States AggWorkings'!G110</f>
        <v>0</v>
      </c>
      <c r="H110" s="442">
        <f>'SLP States AggWorkings'!H110+'ZKY States AggWorkings'!H110</f>
        <v>0</v>
      </c>
      <c r="I110" s="442">
        <f>'SLP States AggWorkings'!I110+'ZKY States AggWorkings'!I110</f>
        <v>0</v>
      </c>
      <c r="J110" s="442">
        <f>'SLP States AggWorkings'!J110+'ZKY States AggWorkings'!J110</f>
        <v>0</v>
      </c>
      <c r="K110" s="442">
        <f>'SLP States AggWorkings'!K110+'ZKY States AggWorkings'!K110</f>
        <v>0</v>
      </c>
      <c r="L110" s="442">
        <f>'SLP States AggWorkings'!L110+'ZKY States AggWorkings'!L110</f>
        <v>6</v>
      </c>
      <c r="M110" s="442">
        <f>'SLP States AggWorkings'!M110+'ZKY States AggWorkings'!M110</f>
        <v>7</v>
      </c>
      <c r="N110" s="443">
        <f>'SLP States AggWorkings'!N110+'ZKY States AggWorkings'!N110</f>
        <v>15</v>
      </c>
      <c r="O110" s="444">
        <f>'SLP States AggWorkings'!O110+'ZKY States AggWorkings'!O110</f>
        <v>18</v>
      </c>
      <c r="P110" s="444">
        <f>'SLP States AggWorkings'!P110+'ZKY States AggWorkings'!P110</f>
        <v>19</v>
      </c>
      <c r="Q110" s="444">
        <f>'SLP States AggWorkings'!Q110+'ZKY States AggWorkings'!Q110</f>
        <v>21</v>
      </c>
      <c r="R110" s="442">
        <f>'SLP States AggWorkings'!R110+'ZKY States AggWorkings'!R110</f>
        <v>28</v>
      </c>
      <c r="S110" s="442">
        <f>'SLP States AggWorkings'!S110+'ZKY States AggWorkings'!S110</f>
        <v>26</v>
      </c>
      <c r="T110" s="442">
        <f>'SLP States AggWorkings'!T110+'ZKY States AggWorkings'!T110</f>
        <v>29</v>
      </c>
      <c r="U110" s="442">
        <f>'SLP States AggWorkings'!U110+'ZKY States AggWorkings'!U110</f>
        <v>34</v>
      </c>
      <c r="V110" s="445">
        <f>'SLP States AggWorkings'!V110+'ZKY States AggWorkings'!V110</f>
        <v>38</v>
      </c>
      <c r="W110" s="72">
        <f>'SLP States AggWorkings'!W110+'ZKY States AggWorkings'!W110+'A&amp;N States AggWorkings'!W110</f>
        <v>41</v>
      </c>
      <c r="X110" s="70">
        <f>'SLP States AggWorkings'!X110+'ZKY States AggWorkings'!X110+'A&amp;N States AggWorkings'!X110</f>
        <v>45</v>
      </c>
      <c r="Y110" s="70">
        <f>'SLP States AggWorkings'!Y110+'ZKY States AggWorkings'!Y110+'A&amp;N States AggWorkings'!Y110</f>
        <v>0</v>
      </c>
      <c r="Z110" s="70">
        <f>'SLP States AggWorkings'!Z110+'ZKY States AggWorkings'!Z110+'A&amp;N States AggWorkings'!Z110</f>
        <v>0</v>
      </c>
      <c r="AA110" s="49"/>
      <c r="AB110" s="421"/>
      <c r="AD110" s="452">
        <f>V110</f>
        <v>38</v>
      </c>
      <c r="AE110" s="346"/>
      <c r="AF110" s="452">
        <f t="shared" si="35"/>
        <v>41</v>
      </c>
      <c r="AG110" s="452">
        <f t="shared" si="35"/>
        <v>45</v>
      </c>
      <c r="AH110" s="342">
        <f>AG110</f>
        <v>45</v>
      </c>
      <c r="AI110" s="342">
        <f>AG110</f>
        <v>45</v>
      </c>
    </row>
    <row r="111" spans="1:41" s="340" customFormat="1">
      <c r="A111" s="45"/>
      <c r="B111" s="46"/>
      <c r="C111" s="53"/>
      <c r="D111" s="75"/>
      <c r="E111" s="75"/>
      <c r="F111" s="75"/>
      <c r="G111" s="75"/>
      <c r="H111" s="75"/>
      <c r="I111" s="75"/>
      <c r="J111" s="75"/>
      <c r="K111" s="75"/>
      <c r="L111" s="53"/>
      <c r="M111" s="53"/>
      <c r="N111" s="53"/>
      <c r="O111" s="53"/>
      <c r="P111" s="53"/>
      <c r="Q111" s="53"/>
      <c r="R111" s="53"/>
      <c r="S111" s="53"/>
      <c r="T111" s="53"/>
      <c r="U111" s="53"/>
      <c r="V111" s="53"/>
      <c r="W111" s="53"/>
      <c r="X111" s="53"/>
      <c r="Y111" s="53"/>
      <c r="Z111" s="53"/>
      <c r="AA111" s="49"/>
      <c r="AB111" s="421"/>
      <c r="AD111" s="345"/>
      <c r="AE111" s="346"/>
      <c r="AF111" s="454"/>
      <c r="AG111" s="454"/>
      <c r="AH111" s="335"/>
      <c r="AI111" s="338"/>
    </row>
    <row r="112" spans="1:41" ht="15.75" thickBot="1">
      <c r="A112" s="41" t="s">
        <v>695</v>
      </c>
      <c r="B112" s="42" t="s">
        <v>816</v>
      </c>
      <c r="C112" s="43">
        <f>'SLP States AggWorkings'!C112+'ZKY States AggWorkings'!C112</f>
        <v>0</v>
      </c>
      <c r="D112" s="73">
        <f>'SLP States AggWorkings'!D112+'ZKY States AggWorkings'!D112</f>
        <v>0</v>
      </c>
      <c r="E112" s="73">
        <f>'SLP States AggWorkings'!E112+'ZKY States AggWorkings'!E112</f>
        <v>0</v>
      </c>
      <c r="F112" s="73">
        <f>'SLP States AggWorkings'!F112+'ZKY States AggWorkings'!F112</f>
        <v>0</v>
      </c>
      <c r="G112" s="73">
        <f>'SLP States AggWorkings'!G112+'ZKY States AggWorkings'!G112</f>
        <v>0</v>
      </c>
      <c r="H112" s="73">
        <f>'SLP States AggWorkings'!H112+'ZKY States AggWorkings'!H112</f>
        <v>0</v>
      </c>
      <c r="I112" s="74">
        <f>'SLP States AggWorkings'!I112+'ZKY States AggWorkings'!I112</f>
        <v>0</v>
      </c>
      <c r="J112" s="73">
        <f>'SLP States AggWorkings'!J112+'ZKY States AggWorkings'!J112</f>
        <v>0</v>
      </c>
      <c r="K112" s="73">
        <f>'SLP States AggWorkings'!K112+'ZKY States AggWorkings'!K112</f>
        <v>0</v>
      </c>
      <c r="L112" s="51">
        <f>'SLP States AggWorkings'!L112+'ZKY States AggWorkings'!L112</f>
        <v>0</v>
      </c>
      <c r="M112" s="51">
        <f>'SLP States AggWorkings'!M112+'ZKY States AggWorkings'!M112</f>
        <v>0</v>
      </c>
      <c r="N112" s="50">
        <f>'SLP States AggWorkings'!N112+'ZKY States AggWorkings'!N112</f>
        <v>0</v>
      </c>
      <c r="O112" s="51">
        <f>'SLP States AggWorkings'!O112+'ZKY States AggWorkings'!O112</f>
        <v>13.5</v>
      </c>
      <c r="P112" s="51">
        <f>'SLP States AggWorkings'!P112+'ZKY States AggWorkings'!P112</f>
        <v>27</v>
      </c>
      <c r="Q112" s="51">
        <f>'SLP States AggWorkings'!Q112+'ZKY States AggWorkings'!Q112</f>
        <v>40.5</v>
      </c>
      <c r="R112" s="50">
        <f>'SLP States AggWorkings'!R112+'ZKY States AggWorkings'!R112</f>
        <v>54</v>
      </c>
      <c r="S112" s="51">
        <f>'SLP States AggWorkings'!S112+'ZKY States AggWorkings'!S112</f>
        <v>64.5</v>
      </c>
      <c r="T112" s="51">
        <f>'SLP States AggWorkings'!T112+'ZKY States AggWorkings'!T112</f>
        <v>75</v>
      </c>
      <c r="U112" s="51">
        <f>'SLP States AggWorkings'!U112+'ZKY States AggWorkings'!U112</f>
        <v>85.5</v>
      </c>
      <c r="V112" s="51">
        <f>'SLP States AggWorkings'!V112+'ZKY States AggWorkings'!V112</f>
        <v>96</v>
      </c>
      <c r="W112" s="51">
        <f>'SLP States AggWorkings'!W112+'ZKY States AggWorkings'!W112+'A&amp;N States AggWorkings'!W112</f>
        <v>101.66666666666664</v>
      </c>
      <c r="X112" s="51">
        <f>'SLP States AggWorkings'!X112+'ZKY States AggWorkings'!X112+'A&amp;N States AggWorkings'!X112</f>
        <v>114.66666666666667</v>
      </c>
      <c r="Y112" s="50">
        <f>'SLP States AggWorkings'!Y112+'ZKY States AggWorkings'!Y112+'A&amp;N States AggWorkings'!Y112</f>
        <v>119</v>
      </c>
      <c r="Z112" s="51">
        <f>'SLP States AggWorkings'!Z112+'ZKY States AggWorkings'!Z112+'A&amp;N States AggWorkings'!Z112</f>
        <v>119</v>
      </c>
      <c r="AA112" s="38">
        <f>'SLP States AggWorkings'!AA112+'ZKY States AggWorkings'!AA112</f>
        <v>160</v>
      </c>
      <c r="AB112" s="457">
        <f>AA112/22</f>
        <v>7.2727272727272725</v>
      </c>
      <c r="AC112" s="340"/>
      <c r="AD112" s="451">
        <f>V112</f>
        <v>96</v>
      </c>
      <c r="AE112" s="346"/>
      <c r="AF112" s="453">
        <f t="shared" ref="AF112:AG113" si="36">IF($AG$1=16,R112,IF($AG$1=17,S112,IF($AG$1=18,T112,IF($AG$1=19,U112,IF($AG$1=20,V112,IF($AG$1=21,W112,IF($AG$1=22,X112,0)))))))</f>
        <v>101.66666666666664</v>
      </c>
      <c r="AG112" s="453">
        <f t="shared" si="36"/>
        <v>114.66666666666667</v>
      </c>
      <c r="AI112" s="338"/>
      <c r="AK112" s="462">
        <f>(((AD112+AD115+AD118+AD121)/4/3/8)+((AD124+AD127+AD130+AD133)/4/1.5/8)+((AD136+AD139+AD142+AD145)/4/1.5/8))/3</f>
        <v>1.9039351851851851</v>
      </c>
      <c r="AM112" s="460">
        <f>(((AF112+AF115+AF118+AF121)/4/3/8)+((AF124+AF127+AF130+AF133)/4/1.5/8)+((AF136+AF139+AF142+AF145)/4/1.5/8))/3</f>
        <v>2.208333333333333</v>
      </c>
      <c r="AN112" s="460">
        <f>(((AG112+AG115+AG118+AG121)/4/3/8)+((AG124+AG127+AG130+AG133)/4/1.5/8)+((AG136+AG139+AG142+AG145)/4/1.5/8))/3</f>
        <v>2.5231481481481484</v>
      </c>
      <c r="AO112" s="338" t="s">
        <v>1204</v>
      </c>
    </row>
    <row r="113" spans="1:42" s="340" customFormat="1" ht="15.75" thickBot="1">
      <c r="A113" s="45"/>
      <c r="B113" s="46" t="s">
        <v>817</v>
      </c>
      <c r="C113" s="79">
        <f>'SLP States AggWorkings'!C113+'ZKY States AggWorkings'!C113</f>
        <v>0</v>
      </c>
      <c r="D113" s="441">
        <f>'SLP States AggWorkings'!D113+'ZKY States AggWorkings'!D113</f>
        <v>6</v>
      </c>
      <c r="E113" s="442">
        <f>'SLP States AggWorkings'!E113+'ZKY States AggWorkings'!E113</f>
        <v>8</v>
      </c>
      <c r="F113" s="442">
        <f>'SLP States AggWorkings'!F113+'ZKY States AggWorkings'!F113</f>
        <v>8</v>
      </c>
      <c r="G113" s="442">
        <f>'SLP States AggWorkings'!G113+'ZKY States AggWorkings'!G113</f>
        <v>8</v>
      </c>
      <c r="H113" s="442">
        <f>'SLP States AggWorkings'!H113+'ZKY States AggWorkings'!H113</f>
        <v>8</v>
      </c>
      <c r="I113" s="442">
        <f>'SLP States AggWorkings'!I113+'ZKY States AggWorkings'!I113</f>
        <v>16</v>
      </c>
      <c r="J113" s="442">
        <f>'SLP States AggWorkings'!J113+'ZKY States AggWorkings'!J113</f>
        <v>14</v>
      </c>
      <c r="K113" s="442">
        <f>'SLP States AggWorkings'!K113+'ZKY States AggWorkings'!K113</f>
        <v>14</v>
      </c>
      <c r="L113" s="442">
        <f>'SLP States AggWorkings'!L113+'ZKY States AggWorkings'!L113</f>
        <v>28</v>
      </c>
      <c r="M113" s="442">
        <f>'SLP States AggWorkings'!M113+'ZKY States AggWorkings'!M113</f>
        <v>30</v>
      </c>
      <c r="N113" s="443">
        <f>'SLP States AggWorkings'!N113+'ZKY States AggWorkings'!N113</f>
        <v>41</v>
      </c>
      <c r="O113" s="444">
        <f>'SLP States AggWorkings'!O113+'ZKY States AggWorkings'!O113</f>
        <v>50</v>
      </c>
      <c r="P113" s="444">
        <f>'SLP States AggWorkings'!P113+'ZKY States AggWorkings'!P113</f>
        <v>58</v>
      </c>
      <c r="Q113" s="444">
        <f>'SLP States AggWorkings'!Q113+'ZKY States AggWorkings'!Q113</f>
        <v>64</v>
      </c>
      <c r="R113" s="442">
        <f>'SLP States AggWorkings'!R113+'ZKY States AggWorkings'!R113</f>
        <v>68</v>
      </c>
      <c r="S113" s="442">
        <f>'SLP States AggWorkings'!S113+'ZKY States AggWorkings'!S113</f>
        <v>76</v>
      </c>
      <c r="T113" s="442">
        <f>'SLP States AggWorkings'!T113+'ZKY States AggWorkings'!T113</f>
        <v>93</v>
      </c>
      <c r="U113" s="442">
        <f>'SLP States AggWorkings'!U113+'ZKY States AggWorkings'!U113</f>
        <v>102</v>
      </c>
      <c r="V113" s="445">
        <f>'SLP States AggWorkings'!V113+'ZKY States AggWorkings'!V113</f>
        <v>104</v>
      </c>
      <c r="W113" s="72">
        <f>'SLP States AggWorkings'!W113+'ZKY States AggWorkings'!W113+'A&amp;N States AggWorkings'!W113</f>
        <v>117</v>
      </c>
      <c r="X113" s="70">
        <f>'SLP States AggWorkings'!X113+'ZKY States AggWorkings'!X113+'A&amp;N States AggWorkings'!X113</f>
        <v>127</v>
      </c>
      <c r="Y113" s="70">
        <f>'SLP States AggWorkings'!Y113+'ZKY States AggWorkings'!Y113+'A&amp;N States AggWorkings'!Y113</f>
        <v>0</v>
      </c>
      <c r="Z113" s="70">
        <f>'SLP States AggWorkings'!Z113+'ZKY States AggWorkings'!Z113+'A&amp;N States AggWorkings'!Z113</f>
        <v>0</v>
      </c>
      <c r="AA113" s="429"/>
      <c r="AB113" s="430"/>
      <c r="AD113" s="452">
        <f>V113</f>
        <v>104</v>
      </c>
      <c r="AE113" s="346"/>
      <c r="AF113" s="452">
        <f t="shared" si="36"/>
        <v>117</v>
      </c>
      <c r="AG113" s="452">
        <f t="shared" si="36"/>
        <v>127</v>
      </c>
      <c r="AH113" s="342">
        <f>AG113</f>
        <v>127</v>
      </c>
      <c r="AI113" s="342">
        <f>AG113</f>
        <v>127</v>
      </c>
      <c r="AK113" s="461">
        <f>(((AD113+AD116+AD119+AD122)/4/3/8)+((AD125+AD128+AD131+AD134)/4/1.5/8)+((AD137+AD140+AD143+AD146)/4/1.5/8))/3</f>
        <v>2.3055555555555558</v>
      </c>
      <c r="AM113" s="461">
        <f>(((AF113+AF116+AF119+AF122)/4/3/8)+((AF125+AF128+AF131+AF134)/4/1.5/8)+((AF137+AF140+AF143+AF146)/4/1.5/8))/3</f>
        <v>2.9340277777777781</v>
      </c>
      <c r="AN113" s="461">
        <f>(((AG113+AG116+AG119+AG122)/4/3/8)+((AG125+AG128+AG131+AG134)/4/1.5/8)+((AG137+AG140+AG143+AG146)/4/1.5/8))/3</f>
        <v>3.4201388888888888</v>
      </c>
      <c r="AO113" s="342">
        <f>AN113</f>
        <v>3.4201388888888888</v>
      </c>
      <c r="AP113" s="342">
        <f>AN113</f>
        <v>3.4201388888888888</v>
      </c>
    </row>
    <row r="114" spans="1:42" s="340" customFormat="1">
      <c r="A114" s="45"/>
      <c r="B114" s="46"/>
      <c r="C114" s="53"/>
      <c r="D114" s="75"/>
      <c r="E114" s="75"/>
      <c r="F114" s="75"/>
      <c r="G114" s="75"/>
      <c r="H114" s="75"/>
      <c r="I114" s="75"/>
      <c r="J114" s="75"/>
      <c r="K114" s="75"/>
      <c r="L114" s="53"/>
      <c r="M114" s="53"/>
      <c r="N114" s="53"/>
      <c r="O114" s="53"/>
      <c r="P114" s="53"/>
      <c r="Q114" s="53"/>
      <c r="R114" s="53"/>
      <c r="S114" s="53"/>
      <c r="T114" s="53"/>
      <c r="U114" s="53"/>
      <c r="V114" s="53"/>
      <c r="W114" s="53"/>
      <c r="X114" s="53"/>
      <c r="Y114" s="53"/>
      <c r="Z114" s="53"/>
      <c r="AA114" s="429"/>
      <c r="AB114" s="430"/>
      <c r="AD114" s="345"/>
      <c r="AE114" s="346"/>
      <c r="AF114" s="454"/>
      <c r="AG114" s="454"/>
      <c r="AH114" s="335"/>
      <c r="AI114" s="338"/>
    </row>
    <row r="115" spans="1:42" ht="15.75" thickBot="1">
      <c r="A115" s="41" t="s">
        <v>696</v>
      </c>
      <c r="B115" s="42" t="s">
        <v>818</v>
      </c>
      <c r="C115" s="52">
        <f>'SLP States AggWorkings'!C115+'ZKY States AggWorkings'!C115</f>
        <v>0</v>
      </c>
      <c r="D115" s="52">
        <f>'SLP States AggWorkings'!D115+'ZKY States AggWorkings'!D115</f>
        <v>0</v>
      </c>
      <c r="E115" s="52">
        <f>'SLP States AggWorkings'!E115+'ZKY States AggWorkings'!E115</f>
        <v>0</v>
      </c>
      <c r="F115" s="52">
        <f>'SLP States AggWorkings'!F115+'ZKY States AggWorkings'!F115</f>
        <v>0</v>
      </c>
      <c r="G115" s="52">
        <f>'SLP States AggWorkings'!G115+'ZKY States AggWorkings'!G115</f>
        <v>0</v>
      </c>
      <c r="H115" s="52">
        <f>'SLP States AggWorkings'!H115+'ZKY States AggWorkings'!H115</f>
        <v>0</v>
      </c>
      <c r="I115" s="52">
        <f>'SLP States AggWorkings'!I115+'ZKY States AggWorkings'!I115</f>
        <v>0</v>
      </c>
      <c r="J115" s="52">
        <f>'SLP States AggWorkings'!J115+'ZKY States AggWorkings'!J115</f>
        <v>0</v>
      </c>
      <c r="K115" s="52">
        <f>'SLP States AggWorkings'!K115+'ZKY States AggWorkings'!K115</f>
        <v>0</v>
      </c>
      <c r="L115" s="52">
        <f>'SLP States AggWorkings'!L115+'ZKY States AggWorkings'!L115</f>
        <v>0</v>
      </c>
      <c r="M115" s="52">
        <f>'SLP States AggWorkings'!M115+'ZKY States AggWorkings'!M115</f>
        <v>0</v>
      </c>
      <c r="N115" s="52">
        <f>'SLP States AggWorkings'!N115+'ZKY States AggWorkings'!N115</f>
        <v>0</v>
      </c>
      <c r="O115" s="52">
        <f>'SLP States AggWorkings'!O115+'ZKY States AggWorkings'!O115</f>
        <v>0</v>
      </c>
      <c r="P115" s="52">
        <f>'SLP States AggWorkings'!P115+'ZKY States AggWorkings'!P115</f>
        <v>0</v>
      </c>
      <c r="Q115" s="52">
        <f>'SLP States AggWorkings'!Q115+'ZKY States AggWorkings'!Q115</f>
        <v>0</v>
      </c>
      <c r="R115" s="50">
        <f>'SLP States AggWorkings'!R115+'ZKY States AggWorkings'!R115</f>
        <v>21</v>
      </c>
      <c r="S115" s="51">
        <f>'SLP States AggWorkings'!S115+'ZKY States AggWorkings'!S115</f>
        <v>27</v>
      </c>
      <c r="T115" s="51">
        <f>'SLP States AggWorkings'!T115+'ZKY States AggWorkings'!T115</f>
        <v>33</v>
      </c>
      <c r="U115" s="51">
        <f>'SLP States AggWorkings'!U115+'ZKY States AggWorkings'!U115</f>
        <v>39</v>
      </c>
      <c r="V115" s="51">
        <f>'SLP States AggWorkings'!V115+'ZKY States AggWorkings'!V115</f>
        <v>45</v>
      </c>
      <c r="W115" s="51">
        <f>'SLP States AggWorkings'!W115+'ZKY States AggWorkings'!W115+'A&amp;N States AggWorkings'!W115</f>
        <v>49.999999999999993</v>
      </c>
      <c r="X115" s="51">
        <f>'SLP States AggWorkings'!X115+'ZKY States AggWorkings'!X115+'A&amp;N States AggWorkings'!X115</f>
        <v>59</v>
      </c>
      <c r="Y115" s="50">
        <f>'SLP States AggWorkings'!Y115+'ZKY States AggWorkings'!Y115+'A&amp;N States AggWorkings'!Y115</f>
        <v>62</v>
      </c>
      <c r="Z115" s="51">
        <f>'SLP States AggWorkings'!Z115+'ZKY States AggWorkings'!Z115+'A&amp;N States AggWorkings'!Z115</f>
        <v>62</v>
      </c>
      <c r="AA115" s="38">
        <f>'SLP States AggWorkings'!AA115+'ZKY States AggWorkings'!AA115</f>
        <v>160</v>
      </c>
      <c r="AB115" s="457">
        <f>AA115/22</f>
        <v>7.2727272727272725</v>
      </c>
      <c r="AC115" s="340"/>
      <c r="AD115" s="451">
        <f>V115</f>
        <v>45</v>
      </c>
      <c r="AE115" s="346"/>
      <c r="AF115" s="453">
        <f t="shared" ref="AF115:AG116" si="37">IF($AG$1=16,R115,IF($AG$1=17,S115,IF($AG$1=18,T115,IF($AG$1=19,U115,IF($AG$1=20,V115,IF($AG$1=21,W115,IF($AG$1=22,X115,0)))))))</f>
        <v>49.999999999999993</v>
      </c>
      <c r="AG115" s="453">
        <f t="shared" si="37"/>
        <v>59</v>
      </c>
      <c r="AI115" s="338"/>
    </row>
    <row r="116" spans="1:42" s="340" customFormat="1" ht="15.75" thickBot="1">
      <c r="A116" s="45"/>
      <c r="B116" s="46" t="s">
        <v>819</v>
      </c>
      <c r="C116" s="52">
        <f>'SLP States AggWorkings'!C116+'ZKY States AggWorkings'!C116</f>
        <v>0</v>
      </c>
      <c r="D116" s="52">
        <f>'SLP States AggWorkings'!D116+'ZKY States AggWorkings'!D116</f>
        <v>0</v>
      </c>
      <c r="E116" s="52">
        <f>'SLP States AggWorkings'!E116+'ZKY States AggWorkings'!E116</f>
        <v>0</v>
      </c>
      <c r="F116" s="52">
        <f>'SLP States AggWorkings'!F116+'ZKY States AggWorkings'!F116</f>
        <v>0</v>
      </c>
      <c r="G116" s="52">
        <f>'SLP States AggWorkings'!G116+'ZKY States AggWorkings'!G116</f>
        <v>0</v>
      </c>
      <c r="H116" s="52">
        <f>'SLP States AggWorkings'!H116+'ZKY States AggWorkings'!H116</f>
        <v>0</v>
      </c>
      <c r="I116" s="52">
        <f>'SLP States AggWorkings'!I116+'ZKY States AggWorkings'!I116</f>
        <v>0</v>
      </c>
      <c r="J116" s="52">
        <f>'SLP States AggWorkings'!J116+'ZKY States AggWorkings'!J116</f>
        <v>0</v>
      </c>
      <c r="K116" s="52">
        <f>'SLP States AggWorkings'!K116+'ZKY States AggWorkings'!K116</f>
        <v>0</v>
      </c>
      <c r="L116" s="52">
        <f>'SLP States AggWorkings'!L116+'ZKY States AggWorkings'!L116</f>
        <v>0</v>
      </c>
      <c r="M116" s="52">
        <f>'SLP States AggWorkings'!M116+'ZKY States AggWorkings'!M116</f>
        <v>0</v>
      </c>
      <c r="N116" s="52">
        <f>'SLP States AggWorkings'!N116+'ZKY States AggWorkings'!N116</f>
        <v>0</v>
      </c>
      <c r="O116" s="52">
        <f>'SLP States AggWorkings'!O116+'ZKY States AggWorkings'!O116</f>
        <v>0</v>
      </c>
      <c r="P116" s="52">
        <f>'SLP States AggWorkings'!P116+'ZKY States AggWorkings'!P116</f>
        <v>0</v>
      </c>
      <c r="Q116" s="52">
        <f>'SLP States AggWorkings'!Q116+'ZKY States AggWorkings'!Q116</f>
        <v>0</v>
      </c>
      <c r="R116" s="52">
        <f>'SLP States AggWorkings'!R116+'ZKY States AggWorkings'!R116</f>
        <v>21</v>
      </c>
      <c r="S116" s="442">
        <f>'SLP States AggWorkings'!S116+'ZKY States AggWorkings'!S116</f>
        <v>38</v>
      </c>
      <c r="T116" s="442">
        <f>'SLP States AggWorkings'!T116+'ZKY States AggWorkings'!T116</f>
        <v>49</v>
      </c>
      <c r="U116" s="442">
        <f>'SLP States AggWorkings'!U116+'ZKY States AggWorkings'!U116</f>
        <v>52</v>
      </c>
      <c r="V116" s="445">
        <f>'SLP States AggWorkings'!V116+'ZKY States AggWorkings'!V116</f>
        <v>61</v>
      </c>
      <c r="W116" s="72">
        <f>'SLP States AggWorkings'!W116+'ZKY States AggWorkings'!W116+'A&amp;N States AggWorkings'!W116</f>
        <v>86</v>
      </c>
      <c r="X116" s="70">
        <f>'SLP States AggWorkings'!X116+'ZKY States AggWorkings'!X116+'A&amp;N States AggWorkings'!X116</f>
        <v>96</v>
      </c>
      <c r="Y116" s="70">
        <f>'SLP States AggWorkings'!Y116+'ZKY States AggWorkings'!Y116+'A&amp;N States AggWorkings'!Y116</f>
        <v>0</v>
      </c>
      <c r="Z116" s="70">
        <f>'SLP States AggWorkings'!Z116+'ZKY States AggWorkings'!Z116+'A&amp;N States AggWorkings'!Z116</f>
        <v>0</v>
      </c>
      <c r="AA116" s="49"/>
      <c r="AB116" s="421"/>
      <c r="AD116" s="452">
        <f>V116</f>
        <v>61</v>
      </c>
      <c r="AE116" s="346"/>
      <c r="AF116" s="452">
        <f t="shared" si="37"/>
        <v>86</v>
      </c>
      <c r="AG116" s="452">
        <f t="shared" si="37"/>
        <v>96</v>
      </c>
      <c r="AH116" s="342">
        <f>AG116</f>
        <v>96</v>
      </c>
      <c r="AI116" s="342">
        <f>AG116</f>
        <v>96</v>
      </c>
    </row>
    <row r="117" spans="1:42">
      <c r="A117" s="45"/>
      <c r="B117" s="46"/>
      <c r="C117" s="53"/>
      <c r="D117" s="75"/>
      <c r="E117" s="75"/>
      <c r="F117" s="75"/>
      <c r="G117" s="75"/>
      <c r="H117" s="75"/>
      <c r="I117" s="75"/>
      <c r="J117" s="75"/>
      <c r="K117" s="75"/>
      <c r="L117" s="53"/>
      <c r="M117" s="53"/>
      <c r="N117" s="53"/>
      <c r="O117" s="53"/>
      <c r="P117" s="53"/>
      <c r="Q117" s="53"/>
      <c r="R117" s="53"/>
      <c r="S117" s="53"/>
      <c r="T117" s="53"/>
      <c r="U117" s="53"/>
      <c r="V117" s="53"/>
      <c r="W117" s="53"/>
      <c r="X117" s="53"/>
      <c r="Y117" s="53"/>
      <c r="Z117" s="53"/>
      <c r="AA117" s="49"/>
      <c r="AB117" s="421"/>
      <c r="AC117" s="340"/>
      <c r="AD117" s="346"/>
      <c r="AE117" s="346"/>
      <c r="AF117" s="346"/>
      <c r="AG117" s="346"/>
      <c r="AI117" s="338"/>
    </row>
    <row r="118" spans="1:42" ht="15.75" thickBot="1">
      <c r="A118" s="41" t="s">
        <v>697</v>
      </c>
      <c r="B118" s="42" t="s">
        <v>820</v>
      </c>
      <c r="C118" s="52">
        <f>'SLP States AggWorkings'!C118+'ZKY States AggWorkings'!C118</f>
        <v>0</v>
      </c>
      <c r="D118" s="52">
        <f>'SLP States AggWorkings'!D118+'ZKY States AggWorkings'!D118</f>
        <v>0</v>
      </c>
      <c r="E118" s="52">
        <f>'SLP States AggWorkings'!E118+'ZKY States AggWorkings'!E118</f>
        <v>0</v>
      </c>
      <c r="F118" s="52">
        <f>'SLP States AggWorkings'!F118+'ZKY States AggWorkings'!F118</f>
        <v>0</v>
      </c>
      <c r="G118" s="52">
        <f>'SLP States AggWorkings'!G118+'ZKY States AggWorkings'!G118</f>
        <v>0</v>
      </c>
      <c r="H118" s="52">
        <f>'SLP States AggWorkings'!H118+'ZKY States AggWorkings'!H118</f>
        <v>0</v>
      </c>
      <c r="I118" s="52">
        <f>'SLP States AggWorkings'!I118+'ZKY States AggWorkings'!I118</f>
        <v>0</v>
      </c>
      <c r="J118" s="52">
        <f>'SLP States AggWorkings'!J118+'ZKY States AggWorkings'!J118</f>
        <v>0</v>
      </c>
      <c r="K118" s="52">
        <f>'SLP States AggWorkings'!K118+'ZKY States AggWorkings'!K118</f>
        <v>0</v>
      </c>
      <c r="L118" s="52">
        <f>'SLP States AggWorkings'!L118+'ZKY States AggWorkings'!L118</f>
        <v>0</v>
      </c>
      <c r="M118" s="52">
        <f>'SLP States AggWorkings'!M118+'ZKY States AggWorkings'!M118</f>
        <v>0</v>
      </c>
      <c r="N118" s="52">
        <f>'SLP States AggWorkings'!N118+'ZKY States AggWorkings'!N118</f>
        <v>0</v>
      </c>
      <c r="O118" s="52">
        <f>'SLP States AggWorkings'!O118+'ZKY States AggWorkings'!O118</f>
        <v>0</v>
      </c>
      <c r="P118" s="52">
        <f>'SLP States AggWorkings'!P118+'ZKY States AggWorkings'!P118</f>
        <v>0</v>
      </c>
      <c r="Q118" s="52">
        <f>'SLP States AggWorkings'!Q118+'ZKY States AggWorkings'!Q118</f>
        <v>0</v>
      </c>
      <c r="R118" s="50">
        <f>'SLP States AggWorkings'!R118+'ZKY States AggWorkings'!R118</f>
        <v>19</v>
      </c>
      <c r="S118" s="51">
        <f>'SLP States AggWorkings'!S118+'ZKY States AggWorkings'!S118</f>
        <v>23</v>
      </c>
      <c r="T118" s="51">
        <f>'SLP States AggWorkings'!T118+'ZKY States AggWorkings'!T118</f>
        <v>27</v>
      </c>
      <c r="U118" s="51">
        <f>'SLP States AggWorkings'!U118+'ZKY States AggWorkings'!U118</f>
        <v>31</v>
      </c>
      <c r="V118" s="51">
        <f>'SLP States AggWorkings'!V118+'ZKY States AggWorkings'!V118</f>
        <v>35</v>
      </c>
      <c r="W118" s="51">
        <f>'SLP States AggWorkings'!W118+'ZKY States AggWorkings'!W118+'A&amp;N States AggWorkings'!W118</f>
        <v>38.499999999999993</v>
      </c>
      <c r="X118" s="51">
        <f>'SLP States AggWorkings'!X118+'ZKY States AggWorkings'!X118+'A&amp;N States AggWorkings'!X118</f>
        <v>45.333333333333336</v>
      </c>
      <c r="Y118" s="50">
        <f>'SLP States AggWorkings'!Y118+'ZKY States AggWorkings'!Y118+'A&amp;N States AggWorkings'!Y118</f>
        <v>48</v>
      </c>
      <c r="Z118" s="51">
        <f>'SLP States AggWorkings'!Z118+'ZKY States AggWorkings'!Z118+'A&amp;N States AggWorkings'!Z118</f>
        <v>48</v>
      </c>
      <c r="AA118" s="38">
        <f>'SLP States AggWorkings'!AA118+'ZKY States AggWorkings'!AA118</f>
        <v>80</v>
      </c>
      <c r="AB118" s="457">
        <f>AA118/22</f>
        <v>3.6363636363636362</v>
      </c>
      <c r="AC118" s="340"/>
      <c r="AD118" s="451">
        <f>V118</f>
        <v>35</v>
      </c>
      <c r="AE118" s="346"/>
      <c r="AF118" s="453">
        <f t="shared" ref="AF118:AG119" si="38">IF($AG$1=16,R118,IF($AG$1=17,S118,IF($AG$1=18,T118,IF($AG$1=19,U118,IF($AG$1=20,V118,IF($AG$1=21,W118,IF($AG$1=22,X118,0)))))))</f>
        <v>38.499999999999993</v>
      </c>
      <c r="AG118" s="453">
        <f t="shared" si="38"/>
        <v>45.333333333333336</v>
      </c>
      <c r="AI118" s="338"/>
    </row>
    <row r="119" spans="1:42" ht="15.75" thickBot="1">
      <c r="A119" s="45"/>
      <c r="B119" s="46" t="s">
        <v>821</v>
      </c>
      <c r="C119" s="52">
        <f>'SLP States AggWorkings'!C119+'ZKY States AggWorkings'!C119</f>
        <v>0</v>
      </c>
      <c r="D119" s="52">
        <f>'SLP States AggWorkings'!D119+'ZKY States AggWorkings'!D119</f>
        <v>0</v>
      </c>
      <c r="E119" s="52">
        <f>'SLP States AggWorkings'!E119+'ZKY States AggWorkings'!E119</f>
        <v>0</v>
      </c>
      <c r="F119" s="52">
        <f>'SLP States AggWorkings'!F119+'ZKY States AggWorkings'!F119</f>
        <v>0</v>
      </c>
      <c r="G119" s="52">
        <f>'SLP States AggWorkings'!G119+'ZKY States AggWorkings'!G119</f>
        <v>0</v>
      </c>
      <c r="H119" s="52">
        <f>'SLP States AggWorkings'!H119+'ZKY States AggWorkings'!H119</f>
        <v>0</v>
      </c>
      <c r="I119" s="52">
        <f>'SLP States AggWorkings'!I119+'ZKY States AggWorkings'!I119</f>
        <v>0</v>
      </c>
      <c r="J119" s="52">
        <f>'SLP States AggWorkings'!J119+'ZKY States AggWorkings'!J119</f>
        <v>0</v>
      </c>
      <c r="K119" s="52">
        <f>'SLP States AggWorkings'!K119+'ZKY States AggWorkings'!K119</f>
        <v>0</v>
      </c>
      <c r="L119" s="52">
        <f>'SLP States AggWorkings'!L119+'ZKY States AggWorkings'!L119</f>
        <v>0</v>
      </c>
      <c r="M119" s="52">
        <f>'SLP States AggWorkings'!M119+'ZKY States AggWorkings'!M119</f>
        <v>0</v>
      </c>
      <c r="N119" s="52">
        <f>'SLP States AggWorkings'!N119+'ZKY States AggWorkings'!N119</f>
        <v>0</v>
      </c>
      <c r="O119" s="52">
        <f>'SLP States AggWorkings'!O119+'ZKY States AggWorkings'!O119</f>
        <v>0</v>
      </c>
      <c r="P119" s="52">
        <f>'SLP States AggWorkings'!P119+'ZKY States AggWorkings'!P119</f>
        <v>0</v>
      </c>
      <c r="Q119" s="52">
        <f>'SLP States AggWorkings'!Q119+'ZKY States AggWorkings'!Q119</f>
        <v>0</v>
      </c>
      <c r="R119" s="52">
        <f>'SLP States AggWorkings'!R119+'ZKY States AggWorkings'!R119</f>
        <v>19</v>
      </c>
      <c r="S119" s="442">
        <f>'SLP States AggWorkings'!S119+'ZKY States AggWorkings'!S119</f>
        <v>31</v>
      </c>
      <c r="T119" s="442">
        <f>'SLP States AggWorkings'!T119+'ZKY States AggWorkings'!T119</f>
        <v>38</v>
      </c>
      <c r="U119" s="442">
        <f>'SLP States AggWorkings'!U119+'ZKY States AggWorkings'!U119</f>
        <v>41</v>
      </c>
      <c r="V119" s="445">
        <f>'SLP States AggWorkings'!V119+'ZKY States AggWorkings'!V119</f>
        <v>47</v>
      </c>
      <c r="W119" s="72">
        <f>'SLP States AggWorkings'!W119+'ZKY States AggWorkings'!W119+'A&amp;N States AggWorkings'!W119</f>
        <v>68</v>
      </c>
      <c r="X119" s="70">
        <f>'SLP States AggWorkings'!X119+'ZKY States AggWorkings'!X119+'A&amp;N States AggWorkings'!X119</f>
        <v>74</v>
      </c>
      <c r="Y119" s="70">
        <f>'SLP States AggWorkings'!Y119+'ZKY States AggWorkings'!Y119+'A&amp;N States AggWorkings'!Y119</f>
        <v>0</v>
      </c>
      <c r="Z119" s="70">
        <f>'SLP States AggWorkings'!Z119+'ZKY States AggWorkings'!Z119+'A&amp;N States AggWorkings'!Z119</f>
        <v>0</v>
      </c>
      <c r="AA119" s="49"/>
      <c r="AB119" s="421"/>
      <c r="AC119" s="340"/>
      <c r="AD119" s="452">
        <f>V119</f>
        <v>47</v>
      </c>
      <c r="AE119" s="346"/>
      <c r="AF119" s="452">
        <f t="shared" si="38"/>
        <v>68</v>
      </c>
      <c r="AG119" s="452">
        <f t="shared" si="38"/>
        <v>74</v>
      </c>
      <c r="AH119" s="342">
        <f>AG119</f>
        <v>74</v>
      </c>
      <c r="AI119" s="342">
        <f>AG119</f>
        <v>74</v>
      </c>
    </row>
    <row r="120" spans="1:42">
      <c r="A120" s="45"/>
      <c r="B120" s="46"/>
      <c r="C120" s="53"/>
      <c r="D120" s="75"/>
      <c r="E120" s="75"/>
      <c r="F120" s="75"/>
      <c r="G120" s="75"/>
      <c r="H120" s="75"/>
      <c r="I120" s="75"/>
      <c r="J120" s="75"/>
      <c r="K120" s="75"/>
      <c r="L120" s="53"/>
      <c r="M120" s="53"/>
      <c r="N120" s="53"/>
      <c r="O120" s="53"/>
      <c r="P120" s="53"/>
      <c r="Q120" s="53"/>
      <c r="R120" s="53"/>
      <c r="S120" s="53"/>
      <c r="T120" s="53"/>
      <c r="U120" s="53"/>
      <c r="V120" s="53"/>
      <c r="W120" s="53"/>
      <c r="X120" s="53"/>
      <c r="Y120" s="53"/>
      <c r="Z120" s="53"/>
      <c r="AA120" s="49"/>
      <c r="AB120" s="421"/>
      <c r="AC120" s="340"/>
      <c r="AD120" s="345"/>
      <c r="AE120" s="346"/>
      <c r="AF120" s="454"/>
      <c r="AG120" s="454"/>
      <c r="AI120" s="338"/>
    </row>
    <row r="121" spans="1:42" ht="15.75" thickBot="1">
      <c r="A121" s="41" t="s">
        <v>698</v>
      </c>
      <c r="B121" s="42" t="s">
        <v>822</v>
      </c>
      <c r="C121" s="52">
        <f>'SLP States AggWorkings'!C121+'ZKY States AggWorkings'!C121</f>
        <v>0</v>
      </c>
      <c r="D121" s="52">
        <f>'SLP States AggWorkings'!D121+'ZKY States AggWorkings'!D121</f>
        <v>0</v>
      </c>
      <c r="E121" s="52">
        <f>'SLP States AggWorkings'!E121+'ZKY States AggWorkings'!E121</f>
        <v>0</v>
      </c>
      <c r="F121" s="52">
        <f>'SLP States AggWorkings'!F121+'ZKY States AggWorkings'!F121</f>
        <v>0</v>
      </c>
      <c r="G121" s="52">
        <f>'SLP States AggWorkings'!G121+'ZKY States AggWorkings'!G121</f>
        <v>0</v>
      </c>
      <c r="H121" s="52">
        <f>'SLP States AggWorkings'!H121+'ZKY States AggWorkings'!H121</f>
        <v>0</v>
      </c>
      <c r="I121" s="52">
        <f>'SLP States AggWorkings'!I121+'ZKY States AggWorkings'!I121</f>
        <v>0</v>
      </c>
      <c r="J121" s="52">
        <f>'SLP States AggWorkings'!J121+'ZKY States AggWorkings'!J121</f>
        <v>0</v>
      </c>
      <c r="K121" s="52">
        <f>'SLP States AggWorkings'!K121+'ZKY States AggWorkings'!K121</f>
        <v>0</v>
      </c>
      <c r="L121" s="52">
        <f>'SLP States AggWorkings'!L121+'ZKY States AggWorkings'!L121</f>
        <v>0</v>
      </c>
      <c r="M121" s="52">
        <f>'SLP States AggWorkings'!M121+'ZKY States AggWorkings'!M121</f>
        <v>0</v>
      </c>
      <c r="N121" s="52">
        <f>'SLP States AggWorkings'!N121+'ZKY States AggWorkings'!N121</f>
        <v>0</v>
      </c>
      <c r="O121" s="52">
        <f>'SLP States AggWorkings'!O121+'ZKY States AggWorkings'!O121</f>
        <v>0</v>
      </c>
      <c r="P121" s="52">
        <f>'SLP States AggWorkings'!P121+'ZKY States AggWorkings'!P121</f>
        <v>0</v>
      </c>
      <c r="Q121" s="52">
        <f>'SLP States AggWorkings'!Q121+'ZKY States AggWorkings'!Q121</f>
        <v>0</v>
      </c>
      <c r="R121" s="50">
        <f>'SLP States AggWorkings'!R121+'ZKY States AggWorkings'!R121</f>
        <v>21</v>
      </c>
      <c r="S121" s="51">
        <f>'SLP States AggWorkings'!S121+'ZKY States AggWorkings'!S121</f>
        <v>22.833333333333336</v>
      </c>
      <c r="T121" s="51">
        <f>'SLP States AggWorkings'!T121+'ZKY States AggWorkings'!T121</f>
        <v>24.666666666666668</v>
      </c>
      <c r="U121" s="51">
        <f>'SLP States AggWorkings'!U121+'ZKY States AggWorkings'!U121</f>
        <v>26.5</v>
      </c>
      <c r="V121" s="51">
        <f>'SLP States AggWorkings'!V121+'ZKY States AggWorkings'!V121</f>
        <v>28.333333333333332</v>
      </c>
      <c r="W121" s="51">
        <f>'SLP States AggWorkings'!W121+'ZKY States AggWorkings'!W121+'A&amp;N States AggWorkings'!W121</f>
        <v>31.166666666666664</v>
      </c>
      <c r="X121" s="51">
        <f>'SLP States AggWorkings'!X121+'ZKY States AggWorkings'!X121+'A&amp;N States AggWorkings'!X121</f>
        <v>35.666666666666664</v>
      </c>
      <c r="Y121" s="50">
        <f>'SLP States AggWorkings'!Y121+'ZKY States AggWorkings'!Y121+'A&amp;N States AggWorkings'!Y121</f>
        <v>37</v>
      </c>
      <c r="Z121" s="51">
        <f>'SLP States AggWorkings'!Z121+'ZKY States AggWorkings'!Z121+'A&amp;N States AggWorkings'!Z121</f>
        <v>37</v>
      </c>
      <c r="AA121" s="38">
        <f>'SLP States AggWorkings'!AA121+'ZKY States AggWorkings'!AA121</f>
        <v>80</v>
      </c>
      <c r="AB121" s="457">
        <f>AA121/22</f>
        <v>3.6363636363636362</v>
      </c>
      <c r="AC121" s="340"/>
      <c r="AD121" s="451">
        <f>V121</f>
        <v>28.333333333333332</v>
      </c>
      <c r="AE121" s="346"/>
      <c r="AF121" s="453">
        <f t="shared" ref="AF121:AG122" si="39">IF($AG$1=16,R121,IF($AG$1=17,S121,IF($AG$1=18,T121,IF($AG$1=19,U121,IF($AG$1=20,V121,IF($AG$1=21,W121,IF($AG$1=22,X121,0)))))))</f>
        <v>31.166666666666664</v>
      </c>
      <c r="AG121" s="453">
        <f t="shared" si="39"/>
        <v>35.666666666666664</v>
      </c>
      <c r="AI121" s="338"/>
    </row>
    <row r="122" spans="1:42" ht="15.75" thickBot="1">
      <c r="A122" s="45"/>
      <c r="B122" s="46" t="s">
        <v>823</v>
      </c>
      <c r="C122" s="52">
        <f>'SLP States AggWorkings'!C122+'ZKY States AggWorkings'!C122</f>
        <v>0</v>
      </c>
      <c r="D122" s="52">
        <f>'SLP States AggWorkings'!D122+'ZKY States AggWorkings'!D122</f>
        <v>0</v>
      </c>
      <c r="E122" s="52">
        <f>'SLP States AggWorkings'!E122+'ZKY States AggWorkings'!E122</f>
        <v>0</v>
      </c>
      <c r="F122" s="52">
        <f>'SLP States AggWorkings'!F122+'ZKY States AggWorkings'!F122</f>
        <v>0</v>
      </c>
      <c r="G122" s="52">
        <f>'SLP States AggWorkings'!G122+'ZKY States AggWorkings'!G122</f>
        <v>0</v>
      </c>
      <c r="H122" s="52">
        <f>'SLP States AggWorkings'!H122+'ZKY States AggWorkings'!H122</f>
        <v>0</v>
      </c>
      <c r="I122" s="52">
        <f>'SLP States AggWorkings'!I122+'ZKY States AggWorkings'!I122</f>
        <v>0</v>
      </c>
      <c r="J122" s="52">
        <f>'SLP States AggWorkings'!J122+'ZKY States AggWorkings'!J122</f>
        <v>0</v>
      </c>
      <c r="K122" s="52">
        <f>'SLP States AggWorkings'!K122+'ZKY States AggWorkings'!K122</f>
        <v>0</v>
      </c>
      <c r="L122" s="52">
        <f>'SLP States AggWorkings'!L122+'ZKY States AggWorkings'!L122</f>
        <v>0</v>
      </c>
      <c r="M122" s="52">
        <f>'SLP States AggWorkings'!M122+'ZKY States AggWorkings'!M122</f>
        <v>0</v>
      </c>
      <c r="N122" s="52">
        <f>'SLP States AggWorkings'!N122+'ZKY States AggWorkings'!N122</f>
        <v>0</v>
      </c>
      <c r="O122" s="52">
        <f>'SLP States AggWorkings'!O122+'ZKY States AggWorkings'!O122</f>
        <v>0</v>
      </c>
      <c r="P122" s="52">
        <f>'SLP States AggWorkings'!P122+'ZKY States AggWorkings'!P122</f>
        <v>0</v>
      </c>
      <c r="Q122" s="52">
        <f>'SLP States AggWorkings'!Q122+'ZKY States AggWorkings'!Q122</f>
        <v>0</v>
      </c>
      <c r="R122" s="52">
        <f>'SLP States AggWorkings'!R122+'ZKY States AggWorkings'!R122</f>
        <v>21</v>
      </c>
      <c r="S122" s="442">
        <f>'SLP States AggWorkings'!S122+'ZKY States AggWorkings'!S122</f>
        <v>26</v>
      </c>
      <c r="T122" s="442">
        <f>'SLP States AggWorkings'!T122+'ZKY States AggWorkings'!T122</f>
        <v>30</v>
      </c>
      <c r="U122" s="442">
        <f>'SLP States AggWorkings'!U122+'ZKY States AggWorkings'!U122</f>
        <v>34</v>
      </c>
      <c r="V122" s="445">
        <f>'SLP States AggWorkings'!V122+'ZKY States AggWorkings'!V122</f>
        <v>40</v>
      </c>
      <c r="W122" s="72">
        <f>'SLP States AggWorkings'!W122+'ZKY States AggWorkings'!W122+'A&amp;N States AggWorkings'!W122</f>
        <v>48</v>
      </c>
      <c r="X122" s="70">
        <f>'SLP States AggWorkings'!X122+'ZKY States AggWorkings'!X122+'A&amp;N States AggWorkings'!X122</f>
        <v>52</v>
      </c>
      <c r="Y122" s="70">
        <f>'SLP States AggWorkings'!Y122+'ZKY States AggWorkings'!Y122+'A&amp;N States AggWorkings'!Y122</f>
        <v>0</v>
      </c>
      <c r="Z122" s="70">
        <f>'SLP States AggWorkings'!Z122+'ZKY States AggWorkings'!Z122+'A&amp;N States AggWorkings'!Z122</f>
        <v>0</v>
      </c>
      <c r="AA122" s="49"/>
      <c r="AB122" s="421"/>
      <c r="AC122" s="340"/>
      <c r="AD122" s="452">
        <f>V122</f>
        <v>40</v>
      </c>
      <c r="AE122" s="346"/>
      <c r="AF122" s="452">
        <f t="shared" si="39"/>
        <v>48</v>
      </c>
      <c r="AG122" s="452">
        <f t="shared" si="39"/>
        <v>52</v>
      </c>
      <c r="AH122" s="342">
        <f>AG122</f>
        <v>52</v>
      </c>
      <c r="AI122" s="342">
        <f>AG122</f>
        <v>52</v>
      </c>
    </row>
    <row r="123" spans="1:42" ht="14.25" customHeight="1">
      <c r="A123" s="45"/>
      <c r="B123" s="46"/>
      <c r="C123" s="53"/>
      <c r="D123" s="75"/>
      <c r="E123" s="75"/>
      <c r="F123" s="75"/>
      <c r="G123" s="75"/>
      <c r="H123" s="75"/>
      <c r="I123" s="75"/>
      <c r="J123" s="75"/>
      <c r="K123" s="75"/>
      <c r="L123" s="53"/>
      <c r="M123" s="53"/>
      <c r="N123" s="53"/>
      <c r="O123" s="53"/>
      <c r="P123" s="53"/>
      <c r="Q123" s="53"/>
      <c r="R123" s="53"/>
      <c r="S123" s="53"/>
      <c r="T123" s="53"/>
      <c r="U123" s="53"/>
      <c r="V123" s="53"/>
      <c r="W123" s="53"/>
      <c r="X123" s="53"/>
      <c r="Y123" s="53"/>
      <c r="Z123" s="53"/>
      <c r="AA123" s="49"/>
      <c r="AB123" s="421"/>
      <c r="AC123" s="340"/>
      <c r="AD123" s="345"/>
      <c r="AE123" s="346"/>
      <c r="AF123" s="454"/>
      <c r="AG123" s="454"/>
      <c r="AI123" s="338"/>
    </row>
    <row r="124" spans="1:42" ht="15.75" thickBot="1">
      <c r="A124" s="41" t="s">
        <v>699</v>
      </c>
      <c r="B124" s="42" t="s">
        <v>202</v>
      </c>
      <c r="C124" s="43" t="e">
        <f>'SLP States AggWorkings'!C124+'ZKY States AggWorkings'!C124</f>
        <v>#VALUE!</v>
      </c>
      <c r="D124" s="73" t="e">
        <f>'SLP States AggWorkings'!D124+'ZKY States AggWorkings'!D124</f>
        <v>#VALUE!</v>
      </c>
      <c r="E124" s="73" t="e">
        <f>'SLP States AggWorkings'!E124+'ZKY States AggWorkings'!E124</f>
        <v>#VALUE!</v>
      </c>
      <c r="F124" s="73" t="e">
        <f>'SLP States AggWorkings'!F124+'ZKY States AggWorkings'!F124</f>
        <v>#VALUE!</v>
      </c>
      <c r="G124" s="73" t="e">
        <f>'SLP States AggWorkings'!G124+'ZKY States AggWorkings'!G124</f>
        <v>#VALUE!</v>
      </c>
      <c r="H124" s="73" t="e">
        <f>'SLP States AggWorkings'!H124+'ZKY States AggWorkings'!H124</f>
        <v>#VALUE!</v>
      </c>
      <c r="I124" s="74">
        <f>'SLP States AggWorkings'!I124+'ZKY States AggWorkings'!I124</f>
        <v>14</v>
      </c>
      <c r="J124" s="73">
        <f>'SLP States AggWorkings'!J124+'ZKY States AggWorkings'!J124</f>
        <v>16.5</v>
      </c>
      <c r="K124" s="73">
        <f>'SLP States AggWorkings'!K124+'ZKY States AggWorkings'!K124</f>
        <v>18.999999999999996</v>
      </c>
      <c r="L124" s="51">
        <f>'SLP States AggWorkings'!L124+'ZKY States AggWorkings'!L124</f>
        <v>21.5</v>
      </c>
      <c r="M124" s="51">
        <f>'SLP States AggWorkings'!M124+'ZKY States AggWorkings'!M124</f>
        <v>24</v>
      </c>
      <c r="N124" s="50">
        <f>'SLP States AggWorkings'!N124+'ZKY States AggWorkings'!N124</f>
        <v>29</v>
      </c>
      <c r="O124" s="51">
        <f>'SLP States AggWorkings'!O124+'ZKY States AggWorkings'!O124</f>
        <v>27.5</v>
      </c>
      <c r="P124" s="51">
        <f>'SLP States AggWorkings'!P124+'ZKY States AggWorkings'!P124</f>
        <v>26</v>
      </c>
      <c r="Q124" s="51">
        <f>'SLP States AggWorkings'!Q124+'ZKY States AggWorkings'!Q124</f>
        <v>24.5</v>
      </c>
      <c r="R124" s="50">
        <f>'SLP States AggWorkings'!R124+'ZKY States AggWorkings'!R124</f>
        <v>23</v>
      </c>
      <c r="S124" s="51">
        <f>'SLP States AggWorkings'!S124+'ZKY States AggWorkings'!S124</f>
        <v>29.166666666666664</v>
      </c>
      <c r="T124" s="51">
        <f>'SLP States AggWorkings'!T124+'ZKY States AggWorkings'!T124</f>
        <v>35.333333333333336</v>
      </c>
      <c r="U124" s="51">
        <f>'SLP States AggWorkings'!U124+'ZKY States AggWorkings'!U124</f>
        <v>41.5</v>
      </c>
      <c r="V124" s="51">
        <f>'SLP States AggWorkings'!V124+'ZKY States AggWorkings'!V124</f>
        <v>47.666666666666664</v>
      </c>
      <c r="W124" s="51">
        <f>'SLP States AggWorkings'!W124+'ZKY States AggWorkings'!W124+'A&amp;N States AggWorkings'!W124</f>
        <v>54.166666666666657</v>
      </c>
      <c r="X124" s="51">
        <f>'SLP States AggWorkings'!X124+'ZKY States AggWorkings'!X124+'A&amp;N States AggWorkings'!X124</f>
        <v>62</v>
      </c>
      <c r="Y124" s="50">
        <f>'SLP States AggWorkings'!Y124+'ZKY States AggWorkings'!Y124+'A&amp;N States AggWorkings'!Y124</f>
        <v>64</v>
      </c>
      <c r="Z124" s="51">
        <f>'SLP States AggWorkings'!Z124+'ZKY States AggWorkings'!Z124+'A&amp;N States AggWorkings'!Z124</f>
        <v>64</v>
      </c>
      <c r="AA124" s="38">
        <f>'SLP States AggWorkings'!AA124+'ZKY States AggWorkings'!AA124</f>
        <v>80</v>
      </c>
      <c r="AB124" s="457">
        <f>AA124/22</f>
        <v>3.6363636363636362</v>
      </c>
      <c r="AC124" s="340"/>
      <c r="AD124" s="451">
        <f>V124</f>
        <v>47.666666666666664</v>
      </c>
      <c r="AE124" s="346"/>
      <c r="AF124" s="453">
        <f t="shared" ref="AF124:AG125" si="40">IF($AG$1=16,R124,IF($AG$1=17,S124,IF($AG$1=18,T124,IF($AG$1=19,U124,IF($AG$1=20,V124,IF($AG$1=21,W124,IF($AG$1=22,X124,0)))))))</f>
        <v>54.166666666666657</v>
      </c>
      <c r="AG124" s="453">
        <f t="shared" si="40"/>
        <v>62</v>
      </c>
      <c r="AI124" s="338"/>
    </row>
    <row r="125" spans="1:42" ht="15.75" thickBot="1">
      <c r="A125" s="45"/>
      <c r="B125" s="46" t="s">
        <v>203</v>
      </c>
      <c r="C125" s="79" t="e">
        <f>'SLP States AggWorkings'!C125+'ZKY States AggWorkings'!C125</f>
        <v>#VALUE!</v>
      </c>
      <c r="D125" s="441">
        <f>'SLP States AggWorkings'!D125+'ZKY States AggWorkings'!D125</f>
        <v>2</v>
      </c>
      <c r="E125" s="442">
        <f>'SLP States AggWorkings'!E125+'ZKY States AggWorkings'!E125</f>
        <v>2</v>
      </c>
      <c r="F125" s="442">
        <f>'SLP States AggWorkings'!F125+'ZKY States AggWorkings'!F125</f>
        <v>2</v>
      </c>
      <c r="G125" s="442">
        <f>'SLP States AggWorkings'!G125+'ZKY States AggWorkings'!G125</f>
        <v>2</v>
      </c>
      <c r="H125" s="442">
        <f>'SLP States AggWorkings'!H125+'ZKY States AggWorkings'!H125</f>
        <v>2</v>
      </c>
      <c r="I125" s="442">
        <f>'SLP States AggWorkings'!I125+'ZKY States AggWorkings'!I125</f>
        <v>0</v>
      </c>
      <c r="J125" s="442">
        <f>'SLP States AggWorkings'!J125+'ZKY States AggWorkings'!J125</f>
        <v>0</v>
      </c>
      <c r="K125" s="442">
        <f>'SLP States AggWorkings'!K125+'ZKY States AggWorkings'!K125</f>
        <v>5</v>
      </c>
      <c r="L125" s="442">
        <f>'SLP States AggWorkings'!L125+'ZKY States AggWorkings'!L125</f>
        <v>10</v>
      </c>
      <c r="M125" s="442">
        <f>'SLP States AggWorkings'!M125+'ZKY States AggWorkings'!M125</f>
        <v>8</v>
      </c>
      <c r="N125" s="442">
        <f>'SLP States AggWorkings'!N125+'ZKY States AggWorkings'!N125</f>
        <v>9</v>
      </c>
      <c r="O125" s="442">
        <f>'SLP States AggWorkings'!O125+'ZKY States AggWorkings'!O125</f>
        <v>11</v>
      </c>
      <c r="P125" s="442">
        <f>'SLP States AggWorkings'!P125+'ZKY States AggWorkings'!P125</f>
        <v>16</v>
      </c>
      <c r="Q125" s="442">
        <f>'SLP States AggWorkings'!Q125+'ZKY States AggWorkings'!Q125</f>
        <v>21</v>
      </c>
      <c r="R125" s="442">
        <f>'SLP States AggWorkings'!R125+'ZKY States AggWorkings'!R125</f>
        <v>29</v>
      </c>
      <c r="S125" s="442">
        <f>'SLP States AggWorkings'!S125+'ZKY States AggWorkings'!S125</f>
        <v>38</v>
      </c>
      <c r="T125" s="442">
        <f>'SLP States AggWorkings'!T125+'ZKY States AggWorkings'!T125</f>
        <v>42</v>
      </c>
      <c r="U125" s="442">
        <f>'SLP States AggWorkings'!U125+'ZKY States AggWorkings'!U125</f>
        <v>45</v>
      </c>
      <c r="V125" s="445">
        <f>'SLP States AggWorkings'!V125+'ZKY States AggWorkings'!V125</f>
        <v>58</v>
      </c>
      <c r="W125" s="72">
        <f>'SLP States AggWorkings'!W125+'ZKY States AggWorkings'!W125+'A&amp;N States AggWorkings'!W125</f>
        <v>70</v>
      </c>
      <c r="X125" s="70">
        <f>'SLP States AggWorkings'!X125+'ZKY States AggWorkings'!X125+'A&amp;N States AggWorkings'!X125</f>
        <v>83</v>
      </c>
      <c r="Y125" s="70">
        <f>'SLP States AggWorkings'!Y125+'ZKY States AggWorkings'!Y125+'A&amp;N States AggWorkings'!Y125</f>
        <v>0</v>
      </c>
      <c r="Z125" s="70">
        <f>'SLP States AggWorkings'!Z125+'ZKY States AggWorkings'!Z125+'A&amp;N States AggWorkings'!Z125</f>
        <v>0</v>
      </c>
      <c r="AA125" s="49"/>
      <c r="AB125" s="421"/>
      <c r="AC125" s="340"/>
      <c r="AD125" s="452">
        <f>V125</f>
        <v>58</v>
      </c>
      <c r="AE125" s="346"/>
      <c r="AF125" s="452">
        <f t="shared" si="40"/>
        <v>70</v>
      </c>
      <c r="AG125" s="452">
        <f t="shared" si="40"/>
        <v>83</v>
      </c>
      <c r="AH125" s="342">
        <f>AG125</f>
        <v>83</v>
      </c>
      <c r="AI125" s="342">
        <f>AG125</f>
        <v>83</v>
      </c>
    </row>
    <row r="126" spans="1:42">
      <c r="B126" s="46"/>
      <c r="R126" s="53"/>
      <c r="S126" s="53"/>
      <c r="T126" s="53"/>
      <c r="U126" s="53"/>
      <c r="V126" s="53"/>
      <c r="W126" s="53"/>
      <c r="X126" s="53"/>
      <c r="Y126" s="53"/>
      <c r="Z126" s="53"/>
      <c r="AB126" s="420"/>
      <c r="AC126" s="340"/>
      <c r="AD126" s="345"/>
      <c r="AE126" s="346"/>
      <c r="AF126" s="454"/>
      <c r="AG126" s="454"/>
      <c r="AI126" s="338"/>
    </row>
    <row r="127" spans="1:42" ht="15.75" thickBot="1">
      <c r="A127" s="41" t="s">
        <v>700</v>
      </c>
      <c r="B127" s="42" t="s">
        <v>213</v>
      </c>
      <c r="C127" s="52">
        <f>'SLP States AggWorkings'!C127+'ZKY States AggWorkings'!C127</f>
        <v>0</v>
      </c>
      <c r="D127" s="52">
        <f>'SLP States AggWorkings'!D127+'ZKY States AggWorkings'!D127</f>
        <v>0</v>
      </c>
      <c r="E127" s="52">
        <f>'SLP States AggWorkings'!E127+'ZKY States AggWorkings'!E127</f>
        <v>0</v>
      </c>
      <c r="F127" s="52">
        <f>'SLP States AggWorkings'!F127+'ZKY States AggWorkings'!F127</f>
        <v>0</v>
      </c>
      <c r="G127" s="52">
        <f>'SLP States AggWorkings'!G127+'ZKY States AggWorkings'!G127</f>
        <v>0</v>
      </c>
      <c r="H127" s="52">
        <f>'SLP States AggWorkings'!H127+'ZKY States AggWorkings'!H127</f>
        <v>0</v>
      </c>
      <c r="I127" s="52">
        <f>'SLP States AggWorkings'!I127+'ZKY States AggWorkings'!I127</f>
        <v>0</v>
      </c>
      <c r="J127" s="52">
        <f>'SLP States AggWorkings'!J127+'ZKY States AggWorkings'!J127</f>
        <v>0</v>
      </c>
      <c r="K127" s="52">
        <f>'SLP States AggWorkings'!K127+'ZKY States AggWorkings'!K127</f>
        <v>0</v>
      </c>
      <c r="L127" s="52">
        <f>'SLP States AggWorkings'!L127+'ZKY States AggWorkings'!L127</f>
        <v>0</v>
      </c>
      <c r="M127" s="52">
        <f>'SLP States AggWorkings'!M127+'ZKY States AggWorkings'!M127</f>
        <v>0</v>
      </c>
      <c r="N127" s="52">
        <f>'SLP States AggWorkings'!N127+'ZKY States AggWorkings'!N127</f>
        <v>0</v>
      </c>
      <c r="O127" s="52">
        <f>'SLP States AggWorkings'!O127+'ZKY States AggWorkings'!O127</f>
        <v>0</v>
      </c>
      <c r="P127" s="52">
        <f>'SLP States AggWorkings'!P127+'ZKY States AggWorkings'!P127</f>
        <v>0</v>
      </c>
      <c r="Q127" s="52">
        <f>'SLP States AggWorkings'!Q127+'ZKY States AggWorkings'!Q127</f>
        <v>0</v>
      </c>
      <c r="R127" s="50">
        <f>'SLP States AggWorkings'!R127+'ZKY States AggWorkings'!R127</f>
        <v>16</v>
      </c>
      <c r="S127" s="51">
        <f>'SLP States AggWorkings'!S127+'ZKY States AggWorkings'!S127</f>
        <v>19.333333333333332</v>
      </c>
      <c r="T127" s="51">
        <f>'SLP States AggWorkings'!T127+'ZKY States AggWorkings'!T127</f>
        <v>22.666666666666664</v>
      </c>
      <c r="U127" s="51">
        <f>'SLP States AggWorkings'!U127+'ZKY States AggWorkings'!U127</f>
        <v>26</v>
      </c>
      <c r="V127" s="51">
        <f>'SLP States AggWorkings'!V127+'ZKY States AggWorkings'!V127</f>
        <v>29.333333333333332</v>
      </c>
      <c r="W127" s="51">
        <f>'SLP States AggWorkings'!W127+'ZKY States AggWorkings'!W127+'A&amp;N States AggWorkings'!W127</f>
        <v>35.333333333333329</v>
      </c>
      <c r="X127" s="51">
        <f>'SLP States AggWorkings'!X127+'ZKY States AggWorkings'!X127+'A&amp;N States AggWorkings'!X127</f>
        <v>40</v>
      </c>
      <c r="Y127" s="50">
        <f>'SLP States AggWorkings'!Y127+'ZKY States AggWorkings'!Y127+'A&amp;N States AggWorkings'!Y127</f>
        <v>41</v>
      </c>
      <c r="Z127" s="51">
        <f>'SLP States AggWorkings'!Z127+'ZKY States AggWorkings'!Z127+'A&amp;N States AggWorkings'!Z127</f>
        <v>41</v>
      </c>
      <c r="AA127" s="38">
        <f>'SLP States AggWorkings'!AA127+'ZKY States AggWorkings'!AA127</f>
        <v>80</v>
      </c>
      <c r="AB127" s="457">
        <f>AA127/22</f>
        <v>3.6363636363636362</v>
      </c>
      <c r="AC127" s="340"/>
      <c r="AD127" s="451">
        <f>V127</f>
        <v>29.333333333333332</v>
      </c>
      <c r="AE127" s="346"/>
      <c r="AF127" s="453">
        <f t="shared" ref="AF127:AG128" si="41">IF($AG$1=16,R127,IF($AG$1=17,S127,IF($AG$1=18,T127,IF($AG$1=19,U127,IF($AG$1=20,V127,IF($AG$1=21,W127,IF($AG$1=22,X127,0)))))))</f>
        <v>35.333333333333329</v>
      </c>
      <c r="AG127" s="453">
        <f t="shared" si="41"/>
        <v>40</v>
      </c>
      <c r="AI127" s="338"/>
    </row>
    <row r="128" spans="1:42" ht="15.75" thickBot="1">
      <c r="A128" s="45"/>
      <c r="B128" s="46" t="s">
        <v>212</v>
      </c>
      <c r="C128" s="52">
        <f>'SLP States AggWorkings'!C128+'ZKY States AggWorkings'!C128</f>
        <v>0</v>
      </c>
      <c r="D128" s="52">
        <f>'SLP States AggWorkings'!D128+'ZKY States AggWorkings'!D128</f>
        <v>0</v>
      </c>
      <c r="E128" s="52">
        <f>'SLP States AggWorkings'!E128+'ZKY States AggWorkings'!E128</f>
        <v>0</v>
      </c>
      <c r="F128" s="52">
        <f>'SLP States AggWorkings'!F128+'ZKY States AggWorkings'!F128</f>
        <v>0</v>
      </c>
      <c r="G128" s="52">
        <f>'SLP States AggWorkings'!G128+'ZKY States AggWorkings'!G128</f>
        <v>0</v>
      </c>
      <c r="H128" s="52">
        <f>'SLP States AggWorkings'!H128+'ZKY States AggWorkings'!H128</f>
        <v>0</v>
      </c>
      <c r="I128" s="52">
        <f>'SLP States AggWorkings'!I128+'ZKY States AggWorkings'!I128</f>
        <v>0</v>
      </c>
      <c r="J128" s="52">
        <f>'SLP States AggWorkings'!J128+'ZKY States AggWorkings'!J128</f>
        <v>0</v>
      </c>
      <c r="K128" s="52">
        <f>'SLP States AggWorkings'!K128+'ZKY States AggWorkings'!K128</f>
        <v>0</v>
      </c>
      <c r="L128" s="52">
        <f>'SLP States AggWorkings'!L128+'ZKY States AggWorkings'!L128</f>
        <v>0</v>
      </c>
      <c r="M128" s="52">
        <f>'SLP States AggWorkings'!M128+'ZKY States AggWorkings'!M128</f>
        <v>0</v>
      </c>
      <c r="N128" s="52">
        <f>'SLP States AggWorkings'!N128+'ZKY States AggWorkings'!N128</f>
        <v>0</v>
      </c>
      <c r="O128" s="52">
        <f>'SLP States AggWorkings'!O128+'ZKY States AggWorkings'!O128</f>
        <v>0</v>
      </c>
      <c r="P128" s="52">
        <f>'SLP States AggWorkings'!P128+'ZKY States AggWorkings'!P128</f>
        <v>0</v>
      </c>
      <c r="Q128" s="52">
        <f>'SLP States AggWorkings'!Q128+'ZKY States AggWorkings'!Q128</f>
        <v>0</v>
      </c>
      <c r="R128" s="52">
        <f>'SLP States AggWorkings'!R128+'ZKY States AggWorkings'!R128</f>
        <v>16</v>
      </c>
      <c r="S128" s="442">
        <f>'SLP States AggWorkings'!S128+'ZKY States AggWorkings'!S128</f>
        <v>20</v>
      </c>
      <c r="T128" s="442">
        <f>'SLP States AggWorkings'!T128+'ZKY States AggWorkings'!T128</f>
        <v>22</v>
      </c>
      <c r="U128" s="442">
        <f>'SLP States AggWorkings'!U128+'ZKY States AggWorkings'!U128</f>
        <v>24</v>
      </c>
      <c r="V128" s="445">
        <f>'SLP States AggWorkings'!V128+'ZKY States AggWorkings'!V128</f>
        <v>39</v>
      </c>
      <c r="W128" s="72">
        <f>'SLP States AggWorkings'!W128+'ZKY States AggWorkings'!W128+'A&amp;N States AggWorkings'!W128</f>
        <v>50</v>
      </c>
      <c r="X128" s="70">
        <f>'SLP States AggWorkings'!X128+'ZKY States AggWorkings'!X128+'A&amp;N States AggWorkings'!X128</f>
        <v>62</v>
      </c>
      <c r="Y128" s="70">
        <f>'SLP States AggWorkings'!Y128+'ZKY States AggWorkings'!Y128+'A&amp;N States AggWorkings'!Y128</f>
        <v>0</v>
      </c>
      <c r="Z128" s="70">
        <f>'SLP States AggWorkings'!Z128+'ZKY States AggWorkings'!Z128+'A&amp;N States AggWorkings'!Z128</f>
        <v>0</v>
      </c>
      <c r="AA128" s="49"/>
      <c r="AB128" s="421"/>
      <c r="AC128" s="340"/>
      <c r="AD128" s="452">
        <f>V128</f>
        <v>39</v>
      </c>
      <c r="AE128" s="346"/>
      <c r="AF128" s="452">
        <f t="shared" si="41"/>
        <v>50</v>
      </c>
      <c r="AG128" s="452">
        <f t="shared" si="41"/>
        <v>62</v>
      </c>
      <c r="AH128" s="342">
        <f>AG128</f>
        <v>62</v>
      </c>
      <c r="AI128" s="342">
        <f>AG128</f>
        <v>62</v>
      </c>
    </row>
    <row r="129" spans="1:35" ht="15" customHeight="1">
      <c r="A129" s="45"/>
      <c r="B129" s="46"/>
      <c r="C129" s="53"/>
      <c r="D129" s="75"/>
      <c r="E129" s="75"/>
      <c r="F129" s="75"/>
      <c r="G129" s="75"/>
      <c r="H129" s="75"/>
      <c r="I129" s="75"/>
      <c r="J129" s="75"/>
      <c r="K129" s="75"/>
      <c r="L129" s="53"/>
      <c r="M129" s="53"/>
      <c r="N129" s="53"/>
      <c r="O129" s="53"/>
      <c r="P129" s="53"/>
      <c r="Q129" s="53"/>
      <c r="R129" s="53"/>
      <c r="S129" s="53"/>
      <c r="T129" s="53"/>
      <c r="U129" s="53"/>
      <c r="V129" s="53"/>
      <c r="W129" s="53"/>
      <c r="X129" s="53"/>
      <c r="Y129" s="53"/>
      <c r="Z129" s="53"/>
      <c r="AA129" s="49"/>
      <c r="AB129" s="421"/>
      <c r="AC129" s="340"/>
      <c r="AD129" s="346"/>
      <c r="AE129" s="346"/>
      <c r="AF129" s="346"/>
      <c r="AG129" s="346"/>
      <c r="AI129" s="338"/>
    </row>
    <row r="130" spans="1:35" ht="15" customHeight="1" thickBot="1">
      <c r="A130" s="41" t="s">
        <v>701</v>
      </c>
      <c r="B130" s="42" t="s">
        <v>211</v>
      </c>
      <c r="C130" s="52">
        <f>'SLP States AggWorkings'!C130+'ZKY States AggWorkings'!C130</f>
        <v>0</v>
      </c>
      <c r="D130" s="52">
        <f>'SLP States AggWorkings'!D130+'ZKY States AggWorkings'!D130</f>
        <v>0</v>
      </c>
      <c r="E130" s="52">
        <f>'SLP States AggWorkings'!E130+'ZKY States AggWorkings'!E130</f>
        <v>0</v>
      </c>
      <c r="F130" s="52">
        <f>'SLP States AggWorkings'!F130+'ZKY States AggWorkings'!F130</f>
        <v>0</v>
      </c>
      <c r="G130" s="52">
        <f>'SLP States AggWorkings'!G130+'ZKY States AggWorkings'!G130</f>
        <v>0</v>
      </c>
      <c r="H130" s="52">
        <f>'SLP States AggWorkings'!H130+'ZKY States AggWorkings'!H130</f>
        <v>0</v>
      </c>
      <c r="I130" s="52">
        <f>'SLP States AggWorkings'!I130+'ZKY States AggWorkings'!I130</f>
        <v>0</v>
      </c>
      <c r="J130" s="52">
        <f>'SLP States AggWorkings'!J130+'ZKY States AggWorkings'!J130</f>
        <v>0</v>
      </c>
      <c r="K130" s="52">
        <f>'SLP States AggWorkings'!K130+'ZKY States AggWorkings'!K130</f>
        <v>0</v>
      </c>
      <c r="L130" s="52">
        <f>'SLP States AggWorkings'!L130+'ZKY States AggWorkings'!L130</f>
        <v>0</v>
      </c>
      <c r="M130" s="52">
        <f>'SLP States AggWorkings'!M130+'ZKY States AggWorkings'!M130</f>
        <v>0</v>
      </c>
      <c r="N130" s="52">
        <f>'SLP States AggWorkings'!N130+'ZKY States AggWorkings'!N130</f>
        <v>0</v>
      </c>
      <c r="O130" s="52">
        <f>'SLP States AggWorkings'!O130+'ZKY States AggWorkings'!O130</f>
        <v>0</v>
      </c>
      <c r="P130" s="52">
        <f>'SLP States AggWorkings'!P130+'ZKY States AggWorkings'!P130</f>
        <v>0</v>
      </c>
      <c r="Q130" s="52">
        <f>'SLP States AggWorkings'!Q130+'ZKY States AggWorkings'!Q130</f>
        <v>0</v>
      </c>
      <c r="R130" s="50">
        <f>'SLP States AggWorkings'!R130+'ZKY States AggWorkings'!R130</f>
        <v>7</v>
      </c>
      <c r="S130" s="51">
        <f>'SLP States AggWorkings'!S130+'ZKY States AggWorkings'!S130</f>
        <v>9.8333333333333339</v>
      </c>
      <c r="T130" s="51">
        <f>'SLP States AggWorkings'!T130+'ZKY States AggWorkings'!T130</f>
        <v>12.666666666666666</v>
      </c>
      <c r="U130" s="51">
        <f>'SLP States AggWorkings'!U130+'ZKY States AggWorkings'!U130</f>
        <v>15.5</v>
      </c>
      <c r="V130" s="51">
        <f>'SLP States AggWorkings'!V130+'ZKY States AggWorkings'!V130</f>
        <v>18.333333333333336</v>
      </c>
      <c r="W130" s="51">
        <f>'SLP States AggWorkings'!W130+'ZKY States AggWorkings'!W130+'A&amp;N States AggWorkings'!W130</f>
        <v>22.499999999999996</v>
      </c>
      <c r="X130" s="51">
        <f>'SLP States AggWorkings'!X130+'ZKY States AggWorkings'!X130+'A&amp;N States AggWorkings'!X130</f>
        <v>26.333333333333332</v>
      </c>
      <c r="Y130" s="50">
        <f>'SLP States AggWorkings'!Y130+'ZKY States AggWorkings'!Y130+'A&amp;N States AggWorkings'!Y130</f>
        <v>27</v>
      </c>
      <c r="Z130" s="51">
        <f>'SLP States AggWorkings'!Z130+'ZKY States AggWorkings'!Z130+'A&amp;N States AggWorkings'!Z130</f>
        <v>27</v>
      </c>
      <c r="AA130" s="38">
        <f>'SLP States AggWorkings'!AA130+'ZKY States AggWorkings'!AA130</f>
        <v>40</v>
      </c>
      <c r="AB130" s="457">
        <f>AA130/22</f>
        <v>1.8181818181818181</v>
      </c>
      <c r="AC130" s="340"/>
      <c r="AD130" s="451">
        <f>V130</f>
        <v>18.333333333333336</v>
      </c>
      <c r="AE130" s="346"/>
      <c r="AF130" s="453">
        <f t="shared" ref="AF130:AG131" si="42">IF($AG$1=16,R130,IF($AG$1=17,S130,IF($AG$1=18,T130,IF($AG$1=19,U130,IF($AG$1=20,V130,IF($AG$1=21,W130,IF($AG$1=22,X130,0)))))))</f>
        <v>22.499999999999996</v>
      </c>
      <c r="AG130" s="453">
        <f t="shared" si="42"/>
        <v>26.333333333333332</v>
      </c>
      <c r="AI130" s="338"/>
    </row>
    <row r="131" spans="1:35" ht="15" customHeight="1" thickBot="1">
      <c r="A131" s="45"/>
      <c r="B131" s="46" t="s">
        <v>210</v>
      </c>
      <c r="C131" s="52">
        <f>'SLP States AggWorkings'!C131+'ZKY States AggWorkings'!C131</f>
        <v>0</v>
      </c>
      <c r="D131" s="52">
        <f>'SLP States AggWorkings'!D131+'ZKY States AggWorkings'!D131</f>
        <v>0</v>
      </c>
      <c r="E131" s="52">
        <f>'SLP States AggWorkings'!E131+'ZKY States AggWorkings'!E131</f>
        <v>0</v>
      </c>
      <c r="F131" s="52">
        <f>'SLP States AggWorkings'!F131+'ZKY States AggWorkings'!F131</f>
        <v>0</v>
      </c>
      <c r="G131" s="52">
        <f>'SLP States AggWorkings'!G131+'ZKY States AggWorkings'!G131</f>
        <v>0</v>
      </c>
      <c r="H131" s="52">
        <f>'SLP States AggWorkings'!H131+'ZKY States AggWorkings'!H131</f>
        <v>0</v>
      </c>
      <c r="I131" s="52">
        <f>'SLP States AggWorkings'!I131+'ZKY States AggWorkings'!I131</f>
        <v>0</v>
      </c>
      <c r="J131" s="52">
        <f>'SLP States AggWorkings'!J131+'ZKY States AggWorkings'!J131</f>
        <v>0</v>
      </c>
      <c r="K131" s="52">
        <f>'SLP States AggWorkings'!K131+'ZKY States AggWorkings'!K131</f>
        <v>0</v>
      </c>
      <c r="L131" s="52">
        <f>'SLP States AggWorkings'!L131+'ZKY States AggWorkings'!L131</f>
        <v>0</v>
      </c>
      <c r="M131" s="52">
        <f>'SLP States AggWorkings'!M131+'ZKY States AggWorkings'!M131</f>
        <v>0</v>
      </c>
      <c r="N131" s="52">
        <f>'SLP States AggWorkings'!N131+'ZKY States AggWorkings'!N131</f>
        <v>0</v>
      </c>
      <c r="O131" s="52">
        <f>'SLP States AggWorkings'!O131+'ZKY States AggWorkings'!O131</f>
        <v>0</v>
      </c>
      <c r="P131" s="52">
        <f>'SLP States AggWorkings'!P131+'ZKY States AggWorkings'!P131</f>
        <v>0</v>
      </c>
      <c r="Q131" s="52">
        <f>'SLP States AggWorkings'!Q131+'ZKY States AggWorkings'!Q131</f>
        <v>0</v>
      </c>
      <c r="R131" s="52">
        <f>'SLP States AggWorkings'!R131+'ZKY States AggWorkings'!R131</f>
        <v>7</v>
      </c>
      <c r="S131" s="442">
        <f>'SLP States AggWorkings'!S131+'ZKY States AggWorkings'!S131</f>
        <v>13</v>
      </c>
      <c r="T131" s="442">
        <f>'SLP States AggWorkings'!T131+'ZKY States AggWorkings'!T131</f>
        <v>13</v>
      </c>
      <c r="U131" s="442">
        <f>'SLP States AggWorkings'!U131+'ZKY States AggWorkings'!U131</f>
        <v>14</v>
      </c>
      <c r="V131" s="445">
        <f>'SLP States AggWorkings'!V131+'ZKY States AggWorkings'!V131</f>
        <v>22</v>
      </c>
      <c r="W131" s="72">
        <f>'SLP States AggWorkings'!W131+'ZKY States AggWorkings'!W131+'A&amp;N States AggWorkings'!W131</f>
        <v>32</v>
      </c>
      <c r="X131" s="70">
        <f>'SLP States AggWorkings'!X131+'ZKY States AggWorkings'!X131+'A&amp;N States AggWorkings'!X131</f>
        <v>38</v>
      </c>
      <c r="Y131" s="70">
        <f>'SLP States AggWorkings'!Y131+'ZKY States AggWorkings'!Y131+'A&amp;N States AggWorkings'!Y131</f>
        <v>0</v>
      </c>
      <c r="Z131" s="70">
        <f>'SLP States AggWorkings'!Z131+'ZKY States AggWorkings'!Z131+'A&amp;N States AggWorkings'!Z131</f>
        <v>0</v>
      </c>
      <c r="AA131" s="49"/>
      <c r="AB131" s="421"/>
      <c r="AC131" s="340"/>
      <c r="AD131" s="452">
        <f>V131</f>
        <v>22</v>
      </c>
      <c r="AE131" s="346"/>
      <c r="AF131" s="452">
        <f t="shared" si="42"/>
        <v>32</v>
      </c>
      <c r="AG131" s="452">
        <f t="shared" si="42"/>
        <v>38</v>
      </c>
      <c r="AH131" s="342">
        <f>AG131</f>
        <v>38</v>
      </c>
      <c r="AI131" s="342">
        <f>AG131</f>
        <v>38</v>
      </c>
    </row>
    <row r="132" spans="1:35" ht="15" customHeight="1">
      <c r="A132" s="45"/>
      <c r="B132" s="46"/>
      <c r="C132" s="53"/>
      <c r="D132" s="75"/>
      <c r="E132" s="75"/>
      <c r="F132" s="75"/>
      <c r="G132" s="75"/>
      <c r="H132" s="75"/>
      <c r="I132" s="75"/>
      <c r="J132" s="75"/>
      <c r="K132" s="75"/>
      <c r="L132" s="53"/>
      <c r="M132" s="53"/>
      <c r="N132" s="53"/>
      <c r="O132" s="53"/>
      <c r="P132" s="53"/>
      <c r="Q132" s="53"/>
      <c r="R132" s="53"/>
      <c r="S132" s="53"/>
      <c r="T132" s="53"/>
      <c r="U132" s="53"/>
      <c r="V132" s="53"/>
      <c r="W132" s="53"/>
      <c r="X132" s="53"/>
      <c r="Y132" s="53"/>
      <c r="Z132" s="53"/>
      <c r="AA132" s="49"/>
      <c r="AB132" s="421"/>
      <c r="AC132" s="340"/>
      <c r="AD132" s="345"/>
      <c r="AE132" s="346"/>
      <c r="AF132" s="454"/>
      <c r="AG132" s="454"/>
      <c r="AI132" s="338"/>
    </row>
    <row r="133" spans="1:35" ht="15" customHeight="1" thickBot="1">
      <c r="A133" s="41" t="s">
        <v>702</v>
      </c>
      <c r="B133" s="42" t="s">
        <v>209</v>
      </c>
      <c r="C133" s="52">
        <f>'SLP States AggWorkings'!C133+'ZKY States AggWorkings'!C133</f>
        <v>0</v>
      </c>
      <c r="D133" s="52">
        <f>'SLP States AggWorkings'!D133+'ZKY States AggWorkings'!D133</f>
        <v>0</v>
      </c>
      <c r="E133" s="52">
        <f>'SLP States AggWorkings'!E133+'ZKY States AggWorkings'!E133</f>
        <v>0</v>
      </c>
      <c r="F133" s="52">
        <f>'SLP States AggWorkings'!F133+'ZKY States AggWorkings'!F133</f>
        <v>0</v>
      </c>
      <c r="G133" s="52">
        <f>'SLP States AggWorkings'!G133+'ZKY States AggWorkings'!G133</f>
        <v>0</v>
      </c>
      <c r="H133" s="52">
        <f>'SLP States AggWorkings'!H133+'ZKY States AggWorkings'!H133</f>
        <v>0</v>
      </c>
      <c r="I133" s="52">
        <f>'SLP States AggWorkings'!I133+'ZKY States AggWorkings'!I133</f>
        <v>0</v>
      </c>
      <c r="J133" s="52">
        <f>'SLP States AggWorkings'!J133+'ZKY States AggWorkings'!J133</f>
        <v>0</v>
      </c>
      <c r="K133" s="52">
        <f>'SLP States AggWorkings'!K133+'ZKY States AggWorkings'!K133</f>
        <v>0</v>
      </c>
      <c r="L133" s="52">
        <f>'SLP States AggWorkings'!L133+'ZKY States AggWorkings'!L133</f>
        <v>0</v>
      </c>
      <c r="M133" s="52">
        <f>'SLP States AggWorkings'!M133+'ZKY States AggWorkings'!M133</f>
        <v>0</v>
      </c>
      <c r="N133" s="52">
        <f>'SLP States AggWorkings'!N133+'ZKY States AggWorkings'!N133</f>
        <v>0</v>
      </c>
      <c r="O133" s="52">
        <f>'SLP States AggWorkings'!O133+'ZKY States AggWorkings'!O133</f>
        <v>0</v>
      </c>
      <c r="P133" s="52">
        <f>'SLP States AggWorkings'!P133+'ZKY States AggWorkings'!P133</f>
        <v>0</v>
      </c>
      <c r="Q133" s="52">
        <f>'SLP States AggWorkings'!Q133+'ZKY States AggWorkings'!Q133</f>
        <v>0</v>
      </c>
      <c r="R133" s="50">
        <f>'SLP States AggWorkings'!R133+'ZKY States AggWorkings'!R133</f>
        <v>5</v>
      </c>
      <c r="S133" s="51">
        <f>'SLP States AggWorkings'!S133+'ZKY States AggWorkings'!S133</f>
        <v>5.666666666666667</v>
      </c>
      <c r="T133" s="51">
        <f>'SLP States AggWorkings'!T133+'ZKY States AggWorkings'!T133</f>
        <v>6.333333333333333</v>
      </c>
      <c r="U133" s="51">
        <f>'SLP States AggWorkings'!U133+'ZKY States AggWorkings'!U133</f>
        <v>7</v>
      </c>
      <c r="V133" s="51">
        <f>'SLP States AggWorkings'!V133+'ZKY States AggWorkings'!V133</f>
        <v>7.666666666666667</v>
      </c>
      <c r="W133" s="51">
        <f>'SLP States AggWorkings'!W133+'ZKY States AggWorkings'!W133+'A&amp;N States AggWorkings'!W133</f>
        <v>11.000000000000002</v>
      </c>
      <c r="X133" s="51">
        <f>'SLP States AggWorkings'!X133+'ZKY States AggWorkings'!X133+'A&amp;N States AggWorkings'!X133</f>
        <v>12.666666666666666</v>
      </c>
      <c r="Y133" s="50">
        <f>'SLP States AggWorkings'!Y133+'ZKY States AggWorkings'!Y133+'A&amp;N States AggWorkings'!Y133</f>
        <v>13</v>
      </c>
      <c r="Z133" s="51">
        <f>'SLP States AggWorkings'!Z133+'ZKY States AggWorkings'!Z133+'A&amp;N States AggWorkings'!Z133</f>
        <v>13</v>
      </c>
      <c r="AA133" s="38">
        <f>'SLP States AggWorkings'!AA133+'ZKY States AggWorkings'!AA133</f>
        <v>40</v>
      </c>
      <c r="AB133" s="457">
        <f>AA133/22</f>
        <v>1.8181818181818181</v>
      </c>
      <c r="AC133" s="340"/>
      <c r="AD133" s="451">
        <f>V133</f>
        <v>7.666666666666667</v>
      </c>
      <c r="AE133" s="346"/>
      <c r="AF133" s="453">
        <f t="shared" ref="AF133:AG134" si="43">IF($AG$1=16,R133,IF($AG$1=17,S133,IF($AG$1=18,T133,IF($AG$1=19,U133,IF($AG$1=20,V133,IF($AG$1=21,W133,IF($AG$1=22,X133,0)))))))</f>
        <v>11.000000000000002</v>
      </c>
      <c r="AG133" s="453">
        <f t="shared" si="43"/>
        <v>12.666666666666666</v>
      </c>
      <c r="AI133" s="338"/>
    </row>
    <row r="134" spans="1:35" ht="15" customHeight="1" thickBot="1">
      <c r="A134" s="45"/>
      <c r="B134" s="46" t="s">
        <v>208</v>
      </c>
      <c r="C134" s="52">
        <f>'SLP States AggWorkings'!C134+'ZKY States AggWorkings'!C134</f>
        <v>0</v>
      </c>
      <c r="D134" s="52">
        <f>'SLP States AggWorkings'!D134+'ZKY States AggWorkings'!D134</f>
        <v>0</v>
      </c>
      <c r="E134" s="52">
        <f>'SLP States AggWorkings'!E134+'ZKY States AggWorkings'!E134</f>
        <v>0</v>
      </c>
      <c r="F134" s="52">
        <f>'SLP States AggWorkings'!F134+'ZKY States AggWorkings'!F134</f>
        <v>0</v>
      </c>
      <c r="G134" s="52">
        <f>'SLP States AggWorkings'!G134+'ZKY States AggWorkings'!G134</f>
        <v>0</v>
      </c>
      <c r="H134" s="52">
        <f>'SLP States AggWorkings'!H134+'ZKY States AggWorkings'!H134</f>
        <v>0</v>
      </c>
      <c r="I134" s="52">
        <f>'SLP States AggWorkings'!I134+'ZKY States AggWorkings'!I134</f>
        <v>0</v>
      </c>
      <c r="J134" s="52">
        <f>'SLP States AggWorkings'!J134+'ZKY States AggWorkings'!J134</f>
        <v>0</v>
      </c>
      <c r="K134" s="52">
        <f>'SLP States AggWorkings'!K134+'ZKY States AggWorkings'!K134</f>
        <v>0</v>
      </c>
      <c r="L134" s="52">
        <f>'SLP States AggWorkings'!L134+'ZKY States AggWorkings'!L134</f>
        <v>0</v>
      </c>
      <c r="M134" s="52">
        <f>'SLP States AggWorkings'!M134+'ZKY States AggWorkings'!M134</f>
        <v>0</v>
      </c>
      <c r="N134" s="52">
        <f>'SLP States AggWorkings'!N134+'ZKY States AggWorkings'!N134</f>
        <v>0</v>
      </c>
      <c r="O134" s="52">
        <f>'SLP States AggWorkings'!O134+'ZKY States AggWorkings'!O134</f>
        <v>0</v>
      </c>
      <c r="P134" s="52">
        <f>'SLP States AggWorkings'!P134+'ZKY States AggWorkings'!P134</f>
        <v>0</v>
      </c>
      <c r="Q134" s="52">
        <f>'SLP States AggWorkings'!Q134+'ZKY States AggWorkings'!Q134</f>
        <v>0</v>
      </c>
      <c r="R134" s="52">
        <f>'SLP States AggWorkings'!R134+'ZKY States AggWorkings'!R134</f>
        <v>5</v>
      </c>
      <c r="S134" s="442">
        <f>'SLP States AggWorkings'!S134+'ZKY States AggWorkings'!S134</f>
        <v>6</v>
      </c>
      <c r="T134" s="442">
        <f>'SLP States AggWorkings'!T134+'ZKY States AggWorkings'!T134</f>
        <v>6</v>
      </c>
      <c r="U134" s="442">
        <f>'SLP States AggWorkings'!U134+'ZKY States AggWorkings'!U134</f>
        <v>6</v>
      </c>
      <c r="V134" s="445">
        <f>'SLP States AggWorkings'!V134+'ZKY States AggWorkings'!V134</f>
        <v>10</v>
      </c>
      <c r="W134" s="72">
        <f>'SLP States AggWorkings'!W134+'ZKY States AggWorkings'!W134+'A&amp;N States AggWorkings'!W134</f>
        <v>14</v>
      </c>
      <c r="X134" s="70">
        <f>'SLP States AggWorkings'!X134+'ZKY States AggWorkings'!X134+'A&amp;N States AggWorkings'!X134</f>
        <v>18</v>
      </c>
      <c r="Y134" s="70">
        <f>'SLP States AggWorkings'!Y134+'ZKY States AggWorkings'!Y134+'A&amp;N States AggWorkings'!Y134</f>
        <v>0</v>
      </c>
      <c r="Z134" s="70">
        <f>'SLP States AggWorkings'!Z134+'ZKY States AggWorkings'!Z134+'A&amp;N States AggWorkings'!Z134</f>
        <v>0</v>
      </c>
      <c r="AA134" s="49"/>
      <c r="AB134" s="421"/>
      <c r="AC134" s="340"/>
      <c r="AD134" s="452">
        <f>V134</f>
        <v>10</v>
      </c>
      <c r="AE134" s="346"/>
      <c r="AF134" s="452">
        <f t="shared" si="43"/>
        <v>14</v>
      </c>
      <c r="AG134" s="452">
        <f t="shared" si="43"/>
        <v>18</v>
      </c>
      <c r="AH134" s="342">
        <f>AG134</f>
        <v>18</v>
      </c>
      <c r="AI134" s="342">
        <f>AG134</f>
        <v>18</v>
      </c>
    </row>
    <row r="135" spans="1:35" ht="15" customHeight="1">
      <c r="A135" s="45"/>
      <c r="B135" s="46"/>
      <c r="C135" s="53"/>
      <c r="D135" s="75"/>
      <c r="E135" s="75"/>
      <c r="F135" s="75"/>
      <c r="G135" s="75"/>
      <c r="H135" s="75"/>
      <c r="I135" s="75"/>
      <c r="J135" s="75"/>
      <c r="K135" s="75"/>
      <c r="L135" s="53"/>
      <c r="M135" s="53"/>
      <c r="N135" s="53"/>
      <c r="O135" s="53"/>
      <c r="P135" s="53"/>
      <c r="Q135" s="53"/>
      <c r="R135" s="53"/>
      <c r="S135" s="53"/>
      <c r="T135" s="53"/>
      <c r="U135" s="53"/>
      <c r="V135" s="53"/>
      <c r="W135" s="53"/>
      <c r="X135" s="53"/>
      <c r="Y135" s="53"/>
      <c r="Z135" s="53"/>
      <c r="AA135" s="49"/>
      <c r="AB135" s="421"/>
      <c r="AC135" s="340"/>
      <c r="AD135" s="345"/>
      <c r="AE135" s="346"/>
      <c r="AF135" s="454"/>
      <c r="AG135" s="454"/>
      <c r="AI135" s="338"/>
    </row>
    <row r="136" spans="1:35" ht="15" customHeight="1" thickBot="1">
      <c r="A136" s="41" t="s">
        <v>703</v>
      </c>
      <c r="B136" s="42" t="s">
        <v>824</v>
      </c>
      <c r="C136" s="52">
        <f>'SLP States AggWorkings'!C136+'ZKY States AggWorkings'!C136</f>
        <v>0</v>
      </c>
      <c r="D136" s="52">
        <f>'SLP States AggWorkings'!D136+'ZKY States AggWorkings'!D136</f>
        <v>0</v>
      </c>
      <c r="E136" s="52">
        <f>'SLP States AggWorkings'!E136+'ZKY States AggWorkings'!E136</f>
        <v>0</v>
      </c>
      <c r="F136" s="52">
        <f>'SLP States AggWorkings'!F136+'ZKY States AggWorkings'!F136</f>
        <v>0</v>
      </c>
      <c r="G136" s="52">
        <f>'SLP States AggWorkings'!G136+'ZKY States AggWorkings'!G136</f>
        <v>0</v>
      </c>
      <c r="H136" s="52">
        <f>'SLP States AggWorkings'!H136+'ZKY States AggWorkings'!H136</f>
        <v>0</v>
      </c>
      <c r="I136" s="52">
        <f>'SLP States AggWorkings'!I136+'ZKY States AggWorkings'!I136</f>
        <v>0</v>
      </c>
      <c r="J136" s="52">
        <f>'SLP States AggWorkings'!J136+'ZKY States AggWorkings'!J136</f>
        <v>0</v>
      </c>
      <c r="K136" s="52">
        <f>'SLP States AggWorkings'!K136+'ZKY States AggWorkings'!K136</f>
        <v>0</v>
      </c>
      <c r="L136" s="52">
        <f>'SLP States AggWorkings'!L136+'ZKY States AggWorkings'!L136</f>
        <v>0</v>
      </c>
      <c r="M136" s="52">
        <f>'SLP States AggWorkings'!M136+'ZKY States AggWorkings'!M136</f>
        <v>0</v>
      </c>
      <c r="N136" s="52">
        <f>'SLP States AggWorkings'!N136+'ZKY States AggWorkings'!N136</f>
        <v>0</v>
      </c>
      <c r="O136" s="52">
        <f>'SLP States AggWorkings'!O136+'ZKY States AggWorkings'!O136</f>
        <v>0</v>
      </c>
      <c r="P136" s="52">
        <f>'SLP States AggWorkings'!P136+'ZKY States AggWorkings'!P136</f>
        <v>0</v>
      </c>
      <c r="Q136" s="52">
        <f>'SLP States AggWorkings'!Q136+'ZKY States AggWorkings'!Q136</f>
        <v>0</v>
      </c>
      <c r="R136" s="50">
        <f>'SLP States AggWorkings'!R136+'ZKY States AggWorkings'!R136</f>
        <v>22</v>
      </c>
      <c r="S136" s="51">
        <f>'SLP States AggWorkings'!S136+'ZKY States AggWorkings'!S136</f>
        <v>24.5</v>
      </c>
      <c r="T136" s="51">
        <f>'SLP States AggWorkings'!T136+'ZKY States AggWorkings'!T136</f>
        <v>27</v>
      </c>
      <c r="U136" s="51">
        <f>'SLP States AggWorkings'!U136+'ZKY States AggWorkings'!U136</f>
        <v>29.5</v>
      </c>
      <c r="V136" s="51">
        <f>'SLP States AggWorkings'!V136+'ZKY States AggWorkings'!V136</f>
        <v>32</v>
      </c>
      <c r="W136" s="51">
        <f>'SLP States AggWorkings'!W136+'ZKY States AggWorkings'!W136+'A&amp;N States AggWorkings'!W136</f>
        <v>41.166666666666671</v>
      </c>
      <c r="X136" s="51">
        <f>'SLP States AggWorkings'!X136+'ZKY States AggWorkings'!X136+'A&amp;N States AggWorkings'!X136</f>
        <v>46.333333333333336</v>
      </c>
      <c r="Y136" s="50">
        <f>'SLP States AggWorkings'!Y136+'ZKY States AggWorkings'!Y136+'A&amp;N States AggWorkings'!Y136</f>
        <v>48</v>
      </c>
      <c r="Z136" s="51">
        <f>'SLP States AggWorkings'!Z136+'ZKY States AggWorkings'!Z136+'A&amp;N States AggWorkings'!Z136</f>
        <v>48</v>
      </c>
      <c r="AA136" s="38">
        <f>'SLP States AggWorkings'!AA136+'ZKY States AggWorkings'!AA136</f>
        <v>80</v>
      </c>
      <c r="AB136" s="457">
        <f>AA136/22</f>
        <v>3.6363636363636362</v>
      </c>
      <c r="AC136" s="340"/>
      <c r="AD136" s="451">
        <f>V136</f>
        <v>32</v>
      </c>
      <c r="AE136" s="346"/>
      <c r="AF136" s="453">
        <f t="shared" ref="AF136:AG137" si="44">IF($AG$1=16,R136,IF($AG$1=17,S136,IF($AG$1=18,T136,IF($AG$1=19,U136,IF($AG$1=20,V136,IF($AG$1=21,W136,IF($AG$1=22,X136,0)))))))</f>
        <v>41.166666666666671</v>
      </c>
      <c r="AG136" s="453">
        <f t="shared" si="44"/>
        <v>46.333333333333336</v>
      </c>
      <c r="AI136" s="338"/>
    </row>
    <row r="137" spans="1:35" ht="15" customHeight="1" thickBot="1">
      <c r="A137" s="45"/>
      <c r="B137" s="46" t="s">
        <v>825</v>
      </c>
      <c r="C137" s="52">
        <f>'SLP States AggWorkings'!C137+'ZKY States AggWorkings'!C137</f>
        <v>0</v>
      </c>
      <c r="D137" s="52">
        <f>'SLP States AggWorkings'!D137+'ZKY States AggWorkings'!D137</f>
        <v>0</v>
      </c>
      <c r="E137" s="52">
        <f>'SLP States AggWorkings'!E137+'ZKY States AggWorkings'!E137</f>
        <v>0</v>
      </c>
      <c r="F137" s="52">
        <f>'SLP States AggWorkings'!F137+'ZKY States AggWorkings'!F137</f>
        <v>0</v>
      </c>
      <c r="G137" s="52">
        <f>'SLP States AggWorkings'!G137+'ZKY States AggWorkings'!G137</f>
        <v>0</v>
      </c>
      <c r="H137" s="52">
        <f>'SLP States AggWorkings'!H137+'ZKY States AggWorkings'!H137</f>
        <v>0</v>
      </c>
      <c r="I137" s="52">
        <f>'SLP States AggWorkings'!I137+'ZKY States AggWorkings'!I137</f>
        <v>0</v>
      </c>
      <c r="J137" s="52">
        <f>'SLP States AggWorkings'!J137+'ZKY States AggWorkings'!J137</f>
        <v>0</v>
      </c>
      <c r="K137" s="52">
        <f>'SLP States AggWorkings'!K137+'ZKY States AggWorkings'!K137</f>
        <v>0</v>
      </c>
      <c r="L137" s="52">
        <f>'SLP States AggWorkings'!L137+'ZKY States AggWorkings'!L137</f>
        <v>0</v>
      </c>
      <c r="M137" s="52">
        <f>'SLP States AggWorkings'!M137+'ZKY States AggWorkings'!M137</f>
        <v>0</v>
      </c>
      <c r="N137" s="52">
        <f>'SLP States AggWorkings'!N137+'ZKY States AggWorkings'!N137</f>
        <v>0</v>
      </c>
      <c r="O137" s="52">
        <f>'SLP States AggWorkings'!O137+'ZKY States AggWorkings'!O137</f>
        <v>0</v>
      </c>
      <c r="P137" s="52">
        <f>'SLP States AggWorkings'!P137+'ZKY States AggWorkings'!P137</f>
        <v>0</v>
      </c>
      <c r="Q137" s="52">
        <f>'SLP States AggWorkings'!Q137+'ZKY States AggWorkings'!Q137</f>
        <v>0</v>
      </c>
      <c r="R137" s="52">
        <f>'SLP States AggWorkings'!R137+'ZKY States AggWorkings'!R137</f>
        <v>22</v>
      </c>
      <c r="S137" s="442">
        <f>'SLP States AggWorkings'!S137+'ZKY States AggWorkings'!S137</f>
        <v>25</v>
      </c>
      <c r="T137" s="442">
        <f>'SLP States AggWorkings'!T137+'ZKY States AggWorkings'!T137</f>
        <v>33</v>
      </c>
      <c r="U137" s="442">
        <f>'SLP States AggWorkings'!U137+'ZKY States AggWorkings'!U137</f>
        <v>35</v>
      </c>
      <c r="V137" s="445">
        <f>'SLP States AggWorkings'!V137+'ZKY States AggWorkings'!V137</f>
        <v>37</v>
      </c>
      <c r="W137" s="72">
        <f>'SLP States AggWorkings'!W137+'ZKY States AggWorkings'!W137+'A&amp;N States AggWorkings'!W137</f>
        <v>52</v>
      </c>
      <c r="X137" s="70">
        <f>'SLP States AggWorkings'!X137+'ZKY States AggWorkings'!X137+'A&amp;N States AggWorkings'!X137</f>
        <v>58</v>
      </c>
      <c r="Y137" s="70">
        <f>'SLP States AggWorkings'!Y137+'ZKY States AggWorkings'!Y137+'A&amp;N States AggWorkings'!Y137</f>
        <v>0</v>
      </c>
      <c r="Z137" s="70">
        <f>'SLP States AggWorkings'!Z137+'ZKY States AggWorkings'!Z137+'A&amp;N States AggWorkings'!Z137</f>
        <v>0</v>
      </c>
      <c r="AA137" s="49"/>
      <c r="AB137" s="421"/>
      <c r="AC137" s="340"/>
      <c r="AD137" s="452">
        <f>V137</f>
        <v>37</v>
      </c>
      <c r="AE137" s="346"/>
      <c r="AF137" s="452">
        <f t="shared" si="44"/>
        <v>52</v>
      </c>
      <c r="AG137" s="452">
        <f t="shared" si="44"/>
        <v>58</v>
      </c>
      <c r="AH137" s="342">
        <f>AG137</f>
        <v>58</v>
      </c>
      <c r="AI137" s="342">
        <f>AG137</f>
        <v>58</v>
      </c>
    </row>
    <row r="138" spans="1:35" ht="15" customHeight="1">
      <c r="R138" s="455"/>
      <c r="S138" s="53"/>
      <c r="T138" s="53"/>
      <c r="U138" s="53"/>
      <c r="V138" s="53"/>
      <c r="W138" s="53"/>
      <c r="X138" s="53"/>
      <c r="Y138" s="53"/>
      <c r="Z138" s="53"/>
      <c r="AB138" s="420"/>
      <c r="AC138" s="340"/>
      <c r="AD138" s="345"/>
      <c r="AE138" s="346"/>
      <c r="AF138" s="454"/>
      <c r="AG138" s="454"/>
      <c r="AI138" s="338"/>
    </row>
    <row r="139" spans="1:35" ht="15" customHeight="1" thickBot="1">
      <c r="A139" s="41" t="s">
        <v>704</v>
      </c>
      <c r="B139" s="42" t="s">
        <v>826</v>
      </c>
      <c r="C139" s="52">
        <f>'SLP States AggWorkings'!C139+'ZKY States AggWorkings'!C139</f>
        <v>0</v>
      </c>
      <c r="D139" s="52">
        <f>'SLP States AggWorkings'!D139+'ZKY States AggWorkings'!D139</f>
        <v>0</v>
      </c>
      <c r="E139" s="52">
        <f>'SLP States AggWorkings'!E139+'ZKY States AggWorkings'!E139</f>
        <v>0</v>
      </c>
      <c r="F139" s="52">
        <f>'SLP States AggWorkings'!F139+'ZKY States AggWorkings'!F139</f>
        <v>0</v>
      </c>
      <c r="G139" s="52">
        <f>'SLP States AggWorkings'!G139+'ZKY States AggWorkings'!G139</f>
        <v>0</v>
      </c>
      <c r="H139" s="52">
        <f>'SLP States AggWorkings'!H139+'ZKY States AggWorkings'!H139</f>
        <v>0</v>
      </c>
      <c r="I139" s="52">
        <f>'SLP States AggWorkings'!I139+'ZKY States AggWorkings'!I139</f>
        <v>0</v>
      </c>
      <c r="J139" s="52">
        <f>'SLP States AggWorkings'!J139+'ZKY States AggWorkings'!J139</f>
        <v>0</v>
      </c>
      <c r="K139" s="52">
        <f>'SLP States AggWorkings'!K139+'ZKY States AggWorkings'!K139</f>
        <v>0</v>
      </c>
      <c r="L139" s="52">
        <f>'SLP States AggWorkings'!L139+'ZKY States AggWorkings'!L139</f>
        <v>0</v>
      </c>
      <c r="M139" s="52">
        <f>'SLP States AggWorkings'!M139+'ZKY States AggWorkings'!M139</f>
        <v>0</v>
      </c>
      <c r="N139" s="52">
        <f>'SLP States AggWorkings'!N139+'ZKY States AggWorkings'!N139</f>
        <v>0</v>
      </c>
      <c r="O139" s="52">
        <f>'SLP States AggWorkings'!O139+'ZKY States AggWorkings'!O139</f>
        <v>0</v>
      </c>
      <c r="P139" s="52">
        <f>'SLP States AggWorkings'!P139+'ZKY States AggWorkings'!P139</f>
        <v>0</v>
      </c>
      <c r="Q139" s="52">
        <f>'SLP States AggWorkings'!Q139+'ZKY States AggWorkings'!Q139</f>
        <v>0</v>
      </c>
      <c r="R139" s="50">
        <f>'SLP States AggWorkings'!R139+'ZKY States AggWorkings'!R139</f>
        <v>14</v>
      </c>
      <c r="S139" s="51">
        <f>'SLP States AggWorkings'!S139+'ZKY States AggWorkings'!S139</f>
        <v>15.999999999999998</v>
      </c>
      <c r="T139" s="51">
        <f>'SLP States AggWorkings'!T139+'ZKY States AggWorkings'!T139</f>
        <v>18</v>
      </c>
      <c r="U139" s="51">
        <f>'SLP States AggWorkings'!U139+'ZKY States AggWorkings'!U139</f>
        <v>20</v>
      </c>
      <c r="V139" s="51">
        <f>'SLP States AggWorkings'!V139+'ZKY States AggWorkings'!V139</f>
        <v>21.999999999999996</v>
      </c>
      <c r="W139" s="51">
        <f>'SLP States AggWorkings'!W139+'ZKY States AggWorkings'!W139+'A&amp;N States AggWorkings'!W139</f>
        <v>26.333333333333332</v>
      </c>
      <c r="X139" s="51">
        <f>'SLP States AggWorkings'!X139+'ZKY States AggWorkings'!X139+'A&amp;N States AggWorkings'!X139</f>
        <v>29.333333333333332</v>
      </c>
      <c r="Y139" s="50">
        <f>'SLP States AggWorkings'!Y139+'ZKY States AggWorkings'!Y139+'A&amp;N States AggWorkings'!Y139</f>
        <v>30</v>
      </c>
      <c r="Z139" s="51">
        <f>'SLP States AggWorkings'!Z139+'ZKY States AggWorkings'!Z139+'A&amp;N States AggWorkings'!Z139</f>
        <v>30</v>
      </c>
      <c r="AA139" s="38">
        <f>'SLP States AggWorkings'!AA139+'ZKY States AggWorkings'!AA139</f>
        <v>80</v>
      </c>
      <c r="AB139" s="457">
        <f>AA139/22</f>
        <v>3.6363636363636362</v>
      </c>
      <c r="AC139" s="340"/>
      <c r="AD139" s="451">
        <f>V139</f>
        <v>21.999999999999996</v>
      </c>
      <c r="AE139" s="346"/>
      <c r="AF139" s="453">
        <f t="shared" ref="AF139:AG140" si="45">IF($AG$1=16,R139,IF($AG$1=17,S139,IF($AG$1=18,T139,IF($AG$1=19,U139,IF($AG$1=20,V139,IF($AG$1=21,W139,IF($AG$1=22,X139,0)))))))</f>
        <v>26.333333333333332</v>
      </c>
      <c r="AG139" s="453">
        <f t="shared" si="45"/>
        <v>29.333333333333332</v>
      </c>
      <c r="AI139" s="338"/>
    </row>
    <row r="140" spans="1:35" ht="15" customHeight="1" thickBot="1">
      <c r="A140" s="45"/>
      <c r="B140" s="46" t="s">
        <v>827</v>
      </c>
      <c r="C140" s="52">
        <f>'SLP States AggWorkings'!C140+'ZKY States AggWorkings'!C140</f>
        <v>0</v>
      </c>
      <c r="D140" s="52">
        <f>'SLP States AggWorkings'!D140+'ZKY States AggWorkings'!D140</f>
        <v>0</v>
      </c>
      <c r="E140" s="52">
        <f>'SLP States AggWorkings'!E140+'ZKY States AggWorkings'!E140</f>
        <v>0</v>
      </c>
      <c r="F140" s="52">
        <f>'SLP States AggWorkings'!F140+'ZKY States AggWorkings'!F140</f>
        <v>0</v>
      </c>
      <c r="G140" s="52">
        <f>'SLP States AggWorkings'!G140+'ZKY States AggWorkings'!G140</f>
        <v>0</v>
      </c>
      <c r="H140" s="52">
        <f>'SLP States AggWorkings'!H140+'ZKY States AggWorkings'!H140</f>
        <v>0</v>
      </c>
      <c r="I140" s="52">
        <f>'SLP States AggWorkings'!I140+'ZKY States AggWorkings'!I140</f>
        <v>0</v>
      </c>
      <c r="J140" s="52">
        <f>'SLP States AggWorkings'!J140+'ZKY States AggWorkings'!J140</f>
        <v>0</v>
      </c>
      <c r="K140" s="52">
        <f>'SLP States AggWorkings'!K140+'ZKY States AggWorkings'!K140</f>
        <v>0</v>
      </c>
      <c r="L140" s="52">
        <f>'SLP States AggWorkings'!L140+'ZKY States AggWorkings'!L140</f>
        <v>0</v>
      </c>
      <c r="M140" s="52">
        <f>'SLP States AggWorkings'!M140+'ZKY States AggWorkings'!M140</f>
        <v>0</v>
      </c>
      <c r="N140" s="52">
        <f>'SLP States AggWorkings'!N140+'ZKY States AggWorkings'!N140</f>
        <v>0</v>
      </c>
      <c r="O140" s="52">
        <f>'SLP States AggWorkings'!O140+'ZKY States AggWorkings'!O140</f>
        <v>0</v>
      </c>
      <c r="P140" s="52">
        <f>'SLP States AggWorkings'!P140+'ZKY States AggWorkings'!P140</f>
        <v>0</v>
      </c>
      <c r="Q140" s="52">
        <f>'SLP States AggWorkings'!Q140+'ZKY States AggWorkings'!Q140</f>
        <v>0</v>
      </c>
      <c r="R140" s="52">
        <f>'SLP States AggWorkings'!R140+'ZKY States AggWorkings'!R140</f>
        <v>14</v>
      </c>
      <c r="S140" s="442">
        <f>'SLP States AggWorkings'!S140+'ZKY States AggWorkings'!S140</f>
        <v>14</v>
      </c>
      <c r="T140" s="442">
        <f>'SLP States AggWorkings'!T140+'ZKY States AggWorkings'!T140</f>
        <v>16</v>
      </c>
      <c r="U140" s="442">
        <f>'SLP States AggWorkings'!U140+'ZKY States AggWorkings'!U140</f>
        <v>17</v>
      </c>
      <c r="V140" s="445">
        <f>'SLP States AggWorkings'!V140+'ZKY States AggWorkings'!V140</f>
        <v>27</v>
      </c>
      <c r="W140" s="72">
        <f>'SLP States AggWorkings'!W140+'ZKY States AggWorkings'!W140+'A&amp;N States AggWorkings'!W140</f>
        <v>31</v>
      </c>
      <c r="X140" s="70">
        <f>'SLP States AggWorkings'!X140+'ZKY States AggWorkings'!X140+'A&amp;N States AggWorkings'!X140</f>
        <v>34</v>
      </c>
      <c r="Y140" s="70">
        <f>'SLP States AggWorkings'!Y140+'ZKY States AggWorkings'!Y140+'A&amp;N States AggWorkings'!Y140</f>
        <v>0</v>
      </c>
      <c r="Z140" s="70">
        <f>'SLP States AggWorkings'!Z140+'ZKY States AggWorkings'!Z140+'A&amp;N States AggWorkings'!Z140</f>
        <v>0</v>
      </c>
      <c r="AA140" s="49"/>
      <c r="AB140" s="421"/>
      <c r="AC140" s="340"/>
      <c r="AD140" s="452">
        <f>V140</f>
        <v>27</v>
      </c>
      <c r="AE140" s="346"/>
      <c r="AF140" s="452">
        <f t="shared" si="45"/>
        <v>31</v>
      </c>
      <c r="AG140" s="452">
        <f t="shared" si="45"/>
        <v>34</v>
      </c>
      <c r="AH140" s="342">
        <f>AG140</f>
        <v>34</v>
      </c>
      <c r="AI140" s="342">
        <f>AG140</f>
        <v>34</v>
      </c>
    </row>
    <row r="141" spans="1:35" ht="15" customHeight="1">
      <c r="A141" s="45"/>
      <c r="B141" s="46"/>
      <c r="C141" s="53"/>
      <c r="D141" s="75"/>
      <c r="E141" s="75"/>
      <c r="F141" s="75"/>
      <c r="G141" s="75"/>
      <c r="H141" s="75"/>
      <c r="I141" s="75"/>
      <c r="J141" s="75"/>
      <c r="K141" s="75"/>
      <c r="L141" s="53"/>
      <c r="M141" s="53"/>
      <c r="N141" s="53"/>
      <c r="O141" s="53"/>
      <c r="P141" s="53"/>
      <c r="Q141" s="53"/>
      <c r="R141" s="53"/>
      <c r="S141" s="53"/>
      <c r="T141" s="53"/>
      <c r="U141" s="53"/>
      <c r="V141" s="53"/>
      <c r="W141" s="53"/>
      <c r="X141" s="53"/>
      <c r="Y141" s="53"/>
      <c r="Z141" s="53"/>
      <c r="AA141" s="49"/>
      <c r="AB141" s="421"/>
      <c r="AC141" s="340"/>
      <c r="AD141" s="346"/>
      <c r="AE141" s="346"/>
      <c r="AF141" s="346"/>
      <c r="AG141" s="346"/>
      <c r="AI141" s="338"/>
    </row>
    <row r="142" spans="1:35" ht="15" customHeight="1" thickBot="1">
      <c r="A142" s="41" t="s">
        <v>705</v>
      </c>
      <c r="B142" s="42" t="s">
        <v>828</v>
      </c>
      <c r="C142" s="52">
        <f>'SLP States AggWorkings'!C142+'ZKY States AggWorkings'!C142</f>
        <v>0</v>
      </c>
      <c r="D142" s="52">
        <f>'SLP States AggWorkings'!D142+'ZKY States AggWorkings'!D142</f>
        <v>0</v>
      </c>
      <c r="E142" s="52">
        <f>'SLP States AggWorkings'!E142+'ZKY States AggWorkings'!E142</f>
        <v>0</v>
      </c>
      <c r="F142" s="52">
        <f>'SLP States AggWorkings'!F142+'ZKY States AggWorkings'!F142</f>
        <v>0</v>
      </c>
      <c r="G142" s="52">
        <f>'SLP States AggWorkings'!G142+'ZKY States AggWorkings'!G142</f>
        <v>0</v>
      </c>
      <c r="H142" s="52">
        <f>'SLP States AggWorkings'!H142+'ZKY States AggWorkings'!H142</f>
        <v>0</v>
      </c>
      <c r="I142" s="52">
        <f>'SLP States AggWorkings'!I142+'ZKY States AggWorkings'!I142</f>
        <v>0</v>
      </c>
      <c r="J142" s="52">
        <f>'SLP States AggWorkings'!J142+'ZKY States AggWorkings'!J142</f>
        <v>0</v>
      </c>
      <c r="K142" s="52">
        <f>'SLP States AggWorkings'!K142+'ZKY States AggWorkings'!K142</f>
        <v>0</v>
      </c>
      <c r="L142" s="52">
        <f>'SLP States AggWorkings'!L142+'ZKY States AggWorkings'!L142</f>
        <v>0</v>
      </c>
      <c r="M142" s="52">
        <f>'SLP States AggWorkings'!M142+'ZKY States AggWorkings'!M142</f>
        <v>0</v>
      </c>
      <c r="N142" s="52">
        <f>'SLP States AggWorkings'!N142+'ZKY States AggWorkings'!N142</f>
        <v>0</v>
      </c>
      <c r="O142" s="52">
        <f>'SLP States AggWorkings'!O142+'ZKY States AggWorkings'!O142</f>
        <v>0</v>
      </c>
      <c r="P142" s="52">
        <f>'SLP States AggWorkings'!P142+'ZKY States AggWorkings'!P142</f>
        <v>0</v>
      </c>
      <c r="Q142" s="52">
        <f>'SLP States AggWorkings'!Q142+'ZKY States AggWorkings'!Q142</f>
        <v>0</v>
      </c>
      <c r="R142" s="50">
        <f>'SLP States AggWorkings'!R142+'ZKY States AggWorkings'!R142</f>
        <v>6</v>
      </c>
      <c r="S142" s="51">
        <f>'SLP States AggWorkings'!S142+'ZKY States AggWorkings'!S142</f>
        <v>7.3333333333333339</v>
      </c>
      <c r="T142" s="51">
        <f>'SLP States AggWorkings'!T142+'ZKY States AggWorkings'!T142</f>
        <v>8.6666666666666661</v>
      </c>
      <c r="U142" s="51">
        <f>'SLP States AggWorkings'!U142+'ZKY States AggWorkings'!U142</f>
        <v>10</v>
      </c>
      <c r="V142" s="51">
        <f>'SLP States AggWorkings'!V142+'ZKY States AggWorkings'!V142</f>
        <v>11.333333333333334</v>
      </c>
      <c r="W142" s="51">
        <f>'SLP States AggWorkings'!W142+'ZKY States AggWorkings'!W142+'A&amp;N States AggWorkings'!W142</f>
        <v>13.000000000000002</v>
      </c>
      <c r="X142" s="51">
        <f>'SLP States AggWorkings'!X142+'ZKY States AggWorkings'!X142+'A&amp;N States AggWorkings'!X142</f>
        <v>14.666666666666666</v>
      </c>
      <c r="Y142" s="50">
        <f>'SLP States AggWorkings'!Y142+'ZKY States AggWorkings'!Y142+'A&amp;N States AggWorkings'!Y142</f>
        <v>15</v>
      </c>
      <c r="Z142" s="51">
        <f>'SLP States AggWorkings'!Z142+'ZKY States AggWorkings'!Z142+'A&amp;N States AggWorkings'!Z142</f>
        <v>15</v>
      </c>
      <c r="AA142" s="38">
        <f>'SLP States AggWorkings'!AA142+'ZKY States AggWorkings'!AA142</f>
        <v>40</v>
      </c>
      <c r="AB142" s="457">
        <f>AA142/22</f>
        <v>1.8181818181818181</v>
      </c>
      <c r="AC142" s="340"/>
      <c r="AD142" s="451">
        <f>V142</f>
        <v>11.333333333333334</v>
      </c>
      <c r="AE142" s="346"/>
      <c r="AF142" s="453">
        <f t="shared" ref="AF142:AG143" si="46">IF($AG$1=16,R142,IF($AG$1=17,S142,IF($AG$1=18,T142,IF($AG$1=19,U142,IF($AG$1=20,V142,IF($AG$1=21,W142,IF($AG$1=22,X142,0)))))))</f>
        <v>13.000000000000002</v>
      </c>
      <c r="AG142" s="453">
        <f t="shared" si="46"/>
        <v>14.666666666666666</v>
      </c>
      <c r="AI142" s="338"/>
    </row>
    <row r="143" spans="1:35" ht="15" customHeight="1" thickBot="1">
      <c r="A143" s="45"/>
      <c r="B143" s="46" t="s">
        <v>829</v>
      </c>
      <c r="C143" s="52">
        <f>'SLP States AggWorkings'!C143+'ZKY States AggWorkings'!C143</f>
        <v>0</v>
      </c>
      <c r="D143" s="52">
        <f>'SLP States AggWorkings'!D143+'ZKY States AggWorkings'!D143</f>
        <v>0</v>
      </c>
      <c r="E143" s="52">
        <f>'SLP States AggWorkings'!E143+'ZKY States AggWorkings'!E143</f>
        <v>0</v>
      </c>
      <c r="F143" s="52">
        <f>'SLP States AggWorkings'!F143+'ZKY States AggWorkings'!F143</f>
        <v>0</v>
      </c>
      <c r="G143" s="52">
        <f>'SLP States AggWorkings'!G143+'ZKY States AggWorkings'!G143</f>
        <v>0</v>
      </c>
      <c r="H143" s="52">
        <f>'SLP States AggWorkings'!H143+'ZKY States AggWorkings'!H143</f>
        <v>0</v>
      </c>
      <c r="I143" s="52">
        <f>'SLP States AggWorkings'!I143+'ZKY States AggWorkings'!I143</f>
        <v>0</v>
      </c>
      <c r="J143" s="52">
        <f>'SLP States AggWorkings'!J143+'ZKY States AggWorkings'!J143</f>
        <v>0</v>
      </c>
      <c r="K143" s="52">
        <f>'SLP States AggWorkings'!K143+'ZKY States AggWorkings'!K143</f>
        <v>0</v>
      </c>
      <c r="L143" s="52">
        <f>'SLP States AggWorkings'!L143+'ZKY States AggWorkings'!L143</f>
        <v>0</v>
      </c>
      <c r="M143" s="52">
        <f>'SLP States AggWorkings'!M143+'ZKY States AggWorkings'!M143</f>
        <v>0</v>
      </c>
      <c r="N143" s="52">
        <f>'SLP States AggWorkings'!N143+'ZKY States AggWorkings'!N143</f>
        <v>0</v>
      </c>
      <c r="O143" s="52">
        <f>'SLP States AggWorkings'!O143+'ZKY States AggWorkings'!O143</f>
        <v>0</v>
      </c>
      <c r="P143" s="52">
        <f>'SLP States AggWorkings'!P143+'ZKY States AggWorkings'!P143</f>
        <v>0</v>
      </c>
      <c r="Q143" s="52">
        <f>'SLP States AggWorkings'!Q143+'ZKY States AggWorkings'!Q143</f>
        <v>0</v>
      </c>
      <c r="R143" s="52">
        <f>'SLP States AggWorkings'!R143+'ZKY States AggWorkings'!R143</f>
        <v>6</v>
      </c>
      <c r="S143" s="442">
        <f>'SLP States AggWorkings'!S143+'ZKY States AggWorkings'!S143</f>
        <v>7</v>
      </c>
      <c r="T143" s="442">
        <f>'SLP States AggWorkings'!T143+'ZKY States AggWorkings'!T143</f>
        <v>6</v>
      </c>
      <c r="U143" s="442">
        <f>'SLP States AggWorkings'!U143+'ZKY States AggWorkings'!U143</f>
        <v>6</v>
      </c>
      <c r="V143" s="445">
        <f>'SLP States AggWorkings'!V143+'ZKY States AggWorkings'!V143</f>
        <v>10</v>
      </c>
      <c r="W143" s="72">
        <f>'SLP States AggWorkings'!W143+'ZKY States AggWorkings'!W143+'A&amp;N States AggWorkings'!W143</f>
        <v>11</v>
      </c>
      <c r="X143" s="70">
        <f>'SLP States AggWorkings'!X143+'ZKY States AggWorkings'!X143+'A&amp;N States AggWorkings'!X143</f>
        <v>18</v>
      </c>
      <c r="Y143" s="70">
        <f>'SLP States AggWorkings'!Y143+'ZKY States AggWorkings'!Y143+'A&amp;N States AggWorkings'!Y143</f>
        <v>0</v>
      </c>
      <c r="Z143" s="70">
        <f>'SLP States AggWorkings'!Z143+'ZKY States AggWorkings'!Z143+'A&amp;N States AggWorkings'!Z143</f>
        <v>0</v>
      </c>
      <c r="AA143" s="49"/>
      <c r="AB143" s="421"/>
      <c r="AC143" s="340"/>
      <c r="AD143" s="452">
        <f>V143</f>
        <v>10</v>
      </c>
      <c r="AE143" s="346"/>
      <c r="AF143" s="452">
        <f t="shared" si="46"/>
        <v>11</v>
      </c>
      <c r="AG143" s="452">
        <f t="shared" si="46"/>
        <v>18</v>
      </c>
      <c r="AH143" s="342">
        <f>AG143</f>
        <v>18</v>
      </c>
      <c r="AI143" s="342">
        <f>AG143</f>
        <v>18</v>
      </c>
    </row>
    <row r="144" spans="1:35" ht="15" customHeight="1">
      <c r="A144" s="45"/>
      <c r="B144" s="46"/>
      <c r="C144" s="53"/>
      <c r="D144" s="75"/>
      <c r="E144" s="75"/>
      <c r="F144" s="75"/>
      <c r="G144" s="75"/>
      <c r="H144" s="75"/>
      <c r="I144" s="75"/>
      <c r="J144" s="75"/>
      <c r="K144" s="75"/>
      <c r="L144" s="53"/>
      <c r="M144" s="53"/>
      <c r="N144" s="53"/>
      <c r="O144" s="53"/>
      <c r="P144" s="53"/>
      <c r="Q144" s="53"/>
      <c r="R144" s="53"/>
      <c r="S144" s="53"/>
      <c r="T144" s="53"/>
      <c r="U144" s="53"/>
      <c r="V144" s="53"/>
      <c r="W144" s="53"/>
      <c r="X144" s="53"/>
      <c r="Y144" s="53"/>
      <c r="Z144" s="53"/>
      <c r="AA144" s="49"/>
      <c r="AB144" s="421"/>
      <c r="AC144" s="340"/>
      <c r="AD144" s="345"/>
      <c r="AE144" s="346"/>
      <c r="AF144" s="454"/>
      <c r="AG144" s="454"/>
      <c r="AI144" s="338"/>
    </row>
    <row r="145" spans="1:35" ht="15" customHeight="1" thickBot="1">
      <c r="A145" s="41" t="s">
        <v>706</v>
      </c>
      <c r="B145" s="42" t="s">
        <v>830</v>
      </c>
      <c r="C145" s="52">
        <f>'SLP States AggWorkings'!C145+'ZKY States AggWorkings'!C145</f>
        <v>0</v>
      </c>
      <c r="D145" s="52">
        <f>'SLP States AggWorkings'!D145+'ZKY States AggWorkings'!D145</f>
        <v>0</v>
      </c>
      <c r="E145" s="52">
        <f>'SLP States AggWorkings'!E145+'ZKY States AggWorkings'!E145</f>
        <v>0</v>
      </c>
      <c r="F145" s="52">
        <f>'SLP States AggWorkings'!F145+'ZKY States AggWorkings'!F145</f>
        <v>0</v>
      </c>
      <c r="G145" s="52">
        <f>'SLP States AggWorkings'!G145+'ZKY States AggWorkings'!G145</f>
        <v>0</v>
      </c>
      <c r="H145" s="52">
        <f>'SLP States AggWorkings'!H145+'ZKY States AggWorkings'!H145</f>
        <v>0</v>
      </c>
      <c r="I145" s="52">
        <f>'SLP States AggWorkings'!I145+'ZKY States AggWorkings'!I145</f>
        <v>0</v>
      </c>
      <c r="J145" s="52">
        <f>'SLP States AggWorkings'!J145+'ZKY States AggWorkings'!J145</f>
        <v>0</v>
      </c>
      <c r="K145" s="52">
        <f>'SLP States AggWorkings'!K145+'ZKY States AggWorkings'!K145</f>
        <v>0</v>
      </c>
      <c r="L145" s="52">
        <f>'SLP States AggWorkings'!L145+'ZKY States AggWorkings'!L145</f>
        <v>0</v>
      </c>
      <c r="M145" s="52">
        <f>'SLP States AggWorkings'!M145+'ZKY States AggWorkings'!M145</f>
        <v>0</v>
      </c>
      <c r="N145" s="52">
        <f>'SLP States AggWorkings'!N145+'ZKY States AggWorkings'!N145</f>
        <v>0</v>
      </c>
      <c r="O145" s="52">
        <f>'SLP States AggWorkings'!O145+'ZKY States AggWorkings'!O145</f>
        <v>0</v>
      </c>
      <c r="P145" s="52">
        <f>'SLP States AggWorkings'!P145+'ZKY States AggWorkings'!P145</f>
        <v>0</v>
      </c>
      <c r="Q145" s="52">
        <f>'SLP States AggWorkings'!Q145+'ZKY States AggWorkings'!Q145</f>
        <v>0</v>
      </c>
      <c r="R145" s="50">
        <f>'SLP States AggWorkings'!R145+'ZKY States AggWorkings'!R145</f>
        <v>1</v>
      </c>
      <c r="S145" s="51">
        <f>'SLP States AggWorkings'!S145+'ZKY States AggWorkings'!S145</f>
        <v>1.6666666666666667</v>
      </c>
      <c r="T145" s="51">
        <f>'SLP States AggWorkings'!T145+'ZKY States AggWorkings'!T145</f>
        <v>2.3333333333333335</v>
      </c>
      <c r="U145" s="51">
        <f>'SLP States AggWorkings'!U145+'ZKY States AggWorkings'!U145</f>
        <v>3</v>
      </c>
      <c r="V145" s="51">
        <f>'SLP States AggWorkings'!V145+'ZKY States AggWorkings'!V145</f>
        <v>3.6666666666666665</v>
      </c>
      <c r="W145" s="51">
        <f>'SLP States AggWorkings'!W145+'ZKY States AggWorkings'!W145+'A&amp;N States AggWorkings'!W145</f>
        <v>3.8333333333333335</v>
      </c>
      <c r="X145" s="51">
        <f>'SLP States AggWorkings'!X145+'ZKY States AggWorkings'!X145+'A&amp;N States AggWorkings'!X145</f>
        <v>4.6666666666666661</v>
      </c>
      <c r="Y145" s="50">
        <f>'SLP States AggWorkings'!Y145+'ZKY States AggWorkings'!Y145+'A&amp;N States AggWorkings'!Y145</f>
        <v>5</v>
      </c>
      <c r="Z145" s="51">
        <f>'SLP States AggWorkings'!Z145+'ZKY States AggWorkings'!Z145+'A&amp;N States AggWorkings'!Z145</f>
        <v>5</v>
      </c>
      <c r="AA145" s="38">
        <f>'SLP States AggWorkings'!AA145+'ZKY States AggWorkings'!AA145</f>
        <v>40</v>
      </c>
      <c r="AB145" s="457">
        <f>AA145/22</f>
        <v>1.8181818181818181</v>
      </c>
      <c r="AC145" s="340"/>
      <c r="AD145" s="451">
        <f>V145</f>
        <v>3.6666666666666665</v>
      </c>
      <c r="AE145" s="346"/>
      <c r="AF145" s="453">
        <f t="shared" ref="AF145:AG146" si="47">IF($AG$1=16,R145,IF($AG$1=17,S145,IF($AG$1=18,T145,IF($AG$1=19,U145,IF($AG$1=20,V145,IF($AG$1=21,W145,IF($AG$1=22,X145,0)))))))</f>
        <v>3.8333333333333335</v>
      </c>
      <c r="AG145" s="453">
        <f t="shared" si="47"/>
        <v>4.6666666666666661</v>
      </c>
      <c r="AI145" s="338"/>
    </row>
    <row r="146" spans="1:35" ht="15" customHeight="1" thickBot="1">
      <c r="A146" s="45"/>
      <c r="B146" s="46" t="s">
        <v>831</v>
      </c>
      <c r="C146" s="52">
        <f>'SLP States AggWorkings'!C146+'ZKY States AggWorkings'!C146</f>
        <v>0</v>
      </c>
      <c r="D146" s="52">
        <f>'SLP States AggWorkings'!D146+'ZKY States AggWorkings'!D146</f>
        <v>0</v>
      </c>
      <c r="E146" s="52">
        <f>'SLP States AggWorkings'!E146+'ZKY States AggWorkings'!E146</f>
        <v>0</v>
      </c>
      <c r="F146" s="52">
        <f>'SLP States AggWorkings'!F146+'ZKY States AggWorkings'!F146</f>
        <v>0</v>
      </c>
      <c r="G146" s="52">
        <f>'SLP States AggWorkings'!G146+'ZKY States AggWorkings'!G146</f>
        <v>0</v>
      </c>
      <c r="H146" s="52">
        <f>'SLP States AggWorkings'!H146+'ZKY States AggWorkings'!H146</f>
        <v>0</v>
      </c>
      <c r="I146" s="52">
        <f>'SLP States AggWorkings'!I146+'ZKY States AggWorkings'!I146</f>
        <v>0</v>
      </c>
      <c r="J146" s="52">
        <f>'SLP States AggWorkings'!J146+'ZKY States AggWorkings'!J146</f>
        <v>0</v>
      </c>
      <c r="K146" s="52">
        <f>'SLP States AggWorkings'!K146+'ZKY States AggWorkings'!K146</f>
        <v>0</v>
      </c>
      <c r="L146" s="52">
        <f>'SLP States AggWorkings'!L146+'ZKY States AggWorkings'!L146</f>
        <v>0</v>
      </c>
      <c r="M146" s="52">
        <f>'SLP States AggWorkings'!M146+'ZKY States AggWorkings'!M146</f>
        <v>0</v>
      </c>
      <c r="N146" s="52">
        <f>'SLP States AggWorkings'!N146+'ZKY States AggWorkings'!N146</f>
        <v>0</v>
      </c>
      <c r="O146" s="52">
        <f>'SLP States AggWorkings'!O146+'ZKY States AggWorkings'!O146</f>
        <v>0</v>
      </c>
      <c r="P146" s="52">
        <f>'SLP States AggWorkings'!P146+'ZKY States AggWorkings'!P146</f>
        <v>0</v>
      </c>
      <c r="Q146" s="52">
        <f>'SLP States AggWorkings'!Q146+'ZKY States AggWorkings'!Q146</f>
        <v>0</v>
      </c>
      <c r="R146" s="52">
        <f>'SLP States AggWorkings'!R146+'ZKY States AggWorkings'!R146</f>
        <v>1</v>
      </c>
      <c r="S146" s="442">
        <f>'SLP States AggWorkings'!S146+'ZKY States AggWorkings'!S146</f>
        <v>1</v>
      </c>
      <c r="T146" s="442">
        <f>'SLP States AggWorkings'!T146+'ZKY States AggWorkings'!T146</f>
        <v>2</v>
      </c>
      <c r="U146" s="442">
        <f>'SLP States AggWorkings'!U146+'ZKY States AggWorkings'!U146</f>
        <v>2</v>
      </c>
      <c r="V146" s="445">
        <f>'SLP States AggWorkings'!V146+'ZKY States AggWorkings'!V146</f>
        <v>3</v>
      </c>
      <c r="W146" s="72">
        <f>'SLP States AggWorkings'!W146+'ZKY States AggWorkings'!W146+'A&amp;N States AggWorkings'!W146</f>
        <v>3</v>
      </c>
      <c r="X146" s="70">
        <f>'SLP States AggWorkings'!X146+'ZKY States AggWorkings'!X146+'A&amp;N States AggWorkings'!X146</f>
        <v>7</v>
      </c>
      <c r="Y146" s="70">
        <f>'SLP States AggWorkings'!Y146+'ZKY States AggWorkings'!Y146+'A&amp;N States AggWorkings'!Y146</f>
        <v>0</v>
      </c>
      <c r="Z146" s="70">
        <f>'SLP States AggWorkings'!Z146+'ZKY States AggWorkings'!Z146+'A&amp;N States AggWorkings'!Z146</f>
        <v>0</v>
      </c>
      <c r="AA146" s="49"/>
      <c r="AB146" s="421"/>
      <c r="AC146" s="340"/>
      <c r="AD146" s="452">
        <f>V146</f>
        <v>3</v>
      </c>
      <c r="AE146" s="346"/>
      <c r="AF146" s="452">
        <f t="shared" si="47"/>
        <v>3</v>
      </c>
      <c r="AG146" s="452">
        <f t="shared" si="47"/>
        <v>7</v>
      </c>
      <c r="AH146" s="342">
        <f>AG146</f>
        <v>7</v>
      </c>
      <c r="AI146" s="342">
        <f>AG146</f>
        <v>7</v>
      </c>
    </row>
    <row r="147" spans="1:35" ht="15" customHeight="1">
      <c r="A147" s="45"/>
      <c r="B147" s="46"/>
      <c r="C147" s="53"/>
      <c r="D147" s="75"/>
      <c r="E147" s="75"/>
      <c r="F147" s="75"/>
      <c r="G147" s="75"/>
      <c r="H147" s="75"/>
      <c r="I147" s="75"/>
      <c r="J147" s="75"/>
      <c r="K147" s="75"/>
      <c r="L147" s="53"/>
      <c r="M147" s="53"/>
      <c r="N147" s="53"/>
      <c r="O147" s="53"/>
      <c r="P147" s="53"/>
      <c r="Q147" s="53"/>
      <c r="R147" s="53"/>
      <c r="S147" s="48"/>
      <c r="T147" s="48"/>
      <c r="U147" s="48"/>
      <c r="V147" s="48"/>
      <c r="W147" s="48"/>
      <c r="X147" s="48"/>
      <c r="Y147" s="48"/>
      <c r="Z147" s="48"/>
      <c r="AA147" s="49"/>
      <c r="AB147" s="421"/>
      <c r="AI147" s="338"/>
    </row>
    <row r="148" spans="1:35" ht="15" customHeight="1">
      <c r="A148" s="38"/>
      <c r="AI148" s="338"/>
    </row>
    <row r="149" spans="1:35" ht="15" customHeight="1">
      <c r="C149" s="55" t="s">
        <v>194</v>
      </c>
      <c r="D149" s="431"/>
      <c r="E149" s="432"/>
      <c r="F149" s="433"/>
    </row>
    <row r="150" spans="1:35" ht="15" customHeight="1">
      <c r="C150" s="55" t="s">
        <v>195</v>
      </c>
      <c r="D150" s="434" t="s">
        <v>196</v>
      </c>
      <c r="E150" s="435" t="s">
        <v>153</v>
      </c>
      <c r="F150" s="435" t="s">
        <v>154</v>
      </c>
      <c r="G150" s="435" t="s">
        <v>158</v>
      </c>
      <c r="H150" s="434" t="s">
        <v>197</v>
      </c>
    </row>
    <row r="151" spans="1:35" ht="15" customHeight="1">
      <c r="C151" s="55"/>
      <c r="D151" s="434"/>
      <c r="E151" s="435"/>
      <c r="F151" s="435"/>
      <c r="G151" s="435"/>
      <c r="H151" s="434"/>
    </row>
    <row r="152" spans="1:35" ht="15" customHeight="1"/>
    <row r="153" spans="1:35" ht="15" customHeight="1">
      <c r="A153" s="1356" t="s">
        <v>727</v>
      </c>
      <c r="B153" s="1356"/>
    </row>
    <row r="154" spans="1:35" ht="15" customHeight="1">
      <c r="A154" s="1356"/>
      <c r="B154" s="1356"/>
    </row>
    <row r="155" spans="1:35" ht="15" customHeight="1">
      <c r="A155" s="1356"/>
      <c r="B155" s="1356"/>
    </row>
    <row r="156" spans="1:35" ht="15" customHeight="1">
      <c r="A156" s="1356"/>
      <c r="B156" s="1356"/>
    </row>
    <row r="157" spans="1:35" ht="15" customHeight="1">
      <c r="A157" s="1356"/>
      <c r="B157" s="1356"/>
    </row>
  </sheetData>
  <sheetProtection password="CB23" sheet="1" objects="1" scenarios="1" selectLockedCells="1"/>
  <mergeCells count="7">
    <mergeCell ref="W1:Z1"/>
    <mergeCell ref="S1:V1"/>
    <mergeCell ref="A153:B157"/>
    <mergeCell ref="D1:G1"/>
    <mergeCell ref="H1:K1"/>
    <mergeCell ref="L1:N1"/>
    <mergeCell ref="O1:R1"/>
  </mergeCells>
  <conditionalFormatting sqref="AH5">
    <cfRule type="iconSet" priority="437">
      <iconSet iconSet="5ArrowsGray" showValue="0">
        <cfvo type="percent" val="0"/>
        <cfvo type="formula" val="$AF$5-$AB$4" gte="0"/>
        <cfvo type="formula" val="$AF$5"/>
        <cfvo type="formula" val="$AF$5" gte="0"/>
        <cfvo type="formula" val="$AF$5+$AB$4"/>
      </iconSet>
    </cfRule>
  </conditionalFormatting>
  <conditionalFormatting sqref="AH5">
    <cfRule type="cellIs" dxfId="551" priority="438" stopIfTrue="1" operator="greaterThanOrEqual">
      <formula>AG4</formula>
    </cfRule>
    <cfRule type="cellIs" dxfId="550" priority="440" stopIfTrue="1" operator="lessThan">
      <formula>AG4</formula>
    </cfRule>
  </conditionalFormatting>
  <conditionalFormatting sqref="AH5">
    <cfRule type="cellIs" dxfId="549" priority="439" stopIfTrue="1" operator="lessThan">
      <formula>AD4</formula>
    </cfRule>
  </conditionalFormatting>
  <conditionalFormatting sqref="AI5">
    <cfRule type="iconSet" priority="433">
      <iconSet iconSet="5ArrowsGray" showValue="0">
        <cfvo type="percent" val="0"/>
        <cfvo type="formula" val="$AF$5-$AB$4" gte="0"/>
        <cfvo type="formula" val="$AF$5"/>
        <cfvo type="formula" val="$AF$5" gte="0"/>
        <cfvo type="formula" val="$AF$5+$AB$4"/>
      </iconSet>
    </cfRule>
  </conditionalFormatting>
  <conditionalFormatting sqref="AI5">
    <cfRule type="cellIs" dxfId="548" priority="434" stopIfTrue="1" operator="greaterThanOrEqual">
      <formula>AG4</formula>
    </cfRule>
    <cfRule type="cellIs" dxfId="547" priority="436" stopIfTrue="1" operator="lessThan">
      <formula>AG4</formula>
    </cfRule>
  </conditionalFormatting>
  <conditionalFormatting sqref="AI5">
    <cfRule type="cellIs" dxfId="546" priority="435" stopIfTrue="1" operator="lessThanOrEqual">
      <formula>AD4</formula>
    </cfRule>
  </conditionalFormatting>
  <conditionalFormatting sqref="AH8">
    <cfRule type="iconSet" priority="429">
      <iconSet iconSet="5ArrowsGray" showValue="0">
        <cfvo type="percent" val="0"/>
        <cfvo type="formula" val="$AF$8-$AB$7" gte="0"/>
        <cfvo type="formula" val="$AF$8"/>
        <cfvo type="formula" val="$AF$8" gte="0"/>
        <cfvo type="formula" val="$AF$8+$AB$7"/>
      </iconSet>
    </cfRule>
  </conditionalFormatting>
  <conditionalFormatting sqref="AH8">
    <cfRule type="cellIs" dxfId="545" priority="430" stopIfTrue="1" operator="greaterThanOrEqual">
      <formula>AG7</formula>
    </cfRule>
    <cfRule type="cellIs" dxfId="544" priority="432" stopIfTrue="1" operator="lessThan">
      <formula>AG7</formula>
    </cfRule>
  </conditionalFormatting>
  <conditionalFormatting sqref="AH8">
    <cfRule type="cellIs" dxfId="543" priority="431" stopIfTrue="1" operator="lessThan">
      <formula>AD7</formula>
    </cfRule>
  </conditionalFormatting>
  <conditionalFormatting sqref="AI8">
    <cfRule type="iconSet" priority="425">
      <iconSet iconSet="5ArrowsGray" showValue="0">
        <cfvo type="percent" val="0"/>
        <cfvo type="formula" val="$AF$8-$AB$7" gte="0"/>
        <cfvo type="formula" val="$AF$8"/>
        <cfvo type="formula" val="$AF$8" gte="0"/>
        <cfvo type="formula" val="$AF$8+$AB$7"/>
      </iconSet>
    </cfRule>
  </conditionalFormatting>
  <conditionalFormatting sqref="AI8">
    <cfRule type="cellIs" dxfId="542" priority="426" stopIfTrue="1" operator="greaterThanOrEqual">
      <formula>AG7</formula>
    </cfRule>
    <cfRule type="cellIs" dxfId="541" priority="428" stopIfTrue="1" operator="lessThan">
      <formula>AG7</formula>
    </cfRule>
  </conditionalFormatting>
  <conditionalFormatting sqref="AI8">
    <cfRule type="cellIs" dxfId="540" priority="427" stopIfTrue="1" operator="lessThanOrEqual">
      <formula>AD7</formula>
    </cfRule>
  </conditionalFormatting>
  <conditionalFormatting sqref="AH11">
    <cfRule type="iconSet" priority="421">
      <iconSet iconSet="5ArrowsGray" showValue="0">
        <cfvo type="percent" val="0"/>
        <cfvo type="formula" val="$AF$11-$AB$10" gte="0"/>
        <cfvo type="formula" val="$AF$11"/>
        <cfvo type="formula" val="$AF$11" gte="0"/>
        <cfvo type="formula" val="$AF$11+$AB$10"/>
      </iconSet>
    </cfRule>
  </conditionalFormatting>
  <conditionalFormatting sqref="AH11">
    <cfRule type="cellIs" dxfId="539" priority="422" stopIfTrue="1" operator="greaterThanOrEqual">
      <formula>AG10</formula>
    </cfRule>
    <cfRule type="cellIs" dxfId="538" priority="424" stopIfTrue="1" operator="lessThan">
      <formula>AG10</formula>
    </cfRule>
  </conditionalFormatting>
  <conditionalFormatting sqref="AH11">
    <cfRule type="cellIs" dxfId="537" priority="423" stopIfTrue="1" operator="lessThan">
      <formula>AD10</formula>
    </cfRule>
  </conditionalFormatting>
  <conditionalFormatting sqref="AI11">
    <cfRule type="iconSet" priority="417">
      <iconSet iconSet="5ArrowsGray" showValue="0">
        <cfvo type="percent" val="0"/>
        <cfvo type="formula" val="$AF$11-$AB$10" gte="0"/>
        <cfvo type="formula" val="$AF$11"/>
        <cfvo type="formula" val="$AF$11" gte="0"/>
        <cfvo type="formula" val="$AF$11+$AB$10"/>
      </iconSet>
    </cfRule>
  </conditionalFormatting>
  <conditionalFormatting sqref="AI11">
    <cfRule type="cellIs" dxfId="536" priority="418" stopIfTrue="1" operator="greaterThanOrEqual">
      <formula>AG10</formula>
    </cfRule>
    <cfRule type="cellIs" dxfId="535" priority="420" stopIfTrue="1" operator="lessThan">
      <formula>AG10</formula>
    </cfRule>
  </conditionalFormatting>
  <conditionalFormatting sqref="AI11">
    <cfRule type="cellIs" dxfId="534" priority="419" stopIfTrue="1" operator="lessThanOrEqual">
      <formula>AD10</formula>
    </cfRule>
  </conditionalFormatting>
  <conditionalFormatting sqref="AH14">
    <cfRule type="iconSet" priority="413">
      <iconSet iconSet="5ArrowsGray" showValue="0">
        <cfvo type="percent" val="0"/>
        <cfvo type="formula" val="$AF$14-$AB$13" gte="0"/>
        <cfvo type="formula" val="$AF$14"/>
        <cfvo type="formula" val="$AF$14" gte="0"/>
        <cfvo type="formula" val="$AF$14+$AB$13"/>
      </iconSet>
    </cfRule>
  </conditionalFormatting>
  <conditionalFormatting sqref="AH14">
    <cfRule type="cellIs" dxfId="533" priority="414" stopIfTrue="1" operator="greaterThanOrEqual">
      <formula>AG13</formula>
    </cfRule>
    <cfRule type="cellIs" dxfId="532" priority="416" stopIfTrue="1" operator="lessThan">
      <formula>AG13</formula>
    </cfRule>
  </conditionalFormatting>
  <conditionalFormatting sqref="AH14">
    <cfRule type="cellIs" dxfId="531" priority="415" stopIfTrue="1" operator="lessThan">
      <formula>AD13</formula>
    </cfRule>
  </conditionalFormatting>
  <conditionalFormatting sqref="AI14">
    <cfRule type="iconSet" priority="409">
      <iconSet iconSet="5ArrowsGray" showValue="0">
        <cfvo type="percent" val="0"/>
        <cfvo type="formula" val="$AF$14-$AB$13" gte="0"/>
        <cfvo type="formula" val="$AF$14"/>
        <cfvo type="formula" val="$AF$14" gte="0"/>
        <cfvo type="formula" val="$AF$14+$AB$13"/>
      </iconSet>
    </cfRule>
  </conditionalFormatting>
  <conditionalFormatting sqref="AI14">
    <cfRule type="cellIs" dxfId="530" priority="410" stopIfTrue="1" operator="greaterThanOrEqual">
      <formula>AG13</formula>
    </cfRule>
    <cfRule type="cellIs" dxfId="529" priority="412" stopIfTrue="1" operator="lessThan">
      <formula>AG13</formula>
    </cfRule>
  </conditionalFormatting>
  <conditionalFormatting sqref="AI14">
    <cfRule type="cellIs" dxfId="528" priority="411" stopIfTrue="1" operator="lessThanOrEqual">
      <formula>AD13</formula>
    </cfRule>
  </conditionalFormatting>
  <conditionalFormatting sqref="AH17">
    <cfRule type="iconSet" priority="405">
      <iconSet iconSet="5ArrowsGray" showValue="0">
        <cfvo type="percent" val="0"/>
        <cfvo type="formula" val="$AF$17-$AB$16" gte="0"/>
        <cfvo type="formula" val="$AF$17"/>
        <cfvo type="formula" val="$AF$17" gte="0"/>
        <cfvo type="formula" val="$AF$17+$AB$16"/>
      </iconSet>
    </cfRule>
  </conditionalFormatting>
  <conditionalFormatting sqref="AH17">
    <cfRule type="cellIs" dxfId="527" priority="406" stopIfTrue="1" operator="greaterThanOrEqual">
      <formula>AG16</formula>
    </cfRule>
    <cfRule type="cellIs" dxfId="526" priority="408" stopIfTrue="1" operator="lessThan">
      <formula>AG16</formula>
    </cfRule>
  </conditionalFormatting>
  <conditionalFormatting sqref="AH17">
    <cfRule type="cellIs" dxfId="525" priority="407" stopIfTrue="1" operator="lessThan">
      <formula>AD16</formula>
    </cfRule>
  </conditionalFormatting>
  <conditionalFormatting sqref="AI17">
    <cfRule type="iconSet" priority="401">
      <iconSet iconSet="5ArrowsGray" showValue="0">
        <cfvo type="percent" val="0"/>
        <cfvo type="formula" val="$AF$17-$AB$16" gte="0"/>
        <cfvo type="formula" val="$AF$17"/>
        <cfvo type="formula" val="$AF$17" gte="0"/>
        <cfvo type="formula" val="$AF$17+$AB$16"/>
      </iconSet>
    </cfRule>
  </conditionalFormatting>
  <conditionalFormatting sqref="AI17">
    <cfRule type="cellIs" dxfId="524" priority="402" stopIfTrue="1" operator="greaterThanOrEqual">
      <formula>AG16</formula>
    </cfRule>
    <cfRule type="cellIs" dxfId="523" priority="404" stopIfTrue="1" operator="lessThan">
      <formula>AG16</formula>
    </cfRule>
  </conditionalFormatting>
  <conditionalFormatting sqref="AI17">
    <cfRule type="cellIs" dxfId="522" priority="403" stopIfTrue="1" operator="lessThanOrEqual">
      <formula>AD16</formula>
    </cfRule>
  </conditionalFormatting>
  <conditionalFormatting sqref="AH20">
    <cfRule type="iconSet" priority="397">
      <iconSet iconSet="5ArrowsGray" showValue="0">
        <cfvo type="percent" val="0"/>
        <cfvo type="formula" val="$AF$20-$AB$19" gte="0"/>
        <cfvo type="formula" val="$AF$20"/>
        <cfvo type="formula" val="$AF$20" gte="0"/>
        <cfvo type="formula" val="$AF$20+$AB$19"/>
      </iconSet>
    </cfRule>
  </conditionalFormatting>
  <conditionalFormatting sqref="AH20">
    <cfRule type="cellIs" dxfId="521" priority="398" stopIfTrue="1" operator="greaterThanOrEqual">
      <formula>AG19</formula>
    </cfRule>
    <cfRule type="cellIs" dxfId="520" priority="400" stopIfTrue="1" operator="lessThan">
      <formula>AG19</formula>
    </cfRule>
  </conditionalFormatting>
  <conditionalFormatting sqref="AH20">
    <cfRule type="cellIs" dxfId="519" priority="399" stopIfTrue="1" operator="lessThan">
      <formula>AD19</formula>
    </cfRule>
  </conditionalFormatting>
  <conditionalFormatting sqref="AI20">
    <cfRule type="iconSet" priority="393">
      <iconSet iconSet="5ArrowsGray" showValue="0">
        <cfvo type="percent" val="0"/>
        <cfvo type="formula" val="$AF$20-$AB$19" gte="0"/>
        <cfvo type="formula" val="$AF$20"/>
        <cfvo type="formula" val="$AF$20" gte="0"/>
        <cfvo type="formula" val="$AF$20+$AB$19"/>
      </iconSet>
    </cfRule>
  </conditionalFormatting>
  <conditionalFormatting sqref="AI20">
    <cfRule type="cellIs" dxfId="518" priority="394" stopIfTrue="1" operator="greaterThanOrEqual">
      <formula>AG19</formula>
    </cfRule>
    <cfRule type="cellIs" dxfId="517" priority="396" stopIfTrue="1" operator="lessThan">
      <formula>AG19</formula>
    </cfRule>
  </conditionalFormatting>
  <conditionalFormatting sqref="AI20">
    <cfRule type="cellIs" dxfId="516" priority="395" stopIfTrue="1" operator="lessThanOrEqual">
      <formula>AD19</formula>
    </cfRule>
  </conditionalFormatting>
  <conditionalFormatting sqref="AH23">
    <cfRule type="iconSet" priority="389">
      <iconSet iconSet="5ArrowsGray" showValue="0">
        <cfvo type="percent" val="0"/>
        <cfvo type="formula" val="$AF$23-$AB$22" gte="0"/>
        <cfvo type="formula" val="$AF$23"/>
        <cfvo type="formula" val="$AF$23" gte="0"/>
        <cfvo type="formula" val="$AF$23+$AB$22"/>
      </iconSet>
    </cfRule>
  </conditionalFormatting>
  <conditionalFormatting sqref="AH23">
    <cfRule type="cellIs" dxfId="515" priority="390" stopIfTrue="1" operator="greaterThanOrEqual">
      <formula>AG22</formula>
    </cfRule>
    <cfRule type="cellIs" dxfId="514" priority="392" stopIfTrue="1" operator="lessThan">
      <formula>AG22</formula>
    </cfRule>
  </conditionalFormatting>
  <conditionalFormatting sqref="AH23">
    <cfRule type="cellIs" dxfId="513" priority="391" stopIfTrue="1" operator="lessThan">
      <formula>AD22</formula>
    </cfRule>
  </conditionalFormatting>
  <conditionalFormatting sqref="AI23">
    <cfRule type="iconSet" priority="385">
      <iconSet iconSet="5ArrowsGray" showValue="0">
        <cfvo type="percent" val="0"/>
        <cfvo type="formula" val="$AF$23-$AB$22" gte="0"/>
        <cfvo type="formula" val="$AF$23"/>
        <cfvo type="formula" val="$AF$23" gte="0"/>
        <cfvo type="formula" val="$AF$23+$AB$22"/>
      </iconSet>
    </cfRule>
  </conditionalFormatting>
  <conditionalFormatting sqref="AI23">
    <cfRule type="cellIs" dxfId="512" priority="386" stopIfTrue="1" operator="greaterThanOrEqual">
      <formula>AG22</formula>
    </cfRule>
    <cfRule type="cellIs" dxfId="511" priority="388" stopIfTrue="1" operator="lessThan">
      <formula>AG22</formula>
    </cfRule>
  </conditionalFormatting>
  <conditionalFormatting sqref="AI23">
    <cfRule type="cellIs" dxfId="510" priority="387" stopIfTrue="1" operator="lessThanOrEqual">
      <formula>AD22</formula>
    </cfRule>
  </conditionalFormatting>
  <conditionalFormatting sqref="AH26">
    <cfRule type="iconSet" priority="381">
      <iconSet iconSet="5ArrowsGray" showValue="0">
        <cfvo type="percent" val="0"/>
        <cfvo type="formula" val="$AF$26-$AB$25" gte="0"/>
        <cfvo type="formula" val="$AF$26"/>
        <cfvo type="formula" val="$AF$26" gte="0"/>
        <cfvo type="formula" val="$AF$26+$AB$25"/>
      </iconSet>
    </cfRule>
  </conditionalFormatting>
  <conditionalFormatting sqref="AH26">
    <cfRule type="cellIs" dxfId="509" priority="382" stopIfTrue="1" operator="greaterThanOrEqual">
      <formula>AG25</formula>
    </cfRule>
    <cfRule type="cellIs" dxfId="508" priority="384" stopIfTrue="1" operator="lessThan">
      <formula>AG25</formula>
    </cfRule>
  </conditionalFormatting>
  <conditionalFormatting sqref="AH26">
    <cfRule type="cellIs" dxfId="507" priority="383" stopIfTrue="1" operator="lessThan">
      <formula>AD25</formula>
    </cfRule>
  </conditionalFormatting>
  <conditionalFormatting sqref="AI26">
    <cfRule type="iconSet" priority="377">
      <iconSet iconSet="5ArrowsGray" showValue="0">
        <cfvo type="percent" val="0"/>
        <cfvo type="formula" val="$AF$26-$AB$25" gte="0"/>
        <cfvo type="formula" val="$AF$26"/>
        <cfvo type="formula" val="$AF$26" gte="0"/>
        <cfvo type="formula" val="$AF$26+$AB$25"/>
      </iconSet>
    </cfRule>
  </conditionalFormatting>
  <conditionalFormatting sqref="AI26">
    <cfRule type="cellIs" dxfId="506" priority="378" stopIfTrue="1" operator="greaterThanOrEqual">
      <formula>AG25</formula>
    </cfRule>
    <cfRule type="cellIs" dxfId="505" priority="380" stopIfTrue="1" operator="lessThan">
      <formula>AG25</formula>
    </cfRule>
  </conditionalFormatting>
  <conditionalFormatting sqref="AI26">
    <cfRule type="cellIs" dxfId="504" priority="379" stopIfTrue="1" operator="lessThanOrEqual">
      <formula>AD25</formula>
    </cfRule>
  </conditionalFormatting>
  <conditionalFormatting sqref="AH29">
    <cfRule type="iconSet" priority="373">
      <iconSet iconSet="5ArrowsGray" showValue="0">
        <cfvo type="percent" val="0"/>
        <cfvo type="formula" val="$AF$29-$AB$28" gte="0"/>
        <cfvo type="formula" val="$AF$29"/>
        <cfvo type="formula" val="$AF$29" gte="0"/>
        <cfvo type="formula" val="$AF$29+$AB$28"/>
      </iconSet>
    </cfRule>
  </conditionalFormatting>
  <conditionalFormatting sqref="AH29">
    <cfRule type="cellIs" dxfId="503" priority="374" stopIfTrue="1" operator="greaterThanOrEqual">
      <formula>AG28</formula>
    </cfRule>
    <cfRule type="cellIs" dxfId="502" priority="376" stopIfTrue="1" operator="lessThan">
      <formula>AG28</formula>
    </cfRule>
  </conditionalFormatting>
  <conditionalFormatting sqref="AH29">
    <cfRule type="cellIs" dxfId="501" priority="375" stopIfTrue="1" operator="lessThan">
      <formula>AD28</formula>
    </cfRule>
  </conditionalFormatting>
  <conditionalFormatting sqref="AI29">
    <cfRule type="iconSet" priority="369">
      <iconSet iconSet="5ArrowsGray" showValue="0">
        <cfvo type="percent" val="0"/>
        <cfvo type="formula" val="$AF$29-$AB$28" gte="0"/>
        <cfvo type="formula" val="$AF$29"/>
        <cfvo type="formula" val="$AF$29" gte="0"/>
        <cfvo type="formula" val="$AF$29+$AB$28"/>
      </iconSet>
    </cfRule>
  </conditionalFormatting>
  <conditionalFormatting sqref="AI29">
    <cfRule type="cellIs" dxfId="500" priority="370" stopIfTrue="1" operator="greaterThanOrEqual">
      <formula>AG28</formula>
    </cfRule>
    <cfRule type="cellIs" dxfId="499" priority="372" stopIfTrue="1" operator="lessThan">
      <formula>AG28</formula>
    </cfRule>
  </conditionalFormatting>
  <conditionalFormatting sqref="AI29">
    <cfRule type="cellIs" dxfId="498" priority="371" stopIfTrue="1" operator="lessThanOrEqual">
      <formula>AD28</formula>
    </cfRule>
  </conditionalFormatting>
  <conditionalFormatting sqref="AH32">
    <cfRule type="iconSet" priority="365">
      <iconSet iconSet="5ArrowsGray" showValue="0">
        <cfvo type="percent" val="0"/>
        <cfvo type="formula" val="$AF$32-$AB$31" gte="0"/>
        <cfvo type="formula" val="$AF$32"/>
        <cfvo type="formula" val="$AF$32" gte="0"/>
        <cfvo type="formula" val="$AF$32+$AB$31"/>
      </iconSet>
    </cfRule>
  </conditionalFormatting>
  <conditionalFormatting sqref="AH32">
    <cfRule type="cellIs" dxfId="497" priority="366" stopIfTrue="1" operator="greaterThanOrEqual">
      <formula>AG31</formula>
    </cfRule>
    <cfRule type="cellIs" dxfId="496" priority="368" stopIfTrue="1" operator="lessThan">
      <formula>AG31</formula>
    </cfRule>
  </conditionalFormatting>
  <conditionalFormatting sqref="AH32">
    <cfRule type="cellIs" dxfId="495" priority="367" stopIfTrue="1" operator="lessThan">
      <formula>AD31</formula>
    </cfRule>
  </conditionalFormatting>
  <conditionalFormatting sqref="AI32">
    <cfRule type="iconSet" priority="361">
      <iconSet iconSet="5ArrowsGray" showValue="0">
        <cfvo type="percent" val="0"/>
        <cfvo type="formula" val="$AF$32-$AB$31" gte="0"/>
        <cfvo type="formula" val="$AF$32"/>
        <cfvo type="formula" val="$AF$32" gte="0"/>
        <cfvo type="formula" val="$AF$32+$AB$31"/>
      </iconSet>
    </cfRule>
  </conditionalFormatting>
  <conditionalFormatting sqref="AI32">
    <cfRule type="cellIs" dxfId="494" priority="362" stopIfTrue="1" operator="greaterThanOrEqual">
      <formula>AG31</formula>
    </cfRule>
    <cfRule type="cellIs" dxfId="493" priority="364" stopIfTrue="1" operator="lessThan">
      <formula>AG31</formula>
    </cfRule>
  </conditionalFormatting>
  <conditionalFormatting sqref="AI32">
    <cfRule type="cellIs" dxfId="492" priority="363" stopIfTrue="1" operator="lessThanOrEqual">
      <formula>AD31</formula>
    </cfRule>
  </conditionalFormatting>
  <conditionalFormatting sqref="AH35">
    <cfRule type="iconSet" priority="357">
      <iconSet iconSet="5ArrowsGray" showValue="0">
        <cfvo type="percent" val="0"/>
        <cfvo type="formula" val="$AF$35-$AB$34" gte="0"/>
        <cfvo type="formula" val="$AF$35"/>
        <cfvo type="formula" val="$AF$35" gte="0"/>
        <cfvo type="formula" val="$AF$35+$AB$34"/>
      </iconSet>
    </cfRule>
  </conditionalFormatting>
  <conditionalFormatting sqref="AH35">
    <cfRule type="cellIs" dxfId="491" priority="358" stopIfTrue="1" operator="greaterThanOrEqual">
      <formula>AG34</formula>
    </cfRule>
    <cfRule type="cellIs" dxfId="490" priority="360" stopIfTrue="1" operator="lessThan">
      <formula>AG34</formula>
    </cfRule>
  </conditionalFormatting>
  <conditionalFormatting sqref="AH35">
    <cfRule type="cellIs" dxfId="489" priority="359" stopIfTrue="1" operator="lessThan">
      <formula>AD34</formula>
    </cfRule>
  </conditionalFormatting>
  <conditionalFormatting sqref="AI35">
    <cfRule type="iconSet" priority="353">
      <iconSet iconSet="5ArrowsGray" showValue="0">
        <cfvo type="percent" val="0"/>
        <cfvo type="formula" val="$AF$35-$AB$34" gte="0"/>
        <cfvo type="formula" val="$AF$35"/>
        <cfvo type="formula" val="$AF$35" gte="0"/>
        <cfvo type="formula" val="$AF$35+$AB$34"/>
      </iconSet>
    </cfRule>
  </conditionalFormatting>
  <conditionalFormatting sqref="AI35">
    <cfRule type="cellIs" dxfId="488" priority="354" stopIfTrue="1" operator="greaterThanOrEqual">
      <formula>AG34</formula>
    </cfRule>
    <cfRule type="cellIs" dxfId="487" priority="356" stopIfTrue="1" operator="lessThan">
      <formula>AG34</formula>
    </cfRule>
  </conditionalFormatting>
  <conditionalFormatting sqref="AI35">
    <cfRule type="cellIs" dxfId="486" priority="355" stopIfTrue="1" operator="lessThanOrEqual">
      <formula>AD34</formula>
    </cfRule>
  </conditionalFormatting>
  <conditionalFormatting sqref="AH38">
    <cfRule type="iconSet" priority="349">
      <iconSet iconSet="5ArrowsGray" showValue="0">
        <cfvo type="percent" val="0"/>
        <cfvo type="formula" val="$AF$38-$AB$37" gte="0"/>
        <cfvo type="formula" val="$AF$37"/>
        <cfvo type="formula" val="$AF$38" gte="0"/>
        <cfvo type="formula" val="$AF$38+$AB$37"/>
      </iconSet>
    </cfRule>
  </conditionalFormatting>
  <conditionalFormatting sqref="AH38">
    <cfRule type="cellIs" dxfId="485" priority="350" stopIfTrue="1" operator="greaterThanOrEqual">
      <formula>AG37</formula>
    </cfRule>
    <cfRule type="cellIs" dxfId="484" priority="352" stopIfTrue="1" operator="lessThan">
      <formula>AG37</formula>
    </cfRule>
  </conditionalFormatting>
  <conditionalFormatting sqref="AH38">
    <cfRule type="cellIs" dxfId="483" priority="351" stopIfTrue="1" operator="lessThan">
      <formula>AD37</formula>
    </cfRule>
  </conditionalFormatting>
  <conditionalFormatting sqref="AI38">
    <cfRule type="iconSet" priority="345">
      <iconSet iconSet="5ArrowsGray" showValue="0">
        <cfvo type="percent" val="0"/>
        <cfvo type="formula" val="$AF$38-$AB$37" gte="0"/>
        <cfvo type="formula" val="$AF$38"/>
        <cfvo type="formula" val="$AF$38" gte="0"/>
        <cfvo type="formula" val="$AF$38+$AB$37"/>
      </iconSet>
    </cfRule>
  </conditionalFormatting>
  <conditionalFormatting sqref="AI38">
    <cfRule type="cellIs" dxfId="482" priority="346" stopIfTrue="1" operator="greaterThanOrEqual">
      <formula>AG37</formula>
    </cfRule>
    <cfRule type="cellIs" dxfId="481" priority="348" stopIfTrue="1" operator="lessThan">
      <formula>AG37</formula>
    </cfRule>
  </conditionalFormatting>
  <conditionalFormatting sqref="AI38">
    <cfRule type="cellIs" dxfId="480" priority="347" stopIfTrue="1" operator="lessThanOrEqual">
      <formula>AD37</formula>
    </cfRule>
  </conditionalFormatting>
  <conditionalFormatting sqref="AH41">
    <cfRule type="iconSet" priority="341">
      <iconSet iconSet="5ArrowsGray" showValue="0">
        <cfvo type="percent" val="0"/>
        <cfvo type="formula" val="$AF$41-$AB$40" gte="0"/>
        <cfvo type="formula" val="$AF$41"/>
        <cfvo type="formula" val="$AF$41" gte="0"/>
        <cfvo type="formula" val="$AF$41+$AB$40"/>
      </iconSet>
    </cfRule>
  </conditionalFormatting>
  <conditionalFormatting sqref="AH41">
    <cfRule type="cellIs" dxfId="479" priority="342" stopIfTrue="1" operator="greaterThanOrEqual">
      <formula>AG40</formula>
    </cfRule>
    <cfRule type="cellIs" dxfId="478" priority="344" stopIfTrue="1" operator="lessThan">
      <formula>AG40</formula>
    </cfRule>
  </conditionalFormatting>
  <conditionalFormatting sqref="AH41">
    <cfRule type="cellIs" dxfId="477" priority="343" stopIfTrue="1" operator="lessThan">
      <formula>AD40</formula>
    </cfRule>
  </conditionalFormatting>
  <conditionalFormatting sqref="AI41">
    <cfRule type="iconSet" priority="337">
      <iconSet iconSet="5ArrowsGray" showValue="0">
        <cfvo type="percent" val="0"/>
        <cfvo type="formula" val="$AF$41-$AB$40" gte="0"/>
        <cfvo type="formula" val="$AF$41"/>
        <cfvo type="formula" val="$AF$41" gte="0"/>
        <cfvo type="formula" val="$AF$41+$AB$40"/>
      </iconSet>
    </cfRule>
  </conditionalFormatting>
  <conditionalFormatting sqref="AI41">
    <cfRule type="cellIs" dxfId="476" priority="338" stopIfTrue="1" operator="greaterThanOrEqual">
      <formula>AG40</formula>
    </cfRule>
    <cfRule type="cellIs" dxfId="475" priority="340" stopIfTrue="1" operator="lessThan">
      <formula>AG40</formula>
    </cfRule>
  </conditionalFormatting>
  <conditionalFormatting sqref="AI41">
    <cfRule type="cellIs" dxfId="474" priority="339" stopIfTrue="1" operator="lessThanOrEqual">
      <formula>AD40</formula>
    </cfRule>
  </conditionalFormatting>
  <conditionalFormatting sqref="AH44">
    <cfRule type="iconSet" priority="333">
      <iconSet iconSet="5ArrowsGray" showValue="0">
        <cfvo type="percent" val="0"/>
        <cfvo type="formula" val="$AF$44-$AB$43" gte="0"/>
        <cfvo type="formula" val="$AF$44"/>
        <cfvo type="formula" val="$AF$44" gte="0"/>
        <cfvo type="formula" val="$AF$44+$AB$43"/>
      </iconSet>
    </cfRule>
  </conditionalFormatting>
  <conditionalFormatting sqref="AH44">
    <cfRule type="cellIs" dxfId="473" priority="334" stopIfTrue="1" operator="greaterThanOrEqual">
      <formula>AG43</formula>
    </cfRule>
    <cfRule type="cellIs" dxfId="472" priority="336" stopIfTrue="1" operator="lessThan">
      <formula>AG43</formula>
    </cfRule>
  </conditionalFormatting>
  <conditionalFormatting sqref="AH44">
    <cfRule type="cellIs" dxfId="471" priority="335" stopIfTrue="1" operator="lessThan">
      <formula>AD43</formula>
    </cfRule>
  </conditionalFormatting>
  <conditionalFormatting sqref="AI44">
    <cfRule type="iconSet" priority="329">
      <iconSet iconSet="5ArrowsGray" showValue="0">
        <cfvo type="percent" val="0"/>
        <cfvo type="formula" val="$AF$44-$AB$43" gte="0"/>
        <cfvo type="formula" val="$AF$44"/>
        <cfvo type="formula" val="$AF$44" gte="0"/>
        <cfvo type="formula" val="$AF$44+$AB$43"/>
      </iconSet>
    </cfRule>
  </conditionalFormatting>
  <conditionalFormatting sqref="AI44">
    <cfRule type="cellIs" dxfId="470" priority="330" stopIfTrue="1" operator="greaterThanOrEqual">
      <formula>AG43</formula>
    </cfRule>
    <cfRule type="cellIs" dxfId="469" priority="332" stopIfTrue="1" operator="lessThan">
      <formula>AG43</formula>
    </cfRule>
  </conditionalFormatting>
  <conditionalFormatting sqref="AI44">
    <cfRule type="cellIs" dxfId="468" priority="331" stopIfTrue="1" operator="lessThanOrEqual">
      <formula>AD43</formula>
    </cfRule>
  </conditionalFormatting>
  <conditionalFormatting sqref="AH47">
    <cfRule type="iconSet" priority="325">
      <iconSet iconSet="5ArrowsGray" showValue="0">
        <cfvo type="percent" val="0"/>
        <cfvo type="formula" val="$AF$47-$AB$46" gte="0"/>
        <cfvo type="formula" val="$AF$47"/>
        <cfvo type="formula" val="$AF$47" gte="0"/>
        <cfvo type="formula" val="$AF$47+$AB$46"/>
      </iconSet>
    </cfRule>
  </conditionalFormatting>
  <conditionalFormatting sqref="AH47">
    <cfRule type="cellIs" dxfId="467" priority="326" stopIfTrue="1" operator="greaterThanOrEqual">
      <formula>AG46</formula>
    </cfRule>
    <cfRule type="cellIs" dxfId="466" priority="328" stopIfTrue="1" operator="lessThan">
      <formula>AG46</formula>
    </cfRule>
  </conditionalFormatting>
  <conditionalFormatting sqref="AH47">
    <cfRule type="cellIs" dxfId="465" priority="327" stopIfTrue="1" operator="lessThan">
      <formula>AD46</formula>
    </cfRule>
  </conditionalFormatting>
  <conditionalFormatting sqref="AI47">
    <cfRule type="iconSet" priority="321">
      <iconSet iconSet="5ArrowsGray" showValue="0">
        <cfvo type="percent" val="0"/>
        <cfvo type="formula" val="$AF$47-$AB$46" gte="0"/>
        <cfvo type="formula" val="$AF$47"/>
        <cfvo type="formula" val="$AF$47" gte="0"/>
        <cfvo type="formula" val="$AF$47+$AB$46"/>
      </iconSet>
    </cfRule>
  </conditionalFormatting>
  <conditionalFormatting sqref="AI47">
    <cfRule type="cellIs" dxfId="464" priority="322" stopIfTrue="1" operator="greaterThanOrEqual">
      <formula>AG46</formula>
    </cfRule>
    <cfRule type="cellIs" dxfId="463" priority="324" stopIfTrue="1" operator="lessThan">
      <formula>AG46</formula>
    </cfRule>
  </conditionalFormatting>
  <conditionalFormatting sqref="AI47">
    <cfRule type="cellIs" dxfId="462" priority="323" stopIfTrue="1" operator="lessThanOrEqual">
      <formula>AD46</formula>
    </cfRule>
  </conditionalFormatting>
  <conditionalFormatting sqref="AH50">
    <cfRule type="iconSet" priority="317">
      <iconSet iconSet="5ArrowsGray" showValue="0">
        <cfvo type="percent" val="0"/>
        <cfvo type="formula" val="$AF$50-$AB$49" gte="0"/>
        <cfvo type="formula" val="$AF$50"/>
        <cfvo type="formula" val="$AF$50" gte="0"/>
        <cfvo type="formula" val="$AF$50+$AB$49"/>
      </iconSet>
    </cfRule>
  </conditionalFormatting>
  <conditionalFormatting sqref="AH50">
    <cfRule type="cellIs" dxfId="461" priority="318" stopIfTrue="1" operator="greaterThanOrEqual">
      <formula>AG49</formula>
    </cfRule>
    <cfRule type="cellIs" dxfId="460" priority="320" stopIfTrue="1" operator="lessThan">
      <formula>AG49</formula>
    </cfRule>
  </conditionalFormatting>
  <conditionalFormatting sqref="AH50">
    <cfRule type="cellIs" dxfId="459" priority="319" stopIfTrue="1" operator="lessThan">
      <formula>AD49</formula>
    </cfRule>
  </conditionalFormatting>
  <conditionalFormatting sqref="AI50">
    <cfRule type="iconSet" priority="313">
      <iconSet iconSet="5ArrowsGray" showValue="0">
        <cfvo type="percent" val="0"/>
        <cfvo type="formula" val="$AF$50-$AB$49" gte="0"/>
        <cfvo type="formula" val="$AF$50"/>
        <cfvo type="formula" val="$AF$50" gte="0"/>
        <cfvo type="formula" val="$AF$50+$AB$49"/>
      </iconSet>
    </cfRule>
  </conditionalFormatting>
  <conditionalFormatting sqref="AI50">
    <cfRule type="cellIs" dxfId="458" priority="314" stopIfTrue="1" operator="greaterThanOrEqual">
      <formula>AG49</formula>
    </cfRule>
    <cfRule type="cellIs" dxfId="457" priority="316" stopIfTrue="1" operator="lessThan">
      <formula>AG49</formula>
    </cfRule>
  </conditionalFormatting>
  <conditionalFormatting sqref="AI50">
    <cfRule type="cellIs" dxfId="456" priority="315" stopIfTrue="1" operator="lessThanOrEqual">
      <formula>AD49</formula>
    </cfRule>
  </conditionalFormatting>
  <conditionalFormatting sqref="AH53">
    <cfRule type="iconSet" priority="309">
      <iconSet iconSet="5ArrowsGray" showValue="0">
        <cfvo type="percent" val="0"/>
        <cfvo type="formula" val="$AF$53-$AB$52" gte="0"/>
        <cfvo type="formula" val="$AF$53"/>
        <cfvo type="formula" val="$AF$53" gte="0"/>
        <cfvo type="formula" val="$AF$53+$AB$52"/>
      </iconSet>
    </cfRule>
  </conditionalFormatting>
  <conditionalFormatting sqref="AH53">
    <cfRule type="cellIs" dxfId="455" priority="310" stopIfTrue="1" operator="greaterThanOrEqual">
      <formula>AG52</formula>
    </cfRule>
    <cfRule type="cellIs" dxfId="454" priority="312" stopIfTrue="1" operator="lessThan">
      <formula>AG52</formula>
    </cfRule>
  </conditionalFormatting>
  <conditionalFormatting sqref="AH53">
    <cfRule type="cellIs" dxfId="453" priority="311" stopIfTrue="1" operator="lessThan">
      <formula>AD52</formula>
    </cfRule>
  </conditionalFormatting>
  <conditionalFormatting sqref="AI53">
    <cfRule type="iconSet" priority="305">
      <iconSet iconSet="5ArrowsGray" showValue="0">
        <cfvo type="percent" val="0"/>
        <cfvo type="formula" val="$AF$53-$AB$52" gte="0"/>
        <cfvo type="formula" val="$AF$53"/>
        <cfvo type="formula" val="$AF$53" gte="0"/>
        <cfvo type="formula" val="$AF$53+$AB$52"/>
      </iconSet>
    </cfRule>
  </conditionalFormatting>
  <conditionalFormatting sqref="AI53">
    <cfRule type="cellIs" dxfId="452" priority="306" stopIfTrue="1" operator="greaterThanOrEqual">
      <formula>AG52</formula>
    </cfRule>
    <cfRule type="cellIs" dxfId="451" priority="308" stopIfTrue="1" operator="lessThan">
      <formula>AG52</formula>
    </cfRule>
  </conditionalFormatting>
  <conditionalFormatting sqref="AI53">
    <cfRule type="cellIs" dxfId="450" priority="307" stopIfTrue="1" operator="lessThanOrEqual">
      <formula>AD52</formula>
    </cfRule>
  </conditionalFormatting>
  <conditionalFormatting sqref="AH56">
    <cfRule type="iconSet" priority="301">
      <iconSet iconSet="5ArrowsGray" showValue="0">
        <cfvo type="percent" val="0"/>
        <cfvo type="formula" val="$AF$56-$AB$55" gte="0"/>
        <cfvo type="formula" val="$AF$56"/>
        <cfvo type="formula" val="$AF$56" gte="0"/>
        <cfvo type="formula" val="$AF$56+$AB$55"/>
      </iconSet>
    </cfRule>
  </conditionalFormatting>
  <conditionalFormatting sqref="AH56">
    <cfRule type="cellIs" dxfId="449" priority="302" stopIfTrue="1" operator="greaterThanOrEqual">
      <formula>AG55</formula>
    </cfRule>
    <cfRule type="cellIs" dxfId="448" priority="304" stopIfTrue="1" operator="lessThan">
      <formula>AG55</formula>
    </cfRule>
  </conditionalFormatting>
  <conditionalFormatting sqref="AH56">
    <cfRule type="cellIs" dxfId="447" priority="303" stopIfTrue="1" operator="lessThan">
      <formula>AD55</formula>
    </cfRule>
  </conditionalFormatting>
  <conditionalFormatting sqref="AI56">
    <cfRule type="iconSet" priority="297">
      <iconSet iconSet="5ArrowsGray" showValue="0">
        <cfvo type="percent" val="0"/>
        <cfvo type="formula" val="$AF$5-$AB$4" gte="0"/>
        <cfvo type="formula" val="$AF$5"/>
        <cfvo type="formula" val="$AF$5" gte="0"/>
        <cfvo type="formula" val="$AF$5+$AB$4"/>
      </iconSet>
    </cfRule>
  </conditionalFormatting>
  <conditionalFormatting sqref="AI56">
    <cfRule type="cellIs" dxfId="446" priority="298" stopIfTrue="1" operator="greaterThanOrEqual">
      <formula>AG55</formula>
    </cfRule>
    <cfRule type="cellIs" dxfId="445" priority="300" stopIfTrue="1" operator="lessThan">
      <formula>AG55</formula>
    </cfRule>
  </conditionalFormatting>
  <conditionalFormatting sqref="AI56">
    <cfRule type="cellIs" dxfId="444" priority="299" stopIfTrue="1" operator="lessThanOrEqual">
      <formula>AD55</formula>
    </cfRule>
  </conditionalFormatting>
  <conditionalFormatting sqref="AH59">
    <cfRule type="iconSet" priority="293">
      <iconSet iconSet="5ArrowsGray" showValue="0">
        <cfvo type="percent" val="0"/>
        <cfvo type="formula" val="$AF$59-$AB$58" gte="0"/>
        <cfvo type="formula" val="$AF$59"/>
        <cfvo type="formula" val="$AF$59" gte="0"/>
        <cfvo type="formula" val="$AF$59+$AB$58"/>
      </iconSet>
    </cfRule>
  </conditionalFormatting>
  <conditionalFormatting sqref="AH59">
    <cfRule type="cellIs" dxfId="443" priority="294" stopIfTrue="1" operator="greaterThanOrEqual">
      <formula>AG58</formula>
    </cfRule>
    <cfRule type="cellIs" dxfId="442" priority="296" stopIfTrue="1" operator="lessThan">
      <formula>AG58</formula>
    </cfRule>
  </conditionalFormatting>
  <conditionalFormatting sqref="AH59">
    <cfRule type="cellIs" dxfId="441" priority="295" stopIfTrue="1" operator="lessThan">
      <formula>AD58</formula>
    </cfRule>
  </conditionalFormatting>
  <conditionalFormatting sqref="AI59">
    <cfRule type="iconSet" priority="289">
      <iconSet iconSet="5ArrowsGray" showValue="0">
        <cfvo type="percent" val="0"/>
        <cfvo type="formula" val="$AF$59-$AB$58" gte="0"/>
        <cfvo type="formula" val="$AF$59"/>
        <cfvo type="formula" val="$AF$59" gte="0"/>
        <cfvo type="formula" val="$AF$59+$AB$58"/>
      </iconSet>
    </cfRule>
  </conditionalFormatting>
  <conditionalFormatting sqref="AI59">
    <cfRule type="cellIs" dxfId="440" priority="290" stopIfTrue="1" operator="greaterThanOrEqual">
      <formula>AG58</formula>
    </cfRule>
    <cfRule type="cellIs" dxfId="439" priority="292" stopIfTrue="1" operator="lessThan">
      <formula>AG58</formula>
    </cfRule>
  </conditionalFormatting>
  <conditionalFormatting sqref="AI59">
    <cfRule type="cellIs" dxfId="438" priority="291" stopIfTrue="1" operator="lessThanOrEqual">
      <formula>AD58</formula>
    </cfRule>
  </conditionalFormatting>
  <conditionalFormatting sqref="AH62">
    <cfRule type="iconSet" priority="285">
      <iconSet iconSet="5ArrowsGray" showValue="0">
        <cfvo type="percent" val="0"/>
        <cfvo type="formula" val="$AF$62-$AB$61" gte="0"/>
        <cfvo type="formula" val="$AF$62"/>
        <cfvo type="formula" val="$AF$62" gte="0"/>
        <cfvo type="formula" val="$AF$62+$AB$61"/>
      </iconSet>
    </cfRule>
  </conditionalFormatting>
  <conditionalFormatting sqref="AH62">
    <cfRule type="cellIs" dxfId="437" priority="286" stopIfTrue="1" operator="greaterThanOrEqual">
      <formula>AG61</formula>
    </cfRule>
    <cfRule type="cellIs" dxfId="436" priority="288" stopIfTrue="1" operator="lessThan">
      <formula>AG61</formula>
    </cfRule>
  </conditionalFormatting>
  <conditionalFormatting sqref="AH62">
    <cfRule type="cellIs" dxfId="435" priority="287" stopIfTrue="1" operator="lessThan">
      <formula>AD61</formula>
    </cfRule>
  </conditionalFormatting>
  <conditionalFormatting sqref="AI62">
    <cfRule type="iconSet" priority="281">
      <iconSet iconSet="5ArrowsGray" showValue="0">
        <cfvo type="percent" val="0"/>
        <cfvo type="formula" val="$AF$62-$AB$61" gte="0"/>
        <cfvo type="formula" val="$AF$62"/>
        <cfvo type="formula" val="$AF$62" gte="0"/>
        <cfvo type="formula" val="$AF$62+$AB$61"/>
      </iconSet>
    </cfRule>
  </conditionalFormatting>
  <conditionalFormatting sqref="AI62">
    <cfRule type="cellIs" dxfId="434" priority="282" stopIfTrue="1" operator="greaterThanOrEqual">
      <formula>AG61</formula>
    </cfRule>
    <cfRule type="cellIs" dxfId="433" priority="284" stopIfTrue="1" operator="lessThan">
      <formula>AG61</formula>
    </cfRule>
  </conditionalFormatting>
  <conditionalFormatting sqref="AI62">
    <cfRule type="cellIs" dxfId="432" priority="283" stopIfTrue="1" operator="lessThanOrEqual">
      <formula>AD61</formula>
    </cfRule>
  </conditionalFormatting>
  <conditionalFormatting sqref="AH65">
    <cfRule type="iconSet" priority="277">
      <iconSet iconSet="5ArrowsGray" showValue="0">
        <cfvo type="percent" val="0"/>
        <cfvo type="formula" val="$AF$65-$AB$64" gte="0"/>
        <cfvo type="formula" val="$AF$65"/>
        <cfvo type="formula" val="$AF$65" gte="0"/>
        <cfvo type="formula" val="$AF$65+$AB$64"/>
      </iconSet>
    </cfRule>
  </conditionalFormatting>
  <conditionalFormatting sqref="AH65">
    <cfRule type="cellIs" dxfId="431" priority="278" stopIfTrue="1" operator="greaterThanOrEqual">
      <formula>AG64</formula>
    </cfRule>
    <cfRule type="cellIs" dxfId="430" priority="280" stopIfTrue="1" operator="lessThan">
      <formula>AG64</formula>
    </cfRule>
  </conditionalFormatting>
  <conditionalFormatting sqref="AH65">
    <cfRule type="cellIs" dxfId="429" priority="279" stopIfTrue="1" operator="lessThan">
      <formula>AD64</formula>
    </cfRule>
  </conditionalFormatting>
  <conditionalFormatting sqref="AI65">
    <cfRule type="iconSet" priority="273">
      <iconSet iconSet="5ArrowsGray" showValue="0">
        <cfvo type="percent" val="0"/>
        <cfvo type="formula" val="$AF$65-$AB$64" gte="0"/>
        <cfvo type="formula" val="$AF$65"/>
        <cfvo type="formula" val="$AF$65" gte="0"/>
        <cfvo type="formula" val="$AF$65+$AB$64"/>
      </iconSet>
    </cfRule>
  </conditionalFormatting>
  <conditionalFormatting sqref="AI65">
    <cfRule type="cellIs" dxfId="428" priority="274" stopIfTrue="1" operator="greaterThanOrEqual">
      <formula>AG64</formula>
    </cfRule>
    <cfRule type="cellIs" dxfId="427" priority="276" stopIfTrue="1" operator="lessThan">
      <formula>AG64</formula>
    </cfRule>
  </conditionalFormatting>
  <conditionalFormatting sqref="AI65">
    <cfRule type="cellIs" dxfId="426" priority="275" stopIfTrue="1" operator="lessThanOrEqual">
      <formula>AD64</formula>
    </cfRule>
  </conditionalFormatting>
  <conditionalFormatting sqref="AH68">
    <cfRule type="iconSet" priority="269">
      <iconSet iconSet="5ArrowsGray" showValue="0">
        <cfvo type="percent" val="0"/>
        <cfvo type="formula" val="$AF$68-$AB$67" gte="0"/>
        <cfvo type="formula" val="$AF$68"/>
        <cfvo type="formula" val="$AF$68" gte="0"/>
        <cfvo type="formula" val="$AF$68+$AB$67"/>
      </iconSet>
    </cfRule>
  </conditionalFormatting>
  <conditionalFormatting sqref="AH68">
    <cfRule type="cellIs" dxfId="425" priority="270" stopIfTrue="1" operator="greaterThanOrEqual">
      <formula>AG67</formula>
    </cfRule>
    <cfRule type="cellIs" dxfId="424" priority="272" stopIfTrue="1" operator="lessThan">
      <formula>AG67</formula>
    </cfRule>
  </conditionalFormatting>
  <conditionalFormatting sqref="AH68">
    <cfRule type="cellIs" dxfId="423" priority="271" stopIfTrue="1" operator="lessThan">
      <formula>AD67</formula>
    </cfRule>
  </conditionalFormatting>
  <conditionalFormatting sqref="AI68">
    <cfRule type="iconSet" priority="265">
      <iconSet iconSet="5ArrowsGray" showValue="0">
        <cfvo type="percent" val="0"/>
        <cfvo type="formula" val="$AF$68-$AB$67" gte="0"/>
        <cfvo type="formula" val="$AF$68"/>
        <cfvo type="formula" val="$AF$68" gte="0"/>
        <cfvo type="formula" val="$AF$68+$AB$67"/>
      </iconSet>
    </cfRule>
  </conditionalFormatting>
  <conditionalFormatting sqref="AI68">
    <cfRule type="cellIs" dxfId="422" priority="266" stopIfTrue="1" operator="greaterThanOrEqual">
      <formula>AG67</formula>
    </cfRule>
    <cfRule type="cellIs" dxfId="421" priority="268" stopIfTrue="1" operator="lessThan">
      <formula>AG67</formula>
    </cfRule>
  </conditionalFormatting>
  <conditionalFormatting sqref="AI68">
    <cfRule type="cellIs" dxfId="420" priority="267" stopIfTrue="1" operator="lessThanOrEqual">
      <formula>AD67</formula>
    </cfRule>
  </conditionalFormatting>
  <conditionalFormatting sqref="AH71">
    <cfRule type="iconSet" priority="261">
      <iconSet iconSet="5ArrowsGray" showValue="0">
        <cfvo type="percent" val="0"/>
        <cfvo type="formula" val="$AF$71-$AB$70" gte="0"/>
        <cfvo type="formula" val="$AF$71"/>
        <cfvo type="formula" val="$AF$71" gte="0"/>
        <cfvo type="formula" val="$AF$71+$AB$70"/>
      </iconSet>
    </cfRule>
  </conditionalFormatting>
  <conditionalFormatting sqref="AH71">
    <cfRule type="cellIs" dxfId="419" priority="262" stopIfTrue="1" operator="greaterThanOrEqual">
      <formula>AG70</formula>
    </cfRule>
    <cfRule type="cellIs" dxfId="418" priority="264" stopIfTrue="1" operator="lessThan">
      <formula>AG70</formula>
    </cfRule>
  </conditionalFormatting>
  <conditionalFormatting sqref="AH71">
    <cfRule type="cellIs" dxfId="417" priority="263" stopIfTrue="1" operator="lessThan">
      <formula>AD70</formula>
    </cfRule>
  </conditionalFormatting>
  <conditionalFormatting sqref="AI71">
    <cfRule type="iconSet" priority="257">
      <iconSet iconSet="5ArrowsGray" showValue="0">
        <cfvo type="percent" val="0"/>
        <cfvo type="formula" val="$AF$71-$AB$70" gte="0"/>
        <cfvo type="formula" val="$AF$71"/>
        <cfvo type="formula" val="$AF$71" gte="0"/>
        <cfvo type="formula" val="$AF$71+$AB$70"/>
      </iconSet>
    </cfRule>
  </conditionalFormatting>
  <conditionalFormatting sqref="AI71">
    <cfRule type="cellIs" dxfId="416" priority="258" stopIfTrue="1" operator="greaterThanOrEqual">
      <formula>AG70</formula>
    </cfRule>
    <cfRule type="cellIs" dxfId="415" priority="260" stopIfTrue="1" operator="lessThan">
      <formula>AG70</formula>
    </cfRule>
  </conditionalFormatting>
  <conditionalFormatting sqref="AI71">
    <cfRule type="cellIs" dxfId="414" priority="259" stopIfTrue="1" operator="lessThanOrEqual">
      <formula>AD70</formula>
    </cfRule>
  </conditionalFormatting>
  <conditionalFormatting sqref="AH74">
    <cfRule type="iconSet" priority="253">
      <iconSet iconSet="5ArrowsGray" showValue="0">
        <cfvo type="percent" val="0"/>
        <cfvo type="formula" val="$AF$74-$AB$73" gte="0"/>
        <cfvo type="formula" val="$AF$74"/>
        <cfvo type="formula" val="$AF$74" gte="0"/>
        <cfvo type="formula" val="$AF$74+$AB$73"/>
      </iconSet>
    </cfRule>
  </conditionalFormatting>
  <conditionalFormatting sqref="AH74">
    <cfRule type="cellIs" dxfId="413" priority="254" stopIfTrue="1" operator="greaterThanOrEqual">
      <formula>AG73</formula>
    </cfRule>
    <cfRule type="cellIs" dxfId="412" priority="256" stopIfTrue="1" operator="lessThan">
      <formula>AG73</formula>
    </cfRule>
  </conditionalFormatting>
  <conditionalFormatting sqref="AH74">
    <cfRule type="cellIs" dxfId="411" priority="255" stopIfTrue="1" operator="lessThan">
      <formula>AD73</formula>
    </cfRule>
  </conditionalFormatting>
  <conditionalFormatting sqref="AI74">
    <cfRule type="iconSet" priority="249">
      <iconSet iconSet="5ArrowsGray" showValue="0">
        <cfvo type="percent" val="0"/>
        <cfvo type="formula" val="$AF$74-$AB$73" gte="0"/>
        <cfvo type="formula" val="$AF$74"/>
        <cfvo type="formula" val="$AF$74" gte="0"/>
        <cfvo type="formula" val="$AF$74+$AB$73"/>
      </iconSet>
    </cfRule>
  </conditionalFormatting>
  <conditionalFormatting sqref="AI74">
    <cfRule type="cellIs" dxfId="410" priority="250" stopIfTrue="1" operator="greaterThanOrEqual">
      <formula>AG73</formula>
    </cfRule>
    <cfRule type="cellIs" dxfId="409" priority="252" stopIfTrue="1" operator="lessThan">
      <formula>AG73</formula>
    </cfRule>
  </conditionalFormatting>
  <conditionalFormatting sqref="AI74">
    <cfRule type="cellIs" dxfId="408" priority="251" stopIfTrue="1" operator="lessThanOrEqual">
      <formula>AD73</formula>
    </cfRule>
  </conditionalFormatting>
  <conditionalFormatting sqref="AH77">
    <cfRule type="iconSet" priority="245">
      <iconSet iconSet="5ArrowsGray" showValue="0">
        <cfvo type="percent" val="0"/>
        <cfvo type="formula" val="$AF$77-$AB$76" gte="0"/>
        <cfvo type="formula" val="$AF$77"/>
        <cfvo type="formula" val="$AF$77" gte="0"/>
        <cfvo type="formula" val="$AF$77+$AB$76"/>
      </iconSet>
    </cfRule>
  </conditionalFormatting>
  <conditionalFormatting sqref="AH77">
    <cfRule type="cellIs" dxfId="407" priority="246" stopIfTrue="1" operator="greaterThanOrEqual">
      <formula>AG76</formula>
    </cfRule>
    <cfRule type="cellIs" dxfId="406" priority="248" stopIfTrue="1" operator="lessThan">
      <formula>AG76</formula>
    </cfRule>
  </conditionalFormatting>
  <conditionalFormatting sqref="AH77">
    <cfRule type="cellIs" dxfId="405" priority="247" stopIfTrue="1" operator="lessThan">
      <formula>AD76</formula>
    </cfRule>
  </conditionalFormatting>
  <conditionalFormatting sqref="AI77">
    <cfRule type="iconSet" priority="241">
      <iconSet iconSet="5ArrowsGray" showValue="0">
        <cfvo type="percent" val="0"/>
        <cfvo type="formula" val="$AF$77-$AB$76" gte="0"/>
        <cfvo type="formula" val="$AF$77"/>
        <cfvo type="formula" val="$AF$77" gte="0"/>
        <cfvo type="formula" val="$AF$77+$AB$76"/>
      </iconSet>
    </cfRule>
  </conditionalFormatting>
  <conditionalFormatting sqref="AI77">
    <cfRule type="cellIs" dxfId="404" priority="242" stopIfTrue="1" operator="greaterThanOrEqual">
      <formula>AG76</formula>
    </cfRule>
    <cfRule type="cellIs" dxfId="403" priority="244" stopIfTrue="1" operator="lessThan">
      <formula>AG76</formula>
    </cfRule>
  </conditionalFormatting>
  <conditionalFormatting sqref="AI77">
    <cfRule type="cellIs" dxfId="402" priority="243" stopIfTrue="1" operator="lessThanOrEqual">
      <formula>AD76</formula>
    </cfRule>
  </conditionalFormatting>
  <conditionalFormatting sqref="AH80">
    <cfRule type="iconSet" priority="237">
      <iconSet iconSet="5ArrowsGray" showValue="0">
        <cfvo type="percent" val="0"/>
        <cfvo type="formula" val="$AF$80-$AB$79" gte="0"/>
        <cfvo type="formula" val="$AF$80"/>
        <cfvo type="formula" val="$AF$80" gte="0"/>
        <cfvo type="formula" val="$AF$80+$AB$79"/>
      </iconSet>
    </cfRule>
  </conditionalFormatting>
  <conditionalFormatting sqref="AH80">
    <cfRule type="cellIs" dxfId="401" priority="238" stopIfTrue="1" operator="greaterThanOrEqual">
      <formula>AG79</formula>
    </cfRule>
    <cfRule type="cellIs" dxfId="400" priority="240" stopIfTrue="1" operator="lessThan">
      <formula>AG79</formula>
    </cfRule>
  </conditionalFormatting>
  <conditionalFormatting sqref="AH80">
    <cfRule type="cellIs" dxfId="399" priority="239" stopIfTrue="1" operator="lessThan">
      <formula>AD79</formula>
    </cfRule>
  </conditionalFormatting>
  <conditionalFormatting sqref="AI80">
    <cfRule type="iconSet" priority="233">
      <iconSet iconSet="5ArrowsGray" showValue="0">
        <cfvo type="percent" val="0"/>
        <cfvo type="formula" val="$AF$80-$AB$79" gte="0"/>
        <cfvo type="formula" val="$AF$80"/>
        <cfvo type="formula" val="$AF$80" gte="0"/>
        <cfvo type="formula" val="$AF$80+$AB$79"/>
      </iconSet>
    </cfRule>
  </conditionalFormatting>
  <conditionalFormatting sqref="AI80">
    <cfRule type="cellIs" dxfId="398" priority="234" stopIfTrue="1" operator="greaterThanOrEqual">
      <formula>AG79</formula>
    </cfRule>
    <cfRule type="cellIs" dxfId="397" priority="236" stopIfTrue="1" operator="lessThan">
      <formula>AG79</formula>
    </cfRule>
  </conditionalFormatting>
  <conditionalFormatting sqref="AI80">
    <cfRule type="cellIs" dxfId="396" priority="235" stopIfTrue="1" operator="lessThanOrEqual">
      <formula>AD79</formula>
    </cfRule>
  </conditionalFormatting>
  <conditionalFormatting sqref="AH83">
    <cfRule type="iconSet" priority="229">
      <iconSet iconSet="5ArrowsGray" showValue="0">
        <cfvo type="percent" val="0"/>
        <cfvo type="formula" val="$AF$83-$AB$82" gte="0"/>
        <cfvo type="formula" val="$AF$83"/>
        <cfvo type="formula" val="$AF$83" gte="0"/>
        <cfvo type="formula" val="$AF$83+$AB$82"/>
      </iconSet>
    </cfRule>
  </conditionalFormatting>
  <conditionalFormatting sqref="AH83">
    <cfRule type="cellIs" dxfId="395" priority="230" stopIfTrue="1" operator="greaterThanOrEqual">
      <formula>AG82</formula>
    </cfRule>
    <cfRule type="cellIs" dxfId="394" priority="232" stopIfTrue="1" operator="lessThan">
      <formula>AG82</formula>
    </cfRule>
  </conditionalFormatting>
  <conditionalFormatting sqref="AH83">
    <cfRule type="cellIs" dxfId="393" priority="231" stopIfTrue="1" operator="lessThan">
      <formula>AD82</formula>
    </cfRule>
  </conditionalFormatting>
  <conditionalFormatting sqref="AI83">
    <cfRule type="iconSet" priority="225">
      <iconSet iconSet="5ArrowsGray" showValue="0">
        <cfvo type="percent" val="0"/>
        <cfvo type="formula" val="$AF$83-$AB$82" gte="0"/>
        <cfvo type="formula" val="$AF$83"/>
        <cfvo type="formula" val="$AF$83" gte="0"/>
        <cfvo type="formula" val="$AF$83+$AB$82"/>
      </iconSet>
    </cfRule>
  </conditionalFormatting>
  <conditionalFormatting sqref="AI83">
    <cfRule type="cellIs" dxfId="392" priority="226" stopIfTrue="1" operator="greaterThanOrEqual">
      <formula>AG82</formula>
    </cfRule>
    <cfRule type="cellIs" dxfId="391" priority="228" stopIfTrue="1" operator="lessThan">
      <formula>AG82</formula>
    </cfRule>
  </conditionalFormatting>
  <conditionalFormatting sqref="AI83">
    <cfRule type="cellIs" dxfId="390" priority="227" stopIfTrue="1" operator="lessThanOrEqual">
      <formula>AD82</formula>
    </cfRule>
  </conditionalFormatting>
  <conditionalFormatting sqref="AH86">
    <cfRule type="iconSet" priority="221">
      <iconSet iconSet="5ArrowsGray" showValue="0">
        <cfvo type="percent" val="0"/>
        <cfvo type="formula" val="$AF$86-$AB$85" gte="0"/>
        <cfvo type="formula" val="$AF$86"/>
        <cfvo type="formula" val="$AF$86" gte="0"/>
        <cfvo type="formula" val="$AF$86+$AB$85"/>
      </iconSet>
    </cfRule>
  </conditionalFormatting>
  <conditionalFormatting sqref="AH86">
    <cfRule type="cellIs" dxfId="389" priority="222" stopIfTrue="1" operator="greaterThanOrEqual">
      <formula>AG85</formula>
    </cfRule>
    <cfRule type="cellIs" dxfId="388" priority="224" stopIfTrue="1" operator="lessThan">
      <formula>AG85</formula>
    </cfRule>
  </conditionalFormatting>
  <conditionalFormatting sqref="AH86">
    <cfRule type="cellIs" dxfId="387" priority="223" stopIfTrue="1" operator="lessThan">
      <formula>AD85</formula>
    </cfRule>
  </conditionalFormatting>
  <conditionalFormatting sqref="AI86">
    <cfRule type="iconSet" priority="217">
      <iconSet iconSet="5ArrowsGray" showValue="0">
        <cfvo type="percent" val="0"/>
        <cfvo type="formula" val="$AF$86-$AB$85" gte="0"/>
        <cfvo type="formula" val="$AF$86"/>
        <cfvo type="formula" val="$AF$86" gte="0"/>
        <cfvo type="formula" val="$AF$86+$AB$85"/>
      </iconSet>
    </cfRule>
  </conditionalFormatting>
  <conditionalFormatting sqref="AI86">
    <cfRule type="cellIs" dxfId="386" priority="218" stopIfTrue="1" operator="greaterThanOrEqual">
      <formula>AG85</formula>
    </cfRule>
    <cfRule type="cellIs" dxfId="385" priority="220" stopIfTrue="1" operator="lessThan">
      <formula>AG85</formula>
    </cfRule>
  </conditionalFormatting>
  <conditionalFormatting sqref="AI86">
    <cfRule type="cellIs" dxfId="384" priority="219" stopIfTrue="1" operator="lessThanOrEqual">
      <formula>AD85</formula>
    </cfRule>
  </conditionalFormatting>
  <conditionalFormatting sqref="AH89">
    <cfRule type="iconSet" priority="213">
      <iconSet iconSet="5ArrowsGray" showValue="0">
        <cfvo type="percent" val="0"/>
        <cfvo type="formula" val="$AF$89-$AB$88" gte="0"/>
        <cfvo type="formula" val="$AF$89"/>
        <cfvo type="formula" val="$AF$89" gte="0"/>
        <cfvo type="formula" val="$AF$89+$AB$88"/>
      </iconSet>
    </cfRule>
  </conditionalFormatting>
  <conditionalFormatting sqref="AH89">
    <cfRule type="cellIs" dxfId="383" priority="214" stopIfTrue="1" operator="greaterThanOrEqual">
      <formula>AG88</formula>
    </cfRule>
    <cfRule type="cellIs" dxfId="382" priority="216" stopIfTrue="1" operator="lessThan">
      <formula>AG88</formula>
    </cfRule>
  </conditionalFormatting>
  <conditionalFormatting sqref="AH89">
    <cfRule type="cellIs" dxfId="381" priority="215" stopIfTrue="1" operator="lessThan">
      <formula>AD88</formula>
    </cfRule>
  </conditionalFormatting>
  <conditionalFormatting sqref="AI89">
    <cfRule type="iconSet" priority="209">
      <iconSet iconSet="5ArrowsGray" showValue="0">
        <cfvo type="percent" val="0"/>
        <cfvo type="formula" val="$AF$89-$AB$88" gte="0"/>
        <cfvo type="formula" val="$AF$89"/>
        <cfvo type="formula" val="$AF$89" gte="0"/>
        <cfvo type="formula" val="$AF$89+$AB$88"/>
      </iconSet>
    </cfRule>
  </conditionalFormatting>
  <conditionalFormatting sqref="AI89">
    <cfRule type="cellIs" dxfId="380" priority="210" stopIfTrue="1" operator="greaterThanOrEqual">
      <formula>AG88</formula>
    </cfRule>
    <cfRule type="cellIs" dxfId="379" priority="212" stopIfTrue="1" operator="lessThan">
      <formula>AG88</formula>
    </cfRule>
  </conditionalFormatting>
  <conditionalFormatting sqref="AI89">
    <cfRule type="cellIs" dxfId="378" priority="211" stopIfTrue="1" operator="lessThanOrEqual">
      <formula>AD88</formula>
    </cfRule>
  </conditionalFormatting>
  <conditionalFormatting sqref="AH92">
    <cfRule type="iconSet" priority="205">
      <iconSet iconSet="5ArrowsGray" showValue="0">
        <cfvo type="percent" val="0"/>
        <cfvo type="formula" val="$AF$92-$AB$91" gte="0"/>
        <cfvo type="formula" val="$AF$92"/>
        <cfvo type="formula" val="$AF$92" gte="0"/>
        <cfvo type="formula" val="$AF$92+$AB$91"/>
      </iconSet>
    </cfRule>
  </conditionalFormatting>
  <conditionalFormatting sqref="AH92">
    <cfRule type="cellIs" dxfId="377" priority="206" stopIfTrue="1" operator="greaterThanOrEqual">
      <formula>AG91</formula>
    </cfRule>
    <cfRule type="cellIs" dxfId="376" priority="208" stopIfTrue="1" operator="lessThan">
      <formula>AG91</formula>
    </cfRule>
  </conditionalFormatting>
  <conditionalFormatting sqref="AH92">
    <cfRule type="cellIs" dxfId="375" priority="207" stopIfTrue="1" operator="lessThan">
      <formula>AD91</formula>
    </cfRule>
  </conditionalFormatting>
  <conditionalFormatting sqref="AI92">
    <cfRule type="iconSet" priority="201">
      <iconSet iconSet="5ArrowsGray" showValue="0">
        <cfvo type="percent" val="0"/>
        <cfvo type="formula" val="$AF$92-$AB$91" gte="0"/>
        <cfvo type="formula" val="$AF$92"/>
        <cfvo type="formula" val="$AF$92" gte="0"/>
        <cfvo type="formula" val="$AF$92+$AB$91"/>
      </iconSet>
    </cfRule>
  </conditionalFormatting>
  <conditionalFormatting sqref="AI92">
    <cfRule type="cellIs" dxfId="374" priority="202" stopIfTrue="1" operator="greaterThanOrEqual">
      <formula>AG91</formula>
    </cfRule>
    <cfRule type="cellIs" dxfId="373" priority="204" stopIfTrue="1" operator="lessThan">
      <formula>AG91</formula>
    </cfRule>
  </conditionalFormatting>
  <conditionalFormatting sqref="AI92">
    <cfRule type="cellIs" dxfId="372" priority="203" stopIfTrue="1" operator="lessThanOrEqual">
      <formula>AD91</formula>
    </cfRule>
  </conditionalFormatting>
  <conditionalFormatting sqref="AH95">
    <cfRule type="iconSet" priority="197">
      <iconSet iconSet="5ArrowsGray" showValue="0">
        <cfvo type="percent" val="0"/>
        <cfvo type="formula" val="$AF$95-$AB$94" gte="0"/>
        <cfvo type="formula" val="$AF$95"/>
        <cfvo type="formula" val="$AF$95" gte="0"/>
        <cfvo type="formula" val="$AF$95+$AB$94"/>
      </iconSet>
    </cfRule>
  </conditionalFormatting>
  <conditionalFormatting sqref="AH95">
    <cfRule type="cellIs" dxfId="371" priority="198" stopIfTrue="1" operator="greaterThanOrEqual">
      <formula>AG94</formula>
    </cfRule>
    <cfRule type="cellIs" dxfId="370" priority="200" stopIfTrue="1" operator="lessThan">
      <formula>AG94</formula>
    </cfRule>
  </conditionalFormatting>
  <conditionalFormatting sqref="AH95">
    <cfRule type="cellIs" dxfId="369" priority="199" stopIfTrue="1" operator="lessThan">
      <formula>AD94</formula>
    </cfRule>
  </conditionalFormatting>
  <conditionalFormatting sqref="AI95">
    <cfRule type="iconSet" priority="193">
      <iconSet iconSet="5ArrowsGray" showValue="0">
        <cfvo type="percent" val="0"/>
        <cfvo type="formula" val="$AF$95-$AB$94" gte="0"/>
        <cfvo type="formula" val="$AF$95"/>
        <cfvo type="formula" val="$AF$95" gte="0"/>
        <cfvo type="formula" val="$AF$95+$AB$94"/>
      </iconSet>
    </cfRule>
  </conditionalFormatting>
  <conditionalFormatting sqref="AI95">
    <cfRule type="cellIs" dxfId="368" priority="194" stopIfTrue="1" operator="greaterThanOrEqual">
      <formula>AG94</formula>
    </cfRule>
    <cfRule type="cellIs" dxfId="367" priority="196" stopIfTrue="1" operator="lessThan">
      <formula>AG94</formula>
    </cfRule>
  </conditionalFormatting>
  <conditionalFormatting sqref="AI95">
    <cfRule type="cellIs" dxfId="366" priority="195" stopIfTrue="1" operator="lessThanOrEqual">
      <formula>AD94</formula>
    </cfRule>
  </conditionalFormatting>
  <conditionalFormatting sqref="AH98">
    <cfRule type="iconSet" priority="189">
      <iconSet iconSet="5ArrowsGray" showValue="0">
        <cfvo type="percent" val="0"/>
        <cfvo type="formula" val="$AF$98-$AB$97" gte="0"/>
        <cfvo type="formula" val="$AF$98"/>
        <cfvo type="formula" val="$AF$98" gte="0"/>
        <cfvo type="formula" val="$AF$98+$AB$97"/>
      </iconSet>
    </cfRule>
  </conditionalFormatting>
  <conditionalFormatting sqref="AH98">
    <cfRule type="cellIs" dxfId="365" priority="190" stopIfTrue="1" operator="greaterThanOrEqual">
      <formula>AG97</formula>
    </cfRule>
    <cfRule type="cellIs" dxfId="364" priority="192" stopIfTrue="1" operator="lessThan">
      <formula>AG97</formula>
    </cfRule>
  </conditionalFormatting>
  <conditionalFormatting sqref="AH98">
    <cfRule type="cellIs" dxfId="363" priority="191" stopIfTrue="1" operator="lessThan">
      <formula>AD97</formula>
    </cfRule>
  </conditionalFormatting>
  <conditionalFormatting sqref="AI98">
    <cfRule type="iconSet" priority="185">
      <iconSet iconSet="5ArrowsGray" showValue="0">
        <cfvo type="percent" val="0"/>
        <cfvo type="formula" val="$AF$98-$AB$97" gte="0"/>
        <cfvo type="formula" val="$AF$98"/>
        <cfvo type="formula" val="$AF$98" gte="0"/>
        <cfvo type="formula" val="$AF$98+$AB$97"/>
      </iconSet>
    </cfRule>
  </conditionalFormatting>
  <conditionalFormatting sqref="AI98">
    <cfRule type="cellIs" dxfId="362" priority="186" stopIfTrue="1" operator="greaterThanOrEqual">
      <formula>AG97</formula>
    </cfRule>
    <cfRule type="cellIs" dxfId="361" priority="188" stopIfTrue="1" operator="lessThan">
      <formula>AG97</formula>
    </cfRule>
  </conditionalFormatting>
  <conditionalFormatting sqref="AI98">
    <cfRule type="cellIs" dxfId="360" priority="187" stopIfTrue="1" operator="lessThanOrEqual">
      <formula>AD97</formula>
    </cfRule>
  </conditionalFormatting>
  <conditionalFormatting sqref="AH101">
    <cfRule type="iconSet" priority="181">
      <iconSet iconSet="5ArrowsGray" showValue="0">
        <cfvo type="percent" val="0"/>
        <cfvo type="formula" val="$AF$101-$AB$100" gte="0"/>
        <cfvo type="formula" val="$AF$101"/>
        <cfvo type="formula" val="$AF$101" gte="0"/>
        <cfvo type="formula" val="$AF$101+$AB$100"/>
      </iconSet>
    </cfRule>
  </conditionalFormatting>
  <conditionalFormatting sqref="AH101">
    <cfRule type="cellIs" dxfId="359" priority="182" stopIfTrue="1" operator="greaterThanOrEqual">
      <formula>AG100</formula>
    </cfRule>
    <cfRule type="cellIs" dxfId="358" priority="184" stopIfTrue="1" operator="lessThan">
      <formula>AG100</formula>
    </cfRule>
  </conditionalFormatting>
  <conditionalFormatting sqref="AH101">
    <cfRule type="cellIs" dxfId="357" priority="183" stopIfTrue="1" operator="lessThan">
      <formula>AD100</formula>
    </cfRule>
  </conditionalFormatting>
  <conditionalFormatting sqref="AI101">
    <cfRule type="iconSet" priority="177">
      <iconSet iconSet="5ArrowsGray" showValue="0">
        <cfvo type="percent" val="0"/>
        <cfvo type="formula" val="$AF$101-$AB$100" gte="0"/>
        <cfvo type="formula" val="$AF$101"/>
        <cfvo type="formula" val="$AF$101" gte="0"/>
        <cfvo type="formula" val="$AF$101+$AB$100"/>
      </iconSet>
    </cfRule>
  </conditionalFormatting>
  <conditionalFormatting sqref="AI101">
    <cfRule type="cellIs" dxfId="356" priority="178" stopIfTrue="1" operator="greaterThanOrEqual">
      <formula>AG100</formula>
    </cfRule>
    <cfRule type="cellIs" dxfId="355" priority="180" stopIfTrue="1" operator="lessThan">
      <formula>AG100</formula>
    </cfRule>
  </conditionalFormatting>
  <conditionalFormatting sqref="AI101">
    <cfRule type="cellIs" dxfId="354" priority="179" stopIfTrue="1" operator="lessThanOrEqual">
      <formula>AD100</formula>
    </cfRule>
  </conditionalFormatting>
  <conditionalFormatting sqref="AH104">
    <cfRule type="iconSet" priority="173">
      <iconSet iconSet="5ArrowsGray" showValue="0">
        <cfvo type="percent" val="0"/>
        <cfvo type="formula" val="$AF$104-$AB$103" gte="0"/>
        <cfvo type="formula" val="$AF$104"/>
        <cfvo type="formula" val="$AF$104" gte="0"/>
        <cfvo type="formula" val="$AF$104+$AB$103"/>
      </iconSet>
    </cfRule>
  </conditionalFormatting>
  <conditionalFormatting sqref="AH104">
    <cfRule type="cellIs" dxfId="353" priority="174" stopIfTrue="1" operator="greaterThanOrEqual">
      <formula>AG103</formula>
    </cfRule>
    <cfRule type="cellIs" dxfId="352" priority="176" stopIfTrue="1" operator="lessThan">
      <formula>AG103</formula>
    </cfRule>
  </conditionalFormatting>
  <conditionalFormatting sqref="AH104">
    <cfRule type="cellIs" dxfId="351" priority="175" stopIfTrue="1" operator="lessThan">
      <formula>AD103</formula>
    </cfRule>
  </conditionalFormatting>
  <conditionalFormatting sqref="AI104">
    <cfRule type="iconSet" priority="169">
      <iconSet iconSet="5ArrowsGray" showValue="0">
        <cfvo type="percent" val="0"/>
        <cfvo type="formula" val="$AF$104-$AB$103" gte="0"/>
        <cfvo type="formula" val="$AF$104"/>
        <cfvo type="formula" val="$AF$104" gte="0"/>
        <cfvo type="formula" val="$AF$104+$AB$103"/>
      </iconSet>
    </cfRule>
  </conditionalFormatting>
  <conditionalFormatting sqref="AI104">
    <cfRule type="cellIs" dxfId="350" priority="170" stopIfTrue="1" operator="greaterThanOrEqual">
      <formula>AG103</formula>
    </cfRule>
    <cfRule type="cellIs" dxfId="349" priority="172" stopIfTrue="1" operator="lessThan">
      <formula>AG103</formula>
    </cfRule>
  </conditionalFormatting>
  <conditionalFormatting sqref="AI104">
    <cfRule type="cellIs" dxfId="348" priority="171" stopIfTrue="1" operator="lessThanOrEqual">
      <formula>AD103</formula>
    </cfRule>
  </conditionalFormatting>
  <conditionalFormatting sqref="AH107">
    <cfRule type="iconSet" priority="165">
      <iconSet iconSet="5ArrowsGray" showValue="0">
        <cfvo type="percent" val="0"/>
        <cfvo type="formula" val="$AF$107-$AB$106" gte="0"/>
        <cfvo type="formula" val="$AF$107"/>
        <cfvo type="formula" val="$AF$107" gte="0"/>
        <cfvo type="formula" val="$AF$107+$AB$106"/>
      </iconSet>
    </cfRule>
  </conditionalFormatting>
  <conditionalFormatting sqref="AH107">
    <cfRule type="cellIs" dxfId="347" priority="166" stopIfTrue="1" operator="greaterThanOrEqual">
      <formula>AG106</formula>
    </cfRule>
    <cfRule type="cellIs" dxfId="346" priority="168" stopIfTrue="1" operator="lessThan">
      <formula>AG106</formula>
    </cfRule>
  </conditionalFormatting>
  <conditionalFormatting sqref="AH107">
    <cfRule type="cellIs" dxfId="345" priority="167" stopIfTrue="1" operator="lessThan">
      <formula>AD106</formula>
    </cfRule>
  </conditionalFormatting>
  <conditionalFormatting sqref="AI107">
    <cfRule type="iconSet" priority="161">
      <iconSet iconSet="5ArrowsGray" showValue="0">
        <cfvo type="percent" val="0"/>
        <cfvo type="formula" val="$AF$107-$AB$106" gte="0"/>
        <cfvo type="formula" val="$AF$107"/>
        <cfvo type="formula" val="$AF$107" gte="0"/>
        <cfvo type="formula" val="$AF$107+$AB$106"/>
      </iconSet>
    </cfRule>
  </conditionalFormatting>
  <conditionalFormatting sqref="AI107">
    <cfRule type="cellIs" dxfId="344" priority="162" stopIfTrue="1" operator="greaterThanOrEqual">
      <formula>AG106</formula>
    </cfRule>
    <cfRule type="cellIs" dxfId="343" priority="164" stopIfTrue="1" operator="lessThan">
      <formula>AG106</formula>
    </cfRule>
  </conditionalFormatting>
  <conditionalFormatting sqref="AI107">
    <cfRule type="cellIs" dxfId="342" priority="163" stopIfTrue="1" operator="lessThanOrEqual">
      <formula>AD106</formula>
    </cfRule>
  </conditionalFormatting>
  <conditionalFormatting sqref="AH110">
    <cfRule type="iconSet" priority="157">
      <iconSet iconSet="5ArrowsGray" showValue="0">
        <cfvo type="percent" val="0"/>
        <cfvo type="formula" val="$AF$110-$AB$109" gte="0"/>
        <cfvo type="formula" val="$AF$110"/>
        <cfvo type="formula" val="$AF$110" gte="0"/>
        <cfvo type="formula" val="$AF$110+$AB$109"/>
      </iconSet>
    </cfRule>
  </conditionalFormatting>
  <conditionalFormatting sqref="AH110">
    <cfRule type="cellIs" dxfId="341" priority="158" stopIfTrue="1" operator="greaterThanOrEqual">
      <formula>AG109</formula>
    </cfRule>
    <cfRule type="cellIs" dxfId="340" priority="160" stopIfTrue="1" operator="lessThan">
      <formula>AG109</formula>
    </cfRule>
  </conditionalFormatting>
  <conditionalFormatting sqref="AH110">
    <cfRule type="cellIs" dxfId="339" priority="159" stopIfTrue="1" operator="lessThan">
      <formula>AD109</formula>
    </cfRule>
  </conditionalFormatting>
  <conditionalFormatting sqref="AI110">
    <cfRule type="iconSet" priority="153">
      <iconSet iconSet="5ArrowsGray" showValue="0">
        <cfvo type="percent" val="0"/>
        <cfvo type="formula" val="$AF$110-$AB$109" gte="0"/>
        <cfvo type="formula" val="$AF$110"/>
        <cfvo type="formula" val="$AF$110" gte="0"/>
        <cfvo type="formula" val="$AF$110+$AB$109"/>
      </iconSet>
    </cfRule>
  </conditionalFormatting>
  <conditionalFormatting sqref="AI110">
    <cfRule type="cellIs" dxfId="338" priority="154" stopIfTrue="1" operator="greaterThanOrEqual">
      <formula>AG109</formula>
    </cfRule>
    <cfRule type="cellIs" dxfId="337" priority="156" stopIfTrue="1" operator="lessThan">
      <formula>AG109</formula>
    </cfRule>
  </conditionalFormatting>
  <conditionalFormatting sqref="AI110">
    <cfRule type="cellIs" dxfId="336" priority="155" stopIfTrue="1" operator="lessThanOrEqual">
      <formula>AD109</formula>
    </cfRule>
  </conditionalFormatting>
  <conditionalFormatting sqref="AH113">
    <cfRule type="iconSet" priority="149">
      <iconSet iconSet="5ArrowsGray" showValue="0">
        <cfvo type="percent" val="0"/>
        <cfvo type="formula" val="$AF$113-$AB$112" gte="0"/>
        <cfvo type="formula" val="$AF$113"/>
        <cfvo type="formula" val="$AF$113" gte="0"/>
        <cfvo type="formula" val="$AF$113+$AB$112"/>
      </iconSet>
    </cfRule>
  </conditionalFormatting>
  <conditionalFormatting sqref="AH113">
    <cfRule type="cellIs" dxfId="335" priority="150" stopIfTrue="1" operator="greaterThanOrEqual">
      <formula>AG112</formula>
    </cfRule>
    <cfRule type="cellIs" dxfId="334" priority="152" stopIfTrue="1" operator="lessThan">
      <formula>AG112</formula>
    </cfRule>
  </conditionalFormatting>
  <conditionalFormatting sqref="AH113">
    <cfRule type="cellIs" dxfId="333" priority="151" stopIfTrue="1" operator="lessThan">
      <formula>AD112</formula>
    </cfRule>
  </conditionalFormatting>
  <conditionalFormatting sqref="AI113">
    <cfRule type="iconSet" priority="145">
      <iconSet iconSet="5ArrowsGray" showValue="0">
        <cfvo type="percent" val="0"/>
        <cfvo type="formula" val="$AF$113-$AB$112" gte="0"/>
        <cfvo type="formula" val="$AF$113"/>
        <cfvo type="formula" val="$AF$113" gte="0"/>
        <cfvo type="formula" val="$AF$113+$AB$112"/>
      </iconSet>
    </cfRule>
  </conditionalFormatting>
  <conditionalFormatting sqref="AI113">
    <cfRule type="cellIs" dxfId="332" priority="146" stopIfTrue="1" operator="greaterThanOrEqual">
      <formula>AG112</formula>
    </cfRule>
    <cfRule type="cellIs" dxfId="331" priority="148" stopIfTrue="1" operator="lessThan">
      <formula>AG112</formula>
    </cfRule>
  </conditionalFormatting>
  <conditionalFormatting sqref="AI113">
    <cfRule type="cellIs" dxfId="330" priority="147" stopIfTrue="1" operator="lessThanOrEqual">
      <formula>AD112</formula>
    </cfRule>
  </conditionalFormatting>
  <conditionalFormatting sqref="AH116">
    <cfRule type="iconSet" priority="141">
      <iconSet iconSet="5ArrowsGray" showValue="0">
        <cfvo type="percent" val="0"/>
        <cfvo type="formula" val="$AF$116-$AB$115" gte="0"/>
        <cfvo type="formula" val="$AF$116"/>
        <cfvo type="formula" val="$AF$116" gte="0"/>
        <cfvo type="formula" val="$AF$116+$AB$115"/>
      </iconSet>
    </cfRule>
  </conditionalFormatting>
  <conditionalFormatting sqref="AH116">
    <cfRule type="cellIs" dxfId="329" priority="142" stopIfTrue="1" operator="greaterThanOrEqual">
      <formula>AG115</formula>
    </cfRule>
    <cfRule type="cellIs" dxfId="328" priority="144" stopIfTrue="1" operator="lessThan">
      <formula>AG115</formula>
    </cfRule>
  </conditionalFormatting>
  <conditionalFormatting sqref="AH116">
    <cfRule type="cellIs" dxfId="327" priority="143" stopIfTrue="1" operator="lessThan">
      <formula>AD115</formula>
    </cfRule>
  </conditionalFormatting>
  <conditionalFormatting sqref="AI116">
    <cfRule type="iconSet" priority="137">
      <iconSet iconSet="5ArrowsGray" showValue="0">
        <cfvo type="percent" val="0"/>
        <cfvo type="formula" val="$AF$116-$AB$115" gte="0"/>
        <cfvo type="formula" val="$AF$116"/>
        <cfvo type="formula" val="$AF$116" gte="0"/>
        <cfvo type="formula" val="$AF$116+$AB$115"/>
      </iconSet>
    </cfRule>
  </conditionalFormatting>
  <conditionalFormatting sqref="AI116">
    <cfRule type="cellIs" dxfId="326" priority="138" stopIfTrue="1" operator="greaterThanOrEqual">
      <formula>AG115</formula>
    </cfRule>
    <cfRule type="cellIs" dxfId="325" priority="140" stopIfTrue="1" operator="lessThan">
      <formula>AG115</formula>
    </cfRule>
  </conditionalFormatting>
  <conditionalFormatting sqref="AI116">
    <cfRule type="cellIs" dxfId="324" priority="139" stopIfTrue="1" operator="lessThanOrEqual">
      <formula>AD115</formula>
    </cfRule>
  </conditionalFormatting>
  <conditionalFormatting sqref="AH119">
    <cfRule type="iconSet" priority="133">
      <iconSet iconSet="5ArrowsGray" showValue="0">
        <cfvo type="percent" val="0"/>
        <cfvo type="formula" val="$AF$119-$AB$118" gte="0"/>
        <cfvo type="formula" val="$AF$119"/>
        <cfvo type="formula" val="$AF$119" gte="0"/>
        <cfvo type="formula" val="$AF$119+$AB$118"/>
      </iconSet>
    </cfRule>
  </conditionalFormatting>
  <conditionalFormatting sqref="AH119">
    <cfRule type="cellIs" dxfId="323" priority="134" stopIfTrue="1" operator="greaterThanOrEqual">
      <formula>AG118</formula>
    </cfRule>
    <cfRule type="cellIs" dxfId="322" priority="136" stopIfTrue="1" operator="lessThan">
      <formula>AG118</formula>
    </cfRule>
  </conditionalFormatting>
  <conditionalFormatting sqref="AH119">
    <cfRule type="cellIs" dxfId="321" priority="135" stopIfTrue="1" operator="lessThan">
      <formula>AD118</formula>
    </cfRule>
  </conditionalFormatting>
  <conditionalFormatting sqref="AI119">
    <cfRule type="iconSet" priority="129">
      <iconSet iconSet="5ArrowsGray" showValue="0">
        <cfvo type="percent" val="0"/>
        <cfvo type="formula" val="$AF$119-$AB$118" gte="0"/>
        <cfvo type="formula" val="$AF$119"/>
        <cfvo type="formula" val="$AF$119" gte="0"/>
        <cfvo type="formula" val="$AF$119+$AB$118"/>
      </iconSet>
    </cfRule>
  </conditionalFormatting>
  <conditionalFormatting sqref="AI119">
    <cfRule type="cellIs" dxfId="320" priority="130" stopIfTrue="1" operator="greaterThanOrEqual">
      <formula>AG118</formula>
    </cfRule>
    <cfRule type="cellIs" dxfId="319" priority="132" stopIfTrue="1" operator="lessThan">
      <formula>AG118</formula>
    </cfRule>
  </conditionalFormatting>
  <conditionalFormatting sqref="AI119">
    <cfRule type="cellIs" dxfId="318" priority="131" stopIfTrue="1" operator="lessThanOrEqual">
      <formula>AD118</formula>
    </cfRule>
  </conditionalFormatting>
  <conditionalFormatting sqref="AH122">
    <cfRule type="iconSet" priority="125">
      <iconSet iconSet="5ArrowsGray" showValue="0">
        <cfvo type="percent" val="0"/>
        <cfvo type="formula" val="$AF$122-$AB$121" gte="0"/>
        <cfvo type="formula" val="$AF$122"/>
        <cfvo type="formula" val="$AF$122" gte="0"/>
        <cfvo type="formula" val="$AF$122+$AB$121"/>
      </iconSet>
    </cfRule>
  </conditionalFormatting>
  <conditionalFormatting sqref="AH122">
    <cfRule type="cellIs" dxfId="317" priority="126" stopIfTrue="1" operator="greaterThanOrEqual">
      <formula>AG121</formula>
    </cfRule>
    <cfRule type="cellIs" dxfId="316" priority="128" stopIfTrue="1" operator="lessThan">
      <formula>AG121</formula>
    </cfRule>
  </conditionalFormatting>
  <conditionalFormatting sqref="AH122">
    <cfRule type="cellIs" dxfId="315" priority="127" stopIfTrue="1" operator="lessThan">
      <formula>AD121</formula>
    </cfRule>
  </conditionalFormatting>
  <conditionalFormatting sqref="AI122">
    <cfRule type="iconSet" priority="121">
      <iconSet iconSet="5ArrowsGray" showValue="0">
        <cfvo type="percent" val="0"/>
        <cfvo type="formula" val="$AF$122-$AB$121" gte="0"/>
        <cfvo type="formula" val="$AF$122"/>
        <cfvo type="formula" val="$AF$122" gte="0"/>
        <cfvo type="formula" val="$AF$122+$AB$121"/>
      </iconSet>
    </cfRule>
  </conditionalFormatting>
  <conditionalFormatting sqref="AI122">
    <cfRule type="cellIs" dxfId="314" priority="122" stopIfTrue="1" operator="greaterThanOrEqual">
      <formula>AG121</formula>
    </cfRule>
    <cfRule type="cellIs" dxfId="313" priority="124" stopIfTrue="1" operator="lessThan">
      <formula>AG121</formula>
    </cfRule>
  </conditionalFormatting>
  <conditionalFormatting sqref="AI122">
    <cfRule type="cellIs" dxfId="312" priority="123" stopIfTrue="1" operator="lessThanOrEqual">
      <formula>AD121</formula>
    </cfRule>
  </conditionalFormatting>
  <conditionalFormatting sqref="AH125">
    <cfRule type="iconSet" priority="117">
      <iconSet iconSet="5ArrowsGray" showValue="0">
        <cfvo type="percent" val="0"/>
        <cfvo type="formula" val="$AF$125-$AB$124" gte="0"/>
        <cfvo type="formula" val="$AF$125"/>
        <cfvo type="formula" val="$AF$125" gte="0"/>
        <cfvo type="formula" val="$AF$125+$AB$124"/>
      </iconSet>
    </cfRule>
  </conditionalFormatting>
  <conditionalFormatting sqref="AH125">
    <cfRule type="cellIs" dxfId="311" priority="118" stopIfTrue="1" operator="greaterThanOrEqual">
      <formula>AG124</formula>
    </cfRule>
    <cfRule type="cellIs" dxfId="310" priority="120" stopIfTrue="1" operator="lessThan">
      <formula>AG124</formula>
    </cfRule>
  </conditionalFormatting>
  <conditionalFormatting sqref="AH125">
    <cfRule type="cellIs" dxfId="309" priority="119" stopIfTrue="1" operator="lessThan">
      <formula>AD124</formula>
    </cfRule>
  </conditionalFormatting>
  <conditionalFormatting sqref="AI125">
    <cfRule type="iconSet" priority="113">
      <iconSet iconSet="5ArrowsGray" showValue="0">
        <cfvo type="percent" val="0"/>
        <cfvo type="formula" val="$AF$125-$AB$124" gte="0"/>
        <cfvo type="formula" val="$AF$125"/>
        <cfvo type="formula" val="$AF$125" gte="0"/>
        <cfvo type="formula" val="$AF$125+$AB$124"/>
      </iconSet>
    </cfRule>
  </conditionalFormatting>
  <conditionalFormatting sqref="AI125">
    <cfRule type="cellIs" dxfId="308" priority="114" stopIfTrue="1" operator="greaterThanOrEqual">
      <formula>AG124</formula>
    </cfRule>
    <cfRule type="cellIs" dxfId="307" priority="116" stopIfTrue="1" operator="lessThan">
      <formula>AG124</formula>
    </cfRule>
  </conditionalFormatting>
  <conditionalFormatting sqref="AI125">
    <cfRule type="cellIs" dxfId="306" priority="115" stopIfTrue="1" operator="lessThanOrEqual">
      <formula>AD124</formula>
    </cfRule>
  </conditionalFormatting>
  <conditionalFormatting sqref="AH128">
    <cfRule type="iconSet" priority="109">
      <iconSet iconSet="5ArrowsGray" showValue="0">
        <cfvo type="percent" val="0"/>
        <cfvo type="formula" val="$AF$128-$AB$127" gte="0"/>
        <cfvo type="formula" val="$AF$128"/>
        <cfvo type="formula" val="$AF$128" gte="0"/>
        <cfvo type="formula" val="$AF$128+$AB$127"/>
      </iconSet>
    </cfRule>
  </conditionalFormatting>
  <conditionalFormatting sqref="AH128">
    <cfRule type="cellIs" dxfId="305" priority="110" stopIfTrue="1" operator="greaterThanOrEqual">
      <formula>AG127</formula>
    </cfRule>
    <cfRule type="cellIs" dxfId="304" priority="112" stopIfTrue="1" operator="lessThan">
      <formula>AG127</formula>
    </cfRule>
  </conditionalFormatting>
  <conditionalFormatting sqref="AH128">
    <cfRule type="cellIs" dxfId="303" priority="111" stopIfTrue="1" operator="lessThan">
      <formula>AD127</formula>
    </cfRule>
  </conditionalFormatting>
  <conditionalFormatting sqref="AI128">
    <cfRule type="iconSet" priority="105">
      <iconSet iconSet="5ArrowsGray" showValue="0">
        <cfvo type="percent" val="0"/>
        <cfvo type="formula" val="$AF$128-$AB$127" gte="0"/>
        <cfvo type="formula" val="$AF$128"/>
        <cfvo type="formula" val="$AF$128" gte="0"/>
        <cfvo type="formula" val="$AF$128+$AB$127"/>
      </iconSet>
    </cfRule>
  </conditionalFormatting>
  <conditionalFormatting sqref="AI128">
    <cfRule type="cellIs" dxfId="302" priority="106" stopIfTrue="1" operator="greaterThanOrEqual">
      <formula>AG127</formula>
    </cfRule>
    <cfRule type="cellIs" dxfId="301" priority="108" stopIfTrue="1" operator="lessThan">
      <formula>AG127</formula>
    </cfRule>
  </conditionalFormatting>
  <conditionalFormatting sqref="AI128">
    <cfRule type="cellIs" dxfId="300" priority="107" stopIfTrue="1" operator="lessThanOrEqual">
      <formula>AD127</formula>
    </cfRule>
  </conditionalFormatting>
  <conditionalFormatting sqref="AH131">
    <cfRule type="iconSet" priority="101">
      <iconSet iconSet="5ArrowsGray" showValue="0">
        <cfvo type="percent" val="0"/>
        <cfvo type="formula" val="$AF$131-$AB$130" gte="0"/>
        <cfvo type="formula" val="$AF$131"/>
        <cfvo type="formula" val="$AF$131" gte="0"/>
        <cfvo type="formula" val="$AF$131+$AB$130"/>
      </iconSet>
    </cfRule>
  </conditionalFormatting>
  <conditionalFormatting sqref="AH131">
    <cfRule type="cellIs" dxfId="299" priority="102" stopIfTrue="1" operator="greaterThanOrEqual">
      <formula>AG130</formula>
    </cfRule>
    <cfRule type="cellIs" dxfId="298" priority="104" stopIfTrue="1" operator="lessThan">
      <formula>AG130</formula>
    </cfRule>
  </conditionalFormatting>
  <conditionalFormatting sqref="AH131">
    <cfRule type="cellIs" dxfId="297" priority="103" stopIfTrue="1" operator="lessThan">
      <formula>AD130</formula>
    </cfRule>
  </conditionalFormatting>
  <conditionalFormatting sqref="AI131">
    <cfRule type="iconSet" priority="97">
      <iconSet iconSet="5ArrowsGray" showValue="0">
        <cfvo type="percent" val="0"/>
        <cfvo type="formula" val="$AF$131-$AB$130" gte="0"/>
        <cfvo type="formula" val="$AF$131"/>
        <cfvo type="formula" val="$AF$131" gte="0"/>
        <cfvo type="formula" val="$AF$131+$AB$130"/>
      </iconSet>
    </cfRule>
  </conditionalFormatting>
  <conditionalFormatting sqref="AI131">
    <cfRule type="cellIs" dxfId="296" priority="98" stopIfTrue="1" operator="greaterThanOrEqual">
      <formula>AG130</formula>
    </cfRule>
    <cfRule type="cellIs" dxfId="295" priority="100" stopIfTrue="1" operator="lessThan">
      <formula>AG130</formula>
    </cfRule>
  </conditionalFormatting>
  <conditionalFormatting sqref="AI131">
    <cfRule type="cellIs" dxfId="294" priority="99" stopIfTrue="1" operator="lessThanOrEqual">
      <formula>AD130</formula>
    </cfRule>
  </conditionalFormatting>
  <conditionalFormatting sqref="AH134">
    <cfRule type="iconSet" priority="93">
      <iconSet iconSet="5ArrowsGray" showValue="0">
        <cfvo type="percent" val="0"/>
        <cfvo type="formula" val="$AF$134-$AB$133" gte="0"/>
        <cfvo type="formula" val="$AF$134"/>
        <cfvo type="formula" val="$AF$134" gte="0"/>
        <cfvo type="formula" val="$AF$134+$AB$133"/>
      </iconSet>
    </cfRule>
  </conditionalFormatting>
  <conditionalFormatting sqref="AH134">
    <cfRule type="cellIs" dxfId="293" priority="94" stopIfTrue="1" operator="greaterThanOrEqual">
      <formula>AG133</formula>
    </cfRule>
    <cfRule type="cellIs" dxfId="292" priority="96" stopIfTrue="1" operator="lessThan">
      <formula>AG133</formula>
    </cfRule>
  </conditionalFormatting>
  <conditionalFormatting sqref="AH134">
    <cfRule type="cellIs" dxfId="291" priority="95" stopIfTrue="1" operator="lessThan">
      <formula>AD133</formula>
    </cfRule>
  </conditionalFormatting>
  <conditionalFormatting sqref="AI134">
    <cfRule type="iconSet" priority="89">
      <iconSet iconSet="5ArrowsGray" showValue="0">
        <cfvo type="percent" val="0"/>
        <cfvo type="formula" val="$AF$134-$AB$133" gte="0"/>
        <cfvo type="formula" val="$AF$134"/>
        <cfvo type="formula" val="$AF$134" gte="0"/>
        <cfvo type="formula" val="$AF$134+$AB$133"/>
      </iconSet>
    </cfRule>
  </conditionalFormatting>
  <conditionalFormatting sqref="AI134">
    <cfRule type="cellIs" dxfId="290" priority="90" stopIfTrue="1" operator="greaterThanOrEqual">
      <formula>AG133</formula>
    </cfRule>
    <cfRule type="cellIs" dxfId="289" priority="92" stopIfTrue="1" operator="lessThan">
      <formula>AG133</formula>
    </cfRule>
  </conditionalFormatting>
  <conditionalFormatting sqref="AI134">
    <cfRule type="cellIs" dxfId="288" priority="91" stopIfTrue="1" operator="lessThanOrEqual">
      <formula>AD133</formula>
    </cfRule>
  </conditionalFormatting>
  <conditionalFormatting sqref="AH137">
    <cfRule type="iconSet" priority="85">
      <iconSet iconSet="5ArrowsGray" showValue="0">
        <cfvo type="percent" val="0"/>
        <cfvo type="formula" val="$AF$137-$AB$136" gte="0"/>
        <cfvo type="formula" val="$AF$137"/>
        <cfvo type="formula" val="$AF$137" gte="0"/>
        <cfvo type="formula" val="$AF$137+$AB$136"/>
      </iconSet>
    </cfRule>
  </conditionalFormatting>
  <conditionalFormatting sqref="AH137">
    <cfRule type="cellIs" dxfId="287" priority="86" stopIfTrue="1" operator="greaterThanOrEqual">
      <formula>AG136</formula>
    </cfRule>
    <cfRule type="cellIs" dxfId="286" priority="88" stopIfTrue="1" operator="lessThan">
      <formula>AG136</formula>
    </cfRule>
  </conditionalFormatting>
  <conditionalFormatting sqref="AH137">
    <cfRule type="cellIs" dxfId="285" priority="87" stopIfTrue="1" operator="lessThan">
      <formula>AD136</formula>
    </cfRule>
  </conditionalFormatting>
  <conditionalFormatting sqref="AI137">
    <cfRule type="iconSet" priority="81">
      <iconSet iconSet="5ArrowsGray" showValue="0">
        <cfvo type="percent" val="0"/>
        <cfvo type="formula" val="$AF$137-$AB$136" gte="0"/>
        <cfvo type="formula" val="$AF$137"/>
        <cfvo type="formula" val="$AF$137" gte="0"/>
        <cfvo type="formula" val="$AF$137+$AB$136"/>
      </iconSet>
    </cfRule>
  </conditionalFormatting>
  <conditionalFormatting sqref="AI137">
    <cfRule type="cellIs" dxfId="284" priority="82" stopIfTrue="1" operator="greaterThanOrEqual">
      <formula>AG136</formula>
    </cfRule>
    <cfRule type="cellIs" dxfId="283" priority="84" stopIfTrue="1" operator="lessThan">
      <formula>AG136</formula>
    </cfRule>
  </conditionalFormatting>
  <conditionalFormatting sqref="AI137">
    <cfRule type="cellIs" dxfId="282" priority="83" stopIfTrue="1" operator="lessThanOrEqual">
      <formula>AD136</formula>
    </cfRule>
  </conditionalFormatting>
  <conditionalFormatting sqref="AH140">
    <cfRule type="iconSet" priority="77">
      <iconSet iconSet="5ArrowsGray" showValue="0">
        <cfvo type="percent" val="0"/>
        <cfvo type="formula" val="$AF$140-$AB$139" gte="0"/>
        <cfvo type="formula" val="$AF$140"/>
        <cfvo type="formula" val="$AF$140" gte="0"/>
        <cfvo type="formula" val="$AF$140+$AB$139"/>
      </iconSet>
    </cfRule>
  </conditionalFormatting>
  <conditionalFormatting sqref="AH140">
    <cfRule type="cellIs" dxfId="281" priority="78" stopIfTrue="1" operator="greaterThanOrEqual">
      <formula>AG139</formula>
    </cfRule>
    <cfRule type="cellIs" dxfId="280" priority="80" stopIfTrue="1" operator="lessThan">
      <formula>AG139</formula>
    </cfRule>
  </conditionalFormatting>
  <conditionalFormatting sqref="AH140">
    <cfRule type="cellIs" dxfId="279" priority="79" stopIfTrue="1" operator="lessThan">
      <formula>AD139</formula>
    </cfRule>
  </conditionalFormatting>
  <conditionalFormatting sqref="AI140">
    <cfRule type="iconSet" priority="73">
      <iconSet iconSet="5ArrowsGray" showValue="0">
        <cfvo type="percent" val="0"/>
        <cfvo type="formula" val="$AF$140-$AB$139" gte="0"/>
        <cfvo type="formula" val="$AF$140"/>
        <cfvo type="formula" val="$AF$140" gte="0"/>
        <cfvo type="formula" val="$AF$140+$AB$139"/>
      </iconSet>
    </cfRule>
  </conditionalFormatting>
  <conditionalFormatting sqref="AI140">
    <cfRule type="cellIs" dxfId="278" priority="74" stopIfTrue="1" operator="greaterThanOrEqual">
      <formula>AG139</formula>
    </cfRule>
    <cfRule type="cellIs" dxfId="277" priority="76" stopIfTrue="1" operator="lessThan">
      <formula>AG139</formula>
    </cfRule>
  </conditionalFormatting>
  <conditionalFormatting sqref="AI140">
    <cfRule type="cellIs" dxfId="276" priority="75" stopIfTrue="1" operator="lessThanOrEqual">
      <formula>AD139</formula>
    </cfRule>
  </conditionalFormatting>
  <conditionalFormatting sqref="AH143">
    <cfRule type="iconSet" priority="69">
      <iconSet iconSet="5ArrowsGray" showValue="0">
        <cfvo type="percent" val="0"/>
        <cfvo type="formula" val="$AF$143-$AB$142" gte="0"/>
        <cfvo type="formula" val="$AF$143"/>
        <cfvo type="formula" val="$AF$143" gte="0"/>
        <cfvo type="formula" val="$AF$143+$AB$142"/>
      </iconSet>
    </cfRule>
  </conditionalFormatting>
  <conditionalFormatting sqref="AH143">
    <cfRule type="cellIs" dxfId="275" priority="70" stopIfTrue="1" operator="greaterThanOrEqual">
      <formula>AG142</formula>
    </cfRule>
    <cfRule type="cellIs" dxfId="274" priority="72" stopIfTrue="1" operator="lessThan">
      <formula>AG142</formula>
    </cfRule>
  </conditionalFormatting>
  <conditionalFormatting sqref="AH143">
    <cfRule type="cellIs" dxfId="273" priority="71" stopIfTrue="1" operator="lessThan">
      <formula>AD142</formula>
    </cfRule>
  </conditionalFormatting>
  <conditionalFormatting sqref="AI143">
    <cfRule type="iconSet" priority="65">
      <iconSet iconSet="5ArrowsGray" showValue="0">
        <cfvo type="percent" val="0"/>
        <cfvo type="formula" val="$AF$143-$AB$142" gte="0"/>
        <cfvo type="formula" val="$AF$143"/>
        <cfvo type="formula" val="$AF$143" gte="0"/>
        <cfvo type="formula" val="$AF$143+$AB$142"/>
      </iconSet>
    </cfRule>
  </conditionalFormatting>
  <conditionalFormatting sqref="AI143">
    <cfRule type="cellIs" dxfId="272" priority="66" stopIfTrue="1" operator="greaterThanOrEqual">
      <formula>AG142</formula>
    </cfRule>
    <cfRule type="cellIs" dxfId="271" priority="68" stopIfTrue="1" operator="lessThan">
      <formula>AG142</formula>
    </cfRule>
  </conditionalFormatting>
  <conditionalFormatting sqref="AI143">
    <cfRule type="cellIs" dxfId="270" priority="67" stopIfTrue="1" operator="lessThanOrEqual">
      <formula>AD142</formula>
    </cfRule>
  </conditionalFormatting>
  <conditionalFormatting sqref="AH146">
    <cfRule type="iconSet" priority="61">
      <iconSet iconSet="5ArrowsGray" showValue="0">
        <cfvo type="percent" val="0"/>
        <cfvo type="formula" val="$AF$146-$AB$145" gte="0"/>
        <cfvo type="formula" val="$AF$146"/>
        <cfvo type="formula" val="$AF$146" gte="0"/>
        <cfvo type="formula" val="$AF$146+$AB$145"/>
      </iconSet>
    </cfRule>
  </conditionalFormatting>
  <conditionalFormatting sqref="AH146">
    <cfRule type="cellIs" dxfId="269" priority="62" stopIfTrue="1" operator="greaterThanOrEqual">
      <formula>AG145</formula>
    </cfRule>
    <cfRule type="cellIs" dxfId="268" priority="64" stopIfTrue="1" operator="lessThan">
      <formula>AG145</formula>
    </cfRule>
  </conditionalFormatting>
  <conditionalFormatting sqref="AH146">
    <cfRule type="cellIs" dxfId="267" priority="63" stopIfTrue="1" operator="lessThan">
      <formula>AD145</formula>
    </cfRule>
  </conditionalFormatting>
  <conditionalFormatting sqref="AI146">
    <cfRule type="iconSet" priority="57">
      <iconSet iconSet="5ArrowsGray" showValue="0">
        <cfvo type="percent" val="0"/>
        <cfvo type="formula" val="$AF$146-$AB$145" gte="0"/>
        <cfvo type="formula" val="$AF$146"/>
        <cfvo type="formula" val="$AF$146" gte="0"/>
        <cfvo type="formula" val="$AF$146+$AB$145"/>
      </iconSet>
    </cfRule>
  </conditionalFormatting>
  <conditionalFormatting sqref="AI146">
    <cfRule type="cellIs" dxfId="266" priority="58" stopIfTrue="1" operator="greaterThanOrEqual">
      <formula>AG145</formula>
    </cfRule>
    <cfRule type="cellIs" dxfId="265" priority="60" stopIfTrue="1" operator="lessThan">
      <formula>AG145</formula>
    </cfRule>
  </conditionalFormatting>
  <conditionalFormatting sqref="AI146">
    <cfRule type="cellIs" dxfId="264" priority="59" stopIfTrue="1" operator="lessThanOrEqual">
      <formula>AD145</formula>
    </cfRule>
  </conditionalFormatting>
  <conditionalFormatting sqref="AO5">
    <cfRule type="iconSet" priority="53">
      <iconSet iconSet="5ArrowsGray" showValue="0">
        <cfvo type="percent" val="0"/>
        <cfvo type="formula" val="$AM$5-$AB$4" gte="0"/>
        <cfvo type="formula" val="$AM$5"/>
        <cfvo type="formula" val="$AM$5" gte="0"/>
        <cfvo type="formula" val="$AM$5+$AB$4"/>
      </iconSet>
    </cfRule>
  </conditionalFormatting>
  <conditionalFormatting sqref="AO5">
    <cfRule type="cellIs" dxfId="263" priority="54" stopIfTrue="1" operator="greaterThanOrEqual">
      <formula>AN4</formula>
    </cfRule>
    <cfRule type="cellIs" dxfId="262" priority="56" stopIfTrue="1" operator="lessThan">
      <formula>AN4</formula>
    </cfRule>
  </conditionalFormatting>
  <conditionalFormatting sqref="AO5">
    <cfRule type="cellIs" dxfId="261" priority="55" stopIfTrue="1" operator="lessThan">
      <formula>AK4</formula>
    </cfRule>
  </conditionalFormatting>
  <conditionalFormatting sqref="AP5">
    <cfRule type="iconSet" priority="49">
      <iconSet iconSet="5ArrowsGray" showValue="0">
        <cfvo type="percent" val="0"/>
        <cfvo type="formula" val="$AM$5-$AB$4" gte="0"/>
        <cfvo type="formula" val="$AM$5"/>
        <cfvo type="formula" val="$AM$5" gte="0"/>
        <cfvo type="formula" val="$AM$5+$AB$4"/>
      </iconSet>
    </cfRule>
  </conditionalFormatting>
  <conditionalFormatting sqref="AP5">
    <cfRule type="cellIs" dxfId="260" priority="50" stopIfTrue="1" operator="greaterThanOrEqual">
      <formula>AN4</formula>
    </cfRule>
    <cfRule type="cellIs" dxfId="259" priority="52" stopIfTrue="1" operator="lessThan">
      <formula>AN4</formula>
    </cfRule>
  </conditionalFormatting>
  <conditionalFormatting sqref="AP5">
    <cfRule type="cellIs" dxfId="258" priority="51" stopIfTrue="1" operator="lessThanOrEqual">
      <formula>AK4</formula>
    </cfRule>
  </conditionalFormatting>
  <conditionalFormatting sqref="AO23">
    <cfRule type="iconSet" priority="45">
      <iconSet iconSet="5ArrowsGray" showValue="0">
        <cfvo type="percent" val="0"/>
        <cfvo type="formula" val="$AM$23-$AB$22" gte="0"/>
        <cfvo type="formula" val="$AM$23"/>
        <cfvo type="formula" val="$AM$23" gte="0"/>
        <cfvo type="formula" val="$AM$23+$AB$22"/>
      </iconSet>
    </cfRule>
  </conditionalFormatting>
  <conditionalFormatting sqref="AO23">
    <cfRule type="cellIs" dxfId="257" priority="46" stopIfTrue="1" operator="greaterThanOrEqual">
      <formula>AN22</formula>
    </cfRule>
    <cfRule type="cellIs" dxfId="256" priority="48" stopIfTrue="1" operator="lessThan">
      <formula>AN22</formula>
    </cfRule>
  </conditionalFormatting>
  <conditionalFormatting sqref="AO23">
    <cfRule type="cellIs" dxfId="255" priority="47" stopIfTrue="1" operator="lessThan">
      <formula>AK22</formula>
    </cfRule>
  </conditionalFormatting>
  <conditionalFormatting sqref="AP23">
    <cfRule type="iconSet" priority="41">
      <iconSet iconSet="5ArrowsGray" showValue="0">
        <cfvo type="percent" val="0"/>
        <cfvo type="formula" val="$AM$23-$AB$22" gte="0"/>
        <cfvo type="formula" val="$AM$23"/>
        <cfvo type="formula" val="$AM$23" gte="0"/>
        <cfvo type="formula" val="$AM$23+$AB$22"/>
      </iconSet>
    </cfRule>
  </conditionalFormatting>
  <conditionalFormatting sqref="AP23">
    <cfRule type="cellIs" dxfId="254" priority="42" stopIfTrue="1" operator="greaterThanOrEqual">
      <formula>AN22</formula>
    </cfRule>
    <cfRule type="cellIs" dxfId="253" priority="44" stopIfTrue="1" operator="lessThan">
      <formula>AN22</formula>
    </cfRule>
  </conditionalFormatting>
  <conditionalFormatting sqref="AP23">
    <cfRule type="cellIs" dxfId="252" priority="43" stopIfTrue="1" operator="lessThanOrEqual">
      <formula>AK22</formula>
    </cfRule>
  </conditionalFormatting>
  <conditionalFormatting sqref="AO44">
    <cfRule type="iconSet" priority="37">
      <iconSet iconSet="5ArrowsGray" showValue="0">
        <cfvo type="percent" val="0"/>
        <cfvo type="formula" val="$AM$44-$AB$43" gte="0"/>
        <cfvo type="formula" val="$AM$44"/>
        <cfvo type="formula" val="$AM$44" gte="0"/>
        <cfvo type="formula" val="$AM$44+$AB$43"/>
      </iconSet>
    </cfRule>
  </conditionalFormatting>
  <conditionalFormatting sqref="AO44">
    <cfRule type="cellIs" dxfId="251" priority="38" stopIfTrue="1" operator="greaterThanOrEqual">
      <formula>AN43</formula>
    </cfRule>
    <cfRule type="cellIs" dxfId="250" priority="40" stopIfTrue="1" operator="lessThan">
      <formula>AN43</formula>
    </cfRule>
  </conditionalFormatting>
  <conditionalFormatting sqref="AO44">
    <cfRule type="cellIs" dxfId="249" priority="39" stopIfTrue="1" operator="lessThan">
      <formula>AK43</formula>
    </cfRule>
  </conditionalFormatting>
  <conditionalFormatting sqref="AP44">
    <cfRule type="iconSet" priority="33">
      <iconSet iconSet="5ArrowsGray" showValue="0">
        <cfvo type="percent" val="0"/>
        <cfvo type="formula" val="$AM$44-$AB$43" gte="0"/>
        <cfvo type="formula" val="$AM$44"/>
        <cfvo type="formula" val="$AM$44" gte="0"/>
        <cfvo type="formula" val="$AM$44+$AB$43"/>
      </iconSet>
    </cfRule>
  </conditionalFormatting>
  <conditionalFormatting sqref="AP44">
    <cfRule type="cellIs" dxfId="248" priority="34" stopIfTrue="1" operator="greaterThanOrEqual">
      <formula>AN43</formula>
    </cfRule>
    <cfRule type="cellIs" dxfId="247" priority="36" stopIfTrue="1" operator="lessThan">
      <formula>AN43</formula>
    </cfRule>
  </conditionalFormatting>
  <conditionalFormatting sqref="AP44">
    <cfRule type="cellIs" dxfId="246" priority="35" stopIfTrue="1" operator="lessThanOrEqual">
      <formula>AK43</formula>
    </cfRule>
  </conditionalFormatting>
  <conditionalFormatting sqref="AO53">
    <cfRule type="iconSet" priority="29">
      <iconSet iconSet="5ArrowsGray" showValue="0">
        <cfvo type="percent" val="0"/>
        <cfvo type="formula" val="$AM$53-$AB$52" gte="0"/>
        <cfvo type="formula" val="$AM$53"/>
        <cfvo type="formula" val="$AM$53" gte="0"/>
        <cfvo type="formula" val="$AM$53+$AB$52"/>
      </iconSet>
    </cfRule>
  </conditionalFormatting>
  <conditionalFormatting sqref="AO53">
    <cfRule type="cellIs" dxfId="245" priority="30" stopIfTrue="1" operator="greaterThanOrEqual">
      <formula>AN52</formula>
    </cfRule>
    <cfRule type="cellIs" dxfId="244" priority="32" stopIfTrue="1" operator="lessThan">
      <formula>AN52</formula>
    </cfRule>
  </conditionalFormatting>
  <conditionalFormatting sqref="AO53">
    <cfRule type="cellIs" dxfId="243" priority="31" stopIfTrue="1" operator="lessThan">
      <formula>AK52</formula>
    </cfRule>
  </conditionalFormatting>
  <conditionalFormatting sqref="AP53">
    <cfRule type="iconSet" priority="25">
      <iconSet iconSet="5ArrowsGray" showValue="0">
        <cfvo type="percent" val="0"/>
        <cfvo type="formula" val="$AM$53-$AB$52" gte="0"/>
        <cfvo type="formula" val="$AM$53"/>
        <cfvo type="formula" val="$AM$53" gte="0"/>
        <cfvo type="formula" val="$AM$53+$AB$52"/>
      </iconSet>
    </cfRule>
  </conditionalFormatting>
  <conditionalFormatting sqref="AP53">
    <cfRule type="cellIs" dxfId="242" priority="26" stopIfTrue="1" operator="greaterThanOrEqual">
      <formula>AN52</formula>
    </cfRule>
    <cfRule type="cellIs" dxfId="241" priority="28" stopIfTrue="1" operator="lessThan">
      <formula>AN52</formula>
    </cfRule>
  </conditionalFormatting>
  <conditionalFormatting sqref="AP53">
    <cfRule type="cellIs" dxfId="240" priority="27" stopIfTrue="1" operator="lessThanOrEqual">
      <formula>AK52</formula>
    </cfRule>
  </conditionalFormatting>
  <conditionalFormatting sqref="AO62">
    <cfRule type="iconSet" priority="21">
      <iconSet iconSet="5ArrowsGray" showValue="0">
        <cfvo type="percent" val="0"/>
        <cfvo type="formula" val="$AM$62-$AB$4" gte="0"/>
        <cfvo type="formula" val="$AM$62"/>
        <cfvo type="formula" val="$AM$62" gte="0"/>
        <cfvo type="formula" val="$AM$62+$AB$4"/>
      </iconSet>
    </cfRule>
  </conditionalFormatting>
  <conditionalFormatting sqref="AO62">
    <cfRule type="cellIs" dxfId="239" priority="22" stopIfTrue="1" operator="greaterThanOrEqual">
      <formula>AN61</formula>
    </cfRule>
    <cfRule type="cellIs" dxfId="238" priority="24" stopIfTrue="1" operator="lessThan">
      <formula>AN61</formula>
    </cfRule>
  </conditionalFormatting>
  <conditionalFormatting sqref="AO62">
    <cfRule type="cellIs" dxfId="237" priority="23" stopIfTrue="1" operator="lessThan">
      <formula>AK61</formula>
    </cfRule>
  </conditionalFormatting>
  <conditionalFormatting sqref="AP62">
    <cfRule type="iconSet" priority="17">
      <iconSet iconSet="5ArrowsGray" showValue="0">
        <cfvo type="percent" val="0"/>
        <cfvo type="formula" val="$AM$62-$AB$4" gte="0"/>
        <cfvo type="formula" val="$AM$62"/>
        <cfvo type="formula" val="$AM$62" gte="0"/>
        <cfvo type="formula" val="$AM$62+$AB$4"/>
      </iconSet>
    </cfRule>
  </conditionalFormatting>
  <conditionalFormatting sqref="AP62">
    <cfRule type="cellIs" dxfId="236" priority="18" stopIfTrue="1" operator="greaterThanOrEqual">
      <formula>AN61</formula>
    </cfRule>
    <cfRule type="cellIs" dxfId="235" priority="20" stopIfTrue="1" operator="lessThan">
      <formula>AN61</formula>
    </cfRule>
  </conditionalFormatting>
  <conditionalFormatting sqref="AP62">
    <cfRule type="cellIs" dxfId="234" priority="19" stopIfTrue="1" operator="lessThanOrEqual">
      <formula>AK61</formula>
    </cfRule>
  </conditionalFormatting>
  <conditionalFormatting sqref="AO95">
    <cfRule type="iconSet" priority="13">
      <iconSet iconSet="5ArrowsGray" showValue="0">
        <cfvo type="percent" val="0"/>
        <cfvo type="formula" val="$AM$95-$AB$94" gte="0"/>
        <cfvo type="formula" val="$AM$95"/>
        <cfvo type="formula" val="$AM$95" gte="0"/>
        <cfvo type="formula" val="$AM$95+$AB$94"/>
      </iconSet>
    </cfRule>
  </conditionalFormatting>
  <conditionalFormatting sqref="AO95">
    <cfRule type="cellIs" dxfId="233" priority="14" stopIfTrue="1" operator="greaterThanOrEqual">
      <formula>AN94</formula>
    </cfRule>
    <cfRule type="cellIs" dxfId="232" priority="16" stopIfTrue="1" operator="lessThan">
      <formula>AN94</formula>
    </cfRule>
  </conditionalFormatting>
  <conditionalFormatting sqref="AO95">
    <cfRule type="cellIs" dxfId="231" priority="15" stopIfTrue="1" operator="lessThan">
      <formula>AK94</formula>
    </cfRule>
  </conditionalFormatting>
  <conditionalFormatting sqref="AP95">
    <cfRule type="iconSet" priority="9">
      <iconSet iconSet="5ArrowsGray" showValue="0">
        <cfvo type="percent" val="0"/>
        <cfvo type="formula" val="$AM$95-$AB$94" gte="0"/>
        <cfvo type="formula" val="$AM$95"/>
        <cfvo type="formula" val="$AM$95" gte="0"/>
        <cfvo type="formula" val="$AM$95+$AB$94"/>
      </iconSet>
    </cfRule>
  </conditionalFormatting>
  <conditionalFormatting sqref="AP95">
    <cfRule type="cellIs" dxfId="230" priority="10" stopIfTrue="1" operator="greaterThanOrEqual">
      <formula>AN94</formula>
    </cfRule>
    <cfRule type="cellIs" dxfId="229" priority="12" stopIfTrue="1" operator="lessThan">
      <formula>AN94</formula>
    </cfRule>
  </conditionalFormatting>
  <conditionalFormatting sqref="AP95">
    <cfRule type="cellIs" dxfId="228" priority="11" stopIfTrue="1" operator="lessThanOrEqual">
      <formula>AK94</formula>
    </cfRule>
  </conditionalFormatting>
  <conditionalFormatting sqref="AO113">
    <cfRule type="iconSet" priority="5">
      <iconSet iconSet="5ArrowsGray" showValue="0">
        <cfvo type="percent" val="0"/>
        <cfvo type="formula" val="$AM$113-$AB$4" gte="0"/>
        <cfvo type="formula" val="$AM$113"/>
        <cfvo type="formula" val="$AM$113" gte="0"/>
        <cfvo type="formula" val="$AM$113+$AB$4"/>
      </iconSet>
    </cfRule>
  </conditionalFormatting>
  <conditionalFormatting sqref="AO113">
    <cfRule type="cellIs" dxfId="227" priority="6" stopIfTrue="1" operator="greaterThanOrEqual">
      <formula>AN112</formula>
    </cfRule>
    <cfRule type="cellIs" dxfId="226" priority="8" stopIfTrue="1" operator="lessThan">
      <formula>AN112</formula>
    </cfRule>
  </conditionalFormatting>
  <conditionalFormatting sqref="AO113">
    <cfRule type="cellIs" dxfId="225" priority="7" stopIfTrue="1" operator="lessThan">
      <formula>AK112</formula>
    </cfRule>
  </conditionalFormatting>
  <conditionalFormatting sqref="AP113">
    <cfRule type="iconSet" priority="1">
      <iconSet iconSet="5ArrowsGray" showValue="0">
        <cfvo type="percent" val="0"/>
        <cfvo type="formula" val="$AM$113-$AB$4" gte="0"/>
        <cfvo type="formula" val="$AM$113"/>
        <cfvo type="formula" val="$AM$113" gte="0"/>
        <cfvo type="formula" val="$AM$113+$AB$4"/>
      </iconSet>
    </cfRule>
  </conditionalFormatting>
  <conditionalFormatting sqref="AP113">
    <cfRule type="cellIs" dxfId="224" priority="2" stopIfTrue="1" operator="greaterThanOrEqual">
      <formula>AN112</formula>
    </cfRule>
    <cfRule type="cellIs" dxfId="223" priority="4" stopIfTrue="1" operator="lessThan">
      <formula>AN112</formula>
    </cfRule>
  </conditionalFormatting>
  <conditionalFormatting sqref="AP113">
    <cfRule type="cellIs" dxfId="222" priority="3" stopIfTrue="1" operator="lessThanOrEqual">
      <formula>AK112</formula>
    </cfRule>
  </conditionalFormatting>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6600"/>
    <pageSetUpPr fitToPage="1"/>
  </sheetPr>
  <dimension ref="A1:X214"/>
  <sheetViews>
    <sheetView topLeftCell="A56" workbookViewId="0">
      <pane xSplit="3" topLeftCell="D1" activePane="topRight" state="frozen"/>
      <selection activeCell="P22" sqref="P22:S22"/>
      <selection pane="topRight" activeCell="P22" sqref="P22:S22"/>
    </sheetView>
  </sheetViews>
  <sheetFormatPr defaultColWidth="8.85546875" defaultRowHeight="12.75"/>
  <cols>
    <col min="1" max="1" width="20.85546875" style="4" customWidth="1"/>
    <col min="2" max="2" width="40.85546875" style="4" customWidth="1"/>
    <col min="3" max="3" width="15.85546875" style="27" customWidth="1"/>
    <col min="4" max="23" width="5.85546875" style="4" customWidth="1"/>
    <col min="24" max="24" width="30.85546875" style="4" customWidth="1"/>
    <col min="25" max="16384" width="8.85546875" style="4"/>
  </cols>
  <sheetData>
    <row r="1" spans="1:24" s="67" customFormat="1" ht="32.25" thickBot="1">
      <c r="A1" s="3" t="s">
        <v>0</v>
      </c>
      <c r="B1" s="64" t="s">
        <v>231</v>
      </c>
      <c r="C1" s="65" t="s">
        <v>270</v>
      </c>
      <c r="D1" s="65"/>
      <c r="E1" s="65"/>
      <c r="F1" s="65"/>
      <c r="G1" s="65"/>
      <c r="H1" s="65"/>
      <c r="I1" s="65"/>
      <c r="J1" s="65"/>
      <c r="K1" s="65"/>
      <c r="L1" s="65"/>
      <c r="M1" s="65"/>
      <c r="N1" s="65"/>
      <c r="O1" s="65"/>
      <c r="P1" s="65"/>
      <c r="Q1" s="65"/>
      <c r="R1" s="65"/>
      <c r="S1" s="65"/>
      <c r="T1" s="65"/>
      <c r="U1" s="65"/>
      <c r="V1" s="65"/>
      <c r="W1" s="65"/>
      <c r="X1" s="66"/>
    </row>
    <row r="2" spans="1:24">
      <c r="A2" s="5"/>
      <c r="B2" s="5"/>
      <c r="C2" s="6"/>
      <c r="D2" s="5"/>
      <c r="E2" s="5"/>
      <c r="F2" s="5"/>
      <c r="G2" s="5"/>
      <c r="H2" s="5"/>
      <c r="I2" s="5"/>
      <c r="J2" s="5"/>
      <c r="K2" s="5"/>
      <c r="L2" s="5"/>
      <c r="M2" s="5"/>
      <c r="N2" s="5"/>
      <c r="O2" s="5"/>
      <c r="P2" s="5"/>
      <c r="Q2" s="5"/>
      <c r="R2" s="5"/>
      <c r="S2" s="5"/>
      <c r="T2" s="5"/>
      <c r="U2" s="5"/>
      <c r="V2" s="5"/>
      <c r="W2" s="5"/>
      <c r="X2" s="5"/>
    </row>
    <row r="3" spans="1:24" ht="13.5" thickBot="1">
      <c r="A3" s="5"/>
      <c r="B3" s="5"/>
      <c r="C3" s="6"/>
      <c r="D3" s="5"/>
      <c r="E3" s="5"/>
      <c r="F3" s="5"/>
      <c r="G3" s="5"/>
      <c r="H3" s="5"/>
      <c r="I3" s="5"/>
      <c r="J3" s="5"/>
      <c r="K3" s="5"/>
      <c r="L3" s="5"/>
      <c r="M3" s="5"/>
      <c r="N3" s="5"/>
      <c r="O3" s="5"/>
      <c r="P3" s="5"/>
      <c r="Q3" s="5"/>
      <c r="R3" s="5"/>
      <c r="S3" s="5"/>
      <c r="T3" s="5"/>
      <c r="U3" s="5"/>
      <c r="V3" s="5"/>
      <c r="W3" s="5"/>
      <c r="X3" s="5"/>
    </row>
    <row r="4" spans="1:24" ht="13.5" thickBot="1">
      <c r="A4" s="7" t="s">
        <v>50</v>
      </c>
      <c r="B4" s="97" t="s">
        <v>51</v>
      </c>
      <c r="C4" s="8"/>
      <c r="D4" s="927" t="s">
        <v>79</v>
      </c>
      <c r="E4" s="928"/>
      <c r="F4" s="928"/>
      <c r="G4" s="929"/>
      <c r="H4" s="927" t="s">
        <v>80</v>
      </c>
      <c r="I4" s="928"/>
      <c r="J4" s="928"/>
      <c r="K4" s="929"/>
      <c r="L4" s="927" t="s">
        <v>81</v>
      </c>
      <c r="M4" s="928"/>
      <c r="N4" s="928"/>
      <c r="O4" s="929"/>
      <c r="P4" s="927" t="s">
        <v>254</v>
      </c>
      <c r="Q4" s="928"/>
      <c r="R4" s="928"/>
      <c r="S4" s="929"/>
      <c r="T4" s="927" t="s">
        <v>76</v>
      </c>
      <c r="U4" s="928"/>
      <c r="V4" s="928"/>
      <c r="W4" s="929"/>
      <c r="X4" s="991"/>
    </row>
    <row r="5" spans="1:24" ht="13.5" thickBot="1">
      <c r="A5" s="868" t="s">
        <v>43</v>
      </c>
      <c r="B5" s="868" t="s">
        <v>46</v>
      </c>
      <c r="C5" s="9" t="s">
        <v>2</v>
      </c>
      <c r="D5" s="983" t="s">
        <v>82</v>
      </c>
      <c r="E5" s="984"/>
      <c r="F5" s="984"/>
      <c r="G5" s="984"/>
      <c r="H5" s="984"/>
      <c r="I5" s="984"/>
      <c r="J5" s="984"/>
      <c r="K5" s="984"/>
      <c r="L5" s="984"/>
      <c r="M5" s="984"/>
      <c r="N5" s="984"/>
      <c r="O5" s="984"/>
      <c r="P5" s="984"/>
      <c r="Q5" s="984"/>
      <c r="R5" s="984"/>
      <c r="S5" s="984"/>
      <c r="T5" s="984"/>
      <c r="U5" s="984"/>
      <c r="V5" s="984"/>
      <c r="W5" s="985"/>
      <c r="X5" s="992"/>
    </row>
    <row r="6" spans="1:24" ht="13.5" thickBot="1">
      <c r="A6" s="885"/>
      <c r="B6" s="885"/>
      <c r="C6" s="10" t="s">
        <v>3</v>
      </c>
      <c r="D6" s="986"/>
      <c r="E6" s="987"/>
      <c r="F6" s="987"/>
      <c r="G6" s="987"/>
      <c r="H6" s="987"/>
      <c r="I6" s="987"/>
      <c r="J6" s="987"/>
      <c r="K6" s="987"/>
      <c r="L6" s="987"/>
      <c r="M6" s="987"/>
      <c r="N6" s="987"/>
      <c r="O6" s="987"/>
      <c r="P6" s="987"/>
      <c r="Q6" s="987"/>
      <c r="R6" s="987"/>
      <c r="S6" s="987"/>
      <c r="T6" s="987"/>
      <c r="U6" s="987"/>
      <c r="V6" s="987"/>
      <c r="W6" s="988"/>
      <c r="X6" s="992"/>
    </row>
    <row r="7" spans="1:24" ht="13.5" thickBot="1">
      <c r="A7" s="885"/>
      <c r="B7" s="885"/>
      <c r="C7" s="922" t="s">
        <v>413</v>
      </c>
      <c r="D7" s="989" t="s">
        <v>4</v>
      </c>
      <c r="E7" s="990"/>
      <c r="F7" s="990"/>
      <c r="G7" s="990"/>
      <c r="H7" s="990"/>
      <c r="I7" s="990"/>
      <c r="J7" s="990"/>
      <c r="K7" s="990"/>
      <c r="L7" s="990"/>
      <c r="M7" s="990"/>
      <c r="N7" s="990"/>
      <c r="O7" s="990"/>
      <c r="P7" s="990"/>
      <c r="Q7" s="990"/>
      <c r="R7" s="990"/>
      <c r="S7" s="990"/>
      <c r="T7" s="990"/>
      <c r="U7" s="990"/>
      <c r="V7" s="990"/>
      <c r="W7" s="990"/>
      <c r="X7" s="992"/>
    </row>
    <row r="8" spans="1:24" ht="13.5" thickBot="1">
      <c r="A8" s="885"/>
      <c r="B8" s="869"/>
      <c r="C8" s="923"/>
      <c r="D8" s="930" t="s">
        <v>85</v>
      </c>
      <c r="E8" s="931"/>
      <c r="F8" s="931"/>
      <c r="G8" s="931"/>
      <c r="H8" s="931"/>
      <c r="I8" s="931"/>
      <c r="J8" s="931"/>
      <c r="K8" s="931"/>
      <c r="L8" s="931"/>
      <c r="M8" s="931"/>
      <c r="N8" s="931"/>
      <c r="O8" s="931"/>
      <c r="P8" s="931"/>
      <c r="Q8" s="931"/>
      <c r="R8" s="931"/>
      <c r="S8" s="931"/>
      <c r="T8" s="931"/>
      <c r="U8" s="931"/>
      <c r="V8" s="931"/>
      <c r="W8" s="932"/>
      <c r="X8" s="992"/>
    </row>
    <row r="9" spans="1:24" ht="13.5" thickBot="1">
      <c r="A9" s="885"/>
      <c r="B9" s="11" t="s">
        <v>52</v>
      </c>
      <c r="C9" s="12"/>
      <c r="D9" s="927" t="s">
        <v>79</v>
      </c>
      <c r="E9" s="928"/>
      <c r="F9" s="928"/>
      <c r="G9" s="929"/>
      <c r="H9" s="927" t="s">
        <v>80</v>
      </c>
      <c r="I9" s="928"/>
      <c r="J9" s="928"/>
      <c r="K9" s="929"/>
      <c r="L9" s="927" t="s">
        <v>81</v>
      </c>
      <c r="M9" s="928"/>
      <c r="N9" s="928"/>
      <c r="O9" s="929"/>
      <c r="P9" s="927" t="s">
        <v>254</v>
      </c>
      <c r="Q9" s="928"/>
      <c r="R9" s="928"/>
      <c r="S9" s="929"/>
      <c r="T9" s="927" t="s">
        <v>76</v>
      </c>
      <c r="U9" s="928"/>
      <c r="V9" s="928"/>
      <c r="W9" s="929"/>
      <c r="X9" s="992"/>
    </row>
    <row r="10" spans="1:24" ht="13.5" thickBot="1">
      <c r="A10" s="885"/>
      <c r="B10" s="868" t="s">
        <v>45</v>
      </c>
      <c r="C10" s="13" t="s">
        <v>2</v>
      </c>
      <c r="D10" s="930" t="s">
        <v>86</v>
      </c>
      <c r="E10" s="931"/>
      <c r="F10" s="931"/>
      <c r="G10" s="931"/>
      <c r="H10" s="931"/>
      <c r="I10" s="931"/>
      <c r="J10" s="931"/>
      <c r="K10" s="931"/>
      <c r="L10" s="931"/>
      <c r="M10" s="931"/>
      <c r="N10" s="931"/>
      <c r="O10" s="931"/>
      <c r="P10" s="931"/>
      <c r="Q10" s="931"/>
      <c r="R10" s="931"/>
      <c r="S10" s="931"/>
      <c r="T10" s="931"/>
      <c r="U10" s="931"/>
      <c r="V10" s="931"/>
      <c r="W10" s="932"/>
      <c r="X10" s="992"/>
    </row>
    <row r="11" spans="1:24" ht="13.5" thickBot="1">
      <c r="A11" s="885"/>
      <c r="B11" s="885"/>
      <c r="C11" s="10" t="s">
        <v>3</v>
      </c>
      <c r="D11" s="986"/>
      <c r="E11" s="987"/>
      <c r="F11" s="987"/>
      <c r="G11" s="987"/>
      <c r="H11" s="987"/>
      <c r="I11" s="987"/>
      <c r="J11" s="987"/>
      <c r="K11" s="987"/>
      <c r="L11" s="987"/>
      <c r="M11" s="987"/>
      <c r="N11" s="987"/>
      <c r="O11" s="987"/>
      <c r="P11" s="987"/>
      <c r="Q11" s="987"/>
      <c r="R11" s="987"/>
      <c r="S11" s="987"/>
      <c r="T11" s="987"/>
      <c r="U11" s="987"/>
      <c r="V11" s="987"/>
      <c r="W11" s="988"/>
      <c r="X11" s="992"/>
    </row>
    <row r="12" spans="1:24" ht="13.5" thickBot="1">
      <c r="A12" s="885"/>
      <c r="B12" s="885"/>
      <c r="C12" s="922" t="s">
        <v>413</v>
      </c>
      <c r="D12" s="927" t="s">
        <v>4</v>
      </c>
      <c r="E12" s="928"/>
      <c r="F12" s="928"/>
      <c r="G12" s="928"/>
      <c r="H12" s="928"/>
      <c r="I12" s="928"/>
      <c r="J12" s="928"/>
      <c r="K12" s="928"/>
      <c r="L12" s="928"/>
      <c r="M12" s="928"/>
      <c r="N12" s="928"/>
      <c r="O12" s="928"/>
      <c r="P12" s="928"/>
      <c r="Q12" s="928"/>
      <c r="R12" s="928"/>
      <c r="S12" s="928"/>
      <c r="T12" s="928"/>
      <c r="U12" s="928"/>
      <c r="V12" s="928"/>
      <c r="W12" s="928"/>
      <c r="X12" s="992"/>
    </row>
    <row r="13" spans="1:24" ht="13.5" thickBot="1">
      <c r="A13" s="885"/>
      <c r="B13" s="869"/>
      <c r="C13" s="923"/>
      <c r="D13" s="930" t="s">
        <v>87</v>
      </c>
      <c r="E13" s="931"/>
      <c r="F13" s="931"/>
      <c r="G13" s="931"/>
      <c r="H13" s="931"/>
      <c r="I13" s="931"/>
      <c r="J13" s="931"/>
      <c r="K13" s="931"/>
      <c r="L13" s="931"/>
      <c r="M13" s="931"/>
      <c r="N13" s="931"/>
      <c r="O13" s="931"/>
      <c r="P13" s="931"/>
      <c r="Q13" s="931"/>
      <c r="R13" s="931"/>
      <c r="S13" s="931"/>
      <c r="T13" s="931"/>
      <c r="U13" s="931"/>
      <c r="V13" s="931"/>
      <c r="W13" s="932"/>
      <c r="X13" s="992"/>
    </row>
    <row r="14" spans="1:24" ht="13.5" thickBot="1">
      <c r="A14" s="885"/>
      <c r="B14" s="11" t="s">
        <v>53</v>
      </c>
      <c r="C14" s="12"/>
      <c r="D14" s="927" t="s">
        <v>79</v>
      </c>
      <c r="E14" s="928"/>
      <c r="F14" s="928"/>
      <c r="G14" s="929"/>
      <c r="H14" s="927" t="s">
        <v>80</v>
      </c>
      <c r="I14" s="928"/>
      <c r="J14" s="928"/>
      <c r="K14" s="929"/>
      <c r="L14" s="927" t="s">
        <v>81</v>
      </c>
      <c r="M14" s="928"/>
      <c r="N14" s="928"/>
      <c r="O14" s="929"/>
      <c r="P14" s="927" t="s">
        <v>254</v>
      </c>
      <c r="Q14" s="928"/>
      <c r="R14" s="928"/>
      <c r="S14" s="929"/>
      <c r="T14" s="927" t="s">
        <v>76</v>
      </c>
      <c r="U14" s="928"/>
      <c r="V14" s="928"/>
      <c r="W14" s="929"/>
      <c r="X14" s="992"/>
    </row>
    <row r="15" spans="1:24" ht="13.5" thickBot="1">
      <c r="A15" s="885"/>
      <c r="B15" s="868" t="s">
        <v>44</v>
      </c>
      <c r="C15" s="9" t="s">
        <v>2</v>
      </c>
      <c r="D15" s="930" t="s">
        <v>83</v>
      </c>
      <c r="E15" s="931"/>
      <c r="F15" s="931"/>
      <c r="G15" s="931"/>
      <c r="H15" s="931"/>
      <c r="I15" s="931"/>
      <c r="J15" s="931"/>
      <c r="K15" s="931"/>
      <c r="L15" s="931"/>
      <c r="M15" s="931"/>
      <c r="N15" s="931"/>
      <c r="O15" s="931"/>
      <c r="P15" s="931"/>
      <c r="Q15" s="931"/>
      <c r="R15" s="931"/>
      <c r="S15" s="931"/>
      <c r="T15" s="931"/>
      <c r="U15" s="931"/>
      <c r="V15" s="931"/>
      <c r="W15" s="932"/>
      <c r="X15" s="992"/>
    </row>
    <row r="16" spans="1:24" ht="13.5" thickBot="1">
      <c r="A16" s="885"/>
      <c r="B16" s="885"/>
      <c r="C16" s="10" t="s">
        <v>3</v>
      </c>
      <c r="D16" s="986"/>
      <c r="E16" s="987"/>
      <c r="F16" s="987"/>
      <c r="G16" s="987"/>
      <c r="H16" s="987"/>
      <c r="I16" s="987"/>
      <c r="J16" s="987"/>
      <c r="K16" s="987"/>
      <c r="L16" s="987"/>
      <c r="M16" s="987"/>
      <c r="N16" s="987"/>
      <c r="O16" s="987"/>
      <c r="P16" s="987"/>
      <c r="Q16" s="987"/>
      <c r="R16" s="987"/>
      <c r="S16" s="987"/>
      <c r="T16" s="987"/>
      <c r="U16" s="987"/>
      <c r="V16" s="987"/>
      <c r="W16" s="988"/>
      <c r="X16" s="992"/>
    </row>
    <row r="17" spans="1:24" ht="13.5" thickBot="1">
      <c r="A17" s="885"/>
      <c r="B17" s="885"/>
      <c r="C17" s="922" t="s">
        <v>413</v>
      </c>
      <c r="D17" s="989" t="s">
        <v>4</v>
      </c>
      <c r="E17" s="990"/>
      <c r="F17" s="990"/>
      <c r="G17" s="990"/>
      <c r="H17" s="990"/>
      <c r="I17" s="990"/>
      <c r="J17" s="990"/>
      <c r="K17" s="990"/>
      <c r="L17" s="990"/>
      <c r="M17" s="990"/>
      <c r="N17" s="990"/>
      <c r="O17" s="990"/>
      <c r="P17" s="990"/>
      <c r="Q17" s="990"/>
      <c r="R17" s="990"/>
      <c r="S17" s="990"/>
      <c r="T17" s="990"/>
      <c r="U17" s="990"/>
      <c r="V17" s="990"/>
      <c r="W17" s="990"/>
      <c r="X17" s="992"/>
    </row>
    <row r="18" spans="1:24" ht="13.5" thickBot="1">
      <c r="A18" s="869"/>
      <c r="B18" s="869"/>
      <c r="C18" s="923"/>
      <c r="D18" s="930" t="s">
        <v>84</v>
      </c>
      <c r="E18" s="931"/>
      <c r="F18" s="931"/>
      <c r="G18" s="931"/>
      <c r="H18" s="931"/>
      <c r="I18" s="931"/>
      <c r="J18" s="931"/>
      <c r="K18" s="931"/>
      <c r="L18" s="931"/>
      <c r="M18" s="931"/>
      <c r="N18" s="931"/>
      <c r="O18" s="931"/>
      <c r="P18" s="931"/>
      <c r="Q18" s="931"/>
      <c r="R18" s="931"/>
      <c r="S18" s="931"/>
      <c r="T18" s="931"/>
      <c r="U18" s="931"/>
      <c r="V18" s="931"/>
      <c r="W18" s="932"/>
      <c r="X18" s="993"/>
    </row>
    <row r="19" spans="1:24">
      <c r="A19" s="5"/>
      <c r="B19" s="5"/>
      <c r="C19" s="14"/>
      <c r="D19" s="5"/>
      <c r="E19" s="5"/>
      <c r="F19" s="5"/>
      <c r="G19" s="5"/>
      <c r="H19" s="5"/>
      <c r="I19" s="5"/>
      <c r="J19" s="5"/>
      <c r="K19" s="5"/>
      <c r="L19" s="5"/>
      <c r="M19" s="5"/>
      <c r="N19" s="5"/>
      <c r="O19" s="5"/>
      <c r="P19" s="5"/>
      <c r="Q19" s="5"/>
      <c r="R19" s="5"/>
      <c r="S19" s="5"/>
      <c r="T19" s="5"/>
      <c r="U19" s="5"/>
      <c r="V19" s="5"/>
      <c r="W19" s="5"/>
      <c r="X19" s="5"/>
    </row>
    <row r="20" spans="1:24" ht="13.5" thickBot="1">
      <c r="A20" s="5"/>
      <c r="B20" s="5"/>
      <c r="C20" s="6"/>
      <c r="D20" s="5"/>
      <c r="E20" s="5"/>
      <c r="F20" s="5"/>
      <c r="G20" s="5"/>
      <c r="H20" s="5"/>
      <c r="I20" s="5"/>
      <c r="J20" s="5"/>
      <c r="K20" s="5"/>
      <c r="L20" s="5"/>
      <c r="M20" s="5"/>
      <c r="N20" s="5"/>
      <c r="O20" s="5"/>
      <c r="P20" s="5"/>
      <c r="Q20" s="5"/>
      <c r="R20" s="5"/>
      <c r="S20" s="5"/>
      <c r="T20" s="5"/>
      <c r="U20" s="5"/>
      <c r="V20" s="5"/>
      <c r="W20" s="5"/>
      <c r="X20" s="5"/>
    </row>
    <row r="21" spans="1:24" ht="13.5" thickBot="1">
      <c r="A21" s="15" t="s">
        <v>1</v>
      </c>
      <c r="B21" s="97" t="s">
        <v>24</v>
      </c>
      <c r="C21" s="8"/>
      <c r="D21" s="927" t="s">
        <v>78</v>
      </c>
      <c r="E21" s="928"/>
      <c r="F21" s="928"/>
      <c r="G21" s="929"/>
      <c r="H21" s="927" t="s">
        <v>77</v>
      </c>
      <c r="I21" s="928"/>
      <c r="J21" s="928"/>
      <c r="K21" s="929"/>
      <c r="L21" s="927" t="s">
        <v>81</v>
      </c>
      <c r="M21" s="928"/>
      <c r="N21" s="928"/>
      <c r="O21" s="929"/>
      <c r="P21" s="927" t="s">
        <v>254</v>
      </c>
      <c r="Q21" s="928"/>
      <c r="R21" s="928"/>
      <c r="S21" s="929"/>
      <c r="T21" s="927" t="s">
        <v>76</v>
      </c>
      <c r="U21" s="928"/>
      <c r="V21" s="928"/>
      <c r="W21" s="929"/>
      <c r="X21" s="16" t="s">
        <v>6</v>
      </c>
    </row>
    <row r="22" spans="1:24" ht="13.5" thickBot="1">
      <c r="A22" s="868" t="s">
        <v>47</v>
      </c>
      <c r="B22" s="868" t="s">
        <v>48</v>
      </c>
      <c r="C22" s="9" t="s">
        <v>235</v>
      </c>
      <c r="D22" s="942">
        <v>2.1</v>
      </c>
      <c r="E22" s="943"/>
      <c r="F22" s="943"/>
      <c r="G22" s="944"/>
      <c r="H22" s="942">
        <v>2.1</v>
      </c>
      <c r="I22" s="943"/>
      <c r="J22" s="943"/>
      <c r="K22" s="944"/>
      <c r="L22" s="942">
        <v>2.7</v>
      </c>
      <c r="M22" s="943"/>
      <c r="N22" s="943"/>
      <c r="O22" s="944"/>
      <c r="P22" s="942">
        <v>3.1</v>
      </c>
      <c r="Q22" s="943"/>
      <c r="R22" s="943"/>
      <c r="S22" s="944"/>
      <c r="T22" s="942">
        <v>3.1</v>
      </c>
      <c r="U22" s="943"/>
      <c r="V22" s="943"/>
      <c r="W22" s="944"/>
      <c r="X22" s="873" t="s">
        <v>96</v>
      </c>
    </row>
    <row r="23" spans="1:24" ht="13.5" thickBot="1">
      <c r="A23" s="885"/>
      <c r="B23" s="885"/>
      <c r="C23" s="9" t="s">
        <v>233</v>
      </c>
      <c r="D23" s="957"/>
      <c r="E23" s="958"/>
      <c r="F23" s="958"/>
      <c r="G23" s="959"/>
      <c r="H23" s="942" t="s">
        <v>239</v>
      </c>
      <c r="I23" s="943"/>
      <c r="J23" s="943"/>
      <c r="K23" s="944"/>
      <c r="L23" s="942">
        <v>2.2999999999999998</v>
      </c>
      <c r="M23" s="943"/>
      <c r="N23" s="943"/>
      <c r="O23" s="944"/>
      <c r="P23" s="942">
        <v>2.5</v>
      </c>
      <c r="Q23" s="943"/>
      <c r="R23" s="943"/>
      <c r="S23" s="944"/>
      <c r="T23" s="942">
        <v>2.7</v>
      </c>
      <c r="U23" s="943"/>
      <c r="V23" s="943"/>
      <c r="W23" s="944"/>
      <c r="X23" s="874"/>
    </row>
    <row r="24" spans="1:24" ht="13.5" thickBot="1">
      <c r="A24" s="885"/>
      <c r="B24" s="885"/>
      <c r="C24" s="9" t="s">
        <v>234</v>
      </c>
      <c r="D24" s="957"/>
      <c r="E24" s="958"/>
      <c r="F24" s="958"/>
      <c r="G24" s="959"/>
      <c r="H24" s="957"/>
      <c r="I24" s="958"/>
      <c r="J24" s="958"/>
      <c r="K24" s="959"/>
      <c r="L24" s="942" t="s">
        <v>238</v>
      </c>
      <c r="M24" s="943"/>
      <c r="N24" s="943"/>
      <c r="O24" s="944"/>
      <c r="P24" s="942">
        <v>2.6</v>
      </c>
      <c r="Q24" s="943"/>
      <c r="R24" s="943"/>
      <c r="S24" s="944"/>
      <c r="T24" s="960">
        <v>2.75</v>
      </c>
      <c r="U24" s="961"/>
      <c r="V24" s="961"/>
      <c r="W24" s="962"/>
      <c r="X24" s="874"/>
    </row>
    <row r="25" spans="1:24" ht="13.5" thickBot="1">
      <c r="A25" s="885"/>
      <c r="B25" s="885"/>
      <c r="C25" s="10" t="s">
        <v>236</v>
      </c>
      <c r="D25" s="957"/>
      <c r="E25" s="958"/>
      <c r="F25" s="958"/>
      <c r="G25" s="959"/>
      <c r="H25" s="948" t="s">
        <v>267</v>
      </c>
      <c r="I25" s="949"/>
      <c r="J25" s="949"/>
      <c r="K25" s="950"/>
      <c r="L25" s="963" t="e">
        <f>#REF!</f>
        <v>#REF!</v>
      </c>
      <c r="M25" s="964"/>
      <c r="N25" s="964"/>
      <c r="O25" s="965"/>
      <c r="P25" s="963" t="e">
        <f>#REF!</f>
        <v>#REF!</v>
      </c>
      <c r="Q25" s="964"/>
      <c r="R25" s="964"/>
      <c r="S25" s="965"/>
      <c r="T25" s="963" t="e">
        <f>#REF!</f>
        <v>#REF!</v>
      </c>
      <c r="U25" s="964"/>
      <c r="V25" s="964"/>
      <c r="W25" s="965"/>
      <c r="X25" s="874"/>
    </row>
    <row r="26" spans="1:24" ht="13.5" thickBot="1">
      <c r="A26" s="885"/>
      <c r="B26" s="885"/>
      <c r="C26" s="922" t="s">
        <v>413</v>
      </c>
      <c r="D26" s="927" t="s">
        <v>4</v>
      </c>
      <c r="E26" s="928"/>
      <c r="F26" s="928"/>
      <c r="G26" s="928"/>
      <c r="H26" s="928"/>
      <c r="I26" s="928"/>
      <c r="J26" s="928"/>
      <c r="K26" s="928"/>
      <c r="L26" s="928"/>
      <c r="M26" s="928"/>
      <c r="N26" s="928"/>
      <c r="O26" s="928"/>
      <c r="P26" s="928"/>
      <c r="Q26" s="928"/>
      <c r="R26" s="928"/>
      <c r="S26" s="928"/>
      <c r="T26" s="928"/>
      <c r="U26" s="928"/>
      <c r="V26" s="928"/>
      <c r="W26" s="928"/>
      <c r="X26" s="874"/>
    </row>
    <row r="27" spans="1:24" ht="13.5" thickBot="1">
      <c r="A27" s="885"/>
      <c r="B27" s="869"/>
      <c r="C27" s="923"/>
      <c r="D27" s="930" t="s">
        <v>115</v>
      </c>
      <c r="E27" s="931"/>
      <c r="F27" s="931"/>
      <c r="G27" s="931"/>
      <c r="H27" s="931"/>
      <c r="I27" s="931"/>
      <c r="J27" s="931"/>
      <c r="K27" s="931"/>
      <c r="L27" s="931"/>
      <c r="M27" s="931"/>
      <c r="N27" s="931"/>
      <c r="O27" s="931"/>
      <c r="P27" s="931"/>
      <c r="Q27" s="931"/>
      <c r="R27" s="931"/>
      <c r="S27" s="931"/>
      <c r="T27" s="931"/>
      <c r="U27" s="931"/>
      <c r="V27" s="931"/>
      <c r="W27" s="932"/>
      <c r="X27" s="874"/>
    </row>
    <row r="28" spans="1:24" ht="13.5" thickBot="1">
      <c r="A28" s="885"/>
      <c r="B28" s="11" t="s">
        <v>25</v>
      </c>
      <c r="C28" s="12"/>
      <c r="D28" s="927" t="s">
        <v>78</v>
      </c>
      <c r="E28" s="928"/>
      <c r="F28" s="928"/>
      <c r="G28" s="929"/>
      <c r="H28" s="927" t="s">
        <v>77</v>
      </c>
      <c r="I28" s="928"/>
      <c r="J28" s="928"/>
      <c r="K28" s="929"/>
      <c r="L28" s="927" t="s">
        <v>81</v>
      </c>
      <c r="M28" s="928"/>
      <c r="N28" s="928"/>
      <c r="O28" s="929"/>
      <c r="P28" s="927" t="s">
        <v>254</v>
      </c>
      <c r="Q28" s="928"/>
      <c r="R28" s="928"/>
      <c r="S28" s="929"/>
      <c r="T28" s="927" t="s">
        <v>76</v>
      </c>
      <c r="U28" s="928"/>
      <c r="V28" s="928"/>
      <c r="W28" s="929"/>
      <c r="X28" s="874"/>
    </row>
    <row r="29" spans="1:24" ht="13.5" thickBot="1">
      <c r="A29" s="885"/>
      <c r="B29" s="868" t="s">
        <v>49</v>
      </c>
      <c r="C29" s="9" t="s">
        <v>235</v>
      </c>
      <c r="D29" s="942">
        <v>1</v>
      </c>
      <c r="E29" s="943"/>
      <c r="F29" s="943"/>
      <c r="G29" s="944"/>
      <c r="H29" s="942">
        <v>1</v>
      </c>
      <c r="I29" s="943"/>
      <c r="J29" s="943"/>
      <c r="K29" s="944"/>
      <c r="L29" s="960">
        <v>1.45</v>
      </c>
      <c r="M29" s="961"/>
      <c r="N29" s="961"/>
      <c r="O29" s="962"/>
      <c r="P29" s="942">
        <v>1.8</v>
      </c>
      <c r="Q29" s="943"/>
      <c r="R29" s="943"/>
      <c r="S29" s="944"/>
      <c r="T29" s="960">
        <v>2.25</v>
      </c>
      <c r="U29" s="961"/>
      <c r="V29" s="961"/>
      <c r="W29" s="962"/>
      <c r="X29" s="874"/>
    </row>
    <row r="30" spans="1:24" ht="13.5" thickBot="1">
      <c r="A30" s="885"/>
      <c r="B30" s="885"/>
      <c r="C30" s="9" t="s">
        <v>233</v>
      </c>
      <c r="D30" s="957"/>
      <c r="E30" s="958"/>
      <c r="F30" s="958"/>
      <c r="G30" s="959"/>
      <c r="H30" s="942" t="s">
        <v>240</v>
      </c>
      <c r="I30" s="943"/>
      <c r="J30" s="943"/>
      <c r="K30" s="944"/>
      <c r="L30" s="942">
        <v>1</v>
      </c>
      <c r="M30" s="943"/>
      <c r="N30" s="943"/>
      <c r="O30" s="944"/>
      <c r="P30" s="942">
        <v>1.2</v>
      </c>
      <c r="Q30" s="943"/>
      <c r="R30" s="943"/>
      <c r="S30" s="944"/>
      <c r="T30" s="942">
        <v>1.4</v>
      </c>
      <c r="U30" s="943"/>
      <c r="V30" s="943"/>
      <c r="W30" s="944"/>
      <c r="X30" s="874"/>
    </row>
    <row r="31" spans="1:24" ht="13.5" thickBot="1">
      <c r="A31" s="885"/>
      <c r="B31" s="885"/>
      <c r="C31" s="9" t="s">
        <v>234</v>
      </c>
      <c r="D31" s="957"/>
      <c r="E31" s="958"/>
      <c r="F31" s="958"/>
      <c r="G31" s="959"/>
      <c r="H31" s="957"/>
      <c r="I31" s="958"/>
      <c r="J31" s="958"/>
      <c r="K31" s="959"/>
      <c r="L31" s="942" t="s">
        <v>241</v>
      </c>
      <c r="M31" s="943"/>
      <c r="N31" s="943"/>
      <c r="O31" s="944"/>
      <c r="P31" s="942">
        <v>1</v>
      </c>
      <c r="Q31" s="943"/>
      <c r="R31" s="943"/>
      <c r="S31" s="944"/>
      <c r="T31" s="960">
        <v>1.25</v>
      </c>
      <c r="U31" s="961"/>
      <c r="V31" s="961"/>
      <c r="W31" s="962"/>
      <c r="X31" s="874"/>
    </row>
    <row r="32" spans="1:24" ht="13.5" thickBot="1">
      <c r="A32" s="885"/>
      <c r="B32" s="885"/>
      <c r="C32" s="10" t="s">
        <v>236</v>
      </c>
      <c r="D32" s="957"/>
      <c r="E32" s="958"/>
      <c r="F32" s="958"/>
      <c r="G32" s="959"/>
      <c r="H32" s="948" t="s">
        <v>266</v>
      </c>
      <c r="I32" s="949"/>
      <c r="J32" s="949"/>
      <c r="K32" s="950"/>
      <c r="L32" s="963" t="e">
        <f>#REF!</f>
        <v>#REF!</v>
      </c>
      <c r="M32" s="964"/>
      <c r="N32" s="964"/>
      <c r="O32" s="965"/>
      <c r="P32" s="963" t="e">
        <f>#REF!</f>
        <v>#REF!</v>
      </c>
      <c r="Q32" s="964"/>
      <c r="R32" s="964"/>
      <c r="S32" s="965"/>
      <c r="T32" s="963" t="e">
        <f>#REF!</f>
        <v>#REF!</v>
      </c>
      <c r="U32" s="964"/>
      <c r="V32" s="964"/>
      <c r="W32" s="965"/>
      <c r="X32" s="874"/>
    </row>
    <row r="33" spans="1:24" ht="13.5" thickBot="1">
      <c r="A33" s="885"/>
      <c r="B33" s="885"/>
      <c r="C33" s="922" t="s">
        <v>413</v>
      </c>
      <c r="D33" s="927" t="s">
        <v>4</v>
      </c>
      <c r="E33" s="928"/>
      <c r="F33" s="928"/>
      <c r="G33" s="928"/>
      <c r="H33" s="928"/>
      <c r="I33" s="928"/>
      <c r="J33" s="928"/>
      <c r="K33" s="928"/>
      <c r="L33" s="928"/>
      <c r="M33" s="928"/>
      <c r="N33" s="928"/>
      <c r="O33" s="928"/>
      <c r="P33" s="928"/>
      <c r="Q33" s="928"/>
      <c r="R33" s="928"/>
      <c r="S33" s="928"/>
      <c r="T33" s="928"/>
      <c r="U33" s="928"/>
      <c r="V33" s="928"/>
      <c r="W33" s="928"/>
      <c r="X33" s="874"/>
    </row>
    <row r="34" spans="1:24" ht="13.5" thickBot="1">
      <c r="A34" s="885"/>
      <c r="B34" s="869"/>
      <c r="C34" s="923"/>
      <c r="D34" s="930" t="s">
        <v>116</v>
      </c>
      <c r="E34" s="931"/>
      <c r="F34" s="931"/>
      <c r="G34" s="931"/>
      <c r="H34" s="931"/>
      <c r="I34" s="931"/>
      <c r="J34" s="931"/>
      <c r="K34" s="931"/>
      <c r="L34" s="931"/>
      <c r="M34" s="931"/>
      <c r="N34" s="931"/>
      <c r="O34" s="931"/>
      <c r="P34" s="931"/>
      <c r="Q34" s="931"/>
      <c r="R34" s="931"/>
      <c r="S34" s="931"/>
      <c r="T34" s="931"/>
      <c r="U34" s="931"/>
      <c r="V34" s="931"/>
      <c r="W34" s="932"/>
      <c r="X34" s="874"/>
    </row>
    <row r="35" spans="1:24" ht="13.5" thickBot="1">
      <c r="A35" s="885"/>
      <c r="B35" s="11" t="s">
        <v>37</v>
      </c>
      <c r="C35" s="12"/>
      <c r="D35" s="927" t="s">
        <v>78</v>
      </c>
      <c r="E35" s="928"/>
      <c r="F35" s="928"/>
      <c r="G35" s="929"/>
      <c r="H35" s="927" t="s">
        <v>77</v>
      </c>
      <c r="I35" s="928"/>
      <c r="J35" s="928"/>
      <c r="K35" s="929"/>
      <c r="L35" s="927" t="s">
        <v>81</v>
      </c>
      <c r="M35" s="928"/>
      <c r="N35" s="928"/>
      <c r="O35" s="929"/>
      <c r="P35" s="927" t="s">
        <v>254</v>
      </c>
      <c r="Q35" s="928"/>
      <c r="R35" s="928"/>
      <c r="S35" s="929"/>
      <c r="T35" s="927" t="s">
        <v>76</v>
      </c>
      <c r="U35" s="928"/>
      <c r="V35" s="928"/>
      <c r="W35" s="929"/>
      <c r="X35" s="874"/>
    </row>
    <row r="36" spans="1:24" ht="13.5" thickBot="1">
      <c r="A36" s="971"/>
      <c r="B36" s="868" t="s">
        <v>148</v>
      </c>
      <c r="C36" s="91"/>
      <c r="D36" s="17" t="s">
        <v>106</v>
      </c>
      <c r="E36" s="17" t="s">
        <v>107</v>
      </c>
      <c r="F36" s="17" t="s">
        <v>108</v>
      </c>
      <c r="G36" s="17" t="s">
        <v>109</v>
      </c>
      <c r="H36" s="17" t="s">
        <v>106</v>
      </c>
      <c r="I36" s="17" t="s">
        <v>107</v>
      </c>
      <c r="J36" s="17" t="s">
        <v>108</v>
      </c>
      <c r="K36" s="17" t="s">
        <v>109</v>
      </c>
      <c r="L36" s="17" t="s">
        <v>106</v>
      </c>
      <c r="M36" s="17" t="s">
        <v>107</v>
      </c>
      <c r="N36" s="17" t="s">
        <v>108</v>
      </c>
      <c r="O36" s="17" t="s">
        <v>109</v>
      </c>
      <c r="P36" s="17" t="s">
        <v>106</v>
      </c>
      <c r="Q36" s="17" t="s">
        <v>107</v>
      </c>
      <c r="R36" s="17" t="s">
        <v>108</v>
      </c>
      <c r="S36" s="17" t="s">
        <v>109</v>
      </c>
      <c r="T36" s="17" t="s">
        <v>106</v>
      </c>
      <c r="U36" s="17" t="s">
        <v>107</v>
      </c>
      <c r="V36" s="17" t="s">
        <v>108</v>
      </c>
      <c r="W36" s="17" t="s">
        <v>109</v>
      </c>
      <c r="X36" s="874"/>
    </row>
    <row r="37" spans="1:24" ht="13.5" thickBot="1">
      <c r="A37" s="971"/>
      <c r="B37" s="885"/>
      <c r="C37" s="91" t="s">
        <v>235</v>
      </c>
      <c r="D37" s="118">
        <v>2.6</v>
      </c>
      <c r="E37" s="118">
        <v>3</v>
      </c>
      <c r="F37" s="118">
        <v>0.2</v>
      </c>
      <c r="G37" s="118">
        <v>6</v>
      </c>
      <c r="H37" s="118">
        <v>6.6</v>
      </c>
      <c r="I37" s="118">
        <v>8</v>
      </c>
      <c r="J37" s="118">
        <v>0.6</v>
      </c>
      <c r="K37" s="118">
        <v>10.199999999999999</v>
      </c>
      <c r="L37" s="118">
        <v>6</v>
      </c>
      <c r="M37" s="118">
        <v>9.1999999999999993</v>
      </c>
      <c r="N37" s="118">
        <v>2.6</v>
      </c>
      <c r="O37" s="118">
        <v>12.2</v>
      </c>
      <c r="P37" s="118">
        <v>8.1999999999999993</v>
      </c>
      <c r="Q37" s="118">
        <v>11</v>
      </c>
      <c r="R37" s="118">
        <v>3.8</v>
      </c>
      <c r="S37" s="118">
        <v>12.6</v>
      </c>
      <c r="T37" s="118">
        <v>12</v>
      </c>
      <c r="U37" s="118">
        <v>13.2</v>
      </c>
      <c r="V37" s="118">
        <v>7</v>
      </c>
      <c r="W37" s="118">
        <v>14.9</v>
      </c>
      <c r="X37" s="874"/>
    </row>
    <row r="38" spans="1:24" ht="13.5" thickBot="1">
      <c r="A38" s="971"/>
      <c r="B38" s="93" t="s">
        <v>145</v>
      </c>
      <c r="C38" s="91" t="s">
        <v>233</v>
      </c>
      <c r="D38" s="957"/>
      <c r="E38" s="958"/>
      <c r="F38" s="958"/>
      <c r="G38" s="959"/>
      <c r="H38" s="118">
        <v>0</v>
      </c>
      <c r="I38" s="118">
        <v>0</v>
      </c>
      <c r="J38" s="118">
        <v>0</v>
      </c>
      <c r="K38" s="118">
        <v>14</v>
      </c>
      <c r="L38" s="118">
        <v>0</v>
      </c>
      <c r="M38" s="118">
        <v>1</v>
      </c>
      <c r="N38" s="118">
        <v>0</v>
      </c>
      <c r="O38" s="118">
        <v>14</v>
      </c>
      <c r="P38" s="118">
        <v>2.2999999999999998</v>
      </c>
      <c r="Q38" s="118">
        <v>2.2999999999999998</v>
      </c>
      <c r="R38" s="118">
        <v>2</v>
      </c>
      <c r="S38" s="118">
        <v>14.7</v>
      </c>
      <c r="T38" s="118">
        <v>6</v>
      </c>
      <c r="U38" s="118">
        <v>6</v>
      </c>
      <c r="V38" s="118">
        <v>3.3</v>
      </c>
      <c r="W38" s="118">
        <v>14.7</v>
      </c>
      <c r="X38" s="874"/>
    </row>
    <row r="39" spans="1:24" ht="13.5" thickBot="1">
      <c r="A39" s="971"/>
      <c r="B39" s="93" t="s">
        <v>147</v>
      </c>
      <c r="C39" s="91" t="s">
        <v>234</v>
      </c>
      <c r="D39" s="957"/>
      <c r="E39" s="958"/>
      <c r="F39" s="958"/>
      <c r="G39" s="959"/>
      <c r="H39" s="957"/>
      <c r="I39" s="958"/>
      <c r="J39" s="958"/>
      <c r="K39" s="959"/>
      <c r="L39" s="118" t="s">
        <v>237</v>
      </c>
      <c r="M39" s="118" t="s">
        <v>237</v>
      </c>
      <c r="N39" s="118" t="s">
        <v>237</v>
      </c>
      <c r="O39" s="118" t="s">
        <v>237</v>
      </c>
      <c r="P39" s="118" t="s">
        <v>237</v>
      </c>
      <c r="Q39" s="118" t="s">
        <v>237</v>
      </c>
      <c r="R39" s="118" t="s">
        <v>237</v>
      </c>
      <c r="S39" s="118" t="s">
        <v>237</v>
      </c>
      <c r="T39" s="118" t="s">
        <v>237</v>
      </c>
      <c r="U39" s="118" t="s">
        <v>237</v>
      </c>
      <c r="V39" s="118" t="s">
        <v>237</v>
      </c>
      <c r="W39" s="118" t="s">
        <v>237</v>
      </c>
      <c r="X39" s="874"/>
    </row>
    <row r="40" spans="1:24" ht="13.5" thickBot="1">
      <c r="A40" s="971"/>
      <c r="B40" s="93" t="s">
        <v>146</v>
      </c>
      <c r="C40" s="90" t="s">
        <v>236</v>
      </c>
      <c r="D40" s="972" t="s">
        <v>258</v>
      </c>
      <c r="E40" s="973"/>
      <c r="F40" s="973"/>
      <c r="G40" s="974"/>
      <c r="H40" s="88">
        <v>8.1999999999999993</v>
      </c>
      <c r="I40" s="88">
        <v>8</v>
      </c>
      <c r="J40" s="88">
        <v>3.8</v>
      </c>
      <c r="K40" s="88">
        <v>12</v>
      </c>
      <c r="L40" s="89" t="e">
        <f>#REF!</f>
        <v>#REF!</v>
      </c>
      <c r="M40" s="89" t="e">
        <f>#REF!</f>
        <v>#REF!</v>
      </c>
      <c r="N40" s="89" t="e">
        <f>#REF!</f>
        <v>#REF!</v>
      </c>
      <c r="O40" s="89" t="e">
        <f>#REF!</f>
        <v>#REF!</v>
      </c>
      <c r="P40" s="89" t="e">
        <f>#REF!</f>
        <v>#REF!</v>
      </c>
      <c r="Q40" s="89" t="e">
        <f>#REF!</f>
        <v>#REF!</v>
      </c>
      <c r="R40" s="89" t="e">
        <f>#REF!</f>
        <v>#REF!</v>
      </c>
      <c r="S40" s="89" t="e">
        <f>#REF!</f>
        <v>#REF!</v>
      </c>
      <c r="T40" s="89" t="e">
        <f>#REF!</f>
        <v>#REF!</v>
      </c>
      <c r="U40" s="89" t="e">
        <f>#REF!</f>
        <v>#REF!</v>
      </c>
      <c r="V40" s="89" t="e">
        <f>#REF!</f>
        <v>#REF!</v>
      </c>
      <c r="W40" s="89" t="e">
        <f>#REF!</f>
        <v>#REF!</v>
      </c>
      <c r="X40" s="874"/>
    </row>
    <row r="41" spans="1:24" ht="13.5" thickBot="1">
      <c r="A41" s="971"/>
      <c r="B41" s="980"/>
      <c r="C41" s="922" t="s">
        <v>413</v>
      </c>
      <c r="D41" s="927" t="s">
        <v>4</v>
      </c>
      <c r="E41" s="928"/>
      <c r="F41" s="928"/>
      <c r="G41" s="928"/>
      <c r="H41" s="928"/>
      <c r="I41" s="928"/>
      <c r="J41" s="928"/>
      <c r="K41" s="928"/>
      <c r="L41" s="928"/>
      <c r="M41" s="928"/>
      <c r="N41" s="928"/>
      <c r="O41" s="928"/>
      <c r="P41" s="928"/>
      <c r="Q41" s="928"/>
      <c r="R41" s="928"/>
      <c r="S41" s="928"/>
      <c r="T41" s="928"/>
      <c r="U41" s="928"/>
      <c r="V41" s="928"/>
      <c r="W41" s="928"/>
      <c r="X41" s="874"/>
    </row>
    <row r="42" spans="1:24" ht="13.5" thickBot="1">
      <c r="A42" s="982"/>
      <c r="B42" s="981"/>
      <c r="C42" s="923"/>
      <c r="D42" s="930" t="s">
        <v>117</v>
      </c>
      <c r="E42" s="931"/>
      <c r="F42" s="931"/>
      <c r="G42" s="931"/>
      <c r="H42" s="931"/>
      <c r="I42" s="931"/>
      <c r="J42" s="931"/>
      <c r="K42" s="931"/>
      <c r="L42" s="931"/>
      <c r="M42" s="931"/>
      <c r="N42" s="931"/>
      <c r="O42" s="931"/>
      <c r="P42" s="931"/>
      <c r="Q42" s="931"/>
      <c r="R42" s="931"/>
      <c r="S42" s="931"/>
      <c r="T42" s="931"/>
      <c r="U42" s="931"/>
      <c r="V42" s="931"/>
      <c r="W42" s="932"/>
      <c r="X42" s="875"/>
    </row>
    <row r="43" spans="1:24">
      <c r="A43" s="5"/>
      <c r="B43" s="5"/>
      <c r="C43" s="14"/>
      <c r="D43" s="5"/>
      <c r="E43" s="5"/>
      <c r="F43" s="5"/>
      <c r="G43" s="5"/>
      <c r="H43" s="5"/>
      <c r="I43" s="5"/>
      <c r="J43" s="5"/>
      <c r="K43" s="5"/>
      <c r="L43" s="5"/>
      <c r="M43" s="5"/>
      <c r="N43" s="5"/>
      <c r="O43" s="5"/>
      <c r="P43" s="5"/>
      <c r="Q43" s="5"/>
      <c r="R43" s="5"/>
      <c r="S43" s="5"/>
      <c r="T43" s="5"/>
      <c r="U43" s="5"/>
      <c r="V43" s="5"/>
      <c r="W43" s="5"/>
      <c r="X43" s="5"/>
    </row>
    <row r="44" spans="1:24" ht="13.5" thickBot="1">
      <c r="A44" s="5"/>
      <c r="B44" s="5"/>
      <c r="C44" s="6"/>
      <c r="D44" s="5"/>
      <c r="E44" s="5"/>
      <c r="F44" s="5"/>
      <c r="G44" s="5"/>
      <c r="H44" s="5"/>
      <c r="I44" s="5"/>
      <c r="J44" s="5"/>
      <c r="K44" s="5"/>
      <c r="L44" s="5"/>
      <c r="M44" s="5"/>
      <c r="N44" s="5"/>
      <c r="O44" s="5"/>
      <c r="P44" s="5"/>
      <c r="Q44" s="5"/>
      <c r="R44" s="5"/>
      <c r="S44" s="5"/>
      <c r="T44" s="5"/>
      <c r="U44" s="5"/>
      <c r="V44" s="5"/>
      <c r="W44" s="5"/>
      <c r="X44" s="5"/>
    </row>
    <row r="45" spans="1:24" ht="13.5" thickBot="1">
      <c r="A45" s="7" t="s">
        <v>5</v>
      </c>
      <c r="B45" s="97" t="s">
        <v>22</v>
      </c>
      <c r="C45" s="8"/>
      <c r="D45" s="927" t="s">
        <v>78</v>
      </c>
      <c r="E45" s="928"/>
      <c r="F45" s="928"/>
      <c r="G45" s="929"/>
      <c r="H45" s="927" t="s">
        <v>77</v>
      </c>
      <c r="I45" s="928"/>
      <c r="J45" s="928"/>
      <c r="K45" s="929"/>
      <c r="L45" s="927" t="s">
        <v>81</v>
      </c>
      <c r="M45" s="928"/>
      <c r="N45" s="928"/>
      <c r="O45" s="929"/>
      <c r="P45" s="927" t="s">
        <v>254</v>
      </c>
      <c r="Q45" s="928"/>
      <c r="R45" s="928"/>
      <c r="S45" s="929"/>
      <c r="T45" s="927" t="s">
        <v>76</v>
      </c>
      <c r="U45" s="928"/>
      <c r="V45" s="928"/>
      <c r="W45" s="929"/>
      <c r="X45" s="19" t="s">
        <v>6</v>
      </c>
    </row>
    <row r="46" spans="1:24" ht="13.5" thickBot="1">
      <c r="A46" s="868" t="s">
        <v>54</v>
      </c>
      <c r="B46" s="868" t="s">
        <v>55</v>
      </c>
      <c r="C46" s="9" t="s">
        <v>235</v>
      </c>
      <c r="D46" s="942">
        <v>2.1</v>
      </c>
      <c r="E46" s="943"/>
      <c r="F46" s="943"/>
      <c r="G46" s="944"/>
      <c r="H46" s="942">
        <v>2.2999999999999998</v>
      </c>
      <c r="I46" s="943"/>
      <c r="J46" s="943"/>
      <c r="K46" s="944"/>
      <c r="L46" s="942">
        <v>2.9</v>
      </c>
      <c r="M46" s="943"/>
      <c r="N46" s="943"/>
      <c r="O46" s="944"/>
      <c r="P46" s="942">
        <v>3.2</v>
      </c>
      <c r="Q46" s="943"/>
      <c r="R46" s="943"/>
      <c r="S46" s="944"/>
      <c r="T46" s="942">
        <v>3.6</v>
      </c>
      <c r="U46" s="943"/>
      <c r="V46" s="943"/>
      <c r="W46" s="944"/>
      <c r="X46" s="879" t="s">
        <v>95</v>
      </c>
    </row>
    <row r="47" spans="1:24" ht="13.5" thickBot="1">
      <c r="A47" s="885"/>
      <c r="B47" s="885"/>
      <c r="C47" s="9" t="s">
        <v>233</v>
      </c>
      <c r="D47" s="957"/>
      <c r="E47" s="958"/>
      <c r="F47" s="958"/>
      <c r="G47" s="959"/>
      <c r="H47" s="942" t="s">
        <v>242</v>
      </c>
      <c r="I47" s="943"/>
      <c r="J47" s="943"/>
      <c r="K47" s="944"/>
      <c r="L47" s="942">
        <v>2.2000000000000002</v>
      </c>
      <c r="M47" s="943"/>
      <c r="N47" s="943"/>
      <c r="O47" s="944"/>
      <c r="P47" s="960">
        <v>2.35</v>
      </c>
      <c r="Q47" s="961"/>
      <c r="R47" s="961"/>
      <c r="S47" s="962"/>
      <c r="T47" s="960">
        <v>2.75</v>
      </c>
      <c r="U47" s="961"/>
      <c r="V47" s="961"/>
      <c r="W47" s="962"/>
      <c r="X47" s="880"/>
    </row>
    <row r="48" spans="1:24" ht="13.5" thickBot="1">
      <c r="A48" s="885"/>
      <c r="B48" s="885"/>
      <c r="C48" s="9" t="s">
        <v>234</v>
      </c>
      <c r="D48" s="957"/>
      <c r="E48" s="958"/>
      <c r="F48" s="958"/>
      <c r="G48" s="959"/>
      <c r="H48" s="957"/>
      <c r="I48" s="958"/>
      <c r="J48" s="958"/>
      <c r="K48" s="959"/>
      <c r="L48" s="942" t="s">
        <v>243</v>
      </c>
      <c r="M48" s="943"/>
      <c r="N48" s="943"/>
      <c r="O48" s="944"/>
      <c r="P48" s="960">
        <v>2.25</v>
      </c>
      <c r="Q48" s="961"/>
      <c r="R48" s="961"/>
      <c r="S48" s="962"/>
      <c r="T48" s="942">
        <v>2.5</v>
      </c>
      <c r="U48" s="943"/>
      <c r="V48" s="943"/>
      <c r="W48" s="944"/>
      <c r="X48" s="880"/>
    </row>
    <row r="49" spans="1:24" ht="13.5" thickBot="1">
      <c r="A49" s="885"/>
      <c r="B49" s="885"/>
      <c r="C49" s="10" t="s">
        <v>236</v>
      </c>
      <c r="D49" s="957"/>
      <c r="E49" s="958"/>
      <c r="F49" s="958"/>
      <c r="G49" s="959"/>
      <c r="H49" s="948" t="s">
        <v>268</v>
      </c>
      <c r="I49" s="949"/>
      <c r="J49" s="949"/>
      <c r="K49" s="950"/>
      <c r="L49" s="963" t="e">
        <f>#REF!</f>
        <v>#REF!</v>
      </c>
      <c r="M49" s="964"/>
      <c r="N49" s="964"/>
      <c r="O49" s="965"/>
      <c r="P49" s="963" t="e">
        <f>#REF!</f>
        <v>#REF!</v>
      </c>
      <c r="Q49" s="964"/>
      <c r="R49" s="964"/>
      <c r="S49" s="965"/>
      <c r="T49" s="963" t="e">
        <f>#REF!</f>
        <v>#REF!</v>
      </c>
      <c r="U49" s="964"/>
      <c r="V49" s="964"/>
      <c r="W49" s="965"/>
      <c r="X49" s="880"/>
    </row>
    <row r="50" spans="1:24" ht="13.5" thickBot="1">
      <c r="A50" s="885"/>
      <c r="B50" s="885"/>
      <c r="C50" s="922" t="s">
        <v>413</v>
      </c>
      <c r="D50" s="927" t="s">
        <v>4</v>
      </c>
      <c r="E50" s="928"/>
      <c r="F50" s="928"/>
      <c r="G50" s="928"/>
      <c r="H50" s="928"/>
      <c r="I50" s="928"/>
      <c r="J50" s="928"/>
      <c r="K50" s="928"/>
      <c r="L50" s="928"/>
      <c r="M50" s="928"/>
      <c r="N50" s="928"/>
      <c r="O50" s="928"/>
      <c r="P50" s="928"/>
      <c r="Q50" s="928"/>
      <c r="R50" s="928"/>
      <c r="S50" s="928"/>
      <c r="T50" s="928"/>
      <c r="U50" s="928"/>
      <c r="V50" s="928"/>
      <c r="W50" s="928"/>
      <c r="X50" s="880"/>
    </row>
    <row r="51" spans="1:24" ht="13.5" thickBot="1">
      <c r="A51" s="885"/>
      <c r="B51" s="869"/>
      <c r="C51" s="923"/>
      <c r="D51" s="930" t="s">
        <v>115</v>
      </c>
      <c r="E51" s="931"/>
      <c r="F51" s="931"/>
      <c r="G51" s="931"/>
      <c r="H51" s="931"/>
      <c r="I51" s="931"/>
      <c r="J51" s="931"/>
      <c r="K51" s="931"/>
      <c r="L51" s="931"/>
      <c r="M51" s="931"/>
      <c r="N51" s="931"/>
      <c r="O51" s="931"/>
      <c r="P51" s="931"/>
      <c r="Q51" s="931"/>
      <c r="R51" s="931"/>
      <c r="S51" s="931"/>
      <c r="T51" s="931"/>
      <c r="U51" s="931"/>
      <c r="V51" s="931"/>
      <c r="W51" s="932"/>
      <c r="X51" s="880"/>
    </row>
    <row r="52" spans="1:24" ht="13.5" thickBot="1">
      <c r="A52" s="885"/>
      <c r="B52" s="11" t="s">
        <v>23</v>
      </c>
      <c r="C52" s="12"/>
      <c r="D52" s="927" t="s">
        <v>78</v>
      </c>
      <c r="E52" s="928"/>
      <c r="F52" s="928"/>
      <c r="G52" s="929"/>
      <c r="H52" s="927" t="s">
        <v>77</v>
      </c>
      <c r="I52" s="928"/>
      <c r="J52" s="928"/>
      <c r="K52" s="929"/>
      <c r="L52" s="927" t="s">
        <v>81</v>
      </c>
      <c r="M52" s="928"/>
      <c r="N52" s="928"/>
      <c r="O52" s="929"/>
      <c r="P52" s="927" t="s">
        <v>254</v>
      </c>
      <c r="Q52" s="928"/>
      <c r="R52" s="928"/>
      <c r="S52" s="929"/>
      <c r="T52" s="927" t="s">
        <v>76</v>
      </c>
      <c r="U52" s="928"/>
      <c r="V52" s="928"/>
      <c r="W52" s="929"/>
      <c r="X52" s="880"/>
    </row>
    <row r="53" spans="1:24" ht="13.5" thickBot="1">
      <c r="A53" s="885"/>
      <c r="B53" s="868" t="s">
        <v>56</v>
      </c>
      <c r="C53" s="9" t="s">
        <v>235</v>
      </c>
      <c r="D53" s="942">
        <v>2.1</v>
      </c>
      <c r="E53" s="943"/>
      <c r="F53" s="943"/>
      <c r="G53" s="944"/>
      <c r="H53" s="942">
        <v>2.6</v>
      </c>
      <c r="I53" s="943"/>
      <c r="J53" s="943"/>
      <c r="K53" s="944"/>
      <c r="L53" s="960">
        <v>2.85</v>
      </c>
      <c r="M53" s="961"/>
      <c r="N53" s="961"/>
      <c r="O53" s="962"/>
      <c r="P53" s="942">
        <v>3.1</v>
      </c>
      <c r="Q53" s="943"/>
      <c r="R53" s="943"/>
      <c r="S53" s="944"/>
      <c r="T53" s="960">
        <v>3.45</v>
      </c>
      <c r="U53" s="961"/>
      <c r="V53" s="961"/>
      <c r="W53" s="962"/>
      <c r="X53" s="880"/>
    </row>
    <row r="54" spans="1:24" ht="13.5" thickBot="1">
      <c r="A54" s="885"/>
      <c r="B54" s="885"/>
      <c r="C54" s="9" t="s">
        <v>233</v>
      </c>
      <c r="D54" s="957"/>
      <c r="E54" s="958"/>
      <c r="F54" s="958"/>
      <c r="G54" s="959"/>
      <c r="H54" s="942" t="s">
        <v>244</v>
      </c>
      <c r="I54" s="943"/>
      <c r="J54" s="943"/>
      <c r="K54" s="944"/>
      <c r="L54" s="960">
        <v>1.75</v>
      </c>
      <c r="M54" s="961"/>
      <c r="N54" s="961"/>
      <c r="O54" s="962"/>
      <c r="P54" s="942">
        <v>1.9</v>
      </c>
      <c r="Q54" s="943"/>
      <c r="R54" s="943"/>
      <c r="S54" s="944"/>
      <c r="T54" s="960">
        <v>2.25</v>
      </c>
      <c r="U54" s="961"/>
      <c r="V54" s="961"/>
      <c r="W54" s="962"/>
      <c r="X54" s="880"/>
    </row>
    <row r="55" spans="1:24" ht="13.5" thickBot="1">
      <c r="A55" s="885"/>
      <c r="B55" s="885"/>
      <c r="C55" s="9" t="s">
        <v>234</v>
      </c>
      <c r="D55" s="957"/>
      <c r="E55" s="958"/>
      <c r="F55" s="958"/>
      <c r="G55" s="959"/>
      <c r="H55" s="957"/>
      <c r="I55" s="958"/>
      <c r="J55" s="958"/>
      <c r="K55" s="959"/>
      <c r="L55" s="942" t="s">
        <v>245</v>
      </c>
      <c r="M55" s="943"/>
      <c r="N55" s="943"/>
      <c r="O55" s="944"/>
      <c r="P55" s="942">
        <v>2</v>
      </c>
      <c r="Q55" s="943"/>
      <c r="R55" s="943"/>
      <c r="S55" s="944"/>
      <c r="T55" s="960">
        <v>2.25</v>
      </c>
      <c r="U55" s="961"/>
      <c r="V55" s="961"/>
      <c r="W55" s="962"/>
      <c r="X55" s="880"/>
    </row>
    <row r="56" spans="1:24" ht="13.5" thickBot="1">
      <c r="A56" s="885"/>
      <c r="B56" s="885"/>
      <c r="C56" s="10" t="s">
        <v>236</v>
      </c>
      <c r="D56" s="957"/>
      <c r="E56" s="958"/>
      <c r="F56" s="958"/>
      <c r="G56" s="959"/>
      <c r="H56" s="948" t="s">
        <v>269</v>
      </c>
      <c r="I56" s="949"/>
      <c r="J56" s="949"/>
      <c r="K56" s="950"/>
      <c r="L56" s="963" t="e">
        <f>#REF!</f>
        <v>#REF!</v>
      </c>
      <c r="M56" s="964"/>
      <c r="N56" s="964"/>
      <c r="O56" s="965"/>
      <c r="P56" s="963" t="e">
        <f>#REF!</f>
        <v>#REF!</v>
      </c>
      <c r="Q56" s="964"/>
      <c r="R56" s="964"/>
      <c r="S56" s="965"/>
      <c r="T56" s="963" t="e">
        <f>#REF!</f>
        <v>#REF!</v>
      </c>
      <c r="U56" s="964"/>
      <c r="V56" s="964"/>
      <c r="W56" s="965"/>
      <c r="X56" s="880"/>
    </row>
    <row r="57" spans="1:24" ht="13.5" thickBot="1">
      <c r="A57" s="885"/>
      <c r="B57" s="885"/>
      <c r="C57" s="922" t="s">
        <v>413</v>
      </c>
      <c r="D57" s="927" t="s">
        <v>4</v>
      </c>
      <c r="E57" s="928"/>
      <c r="F57" s="928"/>
      <c r="G57" s="928"/>
      <c r="H57" s="928"/>
      <c r="I57" s="928"/>
      <c r="J57" s="928"/>
      <c r="K57" s="928"/>
      <c r="L57" s="928"/>
      <c r="M57" s="928"/>
      <c r="N57" s="928"/>
      <c r="O57" s="928"/>
      <c r="P57" s="928"/>
      <c r="Q57" s="928"/>
      <c r="R57" s="928"/>
      <c r="S57" s="928"/>
      <c r="T57" s="928"/>
      <c r="U57" s="928"/>
      <c r="V57" s="928"/>
      <c r="W57" s="928"/>
      <c r="X57" s="880"/>
    </row>
    <row r="58" spans="1:24" ht="13.5" thickBot="1">
      <c r="A58" s="885"/>
      <c r="B58" s="869"/>
      <c r="C58" s="923"/>
      <c r="D58" s="930" t="s">
        <v>115</v>
      </c>
      <c r="E58" s="931"/>
      <c r="F58" s="931"/>
      <c r="G58" s="931"/>
      <c r="H58" s="931"/>
      <c r="I58" s="931"/>
      <c r="J58" s="931"/>
      <c r="K58" s="931"/>
      <c r="L58" s="931"/>
      <c r="M58" s="931"/>
      <c r="N58" s="931"/>
      <c r="O58" s="931"/>
      <c r="P58" s="931"/>
      <c r="Q58" s="931"/>
      <c r="R58" s="931"/>
      <c r="S58" s="931"/>
      <c r="T58" s="931"/>
      <c r="U58" s="931"/>
      <c r="V58" s="931"/>
      <c r="W58" s="932"/>
      <c r="X58" s="880"/>
    </row>
    <row r="59" spans="1:24" ht="13.5" thickBot="1">
      <c r="A59" s="885"/>
      <c r="B59" s="11" t="s">
        <v>38</v>
      </c>
      <c r="C59" s="12"/>
      <c r="D59" s="927" t="s">
        <v>78</v>
      </c>
      <c r="E59" s="928"/>
      <c r="F59" s="928"/>
      <c r="G59" s="929"/>
      <c r="H59" s="927" t="s">
        <v>77</v>
      </c>
      <c r="I59" s="928"/>
      <c r="J59" s="928"/>
      <c r="K59" s="929"/>
      <c r="L59" s="927" t="s">
        <v>81</v>
      </c>
      <c r="M59" s="928"/>
      <c r="N59" s="928"/>
      <c r="O59" s="929"/>
      <c r="P59" s="927" t="s">
        <v>254</v>
      </c>
      <c r="Q59" s="928"/>
      <c r="R59" s="928"/>
      <c r="S59" s="929"/>
      <c r="T59" s="927" t="s">
        <v>76</v>
      </c>
      <c r="U59" s="928"/>
      <c r="V59" s="928"/>
      <c r="W59" s="929"/>
      <c r="X59" s="880"/>
    </row>
    <row r="60" spans="1:24" ht="13.5" thickBot="1">
      <c r="A60" s="885"/>
      <c r="B60" s="868" t="s">
        <v>155</v>
      </c>
      <c r="C60" s="9" t="s">
        <v>235</v>
      </c>
      <c r="D60" s="933" t="s">
        <v>171</v>
      </c>
      <c r="E60" s="934"/>
      <c r="F60" s="934"/>
      <c r="G60" s="935"/>
      <c r="H60" s="966" t="s">
        <v>255</v>
      </c>
      <c r="I60" s="967"/>
      <c r="J60" s="967"/>
      <c r="K60" s="968"/>
      <c r="L60" s="951">
        <v>2.4500000000000002</v>
      </c>
      <c r="M60" s="969"/>
      <c r="N60" s="969"/>
      <c r="O60" s="952"/>
      <c r="P60" s="951">
        <v>2.68</v>
      </c>
      <c r="Q60" s="969"/>
      <c r="R60" s="969"/>
      <c r="S60" s="952"/>
      <c r="T60" s="951">
        <v>3.1</v>
      </c>
      <c r="U60" s="969"/>
      <c r="V60" s="969"/>
      <c r="W60" s="952"/>
      <c r="X60" s="880"/>
    </row>
    <row r="61" spans="1:24" ht="13.5" thickBot="1">
      <c r="A61" s="885"/>
      <c r="B61" s="885"/>
      <c r="C61" s="9" t="s">
        <v>233</v>
      </c>
      <c r="D61" s="957"/>
      <c r="E61" s="958"/>
      <c r="F61" s="958"/>
      <c r="G61" s="959"/>
      <c r="H61" s="966" t="s">
        <v>255</v>
      </c>
      <c r="I61" s="967"/>
      <c r="J61" s="967"/>
      <c r="K61" s="968"/>
      <c r="L61" s="951">
        <v>1.6</v>
      </c>
      <c r="M61" s="969"/>
      <c r="N61" s="969"/>
      <c r="O61" s="952"/>
      <c r="P61" s="951">
        <v>1.7</v>
      </c>
      <c r="Q61" s="969"/>
      <c r="R61" s="969"/>
      <c r="S61" s="952"/>
      <c r="T61" s="951">
        <v>2.1</v>
      </c>
      <c r="U61" s="969"/>
      <c r="V61" s="969"/>
      <c r="W61" s="952"/>
      <c r="X61" s="880"/>
    </row>
    <row r="62" spans="1:24" ht="13.5" thickBot="1">
      <c r="A62" s="885"/>
      <c r="B62" s="885"/>
      <c r="C62" s="9" t="s">
        <v>234</v>
      </c>
      <c r="D62" s="957"/>
      <c r="E62" s="958"/>
      <c r="F62" s="958"/>
      <c r="G62" s="959"/>
      <c r="H62" s="966" t="s">
        <v>256</v>
      </c>
      <c r="I62" s="967"/>
      <c r="J62" s="967"/>
      <c r="K62" s="968"/>
      <c r="L62" s="951">
        <v>1.7</v>
      </c>
      <c r="M62" s="969"/>
      <c r="N62" s="969"/>
      <c r="O62" s="952"/>
      <c r="P62" s="951">
        <v>1.75</v>
      </c>
      <c r="Q62" s="969"/>
      <c r="R62" s="969"/>
      <c r="S62" s="952"/>
      <c r="T62" s="951">
        <v>2.1</v>
      </c>
      <c r="U62" s="969"/>
      <c r="V62" s="969"/>
      <c r="W62" s="952"/>
      <c r="X62" s="880"/>
    </row>
    <row r="63" spans="1:24" ht="13.5" thickBot="1">
      <c r="A63" s="885"/>
      <c r="B63" s="885"/>
      <c r="C63" s="10" t="s">
        <v>236</v>
      </c>
      <c r="D63" s="933"/>
      <c r="E63" s="934"/>
      <c r="F63" s="934"/>
      <c r="G63" s="935"/>
      <c r="H63" s="933"/>
      <c r="I63" s="934"/>
      <c r="J63" s="934"/>
      <c r="K63" s="935"/>
      <c r="L63" s="933"/>
      <c r="M63" s="934"/>
      <c r="N63" s="934"/>
      <c r="O63" s="935"/>
      <c r="P63" s="954" t="e">
        <f>#REF!</f>
        <v>#REF!</v>
      </c>
      <c r="Q63" s="970"/>
      <c r="R63" s="970"/>
      <c r="S63" s="953"/>
      <c r="T63" s="954" t="e">
        <f>#REF!</f>
        <v>#REF!</v>
      </c>
      <c r="U63" s="970"/>
      <c r="V63" s="970"/>
      <c r="W63" s="953"/>
      <c r="X63" s="880"/>
    </row>
    <row r="64" spans="1:24" ht="13.5" thickBot="1">
      <c r="A64" s="885"/>
      <c r="B64" s="885"/>
      <c r="C64" s="922" t="s">
        <v>413</v>
      </c>
      <c r="D64" s="927" t="s">
        <v>4</v>
      </c>
      <c r="E64" s="928"/>
      <c r="F64" s="928"/>
      <c r="G64" s="928"/>
      <c r="H64" s="928"/>
      <c r="I64" s="928"/>
      <c r="J64" s="928"/>
      <c r="K64" s="928"/>
      <c r="L64" s="928"/>
      <c r="M64" s="928"/>
      <c r="N64" s="928"/>
      <c r="O64" s="928"/>
      <c r="P64" s="928"/>
      <c r="Q64" s="928"/>
      <c r="R64" s="928"/>
      <c r="S64" s="928"/>
      <c r="T64" s="928"/>
      <c r="U64" s="928"/>
      <c r="V64" s="928"/>
      <c r="W64" s="928"/>
      <c r="X64" s="880"/>
    </row>
    <row r="65" spans="1:24" ht="13.5" thickBot="1">
      <c r="A65" s="885"/>
      <c r="B65" s="869"/>
      <c r="C65" s="923"/>
      <c r="D65" s="930" t="s">
        <v>115</v>
      </c>
      <c r="E65" s="931"/>
      <c r="F65" s="931"/>
      <c r="G65" s="931"/>
      <c r="H65" s="931"/>
      <c r="I65" s="931"/>
      <c r="J65" s="931"/>
      <c r="K65" s="931"/>
      <c r="L65" s="931"/>
      <c r="M65" s="931"/>
      <c r="N65" s="931"/>
      <c r="O65" s="931"/>
      <c r="P65" s="931"/>
      <c r="Q65" s="931"/>
      <c r="R65" s="931"/>
      <c r="S65" s="931"/>
      <c r="T65" s="931"/>
      <c r="U65" s="931"/>
      <c r="V65" s="931"/>
      <c r="W65" s="932"/>
      <c r="X65" s="880"/>
    </row>
    <row r="66" spans="1:24" ht="13.5" thickBot="1">
      <c r="A66" s="885"/>
      <c r="B66" s="11" t="s">
        <v>39</v>
      </c>
      <c r="C66" s="12"/>
      <c r="D66" s="927" t="s">
        <v>78</v>
      </c>
      <c r="E66" s="928"/>
      <c r="F66" s="928"/>
      <c r="G66" s="929"/>
      <c r="H66" s="927" t="s">
        <v>77</v>
      </c>
      <c r="I66" s="928"/>
      <c r="J66" s="928"/>
      <c r="K66" s="929"/>
      <c r="L66" s="927" t="s">
        <v>81</v>
      </c>
      <c r="M66" s="928"/>
      <c r="N66" s="928"/>
      <c r="O66" s="929"/>
      <c r="P66" s="927" t="s">
        <v>254</v>
      </c>
      <c r="Q66" s="928"/>
      <c r="R66" s="928"/>
      <c r="S66" s="929"/>
      <c r="T66" s="927" t="s">
        <v>76</v>
      </c>
      <c r="U66" s="928"/>
      <c r="V66" s="928"/>
      <c r="W66" s="929"/>
      <c r="X66" s="880"/>
    </row>
    <row r="67" spans="1:24" ht="13.5" thickBot="1">
      <c r="A67" s="885"/>
      <c r="B67" s="978" t="s">
        <v>575</v>
      </c>
      <c r="C67" s="9"/>
      <c r="D67" s="20" t="s">
        <v>105</v>
      </c>
      <c r="E67" s="20" t="s">
        <v>110</v>
      </c>
      <c r="F67" s="20" t="s">
        <v>111</v>
      </c>
      <c r="G67" s="20" t="s">
        <v>112</v>
      </c>
      <c r="H67" s="20" t="s">
        <v>105</v>
      </c>
      <c r="I67" s="20" t="s">
        <v>110</v>
      </c>
      <c r="J67" s="20" t="s">
        <v>111</v>
      </c>
      <c r="K67" s="20" t="s">
        <v>112</v>
      </c>
      <c r="L67" s="20" t="s">
        <v>105</v>
      </c>
      <c r="M67" s="20" t="s">
        <v>110</v>
      </c>
      <c r="N67" s="20" t="s">
        <v>111</v>
      </c>
      <c r="O67" s="20" t="s">
        <v>112</v>
      </c>
      <c r="P67" s="20" t="s">
        <v>105</v>
      </c>
      <c r="Q67" s="20" t="s">
        <v>110</v>
      </c>
      <c r="R67" s="20" t="s">
        <v>111</v>
      </c>
      <c r="S67" s="20" t="s">
        <v>112</v>
      </c>
      <c r="T67" s="20" t="s">
        <v>105</v>
      </c>
      <c r="U67" s="20" t="s">
        <v>110</v>
      </c>
      <c r="V67" s="20" t="s">
        <v>111</v>
      </c>
      <c r="W67" s="20" t="s">
        <v>112</v>
      </c>
      <c r="X67" s="880"/>
    </row>
    <row r="68" spans="1:24" ht="13.5" thickBot="1">
      <c r="A68" s="885"/>
      <c r="B68" s="979"/>
      <c r="C68" s="9" t="s">
        <v>247</v>
      </c>
      <c r="D68" s="18">
        <v>0</v>
      </c>
      <c r="E68" s="18">
        <v>50</v>
      </c>
      <c r="F68" s="18">
        <v>0</v>
      </c>
      <c r="G68" s="18">
        <v>0</v>
      </c>
      <c r="H68" s="18">
        <v>10</v>
      </c>
      <c r="I68" s="18">
        <v>50</v>
      </c>
      <c r="J68" s="18">
        <v>0</v>
      </c>
      <c r="K68" s="18">
        <v>0</v>
      </c>
      <c r="L68" s="18">
        <v>20</v>
      </c>
      <c r="M68" s="18">
        <v>50</v>
      </c>
      <c r="N68" s="18">
        <v>25</v>
      </c>
      <c r="O68" s="18">
        <v>10</v>
      </c>
      <c r="P68" s="18">
        <v>33</v>
      </c>
      <c r="Q68" s="18">
        <v>50</v>
      </c>
      <c r="R68" s="18">
        <v>33</v>
      </c>
      <c r="S68" s="18">
        <v>20</v>
      </c>
      <c r="T68" s="18">
        <v>50</v>
      </c>
      <c r="U68" s="18">
        <v>50</v>
      </c>
      <c r="V68" s="18">
        <v>40</v>
      </c>
      <c r="W68" s="18">
        <v>25</v>
      </c>
      <c r="X68" s="880"/>
    </row>
    <row r="69" spans="1:24" ht="24.75" thickBot="1">
      <c r="A69" s="885"/>
      <c r="B69" s="169" t="s">
        <v>159</v>
      </c>
      <c r="C69" s="10" t="s">
        <v>246</v>
      </c>
      <c r="D69" s="972" t="s">
        <v>258</v>
      </c>
      <c r="E69" s="973"/>
      <c r="F69" s="973"/>
      <c r="G69" s="974"/>
      <c r="H69" s="87">
        <v>11</v>
      </c>
      <c r="I69" s="87" t="s">
        <v>265</v>
      </c>
      <c r="J69" s="87">
        <v>0</v>
      </c>
      <c r="K69" s="87">
        <v>0</v>
      </c>
      <c r="L69" s="68" t="e">
        <f>#REF!</f>
        <v>#REF!</v>
      </c>
      <c r="M69" s="68" t="e">
        <f>#REF!</f>
        <v>#REF!</v>
      </c>
      <c r="N69" s="68" t="e">
        <f>#REF!</f>
        <v>#REF!</v>
      </c>
      <c r="O69" s="68" t="e">
        <f>#REF!</f>
        <v>#REF!</v>
      </c>
      <c r="P69" s="68" t="e">
        <f>#REF!</f>
        <v>#REF!</v>
      </c>
      <c r="Q69" s="68" t="e">
        <f>#REF!</f>
        <v>#REF!</v>
      </c>
      <c r="R69" s="68" t="e">
        <f>#REF!</f>
        <v>#REF!</v>
      </c>
      <c r="S69" s="68" t="e">
        <f>#REF!</f>
        <v>#REF!</v>
      </c>
      <c r="T69" s="68" t="e">
        <f>#REF!</f>
        <v>#REF!</v>
      </c>
      <c r="U69" s="68" t="e">
        <f>#REF!</f>
        <v>#REF!</v>
      </c>
      <c r="V69" s="68" t="e">
        <f>#REF!</f>
        <v>#REF!</v>
      </c>
      <c r="W69" s="68" t="e">
        <f>#REF!</f>
        <v>#REF!</v>
      </c>
      <c r="X69" s="880"/>
    </row>
    <row r="70" spans="1:24" ht="36.75" thickBot="1">
      <c r="A70" s="885"/>
      <c r="B70" s="169" t="s">
        <v>576</v>
      </c>
      <c r="C70" s="922" t="s">
        <v>413</v>
      </c>
      <c r="D70" s="927" t="s">
        <v>4</v>
      </c>
      <c r="E70" s="928"/>
      <c r="F70" s="928"/>
      <c r="G70" s="928"/>
      <c r="H70" s="928"/>
      <c r="I70" s="928"/>
      <c r="J70" s="928"/>
      <c r="K70" s="928"/>
      <c r="L70" s="928"/>
      <c r="M70" s="928"/>
      <c r="N70" s="928"/>
      <c r="O70" s="928"/>
      <c r="P70" s="928"/>
      <c r="Q70" s="928"/>
      <c r="R70" s="928"/>
      <c r="S70" s="928"/>
      <c r="T70" s="928"/>
      <c r="U70" s="928"/>
      <c r="V70" s="928"/>
      <c r="W70" s="928"/>
      <c r="X70" s="880"/>
    </row>
    <row r="71" spans="1:24" ht="13.5" thickBot="1">
      <c r="A71" s="869"/>
      <c r="B71" s="176" t="s">
        <v>577</v>
      </c>
      <c r="C71" s="923"/>
      <c r="D71" s="930" t="s">
        <v>126</v>
      </c>
      <c r="E71" s="931"/>
      <c r="F71" s="931"/>
      <c r="G71" s="931"/>
      <c r="H71" s="931"/>
      <c r="I71" s="931"/>
      <c r="J71" s="931"/>
      <c r="K71" s="931"/>
      <c r="L71" s="931"/>
      <c r="M71" s="931"/>
      <c r="N71" s="931"/>
      <c r="O71" s="931"/>
      <c r="P71" s="931"/>
      <c r="Q71" s="931"/>
      <c r="R71" s="931"/>
      <c r="S71" s="931"/>
      <c r="T71" s="931"/>
      <c r="U71" s="931"/>
      <c r="V71" s="931"/>
      <c r="W71" s="932"/>
      <c r="X71" s="881"/>
    </row>
    <row r="72" spans="1:24" ht="13.5" thickBot="1">
      <c r="A72" s="906" t="s">
        <v>7</v>
      </c>
      <c r="B72" s="908" t="s">
        <v>173</v>
      </c>
      <c r="C72" s="909"/>
      <c r="D72" s="908" t="s">
        <v>8</v>
      </c>
      <c r="E72" s="918"/>
      <c r="F72" s="918"/>
      <c r="G72" s="909"/>
      <c r="H72" s="908" t="s">
        <v>88</v>
      </c>
      <c r="I72" s="918"/>
      <c r="J72" s="918"/>
      <c r="K72" s="909"/>
      <c r="L72" s="908" t="s">
        <v>89</v>
      </c>
      <c r="M72" s="918"/>
      <c r="N72" s="918"/>
      <c r="O72" s="909"/>
      <c r="P72" s="908" t="s">
        <v>9</v>
      </c>
      <c r="Q72" s="918"/>
      <c r="R72" s="918"/>
      <c r="S72" s="909"/>
      <c r="T72" s="908" t="s">
        <v>174</v>
      </c>
      <c r="U72" s="918"/>
      <c r="V72" s="918"/>
      <c r="W72" s="918"/>
      <c r="X72" s="909"/>
    </row>
    <row r="73" spans="1:24" ht="13.5" thickBot="1">
      <c r="A73" s="907"/>
      <c r="B73" s="975">
        <f>SUM(B98+B123+B156+B196+B212)</f>
        <v>31000000</v>
      </c>
      <c r="C73" s="976"/>
      <c r="D73" s="975">
        <f>SUM(D98+D123+D156+D196+D212)</f>
        <v>2100000</v>
      </c>
      <c r="E73" s="977"/>
      <c r="F73" s="977">
        <f>SUM(F98+F123+F156+F196+F212)</f>
        <v>0</v>
      </c>
      <c r="G73" s="976"/>
      <c r="H73" s="975">
        <f>SUM(H98+H123+H156+H196+H212)</f>
        <v>13000000</v>
      </c>
      <c r="I73" s="977"/>
      <c r="J73" s="977">
        <f>SUM(J98+J123+J156+J196+J212)</f>
        <v>0</v>
      </c>
      <c r="K73" s="976"/>
      <c r="L73" s="975">
        <f>SUM(L98+L123+L156+L196+L212)</f>
        <v>11900000</v>
      </c>
      <c r="M73" s="977"/>
      <c r="N73" s="977">
        <f>SUM(N98+N123+N156+N196+N212)</f>
        <v>0</v>
      </c>
      <c r="O73" s="976"/>
      <c r="P73" s="975">
        <f>SUM(B73:O73)</f>
        <v>58000000</v>
      </c>
      <c r="Q73" s="977"/>
      <c r="R73" s="977"/>
      <c r="S73" s="976"/>
      <c r="T73" s="942">
        <f>B73/P73%</f>
        <v>53.448275862068968</v>
      </c>
      <c r="U73" s="943"/>
      <c r="V73" s="943"/>
      <c r="W73" s="943"/>
      <c r="X73" s="944"/>
    </row>
    <row r="74" spans="1:24" ht="13.5" thickBot="1">
      <c r="A74" s="906" t="s">
        <v>10</v>
      </c>
      <c r="B74" s="908" t="s">
        <v>175</v>
      </c>
      <c r="C74" s="909"/>
      <c r="D74" s="910"/>
      <c r="E74" s="911"/>
      <c r="F74" s="911"/>
      <c r="G74" s="911"/>
      <c r="H74" s="911"/>
      <c r="I74" s="911"/>
      <c r="J74" s="911"/>
      <c r="K74" s="911"/>
      <c r="L74" s="911"/>
      <c r="M74" s="911"/>
      <c r="N74" s="911"/>
      <c r="O74" s="911"/>
      <c r="P74" s="911"/>
      <c r="Q74" s="911"/>
      <c r="R74" s="911"/>
      <c r="S74" s="911"/>
      <c r="T74" s="911"/>
      <c r="U74" s="911"/>
      <c r="V74" s="911"/>
      <c r="W74" s="911"/>
      <c r="X74" s="912"/>
    </row>
    <row r="75" spans="1:24" ht="13.5" thickBot="1">
      <c r="A75" s="907"/>
      <c r="B75" s="916">
        <f>SUM(B100+B125+B158+B198+B214)</f>
        <v>0</v>
      </c>
      <c r="C75" s="917"/>
      <c r="D75" s="913"/>
      <c r="E75" s="914"/>
      <c r="F75" s="914"/>
      <c r="G75" s="914"/>
      <c r="H75" s="914"/>
      <c r="I75" s="914"/>
      <c r="J75" s="914"/>
      <c r="K75" s="914"/>
      <c r="L75" s="914"/>
      <c r="M75" s="914"/>
      <c r="N75" s="914"/>
      <c r="O75" s="914"/>
      <c r="P75" s="914"/>
      <c r="Q75" s="914"/>
      <c r="R75" s="914"/>
      <c r="S75" s="914"/>
      <c r="T75" s="914"/>
      <c r="U75" s="914"/>
      <c r="V75" s="914"/>
      <c r="W75" s="914"/>
      <c r="X75" s="915"/>
    </row>
    <row r="76" spans="1:24">
      <c r="A76" s="5"/>
      <c r="B76" s="5"/>
      <c r="C76" s="6"/>
      <c r="D76" s="5"/>
      <c r="E76" s="5"/>
      <c r="F76" s="5"/>
      <c r="G76" s="5"/>
      <c r="H76" s="5"/>
      <c r="I76" s="5"/>
      <c r="J76" s="5"/>
      <c r="K76" s="5"/>
      <c r="L76" s="5"/>
      <c r="M76" s="5"/>
      <c r="N76" s="5"/>
      <c r="O76" s="5"/>
      <c r="P76" s="5"/>
      <c r="Q76" s="5"/>
      <c r="R76" s="5"/>
      <c r="S76" s="5"/>
      <c r="T76" s="5"/>
      <c r="U76" s="5"/>
      <c r="V76" s="5"/>
      <c r="W76" s="5"/>
      <c r="X76" s="5"/>
    </row>
    <row r="77" spans="1:24" ht="13.5" thickBot="1">
      <c r="A77" s="21"/>
      <c r="B77" s="21"/>
      <c r="C77" s="22"/>
      <c r="D77" s="21"/>
      <c r="E77" s="21"/>
      <c r="F77" s="21"/>
      <c r="G77" s="21"/>
      <c r="H77" s="21"/>
      <c r="I77" s="21"/>
      <c r="J77" s="21"/>
      <c r="K77" s="21"/>
      <c r="L77" s="21"/>
      <c r="M77" s="21"/>
      <c r="N77" s="21"/>
      <c r="O77" s="21"/>
      <c r="P77" s="21"/>
      <c r="Q77" s="21"/>
      <c r="R77" s="21"/>
      <c r="S77" s="21"/>
      <c r="T77" s="21"/>
      <c r="U77" s="21"/>
      <c r="V77" s="21"/>
      <c r="W77" s="21"/>
      <c r="X77" s="21"/>
    </row>
    <row r="78" spans="1:24" ht="13.5" thickBot="1">
      <c r="A78" s="95" t="s">
        <v>11</v>
      </c>
      <c r="B78" s="97" t="s">
        <v>16</v>
      </c>
      <c r="C78" s="8"/>
      <c r="D78" s="927" t="s">
        <v>78</v>
      </c>
      <c r="E78" s="928"/>
      <c r="F78" s="928"/>
      <c r="G78" s="929"/>
      <c r="H78" s="927" t="s">
        <v>77</v>
      </c>
      <c r="I78" s="928"/>
      <c r="J78" s="928"/>
      <c r="K78" s="929"/>
      <c r="L78" s="927" t="s">
        <v>81</v>
      </c>
      <c r="M78" s="928"/>
      <c r="N78" s="928"/>
      <c r="O78" s="929"/>
      <c r="P78" s="927" t="s">
        <v>254</v>
      </c>
      <c r="Q78" s="928"/>
      <c r="R78" s="928"/>
      <c r="S78" s="929"/>
      <c r="T78" s="927" t="s">
        <v>76</v>
      </c>
      <c r="U78" s="928"/>
      <c r="V78" s="928"/>
      <c r="W78" s="929"/>
      <c r="X78" s="16" t="s">
        <v>12</v>
      </c>
    </row>
    <row r="79" spans="1:24" ht="13.5" thickBot="1">
      <c r="A79" s="868" t="s">
        <v>57</v>
      </c>
      <c r="B79" s="868" t="s">
        <v>58</v>
      </c>
      <c r="C79" s="9" t="s">
        <v>235</v>
      </c>
      <c r="D79" s="942">
        <v>1</v>
      </c>
      <c r="E79" s="943"/>
      <c r="F79" s="943"/>
      <c r="G79" s="944"/>
      <c r="H79" s="942">
        <v>2.1</v>
      </c>
      <c r="I79" s="943"/>
      <c r="J79" s="943"/>
      <c r="K79" s="944"/>
      <c r="L79" s="942">
        <v>3.4</v>
      </c>
      <c r="M79" s="943"/>
      <c r="N79" s="943"/>
      <c r="O79" s="944"/>
      <c r="P79" s="942">
        <v>3.9</v>
      </c>
      <c r="Q79" s="943"/>
      <c r="R79" s="943"/>
      <c r="S79" s="944"/>
      <c r="T79" s="942">
        <v>4.8</v>
      </c>
      <c r="U79" s="943"/>
      <c r="V79" s="943"/>
      <c r="W79" s="944"/>
      <c r="X79" s="879" t="s">
        <v>97</v>
      </c>
    </row>
    <row r="80" spans="1:24" ht="13.5" thickBot="1">
      <c r="A80" s="885"/>
      <c r="B80" s="885"/>
      <c r="C80" s="9" t="s">
        <v>233</v>
      </c>
      <c r="D80" s="957"/>
      <c r="E80" s="958"/>
      <c r="F80" s="958"/>
      <c r="G80" s="959"/>
      <c r="H80" s="942" t="s">
        <v>240</v>
      </c>
      <c r="I80" s="943"/>
      <c r="J80" s="943"/>
      <c r="K80" s="944"/>
      <c r="L80" s="942">
        <v>1.7</v>
      </c>
      <c r="M80" s="943"/>
      <c r="N80" s="943"/>
      <c r="O80" s="944"/>
      <c r="P80" s="942">
        <v>2.1</v>
      </c>
      <c r="Q80" s="943"/>
      <c r="R80" s="943"/>
      <c r="S80" s="944"/>
      <c r="T80" s="942">
        <v>3.5</v>
      </c>
      <c r="U80" s="943"/>
      <c r="V80" s="943"/>
      <c r="W80" s="944"/>
      <c r="X80" s="880"/>
    </row>
    <row r="81" spans="1:24" ht="13.5" thickBot="1">
      <c r="A81" s="885"/>
      <c r="B81" s="885"/>
      <c r="C81" s="9" t="s">
        <v>234</v>
      </c>
      <c r="D81" s="957"/>
      <c r="E81" s="958"/>
      <c r="F81" s="958"/>
      <c r="G81" s="959"/>
      <c r="H81" s="957"/>
      <c r="I81" s="958"/>
      <c r="J81" s="958"/>
      <c r="K81" s="959"/>
      <c r="L81" s="942" t="s">
        <v>241</v>
      </c>
      <c r="M81" s="943"/>
      <c r="N81" s="943"/>
      <c r="O81" s="944"/>
      <c r="P81" s="942">
        <v>1.5</v>
      </c>
      <c r="Q81" s="943"/>
      <c r="R81" s="943"/>
      <c r="S81" s="944"/>
      <c r="T81" s="960">
        <v>2.25</v>
      </c>
      <c r="U81" s="961"/>
      <c r="V81" s="961"/>
      <c r="W81" s="962"/>
      <c r="X81" s="880"/>
    </row>
    <row r="82" spans="1:24" ht="13.5" thickBot="1">
      <c r="A82" s="885"/>
      <c r="B82" s="885"/>
      <c r="C82" s="10" t="s">
        <v>236</v>
      </c>
      <c r="D82" s="957"/>
      <c r="E82" s="958"/>
      <c r="F82" s="958"/>
      <c r="G82" s="959"/>
      <c r="H82" s="948" t="s">
        <v>263</v>
      </c>
      <c r="I82" s="949"/>
      <c r="J82" s="949"/>
      <c r="K82" s="950"/>
      <c r="L82" s="963" t="e">
        <f>#REF!</f>
        <v>#REF!</v>
      </c>
      <c r="M82" s="964"/>
      <c r="N82" s="964"/>
      <c r="O82" s="965"/>
      <c r="P82" s="963" t="e">
        <f>#REF!</f>
        <v>#REF!</v>
      </c>
      <c r="Q82" s="964"/>
      <c r="R82" s="964"/>
      <c r="S82" s="965"/>
      <c r="T82" s="963" t="e">
        <f>#REF!</f>
        <v>#REF!</v>
      </c>
      <c r="U82" s="964"/>
      <c r="V82" s="964"/>
      <c r="W82" s="965"/>
      <c r="X82" s="880"/>
    </row>
    <row r="83" spans="1:24" ht="13.5" thickBot="1">
      <c r="A83" s="885"/>
      <c r="B83" s="885"/>
      <c r="C83" s="922" t="s">
        <v>413</v>
      </c>
      <c r="D83" s="927" t="s">
        <v>4</v>
      </c>
      <c r="E83" s="928"/>
      <c r="F83" s="928"/>
      <c r="G83" s="928"/>
      <c r="H83" s="928"/>
      <c r="I83" s="928"/>
      <c r="J83" s="928"/>
      <c r="K83" s="928"/>
      <c r="L83" s="928"/>
      <c r="M83" s="928"/>
      <c r="N83" s="928"/>
      <c r="O83" s="928"/>
      <c r="P83" s="928"/>
      <c r="Q83" s="928"/>
      <c r="R83" s="928"/>
      <c r="S83" s="928"/>
      <c r="T83" s="928"/>
      <c r="U83" s="928"/>
      <c r="V83" s="928"/>
      <c r="W83" s="929"/>
      <c r="X83" s="880"/>
    </row>
    <row r="84" spans="1:24" ht="13.5" thickBot="1">
      <c r="A84" s="885"/>
      <c r="B84" s="869"/>
      <c r="C84" s="923"/>
      <c r="D84" s="930" t="s">
        <v>120</v>
      </c>
      <c r="E84" s="931"/>
      <c r="F84" s="931"/>
      <c r="G84" s="931"/>
      <c r="H84" s="931"/>
      <c r="I84" s="931"/>
      <c r="J84" s="931"/>
      <c r="K84" s="931"/>
      <c r="L84" s="931"/>
      <c r="M84" s="931"/>
      <c r="N84" s="931"/>
      <c r="O84" s="931"/>
      <c r="P84" s="931"/>
      <c r="Q84" s="931"/>
      <c r="R84" s="931"/>
      <c r="S84" s="931"/>
      <c r="T84" s="931"/>
      <c r="U84" s="931"/>
      <c r="V84" s="931"/>
      <c r="W84" s="932"/>
      <c r="X84" s="880"/>
    </row>
    <row r="85" spans="1:24" ht="13.5" thickBot="1">
      <c r="A85" s="885"/>
      <c r="B85" s="11" t="s">
        <v>17</v>
      </c>
      <c r="C85" s="12"/>
      <c r="D85" s="927" t="s">
        <v>78</v>
      </c>
      <c r="E85" s="928"/>
      <c r="F85" s="928"/>
      <c r="G85" s="929"/>
      <c r="H85" s="927" t="s">
        <v>77</v>
      </c>
      <c r="I85" s="928"/>
      <c r="J85" s="928"/>
      <c r="K85" s="929"/>
      <c r="L85" s="927" t="s">
        <v>81</v>
      </c>
      <c r="M85" s="928"/>
      <c r="N85" s="928"/>
      <c r="O85" s="929"/>
      <c r="P85" s="927" t="s">
        <v>254</v>
      </c>
      <c r="Q85" s="928"/>
      <c r="R85" s="928"/>
      <c r="S85" s="929"/>
      <c r="T85" s="927" t="s">
        <v>76</v>
      </c>
      <c r="U85" s="928"/>
      <c r="V85" s="928"/>
      <c r="W85" s="929"/>
      <c r="X85" s="880"/>
    </row>
    <row r="86" spans="1:24" ht="13.5" thickBot="1">
      <c r="A86" s="885"/>
      <c r="B86" s="868" t="s">
        <v>59</v>
      </c>
      <c r="C86" s="9" t="s">
        <v>235</v>
      </c>
      <c r="D86" s="942">
        <v>1</v>
      </c>
      <c r="E86" s="943"/>
      <c r="F86" s="943"/>
      <c r="G86" s="944"/>
      <c r="H86" s="942">
        <v>2.1</v>
      </c>
      <c r="I86" s="943"/>
      <c r="J86" s="943"/>
      <c r="K86" s="944"/>
      <c r="L86" s="942">
        <v>3.4</v>
      </c>
      <c r="M86" s="943"/>
      <c r="N86" s="943"/>
      <c r="O86" s="944"/>
      <c r="P86" s="942">
        <v>3.9</v>
      </c>
      <c r="Q86" s="943"/>
      <c r="R86" s="943"/>
      <c r="S86" s="944"/>
      <c r="T86" s="942">
        <v>4.8</v>
      </c>
      <c r="U86" s="943"/>
      <c r="V86" s="943"/>
      <c r="W86" s="944"/>
      <c r="X86" s="880"/>
    </row>
    <row r="87" spans="1:24" ht="13.5" thickBot="1">
      <c r="A87" s="885"/>
      <c r="B87" s="885"/>
      <c r="C87" s="9" t="s">
        <v>233</v>
      </c>
      <c r="D87" s="957"/>
      <c r="E87" s="958"/>
      <c r="F87" s="958"/>
      <c r="G87" s="959"/>
      <c r="H87" s="942" t="s">
        <v>240</v>
      </c>
      <c r="I87" s="943"/>
      <c r="J87" s="943"/>
      <c r="K87" s="944"/>
      <c r="L87" s="942">
        <v>1.7</v>
      </c>
      <c r="M87" s="943"/>
      <c r="N87" s="943"/>
      <c r="O87" s="944"/>
      <c r="P87" s="942">
        <v>2.1</v>
      </c>
      <c r="Q87" s="943"/>
      <c r="R87" s="943"/>
      <c r="S87" s="944"/>
      <c r="T87" s="942">
        <v>3.5</v>
      </c>
      <c r="U87" s="943"/>
      <c r="V87" s="943"/>
      <c r="W87" s="944"/>
      <c r="X87" s="880"/>
    </row>
    <row r="88" spans="1:24" ht="13.5" thickBot="1">
      <c r="A88" s="885"/>
      <c r="B88" s="885"/>
      <c r="C88" s="9" t="s">
        <v>234</v>
      </c>
      <c r="D88" s="957"/>
      <c r="E88" s="958"/>
      <c r="F88" s="958"/>
      <c r="G88" s="959"/>
      <c r="H88" s="957"/>
      <c r="I88" s="958"/>
      <c r="J88" s="958"/>
      <c r="K88" s="959"/>
      <c r="L88" s="942" t="s">
        <v>241</v>
      </c>
      <c r="M88" s="943"/>
      <c r="N88" s="943"/>
      <c r="O88" s="944"/>
      <c r="P88" s="942">
        <v>1.5</v>
      </c>
      <c r="Q88" s="943"/>
      <c r="R88" s="943"/>
      <c r="S88" s="944"/>
      <c r="T88" s="942">
        <v>2.5</v>
      </c>
      <c r="U88" s="943"/>
      <c r="V88" s="943"/>
      <c r="W88" s="944"/>
      <c r="X88" s="880"/>
    </row>
    <row r="89" spans="1:24" ht="13.5" thickBot="1">
      <c r="A89" s="885"/>
      <c r="B89" s="885"/>
      <c r="C89" s="10" t="s">
        <v>236</v>
      </c>
      <c r="D89" s="957"/>
      <c r="E89" s="958"/>
      <c r="F89" s="958"/>
      <c r="G89" s="959"/>
      <c r="H89" s="948" t="s">
        <v>264</v>
      </c>
      <c r="I89" s="949"/>
      <c r="J89" s="949"/>
      <c r="K89" s="950"/>
      <c r="L89" s="963" t="e">
        <f>#REF!</f>
        <v>#REF!</v>
      </c>
      <c r="M89" s="964"/>
      <c r="N89" s="964"/>
      <c r="O89" s="965"/>
      <c r="P89" s="963" t="e">
        <f>#REF!</f>
        <v>#REF!</v>
      </c>
      <c r="Q89" s="964"/>
      <c r="R89" s="964"/>
      <c r="S89" s="965"/>
      <c r="T89" s="963" t="e">
        <f>#REF!</f>
        <v>#REF!</v>
      </c>
      <c r="U89" s="964"/>
      <c r="V89" s="964"/>
      <c r="W89" s="965"/>
      <c r="X89" s="880"/>
    </row>
    <row r="90" spans="1:24" ht="13.5" thickBot="1">
      <c r="A90" s="885"/>
      <c r="B90" s="885"/>
      <c r="C90" s="922" t="s">
        <v>413</v>
      </c>
      <c r="D90" s="927" t="s">
        <v>4</v>
      </c>
      <c r="E90" s="928"/>
      <c r="F90" s="928"/>
      <c r="G90" s="928"/>
      <c r="H90" s="928"/>
      <c r="I90" s="928"/>
      <c r="J90" s="928"/>
      <c r="K90" s="928"/>
      <c r="L90" s="928"/>
      <c r="M90" s="928"/>
      <c r="N90" s="928"/>
      <c r="O90" s="928"/>
      <c r="P90" s="928"/>
      <c r="Q90" s="928"/>
      <c r="R90" s="928"/>
      <c r="S90" s="928"/>
      <c r="T90" s="928"/>
      <c r="U90" s="928"/>
      <c r="V90" s="928"/>
      <c r="W90" s="929"/>
      <c r="X90" s="880"/>
    </row>
    <row r="91" spans="1:24" ht="13.5" thickBot="1">
      <c r="A91" s="885"/>
      <c r="B91" s="869"/>
      <c r="C91" s="923"/>
      <c r="D91" s="930" t="s">
        <v>118</v>
      </c>
      <c r="E91" s="931"/>
      <c r="F91" s="931"/>
      <c r="G91" s="931"/>
      <c r="H91" s="931"/>
      <c r="I91" s="931"/>
      <c r="J91" s="931"/>
      <c r="K91" s="931"/>
      <c r="L91" s="931"/>
      <c r="M91" s="931"/>
      <c r="N91" s="931"/>
      <c r="O91" s="931"/>
      <c r="P91" s="931"/>
      <c r="Q91" s="931"/>
      <c r="R91" s="931"/>
      <c r="S91" s="931"/>
      <c r="T91" s="931"/>
      <c r="U91" s="931"/>
      <c r="V91" s="931"/>
      <c r="W91" s="932"/>
      <c r="X91" s="880"/>
    </row>
    <row r="92" spans="1:24" ht="13.5" thickBot="1">
      <c r="A92" s="885"/>
      <c r="B92" s="11" t="s">
        <v>18</v>
      </c>
      <c r="C92" s="12"/>
      <c r="D92" s="927" t="s">
        <v>78</v>
      </c>
      <c r="E92" s="928"/>
      <c r="F92" s="928"/>
      <c r="G92" s="929"/>
      <c r="H92" s="927" t="s">
        <v>77</v>
      </c>
      <c r="I92" s="928"/>
      <c r="J92" s="928"/>
      <c r="K92" s="929"/>
      <c r="L92" s="927" t="s">
        <v>81</v>
      </c>
      <c r="M92" s="928"/>
      <c r="N92" s="928"/>
      <c r="O92" s="929"/>
      <c r="P92" s="927" t="s">
        <v>254</v>
      </c>
      <c r="Q92" s="928"/>
      <c r="R92" s="928"/>
      <c r="S92" s="929"/>
      <c r="T92" s="927" t="s">
        <v>76</v>
      </c>
      <c r="U92" s="928"/>
      <c r="V92" s="928"/>
      <c r="W92" s="929"/>
      <c r="X92" s="880"/>
    </row>
    <row r="93" spans="1:24" ht="13.5" thickBot="1">
      <c r="A93" s="885"/>
      <c r="B93" s="868" t="s">
        <v>60</v>
      </c>
      <c r="C93" s="9" t="s">
        <v>247</v>
      </c>
      <c r="D93" s="924">
        <v>0</v>
      </c>
      <c r="E93" s="925"/>
      <c r="F93" s="925"/>
      <c r="G93" s="926"/>
      <c r="H93" s="924">
        <v>0</v>
      </c>
      <c r="I93" s="925"/>
      <c r="J93" s="925"/>
      <c r="K93" s="926"/>
      <c r="L93" s="924">
        <v>5</v>
      </c>
      <c r="M93" s="925"/>
      <c r="N93" s="925"/>
      <c r="O93" s="926"/>
      <c r="P93" s="924">
        <v>15</v>
      </c>
      <c r="Q93" s="925"/>
      <c r="R93" s="925"/>
      <c r="S93" s="926"/>
      <c r="T93" s="924">
        <v>34</v>
      </c>
      <c r="U93" s="925"/>
      <c r="V93" s="925"/>
      <c r="W93" s="926"/>
      <c r="X93" s="880"/>
    </row>
    <row r="94" spans="1:24" ht="13.5" thickBot="1">
      <c r="A94" s="869"/>
      <c r="B94" s="885"/>
      <c r="C94" s="10" t="s">
        <v>246</v>
      </c>
      <c r="D94" s="933" t="s">
        <v>172</v>
      </c>
      <c r="E94" s="934"/>
      <c r="F94" s="934"/>
      <c r="G94" s="935"/>
      <c r="H94" s="936" t="s">
        <v>249</v>
      </c>
      <c r="I94" s="937"/>
      <c r="J94" s="937"/>
      <c r="K94" s="938"/>
      <c r="L94" s="939" t="e">
        <f>#REF!</f>
        <v>#REF!</v>
      </c>
      <c r="M94" s="940"/>
      <c r="N94" s="940"/>
      <c r="O94" s="941"/>
      <c r="P94" s="939" t="e">
        <f>#REF!</f>
        <v>#REF!</v>
      </c>
      <c r="Q94" s="940"/>
      <c r="R94" s="940"/>
      <c r="S94" s="941"/>
      <c r="T94" s="939" t="e">
        <f>#REF!</f>
        <v>#REF!</v>
      </c>
      <c r="U94" s="940"/>
      <c r="V94" s="940"/>
      <c r="W94" s="941"/>
      <c r="X94" s="881"/>
    </row>
    <row r="95" spans="1:24" ht="13.5" thickBot="1">
      <c r="A95" s="96" t="s">
        <v>13</v>
      </c>
      <c r="B95" s="885"/>
      <c r="C95" s="922" t="s">
        <v>413</v>
      </c>
      <c r="D95" s="927" t="s">
        <v>4</v>
      </c>
      <c r="E95" s="928"/>
      <c r="F95" s="928"/>
      <c r="G95" s="928"/>
      <c r="H95" s="928"/>
      <c r="I95" s="928"/>
      <c r="J95" s="928"/>
      <c r="K95" s="928"/>
      <c r="L95" s="928"/>
      <c r="M95" s="928"/>
      <c r="N95" s="928"/>
      <c r="O95" s="928"/>
      <c r="P95" s="928"/>
      <c r="Q95" s="928"/>
      <c r="R95" s="928"/>
      <c r="S95" s="928"/>
      <c r="T95" s="928"/>
      <c r="U95" s="928"/>
      <c r="V95" s="928"/>
      <c r="W95" s="929"/>
      <c r="X95" s="24" t="s">
        <v>14</v>
      </c>
    </row>
    <row r="96" spans="1:24" ht="13.5" thickBot="1">
      <c r="A96" s="25" t="s">
        <v>75</v>
      </c>
      <c r="B96" s="869"/>
      <c r="C96" s="923"/>
      <c r="D96" s="930" t="s">
        <v>119</v>
      </c>
      <c r="E96" s="931"/>
      <c r="F96" s="931"/>
      <c r="G96" s="931"/>
      <c r="H96" s="931"/>
      <c r="I96" s="931"/>
      <c r="J96" s="931"/>
      <c r="K96" s="931"/>
      <c r="L96" s="931"/>
      <c r="M96" s="931"/>
      <c r="N96" s="931"/>
      <c r="O96" s="931"/>
      <c r="P96" s="931"/>
      <c r="Q96" s="931"/>
      <c r="R96" s="931"/>
      <c r="S96" s="931"/>
      <c r="T96" s="931"/>
      <c r="U96" s="931"/>
      <c r="V96" s="931"/>
      <c r="W96" s="932"/>
      <c r="X96" s="18" t="s">
        <v>92</v>
      </c>
    </row>
    <row r="97" spans="1:24" ht="13.5" thickBot="1">
      <c r="A97" s="906" t="s">
        <v>7</v>
      </c>
      <c r="B97" s="908" t="s">
        <v>173</v>
      </c>
      <c r="C97" s="909"/>
      <c r="D97" s="908" t="s">
        <v>8</v>
      </c>
      <c r="E97" s="918"/>
      <c r="F97" s="918"/>
      <c r="G97" s="909"/>
      <c r="H97" s="908" t="s">
        <v>88</v>
      </c>
      <c r="I97" s="918"/>
      <c r="J97" s="918"/>
      <c r="K97" s="909"/>
      <c r="L97" s="908" t="s">
        <v>89</v>
      </c>
      <c r="M97" s="918"/>
      <c r="N97" s="918"/>
      <c r="O97" s="909"/>
      <c r="P97" s="908" t="s">
        <v>9</v>
      </c>
      <c r="Q97" s="918"/>
      <c r="R97" s="918"/>
      <c r="S97" s="909"/>
      <c r="T97" s="908" t="s">
        <v>174</v>
      </c>
      <c r="U97" s="918"/>
      <c r="V97" s="918"/>
      <c r="W97" s="918"/>
      <c r="X97" s="909"/>
    </row>
    <row r="98" spans="1:24" ht="13.5" thickBot="1">
      <c r="A98" s="907"/>
      <c r="B98" s="919">
        <v>6200000</v>
      </c>
      <c r="C98" s="920"/>
      <c r="D98" s="919">
        <v>900000</v>
      </c>
      <c r="E98" s="921"/>
      <c r="F98" s="921"/>
      <c r="G98" s="920"/>
      <c r="H98" s="919">
        <v>1800000</v>
      </c>
      <c r="I98" s="921"/>
      <c r="J98" s="921"/>
      <c r="K98" s="920"/>
      <c r="L98" s="919">
        <v>3300000</v>
      </c>
      <c r="M98" s="921"/>
      <c r="N98" s="921"/>
      <c r="O98" s="920"/>
      <c r="P98" s="919">
        <f>SUM(B98:O98)</f>
        <v>12200000</v>
      </c>
      <c r="Q98" s="921"/>
      <c r="R98" s="921"/>
      <c r="S98" s="920"/>
      <c r="T98" s="942">
        <f>B98/P98%</f>
        <v>50.819672131147541</v>
      </c>
      <c r="U98" s="943"/>
      <c r="V98" s="943"/>
      <c r="W98" s="943"/>
      <c r="X98" s="944"/>
    </row>
    <row r="99" spans="1:24" ht="13.5" thickBot="1">
      <c r="A99" s="906" t="s">
        <v>10</v>
      </c>
      <c r="B99" s="908" t="s">
        <v>175</v>
      </c>
      <c r="C99" s="909"/>
      <c r="D99" s="910"/>
      <c r="E99" s="911"/>
      <c r="F99" s="911"/>
      <c r="G99" s="911"/>
      <c r="H99" s="911"/>
      <c r="I99" s="911"/>
      <c r="J99" s="911"/>
      <c r="K99" s="911"/>
      <c r="L99" s="911"/>
      <c r="M99" s="911"/>
      <c r="N99" s="911"/>
      <c r="O99" s="911"/>
      <c r="P99" s="911"/>
      <c r="Q99" s="911"/>
      <c r="R99" s="911"/>
      <c r="S99" s="911"/>
      <c r="T99" s="911"/>
      <c r="U99" s="911"/>
      <c r="V99" s="911"/>
      <c r="W99" s="911"/>
      <c r="X99" s="912"/>
    </row>
    <row r="100" spans="1:24" ht="13.5" thickBot="1">
      <c r="A100" s="907"/>
      <c r="B100" s="916"/>
      <c r="C100" s="917"/>
      <c r="D100" s="913"/>
      <c r="E100" s="914"/>
      <c r="F100" s="914"/>
      <c r="G100" s="914"/>
      <c r="H100" s="914"/>
      <c r="I100" s="914"/>
      <c r="J100" s="914"/>
      <c r="K100" s="914"/>
      <c r="L100" s="914"/>
      <c r="M100" s="914"/>
      <c r="N100" s="914"/>
      <c r="O100" s="914"/>
      <c r="P100" s="914"/>
      <c r="Q100" s="914"/>
      <c r="R100" s="914"/>
      <c r="S100" s="914"/>
      <c r="T100" s="914"/>
      <c r="U100" s="914"/>
      <c r="V100" s="914"/>
      <c r="W100" s="914"/>
      <c r="X100" s="915"/>
    </row>
    <row r="101" spans="1:24">
      <c r="A101" s="5"/>
      <c r="B101" s="5"/>
      <c r="C101" s="6"/>
      <c r="D101" s="5"/>
      <c r="E101" s="5"/>
      <c r="F101" s="5"/>
      <c r="G101" s="5"/>
      <c r="H101" s="5"/>
      <c r="I101" s="5"/>
      <c r="J101" s="5"/>
      <c r="K101" s="5"/>
      <c r="L101" s="5"/>
      <c r="M101" s="5"/>
      <c r="N101" s="5"/>
      <c r="O101" s="5"/>
      <c r="P101" s="5"/>
      <c r="Q101" s="5"/>
      <c r="R101" s="5"/>
      <c r="S101" s="5"/>
      <c r="T101" s="5"/>
      <c r="U101" s="5"/>
      <c r="V101" s="5"/>
      <c r="W101" s="5"/>
      <c r="X101" s="5"/>
    </row>
    <row r="102" spans="1:24" ht="13.5" thickBot="1">
      <c r="A102" s="5"/>
      <c r="B102" s="5"/>
      <c r="C102" s="6"/>
      <c r="D102" s="5"/>
      <c r="E102" s="5"/>
      <c r="F102" s="5"/>
      <c r="G102" s="5"/>
      <c r="H102" s="5"/>
      <c r="I102" s="5"/>
      <c r="J102" s="5"/>
      <c r="K102" s="5"/>
      <c r="L102" s="5"/>
      <c r="M102" s="5"/>
      <c r="N102" s="5"/>
      <c r="O102" s="5"/>
      <c r="P102" s="5"/>
      <c r="Q102" s="5"/>
      <c r="R102" s="5"/>
      <c r="S102" s="5"/>
      <c r="T102" s="5"/>
      <c r="U102" s="5"/>
      <c r="V102" s="5"/>
      <c r="W102" s="5"/>
      <c r="X102" s="5"/>
    </row>
    <row r="103" spans="1:24" ht="13.5" thickBot="1">
      <c r="A103" s="95" t="s">
        <v>15</v>
      </c>
      <c r="B103" s="97" t="s">
        <v>19</v>
      </c>
      <c r="C103" s="8"/>
      <c r="D103" s="927" t="s">
        <v>78</v>
      </c>
      <c r="E103" s="928"/>
      <c r="F103" s="928"/>
      <c r="G103" s="929"/>
      <c r="H103" s="927" t="s">
        <v>77</v>
      </c>
      <c r="I103" s="928"/>
      <c r="J103" s="928"/>
      <c r="K103" s="929"/>
      <c r="L103" s="927" t="s">
        <v>81</v>
      </c>
      <c r="M103" s="928"/>
      <c r="N103" s="928"/>
      <c r="O103" s="929"/>
      <c r="P103" s="927" t="s">
        <v>254</v>
      </c>
      <c r="Q103" s="928"/>
      <c r="R103" s="928"/>
      <c r="S103" s="929"/>
      <c r="T103" s="927" t="s">
        <v>76</v>
      </c>
      <c r="U103" s="928"/>
      <c r="V103" s="928"/>
      <c r="W103" s="929"/>
      <c r="X103" s="16" t="s">
        <v>6</v>
      </c>
    </row>
    <row r="104" spans="1:24" ht="13.5" thickBot="1">
      <c r="A104" s="868" t="s">
        <v>61</v>
      </c>
      <c r="B104" s="868" t="s">
        <v>62</v>
      </c>
      <c r="C104" s="9" t="s">
        <v>235</v>
      </c>
      <c r="D104" s="942">
        <v>1</v>
      </c>
      <c r="E104" s="943"/>
      <c r="F104" s="943"/>
      <c r="G104" s="944"/>
      <c r="H104" s="942">
        <v>1.8</v>
      </c>
      <c r="I104" s="943"/>
      <c r="J104" s="943"/>
      <c r="K104" s="944"/>
      <c r="L104" s="942">
        <v>3</v>
      </c>
      <c r="M104" s="943"/>
      <c r="N104" s="943"/>
      <c r="O104" s="944"/>
      <c r="P104" s="942">
        <v>3.7</v>
      </c>
      <c r="Q104" s="943"/>
      <c r="R104" s="943"/>
      <c r="S104" s="944"/>
      <c r="T104" s="942">
        <v>4.7</v>
      </c>
      <c r="U104" s="943"/>
      <c r="V104" s="943"/>
      <c r="W104" s="944"/>
      <c r="X104" s="879" t="s">
        <v>94</v>
      </c>
    </row>
    <row r="105" spans="1:24" ht="13.5" thickBot="1">
      <c r="A105" s="885"/>
      <c r="B105" s="885"/>
      <c r="C105" s="9" t="s">
        <v>233</v>
      </c>
      <c r="D105" s="957"/>
      <c r="E105" s="958"/>
      <c r="F105" s="958"/>
      <c r="G105" s="959"/>
      <c r="H105" s="942" t="s">
        <v>240</v>
      </c>
      <c r="I105" s="943"/>
      <c r="J105" s="943"/>
      <c r="K105" s="944"/>
      <c r="L105" s="942">
        <v>1.7</v>
      </c>
      <c r="M105" s="943"/>
      <c r="N105" s="943"/>
      <c r="O105" s="944"/>
      <c r="P105" s="942">
        <v>2.2000000000000002</v>
      </c>
      <c r="Q105" s="943"/>
      <c r="R105" s="943"/>
      <c r="S105" s="944"/>
      <c r="T105" s="960">
        <v>3.25</v>
      </c>
      <c r="U105" s="961"/>
      <c r="V105" s="961"/>
      <c r="W105" s="962"/>
      <c r="X105" s="880"/>
    </row>
    <row r="106" spans="1:24" ht="13.5" thickBot="1">
      <c r="A106" s="885"/>
      <c r="B106" s="885"/>
      <c r="C106" s="9" t="s">
        <v>234</v>
      </c>
      <c r="D106" s="957"/>
      <c r="E106" s="958"/>
      <c r="F106" s="958"/>
      <c r="G106" s="959"/>
      <c r="H106" s="957"/>
      <c r="I106" s="958"/>
      <c r="J106" s="958"/>
      <c r="K106" s="959"/>
      <c r="L106" s="942" t="s">
        <v>241</v>
      </c>
      <c r="M106" s="943"/>
      <c r="N106" s="943"/>
      <c r="O106" s="944"/>
      <c r="P106" s="942">
        <v>1.5</v>
      </c>
      <c r="Q106" s="943"/>
      <c r="R106" s="943"/>
      <c r="S106" s="944"/>
      <c r="T106" s="942">
        <v>2.5</v>
      </c>
      <c r="U106" s="943"/>
      <c r="V106" s="943"/>
      <c r="W106" s="944"/>
      <c r="X106" s="880"/>
    </row>
    <row r="107" spans="1:24" ht="13.5" thickBot="1">
      <c r="A107" s="885"/>
      <c r="B107" s="885"/>
      <c r="C107" s="10" t="s">
        <v>236</v>
      </c>
      <c r="D107" s="957"/>
      <c r="E107" s="958"/>
      <c r="F107" s="958"/>
      <c r="G107" s="959"/>
      <c r="H107" s="948" t="s">
        <v>261</v>
      </c>
      <c r="I107" s="949"/>
      <c r="J107" s="949"/>
      <c r="K107" s="950"/>
      <c r="L107" s="963" t="e">
        <f>#REF!</f>
        <v>#REF!</v>
      </c>
      <c r="M107" s="964"/>
      <c r="N107" s="964"/>
      <c r="O107" s="965"/>
      <c r="P107" s="963" t="e">
        <f>#REF!</f>
        <v>#REF!</v>
      </c>
      <c r="Q107" s="964"/>
      <c r="R107" s="964"/>
      <c r="S107" s="965"/>
      <c r="T107" s="963" t="e">
        <f>#REF!</f>
        <v>#REF!</v>
      </c>
      <c r="U107" s="964"/>
      <c r="V107" s="964"/>
      <c r="W107" s="965"/>
      <c r="X107" s="880"/>
    </row>
    <row r="108" spans="1:24" ht="13.5" thickBot="1">
      <c r="A108" s="885"/>
      <c r="B108" s="885"/>
      <c r="C108" s="922" t="s">
        <v>413</v>
      </c>
      <c r="D108" s="927" t="s">
        <v>4</v>
      </c>
      <c r="E108" s="928"/>
      <c r="F108" s="928"/>
      <c r="G108" s="928"/>
      <c r="H108" s="928"/>
      <c r="I108" s="928"/>
      <c r="J108" s="928"/>
      <c r="K108" s="928"/>
      <c r="L108" s="928"/>
      <c r="M108" s="928"/>
      <c r="N108" s="928"/>
      <c r="O108" s="928"/>
      <c r="P108" s="928"/>
      <c r="Q108" s="928"/>
      <c r="R108" s="928"/>
      <c r="S108" s="928"/>
      <c r="T108" s="928"/>
      <c r="U108" s="928"/>
      <c r="V108" s="928"/>
      <c r="W108" s="929"/>
      <c r="X108" s="880"/>
    </row>
    <row r="109" spans="1:24" ht="13.5" thickBot="1">
      <c r="A109" s="885"/>
      <c r="B109" s="869"/>
      <c r="C109" s="923"/>
      <c r="D109" s="930" t="s">
        <v>120</v>
      </c>
      <c r="E109" s="931"/>
      <c r="F109" s="931"/>
      <c r="G109" s="931"/>
      <c r="H109" s="931"/>
      <c r="I109" s="931"/>
      <c r="J109" s="931"/>
      <c r="K109" s="931"/>
      <c r="L109" s="931"/>
      <c r="M109" s="931"/>
      <c r="N109" s="931"/>
      <c r="O109" s="931"/>
      <c r="P109" s="931"/>
      <c r="Q109" s="931"/>
      <c r="R109" s="931"/>
      <c r="S109" s="931"/>
      <c r="T109" s="931"/>
      <c r="U109" s="931"/>
      <c r="V109" s="931"/>
      <c r="W109" s="932"/>
      <c r="X109" s="880"/>
    </row>
    <row r="110" spans="1:24" ht="13.5" thickBot="1">
      <c r="A110" s="885"/>
      <c r="B110" s="11" t="s">
        <v>20</v>
      </c>
      <c r="C110" s="12"/>
      <c r="D110" s="927" t="s">
        <v>78</v>
      </c>
      <c r="E110" s="928"/>
      <c r="F110" s="928"/>
      <c r="G110" s="929"/>
      <c r="H110" s="927" t="s">
        <v>77</v>
      </c>
      <c r="I110" s="928"/>
      <c r="J110" s="928"/>
      <c r="K110" s="929"/>
      <c r="L110" s="927" t="s">
        <v>81</v>
      </c>
      <c r="M110" s="928"/>
      <c r="N110" s="928"/>
      <c r="O110" s="929"/>
      <c r="P110" s="927" t="s">
        <v>254</v>
      </c>
      <c r="Q110" s="928"/>
      <c r="R110" s="928"/>
      <c r="S110" s="929"/>
      <c r="T110" s="927" t="s">
        <v>76</v>
      </c>
      <c r="U110" s="928"/>
      <c r="V110" s="928"/>
      <c r="W110" s="929"/>
      <c r="X110" s="880"/>
    </row>
    <row r="111" spans="1:24" ht="13.5" thickBot="1">
      <c r="A111" s="885"/>
      <c r="B111" s="868" t="s">
        <v>59</v>
      </c>
      <c r="C111" s="9" t="s">
        <v>235</v>
      </c>
      <c r="D111" s="942">
        <v>1</v>
      </c>
      <c r="E111" s="943"/>
      <c r="F111" s="943"/>
      <c r="G111" s="944"/>
      <c r="H111" s="942">
        <v>1.8</v>
      </c>
      <c r="I111" s="943"/>
      <c r="J111" s="943"/>
      <c r="K111" s="944"/>
      <c r="L111" s="942">
        <v>3</v>
      </c>
      <c r="M111" s="943"/>
      <c r="N111" s="943"/>
      <c r="O111" s="944"/>
      <c r="P111" s="942">
        <v>3.7</v>
      </c>
      <c r="Q111" s="943"/>
      <c r="R111" s="943"/>
      <c r="S111" s="944"/>
      <c r="T111" s="942">
        <v>4.7</v>
      </c>
      <c r="U111" s="943"/>
      <c r="V111" s="943"/>
      <c r="W111" s="944"/>
      <c r="X111" s="880"/>
    </row>
    <row r="112" spans="1:24" ht="13.5" thickBot="1">
      <c r="A112" s="885"/>
      <c r="B112" s="885"/>
      <c r="C112" s="9" t="s">
        <v>233</v>
      </c>
      <c r="D112" s="957"/>
      <c r="E112" s="958"/>
      <c r="F112" s="958"/>
      <c r="G112" s="959"/>
      <c r="H112" s="942" t="s">
        <v>240</v>
      </c>
      <c r="I112" s="943"/>
      <c r="J112" s="943"/>
      <c r="K112" s="944"/>
      <c r="L112" s="942">
        <v>1.7</v>
      </c>
      <c r="M112" s="943"/>
      <c r="N112" s="943"/>
      <c r="O112" s="944"/>
      <c r="P112" s="942">
        <v>2.2000000000000002</v>
      </c>
      <c r="Q112" s="943"/>
      <c r="R112" s="943"/>
      <c r="S112" s="944"/>
      <c r="T112" s="960">
        <v>3.5</v>
      </c>
      <c r="U112" s="961"/>
      <c r="V112" s="961"/>
      <c r="W112" s="962"/>
      <c r="X112" s="880"/>
    </row>
    <row r="113" spans="1:24" ht="13.5" thickBot="1">
      <c r="A113" s="885"/>
      <c r="B113" s="885"/>
      <c r="C113" s="9" t="s">
        <v>234</v>
      </c>
      <c r="D113" s="957"/>
      <c r="E113" s="958"/>
      <c r="F113" s="958"/>
      <c r="G113" s="959"/>
      <c r="H113" s="957"/>
      <c r="I113" s="958"/>
      <c r="J113" s="958"/>
      <c r="K113" s="959"/>
      <c r="L113" s="942" t="s">
        <v>241</v>
      </c>
      <c r="M113" s="943"/>
      <c r="N113" s="943"/>
      <c r="O113" s="944"/>
      <c r="P113" s="942">
        <v>1.5</v>
      </c>
      <c r="Q113" s="943"/>
      <c r="R113" s="943"/>
      <c r="S113" s="944"/>
      <c r="T113" s="942">
        <v>2.5</v>
      </c>
      <c r="U113" s="943"/>
      <c r="V113" s="943"/>
      <c r="W113" s="944"/>
      <c r="X113" s="880"/>
    </row>
    <row r="114" spans="1:24" ht="13.5" thickBot="1">
      <c r="A114" s="885"/>
      <c r="B114" s="885"/>
      <c r="C114" s="10" t="s">
        <v>236</v>
      </c>
      <c r="D114" s="957"/>
      <c r="E114" s="958"/>
      <c r="F114" s="958"/>
      <c r="G114" s="959"/>
      <c r="H114" s="948" t="s">
        <v>262</v>
      </c>
      <c r="I114" s="949"/>
      <c r="J114" s="949"/>
      <c r="K114" s="950"/>
      <c r="L114" s="963" t="e">
        <f>#REF!</f>
        <v>#REF!</v>
      </c>
      <c r="M114" s="964"/>
      <c r="N114" s="964"/>
      <c r="O114" s="965"/>
      <c r="P114" s="963" t="e">
        <f>#REF!</f>
        <v>#REF!</v>
      </c>
      <c r="Q114" s="964"/>
      <c r="R114" s="964"/>
      <c r="S114" s="965"/>
      <c r="T114" s="963" t="e">
        <f>#REF!</f>
        <v>#REF!</v>
      </c>
      <c r="U114" s="964"/>
      <c r="V114" s="964"/>
      <c r="W114" s="965"/>
      <c r="X114" s="880"/>
    </row>
    <row r="115" spans="1:24" ht="13.5" thickBot="1">
      <c r="A115" s="885"/>
      <c r="B115" s="885"/>
      <c r="C115" s="922" t="s">
        <v>413</v>
      </c>
      <c r="D115" s="927" t="s">
        <v>4</v>
      </c>
      <c r="E115" s="928"/>
      <c r="F115" s="928"/>
      <c r="G115" s="928"/>
      <c r="H115" s="928"/>
      <c r="I115" s="928"/>
      <c r="J115" s="928"/>
      <c r="K115" s="928"/>
      <c r="L115" s="928"/>
      <c r="M115" s="928"/>
      <c r="N115" s="928"/>
      <c r="O115" s="928"/>
      <c r="P115" s="928"/>
      <c r="Q115" s="928"/>
      <c r="R115" s="928"/>
      <c r="S115" s="928"/>
      <c r="T115" s="928"/>
      <c r="U115" s="928"/>
      <c r="V115" s="928"/>
      <c r="W115" s="929"/>
      <c r="X115" s="880"/>
    </row>
    <row r="116" spans="1:24" ht="13.5" thickBot="1">
      <c r="A116" s="885"/>
      <c r="B116" s="869"/>
      <c r="C116" s="923"/>
      <c r="D116" s="930" t="s">
        <v>118</v>
      </c>
      <c r="E116" s="931"/>
      <c r="F116" s="931"/>
      <c r="G116" s="931"/>
      <c r="H116" s="931"/>
      <c r="I116" s="931"/>
      <c r="J116" s="931"/>
      <c r="K116" s="931"/>
      <c r="L116" s="931"/>
      <c r="M116" s="931"/>
      <c r="N116" s="931"/>
      <c r="O116" s="931"/>
      <c r="P116" s="931"/>
      <c r="Q116" s="931"/>
      <c r="R116" s="931"/>
      <c r="S116" s="931"/>
      <c r="T116" s="931"/>
      <c r="U116" s="931"/>
      <c r="V116" s="931"/>
      <c r="W116" s="932"/>
      <c r="X116" s="880"/>
    </row>
    <row r="117" spans="1:24" ht="13.5" thickBot="1">
      <c r="A117" s="885"/>
      <c r="B117" s="11" t="s">
        <v>21</v>
      </c>
      <c r="C117" s="12"/>
      <c r="D117" s="927" t="s">
        <v>78</v>
      </c>
      <c r="E117" s="928"/>
      <c r="F117" s="928"/>
      <c r="G117" s="929"/>
      <c r="H117" s="927" t="s">
        <v>77</v>
      </c>
      <c r="I117" s="928"/>
      <c r="J117" s="928"/>
      <c r="K117" s="929"/>
      <c r="L117" s="927" t="s">
        <v>81</v>
      </c>
      <c r="M117" s="928"/>
      <c r="N117" s="928"/>
      <c r="O117" s="929"/>
      <c r="P117" s="927" t="s">
        <v>254</v>
      </c>
      <c r="Q117" s="928"/>
      <c r="R117" s="928"/>
      <c r="S117" s="929"/>
      <c r="T117" s="927" t="s">
        <v>76</v>
      </c>
      <c r="U117" s="928"/>
      <c r="V117" s="928"/>
      <c r="W117" s="929"/>
      <c r="X117" s="880"/>
    </row>
    <row r="118" spans="1:24" ht="13.5" thickBot="1">
      <c r="A118" s="885"/>
      <c r="B118" s="868" t="s">
        <v>63</v>
      </c>
      <c r="C118" s="9" t="s">
        <v>247</v>
      </c>
      <c r="D118" s="924">
        <v>0</v>
      </c>
      <c r="E118" s="925"/>
      <c r="F118" s="925"/>
      <c r="G118" s="926"/>
      <c r="H118" s="924">
        <v>10</v>
      </c>
      <c r="I118" s="925"/>
      <c r="J118" s="925"/>
      <c r="K118" s="926"/>
      <c r="L118" s="924">
        <v>21</v>
      </c>
      <c r="M118" s="925"/>
      <c r="N118" s="925"/>
      <c r="O118" s="926"/>
      <c r="P118" s="924">
        <v>30</v>
      </c>
      <c r="Q118" s="925"/>
      <c r="R118" s="925"/>
      <c r="S118" s="926"/>
      <c r="T118" s="924">
        <v>53</v>
      </c>
      <c r="U118" s="925"/>
      <c r="V118" s="925"/>
      <c r="W118" s="926"/>
      <c r="X118" s="880"/>
    </row>
    <row r="119" spans="1:24" ht="13.5" thickBot="1">
      <c r="A119" s="869"/>
      <c r="B119" s="885"/>
      <c r="C119" s="10" t="s">
        <v>246</v>
      </c>
      <c r="D119" s="933" t="s">
        <v>172</v>
      </c>
      <c r="E119" s="934"/>
      <c r="F119" s="934"/>
      <c r="G119" s="935"/>
      <c r="H119" s="936" t="s">
        <v>249</v>
      </c>
      <c r="I119" s="937"/>
      <c r="J119" s="937"/>
      <c r="K119" s="938"/>
      <c r="L119" s="939" t="e">
        <f>#REF!</f>
        <v>#REF!</v>
      </c>
      <c r="M119" s="940"/>
      <c r="N119" s="940"/>
      <c r="O119" s="941"/>
      <c r="P119" s="939" t="e">
        <f>#REF!</f>
        <v>#REF!</v>
      </c>
      <c r="Q119" s="940"/>
      <c r="R119" s="940"/>
      <c r="S119" s="941"/>
      <c r="T119" s="939" t="e">
        <f>#REF!</f>
        <v>#REF!</v>
      </c>
      <c r="U119" s="940"/>
      <c r="V119" s="940"/>
      <c r="W119" s="941"/>
      <c r="X119" s="881"/>
    </row>
    <row r="120" spans="1:24" ht="13.5" thickBot="1">
      <c r="A120" s="96" t="s">
        <v>13</v>
      </c>
      <c r="B120" s="885"/>
      <c r="C120" s="922" t="s">
        <v>413</v>
      </c>
      <c r="D120" s="927" t="s">
        <v>4</v>
      </c>
      <c r="E120" s="928"/>
      <c r="F120" s="928"/>
      <c r="G120" s="928"/>
      <c r="H120" s="928"/>
      <c r="I120" s="928"/>
      <c r="J120" s="928"/>
      <c r="K120" s="928"/>
      <c r="L120" s="928"/>
      <c r="M120" s="928"/>
      <c r="N120" s="928"/>
      <c r="O120" s="928"/>
      <c r="P120" s="928"/>
      <c r="Q120" s="928"/>
      <c r="R120" s="928"/>
      <c r="S120" s="928"/>
      <c r="T120" s="928"/>
      <c r="U120" s="928"/>
      <c r="V120" s="928"/>
      <c r="W120" s="929"/>
      <c r="X120" s="24" t="s">
        <v>14</v>
      </c>
    </row>
    <row r="121" spans="1:24" ht="13.5" thickBot="1">
      <c r="A121" s="25" t="s">
        <v>75</v>
      </c>
      <c r="B121" s="869"/>
      <c r="C121" s="923"/>
      <c r="D121" s="930" t="s">
        <v>119</v>
      </c>
      <c r="E121" s="931"/>
      <c r="F121" s="931"/>
      <c r="G121" s="931"/>
      <c r="H121" s="931"/>
      <c r="I121" s="931"/>
      <c r="J121" s="931"/>
      <c r="K121" s="931"/>
      <c r="L121" s="931"/>
      <c r="M121" s="931"/>
      <c r="N121" s="931"/>
      <c r="O121" s="931"/>
      <c r="P121" s="931"/>
      <c r="Q121" s="931"/>
      <c r="R121" s="931"/>
      <c r="S121" s="931"/>
      <c r="T121" s="931"/>
      <c r="U121" s="931"/>
      <c r="V121" s="931"/>
      <c r="W121" s="932"/>
      <c r="X121" s="18" t="s">
        <v>93</v>
      </c>
    </row>
    <row r="122" spans="1:24" ht="13.5" thickBot="1">
      <c r="A122" s="906" t="s">
        <v>7</v>
      </c>
      <c r="B122" s="908" t="s">
        <v>173</v>
      </c>
      <c r="C122" s="909"/>
      <c r="D122" s="908" t="s">
        <v>8</v>
      </c>
      <c r="E122" s="918"/>
      <c r="F122" s="918"/>
      <c r="G122" s="909"/>
      <c r="H122" s="908" t="s">
        <v>88</v>
      </c>
      <c r="I122" s="918"/>
      <c r="J122" s="918"/>
      <c r="K122" s="909"/>
      <c r="L122" s="908" t="s">
        <v>89</v>
      </c>
      <c r="M122" s="918"/>
      <c r="N122" s="918"/>
      <c r="O122" s="909"/>
      <c r="P122" s="908" t="s">
        <v>9</v>
      </c>
      <c r="Q122" s="918"/>
      <c r="R122" s="918"/>
      <c r="S122" s="909"/>
      <c r="T122" s="908" t="s">
        <v>174</v>
      </c>
      <c r="U122" s="918"/>
      <c r="V122" s="918"/>
      <c r="W122" s="918"/>
      <c r="X122" s="909"/>
    </row>
    <row r="123" spans="1:24" ht="13.5" thickBot="1">
      <c r="A123" s="907"/>
      <c r="B123" s="919">
        <v>6200000</v>
      </c>
      <c r="C123" s="920"/>
      <c r="D123" s="919">
        <v>1200000</v>
      </c>
      <c r="E123" s="921"/>
      <c r="F123" s="921"/>
      <c r="G123" s="920"/>
      <c r="H123" s="919">
        <v>2500000</v>
      </c>
      <c r="I123" s="921"/>
      <c r="J123" s="921"/>
      <c r="K123" s="920"/>
      <c r="L123" s="919">
        <v>2800000</v>
      </c>
      <c r="M123" s="921"/>
      <c r="N123" s="921"/>
      <c r="O123" s="920"/>
      <c r="P123" s="919">
        <f>SUM(B123:O123)</f>
        <v>12700000</v>
      </c>
      <c r="Q123" s="921"/>
      <c r="R123" s="921"/>
      <c r="S123" s="920"/>
      <c r="T123" s="942">
        <f>B123/P123%</f>
        <v>48.818897637795274</v>
      </c>
      <c r="U123" s="943"/>
      <c r="V123" s="943"/>
      <c r="W123" s="943"/>
      <c r="X123" s="944"/>
    </row>
    <row r="124" spans="1:24" ht="13.5" thickBot="1">
      <c r="A124" s="906" t="s">
        <v>10</v>
      </c>
      <c r="B124" s="908" t="s">
        <v>175</v>
      </c>
      <c r="C124" s="909"/>
      <c r="D124" s="910"/>
      <c r="E124" s="911"/>
      <c r="F124" s="911"/>
      <c r="G124" s="911"/>
      <c r="H124" s="911"/>
      <c r="I124" s="911"/>
      <c r="J124" s="911"/>
      <c r="K124" s="911"/>
      <c r="L124" s="911"/>
      <c r="M124" s="911"/>
      <c r="N124" s="911"/>
      <c r="O124" s="911"/>
      <c r="P124" s="911"/>
      <c r="Q124" s="911"/>
      <c r="R124" s="911"/>
      <c r="S124" s="911"/>
      <c r="T124" s="911"/>
      <c r="U124" s="911"/>
      <c r="V124" s="911"/>
      <c r="W124" s="911"/>
      <c r="X124" s="912"/>
    </row>
    <row r="125" spans="1:24" ht="13.5" thickBot="1">
      <c r="A125" s="907"/>
      <c r="B125" s="916"/>
      <c r="C125" s="917"/>
      <c r="D125" s="913"/>
      <c r="E125" s="914"/>
      <c r="F125" s="914"/>
      <c r="G125" s="914"/>
      <c r="H125" s="914"/>
      <c r="I125" s="914"/>
      <c r="J125" s="914"/>
      <c r="K125" s="914"/>
      <c r="L125" s="914"/>
      <c r="M125" s="914"/>
      <c r="N125" s="914"/>
      <c r="O125" s="914"/>
      <c r="P125" s="914"/>
      <c r="Q125" s="914"/>
      <c r="R125" s="914"/>
      <c r="S125" s="914"/>
      <c r="T125" s="914"/>
      <c r="U125" s="914"/>
      <c r="V125" s="914"/>
      <c r="W125" s="914"/>
      <c r="X125" s="915"/>
    </row>
    <row r="127" spans="1:24" ht="13.5" thickBot="1"/>
    <row r="128" spans="1:24" ht="13.5" thickBot="1">
      <c r="A128" s="95" t="s">
        <v>26</v>
      </c>
      <c r="B128" s="97" t="s">
        <v>29</v>
      </c>
      <c r="C128" s="8"/>
      <c r="D128" s="927" t="s">
        <v>78</v>
      </c>
      <c r="E128" s="928"/>
      <c r="F128" s="928"/>
      <c r="G128" s="929"/>
      <c r="H128" s="927" t="s">
        <v>77</v>
      </c>
      <c r="I128" s="928"/>
      <c r="J128" s="928"/>
      <c r="K128" s="929"/>
      <c r="L128" s="927" t="s">
        <v>81</v>
      </c>
      <c r="M128" s="928"/>
      <c r="N128" s="928"/>
      <c r="O128" s="929"/>
      <c r="P128" s="927" t="s">
        <v>254</v>
      </c>
      <c r="Q128" s="928"/>
      <c r="R128" s="928"/>
      <c r="S128" s="929"/>
      <c r="T128" s="927" t="s">
        <v>76</v>
      </c>
      <c r="U128" s="928"/>
      <c r="V128" s="928"/>
      <c r="W128" s="929"/>
      <c r="X128" s="16" t="s">
        <v>12</v>
      </c>
    </row>
    <row r="129" spans="1:24" ht="24.75" thickBot="1">
      <c r="A129" s="868" t="s">
        <v>64</v>
      </c>
      <c r="B129" s="868" t="s">
        <v>156</v>
      </c>
      <c r="C129" s="9"/>
      <c r="D129" s="17" t="s">
        <v>101</v>
      </c>
      <c r="E129" s="17" t="s">
        <v>104</v>
      </c>
      <c r="F129" s="17" t="s">
        <v>102</v>
      </c>
      <c r="G129" s="17" t="s">
        <v>103</v>
      </c>
      <c r="H129" s="17" t="s">
        <v>101</v>
      </c>
      <c r="I129" s="17" t="s">
        <v>104</v>
      </c>
      <c r="J129" s="17" t="s">
        <v>102</v>
      </c>
      <c r="K129" s="17" t="s">
        <v>103</v>
      </c>
      <c r="L129" s="17" t="s">
        <v>101</v>
      </c>
      <c r="M129" s="17" t="s">
        <v>104</v>
      </c>
      <c r="N129" s="17" t="s">
        <v>102</v>
      </c>
      <c r="O129" s="17" t="s">
        <v>103</v>
      </c>
      <c r="P129" s="17" t="s">
        <v>101</v>
      </c>
      <c r="Q129" s="17" t="s">
        <v>104</v>
      </c>
      <c r="R129" s="17" t="s">
        <v>102</v>
      </c>
      <c r="S129" s="17" t="s">
        <v>103</v>
      </c>
      <c r="T129" s="17" t="s">
        <v>101</v>
      </c>
      <c r="U129" s="17" t="s">
        <v>104</v>
      </c>
      <c r="V129" s="17" t="s">
        <v>102</v>
      </c>
      <c r="W129" s="17" t="s">
        <v>103</v>
      </c>
      <c r="X129" s="879" t="s">
        <v>98</v>
      </c>
    </row>
    <row r="130" spans="1:24" ht="13.5" thickBot="1">
      <c r="A130" s="885"/>
      <c r="B130" s="885"/>
      <c r="C130" s="9" t="s">
        <v>247</v>
      </c>
      <c r="D130" s="18">
        <v>2</v>
      </c>
      <c r="E130" s="18">
        <v>0</v>
      </c>
      <c r="F130" s="18">
        <v>0</v>
      </c>
      <c r="G130" s="18">
        <v>0</v>
      </c>
      <c r="H130" s="18">
        <v>15</v>
      </c>
      <c r="I130" s="18">
        <v>10</v>
      </c>
      <c r="J130" s="18">
        <v>5</v>
      </c>
      <c r="K130" s="18">
        <v>1</v>
      </c>
      <c r="L130" s="18">
        <v>34</v>
      </c>
      <c r="M130" s="18">
        <v>23</v>
      </c>
      <c r="N130" s="18">
        <v>15</v>
      </c>
      <c r="O130" s="18">
        <v>8</v>
      </c>
      <c r="P130" s="18">
        <v>50</v>
      </c>
      <c r="Q130" s="18">
        <v>33</v>
      </c>
      <c r="R130" s="18">
        <v>24</v>
      </c>
      <c r="S130" s="18">
        <v>10</v>
      </c>
      <c r="T130" s="18">
        <v>75</v>
      </c>
      <c r="U130" s="18">
        <v>59</v>
      </c>
      <c r="V130" s="18">
        <v>57</v>
      </c>
      <c r="W130" s="18">
        <v>27</v>
      </c>
      <c r="X130" s="880"/>
    </row>
    <row r="131" spans="1:24" ht="13.5" thickBot="1">
      <c r="A131" s="885"/>
      <c r="B131" s="93" t="s">
        <v>151</v>
      </c>
      <c r="C131" s="10" t="s">
        <v>246</v>
      </c>
      <c r="D131" s="972" t="s">
        <v>258</v>
      </c>
      <c r="E131" s="973"/>
      <c r="F131" s="973"/>
      <c r="G131" s="974"/>
      <c r="H131" s="87">
        <v>20</v>
      </c>
      <c r="I131" s="87">
        <v>15</v>
      </c>
      <c r="J131" s="87">
        <v>10</v>
      </c>
      <c r="K131" s="87">
        <v>5</v>
      </c>
      <c r="L131" s="68" t="e">
        <f>#REF!</f>
        <v>#REF!</v>
      </c>
      <c r="M131" s="68" t="e">
        <f>#REF!</f>
        <v>#REF!</v>
      </c>
      <c r="N131" s="68" t="e">
        <f>#REF!</f>
        <v>#REF!</v>
      </c>
      <c r="O131" s="68" t="e">
        <f>#REF!</f>
        <v>#REF!</v>
      </c>
      <c r="P131" s="68" t="e">
        <f>#REF!</f>
        <v>#REF!</v>
      </c>
      <c r="Q131" s="68" t="e">
        <f>#REF!</f>
        <v>#REF!</v>
      </c>
      <c r="R131" s="68" t="e">
        <f>#REF!</f>
        <v>#REF!</v>
      </c>
      <c r="S131" s="68" t="e">
        <f>#REF!</f>
        <v>#REF!</v>
      </c>
      <c r="T131" s="68" t="e">
        <f>#REF!</f>
        <v>#REF!</v>
      </c>
      <c r="U131" s="68" t="e">
        <f>#REF!</f>
        <v>#REF!</v>
      </c>
      <c r="V131" s="68" t="e">
        <f>#REF!</f>
        <v>#REF!</v>
      </c>
      <c r="W131" s="68" t="e">
        <f>#REF!</f>
        <v>#REF!</v>
      </c>
      <c r="X131" s="880"/>
    </row>
    <row r="132" spans="1:24" ht="13.5" thickBot="1">
      <c r="A132" s="885"/>
      <c r="B132" s="93" t="s">
        <v>150</v>
      </c>
      <c r="C132" s="922" t="s">
        <v>413</v>
      </c>
      <c r="D132" s="927" t="s">
        <v>4</v>
      </c>
      <c r="E132" s="928"/>
      <c r="F132" s="928"/>
      <c r="G132" s="928"/>
      <c r="H132" s="928"/>
      <c r="I132" s="928"/>
      <c r="J132" s="928"/>
      <c r="K132" s="928"/>
      <c r="L132" s="928"/>
      <c r="M132" s="928"/>
      <c r="N132" s="928"/>
      <c r="O132" s="928"/>
      <c r="P132" s="928"/>
      <c r="Q132" s="928"/>
      <c r="R132" s="928"/>
      <c r="S132" s="928"/>
      <c r="T132" s="928"/>
      <c r="U132" s="928"/>
      <c r="V132" s="928"/>
      <c r="W132" s="929"/>
      <c r="X132" s="880"/>
    </row>
    <row r="133" spans="1:24" ht="24.75" thickBot="1">
      <c r="A133" s="885"/>
      <c r="B133" s="94" t="s">
        <v>149</v>
      </c>
      <c r="C133" s="923"/>
      <c r="D133" s="930" t="s">
        <v>120</v>
      </c>
      <c r="E133" s="931"/>
      <c r="F133" s="931"/>
      <c r="G133" s="931"/>
      <c r="H133" s="931"/>
      <c r="I133" s="931"/>
      <c r="J133" s="931"/>
      <c r="K133" s="931"/>
      <c r="L133" s="931"/>
      <c r="M133" s="931"/>
      <c r="N133" s="931"/>
      <c r="O133" s="931"/>
      <c r="P133" s="931"/>
      <c r="Q133" s="931"/>
      <c r="R133" s="931"/>
      <c r="S133" s="931"/>
      <c r="T133" s="931"/>
      <c r="U133" s="931"/>
      <c r="V133" s="931"/>
      <c r="W133" s="932"/>
      <c r="X133" s="880"/>
    </row>
    <row r="134" spans="1:24" ht="13.5" thickBot="1">
      <c r="A134" s="885"/>
      <c r="B134" s="11" t="s">
        <v>30</v>
      </c>
      <c r="C134" s="12"/>
      <c r="D134" s="927" t="s">
        <v>78</v>
      </c>
      <c r="E134" s="928"/>
      <c r="F134" s="928"/>
      <c r="G134" s="929"/>
      <c r="H134" s="927" t="s">
        <v>77</v>
      </c>
      <c r="I134" s="928"/>
      <c r="J134" s="928"/>
      <c r="K134" s="929"/>
      <c r="L134" s="927" t="s">
        <v>81</v>
      </c>
      <c r="M134" s="928"/>
      <c r="N134" s="928"/>
      <c r="O134" s="929"/>
      <c r="P134" s="927" t="s">
        <v>254</v>
      </c>
      <c r="Q134" s="928"/>
      <c r="R134" s="928"/>
      <c r="S134" s="929"/>
      <c r="T134" s="927" t="s">
        <v>76</v>
      </c>
      <c r="U134" s="928"/>
      <c r="V134" s="928"/>
      <c r="W134" s="929"/>
      <c r="X134" s="880"/>
    </row>
    <row r="135" spans="1:24" ht="24.75" thickBot="1">
      <c r="A135" s="885"/>
      <c r="B135" s="868" t="s">
        <v>157</v>
      </c>
      <c r="C135" s="23"/>
      <c r="D135" s="17" t="s">
        <v>101</v>
      </c>
      <c r="E135" s="17" t="s">
        <v>104</v>
      </c>
      <c r="F135" s="17" t="s">
        <v>102</v>
      </c>
      <c r="G135" s="17" t="s">
        <v>103</v>
      </c>
      <c r="H135" s="17" t="s">
        <v>101</v>
      </c>
      <c r="I135" s="17" t="s">
        <v>104</v>
      </c>
      <c r="J135" s="17" t="s">
        <v>102</v>
      </c>
      <c r="K135" s="17" t="s">
        <v>103</v>
      </c>
      <c r="L135" s="17" t="s">
        <v>101</v>
      </c>
      <c r="M135" s="17" t="s">
        <v>104</v>
      </c>
      <c r="N135" s="17" t="s">
        <v>102</v>
      </c>
      <c r="O135" s="17" t="s">
        <v>103</v>
      </c>
      <c r="P135" s="17" t="s">
        <v>101</v>
      </c>
      <c r="Q135" s="17" t="s">
        <v>104</v>
      </c>
      <c r="R135" s="17" t="s">
        <v>102</v>
      </c>
      <c r="S135" s="17" t="s">
        <v>103</v>
      </c>
      <c r="T135" s="17" t="s">
        <v>101</v>
      </c>
      <c r="U135" s="17" t="s">
        <v>104</v>
      </c>
      <c r="V135" s="17" t="s">
        <v>102</v>
      </c>
      <c r="W135" s="17" t="s">
        <v>103</v>
      </c>
      <c r="X135" s="880"/>
    </row>
    <row r="136" spans="1:24" ht="13.5" thickBot="1">
      <c r="A136" s="885"/>
      <c r="B136" s="885"/>
      <c r="C136" s="9" t="s">
        <v>247</v>
      </c>
      <c r="D136" s="18">
        <v>2</v>
      </c>
      <c r="E136" s="18">
        <v>0</v>
      </c>
      <c r="F136" s="18">
        <v>0</v>
      </c>
      <c r="G136" s="18">
        <v>0</v>
      </c>
      <c r="H136" s="18">
        <v>15</v>
      </c>
      <c r="I136" s="18">
        <v>10</v>
      </c>
      <c r="J136" s="18">
        <v>5</v>
      </c>
      <c r="K136" s="18">
        <v>2</v>
      </c>
      <c r="L136" s="18">
        <v>34</v>
      </c>
      <c r="M136" s="18">
        <v>23</v>
      </c>
      <c r="N136" s="18">
        <v>15</v>
      </c>
      <c r="O136" s="18">
        <v>10</v>
      </c>
      <c r="P136" s="18">
        <v>50</v>
      </c>
      <c r="Q136" s="18">
        <v>33</v>
      </c>
      <c r="R136" s="18">
        <v>24</v>
      </c>
      <c r="S136" s="18">
        <v>10</v>
      </c>
      <c r="T136" s="18">
        <v>75</v>
      </c>
      <c r="U136" s="18">
        <v>59</v>
      </c>
      <c r="V136" s="18">
        <v>57</v>
      </c>
      <c r="W136" s="18">
        <v>27</v>
      </c>
      <c r="X136" s="880"/>
    </row>
    <row r="137" spans="1:24" ht="13.5" thickBot="1">
      <c r="A137" s="885"/>
      <c r="B137" s="93" t="s">
        <v>151</v>
      </c>
      <c r="C137" s="10" t="s">
        <v>246</v>
      </c>
      <c r="D137" s="933" t="s">
        <v>172</v>
      </c>
      <c r="E137" s="934"/>
      <c r="F137" s="934"/>
      <c r="G137" s="935"/>
      <c r="H137" s="936" t="s">
        <v>249</v>
      </c>
      <c r="I137" s="937"/>
      <c r="J137" s="937"/>
      <c r="K137" s="938"/>
      <c r="L137" s="68" t="e">
        <f>#REF!</f>
        <v>#REF!</v>
      </c>
      <c r="M137" s="68" t="e">
        <f>#REF!</f>
        <v>#REF!</v>
      </c>
      <c r="N137" s="68" t="e">
        <f>#REF!</f>
        <v>#REF!</v>
      </c>
      <c r="O137" s="68" t="e">
        <f>#REF!</f>
        <v>#REF!</v>
      </c>
      <c r="P137" s="68" t="e">
        <f>#REF!</f>
        <v>#REF!</v>
      </c>
      <c r="Q137" s="68" t="e">
        <f>#REF!</f>
        <v>#REF!</v>
      </c>
      <c r="R137" s="68" t="e">
        <f>#REF!</f>
        <v>#REF!</v>
      </c>
      <c r="S137" s="68" t="e">
        <f>#REF!</f>
        <v>#REF!</v>
      </c>
      <c r="T137" s="68" t="e">
        <f>#REF!</f>
        <v>#REF!</v>
      </c>
      <c r="U137" s="68" t="e">
        <f>#REF!</f>
        <v>#REF!</v>
      </c>
      <c r="V137" s="68" t="e">
        <f>#REF!</f>
        <v>#REF!</v>
      </c>
      <c r="W137" s="68" t="e">
        <f>#REF!</f>
        <v>#REF!</v>
      </c>
      <c r="X137" s="880"/>
    </row>
    <row r="138" spans="1:24" ht="13.5" thickBot="1">
      <c r="A138" s="885"/>
      <c r="B138" s="93" t="s">
        <v>150</v>
      </c>
      <c r="C138" s="922" t="s">
        <v>413</v>
      </c>
      <c r="D138" s="927" t="s">
        <v>4</v>
      </c>
      <c r="E138" s="928"/>
      <c r="F138" s="928"/>
      <c r="G138" s="928"/>
      <c r="H138" s="928"/>
      <c r="I138" s="928"/>
      <c r="J138" s="928"/>
      <c r="K138" s="928"/>
      <c r="L138" s="928"/>
      <c r="M138" s="928"/>
      <c r="N138" s="928"/>
      <c r="O138" s="928"/>
      <c r="P138" s="928"/>
      <c r="Q138" s="928"/>
      <c r="R138" s="928"/>
      <c r="S138" s="928"/>
      <c r="T138" s="928"/>
      <c r="U138" s="928"/>
      <c r="V138" s="928"/>
      <c r="W138" s="929"/>
      <c r="X138" s="880"/>
    </row>
    <row r="139" spans="1:24" ht="13.5" thickBot="1">
      <c r="A139" s="885"/>
      <c r="B139" s="94" t="s">
        <v>152</v>
      </c>
      <c r="C139" s="923"/>
      <c r="D139" s="930" t="s">
        <v>120</v>
      </c>
      <c r="E139" s="931"/>
      <c r="F139" s="931"/>
      <c r="G139" s="931"/>
      <c r="H139" s="931"/>
      <c r="I139" s="931"/>
      <c r="J139" s="931"/>
      <c r="K139" s="931"/>
      <c r="L139" s="931"/>
      <c r="M139" s="931"/>
      <c r="N139" s="931"/>
      <c r="O139" s="931"/>
      <c r="P139" s="931"/>
      <c r="Q139" s="931"/>
      <c r="R139" s="931"/>
      <c r="S139" s="931"/>
      <c r="T139" s="931"/>
      <c r="U139" s="931"/>
      <c r="V139" s="931"/>
      <c r="W139" s="932"/>
      <c r="X139" s="880"/>
    </row>
    <row r="140" spans="1:24" ht="13.5" thickBot="1">
      <c r="A140" s="885"/>
      <c r="B140" s="92" t="s">
        <v>31</v>
      </c>
      <c r="C140" s="12"/>
      <c r="D140" s="927" t="s">
        <v>78</v>
      </c>
      <c r="E140" s="928"/>
      <c r="F140" s="928"/>
      <c r="G140" s="929"/>
      <c r="H140" s="927" t="s">
        <v>77</v>
      </c>
      <c r="I140" s="928"/>
      <c r="J140" s="928"/>
      <c r="K140" s="929"/>
      <c r="L140" s="927" t="s">
        <v>81</v>
      </c>
      <c r="M140" s="928"/>
      <c r="N140" s="928"/>
      <c r="O140" s="929"/>
      <c r="P140" s="927" t="s">
        <v>254</v>
      </c>
      <c r="Q140" s="928"/>
      <c r="R140" s="928"/>
      <c r="S140" s="929"/>
      <c r="T140" s="927" t="s">
        <v>76</v>
      </c>
      <c r="U140" s="928"/>
      <c r="V140" s="928"/>
      <c r="W140" s="929"/>
      <c r="X140" s="880"/>
    </row>
    <row r="141" spans="1:24" ht="13.5" thickBot="1">
      <c r="A141" s="971"/>
      <c r="B141" s="868" t="s">
        <v>444</v>
      </c>
      <c r="C141" s="23"/>
      <c r="D141" s="955" t="s">
        <v>441</v>
      </c>
      <c r="E141" s="956"/>
      <c r="F141" s="955" t="s">
        <v>442</v>
      </c>
      <c r="G141" s="956"/>
      <c r="H141" s="955" t="s">
        <v>441</v>
      </c>
      <c r="I141" s="956"/>
      <c r="J141" s="955" t="s">
        <v>442</v>
      </c>
      <c r="K141" s="956"/>
      <c r="L141" s="955" t="s">
        <v>441</v>
      </c>
      <c r="M141" s="956"/>
      <c r="N141" s="955" t="s">
        <v>442</v>
      </c>
      <c r="O141" s="956"/>
      <c r="P141" s="955" t="s">
        <v>441</v>
      </c>
      <c r="Q141" s="956"/>
      <c r="R141" s="955" t="s">
        <v>442</v>
      </c>
      <c r="S141" s="956"/>
      <c r="T141" s="955" t="s">
        <v>441</v>
      </c>
      <c r="U141" s="956"/>
      <c r="V141" s="955" t="s">
        <v>442</v>
      </c>
      <c r="W141" s="956"/>
      <c r="X141" s="880"/>
    </row>
    <row r="142" spans="1:24" ht="13.5" thickBot="1">
      <c r="A142" s="971"/>
      <c r="B142" s="885"/>
      <c r="C142" s="91" t="s">
        <v>235</v>
      </c>
      <c r="D142" s="933" t="s">
        <v>172</v>
      </c>
      <c r="E142" s="934"/>
      <c r="F142" s="934"/>
      <c r="G142" s="935"/>
      <c r="H142" s="966" t="s">
        <v>248</v>
      </c>
      <c r="I142" s="967"/>
      <c r="J142" s="967"/>
      <c r="K142" s="968"/>
      <c r="L142" s="951">
        <v>50</v>
      </c>
      <c r="M142" s="952"/>
      <c r="N142" s="951">
        <v>25</v>
      </c>
      <c r="O142" s="952"/>
      <c r="P142" s="951">
        <v>72</v>
      </c>
      <c r="Q142" s="952"/>
      <c r="R142" s="951">
        <v>38</v>
      </c>
      <c r="S142" s="952"/>
      <c r="T142" s="951">
        <v>117</v>
      </c>
      <c r="U142" s="952"/>
      <c r="V142" s="951">
        <v>70</v>
      </c>
      <c r="W142" s="952"/>
      <c r="X142" s="880"/>
    </row>
    <row r="143" spans="1:24" ht="13.5" thickBot="1">
      <c r="A143" s="971"/>
      <c r="B143" s="885"/>
      <c r="C143" s="91" t="s">
        <v>233</v>
      </c>
      <c r="D143" s="957"/>
      <c r="E143" s="958"/>
      <c r="F143" s="958"/>
      <c r="G143" s="959"/>
      <c r="H143" s="966" t="s">
        <v>248</v>
      </c>
      <c r="I143" s="967"/>
      <c r="J143" s="967"/>
      <c r="K143" s="968"/>
      <c r="L143" s="951">
        <v>50</v>
      </c>
      <c r="M143" s="952"/>
      <c r="N143" s="951">
        <v>25</v>
      </c>
      <c r="O143" s="952"/>
      <c r="P143" s="951">
        <v>72</v>
      </c>
      <c r="Q143" s="952"/>
      <c r="R143" s="951">
        <v>37</v>
      </c>
      <c r="S143" s="952"/>
      <c r="T143" s="951">
        <v>135</v>
      </c>
      <c r="U143" s="952"/>
      <c r="V143" s="951">
        <v>29</v>
      </c>
      <c r="W143" s="952"/>
      <c r="X143" s="880"/>
    </row>
    <row r="144" spans="1:24" ht="13.5" thickBot="1">
      <c r="A144" s="971"/>
      <c r="B144" s="885"/>
      <c r="C144" s="91" t="s">
        <v>234</v>
      </c>
      <c r="D144" s="957"/>
      <c r="E144" s="958"/>
      <c r="F144" s="958"/>
      <c r="G144" s="959"/>
      <c r="H144" s="957"/>
      <c r="I144" s="958"/>
      <c r="J144" s="958"/>
      <c r="K144" s="959"/>
      <c r="L144" s="966" t="s">
        <v>443</v>
      </c>
      <c r="M144" s="967"/>
      <c r="N144" s="967"/>
      <c r="O144" s="968"/>
      <c r="P144" s="951">
        <v>50</v>
      </c>
      <c r="Q144" s="952"/>
      <c r="R144" s="951">
        <v>25</v>
      </c>
      <c r="S144" s="952"/>
      <c r="T144" s="951">
        <v>100</v>
      </c>
      <c r="U144" s="952"/>
      <c r="V144" s="951">
        <v>50</v>
      </c>
      <c r="W144" s="952"/>
      <c r="X144" s="880"/>
    </row>
    <row r="145" spans="1:24" ht="13.5" thickBot="1">
      <c r="A145" s="971"/>
      <c r="B145" s="93" t="s">
        <v>179</v>
      </c>
      <c r="C145" s="90" t="s">
        <v>236</v>
      </c>
      <c r="D145" s="933"/>
      <c r="E145" s="934"/>
      <c r="F145" s="934"/>
      <c r="G145" s="935"/>
      <c r="H145" s="933"/>
      <c r="I145" s="934"/>
      <c r="J145" s="934"/>
      <c r="K145" s="935"/>
      <c r="L145" s="933"/>
      <c r="M145" s="934"/>
      <c r="N145" s="934"/>
      <c r="O145" s="935"/>
      <c r="P145" s="954" t="e">
        <f>#REF!</f>
        <v>#REF!</v>
      </c>
      <c r="Q145" s="953"/>
      <c r="R145" s="954" t="e">
        <f>#REF!</f>
        <v>#REF!</v>
      </c>
      <c r="S145" s="953"/>
      <c r="T145" s="954" t="e">
        <f>#REF!</f>
        <v>#REF!</v>
      </c>
      <c r="U145" s="953"/>
      <c r="V145" s="954" t="e">
        <f>#REF!</f>
        <v>#REF!</v>
      </c>
      <c r="W145" s="953"/>
      <c r="X145" s="880"/>
    </row>
    <row r="146" spans="1:24" ht="13.5" thickBot="1">
      <c r="A146" s="971"/>
      <c r="B146" s="885"/>
      <c r="C146" s="922" t="s">
        <v>413</v>
      </c>
      <c r="D146" s="927" t="s">
        <v>4</v>
      </c>
      <c r="E146" s="928"/>
      <c r="F146" s="928"/>
      <c r="G146" s="928"/>
      <c r="H146" s="928"/>
      <c r="I146" s="928"/>
      <c r="J146" s="928"/>
      <c r="K146" s="928"/>
      <c r="L146" s="928"/>
      <c r="M146" s="928"/>
      <c r="N146" s="928"/>
      <c r="O146" s="928"/>
      <c r="P146" s="928"/>
      <c r="Q146" s="928"/>
      <c r="R146" s="928"/>
      <c r="S146" s="928"/>
      <c r="T146" s="928"/>
      <c r="U146" s="928"/>
      <c r="V146" s="928"/>
      <c r="W146" s="929"/>
      <c r="X146" s="880"/>
    </row>
    <row r="147" spans="1:24" ht="13.5" thickBot="1">
      <c r="A147" s="971"/>
      <c r="B147" s="869"/>
      <c r="C147" s="923"/>
      <c r="D147" s="930" t="s">
        <v>121</v>
      </c>
      <c r="E147" s="931"/>
      <c r="F147" s="931"/>
      <c r="G147" s="931"/>
      <c r="H147" s="931"/>
      <c r="I147" s="931"/>
      <c r="J147" s="931"/>
      <c r="K147" s="931"/>
      <c r="L147" s="931"/>
      <c r="M147" s="931"/>
      <c r="N147" s="931"/>
      <c r="O147" s="931"/>
      <c r="P147" s="931"/>
      <c r="Q147" s="931"/>
      <c r="R147" s="931"/>
      <c r="S147" s="931"/>
      <c r="T147" s="931"/>
      <c r="U147" s="931"/>
      <c r="V147" s="931"/>
      <c r="W147" s="932"/>
      <c r="X147" s="880"/>
    </row>
    <row r="148" spans="1:24" ht="13.5" thickBot="1">
      <c r="A148" s="885"/>
      <c r="B148" s="11" t="s">
        <v>40</v>
      </c>
      <c r="C148" s="12"/>
      <c r="D148" s="927" t="s">
        <v>78</v>
      </c>
      <c r="E148" s="928"/>
      <c r="F148" s="928"/>
      <c r="G148" s="929"/>
      <c r="H148" s="927" t="s">
        <v>77</v>
      </c>
      <c r="I148" s="928"/>
      <c r="J148" s="928"/>
      <c r="K148" s="929"/>
      <c r="L148" s="927" t="s">
        <v>81</v>
      </c>
      <c r="M148" s="928"/>
      <c r="N148" s="928"/>
      <c r="O148" s="929"/>
      <c r="P148" s="927" t="s">
        <v>254</v>
      </c>
      <c r="Q148" s="928"/>
      <c r="R148" s="928"/>
      <c r="S148" s="929"/>
      <c r="T148" s="927" t="s">
        <v>76</v>
      </c>
      <c r="U148" s="928"/>
      <c r="V148" s="928"/>
      <c r="W148" s="929"/>
      <c r="X148" s="880"/>
    </row>
    <row r="149" spans="1:24" ht="13.5" thickBot="1">
      <c r="A149" s="885"/>
      <c r="B149" s="868" t="s">
        <v>445</v>
      </c>
      <c r="C149" s="9" t="s">
        <v>235</v>
      </c>
      <c r="D149" s="933" t="s">
        <v>171</v>
      </c>
      <c r="E149" s="934"/>
      <c r="F149" s="934"/>
      <c r="G149" s="935"/>
      <c r="H149" s="966" t="s">
        <v>248</v>
      </c>
      <c r="I149" s="967"/>
      <c r="J149" s="967"/>
      <c r="K149" s="968"/>
      <c r="L149" s="951">
        <v>50</v>
      </c>
      <c r="M149" s="969"/>
      <c r="N149" s="969"/>
      <c r="O149" s="952"/>
      <c r="P149" s="951">
        <v>76</v>
      </c>
      <c r="Q149" s="969"/>
      <c r="R149" s="969"/>
      <c r="S149" s="952"/>
      <c r="T149" s="951">
        <v>150</v>
      </c>
      <c r="U149" s="969"/>
      <c r="V149" s="969"/>
      <c r="W149" s="952"/>
      <c r="X149" s="880"/>
    </row>
    <row r="150" spans="1:24" ht="13.5" thickBot="1">
      <c r="A150" s="885"/>
      <c r="B150" s="885"/>
      <c r="C150" s="9" t="s">
        <v>233</v>
      </c>
      <c r="D150" s="957"/>
      <c r="E150" s="958"/>
      <c r="F150" s="958"/>
      <c r="G150" s="959"/>
      <c r="H150" s="966" t="s">
        <v>248</v>
      </c>
      <c r="I150" s="967"/>
      <c r="J150" s="967"/>
      <c r="K150" s="968"/>
      <c r="L150" s="951">
        <v>50</v>
      </c>
      <c r="M150" s="969"/>
      <c r="N150" s="969"/>
      <c r="O150" s="952"/>
      <c r="P150" s="951">
        <v>71</v>
      </c>
      <c r="Q150" s="969"/>
      <c r="R150" s="969"/>
      <c r="S150" s="952"/>
      <c r="T150" s="951">
        <v>140</v>
      </c>
      <c r="U150" s="969"/>
      <c r="V150" s="969"/>
      <c r="W150" s="952"/>
      <c r="X150" s="880"/>
    </row>
    <row r="151" spans="1:24" ht="13.5" thickBot="1">
      <c r="A151" s="885"/>
      <c r="B151" s="885"/>
      <c r="C151" s="9" t="s">
        <v>234</v>
      </c>
      <c r="D151" s="957"/>
      <c r="E151" s="958"/>
      <c r="F151" s="958"/>
      <c r="G151" s="959"/>
      <c r="H151" s="957"/>
      <c r="I151" s="958"/>
      <c r="J151" s="958"/>
      <c r="K151" s="959"/>
      <c r="L151" s="966" t="s">
        <v>443</v>
      </c>
      <c r="M151" s="967"/>
      <c r="N151" s="967"/>
      <c r="O151" s="968"/>
      <c r="P151" s="951">
        <v>50</v>
      </c>
      <c r="Q151" s="969"/>
      <c r="R151" s="969"/>
      <c r="S151" s="952"/>
      <c r="T151" s="951">
        <v>100</v>
      </c>
      <c r="U151" s="969"/>
      <c r="V151" s="969"/>
      <c r="W151" s="952"/>
      <c r="X151" s="880"/>
    </row>
    <row r="152" spans="1:24" ht="13.5" thickBot="1">
      <c r="A152" s="869"/>
      <c r="B152" s="885"/>
      <c r="C152" s="10" t="s">
        <v>236</v>
      </c>
      <c r="D152" s="933"/>
      <c r="E152" s="934"/>
      <c r="F152" s="934"/>
      <c r="G152" s="935"/>
      <c r="H152" s="933"/>
      <c r="I152" s="934"/>
      <c r="J152" s="934"/>
      <c r="K152" s="935"/>
      <c r="L152" s="933"/>
      <c r="M152" s="934"/>
      <c r="N152" s="934"/>
      <c r="O152" s="935"/>
      <c r="P152" s="954" t="e">
        <f>#REF!</f>
        <v>#REF!</v>
      </c>
      <c r="Q152" s="970"/>
      <c r="R152" s="970"/>
      <c r="S152" s="953"/>
      <c r="T152" s="954" t="e">
        <f>#REF!</f>
        <v>#REF!</v>
      </c>
      <c r="U152" s="970"/>
      <c r="V152" s="970"/>
      <c r="W152" s="953"/>
      <c r="X152" s="881"/>
    </row>
    <row r="153" spans="1:24" ht="13.5" thickBot="1">
      <c r="A153" s="96" t="s">
        <v>13</v>
      </c>
      <c r="B153" s="885"/>
      <c r="C153" s="922" t="s">
        <v>413</v>
      </c>
      <c r="D153" s="927" t="s">
        <v>4</v>
      </c>
      <c r="E153" s="928"/>
      <c r="F153" s="928"/>
      <c r="G153" s="928"/>
      <c r="H153" s="928"/>
      <c r="I153" s="928"/>
      <c r="J153" s="928"/>
      <c r="K153" s="928"/>
      <c r="L153" s="928"/>
      <c r="M153" s="928"/>
      <c r="N153" s="928"/>
      <c r="O153" s="928"/>
      <c r="P153" s="928"/>
      <c r="Q153" s="928"/>
      <c r="R153" s="928"/>
      <c r="S153" s="928"/>
      <c r="T153" s="928"/>
      <c r="U153" s="928"/>
      <c r="V153" s="928"/>
      <c r="W153" s="929"/>
      <c r="X153" s="24" t="s">
        <v>14</v>
      </c>
    </row>
    <row r="154" spans="1:24" ht="13.5" thickBot="1">
      <c r="A154" s="25" t="s">
        <v>75</v>
      </c>
      <c r="B154" s="869"/>
      <c r="C154" s="923"/>
      <c r="D154" s="930" t="s">
        <v>122</v>
      </c>
      <c r="E154" s="931"/>
      <c r="F154" s="931"/>
      <c r="G154" s="931"/>
      <c r="H154" s="931"/>
      <c r="I154" s="931"/>
      <c r="J154" s="931"/>
      <c r="K154" s="931"/>
      <c r="L154" s="931"/>
      <c r="M154" s="931"/>
      <c r="N154" s="931"/>
      <c r="O154" s="931"/>
      <c r="P154" s="931"/>
      <c r="Q154" s="931"/>
      <c r="R154" s="931"/>
      <c r="S154" s="931"/>
      <c r="T154" s="931"/>
      <c r="U154" s="931"/>
      <c r="V154" s="931"/>
      <c r="W154" s="932"/>
      <c r="X154" s="18" t="s">
        <v>92</v>
      </c>
    </row>
    <row r="155" spans="1:24" ht="13.5" thickBot="1">
      <c r="A155" s="906" t="s">
        <v>7</v>
      </c>
      <c r="B155" s="908" t="s">
        <v>173</v>
      </c>
      <c r="C155" s="909"/>
      <c r="D155" s="908" t="s">
        <v>8</v>
      </c>
      <c r="E155" s="918"/>
      <c r="F155" s="918"/>
      <c r="G155" s="909"/>
      <c r="H155" s="908" t="s">
        <v>88</v>
      </c>
      <c r="I155" s="918"/>
      <c r="J155" s="918"/>
      <c r="K155" s="909"/>
      <c r="L155" s="908" t="s">
        <v>89</v>
      </c>
      <c r="M155" s="918"/>
      <c r="N155" s="918"/>
      <c r="O155" s="909"/>
      <c r="P155" s="908" t="s">
        <v>9</v>
      </c>
      <c r="Q155" s="918"/>
      <c r="R155" s="918"/>
      <c r="S155" s="909"/>
      <c r="T155" s="908" t="s">
        <v>174</v>
      </c>
      <c r="U155" s="918"/>
      <c r="V155" s="918"/>
      <c r="W155" s="918"/>
      <c r="X155" s="909"/>
    </row>
    <row r="156" spans="1:24" ht="13.5" thickBot="1">
      <c r="A156" s="907"/>
      <c r="B156" s="919">
        <v>4200000</v>
      </c>
      <c r="C156" s="920"/>
      <c r="D156" s="919">
        <v>0</v>
      </c>
      <c r="E156" s="921"/>
      <c r="F156" s="921"/>
      <c r="G156" s="920"/>
      <c r="H156" s="919">
        <v>3200000</v>
      </c>
      <c r="I156" s="921"/>
      <c r="J156" s="921"/>
      <c r="K156" s="920"/>
      <c r="L156" s="919">
        <v>0</v>
      </c>
      <c r="M156" s="921"/>
      <c r="N156" s="921"/>
      <c r="O156" s="920"/>
      <c r="P156" s="919">
        <f>SUM(B156:O156)</f>
        <v>7400000</v>
      </c>
      <c r="Q156" s="921"/>
      <c r="R156" s="921"/>
      <c r="S156" s="920"/>
      <c r="T156" s="942">
        <f>B156/P156%</f>
        <v>56.756756756756758</v>
      </c>
      <c r="U156" s="943"/>
      <c r="V156" s="943"/>
      <c r="W156" s="943"/>
      <c r="X156" s="944"/>
    </row>
    <row r="157" spans="1:24" ht="13.5" thickBot="1">
      <c r="A157" s="906" t="s">
        <v>10</v>
      </c>
      <c r="B157" s="908" t="s">
        <v>175</v>
      </c>
      <c r="C157" s="909"/>
      <c r="D157" s="910"/>
      <c r="E157" s="911"/>
      <c r="F157" s="911"/>
      <c r="G157" s="911"/>
      <c r="H157" s="911"/>
      <c r="I157" s="911"/>
      <c r="J157" s="911"/>
      <c r="K157" s="911"/>
      <c r="L157" s="911"/>
      <c r="M157" s="911"/>
      <c r="N157" s="911"/>
      <c r="O157" s="911"/>
      <c r="P157" s="911"/>
      <c r="Q157" s="911"/>
      <c r="R157" s="911"/>
      <c r="S157" s="911"/>
      <c r="T157" s="911"/>
      <c r="U157" s="911"/>
      <c r="V157" s="911"/>
      <c r="W157" s="911"/>
      <c r="X157" s="912"/>
    </row>
    <row r="158" spans="1:24" ht="13.5" thickBot="1">
      <c r="A158" s="907"/>
      <c r="B158" s="916"/>
      <c r="C158" s="917"/>
      <c r="D158" s="913"/>
      <c r="E158" s="914"/>
      <c r="F158" s="914"/>
      <c r="G158" s="914"/>
      <c r="H158" s="914"/>
      <c r="I158" s="914"/>
      <c r="J158" s="914"/>
      <c r="K158" s="914"/>
      <c r="L158" s="914"/>
      <c r="M158" s="914"/>
      <c r="N158" s="914"/>
      <c r="O158" s="914"/>
      <c r="P158" s="914"/>
      <c r="Q158" s="914"/>
      <c r="R158" s="914"/>
      <c r="S158" s="914"/>
      <c r="T158" s="914"/>
      <c r="U158" s="914"/>
      <c r="V158" s="914"/>
      <c r="W158" s="914"/>
      <c r="X158" s="915"/>
    </row>
    <row r="159" spans="1:24">
      <c r="A159" s="5"/>
      <c r="B159" s="5"/>
      <c r="C159" s="6"/>
      <c r="D159" s="5"/>
      <c r="E159" s="5"/>
      <c r="F159" s="5"/>
      <c r="G159" s="5"/>
      <c r="H159" s="5"/>
      <c r="I159" s="5"/>
      <c r="J159" s="5"/>
      <c r="K159" s="5"/>
      <c r="L159" s="5"/>
      <c r="M159" s="5"/>
      <c r="N159" s="5"/>
      <c r="O159" s="5"/>
      <c r="P159" s="5"/>
      <c r="Q159" s="5"/>
      <c r="R159" s="5"/>
      <c r="S159" s="5"/>
      <c r="T159" s="5"/>
      <c r="U159" s="5"/>
      <c r="V159" s="5"/>
      <c r="W159" s="5"/>
      <c r="X159" s="5"/>
    </row>
    <row r="160" spans="1:24" ht="13.5" thickBot="1">
      <c r="A160" s="5"/>
      <c r="B160" s="5"/>
      <c r="C160" s="6"/>
      <c r="D160" s="5"/>
      <c r="E160" s="5"/>
      <c r="F160" s="5"/>
      <c r="G160" s="5"/>
      <c r="H160" s="5"/>
      <c r="I160" s="5"/>
      <c r="J160" s="5"/>
      <c r="K160" s="5"/>
      <c r="L160" s="5"/>
      <c r="M160" s="5"/>
      <c r="N160" s="5"/>
      <c r="O160" s="5"/>
      <c r="P160" s="5"/>
      <c r="Q160" s="5"/>
      <c r="R160" s="5"/>
      <c r="S160" s="5"/>
      <c r="T160" s="5"/>
      <c r="U160" s="5"/>
      <c r="V160" s="5"/>
      <c r="W160" s="5"/>
      <c r="X160" s="5"/>
    </row>
    <row r="161" spans="1:24" ht="13.5" thickBot="1">
      <c r="A161" s="95" t="s">
        <v>28</v>
      </c>
      <c r="B161" s="97" t="s">
        <v>32</v>
      </c>
      <c r="C161" s="8"/>
      <c r="D161" s="927" t="s">
        <v>78</v>
      </c>
      <c r="E161" s="928"/>
      <c r="F161" s="928"/>
      <c r="G161" s="929"/>
      <c r="H161" s="927" t="s">
        <v>77</v>
      </c>
      <c r="I161" s="928"/>
      <c r="J161" s="928"/>
      <c r="K161" s="929"/>
      <c r="L161" s="927" t="s">
        <v>81</v>
      </c>
      <c r="M161" s="928"/>
      <c r="N161" s="928"/>
      <c r="O161" s="929"/>
      <c r="P161" s="927" t="s">
        <v>254</v>
      </c>
      <c r="Q161" s="928"/>
      <c r="R161" s="928"/>
      <c r="S161" s="929"/>
      <c r="T161" s="927" t="s">
        <v>76</v>
      </c>
      <c r="U161" s="928"/>
      <c r="V161" s="928"/>
      <c r="W161" s="929"/>
      <c r="X161" s="16" t="s">
        <v>6</v>
      </c>
    </row>
    <row r="162" spans="1:24" ht="13.5" thickBot="1">
      <c r="A162" s="868" t="s">
        <v>65</v>
      </c>
      <c r="B162" s="868" t="s">
        <v>66</v>
      </c>
      <c r="C162" s="9" t="s">
        <v>235</v>
      </c>
      <c r="D162" s="942">
        <v>1.6</v>
      </c>
      <c r="E162" s="943"/>
      <c r="F162" s="943"/>
      <c r="G162" s="944"/>
      <c r="H162" s="942">
        <v>2</v>
      </c>
      <c r="I162" s="943"/>
      <c r="J162" s="943"/>
      <c r="K162" s="944"/>
      <c r="L162" s="942">
        <v>2.4</v>
      </c>
      <c r="M162" s="943"/>
      <c r="N162" s="943"/>
      <c r="O162" s="944"/>
      <c r="P162" s="942">
        <v>2.6</v>
      </c>
      <c r="Q162" s="943"/>
      <c r="R162" s="943"/>
      <c r="S162" s="944"/>
      <c r="T162" s="942">
        <v>3</v>
      </c>
      <c r="U162" s="943"/>
      <c r="V162" s="943"/>
      <c r="W162" s="944"/>
      <c r="X162" s="879" t="s">
        <v>91</v>
      </c>
    </row>
    <row r="163" spans="1:24" ht="13.5" thickBot="1">
      <c r="A163" s="885"/>
      <c r="B163" s="885"/>
      <c r="C163" s="9" t="s">
        <v>233</v>
      </c>
      <c r="D163" s="957"/>
      <c r="E163" s="958"/>
      <c r="F163" s="958"/>
      <c r="G163" s="959"/>
      <c r="H163" s="942" t="s">
        <v>250</v>
      </c>
      <c r="I163" s="943"/>
      <c r="J163" s="943"/>
      <c r="K163" s="944"/>
      <c r="L163" s="942">
        <v>1.3</v>
      </c>
      <c r="M163" s="943"/>
      <c r="N163" s="943"/>
      <c r="O163" s="944"/>
      <c r="P163" s="942">
        <v>1.6</v>
      </c>
      <c r="Q163" s="943"/>
      <c r="R163" s="943"/>
      <c r="S163" s="944"/>
      <c r="T163" s="942">
        <v>2.5</v>
      </c>
      <c r="U163" s="943"/>
      <c r="V163" s="943"/>
      <c r="W163" s="944"/>
      <c r="X163" s="880"/>
    </row>
    <row r="164" spans="1:24" ht="13.5" thickBot="1">
      <c r="A164" s="885"/>
      <c r="B164" s="885"/>
      <c r="C164" s="9" t="s">
        <v>234</v>
      </c>
      <c r="D164" s="957"/>
      <c r="E164" s="958"/>
      <c r="F164" s="958"/>
      <c r="G164" s="959"/>
      <c r="H164" s="957"/>
      <c r="I164" s="958"/>
      <c r="J164" s="958"/>
      <c r="K164" s="959"/>
      <c r="L164" s="942" t="s">
        <v>251</v>
      </c>
      <c r="M164" s="943"/>
      <c r="N164" s="943"/>
      <c r="O164" s="944"/>
      <c r="P164" s="942">
        <v>1.5</v>
      </c>
      <c r="Q164" s="943"/>
      <c r="R164" s="943"/>
      <c r="S164" s="944"/>
      <c r="T164" s="942">
        <v>2</v>
      </c>
      <c r="U164" s="943"/>
      <c r="V164" s="943"/>
      <c r="W164" s="944"/>
      <c r="X164" s="880"/>
    </row>
    <row r="165" spans="1:24" ht="13.5" thickBot="1">
      <c r="A165" s="885"/>
      <c r="B165" s="885"/>
      <c r="C165" s="10" t="s">
        <v>236</v>
      </c>
      <c r="D165" s="957"/>
      <c r="E165" s="958"/>
      <c r="F165" s="958"/>
      <c r="G165" s="959"/>
      <c r="H165" s="948" t="s">
        <v>261</v>
      </c>
      <c r="I165" s="949"/>
      <c r="J165" s="949"/>
      <c r="K165" s="950"/>
      <c r="L165" s="963" t="e">
        <f>#REF!</f>
        <v>#REF!</v>
      </c>
      <c r="M165" s="964"/>
      <c r="N165" s="964"/>
      <c r="O165" s="965"/>
      <c r="P165" s="963" t="e">
        <f>#REF!</f>
        <v>#REF!</v>
      </c>
      <c r="Q165" s="964"/>
      <c r="R165" s="964"/>
      <c r="S165" s="965"/>
      <c r="T165" s="963" t="e">
        <f>#REF!</f>
        <v>#REF!</v>
      </c>
      <c r="U165" s="964"/>
      <c r="V165" s="964"/>
      <c r="W165" s="965"/>
      <c r="X165" s="880"/>
    </row>
    <row r="166" spans="1:24" ht="13.5" thickBot="1">
      <c r="A166" s="885"/>
      <c r="B166" s="885"/>
      <c r="C166" s="922" t="s">
        <v>413</v>
      </c>
      <c r="D166" s="927" t="s">
        <v>4</v>
      </c>
      <c r="E166" s="928"/>
      <c r="F166" s="928"/>
      <c r="G166" s="928"/>
      <c r="H166" s="928"/>
      <c r="I166" s="928"/>
      <c r="J166" s="928"/>
      <c r="K166" s="928"/>
      <c r="L166" s="928"/>
      <c r="M166" s="928"/>
      <c r="N166" s="928"/>
      <c r="O166" s="928"/>
      <c r="P166" s="928"/>
      <c r="Q166" s="928"/>
      <c r="R166" s="928"/>
      <c r="S166" s="928"/>
      <c r="T166" s="928"/>
      <c r="U166" s="928"/>
      <c r="V166" s="928"/>
      <c r="W166" s="929"/>
      <c r="X166" s="880"/>
    </row>
    <row r="167" spans="1:24" ht="13.5" thickBot="1">
      <c r="A167" s="885"/>
      <c r="B167" s="869"/>
      <c r="C167" s="923"/>
      <c r="D167" s="930" t="s">
        <v>123</v>
      </c>
      <c r="E167" s="931"/>
      <c r="F167" s="931"/>
      <c r="G167" s="931"/>
      <c r="H167" s="931"/>
      <c r="I167" s="931"/>
      <c r="J167" s="931"/>
      <c r="K167" s="931"/>
      <c r="L167" s="931"/>
      <c r="M167" s="931"/>
      <c r="N167" s="931"/>
      <c r="O167" s="931"/>
      <c r="P167" s="931"/>
      <c r="Q167" s="931"/>
      <c r="R167" s="931"/>
      <c r="S167" s="931"/>
      <c r="T167" s="931"/>
      <c r="U167" s="931"/>
      <c r="V167" s="931"/>
      <c r="W167" s="932"/>
      <c r="X167" s="880"/>
    </row>
    <row r="168" spans="1:24" ht="13.5" thickBot="1">
      <c r="A168" s="885"/>
      <c r="B168" s="11" t="s">
        <v>33</v>
      </c>
      <c r="C168" s="12"/>
      <c r="D168" s="927" t="s">
        <v>78</v>
      </c>
      <c r="E168" s="928"/>
      <c r="F168" s="928"/>
      <c r="G168" s="929"/>
      <c r="H168" s="927" t="s">
        <v>77</v>
      </c>
      <c r="I168" s="928"/>
      <c r="J168" s="928"/>
      <c r="K168" s="929"/>
      <c r="L168" s="927" t="s">
        <v>81</v>
      </c>
      <c r="M168" s="928"/>
      <c r="N168" s="928"/>
      <c r="O168" s="929"/>
      <c r="P168" s="927" t="s">
        <v>254</v>
      </c>
      <c r="Q168" s="928"/>
      <c r="R168" s="928"/>
      <c r="S168" s="929"/>
      <c r="T168" s="927" t="s">
        <v>76</v>
      </c>
      <c r="U168" s="928"/>
      <c r="V168" s="928"/>
      <c r="W168" s="929"/>
      <c r="X168" s="880"/>
    </row>
    <row r="169" spans="1:24" ht="13.5" thickBot="1">
      <c r="A169" s="885"/>
      <c r="B169" s="868" t="s">
        <v>67</v>
      </c>
      <c r="C169" s="9" t="s">
        <v>235</v>
      </c>
      <c r="D169" s="942">
        <v>1.2</v>
      </c>
      <c r="E169" s="943"/>
      <c r="F169" s="943"/>
      <c r="G169" s="944"/>
      <c r="H169" s="942">
        <v>1.8</v>
      </c>
      <c r="I169" s="943"/>
      <c r="J169" s="943"/>
      <c r="K169" s="944"/>
      <c r="L169" s="942">
        <v>2.4</v>
      </c>
      <c r="M169" s="943"/>
      <c r="N169" s="943"/>
      <c r="O169" s="944"/>
      <c r="P169" s="942">
        <v>2.7</v>
      </c>
      <c r="Q169" s="943"/>
      <c r="R169" s="943"/>
      <c r="S169" s="944"/>
      <c r="T169" s="942">
        <v>3</v>
      </c>
      <c r="U169" s="943"/>
      <c r="V169" s="943"/>
      <c r="W169" s="944"/>
      <c r="X169" s="880"/>
    </row>
    <row r="170" spans="1:24" ht="13.5" thickBot="1">
      <c r="A170" s="885"/>
      <c r="B170" s="885"/>
      <c r="C170" s="9" t="s">
        <v>233</v>
      </c>
      <c r="D170" s="957"/>
      <c r="E170" s="958"/>
      <c r="F170" s="958"/>
      <c r="G170" s="959"/>
      <c r="H170" s="942" t="s">
        <v>252</v>
      </c>
      <c r="I170" s="943"/>
      <c r="J170" s="943"/>
      <c r="K170" s="944"/>
      <c r="L170" s="942">
        <v>2</v>
      </c>
      <c r="M170" s="943"/>
      <c r="N170" s="943"/>
      <c r="O170" s="944"/>
      <c r="P170" s="942">
        <v>2.2999999999999998</v>
      </c>
      <c r="Q170" s="943"/>
      <c r="R170" s="943"/>
      <c r="S170" s="944"/>
      <c r="T170" s="942">
        <v>2.8</v>
      </c>
      <c r="U170" s="943"/>
      <c r="V170" s="943"/>
      <c r="W170" s="944"/>
      <c r="X170" s="880"/>
    </row>
    <row r="171" spans="1:24" ht="13.5" thickBot="1">
      <c r="A171" s="885"/>
      <c r="B171" s="885"/>
      <c r="C171" s="9" t="s">
        <v>234</v>
      </c>
      <c r="D171" s="957"/>
      <c r="E171" s="958"/>
      <c r="F171" s="958"/>
      <c r="G171" s="959"/>
      <c r="H171" s="957"/>
      <c r="I171" s="958"/>
      <c r="J171" s="958"/>
      <c r="K171" s="959"/>
      <c r="L171" s="942" t="s">
        <v>251</v>
      </c>
      <c r="M171" s="943"/>
      <c r="N171" s="943"/>
      <c r="O171" s="944"/>
      <c r="P171" s="942">
        <v>1.5</v>
      </c>
      <c r="Q171" s="943"/>
      <c r="R171" s="943"/>
      <c r="S171" s="944"/>
      <c r="T171" s="960">
        <v>2.25</v>
      </c>
      <c r="U171" s="961"/>
      <c r="V171" s="961"/>
      <c r="W171" s="962"/>
      <c r="X171" s="880"/>
    </row>
    <row r="172" spans="1:24" ht="13.5" thickBot="1">
      <c r="A172" s="885"/>
      <c r="B172" s="885"/>
      <c r="C172" s="10" t="s">
        <v>236</v>
      </c>
      <c r="D172" s="957"/>
      <c r="E172" s="958"/>
      <c r="F172" s="958"/>
      <c r="G172" s="959"/>
      <c r="H172" s="948" t="s">
        <v>260</v>
      </c>
      <c r="I172" s="949"/>
      <c r="J172" s="949"/>
      <c r="K172" s="950"/>
      <c r="L172" s="963" t="e">
        <f>#REF!</f>
        <v>#REF!</v>
      </c>
      <c r="M172" s="964"/>
      <c r="N172" s="964"/>
      <c r="O172" s="965"/>
      <c r="P172" s="963" t="e">
        <f>#REF!</f>
        <v>#REF!</v>
      </c>
      <c r="Q172" s="964"/>
      <c r="R172" s="964"/>
      <c r="S172" s="965"/>
      <c r="T172" s="963" t="e">
        <f>#REF!</f>
        <v>#REF!</v>
      </c>
      <c r="U172" s="964"/>
      <c r="V172" s="964"/>
      <c r="W172" s="965"/>
      <c r="X172" s="880"/>
    </row>
    <row r="173" spans="1:24" ht="13.5" thickBot="1">
      <c r="A173" s="885"/>
      <c r="B173" s="885"/>
      <c r="C173" s="922" t="s">
        <v>413</v>
      </c>
      <c r="D173" s="927" t="s">
        <v>4</v>
      </c>
      <c r="E173" s="928"/>
      <c r="F173" s="928"/>
      <c r="G173" s="928"/>
      <c r="H173" s="928"/>
      <c r="I173" s="928"/>
      <c r="J173" s="928"/>
      <c r="K173" s="928"/>
      <c r="L173" s="928"/>
      <c r="M173" s="928"/>
      <c r="N173" s="928"/>
      <c r="O173" s="928"/>
      <c r="P173" s="928"/>
      <c r="Q173" s="928"/>
      <c r="R173" s="928"/>
      <c r="S173" s="928"/>
      <c r="T173" s="928"/>
      <c r="U173" s="928"/>
      <c r="V173" s="928"/>
      <c r="W173" s="929"/>
      <c r="X173" s="880"/>
    </row>
    <row r="174" spans="1:24" ht="13.5" thickBot="1">
      <c r="A174" s="885"/>
      <c r="B174" s="869"/>
      <c r="C174" s="923"/>
      <c r="D174" s="930" t="s">
        <v>123</v>
      </c>
      <c r="E174" s="931"/>
      <c r="F174" s="931"/>
      <c r="G174" s="931"/>
      <c r="H174" s="931"/>
      <c r="I174" s="931"/>
      <c r="J174" s="931"/>
      <c r="K174" s="931"/>
      <c r="L174" s="931"/>
      <c r="M174" s="931"/>
      <c r="N174" s="931"/>
      <c r="O174" s="931"/>
      <c r="P174" s="931"/>
      <c r="Q174" s="931"/>
      <c r="R174" s="931"/>
      <c r="S174" s="931"/>
      <c r="T174" s="931"/>
      <c r="U174" s="931"/>
      <c r="V174" s="931"/>
      <c r="W174" s="932"/>
      <c r="X174" s="880"/>
    </row>
    <row r="175" spans="1:24" ht="13.5" thickBot="1">
      <c r="A175" s="885"/>
      <c r="B175" s="11" t="s">
        <v>34</v>
      </c>
      <c r="C175" s="12"/>
      <c r="D175" s="927" t="s">
        <v>78</v>
      </c>
      <c r="E175" s="928"/>
      <c r="F175" s="928"/>
      <c r="G175" s="929"/>
      <c r="H175" s="927" t="s">
        <v>77</v>
      </c>
      <c r="I175" s="928"/>
      <c r="J175" s="928"/>
      <c r="K175" s="929"/>
      <c r="L175" s="927" t="s">
        <v>81</v>
      </c>
      <c r="M175" s="928"/>
      <c r="N175" s="928"/>
      <c r="O175" s="929"/>
      <c r="P175" s="927" t="s">
        <v>254</v>
      </c>
      <c r="Q175" s="928"/>
      <c r="R175" s="928"/>
      <c r="S175" s="929"/>
      <c r="T175" s="927" t="s">
        <v>76</v>
      </c>
      <c r="U175" s="928"/>
      <c r="V175" s="928"/>
      <c r="W175" s="929"/>
      <c r="X175" s="880"/>
    </row>
    <row r="176" spans="1:24" ht="13.5" thickBot="1">
      <c r="A176" s="885"/>
      <c r="B176" s="868" t="s">
        <v>68</v>
      </c>
      <c r="C176" s="9" t="s">
        <v>235</v>
      </c>
      <c r="D176" s="942">
        <v>1</v>
      </c>
      <c r="E176" s="943"/>
      <c r="F176" s="943"/>
      <c r="G176" s="944"/>
      <c r="H176" s="942">
        <v>1.6</v>
      </c>
      <c r="I176" s="943"/>
      <c r="J176" s="943"/>
      <c r="K176" s="944"/>
      <c r="L176" s="942">
        <v>2.2000000000000002</v>
      </c>
      <c r="M176" s="943"/>
      <c r="N176" s="943"/>
      <c r="O176" s="944"/>
      <c r="P176" s="942">
        <v>2.6</v>
      </c>
      <c r="Q176" s="943"/>
      <c r="R176" s="943"/>
      <c r="S176" s="944"/>
      <c r="T176" s="942">
        <v>3</v>
      </c>
      <c r="U176" s="943"/>
      <c r="V176" s="943"/>
      <c r="W176" s="944"/>
      <c r="X176" s="880"/>
    </row>
    <row r="177" spans="1:24" ht="13.5" thickBot="1">
      <c r="A177" s="885"/>
      <c r="B177" s="885"/>
      <c r="C177" s="9" t="s">
        <v>233</v>
      </c>
      <c r="D177" s="957"/>
      <c r="E177" s="958"/>
      <c r="F177" s="958"/>
      <c r="G177" s="959"/>
      <c r="H177" s="942" t="s">
        <v>253</v>
      </c>
      <c r="I177" s="943"/>
      <c r="J177" s="943"/>
      <c r="K177" s="944"/>
      <c r="L177" s="942">
        <v>1.7</v>
      </c>
      <c r="M177" s="943"/>
      <c r="N177" s="943"/>
      <c r="O177" s="944"/>
      <c r="P177" s="942">
        <v>1.7</v>
      </c>
      <c r="Q177" s="943"/>
      <c r="R177" s="943"/>
      <c r="S177" s="944"/>
      <c r="T177" s="942">
        <v>2.5</v>
      </c>
      <c r="U177" s="943"/>
      <c r="V177" s="943"/>
      <c r="W177" s="944"/>
      <c r="X177" s="880"/>
    </row>
    <row r="178" spans="1:24" ht="13.5" thickBot="1">
      <c r="A178" s="885"/>
      <c r="B178" s="885"/>
      <c r="C178" s="9" t="s">
        <v>234</v>
      </c>
      <c r="D178" s="957"/>
      <c r="E178" s="958"/>
      <c r="F178" s="958"/>
      <c r="G178" s="959"/>
      <c r="H178" s="957"/>
      <c r="I178" s="958"/>
      <c r="J178" s="958"/>
      <c r="K178" s="959"/>
      <c r="L178" s="942" t="s">
        <v>251</v>
      </c>
      <c r="M178" s="943"/>
      <c r="N178" s="943"/>
      <c r="O178" s="944"/>
      <c r="P178" s="942">
        <v>1.5</v>
      </c>
      <c r="Q178" s="943"/>
      <c r="R178" s="943"/>
      <c r="S178" s="944"/>
      <c r="T178" s="960">
        <v>2.25</v>
      </c>
      <c r="U178" s="961"/>
      <c r="V178" s="961"/>
      <c r="W178" s="962"/>
      <c r="X178" s="880"/>
    </row>
    <row r="179" spans="1:24" ht="13.5" thickBot="1">
      <c r="A179" s="885"/>
      <c r="B179" s="885"/>
      <c r="C179" s="10" t="s">
        <v>236</v>
      </c>
      <c r="D179" s="957"/>
      <c r="E179" s="958"/>
      <c r="F179" s="958"/>
      <c r="G179" s="959"/>
      <c r="H179" s="948" t="s">
        <v>259</v>
      </c>
      <c r="I179" s="949"/>
      <c r="J179" s="949"/>
      <c r="K179" s="950"/>
      <c r="L179" s="963" t="e">
        <f>#REF!</f>
        <v>#REF!</v>
      </c>
      <c r="M179" s="964"/>
      <c r="N179" s="964"/>
      <c r="O179" s="965"/>
      <c r="P179" s="963" t="e">
        <f>#REF!</f>
        <v>#REF!</v>
      </c>
      <c r="Q179" s="964"/>
      <c r="R179" s="964"/>
      <c r="S179" s="965"/>
      <c r="T179" s="963" t="e">
        <f>#REF!</f>
        <v>#REF!</v>
      </c>
      <c r="U179" s="964"/>
      <c r="V179" s="964"/>
      <c r="W179" s="965"/>
      <c r="X179" s="880"/>
    </row>
    <row r="180" spans="1:24" ht="13.5" thickBot="1">
      <c r="A180" s="885"/>
      <c r="B180" s="885"/>
      <c r="C180" s="922" t="s">
        <v>413</v>
      </c>
      <c r="D180" s="927" t="s">
        <v>4</v>
      </c>
      <c r="E180" s="928"/>
      <c r="F180" s="928"/>
      <c r="G180" s="928"/>
      <c r="H180" s="928"/>
      <c r="I180" s="928"/>
      <c r="J180" s="928"/>
      <c r="K180" s="928"/>
      <c r="L180" s="928"/>
      <c r="M180" s="928"/>
      <c r="N180" s="928"/>
      <c r="O180" s="928"/>
      <c r="P180" s="928"/>
      <c r="Q180" s="928"/>
      <c r="R180" s="928"/>
      <c r="S180" s="928"/>
      <c r="T180" s="928"/>
      <c r="U180" s="928"/>
      <c r="V180" s="928"/>
      <c r="W180" s="929"/>
      <c r="X180" s="880"/>
    </row>
    <row r="181" spans="1:24" ht="13.5" thickBot="1">
      <c r="A181" s="885"/>
      <c r="B181" s="869"/>
      <c r="C181" s="923"/>
      <c r="D181" s="930" t="s">
        <v>123</v>
      </c>
      <c r="E181" s="931"/>
      <c r="F181" s="931"/>
      <c r="G181" s="931"/>
      <c r="H181" s="931"/>
      <c r="I181" s="931"/>
      <c r="J181" s="931"/>
      <c r="K181" s="931"/>
      <c r="L181" s="931"/>
      <c r="M181" s="931"/>
      <c r="N181" s="931"/>
      <c r="O181" s="931"/>
      <c r="P181" s="931"/>
      <c r="Q181" s="931"/>
      <c r="R181" s="931"/>
      <c r="S181" s="931"/>
      <c r="T181" s="931"/>
      <c r="U181" s="931"/>
      <c r="V181" s="931"/>
      <c r="W181" s="932"/>
      <c r="X181" s="880"/>
    </row>
    <row r="182" spans="1:24" ht="13.5" thickBot="1">
      <c r="A182" s="885"/>
      <c r="B182" s="11" t="s">
        <v>41</v>
      </c>
      <c r="C182" s="12"/>
      <c r="D182" s="927" t="s">
        <v>78</v>
      </c>
      <c r="E182" s="928"/>
      <c r="F182" s="928"/>
      <c r="G182" s="929"/>
      <c r="H182" s="927" t="s">
        <v>77</v>
      </c>
      <c r="I182" s="928"/>
      <c r="J182" s="928"/>
      <c r="K182" s="929"/>
      <c r="L182" s="927" t="s">
        <v>81</v>
      </c>
      <c r="M182" s="928"/>
      <c r="N182" s="928"/>
      <c r="O182" s="929"/>
      <c r="P182" s="927" t="s">
        <v>254</v>
      </c>
      <c r="Q182" s="928"/>
      <c r="R182" s="928"/>
      <c r="S182" s="929"/>
      <c r="T182" s="927" t="s">
        <v>76</v>
      </c>
      <c r="U182" s="928"/>
      <c r="V182" s="928"/>
      <c r="W182" s="929"/>
      <c r="X182" s="880"/>
    </row>
    <row r="183" spans="1:24" ht="13.5" thickBot="1">
      <c r="A183" s="885"/>
      <c r="B183" s="868" t="s">
        <v>69</v>
      </c>
      <c r="C183" s="9" t="s">
        <v>235</v>
      </c>
      <c r="D183" s="942">
        <v>1.2</v>
      </c>
      <c r="E183" s="943"/>
      <c r="F183" s="943"/>
      <c r="G183" s="944"/>
      <c r="H183" s="942">
        <v>1.6</v>
      </c>
      <c r="I183" s="943"/>
      <c r="J183" s="943"/>
      <c r="K183" s="944"/>
      <c r="L183" s="942">
        <v>2.2000000000000002</v>
      </c>
      <c r="M183" s="943"/>
      <c r="N183" s="943"/>
      <c r="O183" s="944"/>
      <c r="P183" s="942">
        <v>2.6</v>
      </c>
      <c r="Q183" s="943"/>
      <c r="R183" s="943"/>
      <c r="S183" s="944"/>
      <c r="T183" s="942">
        <v>3</v>
      </c>
      <c r="U183" s="943"/>
      <c r="V183" s="943"/>
      <c r="W183" s="944"/>
      <c r="X183" s="880"/>
    </row>
    <row r="184" spans="1:24" ht="13.5" thickBot="1">
      <c r="A184" s="885"/>
      <c r="B184" s="885"/>
      <c r="C184" s="9" t="s">
        <v>233</v>
      </c>
      <c r="D184" s="957"/>
      <c r="E184" s="958"/>
      <c r="F184" s="958"/>
      <c r="G184" s="959"/>
      <c r="H184" s="942" t="s">
        <v>253</v>
      </c>
      <c r="I184" s="943"/>
      <c r="J184" s="943"/>
      <c r="K184" s="944"/>
      <c r="L184" s="942">
        <v>1.7</v>
      </c>
      <c r="M184" s="943"/>
      <c r="N184" s="943"/>
      <c r="O184" s="944"/>
      <c r="P184" s="942">
        <v>1.8</v>
      </c>
      <c r="Q184" s="943"/>
      <c r="R184" s="943"/>
      <c r="S184" s="944"/>
      <c r="T184" s="942">
        <v>2.5</v>
      </c>
      <c r="U184" s="943"/>
      <c r="V184" s="943"/>
      <c r="W184" s="944"/>
      <c r="X184" s="880"/>
    </row>
    <row r="185" spans="1:24" ht="13.5" thickBot="1">
      <c r="A185" s="885"/>
      <c r="B185" s="885"/>
      <c r="C185" s="9" t="s">
        <v>234</v>
      </c>
      <c r="D185" s="957"/>
      <c r="E185" s="958"/>
      <c r="F185" s="958"/>
      <c r="G185" s="959"/>
      <c r="H185" s="957"/>
      <c r="I185" s="958"/>
      <c r="J185" s="958"/>
      <c r="K185" s="959"/>
      <c r="L185" s="942" t="s">
        <v>251</v>
      </c>
      <c r="M185" s="943"/>
      <c r="N185" s="943"/>
      <c r="O185" s="944"/>
      <c r="P185" s="942">
        <v>1.5</v>
      </c>
      <c r="Q185" s="943"/>
      <c r="R185" s="943"/>
      <c r="S185" s="944"/>
      <c r="T185" s="960">
        <v>2.25</v>
      </c>
      <c r="U185" s="961"/>
      <c r="V185" s="961"/>
      <c r="W185" s="962"/>
      <c r="X185" s="880"/>
    </row>
    <row r="186" spans="1:24" ht="13.5" thickBot="1">
      <c r="A186" s="885"/>
      <c r="B186" s="885"/>
      <c r="C186" s="10" t="s">
        <v>236</v>
      </c>
      <c r="D186" s="957"/>
      <c r="E186" s="958"/>
      <c r="F186" s="958"/>
      <c r="G186" s="959"/>
      <c r="H186" s="948" t="s">
        <v>259</v>
      </c>
      <c r="I186" s="949"/>
      <c r="J186" s="949"/>
      <c r="K186" s="950"/>
      <c r="L186" s="963" t="e">
        <f>#REF!</f>
        <v>#REF!</v>
      </c>
      <c r="M186" s="964"/>
      <c r="N186" s="964"/>
      <c r="O186" s="965"/>
      <c r="P186" s="963" t="e">
        <f>#REF!</f>
        <v>#REF!</v>
      </c>
      <c r="Q186" s="964"/>
      <c r="R186" s="964"/>
      <c r="S186" s="965"/>
      <c r="T186" s="963" t="e">
        <f>#REF!</f>
        <v>#REF!</v>
      </c>
      <c r="U186" s="964"/>
      <c r="V186" s="964"/>
      <c r="W186" s="965"/>
      <c r="X186" s="880"/>
    </row>
    <row r="187" spans="1:24" ht="13.5" thickBot="1">
      <c r="A187" s="885"/>
      <c r="B187" s="885"/>
      <c r="C187" s="922" t="s">
        <v>413</v>
      </c>
      <c r="D187" s="927" t="s">
        <v>4</v>
      </c>
      <c r="E187" s="928"/>
      <c r="F187" s="928"/>
      <c r="G187" s="928"/>
      <c r="H187" s="928"/>
      <c r="I187" s="928"/>
      <c r="J187" s="928"/>
      <c r="K187" s="928"/>
      <c r="L187" s="928"/>
      <c r="M187" s="928"/>
      <c r="N187" s="928"/>
      <c r="O187" s="928"/>
      <c r="P187" s="928"/>
      <c r="Q187" s="928"/>
      <c r="R187" s="928"/>
      <c r="S187" s="928"/>
      <c r="T187" s="928"/>
      <c r="U187" s="928"/>
      <c r="V187" s="928"/>
      <c r="W187" s="929"/>
      <c r="X187" s="880"/>
    </row>
    <row r="188" spans="1:24" ht="13.5" thickBot="1">
      <c r="A188" s="885"/>
      <c r="B188" s="869"/>
      <c r="C188" s="923"/>
      <c r="D188" s="930" t="s">
        <v>123</v>
      </c>
      <c r="E188" s="931"/>
      <c r="F188" s="931"/>
      <c r="G188" s="931"/>
      <c r="H188" s="931"/>
      <c r="I188" s="931"/>
      <c r="J188" s="931"/>
      <c r="K188" s="931"/>
      <c r="L188" s="931"/>
      <c r="M188" s="931"/>
      <c r="N188" s="931"/>
      <c r="O188" s="931"/>
      <c r="P188" s="931"/>
      <c r="Q188" s="931"/>
      <c r="R188" s="931"/>
      <c r="S188" s="931"/>
      <c r="T188" s="931"/>
      <c r="U188" s="931"/>
      <c r="V188" s="931"/>
      <c r="W188" s="932"/>
      <c r="X188" s="880"/>
    </row>
    <row r="189" spans="1:24" ht="13.5" thickBot="1">
      <c r="A189" s="885"/>
      <c r="B189" s="11" t="s">
        <v>42</v>
      </c>
      <c r="C189" s="28"/>
      <c r="D189" s="927" t="s">
        <v>78</v>
      </c>
      <c r="E189" s="928"/>
      <c r="F189" s="928"/>
      <c r="G189" s="929"/>
      <c r="H189" s="927" t="s">
        <v>77</v>
      </c>
      <c r="I189" s="928"/>
      <c r="J189" s="928"/>
      <c r="K189" s="929"/>
      <c r="L189" s="927" t="s">
        <v>81</v>
      </c>
      <c r="M189" s="928"/>
      <c r="N189" s="928"/>
      <c r="O189" s="929"/>
      <c r="P189" s="927" t="s">
        <v>254</v>
      </c>
      <c r="Q189" s="928"/>
      <c r="R189" s="928"/>
      <c r="S189" s="929"/>
      <c r="T189" s="927" t="s">
        <v>76</v>
      </c>
      <c r="U189" s="928"/>
      <c r="V189" s="928"/>
      <c r="W189" s="929"/>
      <c r="X189" s="880"/>
    </row>
    <row r="190" spans="1:24" ht="13.5" thickBot="1">
      <c r="A190" s="885"/>
      <c r="B190" s="868" t="s">
        <v>180</v>
      </c>
      <c r="C190" s="26"/>
      <c r="D190" s="955" t="s">
        <v>99</v>
      </c>
      <c r="E190" s="956"/>
      <c r="F190" s="955" t="s">
        <v>100</v>
      </c>
      <c r="G190" s="956"/>
      <c r="H190" s="955" t="s">
        <v>99</v>
      </c>
      <c r="I190" s="956"/>
      <c r="J190" s="955" t="s">
        <v>100</v>
      </c>
      <c r="K190" s="956"/>
      <c r="L190" s="955" t="s">
        <v>99</v>
      </c>
      <c r="M190" s="956"/>
      <c r="N190" s="955" t="s">
        <v>100</v>
      </c>
      <c r="O190" s="956"/>
      <c r="P190" s="955" t="s">
        <v>99</v>
      </c>
      <c r="Q190" s="956"/>
      <c r="R190" s="955" t="s">
        <v>100</v>
      </c>
      <c r="S190" s="956"/>
      <c r="T190" s="955" t="s">
        <v>99</v>
      </c>
      <c r="U190" s="956"/>
      <c r="V190" s="955" t="s">
        <v>100</v>
      </c>
      <c r="W190" s="956"/>
      <c r="X190" s="880"/>
    </row>
    <row r="191" spans="1:24" ht="13.5" thickBot="1">
      <c r="A191" s="885"/>
      <c r="B191" s="885"/>
      <c r="C191" s="9" t="s">
        <v>247</v>
      </c>
      <c r="D191" s="951">
        <v>0</v>
      </c>
      <c r="E191" s="952"/>
      <c r="F191" s="951">
        <v>0</v>
      </c>
      <c r="G191" s="952"/>
      <c r="H191" s="951">
        <v>20</v>
      </c>
      <c r="I191" s="952"/>
      <c r="J191" s="951">
        <v>10</v>
      </c>
      <c r="K191" s="952"/>
      <c r="L191" s="951">
        <v>34</v>
      </c>
      <c r="M191" s="952"/>
      <c r="N191" s="951">
        <v>13</v>
      </c>
      <c r="O191" s="952"/>
      <c r="P191" s="951">
        <v>47</v>
      </c>
      <c r="Q191" s="952"/>
      <c r="R191" s="951">
        <v>18</v>
      </c>
      <c r="S191" s="952"/>
      <c r="T191" s="951">
        <v>59</v>
      </c>
      <c r="U191" s="952"/>
      <c r="V191" s="951">
        <v>23</v>
      </c>
      <c r="W191" s="952"/>
      <c r="X191" s="880"/>
    </row>
    <row r="192" spans="1:24" ht="13.5" thickBot="1">
      <c r="A192" s="869"/>
      <c r="B192" s="885"/>
      <c r="C192" s="10" t="s">
        <v>246</v>
      </c>
      <c r="D192" s="933" t="s">
        <v>171</v>
      </c>
      <c r="E192" s="934"/>
      <c r="F192" s="934"/>
      <c r="G192" s="935"/>
      <c r="H192" s="936" t="s">
        <v>249</v>
      </c>
      <c r="I192" s="937"/>
      <c r="J192" s="937"/>
      <c r="K192" s="938"/>
      <c r="L192" s="939" t="e">
        <f>#REF!</f>
        <v>#REF!</v>
      </c>
      <c r="M192" s="953"/>
      <c r="N192" s="939" t="e">
        <f>#REF!</f>
        <v>#REF!</v>
      </c>
      <c r="O192" s="953"/>
      <c r="P192" s="954" t="e">
        <f>#REF!</f>
        <v>#REF!</v>
      </c>
      <c r="Q192" s="953"/>
      <c r="R192" s="954" t="e">
        <f>#REF!</f>
        <v>#REF!</v>
      </c>
      <c r="S192" s="953"/>
      <c r="T192" s="954" t="e">
        <f>#REF!</f>
        <v>#REF!</v>
      </c>
      <c r="U192" s="953"/>
      <c r="V192" s="954" t="e">
        <f>#REF!</f>
        <v>#REF!</v>
      </c>
      <c r="W192" s="953"/>
      <c r="X192" s="881"/>
    </row>
    <row r="193" spans="1:24" ht="13.5" thickBot="1">
      <c r="A193" s="96" t="s">
        <v>13</v>
      </c>
      <c r="B193" s="93" t="s">
        <v>178</v>
      </c>
      <c r="C193" s="922" t="s">
        <v>413</v>
      </c>
      <c r="D193" s="927" t="s">
        <v>4</v>
      </c>
      <c r="E193" s="928"/>
      <c r="F193" s="928"/>
      <c r="G193" s="928"/>
      <c r="H193" s="928"/>
      <c r="I193" s="928"/>
      <c r="J193" s="928"/>
      <c r="K193" s="928"/>
      <c r="L193" s="928"/>
      <c r="M193" s="928"/>
      <c r="N193" s="928"/>
      <c r="O193" s="928"/>
      <c r="P193" s="928"/>
      <c r="Q193" s="928"/>
      <c r="R193" s="928"/>
      <c r="S193" s="928"/>
      <c r="T193" s="928"/>
      <c r="U193" s="928"/>
      <c r="V193" s="928"/>
      <c r="W193" s="929"/>
      <c r="X193" s="24" t="s">
        <v>14</v>
      </c>
    </row>
    <row r="194" spans="1:24" ht="13.5" thickBot="1">
      <c r="A194" s="25" t="s">
        <v>74</v>
      </c>
      <c r="B194" s="94"/>
      <c r="C194" s="923"/>
      <c r="D194" s="930" t="s">
        <v>124</v>
      </c>
      <c r="E194" s="931"/>
      <c r="F194" s="931"/>
      <c r="G194" s="931"/>
      <c r="H194" s="931"/>
      <c r="I194" s="931"/>
      <c r="J194" s="931"/>
      <c r="K194" s="931"/>
      <c r="L194" s="931"/>
      <c r="M194" s="931"/>
      <c r="N194" s="931"/>
      <c r="O194" s="931"/>
      <c r="P194" s="931"/>
      <c r="Q194" s="931"/>
      <c r="R194" s="931"/>
      <c r="S194" s="931"/>
      <c r="T194" s="931"/>
      <c r="U194" s="931"/>
      <c r="V194" s="931"/>
      <c r="W194" s="932"/>
      <c r="X194" s="18" t="s">
        <v>93</v>
      </c>
    </row>
    <row r="195" spans="1:24" ht="13.5" thickBot="1">
      <c r="A195" s="906" t="s">
        <v>7</v>
      </c>
      <c r="B195" s="908" t="s">
        <v>173</v>
      </c>
      <c r="C195" s="909"/>
      <c r="D195" s="908" t="s">
        <v>8</v>
      </c>
      <c r="E195" s="918"/>
      <c r="F195" s="918"/>
      <c r="G195" s="909"/>
      <c r="H195" s="908" t="s">
        <v>88</v>
      </c>
      <c r="I195" s="918"/>
      <c r="J195" s="918"/>
      <c r="K195" s="909"/>
      <c r="L195" s="908" t="s">
        <v>89</v>
      </c>
      <c r="M195" s="918"/>
      <c r="N195" s="918"/>
      <c r="O195" s="909"/>
      <c r="P195" s="908" t="s">
        <v>9</v>
      </c>
      <c r="Q195" s="918"/>
      <c r="R195" s="918"/>
      <c r="S195" s="909"/>
      <c r="T195" s="908" t="s">
        <v>174</v>
      </c>
      <c r="U195" s="918"/>
      <c r="V195" s="918"/>
      <c r="W195" s="918"/>
      <c r="X195" s="909"/>
    </row>
    <row r="196" spans="1:24" ht="13.5" thickBot="1">
      <c r="A196" s="907"/>
      <c r="B196" s="919">
        <v>10300000</v>
      </c>
      <c r="C196" s="920"/>
      <c r="D196" s="919">
        <v>0</v>
      </c>
      <c r="E196" s="921"/>
      <c r="F196" s="921"/>
      <c r="G196" s="920"/>
      <c r="H196" s="919">
        <v>5500000</v>
      </c>
      <c r="I196" s="921"/>
      <c r="J196" s="921"/>
      <c r="K196" s="920"/>
      <c r="L196" s="919">
        <v>3100000</v>
      </c>
      <c r="M196" s="921"/>
      <c r="N196" s="921"/>
      <c r="O196" s="920"/>
      <c r="P196" s="919">
        <f>SUM(B196:O196)</f>
        <v>18900000</v>
      </c>
      <c r="Q196" s="921"/>
      <c r="R196" s="921"/>
      <c r="S196" s="920"/>
      <c r="T196" s="942">
        <f>B196/P196%</f>
        <v>54.4973544973545</v>
      </c>
      <c r="U196" s="943"/>
      <c r="V196" s="943"/>
      <c r="W196" s="943"/>
      <c r="X196" s="944"/>
    </row>
    <row r="197" spans="1:24" ht="13.5" thickBot="1">
      <c r="A197" s="906" t="s">
        <v>10</v>
      </c>
      <c r="B197" s="908" t="s">
        <v>175</v>
      </c>
      <c r="C197" s="909"/>
      <c r="D197" s="910"/>
      <c r="E197" s="911"/>
      <c r="F197" s="911"/>
      <c r="G197" s="911"/>
      <c r="H197" s="911"/>
      <c r="I197" s="911"/>
      <c r="J197" s="911"/>
      <c r="K197" s="911"/>
      <c r="L197" s="911"/>
      <c r="M197" s="911"/>
      <c r="N197" s="911"/>
      <c r="O197" s="911"/>
      <c r="P197" s="911"/>
      <c r="Q197" s="911"/>
      <c r="R197" s="911"/>
      <c r="S197" s="911"/>
      <c r="T197" s="911"/>
      <c r="U197" s="911"/>
      <c r="V197" s="911"/>
      <c r="W197" s="911"/>
      <c r="X197" s="912"/>
    </row>
    <row r="198" spans="1:24" ht="13.5" thickBot="1">
      <c r="A198" s="907"/>
      <c r="B198" s="916"/>
      <c r="C198" s="917"/>
      <c r="D198" s="913"/>
      <c r="E198" s="914"/>
      <c r="F198" s="914"/>
      <c r="G198" s="914"/>
      <c r="H198" s="914"/>
      <c r="I198" s="914"/>
      <c r="J198" s="914"/>
      <c r="K198" s="914"/>
      <c r="L198" s="914"/>
      <c r="M198" s="914"/>
      <c r="N198" s="914"/>
      <c r="O198" s="914"/>
      <c r="P198" s="914"/>
      <c r="Q198" s="914"/>
      <c r="R198" s="914"/>
      <c r="S198" s="914"/>
      <c r="T198" s="914"/>
      <c r="U198" s="914"/>
      <c r="V198" s="914"/>
      <c r="W198" s="914"/>
      <c r="X198" s="915"/>
    </row>
    <row r="200" spans="1:24" ht="13.5" thickBot="1"/>
    <row r="201" spans="1:24" ht="13.5" thickBot="1">
      <c r="A201" s="95" t="s">
        <v>27</v>
      </c>
      <c r="B201" s="97" t="s">
        <v>35</v>
      </c>
      <c r="C201" s="8"/>
      <c r="D201" s="927" t="s">
        <v>78</v>
      </c>
      <c r="E201" s="928"/>
      <c r="F201" s="928"/>
      <c r="G201" s="929"/>
      <c r="H201" s="927" t="s">
        <v>77</v>
      </c>
      <c r="I201" s="928"/>
      <c r="J201" s="928"/>
      <c r="K201" s="929"/>
      <c r="L201" s="927" t="s">
        <v>81</v>
      </c>
      <c r="M201" s="928"/>
      <c r="N201" s="928"/>
      <c r="O201" s="929"/>
      <c r="P201" s="927" t="s">
        <v>254</v>
      </c>
      <c r="Q201" s="928"/>
      <c r="R201" s="928"/>
      <c r="S201" s="929"/>
      <c r="T201" s="927" t="s">
        <v>76</v>
      </c>
      <c r="U201" s="928"/>
      <c r="V201" s="928"/>
      <c r="W201" s="929"/>
      <c r="X201" s="16" t="s">
        <v>12</v>
      </c>
    </row>
    <row r="202" spans="1:24" ht="13.5" thickBot="1">
      <c r="A202" s="868" t="s">
        <v>70</v>
      </c>
      <c r="B202" s="868" t="s">
        <v>71</v>
      </c>
      <c r="C202" s="9" t="s">
        <v>247</v>
      </c>
      <c r="D202" s="924">
        <v>4</v>
      </c>
      <c r="E202" s="925"/>
      <c r="F202" s="925"/>
      <c r="G202" s="926"/>
      <c r="H202" s="924">
        <v>13</v>
      </c>
      <c r="I202" s="925"/>
      <c r="J202" s="925"/>
      <c r="K202" s="926"/>
      <c r="L202" s="924">
        <v>20</v>
      </c>
      <c r="M202" s="925"/>
      <c r="N202" s="925"/>
      <c r="O202" s="926"/>
      <c r="P202" s="924">
        <v>32</v>
      </c>
      <c r="Q202" s="925"/>
      <c r="R202" s="925"/>
      <c r="S202" s="926"/>
      <c r="T202" s="924">
        <v>49</v>
      </c>
      <c r="U202" s="925"/>
      <c r="V202" s="925"/>
      <c r="W202" s="926"/>
      <c r="X202" s="879" t="s">
        <v>90</v>
      </c>
    </row>
    <row r="203" spans="1:24" ht="13.5" thickBot="1">
      <c r="A203" s="885"/>
      <c r="B203" s="885"/>
      <c r="C203" s="10" t="s">
        <v>246</v>
      </c>
      <c r="D203" s="945"/>
      <c r="E203" s="946"/>
      <c r="F203" s="946"/>
      <c r="G203" s="947"/>
      <c r="H203" s="948" t="s">
        <v>257</v>
      </c>
      <c r="I203" s="949"/>
      <c r="J203" s="949"/>
      <c r="K203" s="950"/>
      <c r="L203" s="939" t="e">
        <f>#REF!</f>
        <v>#REF!</v>
      </c>
      <c r="M203" s="940"/>
      <c r="N203" s="940"/>
      <c r="O203" s="941"/>
      <c r="P203" s="939" t="e">
        <f>#REF!</f>
        <v>#REF!</v>
      </c>
      <c r="Q203" s="940"/>
      <c r="R203" s="940"/>
      <c r="S203" s="941"/>
      <c r="T203" s="939" t="e">
        <f>#REF!</f>
        <v>#REF!</v>
      </c>
      <c r="U203" s="940"/>
      <c r="V203" s="940"/>
      <c r="W203" s="941"/>
      <c r="X203" s="880"/>
    </row>
    <row r="204" spans="1:24" ht="13.5" thickBot="1">
      <c r="A204" s="885"/>
      <c r="B204" s="885"/>
      <c r="C204" s="922" t="s">
        <v>413</v>
      </c>
      <c r="D204" s="927" t="s">
        <v>4</v>
      </c>
      <c r="E204" s="928"/>
      <c r="F204" s="928"/>
      <c r="G204" s="928"/>
      <c r="H204" s="928"/>
      <c r="I204" s="928"/>
      <c r="J204" s="928"/>
      <c r="K204" s="928"/>
      <c r="L204" s="928"/>
      <c r="M204" s="928"/>
      <c r="N204" s="928"/>
      <c r="O204" s="928"/>
      <c r="P204" s="928"/>
      <c r="Q204" s="928"/>
      <c r="R204" s="928"/>
      <c r="S204" s="928"/>
      <c r="T204" s="928"/>
      <c r="U204" s="928"/>
      <c r="V204" s="928"/>
      <c r="W204" s="929"/>
      <c r="X204" s="880"/>
    </row>
    <row r="205" spans="1:24" ht="13.5" thickBot="1">
      <c r="A205" s="885"/>
      <c r="B205" s="869"/>
      <c r="C205" s="923"/>
      <c r="D205" s="930" t="s">
        <v>125</v>
      </c>
      <c r="E205" s="931"/>
      <c r="F205" s="931"/>
      <c r="G205" s="931"/>
      <c r="H205" s="931"/>
      <c r="I205" s="931"/>
      <c r="J205" s="931"/>
      <c r="K205" s="931"/>
      <c r="L205" s="931"/>
      <c r="M205" s="931"/>
      <c r="N205" s="931"/>
      <c r="O205" s="931"/>
      <c r="P205" s="931"/>
      <c r="Q205" s="931"/>
      <c r="R205" s="931"/>
      <c r="S205" s="931"/>
      <c r="T205" s="931"/>
      <c r="U205" s="931"/>
      <c r="V205" s="931"/>
      <c r="W205" s="932"/>
      <c r="X205" s="880"/>
    </row>
    <row r="206" spans="1:24" ht="13.5" thickBot="1">
      <c r="A206" s="885"/>
      <c r="B206" s="11" t="s">
        <v>36</v>
      </c>
      <c r="C206" s="12"/>
      <c r="D206" s="927" t="s">
        <v>78</v>
      </c>
      <c r="E206" s="928"/>
      <c r="F206" s="928"/>
      <c r="G206" s="929"/>
      <c r="H206" s="927" t="s">
        <v>77</v>
      </c>
      <c r="I206" s="928"/>
      <c r="J206" s="928"/>
      <c r="K206" s="929"/>
      <c r="L206" s="927" t="s">
        <v>81</v>
      </c>
      <c r="M206" s="928"/>
      <c r="N206" s="928"/>
      <c r="O206" s="929"/>
      <c r="P206" s="927" t="s">
        <v>254</v>
      </c>
      <c r="Q206" s="928"/>
      <c r="R206" s="928"/>
      <c r="S206" s="929"/>
      <c r="T206" s="927" t="s">
        <v>76</v>
      </c>
      <c r="U206" s="928"/>
      <c r="V206" s="928"/>
      <c r="W206" s="929"/>
      <c r="X206" s="880"/>
    </row>
    <row r="207" spans="1:24" ht="13.5" thickBot="1">
      <c r="A207" s="885"/>
      <c r="B207" s="868" t="s">
        <v>72</v>
      </c>
      <c r="C207" s="9" t="s">
        <v>247</v>
      </c>
      <c r="D207" s="924">
        <v>0</v>
      </c>
      <c r="E207" s="925"/>
      <c r="F207" s="925"/>
      <c r="G207" s="926"/>
      <c r="H207" s="924">
        <v>5</v>
      </c>
      <c r="I207" s="925"/>
      <c r="J207" s="925"/>
      <c r="K207" s="926"/>
      <c r="L207" s="924">
        <v>10</v>
      </c>
      <c r="M207" s="925"/>
      <c r="N207" s="925"/>
      <c r="O207" s="926"/>
      <c r="P207" s="924">
        <v>12</v>
      </c>
      <c r="Q207" s="925"/>
      <c r="R207" s="925"/>
      <c r="S207" s="926"/>
      <c r="T207" s="924">
        <v>20</v>
      </c>
      <c r="U207" s="925"/>
      <c r="V207" s="925"/>
      <c r="W207" s="926"/>
      <c r="X207" s="880"/>
    </row>
    <row r="208" spans="1:24" ht="13.5" thickBot="1">
      <c r="A208" s="869"/>
      <c r="B208" s="885"/>
      <c r="C208" s="10" t="s">
        <v>246</v>
      </c>
      <c r="D208" s="933" t="s">
        <v>172</v>
      </c>
      <c r="E208" s="934"/>
      <c r="F208" s="934"/>
      <c r="G208" s="935"/>
      <c r="H208" s="936" t="s">
        <v>249</v>
      </c>
      <c r="I208" s="937"/>
      <c r="J208" s="937"/>
      <c r="K208" s="938"/>
      <c r="L208" s="939" t="e">
        <f>#REF!</f>
        <v>#REF!</v>
      </c>
      <c r="M208" s="940"/>
      <c r="N208" s="940"/>
      <c r="O208" s="941"/>
      <c r="P208" s="939" t="e">
        <f>#REF!</f>
        <v>#REF!</v>
      </c>
      <c r="Q208" s="940"/>
      <c r="R208" s="940"/>
      <c r="S208" s="941"/>
      <c r="T208" s="939" t="e">
        <f>#REF!</f>
        <v>#REF!</v>
      </c>
      <c r="U208" s="940"/>
      <c r="V208" s="940"/>
      <c r="W208" s="941"/>
      <c r="X208" s="881"/>
    </row>
    <row r="209" spans="1:24" ht="13.5" thickBot="1">
      <c r="A209" s="96" t="s">
        <v>13</v>
      </c>
      <c r="B209" s="885"/>
      <c r="C209" s="922" t="s">
        <v>413</v>
      </c>
      <c r="D209" s="927" t="s">
        <v>4</v>
      </c>
      <c r="E209" s="928"/>
      <c r="F209" s="928"/>
      <c r="G209" s="928"/>
      <c r="H209" s="928"/>
      <c r="I209" s="928"/>
      <c r="J209" s="928"/>
      <c r="K209" s="928"/>
      <c r="L209" s="928"/>
      <c r="M209" s="928"/>
      <c r="N209" s="928"/>
      <c r="O209" s="928"/>
      <c r="P209" s="928"/>
      <c r="Q209" s="928"/>
      <c r="R209" s="928"/>
      <c r="S209" s="928"/>
      <c r="T209" s="928"/>
      <c r="U209" s="928"/>
      <c r="V209" s="928"/>
      <c r="W209" s="929"/>
      <c r="X209" s="24" t="s">
        <v>14</v>
      </c>
    </row>
    <row r="210" spans="1:24" ht="13.5" thickBot="1">
      <c r="A210" s="25" t="s">
        <v>73</v>
      </c>
      <c r="B210" s="869"/>
      <c r="C210" s="923"/>
      <c r="D210" s="930" t="s">
        <v>125</v>
      </c>
      <c r="E210" s="931"/>
      <c r="F210" s="931"/>
      <c r="G210" s="931"/>
      <c r="H210" s="931"/>
      <c r="I210" s="931"/>
      <c r="J210" s="931"/>
      <c r="K210" s="931"/>
      <c r="L210" s="931"/>
      <c r="M210" s="931"/>
      <c r="N210" s="931"/>
      <c r="O210" s="931"/>
      <c r="P210" s="931"/>
      <c r="Q210" s="931"/>
      <c r="R210" s="931"/>
      <c r="S210" s="931"/>
      <c r="T210" s="931"/>
      <c r="U210" s="931"/>
      <c r="V210" s="931"/>
      <c r="W210" s="932"/>
      <c r="X210" s="18" t="s">
        <v>92</v>
      </c>
    </row>
    <row r="211" spans="1:24" ht="13.5" thickBot="1">
      <c r="A211" s="906" t="s">
        <v>7</v>
      </c>
      <c r="B211" s="908" t="s">
        <v>173</v>
      </c>
      <c r="C211" s="909"/>
      <c r="D211" s="908" t="s">
        <v>8</v>
      </c>
      <c r="E211" s="918"/>
      <c r="F211" s="918"/>
      <c r="G211" s="909"/>
      <c r="H211" s="908" t="s">
        <v>88</v>
      </c>
      <c r="I211" s="918"/>
      <c r="J211" s="918"/>
      <c r="K211" s="909"/>
      <c r="L211" s="908" t="s">
        <v>89</v>
      </c>
      <c r="M211" s="918"/>
      <c r="N211" s="918"/>
      <c r="O211" s="909"/>
      <c r="P211" s="908" t="s">
        <v>9</v>
      </c>
      <c r="Q211" s="918"/>
      <c r="R211" s="918"/>
      <c r="S211" s="909"/>
      <c r="T211" s="908" t="s">
        <v>174</v>
      </c>
      <c r="U211" s="918"/>
      <c r="V211" s="918"/>
      <c r="W211" s="918"/>
      <c r="X211" s="909"/>
    </row>
    <row r="212" spans="1:24" ht="13.5" thickBot="1">
      <c r="A212" s="907"/>
      <c r="B212" s="919">
        <v>4100000</v>
      </c>
      <c r="C212" s="920"/>
      <c r="D212" s="919">
        <v>0</v>
      </c>
      <c r="E212" s="921"/>
      <c r="F212" s="921"/>
      <c r="G212" s="920"/>
      <c r="H212" s="919">
        <v>0</v>
      </c>
      <c r="I212" s="921"/>
      <c r="J212" s="921"/>
      <c r="K212" s="920"/>
      <c r="L212" s="919">
        <v>2700000</v>
      </c>
      <c r="M212" s="921"/>
      <c r="N212" s="921"/>
      <c r="O212" s="920"/>
      <c r="P212" s="919">
        <f>SUM(B212:O212)</f>
        <v>6800000</v>
      </c>
      <c r="Q212" s="921"/>
      <c r="R212" s="921"/>
      <c r="S212" s="920"/>
      <c r="T212" s="942">
        <f>B212/P212%</f>
        <v>60.294117647058826</v>
      </c>
      <c r="U212" s="943"/>
      <c r="V212" s="943"/>
      <c r="W212" s="943"/>
      <c r="X212" s="944"/>
    </row>
    <row r="213" spans="1:24" ht="13.5" thickBot="1">
      <c r="A213" s="906" t="s">
        <v>10</v>
      </c>
      <c r="B213" s="908" t="s">
        <v>175</v>
      </c>
      <c r="C213" s="909"/>
      <c r="D213" s="910"/>
      <c r="E213" s="911"/>
      <c r="F213" s="911"/>
      <c r="G213" s="911"/>
      <c r="H213" s="911"/>
      <c r="I213" s="911"/>
      <c r="J213" s="911"/>
      <c r="K213" s="911"/>
      <c r="L213" s="911"/>
      <c r="M213" s="911"/>
      <c r="N213" s="911"/>
      <c r="O213" s="911"/>
      <c r="P213" s="911"/>
      <c r="Q213" s="911"/>
      <c r="R213" s="911"/>
      <c r="S213" s="911"/>
      <c r="T213" s="911"/>
      <c r="U213" s="911"/>
      <c r="V213" s="911"/>
      <c r="W213" s="911"/>
      <c r="X213" s="912"/>
    </row>
    <row r="214" spans="1:24" ht="13.5" thickBot="1">
      <c r="A214" s="907"/>
      <c r="B214" s="916"/>
      <c r="C214" s="917"/>
      <c r="D214" s="913"/>
      <c r="E214" s="914"/>
      <c r="F214" s="914"/>
      <c r="G214" s="914"/>
      <c r="H214" s="914"/>
      <c r="I214" s="914"/>
      <c r="J214" s="914"/>
      <c r="K214" s="914"/>
      <c r="L214" s="914"/>
      <c r="M214" s="914"/>
      <c r="N214" s="914"/>
      <c r="O214" s="914"/>
      <c r="P214" s="914"/>
      <c r="Q214" s="914"/>
      <c r="R214" s="914"/>
      <c r="S214" s="914"/>
      <c r="T214" s="914"/>
      <c r="U214" s="914"/>
      <c r="V214" s="914"/>
      <c r="W214" s="914"/>
      <c r="X214" s="915"/>
    </row>
  </sheetData>
  <sheetProtection password="CF55" sheet="1" objects="1" scenarios="1" selectLockedCells="1" selectUnlockedCells="1"/>
  <mergeCells count="765">
    <mergeCell ref="D4:G4"/>
    <mergeCell ref="H4:K4"/>
    <mergeCell ref="L4:O4"/>
    <mergeCell ref="P4:S4"/>
    <mergeCell ref="T4:W4"/>
    <mergeCell ref="X4:X18"/>
    <mergeCell ref="P9:S9"/>
    <mergeCell ref="T9:W9"/>
    <mergeCell ref="D14:G14"/>
    <mergeCell ref="H14:K14"/>
    <mergeCell ref="D8:W8"/>
    <mergeCell ref="D9:G9"/>
    <mergeCell ref="H9:K9"/>
    <mergeCell ref="L9:O9"/>
    <mergeCell ref="B10:B13"/>
    <mergeCell ref="D10:W10"/>
    <mergeCell ref="D11:W11"/>
    <mergeCell ref="C12:C13"/>
    <mergeCell ref="D12:W12"/>
    <mergeCell ref="D13:W13"/>
    <mergeCell ref="P14:S14"/>
    <mergeCell ref="T14:W14"/>
    <mergeCell ref="B15:B18"/>
    <mergeCell ref="D15:W15"/>
    <mergeCell ref="D16:W16"/>
    <mergeCell ref="C17:C18"/>
    <mergeCell ref="D17:W17"/>
    <mergeCell ref="D18:W18"/>
    <mergeCell ref="A22:A42"/>
    <mergeCell ref="B22:B27"/>
    <mergeCell ref="D22:G22"/>
    <mergeCell ref="H22:K22"/>
    <mergeCell ref="L22:O22"/>
    <mergeCell ref="L14:O14"/>
    <mergeCell ref="C26:C27"/>
    <mergeCell ref="D27:W27"/>
    <mergeCell ref="D28:G28"/>
    <mergeCell ref="H28:K28"/>
    <mergeCell ref="A5:A18"/>
    <mergeCell ref="B5:B8"/>
    <mergeCell ref="D5:W5"/>
    <mergeCell ref="D6:W6"/>
    <mergeCell ref="C7:C8"/>
    <mergeCell ref="D7:W7"/>
    <mergeCell ref="D26:W26"/>
    <mergeCell ref="D21:G21"/>
    <mergeCell ref="H21:K21"/>
    <mergeCell ref="L21:O21"/>
    <mergeCell ref="P21:S21"/>
    <mergeCell ref="T21:W21"/>
    <mergeCell ref="L24:O24"/>
    <mergeCell ref="P24:S24"/>
    <mergeCell ref="X22:X42"/>
    <mergeCell ref="D23:G23"/>
    <mergeCell ref="H23:K23"/>
    <mergeCell ref="L23:O23"/>
    <mergeCell ref="P23:S23"/>
    <mergeCell ref="T23:W23"/>
    <mergeCell ref="D24:G24"/>
    <mergeCell ref="H24:K24"/>
    <mergeCell ref="D25:G25"/>
    <mergeCell ref="H25:K25"/>
    <mergeCell ref="L28:O28"/>
    <mergeCell ref="P28:S28"/>
    <mergeCell ref="T28:W28"/>
    <mergeCell ref="D29:G29"/>
    <mergeCell ref="H29:K29"/>
    <mergeCell ref="L29:O29"/>
    <mergeCell ref="P29:S29"/>
    <mergeCell ref="T29:W29"/>
    <mergeCell ref="D30:G30"/>
    <mergeCell ref="L25:O25"/>
    <mergeCell ref="P25:S25"/>
    <mergeCell ref="T25:W25"/>
    <mergeCell ref="P22:S22"/>
    <mergeCell ref="T22:W22"/>
    <mergeCell ref="D39:G39"/>
    <mergeCell ref="H39:K39"/>
    <mergeCell ref="T24:W24"/>
    <mergeCell ref="T30:W30"/>
    <mergeCell ref="D31:G31"/>
    <mergeCell ref="H31:K31"/>
    <mergeCell ref="L31:O31"/>
    <mergeCell ref="P31:S31"/>
    <mergeCell ref="T31:W31"/>
    <mergeCell ref="H30:K30"/>
    <mergeCell ref="L30:O30"/>
    <mergeCell ref="P30:S30"/>
    <mergeCell ref="D50:W50"/>
    <mergeCell ref="D51:W51"/>
    <mergeCell ref="D52:G52"/>
    <mergeCell ref="D40:G40"/>
    <mergeCell ref="B41:B42"/>
    <mergeCell ref="C41:C42"/>
    <mergeCell ref="D41:W41"/>
    <mergeCell ref="D42:W42"/>
    <mergeCell ref="T32:W32"/>
    <mergeCell ref="C33:C34"/>
    <mergeCell ref="D33:W33"/>
    <mergeCell ref="D34:W34"/>
    <mergeCell ref="D32:G32"/>
    <mergeCell ref="H32:K32"/>
    <mergeCell ref="L32:O32"/>
    <mergeCell ref="P32:S32"/>
    <mergeCell ref="B29:B34"/>
    <mergeCell ref="D35:G35"/>
    <mergeCell ref="H35:K35"/>
    <mergeCell ref="L35:O35"/>
    <mergeCell ref="P35:S35"/>
    <mergeCell ref="T35:W35"/>
    <mergeCell ref="B36:B37"/>
    <mergeCell ref="D38:G38"/>
    <mergeCell ref="P56:S56"/>
    <mergeCell ref="L54:O54"/>
    <mergeCell ref="P54:S54"/>
    <mergeCell ref="D45:G45"/>
    <mergeCell ref="H45:K45"/>
    <mergeCell ref="L45:O45"/>
    <mergeCell ref="P45:S45"/>
    <mergeCell ref="T45:W45"/>
    <mergeCell ref="A46:A71"/>
    <mergeCell ref="B46:B51"/>
    <mergeCell ref="D46:G46"/>
    <mergeCell ref="H46:K46"/>
    <mergeCell ref="L46:O46"/>
    <mergeCell ref="P46:S46"/>
    <mergeCell ref="T46:W46"/>
    <mergeCell ref="B53:B58"/>
    <mergeCell ref="D53:G53"/>
    <mergeCell ref="H53:K53"/>
    <mergeCell ref="L53:O53"/>
    <mergeCell ref="P53:S53"/>
    <mergeCell ref="T53:W53"/>
    <mergeCell ref="D54:G54"/>
    <mergeCell ref="H54:K54"/>
    <mergeCell ref="C50:C51"/>
    <mergeCell ref="D58:W58"/>
    <mergeCell ref="T54:W54"/>
    <mergeCell ref="D55:G55"/>
    <mergeCell ref="H55:K55"/>
    <mergeCell ref="L55:O55"/>
    <mergeCell ref="P55:S55"/>
    <mergeCell ref="T55:W55"/>
    <mergeCell ref="T48:W48"/>
    <mergeCell ref="D49:G49"/>
    <mergeCell ref="H49:K49"/>
    <mergeCell ref="L49:O49"/>
    <mergeCell ref="P49:S49"/>
    <mergeCell ref="T49:W49"/>
    <mergeCell ref="D48:G48"/>
    <mergeCell ref="H48:K48"/>
    <mergeCell ref="L48:O48"/>
    <mergeCell ref="P48:S48"/>
    <mergeCell ref="H52:K52"/>
    <mergeCell ref="L52:O52"/>
    <mergeCell ref="P52:S52"/>
    <mergeCell ref="T52:W52"/>
    <mergeCell ref="D56:G56"/>
    <mergeCell ref="H56:K56"/>
    <mergeCell ref="L56:O56"/>
    <mergeCell ref="B60:B65"/>
    <mergeCell ref="T60:W60"/>
    <mergeCell ref="D61:G61"/>
    <mergeCell ref="H61:K61"/>
    <mergeCell ref="L61:O61"/>
    <mergeCell ref="P61:S61"/>
    <mergeCell ref="T63:W63"/>
    <mergeCell ref="B67:B68"/>
    <mergeCell ref="D69:G69"/>
    <mergeCell ref="D64:W64"/>
    <mergeCell ref="D62:G62"/>
    <mergeCell ref="H62:K62"/>
    <mergeCell ref="L62:O62"/>
    <mergeCell ref="P62:S62"/>
    <mergeCell ref="C64:C65"/>
    <mergeCell ref="L66:O66"/>
    <mergeCell ref="P66:S66"/>
    <mergeCell ref="H63:K63"/>
    <mergeCell ref="L63:O63"/>
    <mergeCell ref="P63:S63"/>
    <mergeCell ref="D60:G60"/>
    <mergeCell ref="H60:K60"/>
    <mergeCell ref="L60:O60"/>
    <mergeCell ref="P60:S60"/>
    <mergeCell ref="T61:W61"/>
    <mergeCell ref="T62:W62"/>
    <mergeCell ref="D63:G63"/>
    <mergeCell ref="L88:O88"/>
    <mergeCell ref="P88:S88"/>
    <mergeCell ref="T88:W88"/>
    <mergeCell ref="P85:S85"/>
    <mergeCell ref="T85:W85"/>
    <mergeCell ref="T79:W79"/>
    <mergeCell ref="H79:K79"/>
    <mergeCell ref="D65:W65"/>
    <mergeCell ref="D66:G66"/>
    <mergeCell ref="H66:K66"/>
    <mergeCell ref="T66:W66"/>
    <mergeCell ref="D88:G88"/>
    <mergeCell ref="T81:W81"/>
    <mergeCell ref="D82:G82"/>
    <mergeCell ref="H82:K82"/>
    <mergeCell ref="L82:O82"/>
    <mergeCell ref="L79:O79"/>
    <mergeCell ref="P79:S79"/>
    <mergeCell ref="P81:S81"/>
    <mergeCell ref="H86:K86"/>
    <mergeCell ref="T82:W82"/>
    <mergeCell ref="C70:C71"/>
    <mergeCell ref="D70:W70"/>
    <mergeCell ref="D71:W71"/>
    <mergeCell ref="T72:X72"/>
    <mergeCell ref="T87:W87"/>
    <mergeCell ref="D85:G85"/>
    <mergeCell ref="H85:K85"/>
    <mergeCell ref="L85:O85"/>
    <mergeCell ref="P73:S73"/>
    <mergeCell ref="T73:X73"/>
    <mergeCell ref="X46:X71"/>
    <mergeCell ref="D47:G47"/>
    <mergeCell ref="H47:K47"/>
    <mergeCell ref="L47:O47"/>
    <mergeCell ref="P47:S47"/>
    <mergeCell ref="T47:W47"/>
    <mergeCell ref="D59:G59"/>
    <mergeCell ref="H59:K59"/>
    <mergeCell ref="L59:O59"/>
    <mergeCell ref="P59:S59"/>
    <mergeCell ref="T59:W59"/>
    <mergeCell ref="T56:W56"/>
    <mergeCell ref="C57:C58"/>
    <mergeCell ref="D57:W57"/>
    <mergeCell ref="A74:A75"/>
    <mergeCell ref="B74:C74"/>
    <mergeCell ref="D74:X75"/>
    <mergeCell ref="B75:C75"/>
    <mergeCell ref="D78:G78"/>
    <mergeCell ref="H78:K78"/>
    <mergeCell ref="L78:O78"/>
    <mergeCell ref="P78:S78"/>
    <mergeCell ref="T78:W78"/>
    <mergeCell ref="A72:A73"/>
    <mergeCell ref="B72:C72"/>
    <mergeCell ref="D72:G72"/>
    <mergeCell ref="H72:K72"/>
    <mergeCell ref="L72:O72"/>
    <mergeCell ref="P72:S72"/>
    <mergeCell ref="B73:C73"/>
    <mergeCell ref="D73:G73"/>
    <mergeCell ref="H73:K73"/>
    <mergeCell ref="L73:O73"/>
    <mergeCell ref="X79:X94"/>
    <mergeCell ref="D80:G80"/>
    <mergeCell ref="H80:K80"/>
    <mergeCell ref="L80:O80"/>
    <mergeCell ref="P80:S80"/>
    <mergeCell ref="T80:W80"/>
    <mergeCell ref="D81:G81"/>
    <mergeCell ref="D89:G89"/>
    <mergeCell ref="H89:K89"/>
    <mergeCell ref="H87:K87"/>
    <mergeCell ref="L87:O87"/>
    <mergeCell ref="P87:S87"/>
    <mergeCell ref="H88:K88"/>
    <mergeCell ref="T89:W89"/>
    <mergeCell ref="T93:W93"/>
    <mergeCell ref="D94:G94"/>
    <mergeCell ref="H94:K94"/>
    <mergeCell ref="L94:O94"/>
    <mergeCell ref="P94:S94"/>
    <mergeCell ref="D91:W91"/>
    <mergeCell ref="D92:G92"/>
    <mergeCell ref="H92:K92"/>
    <mergeCell ref="L92:O92"/>
    <mergeCell ref="L89:O89"/>
    <mergeCell ref="P89:S89"/>
    <mergeCell ref="T92:W92"/>
    <mergeCell ref="A97:A98"/>
    <mergeCell ref="B97:C97"/>
    <mergeCell ref="D97:G97"/>
    <mergeCell ref="H97:K97"/>
    <mergeCell ref="L97:O97"/>
    <mergeCell ref="P97:S97"/>
    <mergeCell ref="B98:C98"/>
    <mergeCell ref="D98:G98"/>
    <mergeCell ref="A79:A94"/>
    <mergeCell ref="B86:B91"/>
    <mergeCell ref="D86:G86"/>
    <mergeCell ref="D87:G87"/>
    <mergeCell ref="C83:C84"/>
    <mergeCell ref="T86:W86"/>
    <mergeCell ref="L86:O86"/>
    <mergeCell ref="P86:S86"/>
    <mergeCell ref="H81:K81"/>
    <mergeCell ref="L81:O81"/>
    <mergeCell ref="D79:G79"/>
    <mergeCell ref="D83:W83"/>
    <mergeCell ref="D84:W84"/>
    <mergeCell ref="P82:S82"/>
    <mergeCell ref="B79:B84"/>
    <mergeCell ref="C90:C91"/>
    <mergeCell ref="D90:W90"/>
    <mergeCell ref="D114:G114"/>
    <mergeCell ref="H114:K114"/>
    <mergeCell ref="T112:W112"/>
    <mergeCell ref="P98:S98"/>
    <mergeCell ref="T98:X98"/>
    <mergeCell ref="T94:W94"/>
    <mergeCell ref="T97:X97"/>
    <mergeCell ref="D110:G110"/>
    <mergeCell ref="H98:K98"/>
    <mergeCell ref="L98:O98"/>
    <mergeCell ref="T104:W104"/>
    <mergeCell ref="C108:C109"/>
    <mergeCell ref="B93:B96"/>
    <mergeCell ref="D93:G93"/>
    <mergeCell ref="H93:K93"/>
    <mergeCell ref="L93:O93"/>
    <mergeCell ref="C95:C96"/>
    <mergeCell ref="D95:W95"/>
    <mergeCell ref="D96:W96"/>
    <mergeCell ref="P93:S93"/>
    <mergeCell ref="P92:S92"/>
    <mergeCell ref="A99:A100"/>
    <mergeCell ref="B99:C99"/>
    <mergeCell ref="D99:X100"/>
    <mergeCell ref="B100:C100"/>
    <mergeCell ref="D103:G103"/>
    <mergeCell ref="H103:K103"/>
    <mergeCell ref="L103:O103"/>
    <mergeCell ref="P103:S103"/>
    <mergeCell ref="T103:W103"/>
    <mergeCell ref="C115:C116"/>
    <mergeCell ref="P112:S112"/>
    <mergeCell ref="H113:K113"/>
    <mergeCell ref="D113:G113"/>
    <mergeCell ref="H111:K111"/>
    <mergeCell ref="L111:O111"/>
    <mergeCell ref="C120:C121"/>
    <mergeCell ref="T118:W118"/>
    <mergeCell ref="T117:W117"/>
    <mergeCell ref="T114:W114"/>
    <mergeCell ref="P114:S114"/>
    <mergeCell ref="T111:W111"/>
    <mergeCell ref="L113:O113"/>
    <mergeCell ref="P113:S113"/>
    <mergeCell ref="T113:W113"/>
    <mergeCell ref="L119:O119"/>
    <mergeCell ref="P111:S111"/>
    <mergeCell ref="H107:K107"/>
    <mergeCell ref="D105:G105"/>
    <mergeCell ref="H105:K105"/>
    <mergeCell ref="L112:O112"/>
    <mergeCell ref="P105:S105"/>
    <mergeCell ref="T105:W105"/>
    <mergeCell ref="P110:S110"/>
    <mergeCell ref="T110:W110"/>
    <mergeCell ref="H106:K106"/>
    <mergeCell ref="L106:O106"/>
    <mergeCell ref="L107:O107"/>
    <mergeCell ref="L105:O105"/>
    <mergeCell ref="T106:W106"/>
    <mergeCell ref="T107:W107"/>
    <mergeCell ref="L110:O110"/>
    <mergeCell ref="P106:S106"/>
    <mergeCell ref="P107:S107"/>
    <mergeCell ref="D106:G106"/>
    <mergeCell ref="D108:W108"/>
    <mergeCell ref="D109:W109"/>
    <mergeCell ref="D104:G104"/>
    <mergeCell ref="H104:K104"/>
    <mergeCell ref="L104:O104"/>
    <mergeCell ref="B111:B116"/>
    <mergeCell ref="D111:G111"/>
    <mergeCell ref="A122:A123"/>
    <mergeCell ref="B122:C122"/>
    <mergeCell ref="D122:G122"/>
    <mergeCell ref="H122:K122"/>
    <mergeCell ref="L122:O122"/>
    <mergeCell ref="B123:C123"/>
    <mergeCell ref="D123:G123"/>
    <mergeCell ref="H123:K123"/>
    <mergeCell ref="L123:O123"/>
    <mergeCell ref="H110:K110"/>
    <mergeCell ref="L117:O117"/>
    <mergeCell ref="H118:K118"/>
    <mergeCell ref="L118:O118"/>
    <mergeCell ref="D112:G112"/>
    <mergeCell ref="H112:K112"/>
    <mergeCell ref="B104:B109"/>
    <mergeCell ref="B118:B121"/>
    <mergeCell ref="D118:G118"/>
    <mergeCell ref="D107:G107"/>
    <mergeCell ref="P123:S123"/>
    <mergeCell ref="T123:X123"/>
    <mergeCell ref="T119:W119"/>
    <mergeCell ref="D120:W120"/>
    <mergeCell ref="D121:W121"/>
    <mergeCell ref="P122:S122"/>
    <mergeCell ref="A124:A125"/>
    <mergeCell ref="B124:C124"/>
    <mergeCell ref="D124:X125"/>
    <mergeCell ref="B125:C125"/>
    <mergeCell ref="D119:G119"/>
    <mergeCell ref="H119:K119"/>
    <mergeCell ref="P119:S119"/>
    <mergeCell ref="X104:X119"/>
    <mergeCell ref="P104:S104"/>
    <mergeCell ref="P117:S117"/>
    <mergeCell ref="P118:S118"/>
    <mergeCell ref="T122:X122"/>
    <mergeCell ref="D115:W115"/>
    <mergeCell ref="D116:W116"/>
    <mergeCell ref="D117:G117"/>
    <mergeCell ref="H117:K117"/>
    <mergeCell ref="A104:A119"/>
    <mergeCell ref="L114:O114"/>
    <mergeCell ref="D128:G128"/>
    <mergeCell ref="H128:K128"/>
    <mergeCell ref="L128:O128"/>
    <mergeCell ref="P128:S128"/>
    <mergeCell ref="T128:W128"/>
    <mergeCell ref="A129:A152"/>
    <mergeCell ref="B129:B130"/>
    <mergeCell ref="X129:X152"/>
    <mergeCell ref="D131:G131"/>
    <mergeCell ref="C132:C133"/>
    <mergeCell ref="D132:W132"/>
    <mergeCell ref="D133:W133"/>
    <mergeCell ref="D134:G134"/>
    <mergeCell ref="H134:K134"/>
    <mergeCell ref="L134:O134"/>
    <mergeCell ref="T134:W134"/>
    <mergeCell ref="B135:B136"/>
    <mergeCell ref="D137:G137"/>
    <mergeCell ref="H137:K137"/>
    <mergeCell ref="C138:C139"/>
    <mergeCell ref="D138:W138"/>
    <mergeCell ref="D139:W139"/>
    <mergeCell ref="B141:B144"/>
    <mergeCell ref="J141:K141"/>
    <mergeCell ref="P134:S134"/>
    <mergeCell ref="L141:M141"/>
    <mergeCell ref="N141:O141"/>
    <mergeCell ref="P141:Q141"/>
    <mergeCell ref="R141:S141"/>
    <mergeCell ref="T141:U141"/>
    <mergeCell ref="V141:W141"/>
    <mergeCell ref="D140:G140"/>
    <mergeCell ref="H140:K140"/>
    <mergeCell ref="L140:O140"/>
    <mergeCell ref="P140:S140"/>
    <mergeCell ref="T140:W140"/>
    <mergeCell ref="D141:E141"/>
    <mergeCell ref="F141:G141"/>
    <mergeCell ref="H141:I141"/>
    <mergeCell ref="D142:G142"/>
    <mergeCell ref="H142:K142"/>
    <mergeCell ref="L142:M142"/>
    <mergeCell ref="N142:O142"/>
    <mergeCell ref="T142:U142"/>
    <mergeCell ref="V142:W142"/>
    <mergeCell ref="D143:G143"/>
    <mergeCell ref="H143:K143"/>
    <mergeCell ref="L143:M143"/>
    <mergeCell ref="N143:O143"/>
    <mergeCell ref="P143:Q143"/>
    <mergeCell ref="R143:S143"/>
    <mergeCell ref="T143:U143"/>
    <mergeCell ref="V143:W143"/>
    <mergeCell ref="P142:Q142"/>
    <mergeCell ref="R142:S142"/>
    <mergeCell ref="P144:Q144"/>
    <mergeCell ref="R144:S144"/>
    <mergeCell ref="T144:U144"/>
    <mergeCell ref="L144:O144"/>
    <mergeCell ref="B146:B147"/>
    <mergeCell ref="C146:C147"/>
    <mergeCell ref="D146:W146"/>
    <mergeCell ref="D147:W147"/>
    <mergeCell ref="V144:W144"/>
    <mergeCell ref="D145:G145"/>
    <mergeCell ref="H145:K145"/>
    <mergeCell ref="L145:O145"/>
    <mergeCell ref="P145:Q145"/>
    <mergeCell ref="R145:S145"/>
    <mergeCell ref="T145:U145"/>
    <mergeCell ref="V145:W145"/>
    <mergeCell ref="D144:G144"/>
    <mergeCell ref="H144:K144"/>
    <mergeCell ref="D148:G148"/>
    <mergeCell ref="H148:K148"/>
    <mergeCell ref="L148:O148"/>
    <mergeCell ref="P148:S148"/>
    <mergeCell ref="T148:W148"/>
    <mergeCell ref="B149:B154"/>
    <mergeCell ref="D149:G149"/>
    <mergeCell ref="H149:K149"/>
    <mergeCell ref="L149:O149"/>
    <mergeCell ref="P149:S149"/>
    <mergeCell ref="T149:W149"/>
    <mergeCell ref="D150:G150"/>
    <mergeCell ref="H150:K150"/>
    <mergeCell ref="L150:O150"/>
    <mergeCell ref="P150:S150"/>
    <mergeCell ref="D152:G152"/>
    <mergeCell ref="H152:K152"/>
    <mergeCell ref="L152:O152"/>
    <mergeCell ref="P152:S152"/>
    <mergeCell ref="T152:W152"/>
    <mergeCell ref="C153:C154"/>
    <mergeCell ref="D153:W153"/>
    <mergeCell ref="D154:W154"/>
    <mergeCell ref="T150:W150"/>
    <mergeCell ref="D151:G151"/>
    <mergeCell ref="H151:K151"/>
    <mergeCell ref="L151:O151"/>
    <mergeCell ref="P151:S151"/>
    <mergeCell ref="T151:W151"/>
    <mergeCell ref="A155:A156"/>
    <mergeCell ref="B155:C155"/>
    <mergeCell ref="D155:G155"/>
    <mergeCell ref="H155:K155"/>
    <mergeCell ref="L155:O155"/>
    <mergeCell ref="P155:S155"/>
    <mergeCell ref="T155:X155"/>
    <mergeCell ref="B156:C156"/>
    <mergeCell ref="D156:G156"/>
    <mergeCell ref="H156:K156"/>
    <mergeCell ref="L156:O156"/>
    <mergeCell ref="P156:S156"/>
    <mergeCell ref="T156:X156"/>
    <mergeCell ref="A157:A158"/>
    <mergeCell ref="B157:C157"/>
    <mergeCell ref="D157:X158"/>
    <mergeCell ref="B158:C158"/>
    <mergeCell ref="D161:G161"/>
    <mergeCell ref="H161:K161"/>
    <mergeCell ref="L161:O161"/>
    <mergeCell ref="P161:S161"/>
    <mergeCell ref="T161:W161"/>
    <mergeCell ref="A162:A192"/>
    <mergeCell ref="B162:B167"/>
    <mergeCell ref="D162:G162"/>
    <mergeCell ref="H162:K162"/>
    <mergeCell ref="L162:O162"/>
    <mergeCell ref="P162:S162"/>
    <mergeCell ref="P164:S164"/>
    <mergeCell ref="C166:C167"/>
    <mergeCell ref="D166:W166"/>
    <mergeCell ref="D167:W167"/>
    <mergeCell ref="D174:W174"/>
    <mergeCell ref="D175:G175"/>
    <mergeCell ref="H175:K175"/>
    <mergeCell ref="L175:O175"/>
    <mergeCell ref="P169:S169"/>
    <mergeCell ref="T164:W164"/>
    <mergeCell ref="D165:G165"/>
    <mergeCell ref="H165:K165"/>
    <mergeCell ref="L165:O165"/>
    <mergeCell ref="P165:S165"/>
    <mergeCell ref="D171:G171"/>
    <mergeCell ref="H171:K171"/>
    <mergeCell ref="L171:O171"/>
    <mergeCell ref="P171:S171"/>
    <mergeCell ref="X162:X192"/>
    <mergeCell ref="D163:G163"/>
    <mergeCell ref="H163:K163"/>
    <mergeCell ref="L163:O163"/>
    <mergeCell ref="P163:S163"/>
    <mergeCell ref="T163:W163"/>
    <mergeCell ref="T162:W162"/>
    <mergeCell ref="L164:O164"/>
    <mergeCell ref="D169:G169"/>
    <mergeCell ref="H169:K169"/>
    <mergeCell ref="T170:W170"/>
    <mergeCell ref="D168:G168"/>
    <mergeCell ref="H168:K168"/>
    <mergeCell ref="L168:O168"/>
    <mergeCell ref="P168:S168"/>
    <mergeCell ref="T168:W168"/>
    <mergeCell ref="D173:W173"/>
    <mergeCell ref="L169:O169"/>
    <mergeCell ref="D164:G164"/>
    <mergeCell ref="H164:K164"/>
    <mergeCell ref="D170:G170"/>
    <mergeCell ref="H170:K170"/>
    <mergeCell ref="L170:O170"/>
    <mergeCell ref="P170:S170"/>
    <mergeCell ref="T171:W171"/>
    <mergeCell ref="D172:G172"/>
    <mergeCell ref="H172:K172"/>
    <mergeCell ref="L172:O172"/>
    <mergeCell ref="T165:W165"/>
    <mergeCell ref="T169:W169"/>
    <mergeCell ref="P172:S172"/>
    <mergeCell ref="T172:W172"/>
    <mergeCell ref="B176:B181"/>
    <mergeCell ref="D176:G176"/>
    <mergeCell ref="H176:K176"/>
    <mergeCell ref="L176:O176"/>
    <mergeCell ref="P176:S176"/>
    <mergeCell ref="T176:W176"/>
    <mergeCell ref="D177:G177"/>
    <mergeCell ref="H177:K177"/>
    <mergeCell ref="P175:S175"/>
    <mergeCell ref="T175:W175"/>
    <mergeCell ref="B169:B174"/>
    <mergeCell ref="C173:C174"/>
    <mergeCell ref="T179:W179"/>
    <mergeCell ref="C180:C181"/>
    <mergeCell ref="D180:W180"/>
    <mergeCell ref="D181:W181"/>
    <mergeCell ref="T177:W177"/>
    <mergeCell ref="D178:G178"/>
    <mergeCell ref="H178:K178"/>
    <mergeCell ref="L178:O178"/>
    <mergeCell ref="P178:S178"/>
    <mergeCell ref="T178:W178"/>
    <mergeCell ref="L177:O177"/>
    <mergeCell ref="P177:S177"/>
    <mergeCell ref="D179:G179"/>
    <mergeCell ref="H179:K179"/>
    <mergeCell ref="L179:O179"/>
    <mergeCell ref="P179:S179"/>
    <mergeCell ref="P185:S185"/>
    <mergeCell ref="T185:W185"/>
    <mergeCell ref="D186:G186"/>
    <mergeCell ref="H186:K186"/>
    <mergeCell ref="L186:O186"/>
    <mergeCell ref="P186:S186"/>
    <mergeCell ref="T186:W186"/>
    <mergeCell ref="D182:G182"/>
    <mergeCell ref="H182:K182"/>
    <mergeCell ref="L182:O182"/>
    <mergeCell ref="P182:S182"/>
    <mergeCell ref="T182:W182"/>
    <mergeCell ref="D183:G183"/>
    <mergeCell ref="H183:K183"/>
    <mergeCell ref="L183:O183"/>
    <mergeCell ref="P183:S183"/>
    <mergeCell ref="T183:W183"/>
    <mergeCell ref="D184:G184"/>
    <mergeCell ref="H184:K184"/>
    <mergeCell ref="L184:O184"/>
    <mergeCell ref="P184:S184"/>
    <mergeCell ref="T184:W184"/>
    <mergeCell ref="B183:B188"/>
    <mergeCell ref="N190:O190"/>
    <mergeCell ref="P190:Q190"/>
    <mergeCell ref="R190:S190"/>
    <mergeCell ref="T190:U190"/>
    <mergeCell ref="V190:W190"/>
    <mergeCell ref="C187:C188"/>
    <mergeCell ref="D187:W187"/>
    <mergeCell ref="D188:W188"/>
    <mergeCell ref="D189:G189"/>
    <mergeCell ref="H189:K189"/>
    <mergeCell ref="L189:O189"/>
    <mergeCell ref="P189:S189"/>
    <mergeCell ref="T189:W189"/>
    <mergeCell ref="B190:B192"/>
    <mergeCell ref="D190:E190"/>
    <mergeCell ref="F190:G190"/>
    <mergeCell ref="H190:I190"/>
    <mergeCell ref="J190:K190"/>
    <mergeCell ref="L190:M190"/>
    <mergeCell ref="J191:K191"/>
    <mergeCell ref="D185:G185"/>
    <mergeCell ref="H185:K185"/>
    <mergeCell ref="L185:O185"/>
    <mergeCell ref="C193:C194"/>
    <mergeCell ref="D193:W193"/>
    <mergeCell ref="D194:W194"/>
    <mergeCell ref="N191:O191"/>
    <mergeCell ref="P191:Q191"/>
    <mergeCell ref="R191:S191"/>
    <mergeCell ref="D191:E191"/>
    <mergeCell ref="F191:G191"/>
    <mergeCell ref="H191:I191"/>
    <mergeCell ref="T191:U191"/>
    <mergeCell ref="V191:W191"/>
    <mergeCell ref="D192:G192"/>
    <mergeCell ref="H192:K192"/>
    <mergeCell ref="L192:M192"/>
    <mergeCell ref="N192:O192"/>
    <mergeCell ref="P192:Q192"/>
    <mergeCell ref="L191:M191"/>
    <mergeCell ref="R192:S192"/>
    <mergeCell ref="T192:U192"/>
    <mergeCell ref="V192:W192"/>
    <mergeCell ref="A195:A196"/>
    <mergeCell ref="B195:C195"/>
    <mergeCell ref="D195:G195"/>
    <mergeCell ref="H195:K195"/>
    <mergeCell ref="L195:O195"/>
    <mergeCell ref="P195:S195"/>
    <mergeCell ref="T195:X195"/>
    <mergeCell ref="B196:C196"/>
    <mergeCell ref="D196:G196"/>
    <mergeCell ref="H196:K196"/>
    <mergeCell ref="L196:O196"/>
    <mergeCell ref="P196:S196"/>
    <mergeCell ref="T196:X196"/>
    <mergeCell ref="A197:A198"/>
    <mergeCell ref="B197:C197"/>
    <mergeCell ref="D197:X198"/>
    <mergeCell ref="B198:C198"/>
    <mergeCell ref="D201:G201"/>
    <mergeCell ref="H201:K201"/>
    <mergeCell ref="L201:O201"/>
    <mergeCell ref="P201:S201"/>
    <mergeCell ref="T201:W201"/>
    <mergeCell ref="L202:O202"/>
    <mergeCell ref="P202:S202"/>
    <mergeCell ref="H206:K206"/>
    <mergeCell ref="L206:O206"/>
    <mergeCell ref="P206:S206"/>
    <mergeCell ref="X202:X208"/>
    <mergeCell ref="D205:W205"/>
    <mergeCell ref="D206:G206"/>
    <mergeCell ref="D202:G202"/>
    <mergeCell ref="D203:G203"/>
    <mergeCell ref="H203:K203"/>
    <mergeCell ref="L203:O203"/>
    <mergeCell ref="P203:S203"/>
    <mergeCell ref="T203:W203"/>
    <mergeCell ref="D204:W204"/>
    <mergeCell ref="T202:W202"/>
    <mergeCell ref="H212:K212"/>
    <mergeCell ref="P212:S212"/>
    <mergeCell ref="T206:W206"/>
    <mergeCell ref="P207:S207"/>
    <mergeCell ref="T207:W207"/>
    <mergeCell ref="D208:G208"/>
    <mergeCell ref="H208:K208"/>
    <mergeCell ref="L208:O208"/>
    <mergeCell ref="P208:S208"/>
    <mergeCell ref="T208:W208"/>
    <mergeCell ref="L207:O207"/>
    <mergeCell ref="T212:X212"/>
    <mergeCell ref="A213:A214"/>
    <mergeCell ref="B213:C213"/>
    <mergeCell ref="D213:X214"/>
    <mergeCell ref="B214:C214"/>
    <mergeCell ref="P211:S211"/>
    <mergeCell ref="T211:X211"/>
    <mergeCell ref="B212:C212"/>
    <mergeCell ref="D212:G212"/>
    <mergeCell ref="A202:A208"/>
    <mergeCell ref="B202:B205"/>
    <mergeCell ref="C204:C205"/>
    <mergeCell ref="B207:B210"/>
    <mergeCell ref="D207:G207"/>
    <mergeCell ref="H207:K207"/>
    <mergeCell ref="C209:C210"/>
    <mergeCell ref="D209:W209"/>
    <mergeCell ref="D210:W210"/>
    <mergeCell ref="H202:K202"/>
    <mergeCell ref="A211:A212"/>
    <mergeCell ref="B211:C211"/>
    <mergeCell ref="D211:G211"/>
    <mergeCell ref="H211:K211"/>
    <mergeCell ref="L211:O211"/>
    <mergeCell ref="L212:O212"/>
  </mergeCells>
  <hyperlinks>
    <hyperlink ref="C12" location="Reference!C9" display="★ click here for more guidance"/>
    <hyperlink ref="C13" location="Reference!C9" display="Reference!C9"/>
    <hyperlink ref="C7" location="Reference!C7" display="★ click here for more guidance"/>
    <hyperlink ref="C17" location="Reference!C11" display="★ click here for more guidance"/>
    <hyperlink ref="C18" location="Reference!C11" display="Reference!C11"/>
    <hyperlink ref="C26" location="Reference!C13" display="★ click here for more guidance"/>
    <hyperlink ref="C27" location="Reference!C13" display="Reference!C13"/>
    <hyperlink ref="C33" location="Reference!C15" display="★ click here for more guidance"/>
    <hyperlink ref="C34" location="Reference!C15" display="Reference!C15"/>
    <hyperlink ref="C41" location="Reference!C17" display="★ click here for more guidance"/>
    <hyperlink ref="C42" location="Reference!C17" display="Reference!C17"/>
    <hyperlink ref="C50" location="Reference!C22" display="★ click here for more guidance"/>
    <hyperlink ref="C51" location="Reference!C22" display="Reference!C22"/>
    <hyperlink ref="C57" location="Reference!C24" display="★ click here for more guidance"/>
    <hyperlink ref="C58" location="Reference!C24" display="Reference!C24"/>
    <hyperlink ref="C64" location="Reference!C26" display="★ click here for more guidance"/>
    <hyperlink ref="C65" location="Reference!C26" display="Reference!C26"/>
    <hyperlink ref="C70" location="Reference!C28" display="★ click here for more guidance"/>
    <hyperlink ref="C71" location="Reference!C28" display="Reference!C28"/>
    <hyperlink ref="C83" location="Reference!C33" display="★ click here for more guidance"/>
    <hyperlink ref="C84" location="Reference!C33" display="Reference!C33"/>
    <hyperlink ref="C90" location="Reference!C35" display="★ click here for more guidance"/>
    <hyperlink ref="C91" location="Reference!C35" display="Reference!C35"/>
    <hyperlink ref="C95" location="Reference!C37" display="★ click here for more guidance"/>
    <hyperlink ref="C96" location="Reference!C37" display="Reference!C37"/>
    <hyperlink ref="C108" location="Reference!C39" display="★ click here for more guidance"/>
    <hyperlink ref="C109" location="Reference!C39" display="Reference!C39"/>
    <hyperlink ref="C115" location="Reference!C41" display="★ click here for more guidance"/>
    <hyperlink ref="C116" location="Reference!C41" display="Reference!C41"/>
    <hyperlink ref="C120" location="Reference!C43" display="★ click here for more guidance"/>
    <hyperlink ref="C121" location="Reference!C43" display="Reference!C43"/>
    <hyperlink ref="C132" location="Reference!C45" display="★ click here for more guidance"/>
    <hyperlink ref="C133" location="Reference!C45" display="Reference!C45"/>
    <hyperlink ref="C138" location="Reference!C50" display="★ click here for more guidance"/>
    <hyperlink ref="C139" location="Reference!C50" display="Reference!C50"/>
    <hyperlink ref="C146" location="Reference!C55" display="★ click here for more guidance"/>
    <hyperlink ref="C147" location="Reference!C55" display="Reference!C55"/>
    <hyperlink ref="C153" location="Reference!C58" display="★ click here for more guidance"/>
    <hyperlink ref="C154" location="Reference!C58" display="Reference!C58"/>
    <hyperlink ref="C166" location="Reference!C60" display="★ click here for more guidance"/>
    <hyperlink ref="C167" location="Reference!C60" display="Reference!C60"/>
    <hyperlink ref="C173" location="Reference!C62" display="★ click here for more guidance"/>
    <hyperlink ref="C174" location="Reference!C62" display="Reference!C62"/>
    <hyperlink ref="C180" location="Reference!C64" display="★ click here for more guidance"/>
    <hyperlink ref="C181" location="Reference!C64" display="Reference!C64"/>
    <hyperlink ref="C187" location="Reference!C66" display="★ click here for more guidance"/>
    <hyperlink ref="C188" location="Reference!C66" display="Reference!C66"/>
    <hyperlink ref="C193" location="Reference!C68" display="★ click here for more guidance"/>
    <hyperlink ref="C194" location="Reference!C68" display="Reference!C68"/>
    <hyperlink ref="C204" location="Reference!C71" display="★ click here for more guidance"/>
    <hyperlink ref="C205" location="Reference!C71" display="Reference!C71"/>
    <hyperlink ref="C209" location="Reference!C73" display="★ click here for more guidance"/>
    <hyperlink ref="C210" location="Reference!C73" display="Reference!C73"/>
    <hyperlink ref="C8" location="Reference!C7" display="Reference!C7"/>
  </hyperlinks>
  <pageMargins left="0.79000000000000015" right="0.79000000000000015" top="0.79000000000000015" bottom="0.79000000000000015" header="0.39000000000000007" footer="0.39000000000000007"/>
  <pageSetup paperSize="9" scale="55" fitToHeight="3" orientation="landscape"/>
  <headerFooter>
    <oddFooter>&amp;L&amp;K000000&amp;F&amp;C&amp;K000000&amp;D&amp;R&amp;K000000Page &amp;P</oddFooter>
  </headerFooter>
  <extLst>
    <ext xmlns:mx="http://schemas.microsoft.com/office/mac/excel/2008/main" uri="{64002731-A6B0-56B0-2670-7721B7C09600}">
      <mx:PLV Mode="0" OnePage="0" WScale="0"/>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7" tint="0.39997558519241921"/>
  </sheetPr>
  <dimension ref="A1:AD530"/>
  <sheetViews>
    <sheetView topLeftCell="D94" zoomScale="125" zoomScaleNormal="125" zoomScalePageLayoutView="125" workbookViewId="0">
      <selection activeCell="L92" sqref="L92:O92"/>
    </sheetView>
  </sheetViews>
  <sheetFormatPr defaultColWidth="9.140625" defaultRowHeight="12"/>
  <cols>
    <col min="1" max="1" width="20.85546875" style="138" customWidth="1"/>
    <col min="2" max="2" width="40.85546875" style="31" customWidth="1"/>
    <col min="3" max="3" width="3.28515625" style="31" customWidth="1"/>
    <col min="4" max="4" width="33.28515625" style="138" customWidth="1"/>
    <col min="5" max="5" width="50.85546875" style="165" customWidth="1"/>
    <col min="6" max="6" width="25.85546875" style="138" customWidth="1"/>
    <col min="7" max="8" width="10.85546875" style="121" customWidth="1"/>
    <col min="9" max="9" width="3.28515625" style="121" customWidth="1"/>
    <col min="10" max="14" width="8.28515625" style="121" customWidth="1"/>
    <col min="15" max="15" width="3.28515625" style="121" customWidth="1"/>
    <col min="16" max="16" width="10.85546875" style="121" customWidth="1"/>
    <col min="17" max="18" width="13.28515625" style="121" customWidth="1"/>
    <col min="19" max="19" width="10.85546875" style="121" customWidth="1"/>
    <col min="20" max="16384" width="9.140625" style="121"/>
  </cols>
  <sheetData>
    <row r="1" spans="1:20" s="67" customFormat="1" ht="15.75">
      <c r="A1" s="119" t="str">
        <f>'Guide - wip'!A1</f>
        <v>SAVI Programme</v>
      </c>
      <c r="B1" s="160" t="s">
        <v>847</v>
      </c>
      <c r="C1" s="160"/>
    </row>
    <row r="2" spans="1:20" ht="120" customHeight="1">
      <c r="A2" s="1364" t="s">
        <v>1207</v>
      </c>
      <c r="B2" s="1365"/>
      <c r="C2" s="486"/>
      <c r="D2" s="121"/>
      <c r="E2" s="161"/>
      <c r="F2" s="121"/>
    </row>
    <row r="3" spans="1:20" ht="12.75" thickBot="1">
      <c r="A3" s="121"/>
      <c r="B3" s="121"/>
      <c r="C3" s="121"/>
      <c r="D3" s="121"/>
      <c r="E3" s="161"/>
      <c r="F3" s="121"/>
    </row>
    <row r="4" spans="1:20" s="29" customFormat="1" ht="12.75" thickBot="1">
      <c r="A4" s="162" t="s">
        <v>114</v>
      </c>
      <c r="B4" s="162" t="s">
        <v>113</v>
      </c>
      <c r="C4" s="1366" t="s">
        <v>848</v>
      </c>
      <c r="D4" s="1367"/>
      <c r="E4" s="1367"/>
      <c r="F4" s="1367"/>
      <c r="G4" s="1367"/>
      <c r="H4" s="1368"/>
    </row>
    <row r="5" spans="1:20" s="29" customFormat="1" ht="24.75" thickBot="1">
      <c r="A5" s="162"/>
      <c r="B5" s="162"/>
      <c r="C5" s="487" t="s">
        <v>849</v>
      </c>
      <c r="D5" s="487" t="s">
        <v>573</v>
      </c>
      <c r="E5" s="487" t="s">
        <v>574</v>
      </c>
      <c r="F5" s="487" t="s">
        <v>850</v>
      </c>
      <c r="G5" s="487" t="s">
        <v>911</v>
      </c>
      <c r="H5" s="487" t="s">
        <v>912</v>
      </c>
    </row>
    <row r="6" spans="1:20" ht="12.75" thickBot="1">
      <c r="A6" s="485" t="s">
        <v>27</v>
      </c>
      <c r="B6" s="3" t="s">
        <v>35</v>
      </c>
      <c r="C6" s="3"/>
      <c r="D6" s="163"/>
      <c r="E6" s="163"/>
      <c r="F6" s="163"/>
      <c r="G6" s="163"/>
      <c r="H6" s="525">
        <v>5.0999999999999996</v>
      </c>
      <c r="I6" s="546" t="s">
        <v>913</v>
      </c>
      <c r="J6" s="526" t="s">
        <v>914</v>
      </c>
      <c r="K6" s="526" t="s">
        <v>914</v>
      </c>
      <c r="L6" s="526" t="s">
        <v>914</v>
      </c>
      <c r="M6" s="526" t="s">
        <v>914</v>
      </c>
      <c r="N6" s="526" t="s">
        <v>914</v>
      </c>
      <c r="O6" s="527" t="s">
        <v>916</v>
      </c>
      <c r="P6" s="528" t="s">
        <v>917</v>
      </c>
      <c r="Q6" s="528" t="s">
        <v>915</v>
      </c>
      <c r="R6" s="528" t="s">
        <v>915</v>
      </c>
    </row>
    <row r="7" spans="1:20" ht="72.75" thickBot="1">
      <c r="A7" s="868" t="str">
        <f>'LF for 2014 AR'!A234</f>
        <v>Other development partners take a more sustainable and replicable approach to strengthening voice and accountability.</v>
      </c>
      <c r="B7" s="488" t="str">
        <f>'LF for 2014 AR'!B234</f>
        <v>Cumulative number of other development partners (individuals) accessing and taking-up relevant and useful lessons learnt by SAVI and its local partners.</v>
      </c>
      <c r="C7" s="541">
        <v>1</v>
      </c>
      <c r="D7" s="830" t="s">
        <v>1213</v>
      </c>
      <c r="E7" s="832" t="s">
        <v>1516</v>
      </c>
      <c r="F7" s="831" t="s">
        <v>852</v>
      </c>
      <c r="G7" s="833">
        <v>2008</v>
      </c>
      <c r="H7" s="833" t="s">
        <v>922</v>
      </c>
      <c r="I7" s="546">
        <v>2008</v>
      </c>
      <c r="O7" s="546" t="s">
        <v>918</v>
      </c>
      <c r="P7" s="548" t="s">
        <v>947</v>
      </c>
      <c r="Q7" s="547" t="s">
        <v>857</v>
      </c>
      <c r="R7" s="547" t="s">
        <v>858</v>
      </c>
    </row>
    <row r="8" spans="1:20" ht="60">
      <c r="A8" s="885"/>
      <c r="B8" s="497" t="s">
        <v>857</v>
      </c>
      <c r="C8" s="542">
        <v>2</v>
      </c>
      <c r="D8" s="830" t="s">
        <v>1211</v>
      </c>
      <c r="E8" s="832" t="s">
        <v>1214</v>
      </c>
      <c r="F8" s="831" t="s">
        <v>854</v>
      </c>
      <c r="G8" s="833">
        <v>2009</v>
      </c>
      <c r="H8" s="833" t="s">
        <v>922</v>
      </c>
      <c r="I8" s="546">
        <v>2009</v>
      </c>
      <c r="O8" s="527" t="s">
        <v>921</v>
      </c>
      <c r="P8" s="545" t="s">
        <v>919</v>
      </c>
      <c r="Q8" s="530">
        <f>Q9+COUNTIF(H$7:H$56,"aware")</f>
        <v>42</v>
      </c>
      <c r="R8" s="530">
        <f>R9+COUNTIF(H$57:H$106,"aware")</f>
        <v>42</v>
      </c>
      <c r="S8" s="1362" t="s">
        <v>948</v>
      </c>
      <c r="T8" s="1363"/>
    </row>
    <row r="9" spans="1:20" ht="144">
      <c r="A9" s="885"/>
      <c r="B9" s="491"/>
      <c r="C9" s="542">
        <v>3</v>
      </c>
      <c r="D9" s="830" t="s">
        <v>1212</v>
      </c>
      <c r="E9" s="832" t="s">
        <v>1513</v>
      </c>
      <c r="F9" s="831" t="s">
        <v>854</v>
      </c>
      <c r="G9" s="833">
        <v>2009</v>
      </c>
      <c r="H9" s="833" t="s">
        <v>922</v>
      </c>
      <c r="I9" s="546">
        <v>2010</v>
      </c>
      <c r="O9" s="527" t="s">
        <v>920</v>
      </c>
      <c r="P9" s="531" t="s">
        <v>934</v>
      </c>
      <c r="Q9" s="532">
        <f>Q10+COUNTIF(H$7:H$56,"interested")</f>
        <v>42</v>
      </c>
      <c r="R9" s="532">
        <f>R10+COUNTIF(H$57:H$106,"interested")</f>
        <v>42</v>
      </c>
      <c r="S9" s="1362"/>
      <c r="T9" s="1363"/>
    </row>
    <row r="10" spans="1:20" ht="144">
      <c r="A10" s="885"/>
      <c r="B10" s="491"/>
      <c r="C10" s="542">
        <v>4</v>
      </c>
      <c r="D10" s="830" t="s">
        <v>1498</v>
      </c>
      <c r="E10" s="832" t="s">
        <v>1512</v>
      </c>
      <c r="F10" s="831" t="s">
        <v>854</v>
      </c>
      <c r="G10" s="833">
        <v>2009</v>
      </c>
      <c r="H10" s="833" t="s">
        <v>922</v>
      </c>
      <c r="I10" s="546">
        <v>2011</v>
      </c>
      <c r="O10" s="527" t="s">
        <v>923</v>
      </c>
      <c r="P10" s="531" t="s">
        <v>935</v>
      </c>
      <c r="Q10" s="532">
        <f>Q11+COUNTIF(H$7:H$56,"participating")</f>
        <v>31</v>
      </c>
      <c r="R10" s="532">
        <f>R11+COUNTIF(H$57:H$106,"participating")</f>
        <v>22</v>
      </c>
      <c r="S10" s="1362"/>
      <c r="T10" s="1363"/>
    </row>
    <row r="11" spans="1:20" ht="96">
      <c r="A11" s="885"/>
      <c r="B11" s="491"/>
      <c r="C11" s="542">
        <v>5</v>
      </c>
      <c r="D11" s="830" t="s">
        <v>1216</v>
      </c>
      <c r="E11" s="832" t="s">
        <v>1215</v>
      </c>
      <c r="F11" s="831" t="s">
        <v>854</v>
      </c>
      <c r="G11" s="833">
        <v>2010</v>
      </c>
      <c r="H11" s="833" t="s">
        <v>920</v>
      </c>
      <c r="I11" s="546">
        <v>2012</v>
      </c>
      <c r="O11" s="527" t="s">
        <v>922</v>
      </c>
      <c r="P11" s="531" t="s">
        <v>936</v>
      </c>
      <c r="Q11" s="532">
        <f>Q12+COUNTIF(H$7:H$56,"planning")</f>
        <v>22</v>
      </c>
      <c r="R11" s="532">
        <f>R12+COUNTIF(H$57:H$106,"planning")</f>
        <v>10</v>
      </c>
      <c r="S11" s="1362"/>
      <c r="T11" s="1363"/>
    </row>
    <row r="12" spans="1:20" ht="84.75" thickBot="1">
      <c r="A12" s="885"/>
      <c r="B12" s="491"/>
      <c r="C12" s="542">
        <v>6</v>
      </c>
      <c r="D12" s="830" t="s">
        <v>870</v>
      </c>
      <c r="E12" s="832" t="s">
        <v>871</v>
      </c>
      <c r="F12" s="831" t="s">
        <v>854</v>
      </c>
      <c r="G12" s="833">
        <v>2010</v>
      </c>
      <c r="H12" s="833" t="s">
        <v>920</v>
      </c>
      <c r="I12" s="546">
        <v>2013</v>
      </c>
      <c r="O12" s="535"/>
      <c r="P12" s="533" t="s">
        <v>937</v>
      </c>
      <c r="Q12" s="534">
        <f>COUNTIF(H$7:H$56,"attempting")</f>
        <v>15</v>
      </c>
      <c r="R12" s="534">
        <f>COUNTIF(H$57:H$106,"attempting")</f>
        <v>6</v>
      </c>
      <c r="S12" s="1362"/>
      <c r="T12" s="1363"/>
    </row>
    <row r="13" spans="1:20" ht="48">
      <c r="A13" s="885"/>
      <c r="B13" s="491"/>
      <c r="C13" s="542">
        <v>7</v>
      </c>
      <c r="D13" s="830" t="s">
        <v>1217</v>
      </c>
      <c r="E13" s="832" t="s">
        <v>872</v>
      </c>
      <c r="F13" s="831" t="s">
        <v>854</v>
      </c>
      <c r="G13" s="833">
        <v>2010</v>
      </c>
      <c r="H13" s="833" t="s">
        <v>922</v>
      </c>
      <c r="I13" s="546">
        <v>2014</v>
      </c>
      <c r="O13" s="535"/>
    </row>
    <row r="14" spans="1:20" ht="84">
      <c r="A14" s="885"/>
      <c r="B14" s="491"/>
      <c r="C14" s="542">
        <v>8</v>
      </c>
      <c r="D14" s="830" t="s">
        <v>1218</v>
      </c>
      <c r="E14" s="832" t="s">
        <v>1220</v>
      </c>
      <c r="F14" s="831" t="s">
        <v>854</v>
      </c>
      <c r="G14" s="833">
        <v>2011</v>
      </c>
      <c r="H14" s="833" t="s">
        <v>922</v>
      </c>
      <c r="I14" s="546">
        <v>2015</v>
      </c>
      <c r="O14" s="535"/>
    </row>
    <row r="15" spans="1:20" ht="36">
      <c r="A15" s="885"/>
      <c r="B15" s="491"/>
      <c r="C15" s="542">
        <v>9</v>
      </c>
      <c r="D15" s="830" t="s">
        <v>874</v>
      </c>
      <c r="E15" s="832" t="s">
        <v>1219</v>
      </c>
      <c r="F15" s="831" t="s">
        <v>854</v>
      </c>
      <c r="G15" s="833">
        <v>2011</v>
      </c>
      <c r="H15" s="833" t="s">
        <v>920</v>
      </c>
      <c r="I15" s="546">
        <v>2016</v>
      </c>
      <c r="O15" s="535"/>
    </row>
    <row r="16" spans="1:20" ht="48">
      <c r="A16" s="885"/>
      <c r="B16" s="491"/>
      <c r="C16" s="542">
        <v>10</v>
      </c>
      <c r="D16" s="830" t="s">
        <v>1226</v>
      </c>
      <c r="E16" s="832" t="s">
        <v>875</v>
      </c>
      <c r="F16" s="831" t="s">
        <v>854</v>
      </c>
      <c r="G16" s="833">
        <v>2011</v>
      </c>
      <c r="H16" s="833" t="s">
        <v>920</v>
      </c>
      <c r="I16" s="546"/>
      <c r="O16" s="535"/>
    </row>
    <row r="17" spans="1:15" ht="24">
      <c r="A17" s="885"/>
      <c r="B17" s="491"/>
      <c r="C17" s="542">
        <v>11</v>
      </c>
      <c r="D17" s="834" t="s">
        <v>1222</v>
      </c>
      <c r="E17" s="835" t="s">
        <v>1221</v>
      </c>
      <c r="F17" s="835" t="s">
        <v>854</v>
      </c>
      <c r="G17" s="838">
        <v>2012</v>
      </c>
      <c r="H17" s="838" t="s">
        <v>921</v>
      </c>
      <c r="O17" s="535"/>
    </row>
    <row r="18" spans="1:15" ht="48">
      <c r="A18" s="885"/>
      <c r="B18" s="491"/>
      <c r="C18" s="542">
        <v>12</v>
      </c>
      <c r="D18" s="834" t="s">
        <v>1223</v>
      </c>
      <c r="E18" s="835" t="s">
        <v>1221</v>
      </c>
      <c r="F18" s="835" t="s">
        <v>854</v>
      </c>
      <c r="G18" s="838">
        <v>2012</v>
      </c>
      <c r="H18" s="838" t="s">
        <v>921</v>
      </c>
      <c r="O18" s="535"/>
    </row>
    <row r="19" spans="1:15" ht="132">
      <c r="A19" s="885"/>
      <c r="B19" s="491"/>
      <c r="C19" s="542">
        <v>13</v>
      </c>
      <c r="D19" s="830" t="s">
        <v>1224</v>
      </c>
      <c r="E19" s="832" t="s">
        <v>1225</v>
      </c>
      <c r="F19" s="831" t="s">
        <v>854</v>
      </c>
      <c r="G19" s="833">
        <v>2012</v>
      </c>
      <c r="H19" s="833" t="s">
        <v>922</v>
      </c>
      <c r="O19" s="535"/>
    </row>
    <row r="20" spans="1:15" ht="60">
      <c r="A20" s="885"/>
      <c r="B20" s="491"/>
      <c r="C20" s="542">
        <v>14</v>
      </c>
      <c r="D20" s="830" t="s">
        <v>1227</v>
      </c>
      <c r="E20" s="832" t="s">
        <v>1228</v>
      </c>
      <c r="F20" s="831" t="s">
        <v>854</v>
      </c>
      <c r="G20" s="833">
        <v>2012</v>
      </c>
      <c r="H20" s="833" t="s">
        <v>920</v>
      </c>
      <c r="O20" s="535"/>
    </row>
    <row r="21" spans="1:15" ht="192">
      <c r="A21" s="885"/>
      <c r="B21" s="491"/>
      <c r="C21" s="542">
        <v>15</v>
      </c>
      <c r="D21" s="830" t="s">
        <v>1257</v>
      </c>
      <c r="E21" s="832" t="s">
        <v>1258</v>
      </c>
      <c r="F21" s="831" t="s">
        <v>854</v>
      </c>
      <c r="G21" s="833">
        <v>2013</v>
      </c>
      <c r="H21" s="833" t="s">
        <v>923</v>
      </c>
      <c r="O21" s="535"/>
    </row>
    <row r="22" spans="1:15" ht="108">
      <c r="A22" s="885"/>
      <c r="B22" s="491"/>
      <c r="C22" s="542">
        <v>16</v>
      </c>
      <c r="D22" s="830" t="s">
        <v>1229</v>
      </c>
      <c r="E22" s="832" t="s">
        <v>1230</v>
      </c>
      <c r="F22" s="831" t="s">
        <v>854</v>
      </c>
      <c r="G22" s="833">
        <v>2013</v>
      </c>
      <c r="H22" s="833" t="s">
        <v>922</v>
      </c>
      <c r="O22" s="535"/>
    </row>
    <row r="23" spans="1:15" ht="60">
      <c r="A23" s="885"/>
      <c r="B23" s="491"/>
      <c r="C23" s="542">
        <v>17</v>
      </c>
      <c r="D23" s="834" t="s">
        <v>1231</v>
      </c>
      <c r="E23" s="835" t="s">
        <v>1221</v>
      </c>
      <c r="F23" s="835" t="s">
        <v>854</v>
      </c>
      <c r="G23" s="838">
        <v>2013</v>
      </c>
      <c r="H23" s="838" t="s">
        <v>921</v>
      </c>
      <c r="O23" s="535"/>
    </row>
    <row r="24" spans="1:15" ht="60">
      <c r="A24" s="885"/>
      <c r="B24" s="491"/>
      <c r="C24" s="542">
        <v>18</v>
      </c>
      <c r="D24" s="830" t="s">
        <v>1232</v>
      </c>
      <c r="E24" s="832" t="s">
        <v>1233</v>
      </c>
      <c r="F24" s="831" t="s">
        <v>854</v>
      </c>
      <c r="G24" s="833">
        <v>2013</v>
      </c>
      <c r="H24" s="833" t="s">
        <v>920</v>
      </c>
      <c r="O24" s="535"/>
    </row>
    <row r="25" spans="1:15" ht="216">
      <c r="A25" s="885"/>
      <c r="B25" s="491"/>
      <c r="C25" s="542">
        <v>19</v>
      </c>
      <c r="D25" s="830" t="s">
        <v>1262</v>
      </c>
      <c r="E25" s="832" t="s">
        <v>1263</v>
      </c>
      <c r="F25" s="831" t="s">
        <v>854</v>
      </c>
      <c r="G25" s="833">
        <v>2013</v>
      </c>
      <c r="H25" s="833" t="s">
        <v>923</v>
      </c>
      <c r="O25" s="535"/>
    </row>
    <row r="26" spans="1:15" ht="192">
      <c r="A26" s="885"/>
      <c r="B26" s="491"/>
      <c r="C26" s="542">
        <v>20</v>
      </c>
      <c r="D26" s="830" t="s">
        <v>1234</v>
      </c>
      <c r="E26" s="832" t="s">
        <v>1235</v>
      </c>
      <c r="F26" s="831" t="s">
        <v>854</v>
      </c>
      <c r="G26" s="833">
        <v>2013</v>
      </c>
      <c r="H26" s="833" t="s">
        <v>923</v>
      </c>
      <c r="O26" s="535"/>
    </row>
    <row r="27" spans="1:15" ht="48">
      <c r="A27" s="885"/>
      <c r="B27" s="491"/>
      <c r="C27" s="542">
        <v>21</v>
      </c>
      <c r="D27" s="831" t="s">
        <v>876</v>
      </c>
      <c r="E27" s="832" t="s">
        <v>1236</v>
      </c>
      <c r="F27" s="831" t="s">
        <v>854</v>
      </c>
      <c r="G27" s="833">
        <v>2013</v>
      </c>
      <c r="H27" s="833" t="s">
        <v>921</v>
      </c>
    </row>
    <row r="28" spans="1:15" ht="96">
      <c r="A28" s="885"/>
      <c r="B28" s="491"/>
      <c r="C28" s="542">
        <v>22</v>
      </c>
      <c r="D28" s="830" t="s">
        <v>1247</v>
      </c>
      <c r="E28" s="832" t="s">
        <v>1237</v>
      </c>
      <c r="F28" s="831" t="s">
        <v>854</v>
      </c>
      <c r="G28" s="833">
        <v>2013</v>
      </c>
      <c r="H28" s="833" t="s">
        <v>922</v>
      </c>
    </row>
    <row r="29" spans="1:15" ht="60">
      <c r="A29" s="885"/>
      <c r="B29" s="491"/>
      <c r="C29" s="542">
        <v>23</v>
      </c>
      <c r="D29" s="836" t="s">
        <v>1238</v>
      </c>
      <c r="E29" s="837" t="s">
        <v>1239</v>
      </c>
      <c r="F29" s="835" t="s">
        <v>854</v>
      </c>
      <c r="G29" s="838">
        <v>2013</v>
      </c>
      <c r="H29" s="838" t="s">
        <v>920</v>
      </c>
    </row>
    <row r="30" spans="1:15" ht="24">
      <c r="A30" s="885"/>
      <c r="B30" s="491"/>
      <c r="C30" s="542">
        <v>24</v>
      </c>
      <c r="D30" s="836" t="s">
        <v>1240</v>
      </c>
      <c r="E30" s="835" t="s">
        <v>873</v>
      </c>
      <c r="F30" s="835" t="s">
        <v>854</v>
      </c>
      <c r="G30" s="838">
        <v>2013</v>
      </c>
      <c r="H30" s="838" t="s">
        <v>921</v>
      </c>
    </row>
    <row r="31" spans="1:15" ht="36">
      <c r="A31" s="885"/>
      <c r="B31" s="491"/>
      <c r="C31" s="542">
        <v>25</v>
      </c>
      <c r="D31" s="834" t="s">
        <v>1241</v>
      </c>
      <c r="E31" s="835" t="s">
        <v>873</v>
      </c>
      <c r="F31" s="835" t="s">
        <v>854</v>
      </c>
      <c r="G31" s="838">
        <v>2013</v>
      </c>
      <c r="H31" s="838" t="s">
        <v>921</v>
      </c>
    </row>
    <row r="32" spans="1:15" ht="120">
      <c r="A32" s="885"/>
      <c r="B32" s="491"/>
      <c r="C32" s="542">
        <v>26</v>
      </c>
      <c r="D32" s="830" t="s">
        <v>1242</v>
      </c>
      <c r="E32" s="832" t="s">
        <v>1243</v>
      </c>
      <c r="F32" s="831" t="s">
        <v>1004</v>
      </c>
      <c r="G32" s="833">
        <v>2013</v>
      </c>
      <c r="H32" s="833" t="s">
        <v>922</v>
      </c>
    </row>
    <row r="33" spans="1:8" ht="84">
      <c r="A33" s="885"/>
      <c r="B33" s="491"/>
      <c r="C33" s="542">
        <v>27</v>
      </c>
      <c r="D33" s="830" t="s">
        <v>1244</v>
      </c>
      <c r="E33" s="832" t="s">
        <v>1245</v>
      </c>
      <c r="F33" s="831" t="s">
        <v>854</v>
      </c>
      <c r="G33" s="833">
        <v>2013</v>
      </c>
      <c r="H33" s="833" t="s">
        <v>922</v>
      </c>
    </row>
    <row r="34" spans="1:8" ht="156">
      <c r="A34" s="885"/>
      <c r="B34" s="491"/>
      <c r="C34" s="542">
        <v>28</v>
      </c>
      <c r="D34" s="830" t="s">
        <v>1523</v>
      </c>
      <c r="E34" s="832" t="s">
        <v>1246</v>
      </c>
      <c r="F34" s="831" t="s">
        <v>854</v>
      </c>
      <c r="G34" s="833">
        <v>2013</v>
      </c>
      <c r="H34" s="833" t="s">
        <v>922</v>
      </c>
    </row>
    <row r="35" spans="1:8" ht="264">
      <c r="A35" s="885"/>
      <c r="B35" s="491"/>
      <c r="C35" s="542">
        <v>29</v>
      </c>
      <c r="D35" s="830" t="s">
        <v>1525</v>
      </c>
      <c r="E35" s="832" t="s">
        <v>1526</v>
      </c>
      <c r="F35" s="831" t="s">
        <v>854</v>
      </c>
      <c r="G35" s="833">
        <v>2013</v>
      </c>
      <c r="H35" s="833" t="s">
        <v>923</v>
      </c>
    </row>
    <row r="36" spans="1:8" ht="132">
      <c r="A36" s="885"/>
      <c r="B36" s="491"/>
      <c r="C36" s="542">
        <v>30</v>
      </c>
      <c r="D36" s="834" t="s">
        <v>1249</v>
      </c>
      <c r="E36" s="835" t="s">
        <v>1251</v>
      </c>
      <c r="F36" s="835" t="s">
        <v>854</v>
      </c>
      <c r="G36" s="838">
        <v>2014</v>
      </c>
      <c r="H36" s="838" t="s">
        <v>923</v>
      </c>
    </row>
    <row r="37" spans="1:8" ht="48">
      <c r="A37" s="885"/>
      <c r="B37" s="491"/>
      <c r="C37" s="542">
        <v>31</v>
      </c>
      <c r="D37" s="834" t="s">
        <v>1248</v>
      </c>
      <c r="E37" s="835" t="s">
        <v>1252</v>
      </c>
      <c r="F37" s="835" t="s">
        <v>854</v>
      </c>
      <c r="G37" s="838">
        <v>2014</v>
      </c>
      <c r="H37" s="838" t="s">
        <v>921</v>
      </c>
    </row>
    <row r="38" spans="1:8" ht="108">
      <c r="A38" s="885"/>
      <c r="B38" s="491"/>
      <c r="C38" s="542">
        <v>32</v>
      </c>
      <c r="D38" s="835" t="s">
        <v>1250</v>
      </c>
      <c r="E38" s="835" t="s">
        <v>1253</v>
      </c>
      <c r="F38" s="835" t="s">
        <v>854</v>
      </c>
      <c r="G38" s="838">
        <v>2014</v>
      </c>
      <c r="H38" s="838" t="s">
        <v>921</v>
      </c>
    </row>
    <row r="39" spans="1:8" ht="300">
      <c r="A39" s="885"/>
      <c r="B39" s="491"/>
      <c r="C39" s="542">
        <v>33</v>
      </c>
      <c r="D39" s="830" t="s">
        <v>1254</v>
      </c>
      <c r="E39" s="831" t="s">
        <v>1255</v>
      </c>
      <c r="F39" s="831" t="s">
        <v>1208</v>
      </c>
      <c r="G39" s="833">
        <v>2014</v>
      </c>
      <c r="H39" s="833" t="s">
        <v>922</v>
      </c>
    </row>
    <row r="40" spans="1:8" ht="24">
      <c r="A40" s="885"/>
      <c r="B40" s="491"/>
      <c r="C40" s="542">
        <v>34</v>
      </c>
      <c r="D40" s="834" t="s">
        <v>1259</v>
      </c>
      <c r="E40" s="835" t="s">
        <v>950</v>
      </c>
      <c r="F40" s="835" t="s">
        <v>854</v>
      </c>
      <c r="G40" s="838">
        <v>2014</v>
      </c>
      <c r="H40" s="838" t="s">
        <v>921</v>
      </c>
    </row>
    <row r="41" spans="1:8" ht="108">
      <c r="A41" s="885"/>
      <c r="B41" s="491"/>
      <c r="C41" s="542">
        <v>35</v>
      </c>
      <c r="D41" s="834" t="s">
        <v>951</v>
      </c>
      <c r="E41" s="835" t="s">
        <v>1527</v>
      </c>
      <c r="F41" s="835" t="s">
        <v>854</v>
      </c>
      <c r="G41" s="838">
        <v>2014</v>
      </c>
      <c r="H41" s="838" t="s">
        <v>921</v>
      </c>
    </row>
    <row r="42" spans="1:8" ht="252">
      <c r="A42" s="885"/>
      <c r="B42" s="491"/>
      <c r="C42" s="542">
        <v>36</v>
      </c>
      <c r="D42" s="830" t="s">
        <v>1256</v>
      </c>
      <c r="E42" s="831" t="s">
        <v>1495</v>
      </c>
      <c r="F42" s="831" t="s">
        <v>1209</v>
      </c>
      <c r="G42" s="833">
        <v>2014</v>
      </c>
      <c r="H42" s="833" t="s">
        <v>923</v>
      </c>
    </row>
    <row r="43" spans="1:8" ht="84">
      <c r="A43" s="885"/>
      <c r="B43" s="491"/>
      <c r="C43" s="542">
        <v>37</v>
      </c>
      <c r="D43" s="830" t="s">
        <v>952</v>
      </c>
      <c r="E43" s="831" t="s">
        <v>953</v>
      </c>
      <c r="F43" s="831" t="s">
        <v>854</v>
      </c>
      <c r="G43" s="833">
        <v>2013</v>
      </c>
      <c r="H43" s="833" t="s">
        <v>920</v>
      </c>
    </row>
    <row r="44" spans="1:8" ht="204">
      <c r="A44" s="885"/>
      <c r="B44" s="491"/>
      <c r="C44" s="542">
        <v>38</v>
      </c>
      <c r="D44" s="839" t="s">
        <v>1260</v>
      </c>
      <c r="E44" s="831" t="s">
        <v>1528</v>
      </c>
      <c r="F44" s="831" t="s">
        <v>854</v>
      </c>
      <c r="G44" s="833">
        <v>2014</v>
      </c>
      <c r="H44" s="833" t="s">
        <v>923</v>
      </c>
    </row>
    <row r="45" spans="1:8" ht="252">
      <c r="A45" s="885"/>
      <c r="B45" s="491"/>
      <c r="C45" s="542">
        <v>39</v>
      </c>
      <c r="D45" s="830" t="s">
        <v>1261</v>
      </c>
      <c r="E45" s="831" t="s">
        <v>1529</v>
      </c>
      <c r="F45" s="831" t="s">
        <v>854</v>
      </c>
      <c r="G45" s="833">
        <v>2014</v>
      </c>
      <c r="H45" s="833" t="s">
        <v>920</v>
      </c>
    </row>
    <row r="46" spans="1:8" ht="132">
      <c r="A46" s="885"/>
      <c r="B46" s="491"/>
      <c r="C46" s="542">
        <v>40</v>
      </c>
      <c r="D46" s="830" t="s">
        <v>1537</v>
      </c>
      <c r="E46" s="831" t="s">
        <v>1265</v>
      </c>
      <c r="F46" s="831" t="s">
        <v>854</v>
      </c>
      <c r="G46" s="833">
        <v>2014</v>
      </c>
      <c r="H46" s="833" t="s">
        <v>922</v>
      </c>
    </row>
    <row r="47" spans="1:8" ht="36">
      <c r="A47" s="885"/>
      <c r="B47" s="491"/>
      <c r="C47" s="542">
        <v>41</v>
      </c>
      <c r="D47" s="834" t="s">
        <v>1266</v>
      </c>
      <c r="E47" s="835" t="s">
        <v>748</v>
      </c>
      <c r="F47" s="835" t="s">
        <v>854</v>
      </c>
      <c r="G47" s="838" t="s">
        <v>913</v>
      </c>
      <c r="H47" s="838" t="s">
        <v>916</v>
      </c>
    </row>
    <row r="48" spans="1:8" ht="60">
      <c r="A48" s="885"/>
      <c r="B48" s="491"/>
      <c r="C48" s="542">
        <v>42</v>
      </c>
      <c r="D48" s="834" t="s">
        <v>1264</v>
      </c>
      <c r="E48" s="835" t="s">
        <v>1540</v>
      </c>
      <c r="F48" s="835" t="s">
        <v>854</v>
      </c>
      <c r="G48" s="838" t="s">
        <v>913</v>
      </c>
      <c r="H48" s="838" t="s">
        <v>916</v>
      </c>
    </row>
    <row r="49" spans="1:8" ht="144">
      <c r="A49" s="885"/>
      <c r="B49" s="491"/>
      <c r="C49" s="542">
        <v>43</v>
      </c>
      <c r="D49" s="830" t="s">
        <v>1538</v>
      </c>
      <c r="E49" s="831" t="s">
        <v>1539</v>
      </c>
      <c r="F49" s="831" t="s">
        <v>854</v>
      </c>
      <c r="G49" s="833">
        <v>2015</v>
      </c>
      <c r="H49" s="833" t="s">
        <v>922</v>
      </c>
    </row>
    <row r="50" spans="1:8" ht="96">
      <c r="A50" s="885"/>
      <c r="B50" s="491"/>
      <c r="C50" s="542">
        <v>44</v>
      </c>
      <c r="D50" s="830" t="s">
        <v>1521</v>
      </c>
      <c r="E50" s="831" t="s">
        <v>1520</v>
      </c>
      <c r="F50" s="831" t="s">
        <v>854</v>
      </c>
      <c r="G50" s="833">
        <v>2015</v>
      </c>
      <c r="H50" s="833" t="s">
        <v>921</v>
      </c>
    </row>
    <row r="51" spans="1:8" ht="96">
      <c r="A51" s="885"/>
      <c r="B51" s="491"/>
      <c r="C51" s="542">
        <v>45</v>
      </c>
      <c r="D51" s="834" t="s">
        <v>1541</v>
      </c>
      <c r="E51" s="835" t="s">
        <v>1524</v>
      </c>
      <c r="F51" s="835" t="s">
        <v>854</v>
      </c>
      <c r="G51" s="838" t="s">
        <v>913</v>
      </c>
      <c r="H51" s="838" t="s">
        <v>916</v>
      </c>
    </row>
    <row r="52" spans="1:8" ht="24">
      <c r="A52" s="885"/>
      <c r="B52" s="491"/>
      <c r="C52" s="542">
        <v>46</v>
      </c>
      <c r="D52" s="830" t="s">
        <v>851</v>
      </c>
      <c r="E52" s="831" t="s">
        <v>853</v>
      </c>
      <c r="F52" s="831" t="s">
        <v>854</v>
      </c>
      <c r="G52" s="833" t="s">
        <v>913</v>
      </c>
      <c r="H52" s="833" t="s">
        <v>916</v>
      </c>
    </row>
    <row r="53" spans="1:8" ht="24">
      <c r="A53" s="885"/>
      <c r="B53" s="491"/>
      <c r="C53" s="542">
        <v>47</v>
      </c>
      <c r="D53" s="830" t="s">
        <v>851</v>
      </c>
      <c r="E53" s="831" t="s">
        <v>853</v>
      </c>
      <c r="F53" s="831" t="s">
        <v>854</v>
      </c>
      <c r="G53" s="833" t="s">
        <v>913</v>
      </c>
      <c r="H53" s="833" t="s">
        <v>916</v>
      </c>
    </row>
    <row r="54" spans="1:8" ht="24">
      <c r="A54" s="885"/>
      <c r="B54" s="491"/>
      <c r="C54" s="542">
        <v>48</v>
      </c>
      <c r="D54" s="830" t="s">
        <v>851</v>
      </c>
      <c r="E54" s="831" t="s">
        <v>853</v>
      </c>
      <c r="F54" s="831" t="s">
        <v>854</v>
      </c>
      <c r="G54" s="833" t="s">
        <v>913</v>
      </c>
      <c r="H54" s="833" t="s">
        <v>916</v>
      </c>
    </row>
    <row r="55" spans="1:8" ht="24">
      <c r="A55" s="885"/>
      <c r="B55" s="491"/>
      <c r="C55" s="542">
        <v>49</v>
      </c>
      <c r="D55" s="830" t="s">
        <v>851</v>
      </c>
      <c r="E55" s="831" t="s">
        <v>853</v>
      </c>
      <c r="F55" s="831" t="s">
        <v>854</v>
      </c>
      <c r="G55" s="833" t="s">
        <v>913</v>
      </c>
      <c r="H55" s="833" t="s">
        <v>916</v>
      </c>
    </row>
    <row r="56" spans="1:8" ht="24.75" thickBot="1">
      <c r="A56" s="885"/>
      <c r="B56" s="489"/>
      <c r="C56" s="543">
        <v>50</v>
      </c>
      <c r="D56" s="840" t="s">
        <v>851</v>
      </c>
      <c r="E56" s="841" t="s">
        <v>853</v>
      </c>
      <c r="F56" s="841" t="s">
        <v>854</v>
      </c>
      <c r="G56" s="842" t="s">
        <v>913</v>
      </c>
      <c r="H56" s="842" t="s">
        <v>916</v>
      </c>
    </row>
    <row r="57" spans="1:8" ht="84">
      <c r="A57" s="885"/>
      <c r="B57" s="499" t="s">
        <v>858</v>
      </c>
      <c r="C57" s="544">
        <v>1</v>
      </c>
      <c r="D57" s="843" t="s">
        <v>900</v>
      </c>
      <c r="E57" s="844" t="s">
        <v>877</v>
      </c>
      <c r="F57" s="843" t="s">
        <v>852</v>
      </c>
      <c r="G57" s="845">
        <v>2012</v>
      </c>
      <c r="H57" s="845" t="s">
        <v>922</v>
      </c>
    </row>
    <row r="58" spans="1:8" ht="84">
      <c r="A58" s="885"/>
      <c r="B58" s="491"/>
      <c r="C58" s="542">
        <v>2</v>
      </c>
      <c r="D58" s="759" t="s">
        <v>901</v>
      </c>
      <c r="E58" s="762" t="s">
        <v>878</v>
      </c>
      <c r="F58" s="760" t="s">
        <v>854</v>
      </c>
      <c r="G58" s="761">
        <v>2012</v>
      </c>
      <c r="H58" s="761" t="s">
        <v>922</v>
      </c>
    </row>
    <row r="59" spans="1:8" ht="108">
      <c r="A59" s="885"/>
      <c r="B59" s="491"/>
      <c r="C59" s="542">
        <v>3</v>
      </c>
      <c r="D59" s="759" t="s">
        <v>899</v>
      </c>
      <c r="E59" s="762" t="s">
        <v>878</v>
      </c>
      <c r="F59" s="760" t="s">
        <v>854</v>
      </c>
      <c r="G59" s="761">
        <v>2012</v>
      </c>
      <c r="H59" s="761" t="s">
        <v>922</v>
      </c>
    </row>
    <row r="60" spans="1:8" ht="24">
      <c r="A60" s="885"/>
      <c r="B60" s="491"/>
      <c r="C60" s="542">
        <v>4</v>
      </c>
      <c r="D60" s="759" t="s">
        <v>902</v>
      </c>
      <c r="E60" s="762" t="s">
        <v>878</v>
      </c>
      <c r="F60" s="760" t="s">
        <v>854</v>
      </c>
      <c r="G60" s="761">
        <v>2012</v>
      </c>
      <c r="H60" s="761" t="s">
        <v>922</v>
      </c>
    </row>
    <row r="61" spans="1:8" ht="204">
      <c r="A61" s="885"/>
      <c r="B61" s="491"/>
      <c r="C61" s="542">
        <v>5</v>
      </c>
      <c r="D61" s="759" t="s">
        <v>954</v>
      </c>
      <c r="E61" s="762" t="s">
        <v>973</v>
      </c>
      <c r="F61" s="760" t="s">
        <v>854</v>
      </c>
      <c r="G61" s="761">
        <v>2013</v>
      </c>
      <c r="H61" s="761" t="s">
        <v>923</v>
      </c>
    </row>
    <row r="62" spans="1:8" ht="60">
      <c r="A62" s="885"/>
      <c r="B62" s="491"/>
      <c r="C62" s="542">
        <v>6</v>
      </c>
      <c r="D62" s="759" t="s">
        <v>880</v>
      </c>
      <c r="E62" s="762" t="s">
        <v>879</v>
      </c>
      <c r="F62" s="760" t="s">
        <v>854</v>
      </c>
      <c r="G62" s="761">
        <v>2013</v>
      </c>
      <c r="H62" s="761" t="s">
        <v>920</v>
      </c>
    </row>
    <row r="63" spans="1:8" ht="324">
      <c r="A63" s="885"/>
      <c r="B63" s="491"/>
      <c r="C63" s="542">
        <v>7</v>
      </c>
      <c r="D63" s="759" t="s">
        <v>1542</v>
      </c>
      <c r="E63" s="762" t="s">
        <v>1545</v>
      </c>
      <c r="F63" s="760" t="s">
        <v>955</v>
      </c>
      <c r="G63" s="761">
        <v>2013</v>
      </c>
      <c r="H63" s="761" t="s">
        <v>923</v>
      </c>
    </row>
    <row r="64" spans="1:8" ht="60">
      <c r="A64" s="885"/>
      <c r="B64" s="491"/>
      <c r="C64" s="542">
        <v>8</v>
      </c>
      <c r="D64" s="759" t="s">
        <v>881</v>
      </c>
      <c r="E64" s="762" t="s">
        <v>879</v>
      </c>
      <c r="F64" s="760" t="s">
        <v>854</v>
      </c>
      <c r="G64" s="761">
        <v>2013</v>
      </c>
      <c r="H64" s="761" t="s">
        <v>920</v>
      </c>
    </row>
    <row r="65" spans="1:8" ht="120">
      <c r="A65" s="885"/>
      <c r="B65" s="491"/>
      <c r="C65" s="542">
        <v>9</v>
      </c>
      <c r="D65" s="759" t="s">
        <v>956</v>
      </c>
      <c r="E65" s="762" t="s">
        <v>974</v>
      </c>
      <c r="F65" s="760" t="s">
        <v>854</v>
      </c>
      <c r="G65" s="761">
        <v>2013</v>
      </c>
      <c r="H65" s="761" t="s">
        <v>922</v>
      </c>
    </row>
    <row r="66" spans="1:8" ht="48">
      <c r="A66" s="885"/>
      <c r="B66" s="491"/>
      <c r="C66" s="542">
        <v>10</v>
      </c>
      <c r="D66" s="759" t="s">
        <v>889</v>
      </c>
      <c r="E66" s="762" t="s">
        <v>882</v>
      </c>
      <c r="F66" s="760" t="s">
        <v>854</v>
      </c>
      <c r="G66" s="761">
        <v>2013</v>
      </c>
      <c r="H66" s="761" t="s">
        <v>921</v>
      </c>
    </row>
    <row r="67" spans="1:8" ht="48">
      <c r="A67" s="885"/>
      <c r="B67" s="491"/>
      <c r="C67" s="542">
        <v>11</v>
      </c>
      <c r="D67" s="759" t="s">
        <v>890</v>
      </c>
      <c r="E67" s="762" t="s">
        <v>882</v>
      </c>
      <c r="F67" s="760" t="s">
        <v>854</v>
      </c>
      <c r="G67" s="761">
        <v>2013</v>
      </c>
      <c r="H67" s="761" t="s">
        <v>921</v>
      </c>
    </row>
    <row r="68" spans="1:8" ht="72">
      <c r="A68" s="885"/>
      <c r="B68" s="491"/>
      <c r="C68" s="542">
        <v>12</v>
      </c>
      <c r="D68" s="759" t="s">
        <v>891</v>
      </c>
      <c r="E68" s="762" t="s">
        <v>892</v>
      </c>
      <c r="F68" s="760" t="s">
        <v>854</v>
      </c>
      <c r="G68" s="761">
        <v>2013</v>
      </c>
      <c r="H68" s="761" t="s">
        <v>921</v>
      </c>
    </row>
    <row r="69" spans="1:8" ht="72">
      <c r="A69" s="885"/>
      <c r="B69" s="491"/>
      <c r="C69" s="542">
        <v>13</v>
      </c>
      <c r="D69" s="759" t="s">
        <v>884</v>
      </c>
      <c r="E69" s="762" t="s">
        <v>883</v>
      </c>
      <c r="F69" s="760" t="s">
        <v>854</v>
      </c>
      <c r="G69" s="761">
        <v>2013</v>
      </c>
      <c r="H69" s="761" t="s">
        <v>920</v>
      </c>
    </row>
    <row r="70" spans="1:8" ht="48">
      <c r="A70" s="885"/>
      <c r="B70" s="491"/>
      <c r="C70" s="542">
        <v>14</v>
      </c>
      <c r="D70" s="759" t="s">
        <v>885</v>
      </c>
      <c r="E70" s="762" t="s">
        <v>882</v>
      </c>
      <c r="F70" s="760" t="s">
        <v>854</v>
      </c>
      <c r="G70" s="761">
        <v>2013</v>
      </c>
      <c r="H70" s="761" t="s">
        <v>921</v>
      </c>
    </row>
    <row r="71" spans="1:8" ht="48">
      <c r="A71" s="885"/>
      <c r="B71" s="491"/>
      <c r="C71" s="542">
        <v>15</v>
      </c>
      <c r="D71" s="759" t="s">
        <v>886</v>
      </c>
      <c r="E71" s="762" t="s">
        <v>882</v>
      </c>
      <c r="F71" s="760" t="s">
        <v>854</v>
      </c>
      <c r="G71" s="761">
        <v>2013</v>
      </c>
      <c r="H71" s="761" t="s">
        <v>921</v>
      </c>
    </row>
    <row r="72" spans="1:8" ht="60">
      <c r="A72" s="885"/>
      <c r="B72" s="491"/>
      <c r="C72" s="542">
        <v>16</v>
      </c>
      <c r="D72" s="759" t="s">
        <v>887</v>
      </c>
      <c r="E72" s="762" t="s">
        <v>882</v>
      </c>
      <c r="F72" s="760" t="s">
        <v>854</v>
      </c>
      <c r="G72" s="761">
        <v>2013</v>
      </c>
      <c r="H72" s="761" t="s">
        <v>921</v>
      </c>
    </row>
    <row r="73" spans="1:8" ht="108">
      <c r="A73" s="885"/>
      <c r="B73" s="491"/>
      <c r="C73" s="542">
        <v>17</v>
      </c>
      <c r="D73" s="759" t="s">
        <v>888</v>
      </c>
      <c r="E73" s="762" t="s">
        <v>957</v>
      </c>
      <c r="F73" s="760" t="s">
        <v>958</v>
      </c>
      <c r="G73" s="761">
        <v>2013</v>
      </c>
      <c r="H73" s="761" t="s">
        <v>920</v>
      </c>
    </row>
    <row r="74" spans="1:8" ht="300">
      <c r="A74" s="885"/>
      <c r="B74" s="491"/>
      <c r="C74" s="542">
        <v>18</v>
      </c>
      <c r="D74" s="759" t="s">
        <v>959</v>
      </c>
      <c r="E74" s="762" t="s">
        <v>975</v>
      </c>
      <c r="F74" s="760" t="s">
        <v>960</v>
      </c>
      <c r="G74" s="761">
        <v>2014</v>
      </c>
      <c r="H74" s="761" t="s">
        <v>920</v>
      </c>
    </row>
    <row r="75" spans="1:8" ht="132">
      <c r="A75" s="885"/>
      <c r="B75" s="491"/>
      <c r="C75" s="542">
        <v>19</v>
      </c>
      <c r="D75" s="759" t="s">
        <v>961</v>
      </c>
      <c r="E75" s="762" t="s">
        <v>976</v>
      </c>
      <c r="F75" s="760" t="s">
        <v>962</v>
      </c>
      <c r="G75" s="761">
        <v>2014</v>
      </c>
      <c r="H75" s="761" t="s">
        <v>920</v>
      </c>
    </row>
    <row r="76" spans="1:8" ht="384">
      <c r="A76" s="885"/>
      <c r="B76" s="491"/>
      <c r="C76" s="542">
        <v>20</v>
      </c>
      <c r="D76" s="759" t="s">
        <v>963</v>
      </c>
      <c r="E76" s="762" t="s">
        <v>1290</v>
      </c>
      <c r="F76" s="760" t="s">
        <v>977</v>
      </c>
      <c r="G76" s="761">
        <v>2014</v>
      </c>
      <c r="H76" s="761" t="s">
        <v>920</v>
      </c>
    </row>
    <row r="77" spans="1:8" ht="36">
      <c r="A77" s="885"/>
      <c r="B77" s="491"/>
      <c r="C77" s="542">
        <v>21</v>
      </c>
      <c r="D77" s="759" t="s">
        <v>964</v>
      </c>
      <c r="E77" s="762" t="s">
        <v>965</v>
      </c>
      <c r="F77" s="760" t="s">
        <v>854</v>
      </c>
      <c r="G77" s="761">
        <v>2014</v>
      </c>
      <c r="H77" s="761" t="s">
        <v>921</v>
      </c>
    </row>
    <row r="78" spans="1:8" ht="288">
      <c r="A78" s="885"/>
      <c r="B78" s="491"/>
      <c r="C78" s="542">
        <v>22</v>
      </c>
      <c r="D78" s="759" t="s">
        <v>966</v>
      </c>
      <c r="E78" s="762" t="s">
        <v>978</v>
      </c>
      <c r="F78" s="760" t="s">
        <v>967</v>
      </c>
      <c r="G78" s="761">
        <v>2014</v>
      </c>
      <c r="H78" s="761" t="s">
        <v>920</v>
      </c>
    </row>
    <row r="79" spans="1:8" ht="372">
      <c r="A79" s="885"/>
      <c r="B79" s="491"/>
      <c r="C79" s="542">
        <v>23</v>
      </c>
      <c r="D79" s="759" t="s">
        <v>968</v>
      </c>
      <c r="E79" s="762" t="s">
        <v>979</v>
      </c>
      <c r="F79" s="760" t="s">
        <v>854</v>
      </c>
      <c r="G79" s="761">
        <v>2014</v>
      </c>
      <c r="H79" s="761" t="s">
        <v>920</v>
      </c>
    </row>
    <row r="80" spans="1:8" ht="36">
      <c r="A80" s="885"/>
      <c r="B80" s="491"/>
      <c r="C80" s="542">
        <v>24</v>
      </c>
      <c r="D80" s="759" t="s">
        <v>969</v>
      </c>
      <c r="E80" s="762" t="s">
        <v>980</v>
      </c>
      <c r="F80" s="760" t="s">
        <v>854</v>
      </c>
      <c r="G80" s="761">
        <v>2014</v>
      </c>
      <c r="H80" s="761" t="s">
        <v>921</v>
      </c>
    </row>
    <row r="81" spans="1:8" ht="228">
      <c r="A81" s="885"/>
      <c r="B81" s="491"/>
      <c r="C81" s="542">
        <v>25</v>
      </c>
      <c r="D81" s="759" t="s">
        <v>970</v>
      </c>
      <c r="E81" s="762" t="s">
        <v>981</v>
      </c>
      <c r="F81" s="760" t="s">
        <v>982</v>
      </c>
      <c r="G81" s="761">
        <v>2014</v>
      </c>
      <c r="H81" s="761" t="s">
        <v>922</v>
      </c>
    </row>
    <row r="82" spans="1:8" ht="72">
      <c r="A82" s="885"/>
      <c r="B82" s="491"/>
      <c r="C82" s="542">
        <v>26</v>
      </c>
      <c r="D82" s="760" t="s">
        <v>971</v>
      </c>
      <c r="E82" s="760" t="s">
        <v>983</v>
      </c>
      <c r="F82" s="760" t="s">
        <v>854</v>
      </c>
      <c r="G82" s="761">
        <v>2014</v>
      </c>
      <c r="H82" s="761" t="s">
        <v>921</v>
      </c>
    </row>
    <row r="83" spans="1:8" ht="48">
      <c r="A83" s="885"/>
      <c r="B83" s="491"/>
      <c r="C83" s="542">
        <v>27</v>
      </c>
      <c r="D83" s="759" t="s">
        <v>972</v>
      </c>
      <c r="E83" s="762" t="s">
        <v>984</v>
      </c>
      <c r="F83" s="760" t="s">
        <v>854</v>
      </c>
      <c r="G83" s="761">
        <v>2014</v>
      </c>
      <c r="H83" s="761" t="s">
        <v>921</v>
      </c>
    </row>
    <row r="84" spans="1:8" ht="144">
      <c r="A84" s="885"/>
      <c r="B84" s="491"/>
      <c r="C84" s="542">
        <v>28</v>
      </c>
      <c r="D84" s="759" t="s">
        <v>985</v>
      </c>
      <c r="E84" s="760" t="s">
        <v>1274</v>
      </c>
      <c r="F84" s="760" t="s">
        <v>854</v>
      </c>
      <c r="G84" s="761">
        <v>2014</v>
      </c>
      <c r="H84" s="761" t="s">
        <v>920</v>
      </c>
    </row>
    <row r="85" spans="1:8" ht="36">
      <c r="A85" s="885"/>
      <c r="B85" s="491"/>
      <c r="C85" s="542">
        <v>29</v>
      </c>
      <c r="D85" s="759" t="s">
        <v>986</v>
      </c>
      <c r="E85" s="760" t="s">
        <v>987</v>
      </c>
      <c r="F85" s="760" t="s">
        <v>854</v>
      </c>
      <c r="G85" s="761">
        <v>2014</v>
      </c>
      <c r="H85" s="761" t="s">
        <v>921</v>
      </c>
    </row>
    <row r="86" spans="1:8" ht="60">
      <c r="A86" s="885"/>
      <c r="B86" s="491"/>
      <c r="C86" s="542">
        <v>30</v>
      </c>
      <c r="D86" s="759" t="s">
        <v>988</v>
      </c>
      <c r="E86" s="760" t="s">
        <v>989</v>
      </c>
      <c r="F86" s="760" t="s">
        <v>854</v>
      </c>
      <c r="G86" s="761">
        <v>2014</v>
      </c>
      <c r="H86" s="761" t="s">
        <v>921</v>
      </c>
    </row>
    <row r="87" spans="1:8" ht="60">
      <c r="A87" s="885"/>
      <c r="B87" s="491"/>
      <c r="C87" s="542">
        <v>31</v>
      </c>
      <c r="D87" s="760" t="s">
        <v>990</v>
      </c>
      <c r="E87" s="760" t="s">
        <v>991</v>
      </c>
      <c r="F87" s="760" t="s">
        <v>854</v>
      </c>
      <c r="G87" s="761">
        <v>2014</v>
      </c>
      <c r="H87" s="761" t="s">
        <v>921</v>
      </c>
    </row>
    <row r="88" spans="1:8" ht="48">
      <c r="A88" s="885"/>
      <c r="B88" s="491"/>
      <c r="C88" s="542">
        <v>32</v>
      </c>
      <c r="D88" s="759" t="s">
        <v>992</v>
      </c>
      <c r="E88" s="760" t="s">
        <v>993</v>
      </c>
      <c r="F88" s="760" t="s">
        <v>854</v>
      </c>
      <c r="G88" s="761">
        <v>2014</v>
      </c>
      <c r="H88" s="761" t="s">
        <v>921</v>
      </c>
    </row>
    <row r="89" spans="1:8" ht="60">
      <c r="A89" s="885"/>
      <c r="B89" s="491"/>
      <c r="C89" s="542">
        <v>33</v>
      </c>
      <c r="D89" s="759" t="s">
        <v>994</v>
      </c>
      <c r="E89" s="760" t="s">
        <v>995</v>
      </c>
      <c r="F89" s="760" t="s">
        <v>854</v>
      </c>
      <c r="G89" s="761">
        <v>2014</v>
      </c>
      <c r="H89" s="761" t="s">
        <v>921</v>
      </c>
    </row>
    <row r="90" spans="1:8" ht="60">
      <c r="A90" s="885"/>
      <c r="B90" s="491"/>
      <c r="C90" s="542">
        <v>34</v>
      </c>
      <c r="D90" s="759" t="s">
        <v>996</v>
      </c>
      <c r="E90" s="760" t="s">
        <v>997</v>
      </c>
      <c r="F90" s="760" t="s">
        <v>854</v>
      </c>
      <c r="G90" s="761">
        <v>2014</v>
      </c>
      <c r="H90" s="761" t="s">
        <v>921</v>
      </c>
    </row>
    <row r="91" spans="1:8" ht="60">
      <c r="A91" s="885"/>
      <c r="B91" s="491"/>
      <c r="C91" s="542">
        <v>35</v>
      </c>
      <c r="D91" s="759" t="s">
        <v>998</v>
      </c>
      <c r="E91" s="760" t="s">
        <v>999</v>
      </c>
      <c r="F91" s="760" t="s">
        <v>854</v>
      </c>
      <c r="G91" s="761">
        <v>2014</v>
      </c>
      <c r="H91" s="761" t="s">
        <v>921</v>
      </c>
    </row>
    <row r="92" spans="1:8" ht="60">
      <c r="A92" s="885"/>
      <c r="B92" s="491"/>
      <c r="C92" s="542">
        <v>36</v>
      </c>
      <c r="D92" s="759" t="s">
        <v>1268</v>
      </c>
      <c r="E92" s="760" t="s">
        <v>1272</v>
      </c>
      <c r="F92" s="760" t="s">
        <v>854</v>
      </c>
      <c r="G92" s="761">
        <v>2014</v>
      </c>
      <c r="H92" s="761" t="s">
        <v>923</v>
      </c>
    </row>
    <row r="93" spans="1:8" ht="48">
      <c r="A93" s="885"/>
      <c r="B93" s="491"/>
      <c r="C93" s="542">
        <v>37</v>
      </c>
      <c r="D93" s="759" t="s">
        <v>1267</v>
      </c>
      <c r="E93" s="760" t="s">
        <v>1288</v>
      </c>
      <c r="F93" s="760" t="s">
        <v>854</v>
      </c>
      <c r="G93" s="761">
        <v>2014</v>
      </c>
      <c r="H93" s="761" t="s">
        <v>921</v>
      </c>
    </row>
    <row r="94" spans="1:8" ht="36">
      <c r="A94" s="885"/>
      <c r="B94" s="491"/>
      <c r="C94" s="542">
        <v>38</v>
      </c>
      <c r="D94" s="759" t="s">
        <v>1269</v>
      </c>
      <c r="E94" s="760" t="s">
        <v>1273</v>
      </c>
      <c r="F94" s="760" t="s">
        <v>854</v>
      </c>
      <c r="G94" s="761">
        <v>2014</v>
      </c>
      <c r="H94" s="761" t="s">
        <v>921</v>
      </c>
    </row>
    <row r="95" spans="1:8" ht="36">
      <c r="A95" s="885"/>
      <c r="B95" s="491"/>
      <c r="C95" s="542">
        <v>39</v>
      </c>
      <c r="D95" s="759" t="s">
        <v>1270</v>
      </c>
      <c r="E95" s="760" t="s">
        <v>1289</v>
      </c>
      <c r="F95" s="760" t="s">
        <v>854</v>
      </c>
      <c r="G95" s="761">
        <v>2015</v>
      </c>
      <c r="H95" s="761" t="s">
        <v>921</v>
      </c>
    </row>
    <row r="96" spans="1:8" ht="48">
      <c r="A96" s="885"/>
      <c r="B96" s="491"/>
      <c r="C96" s="542">
        <v>40</v>
      </c>
      <c r="D96" s="759" t="s">
        <v>1287</v>
      </c>
      <c r="E96" s="760" t="s">
        <v>1286</v>
      </c>
      <c r="F96" s="760" t="s">
        <v>854</v>
      </c>
      <c r="G96" s="761">
        <v>2010</v>
      </c>
      <c r="H96" s="761" t="s">
        <v>920</v>
      </c>
    </row>
    <row r="97" spans="1:20" ht="120">
      <c r="A97" s="885"/>
      <c r="B97" s="491"/>
      <c r="C97" s="542">
        <v>41</v>
      </c>
      <c r="D97" s="759" t="s">
        <v>1530</v>
      </c>
      <c r="E97" s="760" t="s">
        <v>1531</v>
      </c>
      <c r="F97" s="760" t="s">
        <v>854</v>
      </c>
      <c r="G97" s="761">
        <v>2015</v>
      </c>
      <c r="H97" s="761" t="s">
        <v>923</v>
      </c>
    </row>
    <row r="98" spans="1:20" ht="84">
      <c r="A98" s="885"/>
      <c r="B98" s="491"/>
      <c r="C98" s="542">
        <v>42</v>
      </c>
      <c r="D98" s="760" t="s">
        <v>1535</v>
      </c>
      <c r="E98" s="760" t="s">
        <v>1534</v>
      </c>
      <c r="F98" s="760" t="s">
        <v>854</v>
      </c>
      <c r="G98" s="761">
        <v>2015</v>
      </c>
      <c r="H98" s="761" t="s">
        <v>920</v>
      </c>
    </row>
    <row r="99" spans="1:20" ht="24">
      <c r="A99" s="885"/>
      <c r="B99" s="491"/>
      <c r="C99" s="542">
        <v>43</v>
      </c>
      <c r="D99" s="848" t="s">
        <v>1547</v>
      </c>
      <c r="E99" s="849" t="s">
        <v>1536</v>
      </c>
      <c r="F99" s="849" t="s">
        <v>854</v>
      </c>
      <c r="G99" s="850" t="s">
        <v>913</v>
      </c>
      <c r="H99" s="850" t="s">
        <v>916</v>
      </c>
    </row>
    <row r="100" spans="1:20" ht="132">
      <c r="A100" s="885"/>
      <c r="B100" s="491"/>
      <c r="C100" s="542">
        <v>44</v>
      </c>
      <c r="D100" s="848" t="s">
        <v>1546</v>
      </c>
      <c r="E100" s="849" t="s">
        <v>1550</v>
      </c>
      <c r="F100" s="849" t="s">
        <v>854</v>
      </c>
      <c r="G100" s="850" t="s">
        <v>913</v>
      </c>
      <c r="H100" s="850" t="s">
        <v>916</v>
      </c>
    </row>
    <row r="101" spans="1:20" ht="24">
      <c r="A101" s="885"/>
      <c r="B101" s="491"/>
      <c r="C101" s="542">
        <v>45</v>
      </c>
      <c r="D101" s="759" t="s">
        <v>851</v>
      </c>
      <c r="E101" s="760" t="s">
        <v>853</v>
      </c>
      <c r="F101" s="760" t="s">
        <v>854</v>
      </c>
      <c r="G101" s="761" t="s">
        <v>913</v>
      </c>
      <c r="H101" s="761" t="s">
        <v>916</v>
      </c>
    </row>
    <row r="102" spans="1:20" ht="24">
      <c r="A102" s="885"/>
      <c r="B102" s="491"/>
      <c r="C102" s="542">
        <v>46</v>
      </c>
      <c r="D102" s="759" t="s">
        <v>851</v>
      </c>
      <c r="E102" s="760" t="s">
        <v>853</v>
      </c>
      <c r="F102" s="760" t="s">
        <v>854</v>
      </c>
      <c r="G102" s="761" t="s">
        <v>913</v>
      </c>
      <c r="H102" s="761" t="s">
        <v>916</v>
      </c>
    </row>
    <row r="103" spans="1:20" ht="24">
      <c r="A103" s="885"/>
      <c r="B103" s="491"/>
      <c r="C103" s="542">
        <v>47</v>
      </c>
      <c r="D103" s="759" t="s">
        <v>851</v>
      </c>
      <c r="E103" s="760" t="s">
        <v>853</v>
      </c>
      <c r="F103" s="760" t="s">
        <v>854</v>
      </c>
      <c r="G103" s="761" t="s">
        <v>913</v>
      </c>
      <c r="H103" s="761" t="s">
        <v>916</v>
      </c>
    </row>
    <row r="104" spans="1:20" ht="24">
      <c r="A104" s="885"/>
      <c r="B104" s="491"/>
      <c r="C104" s="542">
        <v>48</v>
      </c>
      <c r="D104" s="759" t="s">
        <v>851</v>
      </c>
      <c r="E104" s="760" t="s">
        <v>853</v>
      </c>
      <c r="F104" s="760" t="s">
        <v>854</v>
      </c>
      <c r="G104" s="761" t="s">
        <v>913</v>
      </c>
      <c r="H104" s="761" t="s">
        <v>916</v>
      </c>
    </row>
    <row r="105" spans="1:20" ht="24">
      <c r="A105" s="885"/>
      <c r="B105" s="491"/>
      <c r="C105" s="542">
        <v>49</v>
      </c>
      <c r="D105" s="759" t="s">
        <v>851</v>
      </c>
      <c r="E105" s="760" t="s">
        <v>853</v>
      </c>
      <c r="F105" s="760" t="s">
        <v>854</v>
      </c>
      <c r="G105" s="761" t="s">
        <v>913</v>
      </c>
      <c r="H105" s="761" t="s">
        <v>916</v>
      </c>
    </row>
    <row r="106" spans="1:20" ht="24.75" thickBot="1">
      <c r="A106" s="885"/>
      <c r="B106" s="491"/>
      <c r="C106" s="542">
        <v>50</v>
      </c>
      <c r="D106" s="759" t="s">
        <v>851</v>
      </c>
      <c r="E106" s="760" t="s">
        <v>853</v>
      </c>
      <c r="F106" s="760" t="s">
        <v>854</v>
      </c>
      <c r="G106" s="761" t="s">
        <v>913</v>
      </c>
      <c r="H106" s="761" t="s">
        <v>916</v>
      </c>
    </row>
    <row r="107" spans="1:20" ht="12.75" thickBot="1">
      <c r="A107" s="885"/>
      <c r="B107" s="3" t="s">
        <v>855</v>
      </c>
      <c r="C107" s="3"/>
      <c r="D107" s="163"/>
      <c r="E107" s="163"/>
      <c r="F107" s="163"/>
      <c r="G107" s="163"/>
      <c r="H107" s="525">
        <v>5.2</v>
      </c>
      <c r="J107" s="1369" t="s">
        <v>924</v>
      </c>
      <c r="K107" s="1370"/>
      <c r="L107" s="1370"/>
      <c r="M107" s="1370"/>
      <c r="N107" s="1371"/>
      <c r="O107" s="527" t="s">
        <v>916</v>
      </c>
      <c r="P107" s="528" t="s">
        <v>925</v>
      </c>
      <c r="Q107" s="528" t="s">
        <v>915</v>
      </c>
      <c r="R107" s="528" t="s">
        <v>915</v>
      </c>
    </row>
    <row r="108" spans="1:20" ht="60.75" thickBot="1">
      <c r="A108" s="885"/>
      <c r="B108" s="488" t="str">
        <f>'LF for 2014 AR'!B240</f>
        <v>Cumulative number of firm commitments by other development partners (organisations) to replicate key aspects of SAVI and its local partners approaches.</v>
      </c>
      <c r="C108" s="541">
        <v>1</v>
      </c>
      <c r="D108" s="494" t="s">
        <v>869</v>
      </c>
      <c r="E108" s="498" t="s">
        <v>893</v>
      </c>
      <c r="F108" s="494" t="s">
        <v>852</v>
      </c>
      <c r="G108" s="524">
        <v>2012</v>
      </c>
      <c r="H108" s="524" t="s">
        <v>928</v>
      </c>
      <c r="J108" s="537" t="s">
        <v>605</v>
      </c>
      <c r="K108" s="537" t="s">
        <v>606</v>
      </c>
      <c r="L108" s="537" t="s">
        <v>933</v>
      </c>
      <c r="M108" s="537" t="s">
        <v>840</v>
      </c>
      <c r="N108" s="537" t="s">
        <v>932</v>
      </c>
      <c r="O108" s="527" t="s">
        <v>918</v>
      </c>
      <c r="P108" s="548" t="s">
        <v>947</v>
      </c>
      <c r="Q108" s="547" t="s">
        <v>857</v>
      </c>
      <c r="R108" s="547" t="s">
        <v>858</v>
      </c>
    </row>
    <row r="109" spans="1:20" ht="24">
      <c r="A109" s="483"/>
      <c r="B109" s="491" t="s">
        <v>856</v>
      </c>
      <c r="C109" s="542">
        <v>2</v>
      </c>
      <c r="D109" s="492" t="s">
        <v>868</v>
      </c>
      <c r="E109" s="500" t="s">
        <v>894</v>
      </c>
      <c r="F109" s="495" t="s">
        <v>854</v>
      </c>
      <c r="G109" s="524">
        <v>2012</v>
      </c>
      <c r="H109" s="524" t="s">
        <v>929</v>
      </c>
      <c r="J109" s="524" t="s">
        <v>606</v>
      </c>
      <c r="K109" s="524" t="s">
        <v>916</v>
      </c>
      <c r="L109" s="524" t="s">
        <v>916</v>
      </c>
      <c r="M109" s="524" t="s">
        <v>916</v>
      </c>
      <c r="N109" s="524" t="s">
        <v>916</v>
      </c>
      <c r="O109" s="527" t="s">
        <v>927</v>
      </c>
      <c r="P109" s="529" t="s">
        <v>926</v>
      </c>
      <c r="Q109" s="538">
        <f>Q110+COUNTIF(H$108:H$132,"aware")</f>
        <v>16</v>
      </c>
      <c r="R109" s="538">
        <f>R110+COUNTIF(H$133:HI$157,"aware")</f>
        <v>16</v>
      </c>
      <c r="S109" s="1362" t="s">
        <v>948</v>
      </c>
      <c r="T109" s="1363"/>
    </row>
    <row r="110" spans="1:20" ht="36">
      <c r="A110" s="483"/>
      <c r="B110" s="491" t="str">
        <f>'LF for 2014 AR'!B246</f>
        <v>Depth of SAVI and its local partners’ learning/approaches being taken up by other development partners (organisations).</v>
      </c>
      <c r="C110" s="542">
        <v>3</v>
      </c>
      <c r="D110" s="492" t="s">
        <v>867</v>
      </c>
      <c r="E110" s="500" t="s">
        <v>907</v>
      </c>
      <c r="F110" s="495" t="s">
        <v>854</v>
      </c>
      <c r="G110" s="524">
        <v>2012</v>
      </c>
      <c r="H110" s="524" t="s">
        <v>928</v>
      </c>
      <c r="J110" s="524" t="s">
        <v>933</v>
      </c>
      <c r="K110" s="524" t="s">
        <v>916</v>
      </c>
      <c r="L110" s="524" t="s">
        <v>916</v>
      </c>
      <c r="M110" s="524" t="s">
        <v>916</v>
      </c>
      <c r="N110" s="524" t="s">
        <v>916</v>
      </c>
      <c r="O110" s="527" t="s">
        <v>928</v>
      </c>
      <c r="P110" s="531" t="s">
        <v>938</v>
      </c>
      <c r="Q110" s="539">
        <f>Q111+COUNTIF(H$108:H$132,"permitting")</f>
        <v>16</v>
      </c>
      <c r="R110" s="539">
        <f>R111+COUNTIF(H$133:HI$157,"permitting")</f>
        <v>16</v>
      </c>
      <c r="S110" s="1362"/>
      <c r="T110" s="1363"/>
    </row>
    <row r="111" spans="1:20" ht="36">
      <c r="A111" s="483"/>
      <c r="B111" s="491"/>
      <c r="C111" s="542">
        <v>4</v>
      </c>
      <c r="D111" s="492" t="s">
        <v>866</v>
      </c>
      <c r="E111" s="500" t="s">
        <v>1000</v>
      </c>
      <c r="F111" s="495" t="s">
        <v>854</v>
      </c>
      <c r="G111" s="524">
        <v>2012</v>
      </c>
      <c r="H111" s="524" t="s">
        <v>928</v>
      </c>
      <c r="J111" s="524" t="s">
        <v>840</v>
      </c>
      <c r="K111" s="524" t="s">
        <v>916</v>
      </c>
      <c r="L111" s="524" t="s">
        <v>916</v>
      </c>
      <c r="M111" s="524" t="s">
        <v>916</v>
      </c>
      <c r="N111" s="524" t="s">
        <v>916</v>
      </c>
      <c r="O111" s="527" t="s">
        <v>929</v>
      </c>
      <c r="P111" s="531" t="s">
        <v>939</v>
      </c>
      <c r="Q111" s="539">
        <f>Q112+COUNTIF(H$108:H$132,"facilitating")</f>
        <v>15</v>
      </c>
      <c r="R111" s="539">
        <f>R112+COUNTIF(H$133:HI$157,"facilitating")</f>
        <v>15</v>
      </c>
      <c r="S111" s="1362"/>
      <c r="T111" s="1363"/>
    </row>
    <row r="112" spans="1:20" ht="108">
      <c r="A112" s="483"/>
      <c r="B112" s="497" t="s">
        <v>857</v>
      </c>
      <c r="C112" s="542">
        <v>5</v>
      </c>
      <c r="D112" s="492" t="s">
        <v>1499</v>
      </c>
      <c r="E112" s="500" t="s">
        <v>1500</v>
      </c>
      <c r="F112" s="495" t="s">
        <v>854</v>
      </c>
      <c r="G112" s="524">
        <v>2012</v>
      </c>
      <c r="H112" s="524" t="s">
        <v>930</v>
      </c>
      <c r="J112" s="524" t="s">
        <v>933</v>
      </c>
      <c r="K112" s="524" t="s">
        <v>606</v>
      </c>
      <c r="L112" s="524" t="s">
        <v>916</v>
      </c>
      <c r="M112" s="524" t="s">
        <v>916</v>
      </c>
      <c r="N112" s="524" t="s">
        <v>916</v>
      </c>
      <c r="O112" s="527" t="s">
        <v>930</v>
      </c>
      <c r="P112" s="531" t="s">
        <v>940</v>
      </c>
      <c r="Q112" s="539">
        <f>Q113+COUNTIF(H$108:H$132,"promoting")</f>
        <v>7</v>
      </c>
      <c r="R112" s="539">
        <f>R113+COUNTIF(H$133:HI$157,"promoting")</f>
        <v>10</v>
      </c>
      <c r="S112" s="1362"/>
      <c r="T112" s="1363"/>
    </row>
    <row r="113" spans="1:20" ht="84.75" thickBot="1">
      <c r="A113" s="483"/>
      <c r="B113" s="491"/>
      <c r="C113" s="542">
        <v>6</v>
      </c>
      <c r="D113" s="492" t="s">
        <v>1497</v>
      </c>
      <c r="E113" s="500" t="s">
        <v>1496</v>
      </c>
      <c r="F113" s="495" t="s">
        <v>1001</v>
      </c>
      <c r="G113" s="524">
        <v>2012</v>
      </c>
      <c r="H113" s="524" t="s">
        <v>930</v>
      </c>
      <c r="J113" s="524" t="s">
        <v>933</v>
      </c>
      <c r="K113" s="524" t="s">
        <v>606</v>
      </c>
      <c r="L113" s="524" t="s">
        <v>840</v>
      </c>
      <c r="M113" s="524" t="s">
        <v>916</v>
      </c>
      <c r="N113" s="524" t="s">
        <v>916</v>
      </c>
      <c r="O113" s="527"/>
      <c r="P113" s="533" t="s">
        <v>941</v>
      </c>
      <c r="Q113" s="540">
        <f>COUNTIF(H$108:H$132,"institutional")</f>
        <v>4</v>
      </c>
      <c r="R113" s="540">
        <f>COUNTIF(H$133:HI$157,"institutional")</f>
        <v>1</v>
      </c>
      <c r="S113" s="1362"/>
      <c r="T113" s="1363"/>
    </row>
    <row r="114" spans="1:20" ht="24.75" thickBot="1">
      <c r="A114" s="483"/>
      <c r="B114" s="491"/>
      <c r="C114" s="542">
        <v>7</v>
      </c>
      <c r="D114" s="492" t="s">
        <v>865</v>
      </c>
      <c r="E114" s="500" t="s">
        <v>896</v>
      </c>
      <c r="F114" s="495" t="s">
        <v>854</v>
      </c>
      <c r="G114" s="524">
        <v>2012</v>
      </c>
      <c r="H114" s="524" t="s">
        <v>930</v>
      </c>
      <c r="J114" s="524" t="s">
        <v>606</v>
      </c>
      <c r="K114" s="524" t="s">
        <v>916</v>
      </c>
      <c r="L114" s="524" t="s">
        <v>916</v>
      </c>
      <c r="M114" s="524" t="s">
        <v>916</v>
      </c>
      <c r="N114" s="524" t="s">
        <v>916</v>
      </c>
    </row>
    <row r="115" spans="1:20" ht="60.75" thickBot="1">
      <c r="A115" s="483"/>
      <c r="B115" s="491"/>
      <c r="C115" s="542">
        <v>8</v>
      </c>
      <c r="D115" s="492" t="s">
        <v>1514</v>
      </c>
      <c r="E115" s="500" t="s">
        <v>1515</v>
      </c>
      <c r="F115" s="495" t="s">
        <v>854</v>
      </c>
      <c r="G115" s="524">
        <v>2012</v>
      </c>
      <c r="H115" s="524" t="s">
        <v>928</v>
      </c>
      <c r="J115" s="524" t="s">
        <v>933</v>
      </c>
      <c r="K115" s="524" t="s">
        <v>840</v>
      </c>
      <c r="L115" s="524" t="s">
        <v>916</v>
      </c>
      <c r="M115" s="524" t="s">
        <v>916</v>
      </c>
      <c r="N115" s="524" t="s">
        <v>916</v>
      </c>
      <c r="O115" s="527" t="s">
        <v>916</v>
      </c>
      <c r="P115" s="528" t="s">
        <v>931</v>
      </c>
      <c r="Q115" s="528" t="s">
        <v>915</v>
      </c>
      <c r="R115" s="528" t="s">
        <v>915</v>
      </c>
    </row>
    <row r="116" spans="1:20" ht="24.75" thickBot="1">
      <c r="A116" s="483"/>
      <c r="B116" s="491"/>
      <c r="C116" s="542">
        <v>9</v>
      </c>
      <c r="D116" s="492" t="s">
        <v>864</v>
      </c>
      <c r="E116" s="500" t="s">
        <v>897</v>
      </c>
      <c r="F116" s="495" t="s">
        <v>854</v>
      </c>
      <c r="G116" s="524">
        <v>2013</v>
      </c>
      <c r="H116" s="524" t="s">
        <v>928</v>
      </c>
      <c r="J116" s="524" t="s">
        <v>933</v>
      </c>
      <c r="K116" s="524" t="s">
        <v>840</v>
      </c>
      <c r="L116" s="524" t="s">
        <v>916</v>
      </c>
      <c r="M116" s="524" t="s">
        <v>916</v>
      </c>
      <c r="N116" s="524" t="s">
        <v>916</v>
      </c>
      <c r="O116" s="527" t="s">
        <v>932</v>
      </c>
      <c r="P116" s="548" t="s">
        <v>947</v>
      </c>
      <c r="Q116" s="548" t="s">
        <v>857</v>
      </c>
      <c r="R116" s="548" t="s">
        <v>858</v>
      </c>
    </row>
    <row r="117" spans="1:20" ht="48">
      <c r="A117" s="483"/>
      <c r="B117" s="491"/>
      <c r="C117" s="542">
        <v>10</v>
      </c>
      <c r="D117" s="495" t="s">
        <v>863</v>
      </c>
      <c r="E117" s="500" t="s">
        <v>898</v>
      </c>
      <c r="F117" s="495" t="s">
        <v>854</v>
      </c>
      <c r="G117" s="524">
        <v>2013</v>
      </c>
      <c r="H117" s="524" t="s">
        <v>928</v>
      </c>
      <c r="J117" s="524" t="s">
        <v>840</v>
      </c>
      <c r="K117" s="524" t="s">
        <v>916</v>
      </c>
      <c r="L117" s="524" t="s">
        <v>916</v>
      </c>
      <c r="M117" s="524" t="s">
        <v>916</v>
      </c>
      <c r="N117" s="524" t="s">
        <v>916</v>
      </c>
      <c r="O117" s="527" t="s">
        <v>840</v>
      </c>
      <c r="P117" s="529" t="s">
        <v>942</v>
      </c>
      <c r="Q117" s="549">
        <f>COUNTIF(J$108:N$132,"leaves")</f>
        <v>2</v>
      </c>
      <c r="R117" s="549">
        <f>COUNTIF(J$133:N$157,"leaves")</f>
        <v>1</v>
      </c>
      <c r="S117" s="1362" t="s">
        <v>948</v>
      </c>
      <c r="T117" s="1363"/>
    </row>
    <row r="118" spans="1:20" ht="60">
      <c r="A118" s="483"/>
      <c r="B118" s="491"/>
      <c r="C118" s="542">
        <v>11</v>
      </c>
      <c r="D118" s="492" t="s">
        <v>1002</v>
      </c>
      <c r="E118" s="495" t="s">
        <v>1003</v>
      </c>
      <c r="F118" s="495" t="s">
        <v>1004</v>
      </c>
      <c r="G118" s="524">
        <v>2014</v>
      </c>
      <c r="H118" s="524" t="s">
        <v>928</v>
      </c>
      <c r="J118" s="524" t="s">
        <v>840</v>
      </c>
      <c r="K118" s="524" t="s">
        <v>916</v>
      </c>
      <c r="L118" s="524" t="s">
        <v>916</v>
      </c>
      <c r="M118" s="524" t="s">
        <v>916</v>
      </c>
      <c r="N118" s="524" t="s">
        <v>916</v>
      </c>
      <c r="O118" s="527" t="s">
        <v>933</v>
      </c>
      <c r="P118" s="531" t="s">
        <v>943</v>
      </c>
      <c r="Q118" s="532">
        <f>COUNTIF(J$108:N$132,"twigs")</f>
        <v>11</v>
      </c>
      <c r="R118" s="532">
        <f>COUNTIF(J$133:N$157,"twigs")</f>
        <v>9</v>
      </c>
      <c r="S118" s="1362"/>
      <c r="T118" s="1363"/>
    </row>
    <row r="119" spans="1:20" ht="60">
      <c r="A119" s="483"/>
      <c r="B119" s="491"/>
      <c r="C119" s="542">
        <v>12</v>
      </c>
      <c r="D119" s="495" t="s">
        <v>1005</v>
      </c>
      <c r="E119" s="495" t="s">
        <v>1006</v>
      </c>
      <c r="F119" s="495" t="s">
        <v>854</v>
      </c>
      <c r="G119" s="524">
        <v>2014</v>
      </c>
      <c r="H119" s="524" t="s">
        <v>927</v>
      </c>
      <c r="J119" s="524" t="s">
        <v>840</v>
      </c>
      <c r="K119" s="524" t="s">
        <v>916</v>
      </c>
      <c r="L119" s="524" t="s">
        <v>916</v>
      </c>
      <c r="M119" s="524" t="s">
        <v>916</v>
      </c>
      <c r="N119" s="524" t="s">
        <v>916</v>
      </c>
      <c r="O119" s="527" t="s">
        <v>606</v>
      </c>
      <c r="P119" s="531" t="s">
        <v>944</v>
      </c>
      <c r="Q119" s="532">
        <f>COUNTIF(J$108:N$132,"branches")</f>
        <v>9</v>
      </c>
      <c r="R119" s="532">
        <f>COUNTIF(J$133:N$157,"branches")</f>
        <v>9</v>
      </c>
      <c r="S119" s="1362"/>
      <c r="T119" s="1363"/>
    </row>
    <row r="120" spans="1:20" ht="96">
      <c r="A120" s="483"/>
      <c r="B120" s="491"/>
      <c r="C120" s="542">
        <v>13</v>
      </c>
      <c r="D120" s="830" t="s">
        <v>1007</v>
      </c>
      <c r="E120" s="831" t="s">
        <v>1522</v>
      </c>
      <c r="F120" s="831" t="s">
        <v>1210</v>
      </c>
      <c r="G120" s="833">
        <v>2014</v>
      </c>
      <c r="H120" s="833" t="s">
        <v>929</v>
      </c>
      <c r="J120" s="524" t="s">
        <v>840</v>
      </c>
      <c r="K120" s="524" t="s">
        <v>933</v>
      </c>
      <c r="L120" s="524" t="s">
        <v>916</v>
      </c>
      <c r="M120" s="524" t="s">
        <v>916</v>
      </c>
      <c r="N120" s="524" t="s">
        <v>916</v>
      </c>
      <c r="O120" s="527" t="s">
        <v>605</v>
      </c>
      <c r="P120" s="531" t="s">
        <v>945</v>
      </c>
      <c r="Q120" s="532">
        <f>COUNTIF(J$108:N$132,"trunk")</f>
        <v>7</v>
      </c>
      <c r="R120" s="532">
        <f>COUNTIF(J$133:N$157,"trunk")</f>
        <v>11</v>
      </c>
      <c r="S120" s="1362"/>
      <c r="T120" s="1363"/>
    </row>
    <row r="121" spans="1:20" ht="216.75" thickBot="1">
      <c r="A121" s="483"/>
      <c r="B121" s="491"/>
      <c r="C121" s="542">
        <v>14</v>
      </c>
      <c r="D121" s="495" t="s">
        <v>1492</v>
      </c>
      <c r="E121" s="495" t="s">
        <v>1493</v>
      </c>
      <c r="F121" s="495" t="s">
        <v>1494</v>
      </c>
      <c r="G121" s="524">
        <v>2014</v>
      </c>
      <c r="H121" s="524" t="s">
        <v>928</v>
      </c>
      <c r="J121" s="524" t="s">
        <v>840</v>
      </c>
      <c r="K121" s="524" t="s">
        <v>933</v>
      </c>
      <c r="L121" s="524" t="s">
        <v>916</v>
      </c>
      <c r="M121" s="524" t="s">
        <v>916</v>
      </c>
      <c r="N121" s="524" t="s">
        <v>916</v>
      </c>
      <c r="O121" s="535"/>
      <c r="P121" s="533" t="s">
        <v>946</v>
      </c>
      <c r="Q121" s="534">
        <f>COUNTIF(J$108:N$132,"roots")</f>
        <v>3</v>
      </c>
      <c r="R121" s="534">
        <f>COUNTIF(J$133:N$157,"roots")</f>
        <v>3</v>
      </c>
      <c r="S121" s="1362"/>
      <c r="T121" s="1363"/>
    </row>
    <row r="122" spans="1:20" ht="192">
      <c r="A122" s="483"/>
      <c r="B122" s="491"/>
      <c r="C122" s="542">
        <v>15</v>
      </c>
      <c r="D122" s="492" t="s">
        <v>1517</v>
      </c>
      <c r="E122" s="495" t="s">
        <v>1518</v>
      </c>
      <c r="F122" s="495" t="s">
        <v>854</v>
      </c>
      <c r="G122" s="524">
        <v>2014</v>
      </c>
      <c r="H122" s="524" t="s">
        <v>930</v>
      </c>
      <c r="J122" s="524" t="s">
        <v>605</v>
      </c>
      <c r="K122" s="524" t="s">
        <v>606</v>
      </c>
      <c r="L122" s="524" t="s">
        <v>933</v>
      </c>
      <c r="M122" s="524" t="s">
        <v>840</v>
      </c>
      <c r="N122" s="524" t="s">
        <v>932</v>
      </c>
      <c r="O122" s="535"/>
    </row>
    <row r="123" spans="1:20" ht="276">
      <c r="A123" s="483"/>
      <c r="B123" s="491"/>
      <c r="C123" s="542">
        <v>16</v>
      </c>
      <c r="D123" s="492" t="s">
        <v>1271</v>
      </c>
      <c r="E123" s="495" t="s">
        <v>1519</v>
      </c>
      <c r="F123" s="495" t="s">
        <v>854</v>
      </c>
      <c r="G123" s="524">
        <v>2014</v>
      </c>
      <c r="H123" s="524" t="s">
        <v>929</v>
      </c>
      <c r="J123" s="524" t="s">
        <v>606</v>
      </c>
      <c r="K123" s="524" t="s">
        <v>605</v>
      </c>
      <c r="L123" s="524" t="s">
        <v>916</v>
      </c>
      <c r="M123" s="524" t="s">
        <v>916</v>
      </c>
      <c r="N123" s="524" t="s">
        <v>916</v>
      </c>
      <c r="O123" s="535"/>
    </row>
    <row r="124" spans="1:20" ht="24">
      <c r="A124" s="483"/>
      <c r="B124" s="491"/>
      <c r="C124" s="542">
        <v>17</v>
      </c>
      <c r="D124" s="492" t="s">
        <v>851</v>
      </c>
      <c r="E124" s="495" t="s">
        <v>853</v>
      </c>
      <c r="F124" s="495" t="s">
        <v>854</v>
      </c>
      <c r="G124" s="524" t="s">
        <v>913</v>
      </c>
      <c r="H124" s="524" t="s">
        <v>916</v>
      </c>
      <c r="J124" s="524" t="s">
        <v>916</v>
      </c>
      <c r="K124" s="524" t="s">
        <v>916</v>
      </c>
      <c r="L124" s="524" t="s">
        <v>916</v>
      </c>
      <c r="M124" s="524" t="s">
        <v>916</v>
      </c>
      <c r="N124" s="524" t="s">
        <v>916</v>
      </c>
      <c r="O124" s="535"/>
    </row>
    <row r="125" spans="1:20" ht="24">
      <c r="A125" s="483"/>
      <c r="B125" s="491"/>
      <c r="C125" s="542">
        <v>18</v>
      </c>
      <c r="D125" s="492" t="s">
        <v>851</v>
      </c>
      <c r="E125" s="495" t="s">
        <v>853</v>
      </c>
      <c r="F125" s="495" t="s">
        <v>854</v>
      </c>
      <c r="G125" s="524" t="s">
        <v>913</v>
      </c>
      <c r="H125" s="524" t="s">
        <v>916</v>
      </c>
      <c r="J125" s="524" t="s">
        <v>916</v>
      </c>
      <c r="K125" s="524" t="s">
        <v>916</v>
      </c>
      <c r="L125" s="524" t="s">
        <v>916</v>
      </c>
      <c r="M125" s="524" t="s">
        <v>916</v>
      </c>
      <c r="N125" s="524" t="s">
        <v>916</v>
      </c>
      <c r="O125" s="535"/>
    </row>
    <row r="126" spans="1:20" ht="24">
      <c r="A126" s="483"/>
      <c r="B126" s="491"/>
      <c r="C126" s="542">
        <v>19</v>
      </c>
      <c r="D126" s="492" t="s">
        <v>851</v>
      </c>
      <c r="E126" s="495" t="s">
        <v>853</v>
      </c>
      <c r="F126" s="495" t="s">
        <v>854</v>
      </c>
      <c r="G126" s="524" t="s">
        <v>913</v>
      </c>
      <c r="H126" s="524" t="s">
        <v>916</v>
      </c>
      <c r="J126" s="524" t="s">
        <v>916</v>
      </c>
      <c r="K126" s="524" t="s">
        <v>916</v>
      </c>
      <c r="L126" s="524" t="s">
        <v>916</v>
      </c>
      <c r="M126" s="524" t="s">
        <v>916</v>
      </c>
      <c r="N126" s="524" t="s">
        <v>916</v>
      </c>
      <c r="O126" s="535"/>
    </row>
    <row r="127" spans="1:20" ht="24">
      <c r="A127" s="483"/>
      <c r="B127" s="491"/>
      <c r="C127" s="542">
        <v>20</v>
      </c>
      <c r="D127" s="492" t="s">
        <v>851</v>
      </c>
      <c r="E127" s="495" t="s">
        <v>853</v>
      </c>
      <c r="F127" s="495" t="s">
        <v>854</v>
      </c>
      <c r="G127" s="524" t="s">
        <v>913</v>
      </c>
      <c r="H127" s="524" t="s">
        <v>916</v>
      </c>
      <c r="J127" s="524" t="s">
        <v>916</v>
      </c>
      <c r="K127" s="524" t="s">
        <v>916</v>
      </c>
      <c r="L127" s="524" t="s">
        <v>916</v>
      </c>
      <c r="M127" s="524" t="s">
        <v>916</v>
      </c>
      <c r="N127" s="524" t="s">
        <v>916</v>
      </c>
      <c r="O127" s="535"/>
    </row>
    <row r="128" spans="1:20" ht="24">
      <c r="A128" s="483"/>
      <c r="B128" s="491"/>
      <c r="C128" s="542">
        <v>21</v>
      </c>
      <c r="D128" s="492" t="s">
        <v>851</v>
      </c>
      <c r="E128" s="495" t="s">
        <v>853</v>
      </c>
      <c r="F128" s="495" t="s">
        <v>854</v>
      </c>
      <c r="G128" s="524" t="s">
        <v>913</v>
      </c>
      <c r="H128" s="524" t="s">
        <v>916</v>
      </c>
      <c r="J128" s="524" t="s">
        <v>916</v>
      </c>
      <c r="K128" s="524" t="s">
        <v>916</v>
      </c>
      <c r="L128" s="524" t="s">
        <v>916</v>
      </c>
      <c r="M128" s="524" t="s">
        <v>916</v>
      </c>
      <c r="N128" s="524" t="s">
        <v>916</v>
      </c>
    </row>
    <row r="129" spans="1:14" ht="24">
      <c r="A129" s="483"/>
      <c r="B129" s="491"/>
      <c r="C129" s="542">
        <v>22</v>
      </c>
      <c r="D129" s="492" t="s">
        <v>851</v>
      </c>
      <c r="E129" s="495" t="s">
        <v>853</v>
      </c>
      <c r="F129" s="495" t="s">
        <v>854</v>
      </c>
      <c r="G129" s="524" t="s">
        <v>913</v>
      </c>
      <c r="H129" s="524" t="s">
        <v>916</v>
      </c>
      <c r="J129" s="524" t="s">
        <v>916</v>
      </c>
      <c r="K129" s="524" t="s">
        <v>916</v>
      </c>
      <c r="L129" s="524" t="s">
        <v>916</v>
      </c>
      <c r="M129" s="524" t="s">
        <v>916</v>
      </c>
      <c r="N129" s="524" t="s">
        <v>916</v>
      </c>
    </row>
    <row r="130" spans="1:14" ht="24">
      <c r="A130" s="483"/>
      <c r="B130" s="491"/>
      <c r="C130" s="542">
        <v>23</v>
      </c>
      <c r="D130" s="492" t="s">
        <v>851</v>
      </c>
      <c r="E130" s="495" t="s">
        <v>853</v>
      </c>
      <c r="F130" s="495" t="s">
        <v>854</v>
      </c>
      <c r="G130" s="524" t="s">
        <v>913</v>
      </c>
      <c r="H130" s="524" t="s">
        <v>916</v>
      </c>
      <c r="J130" s="524" t="s">
        <v>916</v>
      </c>
      <c r="K130" s="524" t="s">
        <v>916</v>
      </c>
      <c r="L130" s="524" t="s">
        <v>916</v>
      </c>
      <c r="M130" s="524" t="s">
        <v>916</v>
      </c>
      <c r="N130" s="524" t="s">
        <v>916</v>
      </c>
    </row>
    <row r="131" spans="1:14" ht="24">
      <c r="A131" s="483"/>
      <c r="B131" s="491"/>
      <c r="C131" s="542">
        <v>24</v>
      </c>
      <c r="D131" s="492" t="s">
        <v>851</v>
      </c>
      <c r="E131" s="495" t="s">
        <v>853</v>
      </c>
      <c r="F131" s="495" t="s">
        <v>854</v>
      </c>
      <c r="G131" s="524" t="s">
        <v>913</v>
      </c>
      <c r="H131" s="524" t="s">
        <v>916</v>
      </c>
      <c r="J131" s="524" t="s">
        <v>916</v>
      </c>
      <c r="K131" s="524" t="s">
        <v>916</v>
      </c>
      <c r="L131" s="524" t="s">
        <v>916</v>
      </c>
      <c r="M131" s="524" t="s">
        <v>916</v>
      </c>
      <c r="N131" s="524" t="s">
        <v>916</v>
      </c>
    </row>
    <row r="132" spans="1:14" ht="24.75" thickBot="1">
      <c r="A132" s="484"/>
      <c r="B132" s="489"/>
      <c r="C132" s="543">
        <v>25</v>
      </c>
      <c r="D132" s="493" t="s">
        <v>851</v>
      </c>
      <c r="E132" s="493" t="s">
        <v>853</v>
      </c>
      <c r="F132" s="493" t="s">
        <v>854</v>
      </c>
      <c r="G132" s="536" t="s">
        <v>913</v>
      </c>
      <c r="H132" s="536" t="s">
        <v>916</v>
      </c>
      <c r="J132" s="536" t="s">
        <v>916</v>
      </c>
      <c r="K132" s="536" t="s">
        <v>916</v>
      </c>
      <c r="L132" s="536" t="s">
        <v>916</v>
      </c>
      <c r="M132" s="536" t="s">
        <v>916</v>
      </c>
      <c r="N132" s="536" t="s">
        <v>916</v>
      </c>
    </row>
    <row r="133" spans="1:14" ht="48">
      <c r="A133" s="483"/>
      <c r="B133" s="499" t="s">
        <v>858</v>
      </c>
      <c r="C133" s="542">
        <v>1</v>
      </c>
      <c r="D133" s="843" t="s">
        <v>859</v>
      </c>
      <c r="E133" s="844" t="s">
        <v>905</v>
      </c>
      <c r="F133" s="843" t="s">
        <v>852</v>
      </c>
      <c r="G133" s="845">
        <v>2013</v>
      </c>
      <c r="H133" s="845" t="s">
        <v>928</v>
      </c>
      <c r="J133" s="845" t="s">
        <v>933</v>
      </c>
      <c r="K133" s="845" t="s">
        <v>840</v>
      </c>
      <c r="L133" s="845" t="s">
        <v>916</v>
      </c>
      <c r="M133" s="845" t="s">
        <v>916</v>
      </c>
      <c r="N133" s="845" t="s">
        <v>916</v>
      </c>
    </row>
    <row r="134" spans="1:14" ht="36">
      <c r="A134" s="483"/>
      <c r="B134" s="496"/>
      <c r="C134" s="542">
        <v>2</v>
      </c>
      <c r="D134" s="759" t="s">
        <v>903</v>
      </c>
      <c r="E134" s="762" t="s">
        <v>906</v>
      </c>
      <c r="F134" s="760" t="s">
        <v>854</v>
      </c>
      <c r="G134" s="761">
        <v>2013</v>
      </c>
      <c r="H134" s="845" t="s">
        <v>928</v>
      </c>
      <c r="J134" s="761" t="s">
        <v>933</v>
      </c>
      <c r="K134" s="761" t="s">
        <v>840</v>
      </c>
      <c r="L134" s="761" t="s">
        <v>916</v>
      </c>
      <c r="M134" s="761" t="s">
        <v>916</v>
      </c>
      <c r="N134" s="761" t="s">
        <v>916</v>
      </c>
    </row>
    <row r="135" spans="1:14" ht="24">
      <c r="A135" s="483"/>
      <c r="B135" s="491"/>
      <c r="C135" s="542">
        <v>3</v>
      </c>
      <c r="D135" s="759" t="s">
        <v>861</v>
      </c>
      <c r="E135" s="762" t="s">
        <v>906</v>
      </c>
      <c r="F135" s="760" t="s">
        <v>854</v>
      </c>
      <c r="G135" s="761">
        <v>2013</v>
      </c>
      <c r="H135" s="845" t="s">
        <v>928</v>
      </c>
      <c r="J135" s="761" t="s">
        <v>933</v>
      </c>
      <c r="K135" s="761" t="s">
        <v>840</v>
      </c>
      <c r="L135" s="761" t="s">
        <v>916</v>
      </c>
      <c r="M135" s="761" t="s">
        <v>916</v>
      </c>
      <c r="N135" s="761" t="s">
        <v>916</v>
      </c>
    </row>
    <row r="136" spans="1:14" ht="60">
      <c r="A136" s="483"/>
      <c r="B136" s="491"/>
      <c r="C136" s="542">
        <v>4</v>
      </c>
      <c r="D136" s="759" t="s">
        <v>860</v>
      </c>
      <c r="E136" s="762" t="s">
        <v>904</v>
      </c>
      <c r="F136" s="760" t="s">
        <v>854</v>
      </c>
      <c r="G136" s="761">
        <v>2013</v>
      </c>
      <c r="H136" s="761" t="s">
        <v>929</v>
      </c>
      <c r="J136" s="761" t="s">
        <v>606</v>
      </c>
      <c r="K136" s="761" t="s">
        <v>933</v>
      </c>
      <c r="L136" s="761" t="s">
        <v>840</v>
      </c>
      <c r="M136" s="761" t="s">
        <v>916</v>
      </c>
      <c r="N136" s="761" t="s">
        <v>916</v>
      </c>
    </row>
    <row r="137" spans="1:14" ht="60">
      <c r="A137" s="483"/>
      <c r="B137" s="491"/>
      <c r="C137" s="542">
        <v>5</v>
      </c>
      <c r="D137" s="760" t="s">
        <v>1008</v>
      </c>
      <c r="E137" s="762" t="s">
        <v>1009</v>
      </c>
      <c r="F137" s="760" t="s">
        <v>854</v>
      </c>
      <c r="G137" s="761">
        <v>2014</v>
      </c>
      <c r="H137" s="845" t="s">
        <v>929</v>
      </c>
      <c r="J137" s="761" t="s">
        <v>606</v>
      </c>
      <c r="K137" s="761" t="s">
        <v>933</v>
      </c>
      <c r="L137" s="761" t="s">
        <v>840</v>
      </c>
      <c r="M137" s="761" t="s">
        <v>916</v>
      </c>
      <c r="N137" s="761" t="s">
        <v>916</v>
      </c>
    </row>
    <row r="138" spans="1:14" ht="24">
      <c r="A138" s="483"/>
      <c r="B138" s="491"/>
      <c r="C138" s="542">
        <v>6</v>
      </c>
      <c r="D138" s="759" t="s">
        <v>862</v>
      </c>
      <c r="E138" s="762" t="s">
        <v>895</v>
      </c>
      <c r="F138" s="760" t="s">
        <v>854</v>
      </c>
      <c r="G138" s="761">
        <v>2013</v>
      </c>
      <c r="H138" s="761" t="s">
        <v>927</v>
      </c>
      <c r="J138" s="761" t="s">
        <v>933</v>
      </c>
      <c r="K138" s="761" t="s">
        <v>840</v>
      </c>
      <c r="L138" s="761" t="s">
        <v>916</v>
      </c>
      <c r="M138" s="761" t="s">
        <v>916</v>
      </c>
      <c r="N138" s="761" t="s">
        <v>916</v>
      </c>
    </row>
    <row r="139" spans="1:14" ht="84">
      <c r="A139" s="483"/>
      <c r="B139" s="491"/>
      <c r="C139" s="542">
        <v>7</v>
      </c>
      <c r="D139" s="759" t="s">
        <v>1543</v>
      </c>
      <c r="E139" s="762" t="s">
        <v>1544</v>
      </c>
      <c r="F139" s="760" t="s">
        <v>854</v>
      </c>
      <c r="G139" s="761">
        <v>2014</v>
      </c>
      <c r="H139" s="761" t="s">
        <v>929</v>
      </c>
      <c r="J139" s="761" t="s">
        <v>606</v>
      </c>
      <c r="K139" s="761" t="s">
        <v>933</v>
      </c>
      <c r="L139" s="761" t="s">
        <v>840</v>
      </c>
      <c r="M139" s="761" t="s">
        <v>916</v>
      </c>
      <c r="N139" s="761" t="s">
        <v>916</v>
      </c>
    </row>
    <row r="140" spans="1:14" ht="36">
      <c r="A140" s="483"/>
      <c r="B140" s="491"/>
      <c r="C140" s="542">
        <v>8</v>
      </c>
      <c r="D140" s="759" t="s">
        <v>1010</v>
      </c>
      <c r="E140" s="760" t="s">
        <v>1011</v>
      </c>
      <c r="F140" s="760" t="s">
        <v>854</v>
      </c>
      <c r="G140" s="761">
        <v>2014</v>
      </c>
      <c r="H140" s="761" t="s">
        <v>928</v>
      </c>
      <c r="J140" s="761" t="s">
        <v>840</v>
      </c>
      <c r="K140" s="761" t="s">
        <v>916</v>
      </c>
      <c r="L140" s="761" t="s">
        <v>916</v>
      </c>
      <c r="M140" s="761" t="s">
        <v>916</v>
      </c>
      <c r="N140" s="761" t="s">
        <v>916</v>
      </c>
    </row>
    <row r="141" spans="1:14" ht="132">
      <c r="A141" s="483"/>
      <c r="B141" s="491"/>
      <c r="C141" s="542">
        <v>9</v>
      </c>
      <c r="D141" s="759" t="s">
        <v>1012</v>
      </c>
      <c r="E141" s="760" t="s">
        <v>1291</v>
      </c>
      <c r="F141" s="760" t="s">
        <v>854</v>
      </c>
      <c r="G141" s="761">
        <v>2014</v>
      </c>
      <c r="H141" s="761" t="s">
        <v>929</v>
      </c>
      <c r="J141" s="761" t="s">
        <v>605</v>
      </c>
      <c r="K141" s="761" t="s">
        <v>606</v>
      </c>
      <c r="L141" s="761" t="s">
        <v>933</v>
      </c>
      <c r="M141" s="761" t="s">
        <v>840</v>
      </c>
      <c r="N141" s="761" t="s">
        <v>932</v>
      </c>
    </row>
    <row r="142" spans="1:14" ht="36">
      <c r="A142" s="483"/>
      <c r="B142" s="491"/>
      <c r="C142" s="542">
        <v>10</v>
      </c>
      <c r="D142" s="759" t="s">
        <v>1275</v>
      </c>
      <c r="E142" s="760" t="s">
        <v>1292</v>
      </c>
      <c r="F142" s="760" t="s">
        <v>854</v>
      </c>
      <c r="G142" s="761">
        <v>2014</v>
      </c>
      <c r="H142" s="761" t="s">
        <v>930</v>
      </c>
      <c r="J142" s="761" t="s">
        <v>605</v>
      </c>
      <c r="K142" s="761" t="s">
        <v>606</v>
      </c>
      <c r="L142" s="761" t="s">
        <v>916</v>
      </c>
      <c r="M142" s="761" t="s">
        <v>916</v>
      </c>
      <c r="N142" s="761" t="s">
        <v>916</v>
      </c>
    </row>
    <row r="143" spans="1:14" ht="24">
      <c r="A143" s="483"/>
      <c r="B143" s="491"/>
      <c r="C143" s="542">
        <v>11</v>
      </c>
      <c r="D143" s="759" t="s">
        <v>1277</v>
      </c>
      <c r="E143" s="760" t="s">
        <v>1276</v>
      </c>
      <c r="F143" s="760" t="s">
        <v>854</v>
      </c>
      <c r="G143" s="761">
        <v>2014</v>
      </c>
      <c r="H143" s="761" t="s">
        <v>929</v>
      </c>
      <c r="J143" s="761" t="s">
        <v>606</v>
      </c>
      <c r="K143" s="761" t="s">
        <v>916</v>
      </c>
      <c r="L143" s="761" t="s">
        <v>916</v>
      </c>
      <c r="M143" s="761" t="s">
        <v>916</v>
      </c>
      <c r="N143" s="761" t="s">
        <v>916</v>
      </c>
    </row>
    <row r="144" spans="1:14" ht="24">
      <c r="A144" s="483"/>
      <c r="B144" s="491"/>
      <c r="C144" s="542">
        <v>12</v>
      </c>
      <c r="D144" s="759" t="s">
        <v>1279</v>
      </c>
      <c r="E144" s="760" t="s">
        <v>1278</v>
      </c>
      <c r="F144" s="760" t="s">
        <v>854</v>
      </c>
      <c r="G144" s="761">
        <v>2014</v>
      </c>
      <c r="H144" s="761" t="s">
        <v>929</v>
      </c>
      <c r="J144" s="761" t="s">
        <v>606</v>
      </c>
      <c r="K144" s="761" t="s">
        <v>916</v>
      </c>
      <c r="L144" s="761" t="s">
        <v>916</v>
      </c>
      <c r="M144" s="761" t="s">
        <v>916</v>
      </c>
      <c r="N144" s="761" t="s">
        <v>916</v>
      </c>
    </row>
    <row r="145" spans="1:30" ht="36">
      <c r="A145" s="483"/>
      <c r="B145" s="491"/>
      <c r="C145" s="542">
        <v>13</v>
      </c>
      <c r="D145" s="759" t="s">
        <v>1281</v>
      </c>
      <c r="E145" s="760" t="s">
        <v>1280</v>
      </c>
      <c r="F145" s="760" t="s">
        <v>854</v>
      </c>
      <c r="G145" s="761">
        <v>2014</v>
      </c>
      <c r="H145" s="761" t="s">
        <v>929</v>
      </c>
      <c r="J145" s="761" t="s">
        <v>606</v>
      </c>
      <c r="K145" s="761" t="s">
        <v>916</v>
      </c>
      <c r="L145" s="761" t="s">
        <v>916</v>
      </c>
      <c r="M145" s="761" t="s">
        <v>916</v>
      </c>
      <c r="N145" s="761" t="s">
        <v>916</v>
      </c>
    </row>
    <row r="146" spans="1:30" ht="48">
      <c r="A146" s="483"/>
      <c r="B146" s="491"/>
      <c r="C146" s="542">
        <v>14</v>
      </c>
      <c r="D146" s="759" t="s">
        <v>1283</v>
      </c>
      <c r="E146" s="760" t="s">
        <v>1282</v>
      </c>
      <c r="F146" s="760" t="s">
        <v>854</v>
      </c>
      <c r="G146" s="761">
        <v>2014</v>
      </c>
      <c r="H146" s="761" t="s">
        <v>929</v>
      </c>
      <c r="J146" s="761" t="s">
        <v>606</v>
      </c>
      <c r="K146" s="761" t="s">
        <v>916</v>
      </c>
      <c r="L146" s="761" t="s">
        <v>916</v>
      </c>
      <c r="M146" s="761" t="s">
        <v>916</v>
      </c>
      <c r="N146" s="761" t="s">
        <v>916</v>
      </c>
    </row>
    <row r="147" spans="1:30" ht="48">
      <c r="A147" s="483"/>
      <c r="B147" s="491"/>
      <c r="C147" s="542">
        <v>15</v>
      </c>
      <c r="D147" s="759" t="s">
        <v>1285</v>
      </c>
      <c r="E147" s="760" t="s">
        <v>1284</v>
      </c>
      <c r="F147" s="760" t="s">
        <v>854</v>
      </c>
      <c r="G147" s="761">
        <v>2014</v>
      </c>
      <c r="H147" s="761" t="s">
        <v>929</v>
      </c>
      <c r="J147" s="761" t="s">
        <v>606</v>
      </c>
      <c r="K147" s="761" t="s">
        <v>916</v>
      </c>
      <c r="L147" s="761" t="s">
        <v>916</v>
      </c>
      <c r="M147" s="761" t="s">
        <v>916</v>
      </c>
      <c r="N147" s="761" t="s">
        <v>916</v>
      </c>
    </row>
    <row r="148" spans="1:30" ht="48">
      <c r="A148" s="483"/>
      <c r="B148" s="491"/>
      <c r="C148" s="542">
        <v>16</v>
      </c>
      <c r="D148" s="760" t="s">
        <v>1532</v>
      </c>
      <c r="E148" s="760" t="s">
        <v>1533</v>
      </c>
      <c r="F148" s="760" t="s">
        <v>854</v>
      </c>
      <c r="G148" s="761">
        <v>2015</v>
      </c>
      <c r="H148" s="761" t="s">
        <v>928</v>
      </c>
      <c r="J148" s="761" t="s">
        <v>605</v>
      </c>
      <c r="K148" s="761" t="s">
        <v>606</v>
      </c>
      <c r="L148" s="761" t="s">
        <v>933</v>
      </c>
      <c r="M148" s="761" t="s">
        <v>916</v>
      </c>
      <c r="N148" s="761" t="s">
        <v>916</v>
      </c>
    </row>
    <row r="149" spans="1:30" ht="24">
      <c r="A149" s="483"/>
      <c r="B149" s="491"/>
      <c r="C149" s="542">
        <v>17</v>
      </c>
      <c r="D149" s="759" t="s">
        <v>851</v>
      </c>
      <c r="E149" s="760" t="s">
        <v>853</v>
      </c>
      <c r="F149" s="760" t="s">
        <v>854</v>
      </c>
      <c r="G149" s="761" t="s">
        <v>913</v>
      </c>
      <c r="H149" s="761" t="s">
        <v>916</v>
      </c>
      <c r="J149" s="761" t="s">
        <v>916</v>
      </c>
      <c r="K149" s="761" t="s">
        <v>916</v>
      </c>
      <c r="L149" s="761" t="s">
        <v>916</v>
      </c>
      <c r="M149" s="761" t="s">
        <v>916</v>
      </c>
      <c r="N149" s="761" t="s">
        <v>916</v>
      </c>
    </row>
    <row r="150" spans="1:30" ht="24">
      <c r="A150" s="483"/>
      <c r="B150" s="491"/>
      <c r="C150" s="542">
        <v>18</v>
      </c>
      <c r="D150" s="759" t="s">
        <v>851</v>
      </c>
      <c r="E150" s="760" t="s">
        <v>853</v>
      </c>
      <c r="F150" s="760" t="s">
        <v>854</v>
      </c>
      <c r="G150" s="761" t="s">
        <v>913</v>
      </c>
      <c r="H150" s="761" t="s">
        <v>916</v>
      </c>
      <c r="J150" s="761" t="s">
        <v>916</v>
      </c>
      <c r="K150" s="761" t="s">
        <v>916</v>
      </c>
      <c r="L150" s="761" t="s">
        <v>916</v>
      </c>
      <c r="M150" s="761" t="s">
        <v>916</v>
      </c>
      <c r="N150" s="761" t="s">
        <v>916</v>
      </c>
    </row>
    <row r="151" spans="1:30" ht="24">
      <c r="A151" s="483"/>
      <c r="B151" s="491"/>
      <c r="C151" s="542">
        <v>19</v>
      </c>
      <c r="D151" s="759" t="s">
        <v>851</v>
      </c>
      <c r="E151" s="760" t="s">
        <v>853</v>
      </c>
      <c r="F151" s="760" t="s">
        <v>854</v>
      </c>
      <c r="G151" s="761" t="s">
        <v>913</v>
      </c>
      <c r="H151" s="761" t="s">
        <v>916</v>
      </c>
      <c r="J151" s="761" t="s">
        <v>916</v>
      </c>
      <c r="K151" s="761" t="s">
        <v>916</v>
      </c>
      <c r="L151" s="761" t="s">
        <v>916</v>
      </c>
      <c r="M151" s="761" t="s">
        <v>916</v>
      </c>
      <c r="N151" s="761" t="s">
        <v>916</v>
      </c>
    </row>
    <row r="152" spans="1:30" ht="24">
      <c r="A152" s="483"/>
      <c r="B152" s="491"/>
      <c r="C152" s="542">
        <v>20</v>
      </c>
      <c r="D152" s="759" t="s">
        <v>851</v>
      </c>
      <c r="E152" s="760" t="s">
        <v>853</v>
      </c>
      <c r="F152" s="760" t="s">
        <v>854</v>
      </c>
      <c r="G152" s="761" t="s">
        <v>913</v>
      </c>
      <c r="H152" s="761" t="s">
        <v>916</v>
      </c>
      <c r="J152" s="761" t="s">
        <v>916</v>
      </c>
      <c r="K152" s="761" t="s">
        <v>916</v>
      </c>
      <c r="L152" s="761" t="s">
        <v>916</v>
      </c>
      <c r="M152" s="761" t="s">
        <v>916</v>
      </c>
      <c r="N152" s="761" t="s">
        <v>916</v>
      </c>
    </row>
    <row r="153" spans="1:30" ht="24">
      <c r="A153" s="483"/>
      <c r="B153" s="491"/>
      <c r="C153" s="542">
        <v>21</v>
      </c>
      <c r="D153" s="759" t="s">
        <v>851</v>
      </c>
      <c r="E153" s="760" t="s">
        <v>853</v>
      </c>
      <c r="F153" s="760" t="s">
        <v>854</v>
      </c>
      <c r="G153" s="761" t="s">
        <v>913</v>
      </c>
      <c r="H153" s="761" t="s">
        <v>916</v>
      </c>
      <c r="J153" s="761" t="s">
        <v>916</v>
      </c>
      <c r="K153" s="761" t="s">
        <v>916</v>
      </c>
      <c r="L153" s="761" t="s">
        <v>916</v>
      </c>
      <c r="M153" s="761" t="s">
        <v>916</v>
      </c>
      <c r="N153" s="761" t="s">
        <v>916</v>
      </c>
    </row>
    <row r="154" spans="1:30" ht="24">
      <c r="A154" s="483"/>
      <c r="B154" s="491"/>
      <c r="C154" s="542">
        <v>22</v>
      </c>
      <c r="D154" s="759" t="s">
        <v>851</v>
      </c>
      <c r="E154" s="760" t="s">
        <v>853</v>
      </c>
      <c r="F154" s="760" t="s">
        <v>854</v>
      </c>
      <c r="G154" s="761" t="s">
        <v>913</v>
      </c>
      <c r="H154" s="761" t="s">
        <v>916</v>
      </c>
      <c r="J154" s="761" t="s">
        <v>916</v>
      </c>
      <c r="K154" s="761" t="s">
        <v>916</v>
      </c>
      <c r="L154" s="761" t="s">
        <v>916</v>
      </c>
      <c r="M154" s="761" t="s">
        <v>916</v>
      </c>
      <c r="N154" s="761" t="s">
        <v>916</v>
      </c>
    </row>
    <row r="155" spans="1:30" ht="24">
      <c r="A155" s="483"/>
      <c r="B155" s="491"/>
      <c r="C155" s="542">
        <v>23</v>
      </c>
      <c r="D155" s="759" t="s">
        <v>851</v>
      </c>
      <c r="E155" s="760" t="s">
        <v>853</v>
      </c>
      <c r="F155" s="760" t="s">
        <v>854</v>
      </c>
      <c r="G155" s="761" t="s">
        <v>913</v>
      </c>
      <c r="H155" s="761" t="s">
        <v>916</v>
      </c>
      <c r="J155" s="761" t="s">
        <v>916</v>
      </c>
      <c r="K155" s="761" t="s">
        <v>916</v>
      </c>
      <c r="L155" s="761" t="s">
        <v>916</v>
      </c>
      <c r="M155" s="761" t="s">
        <v>916</v>
      </c>
      <c r="N155" s="761" t="s">
        <v>916</v>
      </c>
    </row>
    <row r="156" spans="1:30" ht="24">
      <c r="A156" s="483"/>
      <c r="B156" s="491"/>
      <c r="C156" s="542">
        <v>24</v>
      </c>
      <c r="D156" s="759" t="s">
        <v>851</v>
      </c>
      <c r="E156" s="760" t="s">
        <v>853</v>
      </c>
      <c r="F156" s="760" t="s">
        <v>854</v>
      </c>
      <c r="G156" s="761" t="s">
        <v>913</v>
      </c>
      <c r="H156" s="761" t="s">
        <v>916</v>
      </c>
      <c r="J156" s="761" t="s">
        <v>916</v>
      </c>
      <c r="K156" s="761" t="s">
        <v>916</v>
      </c>
      <c r="L156" s="761" t="s">
        <v>916</v>
      </c>
      <c r="M156" s="761" t="s">
        <v>916</v>
      </c>
      <c r="N156" s="761" t="s">
        <v>916</v>
      </c>
    </row>
    <row r="157" spans="1:30" ht="24.75" thickBot="1">
      <c r="A157" s="484"/>
      <c r="B157" s="489"/>
      <c r="C157" s="543">
        <v>25</v>
      </c>
      <c r="D157" s="846" t="s">
        <v>851</v>
      </c>
      <c r="E157" s="846" t="s">
        <v>853</v>
      </c>
      <c r="F157" s="846" t="s">
        <v>854</v>
      </c>
      <c r="G157" s="847" t="s">
        <v>913</v>
      </c>
      <c r="H157" s="847" t="s">
        <v>916</v>
      </c>
      <c r="J157" s="847" t="s">
        <v>916</v>
      </c>
      <c r="K157" s="847" t="s">
        <v>916</v>
      </c>
      <c r="L157" s="847" t="s">
        <v>916</v>
      </c>
      <c r="M157" s="847" t="s">
        <v>916</v>
      </c>
      <c r="N157" s="847" t="s">
        <v>916</v>
      </c>
    </row>
    <row r="158" spans="1:30" s="164" customFormat="1"/>
    <row r="159" spans="1:30" s="31" customFormat="1"/>
    <row r="160" spans="1:30">
      <c r="D160" s="32"/>
      <c r="F160" s="32"/>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row>
    <row r="161" spans="1:30">
      <c r="D161" s="32"/>
      <c r="F161" s="32"/>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row>
    <row r="162" spans="1:30">
      <c r="D162" s="32"/>
      <c r="F162" s="32"/>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row>
    <row r="163" spans="1:30">
      <c r="D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row>
    <row r="164" spans="1:30">
      <c r="D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row>
    <row r="165" spans="1:30">
      <c r="D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row>
    <row r="166" spans="1:30">
      <c r="D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row>
    <row r="167" spans="1:30">
      <c r="D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row>
    <row r="168" spans="1:30">
      <c r="A168" s="121"/>
      <c r="B168" s="121"/>
      <c r="C168" s="121"/>
      <c r="D168" s="31"/>
      <c r="E168" s="16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row>
    <row r="169" spans="1:30">
      <c r="A169" s="121"/>
      <c r="B169" s="121"/>
      <c r="C169" s="121"/>
      <c r="D169" s="31"/>
      <c r="E169" s="16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row>
    <row r="170" spans="1:30">
      <c r="A170" s="121"/>
      <c r="B170" s="121"/>
      <c r="C170" s="121"/>
      <c r="D170" s="31"/>
      <c r="E170" s="16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row>
    <row r="171" spans="1:30">
      <c r="A171" s="121"/>
      <c r="B171" s="121"/>
      <c r="C171" s="121"/>
      <c r="D171" s="31"/>
      <c r="E171" s="16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row>
    <row r="172" spans="1:30">
      <c r="A172" s="121"/>
      <c r="B172" s="121"/>
      <c r="C172" s="121"/>
      <c r="D172" s="31"/>
      <c r="E172" s="16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row>
    <row r="173" spans="1:30">
      <c r="A173" s="121"/>
      <c r="B173" s="121"/>
      <c r="C173" s="121"/>
      <c r="D173" s="31"/>
      <c r="E173" s="16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row>
    <row r="174" spans="1:30">
      <c r="A174" s="121"/>
      <c r="B174" s="121"/>
      <c r="C174" s="121"/>
      <c r="D174" s="31"/>
      <c r="E174" s="16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row>
    <row r="175" spans="1:30">
      <c r="A175" s="121"/>
      <c r="B175" s="121"/>
      <c r="C175" s="121"/>
      <c r="D175" s="31"/>
      <c r="E175" s="16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row>
    <row r="176" spans="1:30">
      <c r="A176" s="121"/>
      <c r="B176" s="121"/>
      <c r="C176" s="121"/>
      <c r="D176" s="31"/>
      <c r="E176" s="16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row>
    <row r="177" spans="1:30">
      <c r="A177" s="121"/>
      <c r="B177" s="121"/>
      <c r="C177" s="121"/>
      <c r="D177" s="31"/>
      <c r="E177" s="16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row>
    <row r="178" spans="1:30">
      <c r="A178" s="121"/>
      <c r="B178" s="121"/>
      <c r="C178" s="121"/>
      <c r="D178" s="31"/>
      <c r="E178" s="16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row>
    <row r="179" spans="1:30">
      <c r="A179" s="121"/>
      <c r="B179" s="121"/>
      <c r="C179" s="121"/>
      <c r="D179" s="31"/>
      <c r="E179" s="16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row>
    <row r="180" spans="1:30">
      <c r="A180" s="121"/>
      <c r="B180" s="121"/>
      <c r="C180" s="121"/>
      <c r="D180" s="31"/>
      <c r="E180" s="16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row>
    <row r="181" spans="1:30">
      <c r="A181" s="121"/>
      <c r="B181" s="121"/>
      <c r="C181" s="121"/>
      <c r="D181" s="31"/>
      <c r="E181" s="16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row>
    <row r="182" spans="1:30">
      <c r="A182" s="121"/>
      <c r="B182" s="121"/>
      <c r="C182" s="121"/>
      <c r="D182" s="31"/>
      <c r="E182" s="16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row>
    <row r="183" spans="1:30">
      <c r="A183" s="121"/>
      <c r="B183" s="121"/>
      <c r="C183" s="121"/>
      <c r="D183" s="31"/>
      <c r="E183" s="16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row>
    <row r="184" spans="1:30">
      <c r="D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row>
    <row r="185" spans="1:30">
      <c r="D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row>
    <row r="186" spans="1:30">
      <c r="A186" s="31"/>
      <c r="D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row>
    <row r="187" spans="1:30">
      <c r="A187" s="31"/>
      <c r="D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row>
    <row r="188" spans="1:30">
      <c r="A188" s="31"/>
      <c r="D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row>
    <row r="189" spans="1:30">
      <c r="A189" s="31"/>
      <c r="D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row>
    <row r="190" spans="1:30">
      <c r="A190" s="31"/>
      <c r="D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row>
    <row r="191" spans="1:30">
      <c r="A191" s="31"/>
      <c r="D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row>
    <row r="192" spans="1:30">
      <c r="A192" s="31"/>
      <c r="D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1"/>
    </row>
    <row r="193" spans="1:30">
      <c r="A193" s="31"/>
      <c r="D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row>
    <row r="194" spans="1:30">
      <c r="A194" s="31"/>
      <c r="D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1"/>
    </row>
    <row r="195" spans="1:30">
      <c r="A195" s="31"/>
      <c r="D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1"/>
    </row>
    <row r="196" spans="1:30">
      <c r="A196" s="31"/>
      <c r="D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1"/>
    </row>
    <row r="197" spans="1:30">
      <c r="A197" s="31"/>
      <c r="D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1"/>
    </row>
    <row r="198" spans="1:30">
      <c r="A198" s="31"/>
      <c r="D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1"/>
    </row>
    <row r="199" spans="1:30">
      <c r="A199" s="31"/>
      <c r="D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c r="AD199" s="31"/>
    </row>
    <row r="200" spans="1:30">
      <c r="A200" s="31"/>
      <c r="D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row>
    <row r="201" spans="1:30">
      <c r="A201" s="31"/>
      <c r="D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1"/>
    </row>
    <row r="202" spans="1:30">
      <c r="A202" s="31"/>
      <c r="D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row>
    <row r="203" spans="1:30">
      <c r="A203" s="31"/>
      <c r="D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1"/>
    </row>
    <row r="204" spans="1:30">
      <c r="A204" s="31"/>
      <c r="D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row>
    <row r="205" spans="1:30">
      <c r="A205" s="31"/>
      <c r="D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1"/>
    </row>
    <row r="206" spans="1:30">
      <c r="A206" s="31"/>
      <c r="D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row>
    <row r="207" spans="1:30">
      <c r="A207" s="31"/>
      <c r="D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1"/>
    </row>
    <row r="208" spans="1:30">
      <c r="A208" s="31"/>
      <c r="D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row>
    <row r="209" spans="1:30">
      <c r="A209" s="31"/>
      <c r="D209" s="31"/>
      <c r="F209" s="31"/>
      <c r="G209" s="31"/>
      <c r="H209" s="31"/>
      <c r="I209" s="31"/>
      <c r="J209" s="31"/>
      <c r="K209" s="31"/>
      <c r="L209" s="31"/>
      <c r="M209" s="31"/>
      <c r="N209" s="31"/>
      <c r="O209" s="31"/>
      <c r="P209" s="31"/>
      <c r="Q209" s="31"/>
      <c r="R209" s="31"/>
      <c r="S209" s="31"/>
      <c r="T209" s="31"/>
      <c r="U209" s="31"/>
      <c r="V209" s="31"/>
      <c r="W209" s="31"/>
      <c r="X209" s="31"/>
      <c r="Y209" s="31"/>
      <c r="Z209" s="31"/>
      <c r="AA209" s="31"/>
      <c r="AB209" s="31"/>
      <c r="AC209" s="31"/>
      <c r="AD209" s="31"/>
    </row>
    <row r="210" spans="1:30">
      <c r="A210" s="31"/>
      <c r="D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c r="AC210" s="31"/>
      <c r="AD210" s="31"/>
    </row>
    <row r="211" spans="1:30">
      <c r="A211" s="31"/>
      <c r="D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1"/>
    </row>
    <row r="212" spans="1:30">
      <c r="A212" s="31"/>
      <c r="D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1"/>
    </row>
    <row r="213" spans="1:30">
      <c r="A213" s="31"/>
      <c r="D213" s="31"/>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row>
    <row r="214" spans="1:30">
      <c r="A214" s="31"/>
      <c r="D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1"/>
    </row>
    <row r="215" spans="1:30">
      <c r="A215" s="31"/>
      <c r="D215" s="31"/>
      <c r="F215" s="31"/>
      <c r="G215" s="31"/>
      <c r="H215" s="31"/>
      <c r="I215" s="31"/>
      <c r="J215" s="31"/>
      <c r="K215" s="31"/>
      <c r="L215" s="31"/>
      <c r="M215" s="31"/>
      <c r="N215" s="31"/>
      <c r="O215" s="31"/>
      <c r="P215" s="31"/>
      <c r="Q215" s="31"/>
      <c r="R215" s="31"/>
      <c r="S215" s="31"/>
      <c r="T215" s="31"/>
      <c r="U215" s="31"/>
      <c r="V215" s="31"/>
      <c r="W215" s="31"/>
      <c r="X215" s="31"/>
      <c r="Y215" s="31"/>
      <c r="Z215" s="31"/>
      <c r="AA215" s="31"/>
      <c r="AB215" s="31"/>
      <c r="AC215" s="31"/>
      <c r="AD215" s="31"/>
    </row>
    <row r="216" spans="1:30">
      <c r="A216" s="31"/>
      <c r="D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1"/>
    </row>
    <row r="217" spans="1:30">
      <c r="A217" s="31"/>
      <c r="D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row>
    <row r="218" spans="1:30">
      <c r="A218" s="31"/>
      <c r="D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1"/>
    </row>
    <row r="219" spans="1:30">
      <c r="A219" s="31"/>
      <c r="D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row>
    <row r="220" spans="1:30">
      <c r="A220" s="31"/>
      <c r="D220" s="31"/>
      <c r="F220" s="31"/>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row>
    <row r="221" spans="1:30">
      <c r="A221" s="31"/>
      <c r="D221" s="31"/>
      <c r="F221" s="31"/>
      <c r="G221" s="31"/>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row>
    <row r="222" spans="1:30">
      <c r="A222" s="31"/>
      <c r="D222" s="31"/>
      <c r="F222" s="31"/>
      <c r="G222" s="31"/>
      <c r="H222" s="31"/>
      <c r="I222" s="31"/>
      <c r="J222" s="31"/>
      <c r="K222" s="31"/>
      <c r="L222" s="31"/>
      <c r="M222" s="31"/>
      <c r="N222" s="31"/>
      <c r="O222" s="31"/>
      <c r="P222" s="31"/>
      <c r="Q222" s="31"/>
      <c r="R222" s="31"/>
      <c r="S222" s="31"/>
      <c r="T222" s="31"/>
      <c r="U222" s="31"/>
      <c r="V222" s="31"/>
      <c r="W222" s="31"/>
      <c r="X222" s="31"/>
      <c r="Y222" s="31"/>
      <c r="Z222" s="31"/>
      <c r="AA222" s="31"/>
      <c r="AB222" s="31"/>
      <c r="AC222" s="31"/>
      <c r="AD222" s="31"/>
    </row>
    <row r="223" spans="1:30">
      <c r="A223" s="31"/>
      <c r="D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row>
    <row r="224" spans="1:30">
      <c r="A224" s="31"/>
      <c r="D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row>
    <row r="225" spans="1:30">
      <c r="A225" s="31"/>
      <c r="D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row>
    <row r="226" spans="1:30">
      <c r="A226" s="31"/>
      <c r="D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row>
    <row r="227" spans="1:30">
      <c r="A227" s="31"/>
      <c r="D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row>
    <row r="228" spans="1:30">
      <c r="A228" s="31"/>
      <c r="D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row>
    <row r="229" spans="1:30">
      <c r="A229" s="31"/>
      <c r="D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row>
    <row r="230" spans="1:30">
      <c r="A230" s="31"/>
      <c r="D230" s="31"/>
      <c r="F230" s="31"/>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1"/>
    </row>
    <row r="231" spans="1:30">
      <c r="A231" s="31"/>
      <c r="D231" s="31"/>
      <c r="F231" s="31"/>
      <c r="G231" s="31"/>
      <c r="H231" s="31"/>
      <c r="I231" s="31"/>
      <c r="J231" s="31"/>
      <c r="K231" s="31"/>
      <c r="L231" s="31"/>
      <c r="M231" s="31"/>
      <c r="N231" s="31"/>
      <c r="O231" s="31"/>
      <c r="P231" s="31"/>
      <c r="Q231" s="31"/>
      <c r="R231" s="31"/>
      <c r="S231" s="31"/>
      <c r="T231" s="31"/>
      <c r="U231" s="31"/>
      <c r="V231" s="31"/>
      <c r="W231" s="31"/>
      <c r="X231" s="31"/>
      <c r="Y231" s="31"/>
      <c r="Z231" s="31"/>
      <c r="AA231" s="31"/>
      <c r="AB231" s="31"/>
      <c r="AC231" s="31"/>
      <c r="AD231" s="31"/>
    </row>
    <row r="232" spans="1:30">
      <c r="A232" s="31"/>
      <c r="D232" s="31"/>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row>
    <row r="233" spans="1:30">
      <c r="A233" s="31"/>
      <c r="D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row>
    <row r="234" spans="1:30">
      <c r="A234" s="31"/>
      <c r="D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row>
    <row r="235" spans="1:30">
      <c r="A235" s="31"/>
      <c r="D235" s="31"/>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row>
    <row r="236" spans="1:30">
      <c r="A236" s="31"/>
      <c r="D236" s="31"/>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row>
    <row r="237" spans="1:30">
      <c r="A237" s="31"/>
      <c r="D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row>
    <row r="238" spans="1:30">
      <c r="A238" s="31"/>
      <c r="D238" s="31"/>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row>
    <row r="239" spans="1:30">
      <c r="A239" s="31"/>
      <c r="D239" s="31"/>
      <c r="F239" s="31"/>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row>
    <row r="240" spans="1:30">
      <c r="A240" s="31"/>
      <c r="D240" s="31"/>
      <c r="F240" s="31"/>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1"/>
    </row>
    <row r="241" spans="1:30">
      <c r="A241" s="31"/>
      <c r="D241" s="31"/>
      <c r="F241" s="31"/>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row>
    <row r="242" spans="1:30">
      <c r="A242" s="31"/>
      <c r="D242" s="31"/>
      <c r="F242" s="31"/>
      <c r="G242" s="31"/>
      <c r="H242" s="31"/>
      <c r="I242" s="31"/>
      <c r="J242" s="31"/>
      <c r="K242" s="31"/>
      <c r="L242" s="31"/>
      <c r="M242" s="31"/>
      <c r="N242" s="31"/>
      <c r="O242" s="31"/>
      <c r="P242" s="31"/>
      <c r="Q242" s="31"/>
      <c r="R242" s="31"/>
      <c r="S242" s="31"/>
      <c r="T242" s="31"/>
      <c r="U242" s="31"/>
      <c r="V242" s="31"/>
      <c r="W242" s="31"/>
      <c r="X242" s="31"/>
      <c r="Y242" s="31"/>
      <c r="Z242" s="31"/>
      <c r="AA242" s="31"/>
      <c r="AB242" s="31"/>
      <c r="AC242" s="31"/>
      <c r="AD242" s="31"/>
    </row>
    <row r="243" spans="1:30">
      <c r="A243" s="31"/>
      <c r="D243" s="31"/>
      <c r="F243" s="31"/>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row>
    <row r="244" spans="1:30">
      <c r="A244" s="31"/>
      <c r="D244" s="31"/>
      <c r="F244" s="31"/>
      <c r="G244" s="31"/>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row>
    <row r="245" spans="1:30">
      <c r="A245" s="31"/>
      <c r="D245" s="31"/>
      <c r="F245" s="31"/>
      <c r="G245" s="31"/>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row>
    <row r="246" spans="1:30">
      <c r="A246" s="31"/>
      <c r="D246" s="31"/>
      <c r="F246" s="31"/>
      <c r="G246" s="31"/>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row>
    <row r="247" spans="1:30">
      <c r="A247" s="31"/>
      <c r="D247" s="31"/>
      <c r="F247" s="31"/>
      <c r="G247" s="31"/>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row>
    <row r="248" spans="1:30">
      <c r="A248" s="31"/>
      <c r="D248" s="31"/>
      <c r="F248" s="31"/>
      <c r="G248" s="31"/>
      <c r="H248" s="31"/>
      <c r="I248" s="31"/>
      <c r="J248" s="31"/>
      <c r="K248" s="31"/>
      <c r="L248" s="31"/>
      <c r="M248" s="31"/>
      <c r="N248" s="31"/>
      <c r="O248" s="31"/>
      <c r="P248" s="31"/>
      <c r="Q248" s="31"/>
      <c r="R248" s="31"/>
      <c r="S248" s="31"/>
      <c r="T248" s="31"/>
      <c r="U248" s="31"/>
      <c r="V248" s="31"/>
      <c r="W248" s="31"/>
      <c r="X248" s="31"/>
      <c r="Y248" s="31"/>
      <c r="Z248" s="31"/>
      <c r="AA248" s="31"/>
      <c r="AB248" s="31"/>
      <c r="AC248" s="31"/>
      <c r="AD248" s="31"/>
    </row>
    <row r="249" spans="1:30">
      <c r="A249" s="31"/>
      <c r="D249" s="31"/>
      <c r="F249" s="31"/>
      <c r="G249" s="31"/>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row>
    <row r="250" spans="1:30">
      <c r="A250" s="31"/>
      <c r="D250" s="31"/>
      <c r="F250" s="31"/>
      <c r="G250" s="31"/>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row>
    <row r="251" spans="1:30">
      <c r="A251" s="31"/>
      <c r="D251" s="31"/>
      <c r="F251" s="31"/>
      <c r="G251" s="31"/>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row>
    <row r="252" spans="1:30">
      <c r="A252" s="31"/>
      <c r="D252" s="31"/>
      <c r="F252" s="31"/>
      <c r="G252" s="31"/>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row>
    <row r="253" spans="1:30">
      <c r="A253" s="31"/>
      <c r="D253" s="31"/>
      <c r="F253" s="31"/>
      <c r="G253" s="31"/>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row>
    <row r="254" spans="1:30">
      <c r="A254" s="31"/>
      <c r="D254" s="31"/>
      <c r="F254" s="31"/>
      <c r="G254" s="31"/>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row>
    <row r="255" spans="1:30">
      <c r="A255" s="31"/>
      <c r="D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row>
    <row r="256" spans="1:30">
      <c r="A256" s="31"/>
      <c r="D256" s="31"/>
      <c r="F256" s="31"/>
      <c r="G256" s="31"/>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row>
    <row r="257" spans="1:30">
      <c r="A257" s="31"/>
      <c r="D257" s="31"/>
      <c r="F257" s="31"/>
      <c r="G257" s="31"/>
      <c r="H257" s="31"/>
      <c r="I257" s="31"/>
      <c r="J257" s="31"/>
      <c r="K257" s="31"/>
      <c r="L257" s="31"/>
      <c r="M257" s="31"/>
      <c r="N257" s="31"/>
      <c r="O257" s="31"/>
      <c r="P257" s="31"/>
      <c r="Q257" s="31"/>
      <c r="R257" s="31"/>
      <c r="S257" s="31"/>
      <c r="T257" s="31"/>
      <c r="U257" s="31"/>
      <c r="V257" s="31"/>
      <c r="W257" s="31"/>
      <c r="X257" s="31"/>
      <c r="Y257" s="31"/>
      <c r="Z257" s="31"/>
      <c r="AA257" s="31"/>
      <c r="AB257" s="31"/>
      <c r="AC257" s="31"/>
      <c r="AD257" s="31"/>
    </row>
    <row r="258" spans="1:30">
      <c r="A258" s="31"/>
      <c r="D258" s="31"/>
      <c r="F258" s="31"/>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row>
    <row r="259" spans="1:30">
      <c r="A259" s="31"/>
      <c r="D259" s="31"/>
      <c r="F259" s="31"/>
      <c r="G259" s="31"/>
      <c r="H259" s="31"/>
      <c r="I259" s="31"/>
      <c r="J259" s="31"/>
      <c r="K259" s="31"/>
      <c r="L259" s="31"/>
      <c r="M259" s="31"/>
      <c r="N259" s="31"/>
      <c r="O259" s="31"/>
      <c r="P259" s="31"/>
      <c r="Q259" s="31"/>
      <c r="R259" s="31"/>
      <c r="S259" s="31"/>
      <c r="T259" s="31"/>
      <c r="U259" s="31"/>
      <c r="V259" s="31"/>
      <c r="W259" s="31"/>
      <c r="X259" s="31"/>
      <c r="Y259" s="31"/>
      <c r="Z259" s="31"/>
      <c r="AA259" s="31"/>
      <c r="AB259" s="31"/>
      <c r="AC259" s="31"/>
      <c r="AD259" s="31"/>
    </row>
    <row r="260" spans="1:30">
      <c r="A260" s="31"/>
      <c r="D260" s="31"/>
      <c r="F260" s="31"/>
      <c r="G260" s="31"/>
      <c r="H260" s="31"/>
      <c r="I260" s="31"/>
      <c r="J260" s="31"/>
      <c r="K260" s="31"/>
      <c r="L260" s="31"/>
      <c r="M260" s="31"/>
      <c r="N260" s="31"/>
      <c r="O260" s="31"/>
      <c r="P260" s="31"/>
      <c r="Q260" s="31"/>
      <c r="R260" s="31"/>
      <c r="S260" s="31"/>
      <c r="T260" s="31"/>
      <c r="U260" s="31"/>
      <c r="V260" s="31"/>
      <c r="W260" s="31"/>
      <c r="X260" s="31"/>
      <c r="Y260" s="31"/>
      <c r="Z260" s="31"/>
      <c r="AA260" s="31"/>
      <c r="AB260" s="31"/>
      <c r="AC260" s="31"/>
      <c r="AD260" s="31"/>
    </row>
    <row r="261" spans="1:30">
      <c r="A261" s="31"/>
      <c r="D261" s="31"/>
      <c r="F261" s="31"/>
      <c r="G261" s="31"/>
      <c r="H261" s="31"/>
      <c r="I261" s="31"/>
      <c r="J261" s="31"/>
      <c r="K261" s="31"/>
      <c r="L261" s="31"/>
      <c r="M261" s="31"/>
      <c r="N261" s="31"/>
      <c r="O261" s="31"/>
      <c r="P261" s="31"/>
      <c r="Q261" s="31"/>
      <c r="R261" s="31"/>
      <c r="S261" s="31"/>
      <c r="T261" s="31"/>
      <c r="U261" s="31"/>
      <c r="V261" s="31"/>
      <c r="W261" s="31"/>
      <c r="X261" s="31"/>
      <c r="Y261" s="31"/>
      <c r="Z261" s="31"/>
      <c r="AA261" s="31"/>
      <c r="AB261" s="31"/>
      <c r="AC261" s="31"/>
      <c r="AD261" s="31"/>
    </row>
    <row r="262" spans="1:30">
      <c r="A262" s="31"/>
      <c r="D262" s="31"/>
      <c r="F262" s="31"/>
      <c r="G262" s="31"/>
      <c r="H262" s="31"/>
      <c r="I262" s="31"/>
      <c r="J262" s="31"/>
      <c r="K262" s="31"/>
      <c r="L262" s="31"/>
      <c r="M262" s="31"/>
      <c r="N262" s="31"/>
      <c r="O262" s="31"/>
      <c r="P262" s="31"/>
      <c r="Q262" s="31"/>
      <c r="R262" s="31"/>
      <c r="S262" s="31"/>
      <c r="T262" s="31"/>
      <c r="U262" s="31"/>
      <c r="V262" s="31"/>
      <c r="W262" s="31"/>
      <c r="X262" s="31"/>
      <c r="Y262" s="31"/>
      <c r="Z262" s="31"/>
      <c r="AA262" s="31"/>
      <c r="AB262" s="31"/>
      <c r="AC262" s="31"/>
      <c r="AD262" s="31"/>
    </row>
    <row r="263" spans="1:30">
      <c r="A263" s="31"/>
      <c r="D263" s="31"/>
      <c r="F263" s="31"/>
      <c r="G263" s="31"/>
      <c r="H263" s="31"/>
      <c r="I263" s="31"/>
      <c r="J263" s="31"/>
      <c r="K263" s="31"/>
      <c r="L263" s="31"/>
      <c r="M263" s="31"/>
      <c r="N263" s="31"/>
      <c r="O263" s="31"/>
      <c r="P263" s="31"/>
      <c r="Q263" s="31"/>
      <c r="R263" s="31"/>
      <c r="S263" s="31"/>
      <c r="T263" s="31"/>
      <c r="U263" s="31"/>
      <c r="V263" s="31"/>
      <c r="W263" s="31"/>
      <c r="X263" s="31"/>
      <c r="Y263" s="31"/>
      <c r="Z263" s="31"/>
      <c r="AA263" s="31"/>
      <c r="AB263" s="31"/>
      <c r="AC263" s="31"/>
      <c r="AD263" s="31"/>
    </row>
    <row r="264" spans="1:30">
      <c r="A264" s="31"/>
      <c r="D264" s="31"/>
      <c r="F264" s="31"/>
      <c r="G264" s="31"/>
      <c r="H264" s="31"/>
      <c r="I264" s="31"/>
      <c r="J264" s="31"/>
      <c r="K264" s="31"/>
      <c r="L264" s="31"/>
      <c r="M264" s="31"/>
      <c r="N264" s="31"/>
      <c r="O264" s="31"/>
      <c r="P264" s="31"/>
      <c r="Q264" s="31"/>
      <c r="R264" s="31"/>
      <c r="S264" s="31"/>
      <c r="T264" s="31"/>
      <c r="U264" s="31"/>
      <c r="V264" s="31"/>
      <c r="W264" s="31"/>
      <c r="X264" s="31"/>
      <c r="Y264" s="31"/>
      <c r="Z264" s="31"/>
      <c r="AA264" s="31"/>
      <c r="AB264" s="31"/>
      <c r="AC264" s="31"/>
      <c r="AD264" s="31"/>
    </row>
    <row r="265" spans="1:30">
      <c r="A265" s="31"/>
      <c r="D265" s="31"/>
      <c r="F265" s="31"/>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row>
    <row r="266" spans="1:30">
      <c r="A266" s="31"/>
      <c r="D266" s="31"/>
      <c r="F266" s="31"/>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row>
    <row r="267" spans="1:30">
      <c r="A267" s="31"/>
      <c r="D267" s="31"/>
      <c r="F267" s="31"/>
      <c r="G267" s="31"/>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row>
    <row r="268" spans="1:30">
      <c r="A268" s="31"/>
      <c r="D268" s="31"/>
      <c r="F268" s="31"/>
      <c r="G268" s="31"/>
      <c r="H268" s="31"/>
      <c r="I268" s="31"/>
      <c r="J268" s="31"/>
      <c r="K268" s="31"/>
      <c r="L268" s="31"/>
      <c r="M268" s="31"/>
      <c r="N268" s="31"/>
      <c r="O268" s="31"/>
      <c r="P268" s="31"/>
      <c r="Q268" s="31"/>
      <c r="R268" s="31"/>
      <c r="S268" s="31"/>
      <c r="T268" s="31"/>
      <c r="U268" s="31"/>
      <c r="V268" s="31"/>
      <c r="W268" s="31"/>
      <c r="X268" s="31"/>
      <c r="Y268" s="31"/>
      <c r="Z268" s="31"/>
      <c r="AA268" s="31"/>
      <c r="AB268" s="31"/>
      <c r="AC268" s="31"/>
      <c r="AD268" s="31"/>
    </row>
    <row r="269" spans="1:30">
      <c r="A269" s="31"/>
      <c r="D269" s="31"/>
      <c r="F269" s="31"/>
      <c r="G269" s="31"/>
      <c r="H269" s="31"/>
      <c r="I269" s="31"/>
      <c r="J269" s="31"/>
      <c r="K269" s="31"/>
      <c r="L269" s="31"/>
      <c r="M269" s="31"/>
      <c r="N269" s="31"/>
      <c r="O269" s="31"/>
      <c r="P269" s="31"/>
      <c r="Q269" s="31"/>
      <c r="R269" s="31"/>
      <c r="S269" s="31"/>
      <c r="T269" s="31"/>
      <c r="U269" s="31"/>
      <c r="V269" s="31"/>
      <c r="W269" s="31"/>
      <c r="X269" s="31"/>
      <c r="Y269" s="31"/>
      <c r="Z269" s="31"/>
      <c r="AA269" s="31"/>
      <c r="AB269" s="31"/>
      <c r="AC269" s="31"/>
      <c r="AD269" s="31"/>
    </row>
    <row r="270" spans="1:30">
      <c r="A270" s="31"/>
      <c r="D270" s="31"/>
      <c r="F270" s="31"/>
      <c r="G270" s="31"/>
      <c r="H270" s="31"/>
      <c r="I270" s="31"/>
      <c r="J270" s="31"/>
      <c r="K270" s="31"/>
      <c r="L270" s="31"/>
      <c r="M270" s="31"/>
      <c r="N270" s="31"/>
      <c r="O270" s="31"/>
      <c r="P270" s="31"/>
      <c r="Q270" s="31"/>
      <c r="R270" s="31"/>
      <c r="S270" s="31"/>
      <c r="T270" s="31"/>
      <c r="U270" s="31"/>
      <c r="V270" s="31"/>
      <c r="W270" s="31"/>
      <c r="X270" s="31"/>
      <c r="Y270" s="31"/>
      <c r="Z270" s="31"/>
      <c r="AA270" s="31"/>
      <c r="AB270" s="31"/>
      <c r="AC270" s="31"/>
      <c r="AD270" s="31"/>
    </row>
    <row r="271" spans="1:30">
      <c r="A271" s="31"/>
      <c r="D271" s="31"/>
      <c r="F271" s="31"/>
      <c r="G271" s="31"/>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row>
    <row r="272" spans="1:30">
      <c r="A272" s="31"/>
      <c r="D272" s="31"/>
      <c r="F272" s="31"/>
      <c r="G272" s="31"/>
      <c r="H272" s="31"/>
      <c r="I272" s="31"/>
      <c r="J272" s="31"/>
      <c r="K272" s="31"/>
      <c r="L272" s="31"/>
      <c r="M272" s="31"/>
      <c r="N272" s="31"/>
      <c r="O272" s="31"/>
      <c r="P272" s="31"/>
      <c r="Q272" s="31"/>
      <c r="R272" s="31"/>
      <c r="S272" s="31"/>
      <c r="T272" s="31"/>
      <c r="U272" s="31"/>
      <c r="V272" s="31"/>
      <c r="W272" s="31"/>
      <c r="X272" s="31"/>
      <c r="Y272" s="31"/>
      <c r="Z272" s="31"/>
      <c r="AA272" s="31"/>
      <c r="AB272" s="31"/>
      <c r="AC272" s="31"/>
      <c r="AD272" s="31"/>
    </row>
    <row r="273" spans="1:30">
      <c r="A273" s="31"/>
      <c r="D273" s="31"/>
      <c r="F273" s="31"/>
      <c r="G273" s="31"/>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row>
    <row r="274" spans="1:30">
      <c r="A274" s="31"/>
      <c r="D274" s="31"/>
      <c r="F274" s="31"/>
      <c r="G274" s="31"/>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row>
    <row r="275" spans="1:30">
      <c r="A275" s="31"/>
      <c r="D275" s="31"/>
      <c r="F275" s="31"/>
      <c r="G275" s="31"/>
      <c r="H275" s="31"/>
      <c r="I275" s="31"/>
      <c r="J275" s="31"/>
      <c r="K275" s="31"/>
      <c r="L275" s="31"/>
      <c r="M275" s="31"/>
      <c r="N275" s="31"/>
      <c r="O275" s="31"/>
      <c r="P275" s="31"/>
      <c r="Q275" s="31"/>
      <c r="R275" s="31"/>
      <c r="S275" s="31"/>
      <c r="T275" s="31"/>
      <c r="U275" s="31"/>
      <c r="V275" s="31"/>
      <c r="W275" s="31"/>
      <c r="X275" s="31"/>
      <c r="Y275" s="31"/>
      <c r="Z275" s="31"/>
      <c r="AA275" s="31"/>
      <c r="AB275" s="31"/>
      <c r="AC275" s="31"/>
      <c r="AD275" s="31"/>
    </row>
    <row r="276" spans="1:30">
      <c r="A276" s="31"/>
      <c r="D276" s="31"/>
      <c r="F276" s="31"/>
      <c r="G276" s="31"/>
      <c r="H276" s="31"/>
      <c r="I276" s="31"/>
      <c r="J276" s="31"/>
      <c r="K276" s="31"/>
      <c r="L276" s="31"/>
      <c r="M276" s="31"/>
      <c r="N276" s="31"/>
      <c r="O276" s="31"/>
      <c r="P276" s="31"/>
      <c r="Q276" s="31"/>
      <c r="R276" s="31"/>
      <c r="S276" s="31"/>
      <c r="T276" s="31"/>
      <c r="U276" s="31"/>
      <c r="V276" s="31"/>
      <c r="W276" s="31"/>
      <c r="X276" s="31"/>
      <c r="Y276" s="31"/>
      <c r="Z276" s="31"/>
      <c r="AA276" s="31"/>
      <c r="AB276" s="31"/>
      <c r="AC276" s="31"/>
      <c r="AD276" s="31"/>
    </row>
    <row r="277" spans="1:30">
      <c r="A277" s="31"/>
      <c r="D277" s="31"/>
      <c r="F277" s="31"/>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1"/>
    </row>
    <row r="278" spans="1:30">
      <c r="A278" s="31"/>
      <c r="D278" s="31"/>
      <c r="F278" s="31"/>
      <c r="G278" s="31"/>
      <c r="H278" s="31"/>
      <c r="I278" s="31"/>
      <c r="J278" s="31"/>
      <c r="K278" s="31"/>
      <c r="L278" s="31"/>
      <c r="M278" s="31"/>
      <c r="N278" s="31"/>
      <c r="O278" s="31"/>
      <c r="P278" s="31"/>
      <c r="Q278" s="31"/>
      <c r="R278" s="31"/>
      <c r="S278" s="31"/>
      <c r="T278" s="31"/>
      <c r="U278" s="31"/>
      <c r="V278" s="31"/>
      <c r="W278" s="31"/>
      <c r="X278" s="31"/>
      <c r="Y278" s="31"/>
      <c r="Z278" s="31"/>
      <c r="AA278" s="31"/>
      <c r="AB278" s="31"/>
      <c r="AC278" s="31"/>
      <c r="AD278" s="31"/>
    </row>
    <row r="279" spans="1:30">
      <c r="A279" s="31"/>
      <c r="D279" s="31"/>
      <c r="F279" s="31"/>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row>
    <row r="280" spans="1:30">
      <c r="A280" s="31"/>
      <c r="D280" s="31"/>
      <c r="F280" s="31"/>
      <c r="G280" s="31"/>
      <c r="H280" s="31"/>
      <c r="I280" s="31"/>
      <c r="J280" s="31"/>
      <c r="K280" s="31"/>
      <c r="L280" s="31"/>
      <c r="M280" s="31"/>
      <c r="N280" s="31"/>
      <c r="O280" s="31"/>
      <c r="P280" s="31"/>
      <c r="Q280" s="31"/>
      <c r="R280" s="31"/>
      <c r="S280" s="31"/>
      <c r="T280" s="31"/>
      <c r="U280" s="31"/>
      <c r="V280" s="31"/>
      <c r="W280" s="31"/>
      <c r="X280" s="31"/>
      <c r="Y280" s="31"/>
      <c r="Z280" s="31"/>
      <c r="AA280" s="31"/>
      <c r="AB280" s="31"/>
      <c r="AC280" s="31"/>
      <c r="AD280" s="31"/>
    </row>
    <row r="281" spans="1:30">
      <c r="A281" s="31"/>
      <c r="D281" s="31"/>
      <c r="F281" s="31"/>
      <c r="G281" s="31"/>
      <c r="H281" s="31"/>
      <c r="I281" s="31"/>
      <c r="J281" s="31"/>
      <c r="K281" s="31"/>
      <c r="L281" s="31"/>
      <c r="M281" s="31"/>
      <c r="N281" s="31"/>
      <c r="O281" s="31"/>
      <c r="P281" s="31"/>
      <c r="Q281" s="31"/>
      <c r="R281" s="31"/>
      <c r="S281" s="31"/>
      <c r="T281" s="31"/>
      <c r="U281" s="31"/>
      <c r="V281" s="31"/>
      <c r="W281" s="31"/>
      <c r="X281" s="31"/>
      <c r="Y281" s="31"/>
      <c r="Z281" s="31"/>
      <c r="AA281" s="31"/>
      <c r="AB281" s="31"/>
      <c r="AC281" s="31"/>
      <c r="AD281" s="31"/>
    </row>
    <row r="282" spans="1:30">
      <c r="A282" s="31"/>
      <c r="D282" s="31"/>
      <c r="F282" s="31"/>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1"/>
    </row>
    <row r="283" spans="1:30">
      <c r="A283" s="31"/>
      <c r="D283" s="31"/>
      <c r="F283" s="31"/>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1"/>
    </row>
    <row r="284" spans="1:30">
      <c r="A284" s="31"/>
      <c r="D284" s="31"/>
      <c r="F284" s="31"/>
      <c r="G284" s="31"/>
      <c r="H284" s="31"/>
      <c r="I284" s="31"/>
      <c r="J284" s="31"/>
      <c r="K284" s="31"/>
      <c r="L284" s="31"/>
      <c r="M284" s="31"/>
      <c r="N284" s="31"/>
      <c r="O284" s="31"/>
      <c r="P284" s="31"/>
      <c r="Q284" s="31"/>
      <c r="R284" s="31"/>
      <c r="S284" s="31"/>
      <c r="T284" s="31"/>
      <c r="U284" s="31"/>
      <c r="V284" s="31"/>
      <c r="W284" s="31"/>
      <c r="X284" s="31"/>
      <c r="Y284" s="31"/>
      <c r="Z284" s="31"/>
      <c r="AA284" s="31"/>
      <c r="AB284" s="31"/>
      <c r="AC284" s="31"/>
      <c r="AD284" s="31"/>
    </row>
    <row r="285" spans="1:30">
      <c r="A285" s="31"/>
      <c r="D285" s="31"/>
      <c r="F285" s="31"/>
      <c r="G285" s="31"/>
      <c r="H285" s="31"/>
      <c r="I285" s="31"/>
      <c r="J285" s="31"/>
      <c r="K285" s="31"/>
      <c r="L285" s="31"/>
      <c r="M285" s="31"/>
      <c r="N285" s="31"/>
      <c r="O285" s="31"/>
      <c r="P285" s="31"/>
      <c r="Q285" s="31"/>
      <c r="R285" s="31"/>
      <c r="S285" s="31"/>
      <c r="T285" s="31"/>
      <c r="U285" s="31"/>
      <c r="V285" s="31"/>
      <c r="W285" s="31"/>
      <c r="X285" s="31"/>
      <c r="Y285" s="31"/>
      <c r="Z285" s="31"/>
      <c r="AA285" s="31"/>
      <c r="AB285" s="31"/>
      <c r="AC285" s="31"/>
      <c r="AD285" s="31"/>
    </row>
    <row r="286" spans="1:30">
      <c r="A286" s="31"/>
      <c r="D286" s="31"/>
      <c r="F286" s="31"/>
      <c r="G286" s="31"/>
      <c r="H286" s="31"/>
      <c r="I286" s="31"/>
      <c r="J286" s="31"/>
      <c r="K286" s="31"/>
      <c r="L286" s="31"/>
      <c r="M286" s="31"/>
      <c r="N286" s="31"/>
      <c r="O286" s="31"/>
      <c r="P286" s="31"/>
      <c r="Q286" s="31"/>
      <c r="R286" s="31"/>
      <c r="S286" s="31"/>
      <c r="T286" s="31"/>
      <c r="U286" s="31"/>
      <c r="V286" s="31"/>
      <c r="W286" s="31"/>
      <c r="X286" s="31"/>
      <c r="Y286" s="31"/>
      <c r="Z286" s="31"/>
      <c r="AA286" s="31"/>
      <c r="AB286" s="31"/>
      <c r="AC286" s="31"/>
      <c r="AD286" s="31"/>
    </row>
    <row r="287" spans="1:30">
      <c r="A287" s="31"/>
      <c r="D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row>
    <row r="288" spans="1:30">
      <c r="A288" s="31"/>
      <c r="D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row>
    <row r="289" spans="1:30">
      <c r="A289" s="31"/>
      <c r="D289" s="31"/>
      <c r="F289" s="31"/>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1"/>
    </row>
    <row r="290" spans="1:30">
      <c r="A290" s="31"/>
      <c r="D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row>
    <row r="291" spans="1:30">
      <c r="A291" s="31"/>
      <c r="D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row>
    <row r="292" spans="1:30">
      <c r="A292" s="31"/>
      <c r="D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row>
    <row r="293" spans="1:30">
      <c r="A293" s="31"/>
      <c r="D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row>
    <row r="294" spans="1:30">
      <c r="A294" s="31"/>
      <c r="D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row>
    <row r="295" spans="1:30">
      <c r="A295" s="31"/>
      <c r="D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row>
    <row r="296" spans="1:30">
      <c r="A296" s="31"/>
      <c r="D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row>
    <row r="297" spans="1:30">
      <c r="A297" s="31"/>
      <c r="D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row>
    <row r="298" spans="1:30">
      <c r="A298" s="31"/>
      <c r="D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row>
    <row r="299" spans="1:30">
      <c r="A299" s="31"/>
      <c r="D299" s="31"/>
      <c r="F299" s="31"/>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c r="AD299" s="31"/>
    </row>
    <row r="300" spans="1:30">
      <c r="A300" s="31"/>
      <c r="D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row>
    <row r="301" spans="1:30">
      <c r="A301" s="31"/>
      <c r="D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row>
    <row r="302" spans="1:30">
      <c r="A302" s="31"/>
      <c r="D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row>
    <row r="303" spans="1:30">
      <c r="A303" s="31"/>
      <c r="D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row>
    <row r="304" spans="1:30">
      <c r="A304" s="31"/>
      <c r="D304" s="31"/>
      <c r="F304" s="31"/>
      <c r="G304" s="31"/>
      <c r="H304" s="31"/>
      <c r="I304" s="31"/>
      <c r="J304" s="31"/>
      <c r="K304" s="31"/>
      <c r="L304" s="31"/>
      <c r="M304" s="31"/>
      <c r="N304" s="31"/>
      <c r="O304" s="31"/>
      <c r="P304" s="31"/>
      <c r="Q304" s="31"/>
      <c r="R304" s="31"/>
      <c r="S304" s="31"/>
      <c r="T304" s="31"/>
      <c r="U304" s="31"/>
      <c r="V304" s="31"/>
      <c r="W304" s="31"/>
      <c r="X304" s="31"/>
      <c r="Y304" s="31"/>
      <c r="Z304" s="31"/>
      <c r="AA304" s="31"/>
      <c r="AB304" s="31"/>
      <c r="AC304" s="31"/>
      <c r="AD304" s="31"/>
    </row>
    <row r="305" spans="1:30">
      <c r="A305" s="31"/>
      <c r="D305" s="31"/>
      <c r="F305" s="31"/>
      <c r="G305" s="31"/>
      <c r="H305" s="31"/>
      <c r="I305" s="31"/>
      <c r="J305" s="31"/>
      <c r="K305" s="31"/>
      <c r="L305" s="31"/>
      <c r="M305" s="31"/>
      <c r="N305" s="31"/>
      <c r="O305" s="31"/>
      <c r="P305" s="31"/>
      <c r="Q305" s="31"/>
      <c r="R305" s="31"/>
      <c r="S305" s="31"/>
      <c r="T305" s="31"/>
      <c r="U305" s="31"/>
      <c r="V305" s="31"/>
      <c r="W305" s="31"/>
      <c r="X305" s="31"/>
      <c r="Y305" s="31"/>
      <c r="Z305" s="31"/>
      <c r="AA305" s="31"/>
      <c r="AB305" s="31"/>
      <c r="AC305" s="31"/>
      <c r="AD305" s="31"/>
    </row>
    <row r="306" spans="1:30">
      <c r="A306" s="31"/>
      <c r="D306" s="31"/>
      <c r="F306" s="31"/>
      <c r="G306" s="31"/>
      <c r="H306" s="31"/>
      <c r="I306" s="31"/>
      <c r="J306" s="31"/>
      <c r="K306" s="31"/>
      <c r="L306" s="31"/>
      <c r="M306" s="31"/>
      <c r="N306" s="31"/>
      <c r="O306" s="31"/>
      <c r="P306" s="31"/>
      <c r="Q306" s="31"/>
      <c r="R306" s="31"/>
      <c r="S306" s="31"/>
      <c r="T306" s="31"/>
      <c r="U306" s="31"/>
      <c r="V306" s="31"/>
      <c r="W306" s="31"/>
      <c r="X306" s="31"/>
      <c r="Y306" s="31"/>
      <c r="Z306" s="31"/>
      <c r="AA306" s="31"/>
      <c r="AB306" s="31"/>
      <c r="AC306" s="31"/>
      <c r="AD306" s="31"/>
    </row>
    <row r="307" spans="1:30">
      <c r="A307" s="31"/>
      <c r="D307" s="31"/>
      <c r="F307" s="31"/>
      <c r="G307" s="31"/>
      <c r="H307" s="31"/>
      <c r="I307" s="31"/>
      <c r="J307" s="31"/>
      <c r="K307" s="31"/>
      <c r="L307" s="31"/>
      <c r="M307" s="31"/>
      <c r="N307" s="31"/>
      <c r="O307" s="31"/>
      <c r="P307" s="31"/>
      <c r="Q307" s="31"/>
      <c r="R307" s="31"/>
      <c r="S307" s="31"/>
      <c r="T307" s="31"/>
      <c r="U307" s="31"/>
      <c r="V307" s="31"/>
      <c r="W307" s="31"/>
      <c r="X307" s="31"/>
      <c r="Y307" s="31"/>
      <c r="Z307" s="31"/>
      <c r="AA307" s="31"/>
      <c r="AB307" s="31"/>
      <c r="AC307" s="31"/>
      <c r="AD307" s="31"/>
    </row>
    <row r="308" spans="1:30">
      <c r="A308" s="31"/>
      <c r="D308" s="31"/>
      <c r="F308" s="31"/>
      <c r="G308" s="31"/>
      <c r="H308" s="31"/>
      <c r="I308" s="31"/>
      <c r="J308" s="31"/>
      <c r="K308" s="31"/>
      <c r="L308" s="31"/>
      <c r="M308" s="31"/>
      <c r="N308" s="31"/>
      <c r="O308" s="31"/>
      <c r="P308" s="31"/>
      <c r="Q308" s="31"/>
      <c r="R308" s="31"/>
      <c r="S308" s="31"/>
      <c r="T308" s="31"/>
      <c r="U308" s="31"/>
      <c r="V308" s="31"/>
      <c r="W308" s="31"/>
      <c r="X308" s="31"/>
      <c r="Y308" s="31"/>
      <c r="Z308" s="31"/>
      <c r="AA308" s="31"/>
      <c r="AB308" s="31"/>
      <c r="AC308" s="31"/>
      <c r="AD308" s="31"/>
    </row>
    <row r="309" spans="1:30">
      <c r="A309" s="31"/>
      <c r="D309" s="31"/>
      <c r="F309" s="31"/>
      <c r="G309" s="31"/>
      <c r="H309" s="31"/>
      <c r="I309" s="31"/>
      <c r="J309" s="31"/>
      <c r="K309" s="31"/>
      <c r="L309" s="31"/>
      <c r="M309" s="31"/>
      <c r="N309" s="31"/>
      <c r="O309" s="31"/>
      <c r="P309" s="31"/>
      <c r="Q309" s="31"/>
      <c r="R309" s="31"/>
      <c r="S309" s="31"/>
      <c r="T309" s="31"/>
      <c r="U309" s="31"/>
      <c r="V309" s="31"/>
      <c r="W309" s="31"/>
      <c r="X309" s="31"/>
      <c r="Y309" s="31"/>
      <c r="Z309" s="31"/>
      <c r="AA309" s="31"/>
      <c r="AB309" s="31"/>
      <c r="AC309" s="31"/>
      <c r="AD309" s="31"/>
    </row>
    <row r="310" spans="1:30">
      <c r="A310" s="31"/>
      <c r="D310" s="31"/>
      <c r="F310" s="31"/>
      <c r="G310" s="31"/>
      <c r="H310" s="31"/>
      <c r="I310" s="31"/>
      <c r="J310" s="31"/>
      <c r="K310" s="31"/>
      <c r="L310" s="31"/>
      <c r="M310" s="31"/>
      <c r="N310" s="31"/>
      <c r="O310" s="31"/>
      <c r="P310" s="31"/>
      <c r="Q310" s="31"/>
      <c r="R310" s="31"/>
      <c r="S310" s="31"/>
      <c r="T310" s="31"/>
      <c r="U310" s="31"/>
      <c r="V310" s="31"/>
      <c r="W310" s="31"/>
      <c r="X310" s="31"/>
      <c r="Y310" s="31"/>
      <c r="Z310" s="31"/>
      <c r="AA310" s="31"/>
      <c r="AB310" s="31"/>
      <c r="AC310" s="31"/>
      <c r="AD310" s="31"/>
    </row>
    <row r="311" spans="1:30">
      <c r="A311" s="31"/>
      <c r="D311" s="31"/>
      <c r="F311" s="31"/>
      <c r="G311" s="31"/>
      <c r="H311" s="31"/>
      <c r="I311" s="31"/>
      <c r="J311" s="31"/>
      <c r="K311" s="31"/>
      <c r="L311" s="31"/>
      <c r="M311" s="31"/>
      <c r="N311" s="31"/>
      <c r="O311" s="31"/>
      <c r="P311" s="31"/>
      <c r="Q311" s="31"/>
      <c r="R311" s="31"/>
      <c r="S311" s="31"/>
      <c r="T311" s="31"/>
      <c r="U311" s="31"/>
      <c r="V311" s="31"/>
      <c r="W311" s="31"/>
      <c r="X311" s="31"/>
      <c r="Y311" s="31"/>
      <c r="Z311" s="31"/>
      <c r="AA311" s="31"/>
      <c r="AB311" s="31"/>
      <c r="AC311" s="31"/>
      <c r="AD311" s="31"/>
    </row>
    <row r="312" spans="1:30">
      <c r="A312" s="31"/>
      <c r="D312" s="31"/>
      <c r="F312" s="31"/>
      <c r="G312" s="31"/>
      <c r="H312" s="31"/>
      <c r="I312" s="31"/>
      <c r="J312" s="31"/>
      <c r="K312" s="31"/>
      <c r="L312" s="31"/>
      <c r="M312" s="31"/>
      <c r="N312" s="31"/>
      <c r="O312" s="31"/>
      <c r="P312" s="31"/>
      <c r="Q312" s="31"/>
      <c r="R312" s="31"/>
      <c r="S312" s="31"/>
      <c r="T312" s="31"/>
      <c r="U312" s="31"/>
      <c r="V312" s="31"/>
      <c r="W312" s="31"/>
      <c r="X312" s="31"/>
      <c r="Y312" s="31"/>
      <c r="Z312" s="31"/>
      <c r="AA312" s="31"/>
      <c r="AB312" s="31"/>
      <c r="AC312" s="31"/>
      <c r="AD312" s="31"/>
    </row>
    <row r="313" spans="1:30">
      <c r="A313" s="31"/>
      <c r="D313" s="31"/>
      <c r="F313" s="31"/>
      <c r="G313" s="31"/>
      <c r="H313" s="31"/>
      <c r="I313" s="31"/>
      <c r="J313" s="31"/>
      <c r="K313" s="31"/>
      <c r="L313" s="31"/>
      <c r="M313" s="31"/>
      <c r="N313" s="31"/>
      <c r="O313" s="31"/>
      <c r="P313" s="31"/>
      <c r="Q313" s="31"/>
      <c r="R313" s="31"/>
      <c r="S313" s="31"/>
      <c r="T313" s="31"/>
      <c r="U313" s="31"/>
      <c r="V313" s="31"/>
      <c r="W313" s="31"/>
      <c r="X313" s="31"/>
      <c r="Y313" s="31"/>
      <c r="Z313" s="31"/>
      <c r="AA313" s="31"/>
      <c r="AB313" s="31"/>
      <c r="AC313" s="31"/>
      <c r="AD313" s="31"/>
    </row>
    <row r="314" spans="1:30">
      <c r="A314" s="31"/>
      <c r="D314" s="31"/>
      <c r="F314" s="31"/>
      <c r="G314" s="31"/>
      <c r="H314" s="31"/>
      <c r="I314" s="31"/>
      <c r="J314" s="31"/>
      <c r="K314" s="31"/>
      <c r="L314" s="31"/>
      <c r="M314" s="31"/>
      <c r="N314" s="31"/>
      <c r="O314" s="31"/>
      <c r="P314" s="31"/>
      <c r="Q314" s="31"/>
      <c r="R314" s="31"/>
      <c r="S314" s="31"/>
      <c r="T314" s="31"/>
      <c r="U314" s="31"/>
      <c r="V314" s="31"/>
      <c r="W314" s="31"/>
      <c r="X314" s="31"/>
      <c r="Y314" s="31"/>
      <c r="Z314" s="31"/>
      <c r="AA314" s="31"/>
      <c r="AB314" s="31"/>
      <c r="AC314" s="31"/>
      <c r="AD314" s="31"/>
    </row>
    <row r="315" spans="1:30">
      <c r="A315" s="31"/>
      <c r="D315" s="31"/>
      <c r="F315" s="31"/>
      <c r="G315" s="31"/>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row>
    <row r="316" spans="1:30">
      <c r="A316" s="31"/>
      <c r="D316" s="31"/>
      <c r="F316" s="31"/>
      <c r="G316" s="31"/>
      <c r="H316" s="31"/>
      <c r="I316" s="31"/>
      <c r="J316" s="31"/>
      <c r="K316" s="31"/>
      <c r="L316" s="31"/>
      <c r="M316" s="31"/>
      <c r="N316" s="31"/>
      <c r="O316" s="31"/>
      <c r="P316" s="31"/>
      <c r="Q316" s="31"/>
      <c r="R316" s="31"/>
      <c r="S316" s="31"/>
      <c r="T316" s="31"/>
      <c r="U316" s="31"/>
      <c r="V316" s="31"/>
      <c r="W316" s="31"/>
      <c r="X316" s="31"/>
      <c r="Y316" s="31"/>
      <c r="Z316" s="31"/>
      <c r="AA316" s="31"/>
      <c r="AB316" s="31"/>
      <c r="AC316" s="31"/>
      <c r="AD316" s="31"/>
    </row>
    <row r="317" spans="1:30">
      <c r="A317" s="31"/>
      <c r="D317" s="31"/>
      <c r="F317" s="31"/>
      <c r="G317" s="31"/>
      <c r="H317" s="31"/>
      <c r="I317" s="31"/>
      <c r="J317" s="31"/>
      <c r="K317" s="31"/>
      <c r="L317" s="31"/>
      <c r="M317" s="31"/>
      <c r="N317" s="31"/>
      <c r="O317" s="31"/>
      <c r="P317" s="31"/>
      <c r="Q317" s="31"/>
      <c r="R317" s="31"/>
      <c r="S317" s="31"/>
      <c r="T317" s="31"/>
      <c r="U317" s="31"/>
      <c r="V317" s="31"/>
      <c r="W317" s="31"/>
      <c r="X317" s="31"/>
      <c r="Y317" s="31"/>
      <c r="Z317" s="31"/>
      <c r="AA317" s="31"/>
      <c r="AB317" s="31"/>
      <c r="AC317" s="31"/>
      <c r="AD317" s="31"/>
    </row>
    <row r="318" spans="1:30">
      <c r="A318" s="31"/>
      <c r="D318" s="31"/>
      <c r="F318" s="31"/>
      <c r="G318" s="31"/>
      <c r="H318" s="31"/>
      <c r="I318" s="31"/>
      <c r="J318" s="31"/>
      <c r="K318" s="31"/>
      <c r="L318" s="31"/>
      <c r="M318" s="31"/>
      <c r="N318" s="31"/>
      <c r="O318" s="31"/>
      <c r="P318" s="31"/>
      <c r="Q318" s="31"/>
      <c r="R318" s="31"/>
      <c r="S318" s="31"/>
      <c r="T318" s="31"/>
      <c r="U318" s="31"/>
      <c r="V318" s="31"/>
      <c r="W318" s="31"/>
      <c r="X318" s="31"/>
      <c r="Y318" s="31"/>
      <c r="Z318" s="31"/>
      <c r="AA318" s="31"/>
      <c r="AB318" s="31"/>
      <c r="AC318" s="31"/>
      <c r="AD318" s="31"/>
    </row>
    <row r="319" spans="1:30">
      <c r="A319" s="31"/>
      <c r="D319" s="31"/>
      <c r="F319" s="31"/>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1"/>
    </row>
    <row r="320" spans="1:30">
      <c r="A320" s="31"/>
      <c r="D320" s="31"/>
      <c r="F320" s="31"/>
      <c r="G320" s="31"/>
      <c r="H320" s="31"/>
      <c r="I320" s="31"/>
      <c r="J320" s="31"/>
      <c r="K320" s="31"/>
      <c r="L320" s="31"/>
      <c r="M320" s="31"/>
      <c r="N320" s="31"/>
      <c r="O320" s="31"/>
      <c r="P320" s="31"/>
      <c r="Q320" s="31"/>
      <c r="R320" s="31"/>
      <c r="S320" s="31"/>
      <c r="T320" s="31"/>
      <c r="U320" s="31"/>
      <c r="V320" s="31"/>
      <c r="W320" s="31"/>
      <c r="X320" s="31"/>
      <c r="Y320" s="31"/>
      <c r="Z320" s="31"/>
      <c r="AA320" s="31"/>
      <c r="AB320" s="31"/>
      <c r="AC320" s="31"/>
      <c r="AD320" s="31"/>
    </row>
    <row r="321" spans="1:30">
      <c r="A321" s="31"/>
      <c r="D321" s="31"/>
      <c r="F321" s="31"/>
      <c r="G321" s="31"/>
      <c r="H321" s="31"/>
      <c r="I321" s="31"/>
      <c r="J321" s="31"/>
      <c r="K321" s="31"/>
      <c r="L321" s="31"/>
      <c r="M321" s="31"/>
      <c r="N321" s="31"/>
      <c r="O321" s="31"/>
      <c r="P321" s="31"/>
      <c r="Q321" s="31"/>
      <c r="R321" s="31"/>
      <c r="S321" s="31"/>
      <c r="T321" s="31"/>
      <c r="U321" s="31"/>
      <c r="V321" s="31"/>
      <c r="W321" s="31"/>
      <c r="X321" s="31"/>
      <c r="Y321" s="31"/>
      <c r="Z321" s="31"/>
      <c r="AA321" s="31"/>
      <c r="AB321" s="31"/>
      <c r="AC321" s="31"/>
      <c r="AD321" s="31"/>
    </row>
    <row r="322" spans="1:30">
      <c r="A322" s="31"/>
      <c r="D322" s="31"/>
      <c r="F322" s="31"/>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c r="AD322" s="31"/>
    </row>
    <row r="323" spans="1:30">
      <c r="A323" s="31"/>
      <c r="D323" s="31"/>
      <c r="F323" s="31"/>
      <c r="G323" s="31"/>
      <c r="H323" s="31"/>
      <c r="I323" s="31"/>
      <c r="J323" s="31"/>
      <c r="K323" s="31"/>
      <c r="L323" s="31"/>
      <c r="M323" s="31"/>
      <c r="N323" s="31"/>
      <c r="O323" s="31"/>
      <c r="P323" s="31"/>
      <c r="Q323" s="31"/>
      <c r="R323" s="31"/>
      <c r="S323" s="31"/>
      <c r="T323" s="31"/>
      <c r="U323" s="31"/>
      <c r="V323" s="31"/>
      <c r="W323" s="31"/>
      <c r="X323" s="31"/>
      <c r="Y323" s="31"/>
      <c r="Z323" s="31"/>
      <c r="AA323" s="31"/>
      <c r="AB323" s="31"/>
      <c r="AC323" s="31"/>
      <c r="AD323" s="31"/>
    </row>
    <row r="324" spans="1:30">
      <c r="A324" s="31"/>
      <c r="D324" s="31"/>
      <c r="F324" s="31"/>
      <c r="G324" s="31"/>
      <c r="H324" s="31"/>
      <c r="I324" s="31"/>
      <c r="J324" s="31"/>
      <c r="K324" s="31"/>
      <c r="L324" s="31"/>
      <c r="M324" s="31"/>
      <c r="N324" s="31"/>
      <c r="O324" s="31"/>
      <c r="P324" s="31"/>
      <c r="Q324" s="31"/>
      <c r="R324" s="31"/>
      <c r="S324" s="31"/>
      <c r="T324" s="31"/>
      <c r="U324" s="31"/>
      <c r="V324" s="31"/>
      <c r="W324" s="31"/>
      <c r="X324" s="31"/>
      <c r="Y324" s="31"/>
      <c r="Z324" s="31"/>
      <c r="AA324" s="31"/>
      <c r="AB324" s="31"/>
      <c r="AC324" s="31"/>
      <c r="AD324" s="31"/>
    </row>
    <row r="325" spans="1:30">
      <c r="A325" s="31"/>
      <c r="D325" s="31"/>
      <c r="F325" s="31"/>
      <c r="G325" s="31"/>
      <c r="H325" s="31"/>
      <c r="I325" s="31"/>
      <c r="J325" s="31"/>
      <c r="K325" s="31"/>
      <c r="L325" s="31"/>
      <c r="M325" s="31"/>
      <c r="N325" s="31"/>
      <c r="O325" s="31"/>
      <c r="P325" s="31"/>
      <c r="Q325" s="31"/>
      <c r="R325" s="31"/>
      <c r="S325" s="31"/>
      <c r="T325" s="31"/>
      <c r="U325" s="31"/>
      <c r="V325" s="31"/>
      <c r="W325" s="31"/>
      <c r="X325" s="31"/>
      <c r="Y325" s="31"/>
      <c r="Z325" s="31"/>
      <c r="AA325" s="31"/>
      <c r="AB325" s="31"/>
      <c r="AC325" s="31"/>
      <c r="AD325" s="31"/>
    </row>
    <row r="326" spans="1:30">
      <c r="A326" s="31"/>
      <c r="D326" s="31"/>
      <c r="F326" s="31"/>
      <c r="G326" s="31"/>
      <c r="H326" s="31"/>
      <c r="I326" s="31"/>
      <c r="J326" s="31"/>
      <c r="K326" s="31"/>
      <c r="L326" s="31"/>
      <c r="M326" s="31"/>
      <c r="N326" s="31"/>
      <c r="O326" s="31"/>
      <c r="P326" s="31"/>
      <c r="Q326" s="31"/>
      <c r="R326" s="31"/>
      <c r="S326" s="31"/>
      <c r="T326" s="31"/>
      <c r="U326" s="31"/>
      <c r="V326" s="31"/>
      <c r="W326" s="31"/>
      <c r="X326" s="31"/>
      <c r="Y326" s="31"/>
      <c r="Z326" s="31"/>
      <c r="AA326" s="31"/>
      <c r="AB326" s="31"/>
      <c r="AC326" s="31"/>
      <c r="AD326" s="31"/>
    </row>
    <row r="327" spans="1:30">
      <c r="A327" s="31"/>
      <c r="D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1"/>
    </row>
    <row r="328" spans="1:30">
      <c r="A328" s="31"/>
      <c r="D328" s="31"/>
      <c r="F328" s="31"/>
      <c r="G328" s="31"/>
      <c r="H328" s="31"/>
      <c r="I328" s="31"/>
      <c r="J328" s="31"/>
      <c r="K328" s="31"/>
      <c r="L328" s="31"/>
      <c r="M328" s="31"/>
      <c r="N328" s="31"/>
      <c r="O328" s="31"/>
      <c r="P328" s="31"/>
      <c r="Q328" s="31"/>
      <c r="R328" s="31"/>
      <c r="S328" s="31"/>
      <c r="T328" s="31"/>
      <c r="U328" s="31"/>
      <c r="V328" s="31"/>
      <c r="W328" s="31"/>
      <c r="X328" s="31"/>
      <c r="Y328" s="31"/>
      <c r="Z328" s="31"/>
      <c r="AA328" s="31"/>
      <c r="AB328" s="31"/>
      <c r="AC328" s="31"/>
      <c r="AD328" s="31"/>
    </row>
    <row r="329" spans="1:30">
      <c r="A329" s="31"/>
      <c r="D329" s="31"/>
      <c r="F329" s="31"/>
      <c r="G329" s="31"/>
      <c r="H329" s="31"/>
      <c r="I329" s="31"/>
      <c r="J329" s="31"/>
      <c r="K329" s="31"/>
      <c r="L329" s="31"/>
      <c r="M329" s="31"/>
      <c r="N329" s="31"/>
      <c r="O329" s="31"/>
      <c r="P329" s="31"/>
      <c r="Q329" s="31"/>
      <c r="R329" s="31"/>
      <c r="S329" s="31"/>
      <c r="T329" s="31"/>
      <c r="U329" s="31"/>
      <c r="V329" s="31"/>
      <c r="W329" s="31"/>
      <c r="X329" s="31"/>
      <c r="Y329" s="31"/>
      <c r="Z329" s="31"/>
      <c r="AA329" s="31"/>
      <c r="AB329" s="31"/>
      <c r="AC329" s="31"/>
      <c r="AD329" s="31"/>
    </row>
    <row r="330" spans="1:30">
      <c r="A330" s="31"/>
      <c r="D330" s="31"/>
      <c r="F330" s="31"/>
      <c r="G330" s="31"/>
      <c r="H330" s="31"/>
      <c r="I330" s="31"/>
      <c r="J330" s="31"/>
      <c r="K330" s="31"/>
      <c r="L330" s="31"/>
      <c r="M330" s="31"/>
      <c r="N330" s="31"/>
      <c r="O330" s="31"/>
      <c r="P330" s="31"/>
      <c r="Q330" s="31"/>
      <c r="R330" s="31"/>
      <c r="S330" s="31"/>
      <c r="T330" s="31"/>
      <c r="U330" s="31"/>
      <c r="V330" s="31"/>
      <c r="W330" s="31"/>
      <c r="X330" s="31"/>
      <c r="Y330" s="31"/>
      <c r="Z330" s="31"/>
      <c r="AA330" s="31"/>
      <c r="AB330" s="31"/>
      <c r="AC330" s="31"/>
      <c r="AD330" s="31"/>
    </row>
    <row r="331" spans="1:30">
      <c r="A331" s="31"/>
      <c r="D331" s="31"/>
      <c r="F331" s="31"/>
      <c r="G331" s="31"/>
      <c r="H331" s="31"/>
      <c r="I331" s="31"/>
      <c r="J331" s="31"/>
      <c r="K331" s="31"/>
      <c r="L331" s="31"/>
      <c r="M331" s="31"/>
      <c r="N331" s="31"/>
      <c r="O331" s="31"/>
      <c r="P331" s="31"/>
      <c r="Q331" s="31"/>
      <c r="R331" s="31"/>
      <c r="S331" s="31"/>
      <c r="T331" s="31"/>
      <c r="U331" s="31"/>
      <c r="V331" s="31"/>
      <c r="W331" s="31"/>
      <c r="X331" s="31"/>
      <c r="Y331" s="31"/>
      <c r="Z331" s="31"/>
      <c r="AA331" s="31"/>
      <c r="AB331" s="31"/>
      <c r="AC331" s="31"/>
      <c r="AD331" s="31"/>
    </row>
    <row r="332" spans="1:30">
      <c r="A332" s="31"/>
      <c r="D332" s="31"/>
      <c r="F332" s="31"/>
      <c r="G332" s="31"/>
      <c r="H332" s="31"/>
      <c r="I332" s="31"/>
      <c r="J332" s="31"/>
      <c r="K332" s="31"/>
      <c r="L332" s="31"/>
      <c r="M332" s="31"/>
      <c r="N332" s="31"/>
      <c r="O332" s="31"/>
      <c r="P332" s="31"/>
      <c r="Q332" s="31"/>
      <c r="R332" s="31"/>
      <c r="S332" s="31"/>
      <c r="T332" s="31"/>
      <c r="U332" s="31"/>
      <c r="V332" s="31"/>
      <c r="W332" s="31"/>
      <c r="X332" s="31"/>
      <c r="Y332" s="31"/>
      <c r="Z332" s="31"/>
      <c r="AA332" s="31"/>
      <c r="AB332" s="31"/>
      <c r="AC332" s="31"/>
      <c r="AD332" s="31"/>
    </row>
    <row r="333" spans="1:30">
      <c r="A333" s="31"/>
      <c r="D333" s="31"/>
      <c r="F333" s="31"/>
      <c r="G333" s="31"/>
      <c r="H333" s="31"/>
      <c r="I333" s="31"/>
      <c r="J333" s="31"/>
      <c r="K333" s="31"/>
      <c r="L333" s="31"/>
      <c r="M333" s="31"/>
      <c r="N333" s="31"/>
      <c r="O333" s="31"/>
      <c r="P333" s="31"/>
      <c r="Q333" s="31"/>
      <c r="R333" s="31"/>
      <c r="S333" s="31"/>
      <c r="T333" s="31"/>
      <c r="U333" s="31"/>
      <c r="V333" s="31"/>
      <c r="W333" s="31"/>
      <c r="X333" s="31"/>
      <c r="Y333" s="31"/>
      <c r="Z333" s="31"/>
      <c r="AA333" s="31"/>
      <c r="AB333" s="31"/>
      <c r="AC333" s="31"/>
      <c r="AD333" s="31"/>
    </row>
    <row r="334" spans="1:30">
      <c r="A334" s="31"/>
      <c r="D334" s="31"/>
      <c r="F334" s="31"/>
      <c r="G334" s="31"/>
      <c r="H334" s="31"/>
      <c r="I334" s="31"/>
      <c r="J334" s="31"/>
      <c r="K334" s="31"/>
      <c r="L334" s="31"/>
      <c r="M334" s="31"/>
      <c r="N334" s="31"/>
      <c r="O334" s="31"/>
      <c r="P334" s="31"/>
      <c r="Q334" s="31"/>
      <c r="R334" s="31"/>
      <c r="S334" s="31"/>
      <c r="T334" s="31"/>
      <c r="U334" s="31"/>
      <c r="V334" s="31"/>
      <c r="W334" s="31"/>
      <c r="X334" s="31"/>
      <c r="Y334" s="31"/>
      <c r="Z334" s="31"/>
      <c r="AA334" s="31"/>
      <c r="AB334" s="31"/>
      <c r="AC334" s="31"/>
      <c r="AD334" s="31"/>
    </row>
    <row r="335" spans="1:30">
      <c r="A335" s="31"/>
      <c r="D335" s="31"/>
      <c r="F335" s="31"/>
      <c r="G335" s="31"/>
      <c r="H335" s="31"/>
      <c r="I335" s="31"/>
      <c r="J335" s="31"/>
      <c r="K335" s="31"/>
      <c r="L335" s="31"/>
      <c r="M335" s="31"/>
      <c r="N335" s="31"/>
      <c r="O335" s="31"/>
      <c r="P335" s="31"/>
      <c r="Q335" s="31"/>
      <c r="R335" s="31"/>
      <c r="S335" s="31"/>
      <c r="T335" s="31"/>
      <c r="U335" s="31"/>
      <c r="V335" s="31"/>
      <c r="W335" s="31"/>
      <c r="X335" s="31"/>
      <c r="Y335" s="31"/>
      <c r="Z335" s="31"/>
      <c r="AA335" s="31"/>
      <c r="AB335" s="31"/>
      <c r="AC335" s="31"/>
      <c r="AD335" s="31"/>
    </row>
    <row r="336" spans="1:30">
      <c r="A336" s="31"/>
      <c r="D336" s="31"/>
      <c r="F336" s="31"/>
      <c r="G336" s="31"/>
      <c r="H336" s="31"/>
      <c r="I336" s="31"/>
      <c r="J336" s="31"/>
      <c r="K336" s="31"/>
      <c r="L336" s="31"/>
      <c r="M336" s="31"/>
      <c r="N336" s="31"/>
      <c r="O336" s="31"/>
      <c r="P336" s="31"/>
      <c r="Q336" s="31"/>
      <c r="R336" s="31"/>
      <c r="S336" s="31"/>
      <c r="T336" s="31"/>
      <c r="U336" s="31"/>
      <c r="V336" s="31"/>
      <c r="W336" s="31"/>
      <c r="X336" s="31"/>
      <c r="Y336" s="31"/>
      <c r="Z336" s="31"/>
      <c r="AA336" s="31"/>
      <c r="AB336" s="31"/>
      <c r="AC336" s="31"/>
      <c r="AD336" s="31"/>
    </row>
    <row r="337" spans="1:30">
      <c r="A337" s="31"/>
      <c r="D337" s="31"/>
      <c r="F337" s="31"/>
      <c r="G337" s="31"/>
      <c r="H337" s="31"/>
      <c r="I337" s="31"/>
      <c r="J337" s="31"/>
      <c r="K337" s="31"/>
      <c r="L337" s="31"/>
      <c r="M337" s="31"/>
      <c r="N337" s="31"/>
      <c r="O337" s="31"/>
      <c r="P337" s="31"/>
      <c r="Q337" s="31"/>
      <c r="R337" s="31"/>
      <c r="S337" s="31"/>
      <c r="T337" s="31"/>
      <c r="U337" s="31"/>
      <c r="V337" s="31"/>
      <c r="W337" s="31"/>
      <c r="X337" s="31"/>
      <c r="Y337" s="31"/>
      <c r="Z337" s="31"/>
      <c r="AA337" s="31"/>
      <c r="AB337" s="31"/>
      <c r="AC337" s="31"/>
      <c r="AD337" s="31"/>
    </row>
    <row r="338" spans="1:30">
      <c r="A338" s="31"/>
      <c r="D338" s="31"/>
      <c r="F338" s="31"/>
      <c r="G338" s="31"/>
      <c r="H338" s="31"/>
      <c r="I338" s="31"/>
      <c r="J338" s="31"/>
      <c r="K338" s="31"/>
      <c r="L338" s="31"/>
      <c r="M338" s="31"/>
      <c r="N338" s="31"/>
      <c r="O338" s="31"/>
      <c r="P338" s="31"/>
      <c r="Q338" s="31"/>
      <c r="R338" s="31"/>
      <c r="S338" s="31"/>
      <c r="T338" s="31"/>
      <c r="U338" s="31"/>
      <c r="V338" s="31"/>
      <c r="W338" s="31"/>
      <c r="X338" s="31"/>
      <c r="Y338" s="31"/>
      <c r="Z338" s="31"/>
      <c r="AA338" s="31"/>
      <c r="AB338" s="31"/>
      <c r="AC338" s="31"/>
      <c r="AD338" s="31"/>
    </row>
    <row r="339" spans="1:30">
      <c r="A339" s="31"/>
      <c r="D339" s="31"/>
      <c r="F339" s="31"/>
      <c r="G339" s="31"/>
      <c r="H339" s="31"/>
      <c r="I339" s="31"/>
      <c r="J339" s="31"/>
      <c r="K339" s="31"/>
      <c r="L339" s="31"/>
      <c r="M339" s="31"/>
      <c r="N339" s="31"/>
      <c r="O339" s="31"/>
      <c r="P339" s="31"/>
      <c r="Q339" s="31"/>
      <c r="R339" s="31"/>
      <c r="S339" s="31"/>
      <c r="T339" s="31"/>
      <c r="U339" s="31"/>
      <c r="V339" s="31"/>
      <c r="W339" s="31"/>
      <c r="X339" s="31"/>
      <c r="Y339" s="31"/>
      <c r="Z339" s="31"/>
      <c r="AA339" s="31"/>
      <c r="AB339" s="31"/>
      <c r="AC339" s="31"/>
      <c r="AD339" s="31"/>
    </row>
    <row r="340" spans="1:30">
      <c r="A340" s="31"/>
      <c r="D340" s="31"/>
      <c r="F340" s="31"/>
      <c r="G340" s="31"/>
      <c r="H340" s="31"/>
      <c r="I340" s="31"/>
      <c r="J340" s="31"/>
      <c r="K340" s="31"/>
      <c r="L340" s="31"/>
      <c r="M340" s="31"/>
      <c r="N340" s="31"/>
      <c r="O340" s="31"/>
      <c r="P340" s="31"/>
      <c r="Q340" s="31"/>
      <c r="R340" s="31"/>
      <c r="S340" s="31"/>
      <c r="T340" s="31"/>
      <c r="U340" s="31"/>
      <c r="V340" s="31"/>
      <c r="W340" s="31"/>
      <c r="X340" s="31"/>
      <c r="Y340" s="31"/>
      <c r="Z340" s="31"/>
      <c r="AA340" s="31"/>
      <c r="AB340" s="31"/>
      <c r="AC340" s="31"/>
      <c r="AD340" s="31"/>
    </row>
    <row r="341" spans="1:30">
      <c r="A341" s="31"/>
      <c r="D341" s="31"/>
      <c r="F341" s="31"/>
      <c r="G341" s="31"/>
      <c r="H341" s="31"/>
      <c r="I341" s="31"/>
      <c r="J341" s="31"/>
      <c r="K341" s="31"/>
      <c r="L341" s="31"/>
      <c r="M341" s="31"/>
      <c r="N341" s="31"/>
      <c r="O341" s="31"/>
      <c r="P341" s="31"/>
      <c r="Q341" s="31"/>
      <c r="R341" s="31"/>
      <c r="S341" s="31"/>
      <c r="T341" s="31"/>
      <c r="U341" s="31"/>
      <c r="V341" s="31"/>
      <c r="W341" s="31"/>
      <c r="X341" s="31"/>
      <c r="Y341" s="31"/>
      <c r="Z341" s="31"/>
      <c r="AA341" s="31"/>
      <c r="AB341" s="31"/>
      <c r="AC341" s="31"/>
      <c r="AD341" s="31"/>
    </row>
    <row r="342" spans="1:30">
      <c r="A342" s="31"/>
      <c r="D342" s="31"/>
      <c r="F342" s="31"/>
      <c r="G342" s="31"/>
      <c r="H342" s="31"/>
      <c r="I342" s="31"/>
      <c r="J342" s="31"/>
      <c r="K342" s="31"/>
      <c r="L342" s="31"/>
      <c r="M342" s="31"/>
      <c r="N342" s="31"/>
      <c r="O342" s="31"/>
      <c r="P342" s="31"/>
      <c r="Q342" s="31"/>
      <c r="R342" s="31"/>
      <c r="S342" s="31"/>
      <c r="T342" s="31"/>
      <c r="U342" s="31"/>
      <c r="V342" s="31"/>
      <c r="W342" s="31"/>
      <c r="X342" s="31"/>
      <c r="Y342" s="31"/>
      <c r="Z342" s="31"/>
      <c r="AA342" s="31"/>
      <c r="AB342" s="31"/>
      <c r="AC342" s="31"/>
      <c r="AD342" s="31"/>
    </row>
    <row r="343" spans="1:30">
      <c r="A343" s="31"/>
      <c r="D343" s="31"/>
      <c r="F343" s="31"/>
      <c r="G343" s="31"/>
      <c r="H343" s="31"/>
      <c r="I343" s="31"/>
      <c r="J343" s="31"/>
      <c r="K343" s="31"/>
      <c r="L343" s="31"/>
      <c r="M343" s="31"/>
      <c r="N343" s="31"/>
      <c r="O343" s="31"/>
      <c r="P343" s="31"/>
      <c r="Q343" s="31"/>
      <c r="R343" s="31"/>
      <c r="S343" s="31"/>
      <c r="T343" s="31"/>
      <c r="U343" s="31"/>
      <c r="V343" s="31"/>
      <c r="W343" s="31"/>
      <c r="X343" s="31"/>
      <c r="Y343" s="31"/>
      <c r="Z343" s="31"/>
      <c r="AA343" s="31"/>
      <c r="AB343" s="31"/>
      <c r="AC343" s="31"/>
      <c r="AD343" s="31"/>
    </row>
    <row r="344" spans="1:30">
      <c r="A344" s="31"/>
      <c r="D344" s="31"/>
      <c r="F344" s="31"/>
      <c r="G344" s="31"/>
      <c r="H344" s="31"/>
      <c r="I344" s="31"/>
      <c r="J344" s="31"/>
      <c r="K344" s="31"/>
      <c r="L344" s="31"/>
      <c r="M344" s="31"/>
      <c r="N344" s="31"/>
      <c r="O344" s="31"/>
      <c r="P344" s="31"/>
      <c r="Q344" s="31"/>
      <c r="R344" s="31"/>
      <c r="S344" s="31"/>
      <c r="T344" s="31"/>
      <c r="U344" s="31"/>
      <c r="V344" s="31"/>
      <c r="W344" s="31"/>
      <c r="X344" s="31"/>
      <c r="Y344" s="31"/>
      <c r="Z344" s="31"/>
      <c r="AA344" s="31"/>
      <c r="AB344" s="31"/>
      <c r="AC344" s="31"/>
      <c r="AD344" s="31"/>
    </row>
    <row r="345" spans="1:30">
      <c r="A345" s="31"/>
      <c r="D345" s="31"/>
      <c r="F345" s="31"/>
      <c r="G345" s="31"/>
      <c r="H345" s="31"/>
      <c r="I345" s="31"/>
      <c r="J345" s="31"/>
      <c r="K345" s="31"/>
      <c r="L345" s="31"/>
      <c r="M345" s="31"/>
      <c r="N345" s="31"/>
      <c r="O345" s="31"/>
      <c r="P345" s="31"/>
      <c r="Q345" s="31"/>
      <c r="R345" s="31"/>
      <c r="S345" s="31"/>
      <c r="T345" s="31"/>
      <c r="U345" s="31"/>
      <c r="V345" s="31"/>
      <c r="W345" s="31"/>
      <c r="X345" s="31"/>
      <c r="Y345" s="31"/>
      <c r="Z345" s="31"/>
      <c r="AA345" s="31"/>
      <c r="AB345" s="31"/>
      <c r="AC345" s="31"/>
      <c r="AD345" s="31"/>
    </row>
    <row r="346" spans="1:30">
      <c r="A346" s="31"/>
      <c r="D346" s="31"/>
      <c r="F346" s="31"/>
      <c r="G346" s="31"/>
      <c r="H346" s="31"/>
      <c r="I346" s="31"/>
      <c r="J346" s="31"/>
      <c r="K346" s="31"/>
      <c r="L346" s="31"/>
      <c r="M346" s="31"/>
      <c r="N346" s="31"/>
      <c r="O346" s="31"/>
      <c r="P346" s="31"/>
      <c r="Q346" s="31"/>
      <c r="R346" s="31"/>
      <c r="S346" s="31"/>
      <c r="T346" s="31"/>
      <c r="U346" s="31"/>
      <c r="V346" s="31"/>
      <c r="W346" s="31"/>
      <c r="X346" s="31"/>
      <c r="Y346" s="31"/>
      <c r="Z346" s="31"/>
      <c r="AA346" s="31"/>
      <c r="AB346" s="31"/>
      <c r="AC346" s="31"/>
      <c r="AD346" s="31"/>
    </row>
    <row r="347" spans="1:30">
      <c r="A347" s="31"/>
      <c r="D347" s="31"/>
      <c r="F347" s="31"/>
      <c r="G347" s="31"/>
      <c r="H347" s="31"/>
      <c r="I347" s="31"/>
      <c r="J347" s="31"/>
      <c r="K347" s="31"/>
      <c r="L347" s="31"/>
      <c r="M347" s="31"/>
      <c r="N347" s="31"/>
      <c r="O347" s="31"/>
      <c r="P347" s="31"/>
      <c r="Q347" s="31"/>
      <c r="R347" s="31"/>
      <c r="S347" s="31"/>
      <c r="T347" s="31"/>
      <c r="U347" s="31"/>
      <c r="V347" s="31"/>
      <c r="W347" s="31"/>
      <c r="X347" s="31"/>
      <c r="Y347" s="31"/>
      <c r="Z347" s="31"/>
      <c r="AA347" s="31"/>
      <c r="AB347" s="31"/>
      <c r="AC347" s="31"/>
      <c r="AD347" s="31"/>
    </row>
    <row r="348" spans="1:30">
      <c r="A348" s="31"/>
      <c r="D348" s="31"/>
      <c r="F348" s="31"/>
      <c r="G348" s="31"/>
      <c r="H348" s="31"/>
      <c r="I348" s="31"/>
      <c r="J348" s="31"/>
      <c r="K348" s="31"/>
      <c r="L348" s="31"/>
      <c r="M348" s="31"/>
      <c r="N348" s="31"/>
      <c r="O348" s="31"/>
      <c r="P348" s="31"/>
      <c r="Q348" s="31"/>
      <c r="R348" s="31"/>
      <c r="S348" s="31"/>
      <c r="T348" s="31"/>
      <c r="U348" s="31"/>
      <c r="V348" s="31"/>
      <c r="W348" s="31"/>
      <c r="X348" s="31"/>
      <c r="Y348" s="31"/>
      <c r="Z348" s="31"/>
      <c r="AA348" s="31"/>
      <c r="AB348" s="31"/>
      <c r="AC348" s="31"/>
      <c r="AD348" s="31"/>
    </row>
    <row r="349" spans="1:30">
      <c r="A349" s="31"/>
      <c r="D349" s="31"/>
      <c r="F349" s="31"/>
      <c r="G349" s="31"/>
      <c r="H349" s="31"/>
      <c r="I349" s="31"/>
      <c r="J349" s="31"/>
      <c r="K349" s="31"/>
      <c r="L349" s="31"/>
      <c r="M349" s="31"/>
      <c r="N349" s="31"/>
      <c r="O349" s="31"/>
      <c r="P349" s="31"/>
      <c r="Q349" s="31"/>
      <c r="R349" s="31"/>
      <c r="S349" s="31"/>
      <c r="T349" s="31"/>
      <c r="U349" s="31"/>
      <c r="V349" s="31"/>
      <c r="W349" s="31"/>
      <c r="X349" s="31"/>
      <c r="Y349" s="31"/>
      <c r="Z349" s="31"/>
      <c r="AA349" s="31"/>
      <c r="AB349" s="31"/>
      <c r="AC349" s="31"/>
      <c r="AD349" s="31"/>
    </row>
    <row r="350" spans="1:30">
      <c r="A350" s="31"/>
      <c r="D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1"/>
    </row>
    <row r="351" spans="1:30">
      <c r="A351" s="31"/>
      <c r="D351" s="31"/>
      <c r="F351" s="31"/>
      <c r="G351" s="31"/>
      <c r="H351" s="31"/>
      <c r="I351" s="31"/>
      <c r="J351" s="31"/>
      <c r="K351" s="31"/>
      <c r="L351" s="31"/>
      <c r="M351" s="31"/>
      <c r="N351" s="31"/>
      <c r="O351" s="31"/>
      <c r="P351" s="31"/>
      <c r="Q351" s="31"/>
      <c r="R351" s="31"/>
      <c r="S351" s="31"/>
      <c r="T351" s="31"/>
      <c r="U351" s="31"/>
      <c r="V351" s="31"/>
      <c r="W351" s="31"/>
      <c r="X351" s="31"/>
      <c r="Y351" s="31"/>
      <c r="Z351" s="31"/>
      <c r="AA351" s="31"/>
      <c r="AB351" s="31"/>
      <c r="AC351" s="31"/>
      <c r="AD351" s="31"/>
    </row>
    <row r="352" spans="1:30">
      <c r="A352" s="31"/>
      <c r="D352" s="31"/>
      <c r="F352" s="31"/>
      <c r="G352" s="31"/>
      <c r="H352" s="31"/>
      <c r="I352" s="31"/>
      <c r="J352" s="31"/>
      <c r="K352" s="31"/>
      <c r="L352" s="31"/>
      <c r="M352" s="31"/>
      <c r="N352" s="31"/>
      <c r="O352" s="31"/>
      <c r="P352" s="31"/>
      <c r="Q352" s="31"/>
      <c r="R352" s="31"/>
      <c r="S352" s="31"/>
      <c r="T352" s="31"/>
      <c r="U352" s="31"/>
      <c r="V352" s="31"/>
      <c r="W352" s="31"/>
      <c r="X352" s="31"/>
      <c r="Y352" s="31"/>
      <c r="Z352" s="31"/>
      <c r="AA352" s="31"/>
      <c r="AB352" s="31"/>
      <c r="AC352" s="31"/>
      <c r="AD352" s="31"/>
    </row>
    <row r="353" spans="1:30">
      <c r="A353" s="31"/>
      <c r="D353" s="31"/>
      <c r="F353" s="31"/>
      <c r="G353" s="31"/>
      <c r="H353" s="31"/>
      <c r="I353" s="31"/>
      <c r="J353" s="31"/>
      <c r="K353" s="31"/>
      <c r="L353" s="31"/>
      <c r="M353" s="31"/>
      <c r="N353" s="31"/>
      <c r="O353" s="31"/>
      <c r="P353" s="31"/>
      <c r="Q353" s="31"/>
      <c r="R353" s="31"/>
      <c r="S353" s="31"/>
      <c r="T353" s="31"/>
      <c r="U353" s="31"/>
      <c r="V353" s="31"/>
      <c r="W353" s="31"/>
      <c r="X353" s="31"/>
      <c r="Y353" s="31"/>
      <c r="Z353" s="31"/>
      <c r="AA353" s="31"/>
      <c r="AB353" s="31"/>
      <c r="AC353" s="31"/>
      <c r="AD353" s="31"/>
    </row>
    <row r="354" spans="1:30">
      <c r="A354" s="31"/>
      <c r="D354" s="31"/>
      <c r="F354" s="31"/>
      <c r="G354" s="31"/>
      <c r="H354" s="31"/>
      <c r="I354" s="31"/>
      <c r="J354" s="31"/>
      <c r="K354" s="31"/>
      <c r="L354" s="31"/>
      <c r="M354" s="31"/>
      <c r="N354" s="31"/>
      <c r="O354" s="31"/>
      <c r="P354" s="31"/>
      <c r="Q354" s="31"/>
      <c r="R354" s="31"/>
      <c r="S354" s="31"/>
      <c r="T354" s="31"/>
      <c r="U354" s="31"/>
      <c r="V354" s="31"/>
      <c r="W354" s="31"/>
      <c r="X354" s="31"/>
      <c r="Y354" s="31"/>
      <c r="Z354" s="31"/>
      <c r="AA354" s="31"/>
      <c r="AB354" s="31"/>
      <c r="AC354" s="31"/>
      <c r="AD354" s="31"/>
    </row>
    <row r="355" spans="1:30">
      <c r="A355" s="31"/>
      <c r="D355" s="31"/>
      <c r="F355" s="31"/>
      <c r="G355" s="31"/>
      <c r="H355" s="31"/>
      <c r="I355" s="31"/>
      <c r="J355" s="31"/>
      <c r="K355" s="31"/>
      <c r="L355" s="31"/>
      <c r="M355" s="31"/>
      <c r="N355" s="31"/>
      <c r="O355" s="31"/>
      <c r="P355" s="31"/>
      <c r="Q355" s="31"/>
      <c r="R355" s="31"/>
      <c r="S355" s="31"/>
      <c r="T355" s="31"/>
      <c r="U355" s="31"/>
      <c r="V355" s="31"/>
      <c r="W355" s="31"/>
      <c r="X355" s="31"/>
      <c r="Y355" s="31"/>
      <c r="Z355" s="31"/>
      <c r="AA355" s="31"/>
      <c r="AB355" s="31"/>
      <c r="AC355" s="31"/>
      <c r="AD355" s="31"/>
    </row>
    <row r="356" spans="1:30">
      <c r="A356" s="31"/>
      <c r="D356" s="31"/>
      <c r="F356" s="31"/>
      <c r="G356" s="31"/>
      <c r="H356" s="31"/>
      <c r="I356" s="31"/>
      <c r="J356" s="31"/>
      <c r="K356" s="31"/>
      <c r="L356" s="31"/>
      <c r="M356" s="31"/>
      <c r="N356" s="31"/>
      <c r="O356" s="31"/>
      <c r="P356" s="31"/>
      <c r="Q356" s="31"/>
      <c r="R356" s="31"/>
      <c r="S356" s="31"/>
      <c r="T356" s="31"/>
      <c r="U356" s="31"/>
      <c r="V356" s="31"/>
      <c r="W356" s="31"/>
      <c r="X356" s="31"/>
      <c r="Y356" s="31"/>
      <c r="Z356" s="31"/>
      <c r="AA356" s="31"/>
      <c r="AB356" s="31"/>
      <c r="AC356" s="31"/>
      <c r="AD356" s="31"/>
    </row>
    <row r="357" spans="1:30">
      <c r="A357" s="31"/>
      <c r="D357" s="31"/>
      <c r="F357" s="31"/>
      <c r="G357" s="31"/>
      <c r="H357" s="31"/>
      <c r="I357" s="31"/>
      <c r="J357" s="31"/>
      <c r="K357" s="31"/>
      <c r="L357" s="31"/>
      <c r="M357" s="31"/>
      <c r="N357" s="31"/>
      <c r="O357" s="31"/>
      <c r="P357" s="31"/>
      <c r="Q357" s="31"/>
      <c r="R357" s="31"/>
      <c r="S357" s="31"/>
      <c r="T357" s="31"/>
      <c r="U357" s="31"/>
      <c r="V357" s="31"/>
      <c r="W357" s="31"/>
      <c r="X357" s="31"/>
      <c r="Y357" s="31"/>
      <c r="Z357" s="31"/>
      <c r="AA357" s="31"/>
      <c r="AB357" s="31"/>
      <c r="AC357" s="31"/>
      <c r="AD357" s="31"/>
    </row>
    <row r="358" spans="1:30">
      <c r="A358" s="31"/>
      <c r="D358" s="31"/>
      <c r="F358" s="31"/>
      <c r="G358" s="31"/>
      <c r="H358" s="31"/>
      <c r="I358" s="31"/>
      <c r="J358" s="31"/>
      <c r="K358" s="31"/>
      <c r="L358" s="31"/>
      <c r="M358" s="31"/>
      <c r="N358" s="31"/>
      <c r="O358" s="31"/>
      <c r="P358" s="31"/>
      <c r="Q358" s="31"/>
      <c r="R358" s="31"/>
      <c r="S358" s="31"/>
      <c r="T358" s="31"/>
      <c r="U358" s="31"/>
      <c r="V358" s="31"/>
      <c r="W358" s="31"/>
      <c r="X358" s="31"/>
      <c r="Y358" s="31"/>
      <c r="Z358" s="31"/>
      <c r="AA358" s="31"/>
      <c r="AB358" s="31"/>
      <c r="AC358" s="31"/>
      <c r="AD358" s="31"/>
    </row>
    <row r="359" spans="1:30">
      <c r="A359" s="31"/>
      <c r="D359" s="31"/>
      <c r="F359" s="31"/>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1"/>
    </row>
    <row r="360" spans="1:30">
      <c r="A360" s="31"/>
      <c r="D360" s="31"/>
      <c r="F360" s="31"/>
      <c r="G360" s="31"/>
      <c r="H360" s="31"/>
      <c r="I360" s="31"/>
      <c r="J360" s="31"/>
      <c r="K360" s="31"/>
      <c r="L360" s="31"/>
      <c r="M360" s="31"/>
      <c r="N360" s="31"/>
      <c r="O360" s="31"/>
      <c r="P360" s="31"/>
      <c r="Q360" s="31"/>
      <c r="R360" s="31"/>
      <c r="S360" s="31"/>
      <c r="T360" s="31"/>
      <c r="U360" s="31"/>
      <c r="V360" s="31"/>
      <c r="W360" s="31"/>
      <c r="X360" s="31"/>
      <c r="Y360" s="31"/>
      <c r="Z360" s="31"/>
      <c r="AA360" s="31"/>
      <c r="AB360" s="31"/>
      <c r="AC360" s="31"/>
      <c r="AD360" s="31"/>
    </row>
    <row r="361" spans="1:30">
      <c r="A361" s="31"/>
      <c r="D361" s="31"/>
      <c r="F361" s="31"/>
      <c r="G361" s="31"/>
      <c r="H361" s="31"/>
      <c r="I361" s="31"/>
      <c r="J361" s="31"/>
      <c r="K361" s="31"/>
      <c r="L361" s="31"/>
      <c r="M361" s="31"/>
      <c r="N361" s="31"/>
      <c r="O361" s="31"/>
      <c r="P361" s="31"/>
      <c r="Q361" s="31"/>
      <c r="R361" s="31"/>
      <c r="S361" s="31"/>
      <c r="T361" s="31"/>
      <c r="U361" s="31"/>
      <c r="V361" s="31"/>
      <c r="W361" s="31"/>
      <c r="X361" s="31"/>
      <c r="Y361" s="31"/>
      <c r="Z361" s="31"/>
      <c r="AA361" s="31"/>
      <c r="AB361" s="31"/>
      <c r="AC361" s="31"/>
      <c r="AD361" s="31"/>
    </row>
    <row r="362" spans="1:30">
      <c r="A362" s="31"/>
      <c r="D362" s="31"/>
      <c r="F362" s="31"/>
      <c r="G362" s="31"/>
      <c r="H362" s="31"/>
      <c r="I362" s="31"/>
      <c r="J362" s="31"/>
      <c r="K362" s="31"/>
      <c r="L362" s="31"/>
      <c r="M362" s="31"/>
      <c r="N362" s="31"/>
      <c r="O362" s="31"/>
      <c r="P362" s="31"/>
      <c r="Q362" s="31"/>
      <c r="R362" s="31"/>
      <c r="S362" s="31"/>
      <c r="T362" s="31"/>
      <c r="U362" s="31"/>
      <c r="V362" s="31"/>
      <c r="W362" s="31"/>
      <c r="X362" s="31"/>
      <c r="Y362" s="31"/>
      <c r="Z362" s="31"/>
      <c r="AA362" s="31"/>
      <c r="AB362" s="31"/>
      <c r="AC362" s="31"/>
      <c r="AD362" s="31"/>
    </row>
    <row r="363" spans="1:30">
      <c r="A363" s="31"/>
      <c r="D363" s="31"/>
      <c r="F363" s="31"/>
      <c r="G363" s="31"/>
      <c r="H363" s="31"/>
      <c r="I363" s="31"/>
      <c r="J363" s="31"/>
      <c r="K363" s="31"/>
      <c r="L363" s="31"/>
      <c r="M363" s="31"/>
      <c r="N363" s="31"/>
      <c r="O363" s="31"/>
      <c r="P363" s="31"/>
      <c r="Q363" s="31"/>
      <c r="R363" s="31"/>
      <c r="S363" s="31"/>
      <c r="T363" s="31"/>
      <c r="U363" s="31"/>
      <c r="V363" s="31"/>
      <c r="W363" s="31"/>
      <c r="X363" s="31"/>
      <c r="Y363" s="31"/>
      <c r="Z363" s="31"/>
      <c r="AA363" s="31"/>
      <c r="AB363" s="31"/>
      <c r="AC363" s="31"/>
      <c r="AD363" s="31"/>
    </row>
    <row r="364" spans="1:30">
      <c r="A364" s="31"/>
      <c r="D364" s="31"/>
      <c r="F364" s="31"/>
      <c r="G364" s="31"/>
      <c r="H364" s="31"/>
      <c r="I364" s="31"/>
      <c r="J364" s="31"/>
      <c r="K364" s="31"/>
      <c r="L364" s="31"/>
      <c r="M364" s="31"/>
      <c r="N364" s="31"/>
      <c r="O364" s="31"/>
      <c r="P364" s="31"/>
      <c r="Q364" s="31"/>
      <c r="R364" s="31"/>
      <c r="S364" s="31"/>
      <c r="T364" s="31"/>
      <c r="U364" s="31"/>
      <c r="V364" s="31"/>
      <c r="W364" s="31"/>
      <c r="X364" s="31"/>
      <c r="Y364" s="31"/>
      <c r="Z364" s="31"/>
      <c r="AA364" s="31"/>
      <c r="AB364" s="31"/>
      <c r="AC364" s="31"/>
      <c r="AD364" s="31"/>
    </row>
    <row r="365" spans="1:30">
      <c r="A365" s="31"/>
      <c r="D365" s="31"/>
      <c r="F365" s="31"/>
      <c r="G365" s="31"/>
      <c r="H365" s="31"/>
      <c r="I365" s="31"/>
      <c r="J365" s="31"/>
      <c r="K365" s="31"/>
      <c r="L365" s="31"/>
      <c r="M365" s="31"/>
      <c r="N365" s="31"/>
      <c r="O365" s="31"/>
      <c r="P365" s="31"/>
      <c r="Q365" s="31"/>
      <c r="R365" s="31"/>
      <c r="S365" s="31"/>
      <c r="T365" s="31"/>
      <c r="U365" s="31"/>
      <c r="V365" s="31"/>
      <c r="W365" s="31"/>
      <c r="X365" s="31"/>
      <c r="Y365" s="31"/>
      <c r="Z365" s="31"/>
      <c r="AA365" s="31"/>
      <c r="AB365" s="31"/>
      <c r="AC365" s="31"/>
      <c r="AD365" s="31"/>
    </row>
    <row r="366" spans="1:30">
      <c r="A366" s="31"/>
      <c r="D366" s="31"/>
      <c r="F366" s="31"/>
      <c r="G366" s="31"/>
      <c r="H366" s="31"/>
      <c r="I366" s="31"/>
      <c r="J366" s="31"/>
      <c r="K366" s="31"/>
      <c r="L366" s="31"/>
      <c r="M366" s="31"/>
      <c r="N366" s="31"/>
      <c r="O366" s="31"/>
      <c r="P366" s="31"/>
      <c r="Q366" s="31"/>
      <c r="R366" s="31"/>
      <c r="S366" s="31"/>
      <c r="T366" s="31"/>
      <c r="U366" s="31"/>
      <c r="V366" s="31"/>
      <c r="W366" s="31"/>
      <c r="X366" s="31"/>
      <c r="Y366" s="31"/>
      <c r="Z366" s="31"/>
      <c r="AA366" s="31"/>
      <c r="AB366" s="31"/>
      <c r="AC366" s="31"/>
      <c r="AD366" s="31"/>
    </row>
    <row r="367" spans="1:30">
      <c r="A367" s="31"/>
      <c r="D367" s="31"/>
      <c r="F367" s="31"/>
      <c r="G367" s="31"/>
      <c r="H367" s="31"/>
      <c r="I367" s="31"/>
      <c r="J367" s="31"/>
      <c r="K367" s="31"/>
      <c r="L367" s="31"/>
      <c r="M367" s="31"/>
      <c r="N367" s="31"/>
      <c r="O367" s="31"/>
      <c r="P367" s="31"/>
      <c r="Q367" s="31"/>
      <c r="R367" s="31"/>
      <c r="S367" s="31"/>
      <c r="T367" s="31"/>
      <c r="U367" s="31"/>
      <c r="V367" s="31"/>
      <c r="W367" s="31"/>
      <c r="X367" s="31"/>
      <c r="Y367" s="31"/>
      <c r="Z367" s="31"/>
      <c r="AA367" s="31"/>
      <c r="AB367" s="31"/>
      <c r="AC367" s="31"/>
      <c r="AD367" s="31"/>
    </row>
    <row r="368" spans="1:30">
      <c r="A368" s="31"/>
      <c r="D368" s="31"/>
      <c r="F368" s="31"/>
      <c r="G368" s="31"/>
      <c r="H368" s="31"/>
      <c r="I368" s="31"/>
      <c r="J368" s="31"/>
      <c r="K368" s="31"/>
      <c r="L368" s="31"/>
      <c r="M368" s="31"/>
      <c r="N368" s="31"/>
      <c r="O368" s="31"/>
      <c r="P368" s="31"/>
      <c r="Q368" s="31"/>
      <c r="R368" s="31"/>
      <c r="S368" s="31"/>
      <c r="T368" s="31"/>
      <c r="U368" s="31"/>
      <c r="V368" s="31"/>
      <c r="W368" s="31"/>
      <c r="X368" s="31"/>
      <c r="Y368" s="31"/>
      <c r="Z368" s="31"/>
      <c r="AA368" s="31"/>
      <c r="AB368" s="31"/>
      <c r="AC368" s="31"/>
      <c r="AD368" s="31"/>
    </row>
    <row r="369" spans="1:30">
      <c r="A369" s="31"/>
      <c r="D369" s="31"/>
      <c r="F369" s="31"/>
      <c r="G369" s="31"/>
      <c r="H369" s="31"/>
      <c r="I369" s="31"/>
      <c r="J369" s="31"/>
      <c r="K369" s="31"/>
      <c r="L369" s="31"/>
      <c r="M369" s="31"/>
      <c r="N369" s="31"/>
      <c r="O369" s="31"/>
      <c r="P369" s="31"/>
      <c r="Q369" s="31"/>
      <c r="R369" s="31"/>
      <c r="S369" s="31"/>
      <c r="T369" s="31"/>
      <c r="U369" s="31"/>
      <c r="V369" s="31"/>
      <c r="W369" s="31"/>
      <c r="X369" s="31"/>
      <c r="Y369" s="31"/>
      <c r="Z369" s="31"/>
      <c r="AA369" s="31"/>
      <c r="AB369" s="31"/>
      <c r="AC369" s="31"/>
      <c r="AD369" s="31"/>
    </row>
    <row r="370" spans="1:30">
      <c r="A370" s="31"/>
      <c r="D370" s="31"/>
      <c r="F370" s="31"/>
      <c r="G370" s="31"/>
      <c r="H370" s="31"/>
      <c r="I370" s="31"/>
      <c r="J370" s="31"/>
      <c r="K370" s="31"/>
      <c r="L370" s="31"/>
      <c r="M370" s="31"/>
      <c r="N370" s="31"/>
      <c r="O370" s="31"/>
      <c r="P370" s="31"/>
      <c r="Q370" s="31"/>
      <c r="R370" s="31"/>
      <c r="S370" s="31"/>
      <c r="T370" s="31"/>
      <c r="U370" s="31"/>
      <c r="V370" s="31"/>
      <c r="W370" s="31"/>
      <c r="X370" s="31"/>
      <c r="Y370" s="31"/>
      <c r="Z370" s="31"/>
      <c r="AA370" s="31"/>
      <c r="AB370" s="31"/>
      <c r="AC370" s="31"/>
      <c r="AD370" s="31"/>
    </row>
    <row r="371" spans="1:30">
      <c r="A371" s="31"/>
      <c r="D371" s="31"/>
      <c r="F371" s="31"/>
      <c r="G371" s="31"/>
      <c r="H371" s="31"/>
      <c r="I371" s="31"/>
      <c r="J371" s="31"/>
      <c r="K371" s="31"/>
      <c r="L371" s="31"/>
      <c r="M371" s="31"/>
      <c r="N371" s="31"/>
      <c r="O371" s="31"/>
      <c r="P371" s="31"/>
      <c r="Q371" s="31"/>
      <c r="R371" s="31"/>
      <c r="S371" s="31"/>
      <c r="T371" s="31"/>
      <c r="U371" s="31"/>
      <c r="V371" s="31"/>
      <c r="W371" s="31"/>
      <c r="X371" s="31"/>
      <c r="Y371" s="31"/>
      <c r="Z371" s="31"/>
      <c r="AA371" s="31"/>
      <c r="AB371" s="31"/>
      <c r="AC371" s="31"/>
      <c r="AD371" s="31"/>
    </row>
    <row r="372" spans="1:30">
      <c r="A372" s="31"/>
      <c r="D372" s="31"/>
      <c r="F372" s="31"/>
      <c r="G372" s="31"/>
      <c r="H372" s="31"/>
      <c r="I372" s="31"/>
      <c r="J372" s="31"/>
      <c r="K372" s="31"/>
      <c r="L372" s="31"/>
      <c r="M372" s="31"/>
      <c r="N372" s="31"/>
      <c r="O372" s="31"/>
      <c r="P372" s="31"/>
      <c r="Q372" s="31"/>
      <c r="R372" s="31"/>
      <c r="S372" s="31"/>
      <c r="T372" s="31"/>
      <c r="U372" s="31"/>
      <c r="V372" s="31"/>
      <c r="W372" s="31"/>
      <c r="X372" s="31"/>
      <c r="Y372" s="31"/>
      <c r="Z372" s="31"/>
      <c r="AA372" s="31"/>
      <c r="AB372" s="31"/>
      <c r="AC372" s="31"/>
      <c r="AD372" s="31"/>
    </row>
    <row r="373" spans="1:30">
      <c r="A373" s="31"/>
      <c r="D373" s="31"/>
      <c r="F373" s="31"/>
      <c r="G373" s="31"/>
      <c r="H373" s="31"/>
      <c r="I373" s="31"/>
      <c r="J373" s="31"/>
      <c r="K373" s="31"/>
      <c r="L373" s="31"/>
      <c r="M373" s="31"/>
      <c r="N373" s="31"/>
      <c r="O373" s="31"/>
      <c r="P373" s="31"/>
      <c r="Q373" s="31"/>
      <c r="R373" s="31"/>
      <c r="S373" s="31"/>
      <c r="T373" s="31"/>
      <c r="U373" s="31"/>
      <c r="V373" s="31"/>
      <c r="W373" s="31"/>
      <c r="X373" s="31"/>
      <c r="Y373" s="31"/>
      <c r="Z373" s="31"/>
      <c r="AA373" s="31"/>
      <c r="AB373" s="31"/>
      <c r="AC373" s="31"/>
      <c r="AD373" s="31"/>
    </row>
    <row r="374" spans="1:30">
      <c r="A374" s="31"/>
      <c r="D374" s="31"/>
      <c r="F374" s="31"/>
      <c r="G374" s="31"/>
      <c r="H374" s="31"/>
      <c r="I374" s="31"/>
      <c r="J374" s="31"/>
      <c r="K374" s="31"/>
      <c r="L374" s="31"/>
      <c r="M374" s="31"/>
      <c r="N374" s="31"/>
      <c r="O374" s="31"/>
      <c r="P374" s="31"/>
      <c r="Q374" s="31"/>
      <c r="R374" s="31"/>
      <c r="S374" s="31"/>
      <c r="T374" s="31"/>
      <c r="U374" s="31"/>
      <c r="V374" s="31"/>
      <c r="W374" s="31"/>
      <c r="X374" s="31"/>
      <c r="Y374" s="31"/>
      <c r="Z374" s="31"/>
      <c r="AA374" s="31"/>
      <c r="AB374" s="31"/>
      <c r="AC374" s="31"/>
      <c r="AD374" s="31"/>
    </row>
    <row r="375" spans="1:30">
      <c r="A375" s="31"/>
      <c r="D375" s="31"/>
      <c r="F375" s="31"/>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1"/>
    </row>
    <row r="376" spans="1:30">
      <c r="A376" s="31"/>
      <c r="D376" s="31"/>
      <c r="F376" s="31"/>
      <c r="G376" s="31"/>
      <c r="H376" s="31"/>
      <c r="I376" s="31"/>
      <c r="J376" s="31"/>
      <c r="K376" s="31"/>
      <c r="L376" s="31"/>
      <c r="M376" s="31"/>
      <c r="N376" s="31"/>
      <c r="O376" s="31"/>
      <c r="P376" s="31"/>
      <c r="Q376" s="31"/>
      <c r="R376" s="31"/>
      <c r="S376" s="31"/>
      <c r="T376" s="31"/>
      <c r="U376" s="31"/>
      <c r="V376" s="31"/>
      <c r="W376" s="31"/>
      <c r="X376" s="31"/>
      <c r="Y376" s="31"/>
      <c r="Z376" s="31"/>
      <c r="AA376" s="31"/>
      <c r="AB376" s="31"/>
      <c r="AC376" s="31"/>
      <c r="AD376" s="31"/>
    </row>
    <row r="377" spans="1:30">
      <c r="A377" s="31"/>
      <c r="D377" s="31"/>
      <c r="F377" s="31"/>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1"/>
    </row>
    <row r="378" spans="1:30">
      <c r="A378" s="31"/>
      <c r="D378" s="31"/>
      <c r="F378" s="31"/>
      <c r="G378" s="31"/>
      <c r="H378" s="31"/>
      <c r="I378" s="31"/>
      <c r="J378" s="31"/>
      <c r="K378" s="31"/>
      <c r="L378" s="31"/>
      <c r="M378" s="31"/>
      <c r="N378" s="31"/>
      <c r="O378" s="31"/>
      <c r="P378" s="31"/>
      <c r="Q378" s="31"/>
      <c r="R378" s="31"/>
      <c r="S378" s="31"/>
      <c r="T378" s="31"/>
      <c r="U378" s="31"/>
      <c r="V378" s="31"/>
      <c r="W378" s="31"/>
      <c r="X378" s="31"/>
      <c r="Y378" s="31"/>
      <c r="Z378" s="31"/>
      <c r="AA378" s="31"/>
      <c r="AB378" s="31"/>
      <c r="AC378" s="31"/>
      <c r="AD378" s="31"/>
    </row>
    <row r="379" spans="1:30">
      <c r="A379" s="31"/>
      <c r="D379" s="31"/>
      <c r="F379" s="31"/>
      <c r="G379" s="31"/>
      <c r="H379" s="31"/>
      <c r="I379" s="31"/>
      <c r="J379" s="31"/>
      <c r="K379" s="31"/>
      <c r="L379" s="31"/>
      <c r="M379" s="31"/>
      <c r="N379" s="31"/>
      <c r="O379" s="31"/>
      <c r="P379" s="31"/>
      <c r="Q379" s="31"/>
      <c r="R379" s="31"/>
      <c r="S379" s="31"/>
      <c r="T379" s="31"/>
      <c r="U379" s="31"/>
      <c r="V379" s="31"/>
      <c r="W379" s="31"/>
      <c r="X379" s="31"/>
      <c r="Y379" s="31"/>
      <c r="Z379" s="31"/>
      <c r="AA379" s="31"/>
      <c r="AB379" s="31"/>
      <c r="AC379" s="31"/>
      <c r="AD379" s="31"/>
    </row>
    <row r="380" spans="1:30">
      <c r="A380" s="31"/>
      <c r="D380" s="31"/>
      <c r="F380" s="31"/>
      <c r="G380" s="31"/>
      <c r="H380" s="31"/>
      <c r="I380" s="31"/>
      <c r="J380" s="31"/>
      <c r="K380" s="31"/>
      <c r="L380" s="31"/>
      <c r="M380" s="31"/>
      <c r="N380" s="31"/>
      <c r="O380" s="31"/>
      <c r="P380" s="31"/>
      <c r="Q380" s="31"/>
      <c r="R380" s="31"/>
      <c r="S380" s="31"/>
      <c r="T380" s="31"/>
      <c r="U380" s="31"/>
      <c r="V380" s="31"/>
      <c r="W380" s="31"/>
      <c r="X380" s="31"/>
      <c r="Y380" s="31"/>
      <c r="Z380" s="31"/>
      <c r="AA380" s="31"/>
      <c r="AB380" s="31"/>
      <c r="AC380" s="31"/>
      <c r="AD380" s="31"/>
    </row>
    <row r="381" spans="1:30">
      <c r="A381" s="31"/>
      <c r="D381" s="31"/>
      <c r="F381" s="31"/>
      <c r="G381" s="31"/>
      <c r="H381" s="31"/>
      <c r="I381" s="31"/>
      <c r="J381" s="31"/>
      <c r="K381" s="31"/>
      <c r="L381" s="31"/>
      <c r="M381" s="31"/>
      <c r="N381" s="31"/>
      <c r="O381" s="31"/>
      <c r="P381" s="31"/>
      <c r="Q381" s="31"/>
      <c r="R381" s="31"/>
      <c r="S381" s="31"/>
      <c r="T381" s="31"/>
      <c r="U381" s="31"/>
      <c r="V381" s="31"/>
      <c r="W381" s="31"/>
      <c r="X381" s="31"/>
      <c r="Y381" s="31"/>
      <c r="Z381" s="31"/>
      <c r="AA381" s="31"/>
      <c r="AB381" s="31"/>
      <c r="AC381" s="31"/>
      <c r="AD381" s="31"/>
    </row>
    <row r="382" spans="1:30">
      <c r="A382" s="31"/>
      <c r="D382" s="31"/>
      <c r="F382" s="31"/>
      <c r="G382" s="31"/>
      <c r="H382" s="31"/>
      <c r="I382" s="31"/>
      <c r="J382" s="31"/>
      <c r="K382" s="31"/>
      <c r="L382" s="31"/>
      <c r="M382" s="31"/>
      <c r="N382" s="31"/>
      <c r="O382" s="31"/>
      <c r="P382" s="31"/>
      <c r="Q382" s="31"/>
      <c r="R382" s="31"/>
      <c r="S382" s="31"/>
      <c r="T382" s="31"/>
      <c r="U382" s="31"/>
      <c r="V382" s="31"/>
      <c r="W382" s="31"/>
      <c r="X382" s="31"/>
      <c r="Y382" s="31"/>
      <c r="Z382" s="31"/>
      <c r="AA382" s="31"/>
      <c r="AB382" s="31"/>
      <c r="AC382" s="31"/>
      <c r="AD382" s="31"/>
    </row>
    <row r="383" spans="1:30">
      <c r="A383" s="31"/>
      <c r="D383" s="31"/>
      <c r="F383" s="31"/>
      <c r="G383" s="31"/>
      <c r="H383" s="31"/>
      <c r="I383" s="31"/>
      <c r="J383" s="31"/>
      <c r="K383" s="31"/>
      <c r="L383" s="31"/>
      <c r="M383" s="31"/>
      <c r="N383" s="31"/>
      <c r="O383" s="31"/>
      <c r="P383" s="31"/>
      <c r="Q383" s="31"/>
      <c r="R383" s="31"/>
      <c r="S383" s="31"/>
      <c r="T383" s="31"/>
      <c r="U383" s="31"/>
      <c r="V383" s="31"/>
      <c r="W383" s="31"/>
      <c r="X383" s="31"/>
      <c r="Y383" s="31"/>
      <c r="Z383" s="31"/>
      <c r="AA383" s="31"/>
      <c r="AB383" s="31"/>
      <c r="AC383" s="31"/>
      <c r="AD383" s="31"/>
    </row>
    <row r="384" spans="1:30">
      <c r="A384" s="31"/>
      <c r="D384" s="31"/>
      <c r="F384" s="31"/>
      <c r="G384" s="31"/>
      <c r="H384" s="31"/>
      <c r="I384" s="31"/>
      <c r="J384" s="31"/>
      <c r="K384" s="31"/>
      <c r="L384" s="31"/>
      <c r="M384" s="31"/>
      <c r="N384" s="31"/>
      <c r="O384" s="31"/>
      <c r="P384" s="31"/>
      <c r="Q384" s="31"/>
      <c r="R384" s="31"/>
      <c r="S384" s="31"/>
      <c r="T384" s="31"/>
      <c r="U384" s="31"/>
      <c r="V384" s="31"/>
      <c r="W384" s="31"/>
      <c r="X384" s="31"/>
      <c r="Y384" s="31"/>
      <c r="Z384" s="31"/>
      <c r="AA384" s="31"/>
      <c r="AB384" s="31"/>
      <c r="AC384" s="31"/>
      <c r="AD384" s="31"/>
    </row>
    <row r="385" spans="1:30">
      <c r="A385" s="31"/>
      <c r="D385" s="31"/>
      <c r="F385" s="31"/>
      <c r="G385" s="31"/>
      <c r="H385" s="31"/>
      <c r="I385" s="31"/>
      <c r="J385" s="31"/>
      <c r="K385" s="31"/>
      <c r="L385" s="31"/>
      <c r="M385" s="31"/>
      <c r="N385" s="31"/>
      <c r="O385" s="31"/>
      <c r="P385" s="31"/>
      <c r="Q385" s="31"/>
      <c r="R385" s="31"/>
      <c r="S385" s="31"/>
      <c r="T385" s="31"/>
      <c r="U385" s="31"/>
      <c r="V385" s="31"/>
      <c r="W385" s="31"/>
      <c r="X385" s="31"/>
      <c r="Y385" s="31"/>
      <c r="Z385" s="31"/>
      <c r="AA385" s="31"/>
      <c r="AB385" s="31"/>
      <c r="AC385" s="31"/>
      <c r="AD385" s="31"/>
    </row>
    <row r="386" spans="1:30">
      <c r="A386" s="31"/>
      <c r="D386" s="31"/>
      <c r="F386" s="31"/>
      <c r="G386" s="31"/>
      <c r="H386" s="31"/>
      <c r="I386" s="31"/>
      <c r="J386" s="31"/>
      <c r="K386" s="31"/>
      <c r="L386" s="31"/>
      <c r="M386" s="31"/>
      <c r="N386" s="31"/>
      <c r="O386" s="31"/>
      <c r="P386" s="31"/>
      <c r="Q386" s="31"/>
      <c r="R386" s="31"/>
      <c r="S386" s="31"/>
      <c r="T386" s="31"/>
      <c r="U386" s="31"/>
      <c r="V386" s="31"/>
      <c r="W386" s="31"/>
      <c r="X386" s="31"/>
      <c r="Y386" s="31"/>
      <c r="Z386" s="31"/>
      <c r="AA386" s="31"/>
      <c r="AB386" s="31"/>
      <c r="AC386" s="31"/>
      <c r="AD386" s="31"/>
    </row>
    <row r="387" spans="1:30">
      <c r="A387" s="31"/>
      <c r="D387" s="31"/>
      <c r="F387" s="31"/>
      <c r="G387" s="31"/>
      <c r="H387" s="31"/>
      <c r="I387" s="31"/>
      <c r="J387" s="31"/>
      <c r="K387" s="31"/>
      <c r="L387" s="31"/>
      <c r="M387" s="31"/>
      <c r="N387" s="31"/>
      <c r="O387" s="31"/>
      <c r="P387" s="31"/>
      <c r="Q387" s="31"/>
      <c r="R387" s="31"/>
      <c r="S387" s="31"/>
      <c r="T387" s="31"/>
      <c r="U387" s="31"/>
      <c r="V387" s="31"/>
      <c r="W387" s="31"/>
      <c r="X387" s="31"/>
      <c r="Y387" s="31"/>
      <c r="Z387" s="31"/>
      <c r="AA387" s="31"/>
      <c r="AB387" s="31"/>
      <c r="AC387" s="31"/>
      <c r="AD387" s="31"/>
    </row>
    <row r="388" spans="1:30">
      <c r="A388" s="31"/>
      <c r="D388" s="31"/>
      <c r="F388" s="31"/>
      <c r="G388" s="31"/>
      <c r="H388" s="31"/>
      <c r="I388" s="31"/>
      <c r="J388" s="31"/>
      <c r="K388" s="31"/>
      <c r="L388" s="31"/>
      <c r="M388" s="31"/>
      <c r="N388" s="31"/>
      <c r="O388" s="31"/>
      <c r="P388" s="31"/>
      <c r="Q388" s="31"/>
      <c r="R388" s="31"/>
      <c r="S388" s="31"/>
      <c r="T388" s="31"/>
      <c r="U388" s="31"/>
      <c r="V388" s="31"/>
      <c r="W388" s="31"/>
      <c r="X388" s="31"/>
      <c r="Y388" s="31"/>
      <c r="Z388" s="31"/>
      <c r="AA388" s="31"/>
      <c r="AB388" s="31"/>
      <c r="AC388" s="31"/>
      <c r="AD388" s="31"/>
    </row>
    <row r="389" spans="1:30">
      <c r="A389" s="31"/>
      <c r="D389" s="31"/>
      <c r="F389" s="31"/>
      <c r="G389" s="31"/>
      <c r="H389" s="31"/>
      <c r="I389" s="31"/>
      <c r="J389" s="31"/>
      <c r="K389" s="31"/>
      <c r="L389" s="31"/>
      <c r="M389" s="31"/>
      <c r="N389" s="31"/>
      <c r="O389" s="31"/>
      <c r="P389" s="31"/>
      <c r="Q389" s="31"/>
      <c r="R389" s="31"/>
      <c r="S389" s="31"/>
      <c r="T389" s="31"/>
      <c r="U389" s="31"/>
      <c r="V389" s="31"/>
      <c r="W389" s="31"/>
      <c r="X389" s="31"/>
      <c r="Y389" s="31"/>
      <c r="Z389" s="31"/>
      <c r="AA389" s="31"/>
      <c r="AB389" s="31"/>
      <c r="AC389" s="31"/>
      <c r="AD389" s="31"/>
    </row>
    <row r="390" spans="1:30">
      <c r="A390" s="31"/>
      <c r="D390" s="31"/>
      <c r="F390" s="31"/>
      <c r="G390" s="31"/>
      <c r="H390" s="31"/>
      <c r="I390" s="31"/>
      <c r="J390" s="31"/>
      <c r="K390" s="31"/>
      <c r="L390" s="31"/>
      <c r="M390" s="31"/>
      <c r="N390" s="31"/>
      <c r="O390" s="31"/>
      <c r="P390" s="31"/>
      <c r="Q390" s="31"/>
      <c r="R390" s="31"/>
      <c r="S390" s="31"/>
      <c r="T390" s="31"/>
      <c r="U390" s="31"/>
      <c r="V390" s="31"/>
      <c r="W390" s="31"/>
      <c r="X390" s="31"/>
      <c r="Y390" s="31"/>
      <c r="Z390" s="31"/>
      <c r="AA390" s="31"/>
      <c r="AB390" s="31"/>
      <c r="AC390" s="31"/>
      <c r="AD390" s="31"/>
    </row>
    <row r="391" spans="1:30">
      <c r="A391" s="31"/>
      <c r="D391" s="31"/>
      <c r="F391" s="31"/>
      <c r="G391" s="31"/>
      <c r="H391" s="31"/>
      <c r="I391" s="31"/>
      <c r="J391" s="31"/>
      <c r="K391" s="31"/>
      <c r="L391" s="31"/>
      <c r="M391" s="31"/>
      <c r="N391" s="31"/>
      <c r="O391" s="31"/>
      <c r="P391" s="31"/>
      <c r="Q391" s="31"/>
      <c r="R391" s="31"/>
      <c r="S391" s="31"/>
      <c r="T391" s="31"/>
      <c r="U391" s="31"/>
      <c r="V391" s="31"/>
      <c r="W391" s="31"/>
      <c r="X391" s="31"/>
      <c r="Y391" s="31"/>
      <c r="Z391" s="31"/>
      <c r="AA391" s="31"/>
      <c r="AB391" s="31"/>
      <c r="AC391" s="31"/>
      <c r="AD391" s="31"/>
    </row>
    <row r="392" spans="1:30">
      <c r="A392" s="31"/>
      <c r="D392" s="31"/>
      <c r="F392" s="31"/>
      <c r="G392" s="31"/>
      <c r="H392" s="31"/>
      <c r="I392" s="31"/>
      <c r="J392" s="31"/>
      <c r="K392" s="31"/>
      <c r="L392" s="31"/>
      <c r="M392" s="31"/>
      <c r="N392" s="31"/>
      <c r="O392" s="31"/>
      <c r="P392" s="31"/>
      <c r="Q392" s="31"/>
      <c r="R392" s="31"/>
      <c r="S392" s="31"/>
      <c r="T392" s="31"/>
      <c r="U392" s="31"/>
      <c r="V392" s="31"/>
      <c r="W392" s="31"/>
      <c r="X392" s="31"/>
      <c r="Y392" s="31"/>
      <c r="Z392" s="31"/>
      <c r="AA392" s="31"/>
      <c r="AB392" s="31"/>
      <c r="AC392" s="31"/>
      <c r="AD392" s="31"/>
    </row>
    <row r="393" spans="1:30">
      <c r="A393" s="31"/>
      <c r="D393" s="31"/>
      <c r="F393" s="31"/>
      <c r="G393" s="31"/>
      <c r="H393" s="31"/>
      <c r="I393" s="31"/>
      <c r="J393" s="31"/>
      <c r="K393" s="31"/>
      <c r="L393" s="31"/>
      <c r="M393" s="31"/>
      <c r="N393" s="31"/>
      <c r="O393" s="31"/>
      <c r="P393" s="31"/>
      <c r="Q393" s="31"/>
      <c r="R393" s="31"/>
      <c r="S393" s="31"/>
      <c r="T393" s="31"/>
      <c r="U393" s="31"/>
      <c r="V393" s="31"/>
      <c r="W393" s="31"/>
      <c r="X393" s="31"/>
      <c r="Y393" s="31"/>
      <c r="Z393" s="31"/>
      <c r="AA393" s="31"/>
      <c r="AB393" s="31"/>
      <c r="AC393" s="31"/>
      <c r="AD393" s="31"/>
    </row>
    <row r="394" spans="1:30">
      <c r="A394" s="31"/>
      <c r="D394" s="31"/>
      <c r="F394" s="31"/>
      <c r="G394" s="31"/>
      <c r="H394" s="31"/>
      <c r="I394" s="31"/>
      <c r="J394" s="31"/>
      <c r="K394" s="31"/>
      <c r="L394" s="31"/>
      <c r="M394" s="31"/>
      <c r="N394" s="31"/>
      <c r="O394" s="31"/>
      <c r="P394" s="31"/>
      <c r="Q394" s="31"/>
      <c r="R394" s="31"/>
      <c r="S394" s="31"/>
      <c r="T394" s="31"/>
      <c r="U394" s="31"/>
      <c r="V394" s="31"/>
      <c r="W394" s="31"/>
      <c r="X394" s="31"/>
      <c r="Y394" s="31"/>
      <c r="Z394" s="31"/>
      <c r="AA394" s="31"/>
      <c r="AB394" s="31"/>
      <c r="AC394" s="31"/>
      <c r="AD394" s="31"/>
    </row>
    <row r="395" spans="1:30">
      <c r="A395" s="31"/>
      <c r="D395" s="31"/>
      <c r="F395" s="31"/>
      <c r="G395" s="31"/>
      <c r="H395" s="31"/>
      <c r="I395" s="31"/>
      <c r="J395" s="31"/>
      <c r="K395" s="31"/>
      <c r="L395" s="31"/>
      <c r="M395" s="31"/>
      <c r="N395" s="31"/>
      <c r="O395" s="31"/>
      <c r="P395" s="31"/>
      <c r="Q395" s="31"/>
      <c r="R395" s="31"/>
      <c r="S395" s="31"/>
      <c r="T395" s="31"/>
      <c r="U395" s="31"/>
      <c r="V395" s="31"/>
      <c r="W395" s="31"/>
      <c r="X395" s="31"/>
      <c r="Y395" s="31"/>
      <c r="Z395" s="31"/>
      <c r="AA395" s="31"/>
      <c r="AB395" s="31"/>
      <c r="AC395" s="31"/>
      <c r="AD395" s="31"/>
    </row>
    <row r="396" spans="1:30">
      <c r="A396" s="31"/>
      <c r="D396" s="31"/>
      <c r="F396" s="31"/>
      <c r="G396" s="31"/>
      <c r="H396" s="31"/>
      <c r="I396" s="31"/>
      <c r="J396" s="31"/>
      <c r="K396" s="31"/>
      <c r="L396" s="31"/>
      <c r="M396" s="31"/>
      <c r="N396" s="31"/>
      <c r="O396" s="31"/>
      <c r="P396" s="31"/>
      <c r="Q396" s="31"/>
      <c r="R396" s="31"/>
      <c r="S396" s="31"/>
      <c r="T396" s="31"/>
      <c r="U396" s="31"/>
      <c r="V396" s="31"/>
      <c r="W396" s="31"/>
      <c r="X396" s="31"/>
      <c r="Y396" s="31"/>
      <c r="Z396" s="31"/>
      <c r="AA396" s="31"/>
      <c r="AB396" s="31"/>
      <c r="AC396" s="31"/>
      <c r="AD396" s="31"/>
    </row>
    <row r="397" spans="1:30">
      <c r="A397" s="31"/>
      <c r="D397" s="31"/>
      <c r="F397" s="31"/>
      <c r="G397" s="31"/>
      <c r="H397" s="31"/>
      <c r="I397" s="31"/>
      <c r="J397" s="31"/>
      <c r="K397" s="31"/>
      <c r="L397" s="31"/>
      <c r="M397" s="31"/>
      <c r="N397" s="31"/>
      <c r="O397" s="31"/>
      <c r="P397" s="31"/>
      <c r="Q397" s="31"/>
      <c r="R397" s="31"/>
      <c r="S397" s="31"/>
      <c r="T397" s="31"/>
      <c r="U397" s="31"/>
      <c r="V397" s="31"/>
      <c r="W397" s="31"/>
      <c r="X397" s="31"/>
      <c r="Y397" s="31"/>
      <c r="Z397" s="31"/>
      <c r="AA397" s="31"/>
      <c r="AB397" s="31"/>
      <c r="AC397" s="31"/>
      <c r="AD397" s="31"/>
    </row>
    <row r="398" spans="1:30">
      <c r="A398" s="31"/>
      <c r="D398" s="31"/>
      <c r="F398" s="31"/>
      <c r="G398" s="31"/>
      <c r="H398" s="31"/>
      <c r="I398" s="31"/>
      <c r="J398" s="31"/>
      <c r="K398" s="31"/>
      <c r="L398" s="31"/>
      <c r="M398" s="31"/>
      <c r="N398" s="31"/>
      <c r="O398" s="31"/>
      <c r="P398" s="31"/>
      <c r="Q398" s="31"/>
      <c r="R398" s="31"/>
      <c r="S398" s="31"/>
      <c r="T398" s="31"/>
      <c r="U398" s="31"/>
      <c r="V398" s="31"/>
      <c r="W398" s="31"/>
      <c r="X398" s="31"/>
      <c r="Y398" s="31"/>
      <c r="Z398" s="31"/>
      <c r="AA398" s="31"/>
      <c r="AB398" s="31"/>
      <c r="AC398" s="31"/>
      <c r="AD398" s="31"/>
    </row>
    <row r="399" spans="1:30">
      <c r="A399" s="31"/>
      <c r="D399" s="31"/>
      <c r="F399" s="31"/>
      <c r="G399" s="31"/>
      <c r="H399" s="31"/>
      <c r="I399" s="31"/>
      <c r="J399" s="31"/>
      <c r="K399" s="31"/>
      <c r="L399" s="31"/>
      <c r="M399" s="31"/>
      <c r="N399" s="31"/>
      <c r="O399" s="31"/>
      <c r="P399" s="31"/>
      <c r="Q399" s="31"/>
      <c r="R399" s="31"/>
      <c r="S399" s="31"/>
      <c r="T399" s="31"/>
      <c r="U399" s="31"/>
      <c r="V399" s="31"/>
      <c r="W399" s="31"/>
      <c r="X399" s="31"/>
      <c r="Y399" s="31"/>
      <c r="Z399" s="31"/>
      <c r="AA399" s="31"/>
      <c r="AB399" s="31"/>
      <c r="AC399" s="31"/>
      <c r="AD399" s="31"/>
    </row>
    <row r="400" spans="1:30">
      <c r="A400" s="31"/>
      <c r="D400" s="31"/>
      <c r="F400" s="31"/>
      <c r="G400" s="31"/>
      <c r="H400" s="31"/>
      <c r="I400" s="31"/>
      <c r="J400" s="31"/>
      <c r="K400" s="31"/>
      <c r="L400" s="31"/>
      <c r="M400" s="31"/>
      <c r="N400" s="31"/>
      <c r="O400" s="31"/>
      <c r="P400" s="31"/>
      <c r="Q400" s="31"/>
      <c r="R400" s="31"/>
      <c r="S400" s="31"/>
      <c r="T400" s="31"/>
      <c r="U400" s="31"/>
      <c r="V400" s="31"/>
      <c r="W400" s="31"/>
      <c r="X400" s="31"/>
      <c r="Y400" s="31"/>
      <c r="Z400" s="31"/>
      <c r="AA400" s="31"/>
      <c r="AB400" s="31"/>
      <c r="AC400" s="31"/>
      <c r="AD400" s="31"/>
    </row>
    <row r="401" spans="1:30">
      <c r="A401" s="31"/>
      <c r="D401" s="31"/>
      <c r="F401" s="31"/>
      <c r="G401" s="31"/>
      <c r="H401" s="31"/>
      <c r="I401" s="31"/>
      <c r="J401" s="31"/>
      <c r="K401" s="31"/>
      <c r="L401" s="31"/>
      <c r="M401" s="31"/>
      <c r="N401" s="31"/>
      <c r="O401" s="31"/>
      <c r="P401" s="31"/>
      <c r="Q401" s="31"/>
      <c r="R401" s="31"/>
      <c r="S401" s="31"/>
      <c r="T401" s="31"/>
      <c r="U401" s="31"/>
      <c r="V401" s="31"/>
      <c r="W401" s="31"/>
      <c r="X401" s="31"/>
      <c r="Y401" s="31"/>
      <c r="Z401" s="31"/>
      <c r="AA401" s="31"/>
      <c r="AB401" s="31"/>
      <c r="AC401" s="31"/>
      <c r="AD401" s="31"/>
    </row>
    <row r="402" spans="1:30">
      <c r="A402" s="31"/>
      <c r="D402" s="31"/>
      <c r="F402" s="31"/>
      <c r="G402" s="31"/>
      <c r="H402" s="31"/>
      <c r="I402" s="31"/>
      <c r="J402" s="31"/>
      <c r="K402" s="31"/>
      <c r="L402" s="31"/>
      <c r="M402" s="31"/>
      <c r="N402" s="31"/>
      <c r="O402" s="31"/>
      <c r="P402" s="31"/>
      <c r="Q402" s="31"/>
      <c r="R402" s="31"/>
      <c r="S402" s="31"/>
      <c r="T402" s="31"/>
      <c r="U402" s="31"/>
      <c r="V402" s="31"/>
      <c r="W402" s="31"/>
      <c r="X402" s="31"/>
      <c r="Y402" s="31"/>
      <c r="Z402" s="31"/>
      <c r="AA402" s="31"/>
      <c r="AB402" s="31"/>
      <c r="AC402" s="31"/>
      <c r="AD402" s="31"/>
    </row>
    <row r="403" spans="1:30">
      <c r="A403" s="31"/>
      <c r="D403" s="31"/>
      <c r="F403" s="31"/>
      <c r="G403" s="31"/>
      <c r="H403" s="31"/>
      <c r="I403" s="31"/>
      <c r="J403" s="31"/>
      <c r="K403" s="31"/>
      <c r="L403" s="31"/>
      <c r="M403" s="31"/>
      <c r="N403" s="31"/>
      <c r="O403" s="31"/>
      <c r="P403" s="31"/>
      <c r="Q403" s="31"/>
      <c r="R403" s="31"/>
      <c r="S403" s="31"/>
      <c r="T403" s="31"/>
      <c r="U403" s="31"/>
      <c r="V403" s="31"/>
      <c r="W403" s="31"/>
      <c r="X403" s="31"/>
      <c r="Y403" s="31"/>
      <c r="Z403" s="31"/>
      <c r="AA403" s="31"/>
      <c r="AB403" s="31"/>
      <c r="AC403" s="31"/>
      <c r="AD403" s="31"/>
    </row>
    <row r="404" spans="1:30">
      <c r="A404" s="31"/>
      <c r="D404" s="31"/>
      <c r="F404" s="31"/>
      <c r="G404" s="31"/>
      <c r="H404" s="31"/>
      <c r="I404" s="31"/>
      <c r="J404" s="31"/>
      <c r="K404" s="31"/>
      <c r="L404" s="31"/>
      <c r="M404" s="31"/>
      <c r="N404" s="31"/>
      <c r="O404" s="31"/>
      <c r="P404" s="31"/>
      <c r="Q404" s="31"/>
      <c r="R404" s="31"/>
      <c r="S404" s="31"/>
      <c r="T404" s="31"/>
      <c r="U404" s="31"/>
      <c r="V404" s="31"/>
      <c r="W404" s="31"/>
      <c r="X404" s="31"/>
      <c r="Y404" s="31"/>
      <c r="Z404" s="31"/>
      <c r="AA404" s="31"/>
      <c r="AB404" s="31"/>
      <c r="AC404" s="31"/>
      <c r="AD404" s="31"/>
    </row>
    <row r="405" spans="1:30">
      <c r="A405" s="31"/>
      <c r="D405" s="31"/>
      <c r="F405" s="31"/>
      <c r="G405" s="31"/>
      <c r="H405" s="31"/>
      <c r="I405" s="31"/>
      <c r="J405" s="31"/>
      <c r="K405" s="31"/>
      <c r="L405" s="31"/>
      <c r="M405" s="31"/>
      <c r="N405" s="31"/>
      <c r="O405" s="31"/>
      <c r="P405" s="31"/>
      <c r="Q405" s="31"/>
      <c r="R405" s="31"/>
      <c r="S405" s="31"/>
      <c r="T405" s="31"/>
      <c r="U405" s="31"/>
      <c r="V405" s="31"/>
      <c r="W405" s="31"/>
      <c r="X405" s="31"/>
      <c r="Y405" s="31"/>
      <c r="Z405" s="31"/>
      <c r="AA405" s="31"/>
      <c r="AB405" s="31"/>
      <c r="AC405" s="31"/>
      <c r="AD405" s="31"/>
    </row>
    <row r="406" spans="1:30">
      <c r="A406" s="31"/>
      <c r="D406" s="31"/>
      <c r="F406" s="31"/>
      <c r="G406" s="31"/>
      <c r="H406" s="31"/>
      <c r="I406" s="31"/>
      <c r="J406" s="31"/>
      <c r="K406" s="31"/>
      <c r="L406" s="31"/>
      <c r="M406" s="31"/>
      <c r="N406" s="31"/>
      <c r="O406" s="31"/>
      <c r="P406" s="31"/>
      <c r="Q406" s="31"/>
      <c r="R406" s="31"/>
      <c r="S406" s="31"/>
      <c r="T406" s="31"/>
      <c r="U406" s="31"/>
      <c r="V406" s="31"/>
      <c r="W406" s="31"/>
      <c r="X406" s="31"/>
      <c r="Y406" s="31"/>
      <c r="Z406" s="31"/>
      <c r="AA406" s="31"/>
      <c r="AB406" s="31"/>
      <c r="AC406" s="31"/>
      <c r="AD406" s="31"/>
    </row>
    <row r="407" spans="1:30">
      <c r="A407" s="31"/>
      <c r="D407" s="31"/>
      <c r="F407" s="31"/>
      <c r="G407" s="31"/>
      <c r="H407" s="31"/>
      <c r="I407" s="31"/>
      <c r="J407" s="31"/>
      <c r="K407" s="31"/>
      <c r="L407" s="31"/>
      <c r="M407" s="31"/>
      <c r="N407" s="31"/>
      <c r="O407" s="31"/>
      <c r="P407" s="31"/>
      <c r="Q407" s="31"/>
      <c r="R407" s="31"/>
      <c r="S407" s="31"/>
      <c r="T407" s="31"/>
      <c r="U407" s="31"/>
      <c r="V407" s="31"/>
      <c r="W407" s="31"/>
      <c r="X407" s="31"/>
      <c r="Y407" s="31"/>
      <c r="Z407" s="31"/>
      <c r="AA407" s="31"/>
      <c r="AB407" s="31"/>
      <c r="AC407" s="31"/>
      <c r="AD407" s="31"/>
    </row>
    <row r="408" spans="1:30">
      <c r="A408" s="31"/>
      <c r="D408" s="31"/>
      <c r="F408" s="31"/>
      <c r="G408" s="31"/>
      <c r="H408" s="31"/>
      <c r="I408" s="31"/>
      <c r="J408" s="31"/>
      <c r="K408" s="31"/>
      <c r="L408" s="31"/>
      <c r="M408" s="31"/>
      <c r="N408" s="31"/>
      <c r="O408" s="31"/>
      <c r="P408" s="31"/>
      <c r="Q408" s="31"/>
      <c r="R408" s="31"/>
      <c r="S408" s="31"/>
      <c r="T408" s="31"/>
      <c r="U408" s="31"/>
      <c r="V408" s="31"/>
      <c r="W408" s="31"/>
      <c r="X408" s="31"/>
      <c r="Y408" s="31"/>
      <c r="Z408" s="31"/>
      <c r="AA408" s="31"/>
      <c r="AB408" s="31"/>
      <c r="AC408" s="31"/>
      <c r="AD408" s="31"/>
    </row>
    <row r="409" spans="1:30">
      <c r="A409" s="31"/>
      <c r="D409" s="31"/>
      <c r="F409" s="31"/>
      <c r="G409" s="31"/>
      <c r="H409" s="31"/>
      <c r="I409" s="31"/>
      <c r="J409" s="31"/>
      <c r="K409" s="31"/>
      <c r="L409" s="31"/>
      <c r="M409" s="31"/>
      <c r="N409" s="31"/>
      <c r="O409" s="31"/>
      <c r="P409" s="31"/>
      <c r="Q409" s="31"/>
      <c r="R409" s="31"/>
      <c r="S409" s="31"/>
      <c r="T409" s="31"/>
      <c r="U409" s="31"/>
      <c r="V409" s="31"/>
      <c r="W409" s="31"/>
      <c r="X409" s="31"/>
      <c r="Y409" s="31"/>
      <c r="Z409" s="31"/>
      <c r="AA409" s="31"/>
      <c r="AB409" s="31"/>
      <c r="AC409" s="31"/>
      <c r="AD409" s="31"/>
    </row>
    <row r="410" spans="1:30">
      <c r="A410" s="31"/>
      <c r="D410" s="31"/>
      <c r="F410" s="31"/>
      <c r="G410" s="31"/>
      <c r="H410" s="31"/>
      <c r="I410" s="31"/>
      <c r="J410" s="31"/>
      <c r="K410" s="31"/>
      <c r="L410" s="31"/>
      <c r="M410" s="31"/>
      <c r="N410" s="31"/>
      <c r="O410" s="31"/>
      <c r="P410" s="31"/>
      <c r="Q410" s="31"/>
      <c r="R410" s="31"/>
      <c r="S410" s="31"/>
      <c r="T410" s="31"/>
      <c r="U410" s="31"/>
      <c r="V410" s="31"/>
      <c r="W410" s="31"/>
      <c r="X410" s="31"/>
      <c r="Y410" s="31"/>
      <c r="Z410" s="31"/>
      <c r="AA410" s="31"/>
      <c r="AB410" s="31"/>
      <c r="AC410" s="31"/>
      <c r="AD410" s="31"/>
    </row>
    <row r="411" spans="1:30">
      <c r="A411" s="31"/>
      <c r="D411" s="31"/>
      <c r="F411" s="31"/>
      <c r="G411" s="31"/>
      <c r="H411" s="31"/>
      <c r="I411" s="31"/>
      <c r="J411" s="31"/>
      <c r="K411" s="31"/>
      <c r="L411" s="31"/>
      <c r="M411" s="31"/>
      <c r="N411" s="31"/>
      <c r="O411" s="31"/>
      <c r="P411" s="31"/>
      <c r="Q411" s="31"/>
      <c r="R411" s="31"/>
      <c r="S411" s="31"/>
      <c r="T411" s="31"/>
      <c r="U411" s="31"/>
      <c r="V411" s="31"/>
      <c r="W411" s="31"/>
      <c r="X411" s="31"/>
      <c r="Y411" s="31"/>
      <c r="Z411" s="31"/>
      <c r="AA411" s="31"/>
      <c r="AB411" s="31"/>
      <c r="AC411" s="31"/>
      <c r="AD411" s="31"/>
    </row>
    <row r="412" spans="1:30">
      <c r="A412" s="31"/>
      <c r="D412" s="31"/>
      <c r="F412" s="31"/>
      <c r="G412" s="31"/>
      <c r="H412" s="31"/>
      <c r="I412" s="31"/>
      <c r="J412" s="31"/>
      <c r="K412" s="31"/>
      <c r="L412" s="31"/>
      <c r="M412" s="31"/>
      <c r="N412" s="31"/>
      <c r="O412" s="31"/>
      <c r="P412" s="31"/>
      <c r="Q412" s="31"/>
      <c r="R412" s="31"/>
      <c r="S412" s="31"/>
      <c r="T412" s="31"/>
      <c r="U412" s="31"/>
      <c r="V412" s="31"/>
      <c r="W412" s="31"/>
      <c r="X412" s="31"/>
      <c r="Y412" s="31"/>
      <c r="Z412" s="31"/>
      <c r="AA412" s="31"/>
      <c r="AB412" s="31"/>
      <c r="AC412" s="31"/>
      <c r="AD412" s="31"/>
    </row>
    <row r="413" spans="1:30">
      <c r="A413" s="31"/>
      <c r="D413" s="31"/>
      <c r="F413" s="31"/>
      <c r="G413" s="31"/>
      <c r="H413" s="31"/>
      <c r="I413" s="31"/>
      <c r="J413" s="31"/>
      <c r="K413" s="31"/>
      <c r="L413" s="31"/>
      <c r="M413" s="31"/>
      <c r="N413" s="31"/>
      <c r="O413" s="31"/>
      <c r="P413" s="31"/>
      <c r="Q413" s="31"/>
      <c r="R413" s="31"/>
      <c r="S413" s="31"/>
      <c r="T413" s="31"/>
      <c r="U413" s="31"/>
      <c r="V413" s="31"/>
      <c r="W413" s="31"/>
      <c r="X413" s="31"/>
      <c r="Y413" s="31"/>
      <c r="Z413" s="31"/>
      <c r="AA413" s="31"/>
      <c r="AB413" s="31"/>
      <c r="AC413" s="31"/>
      <c r="AD413" s="31"/>
    </row>
    <row r="414" spans="1:30">
      <c r="A414" s="31"/>
      <c r="D414" s="31"/>
      <c r="F414" s="31"/>
      <c r="G414" s="31"/>
      <c r="H414" s="31"/>
      <c r="I414" s="31"/>
      <c r="J414" s="31"/>
      <c r="K414" s="31"/>
      <c r="L414" s="31"/>
      <c r="M414" s="31"/>
      <c r="N414" s="31"/>
      <c r="O414" s="31"/>
      <c r="P414" s="31"/>
      <c r="Q414" s="31"/>
      <c r="R414" s="31"/>
      <c r="S414" s="31"/>
      <c r="T414" s="31"/>
      <c r="U414" s="31"/>
      <c r="V414" s="31"/>
      <c r="W414" s="31"/>
      <c r="X414" s="31"/>
      <c r="Y414" s="31"/>
      <c r="Z414" s="31"/>
      <c r="AA414" s="31"/>
      <c r="AB414" s="31"/>
      <c r="AC414" s="31"/>
      <c r="AD414" s="31"/>
    </row>
    <row r="415" spans="1:30">
      <c r="A415" s="31"/>
      <c r="D415" s="31"/>
      <c r="F415" s="31"/>
      <c r="G415" s="31"/>
      <c r="H415" s="31"/>
      <c r="I415" s="31"/>
      <c r="J415" s="31"/>
      <c r="K415" s="31"/>
      <c r="L415" s="31"/>
      <c r="M415" s="31"/>
      <c r="N415" s="31"/>
      <c r="O415" s="31"/>
      <c r="P415" s="31"/>
      <c r="Q415" s="31"/>
      <c r="R415" s="31"/>
      <c r="S415" s="31"/>
      <c r="T415" s="31"/>
      <c r="U415" s="31"/>
      <c r="V415" s="31"/>
      <c r="W415" s="31"/>
      <c r="X415" s="31"/>
      <c r="Y415" s="31"/>
      <c r="Z415" s="31"/>
      <c r="AA415" s="31"/>
      <c r="AB415" s="31"/>
      <c r="AC415" s="31"/>
      <c r="AD415" s="31"/>
    </row>
    <row r="416" spans="1:30">
      <c r="A416" s="31"/>
      <c r="D416" s="31"/>
      <c r="F416" s="31"/>
      <c r="G416" s="31"/>
      <c r="H416" s="31"/>
      <c r="I416" s="31"/>
      <c r="J416" s="31"/>
      <c r="K416" s="31"/>
      <c r="L416" s="31"/>
      <c r="M416" s="31"/>
      <c r="N416" s="31"/>
      <c r="O416" s="31"/>
      <c r="P416" s="31"/>
      <c r="Q416" s="31"/>
      <c r="R416" s="31"/>
      <c r="S416" s="31"/>
      <c r="T416" s="31"/>
      <c r="U416" s="31"/>
      <c r="V416" s="31"/>
      <c r="W416" s="31"/>
      <c r="X416" s="31"/>
      <c r="Y416" s="31"/>
      <c r="Z416" s="31"/>
      <c r="AA416" s="31"/>
      <c r="AB416" s="31"/>
      <c r="AC416" s="31"/>
      <c r="AD416" s="31"/>
    </row>
    <row r="417" spans="1:30">
      <c r="A417" s="31"/>
      <c r="D417" s="31"/>
      <c r="F417" s="31"/>
      <c r="G417" s="31"/>
      <c r="H417" s="31"/>
      <c r="I417" s="31"/>
      <c r="J417" s="31"/>
      <c r="K417" s="31"/>
      <c r="L417" s="31"/>
      <c r="M417" s="31"/>
      <c r="N417" s="31"/>
      <c r="O417" s="31"/>
      <c r="P417" s="31"/>
      <c r="Q417" s="31"/>
      <c r="R417" s="31"/>
      <c r="S417" s="31"/>
      <c r="T417" s="31"/>
      <c r="U417" s="31"/>
      <c r="V417" s="31"/>
      <c r="W417" s="31"/>
      <c r="X417" s="31"/>
      <c r="Y417" s="31"/>
      <c r="Z417" s="31"/>
      <c r="AA417" s="31"/>
      <c r="AB417" s="31"/>
      <c r="AC417" s="31"/>
      <c r="AD417" s="31"/>
    </row>
    <row r="418" spans="1:30">
      <c r="A418" s="31"/>
      <c r="D418" s="31"/>
      <c r="F418" s="31"/>
      <c r="G418" s="31"/>
      <c r="H418" s="31"/>
      <c r="I418" s="31"/>
      <c r="J418" s="31"/>
      <c r="K418" s="31"/>
      <c r="L418" s="31"/>
      <c r="M418" s="31"/>
      <c r="N418" s="31"/>
      <c r="O418" s="31"/>
      <c r="P418" s="31"/>
      <c r="Q418" s="31"/>
      <c r="R418" s="31"/>
      <c r="S418" s="31"/>
      <c r="T418" s="31"/>
      <c r="U418" s="31"/>
      <c r="V418" s="31"/>
      <c r="W418" s="31"/>
      <c r="X418" s="31"/>
      <c r="Y418" s="31"/>
      <c r="Z418" s="31"/>
      <c r="AA418" s="31"/>
      <c r="AB418" s="31"/>
      <c r="AC418" s="31"/>
      <c r="AD418" s="31"/>
    </row>
    <row r="419" spans="1:30">
      <c r="A419" s="31"/>
      <c r="D419" s="31"/>
      <c r="F419" s="31"/>
      <c r="G419" s="31"/>
      <c r="H419" s="31"/>
      <c r="I419" s="31"/>
      <c r="J419" s="31"/>
      <c r="K419" s="31"/>
      <c r="L419" s="31"/>
      <c r="M419" s="31"/>
      <c r="N419" s="31"/>
      <c r="O419" s="31"/>
      <c r="P419" s="31"/>
      <c r="Q419" s="31"/>
      <c r="R419" s="31"/>
      <c r="S419" s="31"/>
      <c r="T419" s="31"/>
      <c r="U419" s="31"/>
      <c r="V419" s="31"/>
      <c r="W419" s="31"/>
      <c r="X419" s="31"/>
      <c r="Y419" s="31"/>
      <c r="Z419" s="31"/>
      <c r="AA419" s="31"/>
      <c r="AB419" s="31"/>
      <c r="AC419" s="31"/>
      <c r="AD419" s="31"/>
    </row>
    <row r="420" spans="1:30">
      <c r="A420" s="31"/>
      <c r="D420" s="31"/>
      <c r="F420" s="31"/>
      <c r="G420" s="31"/>
      <c r="H420" s="31"/>
      <c r="I420" s="31"/>
      <c r="J420" s="31"/>
      <c r="K420" s="31"/>
      <c r="L420" s="31"/>
      <c r="M420" s="31"/>
      <c r="N420" s="31"/>
      <c r="O420" s="31"/>
      <c r="P420" s="31"/>
      <c r="Q420" s="31"/>
      <c r="R420" s="31"/>
      <c r="S420" s="31"/>
      <c r="T420" s="31"/>
      <c r="U420" s="31"/>
      <c r="V420" s="31"/>
      <c r="W420" s="31"/>
      <c r="X420" s="31"/>
      <c r="Y420" s="31"/>
      <c r="Z420" s="31"/>
      <c r="AA420" s="31"/>
      <c r="AB420" s="31"/>
      <c r="AC420" s="31"/>
      <c r="AD420" s="31"/>
    </row>
    <row r="421" spans="1:30">
      <c r="A421" s="31"/>
      <c r="D421" s="31"/>
      <c r="F421" s="31"/>
      <c r="G421" s="31"/>
      <c r="H421" s="31"/>
      <c r="I421" s="31"/>
      <c r="J421" s="31"/>
      <c r="K421" s="31"/>
      <c r="L421" s="31"/>
      <c r="M421" s="31"/>
      <c r="N421" s="31"/>
      <c r="O421" s="31"/>
      <c r="P421" s="31"/>
      <c r="Q421" s="31"/>
      <c r="R421" s="31"/>
      <c r="S421" s="31"/>
      <c r="T421" s="31"/>
      <c r="U421" s="31"/>
      <c r="V421" s="31"/>
      <c r="W421" s="31"/>
      <c r="X421" s="31"/>
      <c r="Y421" s="31"/>
      <c r="Z421" s="31"/>
      <c r="AA421" s="31"/>
      <c r="AB421" s="31"/>
      <c r="AC421" s="31"/>
      <c r="AD421" s="31"/>
    </row>
    <row r="422" spans="1:30">
      <c r="A422" s="31"/>
      <c r="D422" s="31"/>
      <c r="F422" s="31"/>
      <c r="G422" s="31"/>
      <c r="H422" s="31"/>
      <c r="I422" s="31"/>
      <c r="J422" s="31"/>
      <c r="K422" s="31"/>
      <c r="L422" s="31"/>
      <c r="M422" s="31"/>
      <c r="N422" s="31"/>
      <c r="O422" s="31"/>
      <c r="P422" s="31"/>
      <c r="Q422" s="31"/>
      <c r="R422" s="31"/>
      <c r="S422" s="31"/>
      <c r="T422" s="31"/>
      <c r="U422" s="31"/>
      <c r="V422" s="31"/>
      <c r="W422" s="31"/>
      <c r="X422" s="31"/>
      <c r="Y422" s="31"/>
      <c r="Z422" s="31"/>
      <c r="AA422" s="31"/>
      <c r="AB422" s="31"/>
      <c r="AC422" s="31"/>
      <c r="AD422" s="31"/>
    </row>
    <row r="423" spans="1:30">
      <c r="A423" s="31"/>
      <c r="D423" s="31"/>
      <c r="F423" s="31"/>
      <c r="G423" s="31"/>
      <c r="H423" s="31"/>
      <c r="I423" s="31"/>
      <c r="J423" s="31"/>
      <c r="K423" s="31"/>
      <c r="L423" s="31"/>
      <c r="M423" s="31"/>
      <c r="N423" s="31"/>
      <c r="O423" s="31"/>
      <c r="P423" s="31"/>
      <c r="Q423" s="31"/>
      <c r="R423" s="31"/>
      <c r="S423" s="31"/>
      <c r="T423" s="31"/>
      <c r="U423" s="31"/>
      <c r="V423" s="31"/>
      <c r="W423" s="31"/>
      <c r="X423" s="31"/>
      <c r="Y423" s="31"/>
      <c r="Z423" s="31"/>
      <c r="AA423" s="31"/>
      <c r="AB423" s="31"/>
      <c r="AC423" s="31"/>
      <c r="AD423" s="31"/>
    </row>
    <row r="424" spans="1:30">
      <c r="A424" s="31"/>
      <c r="D424" s="31"/>
      <c r="F424" s="31"/>
      <c r="G424" s="31"/>
      <c r="H424" s="31"/>
      <c r="I424" s="31"/>
      <c r="J424" s="31"/>
      <c r="K424" s="31"/>
      <c r="L424" s="31"/>
      <c r="M424" s="31"/>
      <c r="N424" s="31"/>
      <c r="O424" s="31"/>
      <c r="P424" s="31"/>
      <c r="Q424" s="31"/>
      <c r="R424" s="31"/>
      <c r="S424" s="31"/>
      <c r="T424" s="31"/>
      <c r="U424" s="31"/>
      <c r="V424" s="31"/>
      <c r="W424" s="31"/>
      <c r="X424" s="31"/>
      <c r="Y424" s="31"/>
      <c r="Z424" s="31"/>
      <c r="AA424" s="31"/>
      <c r="AB424" s="31"/>
      <c r="AC424" s="31"/>
      <c r="AD424" s="31"/>
    </row>
    <row r="425" spans="1:30">
      <c r="A425" s="31"/>
      <c r="D425" s="31"/>
      <c r="F425" s="31"/>
      <c r="G425" s="31"/>
      <c r="H425" s="31"/>
      <c r="I425" s="31"/>
      <c r="J425" s="31"/>
      <c r="K425" s="31"/>
      <c r="L425" s="31"/>
      <c r="M425" s="31"/>
      <c r="N425" s="31"/>
      <c r="O425" s="31"/>
      <c r="P425" s="31"/>
      <c r="Q425" s="31"/>
      <c r="R425" s="31"/>
      <c r="S425" s="31"/>
      <c r="T425" s="31"/>
      <c r="U425" s="31"/>
      <c r="V425" s="31"/>
      <c r="W425" s="31"/>
      <c r="X425" s="31"/>
      <c r="Y425" s="31"/>
      <c r="Z425" s="31"/>
      <c r="AA425" s="31"/>
      <c r="AB425" s="31"/>
      <c r="AC425" s="31"/>
      <c r="AD425" s="31"/>
    </row>
    <row r="426" spans="1:30">
      <c r="A426" s="31"/>
      <c r="D426" s="31"/>
      <c r="F426" s="31"/>
      <c r="G426" s="31"/>
      <c r="H426" s="31"/>
      <c r="I426" s="31"/>
      <c r="J426" s="31"/>
      <c r="K426" s="31"/>
      <c r="L426" s="31"/>
      <c r="M426" s="31"/>
      <c r="N426" s="31"/>
      <c r="O426" s="31"/>
      <c r="P426" s="31"/>
      <c r="Q426" s="31"/>
      <c r="R426" s="31"/>
      <c r="S426" s="31"/>
      <c r="T426" s="31"/>
      <c r="U426" s="31"/>
      <c r="V426" s="31"/>
      <c r="W426" s="31"/>
      <c r="X426" s="31"/>
      <c r="Y426" s="31"/>
      <c r="Z426" s="31"/>
      <c r="AA426" s="31"/>
      <c r="AB426" s="31"/>
      <c r="AC426" s="31"/>
      <c r="AD426" s="31"/>
    </row>
    <row r="427" spans="1:30">
      <c r="A427" s="31"/>
      <c r="D427" s="31"/>
      <c r="F427" s="31"/>
      <c r="G427" s="31"/>
      <c r="H427" s="31"/>
      <c r="I427" s="31"/>
      <c r="J427" s="31"/>
      <c r="K427" s="31"/>
      <c r="L427" s="31"/>
      <c r="M427" s="31"/>
      <c r="N427" s="31"/>
      <c r="O427" s="31"/>
      <c r="P427" s="31"/>
      <c r="Q427" s="31"/>
      <c r="R427" s="31"/>
      <c r="S427" s="31"/>
      <c r="T427" s="31"/>
      <c r="U427" s="31"/>
      <c r="V427" s="31"/>
      <c r="W427" s="31"/>
      <c r="X427" s="31"/>
      <c r="Y427" s="31"/>
      <c r="Z427" s="31"/>
      <c r="AA427" s="31"/>
      <c r="AB427" s="31"/>
      <c r="AC427" s="31"/>
      <c r="AD427" s="31"/>
    </row>
    <row r="428" spans="1:30">
      <c r="A428" s="31"/>
      <c r="D428" s="31"/>
      <c r="F428" s="31"/>
      <c r="G428" s="31"/>
      <c r="H428" s="31"/>
      <c r="I428" s="31"/>
      <c r="J428" s="31"/>
      <c r="K428" s="31"/>
      <c r="L428" s="31"/>
      <c r="M428" s="31"/>
      <c r="N428" s="31"/>
      <c r="O428" s="31"/>
      <c r="P428" s="31"/>
      <c r="Q428" s="31"/>
      <c r="R428" s="31"/>
      <c r="S428" s="31"/>
      <c r="T428" s="31"/>
      <c r="U428" s="31"/>
      <c r="V428" s="31"/>
      <c r="W428" s="31"/>
      <c r="X428" s="31"/>
      <c r="Y428" s="31"/>
      <c r="Z428" s="31"/>
      <c r="AA428" s="31"/>
      <c r="AB428" s="31"/>
      <c r="AC428" s="31"/>
      <c r="AD428" s="31"/>
    </row>
    <row r="429" spans="1:30">
      <c r="A429" s="31"/>
      <c r="D429" s="31"/>
      <c r="F429" s="31"/>
      <c r="G429" s="31"/>
      <c r="H429" s="31"/>
      <c r="I429" s="31"/>
      <c r="J429" s="31"/>
      <c r="K429" s="31"/>
      <c r="L429" s="31"/>
      <c r="M429" s="31"/>
      <c r="N429" s="31"/>
      <c r="O429" s="31"/>
      <c r="P429" s="31"/>
      <c r="Q429" s="31"/>
      <c r="R429" s="31"/>
      <c r="S429" s="31"/>
      <c r="T429" s="31"/>
      <c r="U429" s="31"/>
      <c r="V429" s="31"/>
      <c r="W429" s="31"/>
      <c r="X429" s="31"/>
      <c r="Y429" s="31"/>
      <c r="Z429" s="31"/>
      <c r="AA429" s="31"/>
      <c r="AB429" s="31"/>
      <c r="AC429" s="31"/>
      <c r="AD429" s="31"/>
    </row>
    <row r="430" spans="1:30">
      <c r="A430" s="31"/>
      <c r="D430" s="31"/>
      <c r="F430" s="31"/>
      <c r="G430" s="31"/>
      <c r="H430" s="31"/>
      <c r="I430" s="31"/>
      <c r="J430" s="31"/>
      <c r="K430" s="31"/>
      <c r="L430" s="31"/>
      <c r="M430" s="31"/>
      <c r="N430" s="31"/>
      <c r="O430" s="31"/>
      <c r="P430" s="31"/>
      <c r="Q430" s="31"/>
      <c r="R430" s="31"/>
      <c r="S430" s="31"/>
      <c r="T430" s="31"/>
      <c r="U430" s="31"/>
      <c r="V430" s="31"/>
      <c r="W430" s="31"/>
      <c r="X430" s="31"/>
      <c r="Y430" s="31"/>
      <c r="Z430" s="31"/>
      <c r="AA430" s="31"/>
      <c r="AB430" s="31"/>
      <c r="AC430" s="31"/>
      <c r="AD430" s="31"/>
    </row>
    <row r="431" spans="1:30">
      <c r="A431" s="31"/>
      <c r="D431" s="31"/>
      <c r="F431" s="31"/>
      <c r="G431" s="31"/>
      <c r="H431" s="31"/>
      <c r="I431" s="31"/>
      <c r="J431" s="31"/>
      <c r="K431" s="31"/>
      <c r="L431" s="31"/>
      <c r="M431" s="31"/>
      <c r="N431" s="31"/>
      <c r="O431" s="31"/>
      <c r="P431" s="31"/>
      <c r="Q431" s="31"/>
      <c r="R431" s="31"/>
      <c r="S431" s="31"/>
      <c r="T431" s="31"/>
      <c r="U431" s="31"/>
      <c r="V431" s="31"/>
      <c r="W431" s="31"/>
      <c r="X431" s="31"/>
      <c r="Y431" s="31"/>
      <c r="Z431" s="31"/>
      <c r="AA431" s="31"/>
      <c r="AB431" s="31"/>
      <c r="AC431" s="31"/>
      <c r="AD431" s="31"/>
    </row>
    <row r="432" spans="1:30">
      <c r="A432" s="31"/>
      <c r="D432" s="31"/>
      <c r="F432" s="31"/>
      <c r="G432" s="31"/>
      <c r="H432" s="31"/>
      <c r="I432" s="31"/>
      <c r="J432" s="31"/>
      <c r="K432" s="31"/>
      <c r="L432" s="31"/>
      <c r="M432" s="31"/>
      <c r="N432" s="31"/>
      <c r="O432" s="31"/>
      <c r="P432" s="31"/>
      <c r="Q432" s="31"/>
      <c r="R432" s="31"/>
      <c r="S432" s="31"/>
      <c r="T432" s="31"/>
      <c r="U432" s="31"/>
      <c r="V432" s="31"/>
      <c r="W432" s="31"/>
      <c r="X432" s="31"/>
      <c r="Y432" s="31"/>
      <c r="Z432" s="31"/>
      <c r="AA432" s="31"/>
      <c r="AB432" s="31"/>
      <c r="AC432" s="31"/>
      <c r="AD432" s="31"/>
    </row>
    <row r="433" spans="1:30">
      <c r="A433" s="31"/>
      <c r="D433" s="31"/>
      <c r="F433" s="31"/>
      <c r="G433" s="31"/>
      <c r="H433" s="31"/>
      <c r="I433" s="31"/>
      <c r="J433" s="31"/>
      <c r="K433" s="31"/>
      <c r="L433" s="31"/>
      <c r="M433" s="31"/>
      <c r="N433" s="31"/>
      <c r="O433" s="31"/>
      <c r="P433" s="31"/>
      <c r="Q433" s="31"/>
      <c r="R433" s="31"/>
      <c r="S433" s="31"/>
      <c r="T433" s="31"/>
      <c r="U433" s="31"/>
      <c r="V433" s="31"/>
      <c r="W433" s="31"/>
      <c r="X433" s="31"/>
      <c r="Y433" s="31"/>
      <c r="Z433" s="31"/>
      <c r="AA433" s="31"/>
      <c r="AB433" s="31"/>
      <c r="AC433" s="31"/>
      <c r="AD433" s="31"/>
    </row>
    <row r="434" spans="1:30">
      <c r="A434" s="31"/>
      <c r="D434" s="31"/>
      <c r="F434" s="31"/>
      <c r="G434" s="31"/>
      <c r="H434" s="31"/>
      <c r="I434" s="31"/>
      <c r="J434" s="31"/>
      <c r="K434" s="31"/>
      <c r="L434" s="31"/>
      <c r="M434" s="31"/>
      <c r="N434" s="31"/>
      <c r="O434" s="31"/>
      <c r="P434" s="31"/>
      <c r="Q434" s="31"/>
      <c r="R434" s="31"/>
      <c r="S434" s="31"/>
      <c r="T434" s="31"/>
      <c r="U434" s="31"/>
      <c r="V434" s="31"/>
      <c r="W434" s="31"/>
      <c r="X434" s="31"/>
      <c r="Y434" s="31"/>
      <c r="Z434" s="31"/>
      <c r="AA434" s="31"/>
      <c r="AB434" s="31"/>
      <c r="AC434" s="31"/>
      <c r="AD434" s="31"/>
    </row>
    <row r="435" spans="1:30">
      <c r="A435" s="31"/>
      <c r="D435" s="31"/>
      <c r="F435" s="31"/>
      <c r="G435" s="31"/>
      <c r="H435" s="31"/>
      <c r="I435" s="31"/>
      <c r="J435" s="31"/>
      <c r="K435" s="31"/>
      <c r="L435" s="31"/>
      <c r="M435" s="31"/>
      <c r="N435" s="31"/>
      <c r="O435" s="31"/>
      <c r="P435" s="31"/>
      <c r="Q435" s="31"/>
      <c r="R435" s="31"/>
      <c r="S435" s="31"/>
      <c r="T435" s="31"/>
      <c r="U435" s="31"/>
      <c r="V435" s="31"/>
      <c r="W435" s="31"/>
      <c r="X435" s="31"/>
      <c r="Y435" s="31"/>
      <c r="Z435" s="31"/>
      <c r="AA435" s="31"/>
      <c r="AB435" s="31"/>
      <c r="AC435" s="31"/>
      <c r="AD435" s="31"/>
    </row>
    <row r="436" spans="1:30">
      <c r="A436" s="31"/>
      <c r="D436" s="31"/>
      <c r="F436" s="31"/>
      <c r="G436" s="31"/>
      <c r="H436" s="31"/>
      <c r="I436" s="31"/>
      <c r="J436" s="31"/>
      <c r="K436" s="31"/>
      <c r="L436" s="31"/>
      <c r="M436" s="31"/>
      <c r="N436" s="31"/>
      <c r="O436" s="31"/>
      <c r="P436" s="31"/>
      <c r="Q436" s="31"/>
      <c r="R436" s="31"/>
      <c r="S436" s="31"/>
      <c r="T436" s="31"/>
      <c r="U436" s="31"/>
      <c r="V436" s="31"/>
      <c r="W436" s="31"/>
      <c r="X436" s="31"/>
      <c r="Y436" s="31"/>
      <c r="Z436" s="31"/>
      <c r="AA436" s="31"/>
      <c r="AB436" s="31"/>
      <c r="AC436" s="31"/>
      <c r="AD436" s="31"/>
    </row>
    <row r="437" spans="1:30">
      <c r="A437" s="31"/>
      <c r="D437" s="31"/>
      <c r="F437" s="31"/>
      <c r="G437" s="31"/>
      <c r="H437" s="31"/>
      <c r="I437" s="31"/>
      <c r="J437" s="31"/>
      <c r="K437" s="31"/>
      <c r="L437" s="31"/>
      <c r="M437" s="31"/>
      <c r="N437" s="31"/>
      <c r="O437" s="31"/>
      <c r="P437" s="31"/>
      <c r="Q437" s="31"/>
      <c r="R437" s="31"/>
      <c r="S437" s="31"/>
      <c r="T437" s="31"/>
      <c r="U437" s="31"/>
      <c r="V437" s="31"/>
      <c r="W437" s="31"/>
      <c r="X437" s="31"/>
      <c r="Y437" s="31"/>
      <c r="Z437" s="31"/>
      <c r="AA437" s="31"/>
      <c r="AB437" s="31"/>
      <c r="AC437" s="31"/>
      <c r="AD437" s="31"/>
    </row>
    <row r="438" spans="1:30">
      <c r="A438" s="31"/>
      <c r="D438" s="31"/>
      <c r="F438" s="31"/>
      <c r="G438" s="31"/>
      <c r="H438" s="31"/>
      <c r="I438" s="31"/>
      <c r="J438" s="31"/>
      <c r="K438" s="31"/>
      <c r="L438" s="31"/>
      <c r="M438" s="31"/>
      <c r="N438" s="31"/>
      <c r="O438" s="31"/>
      <c r="P438" s="31"/>
      <c r="Q438" s="31"/>
      <c r="R438" s="31"/>
      <c r="S438" s="31"/>
      <c r="T438" s="31"/>
      <c r="U438" s="31"/>
      <c r="V438" s="31"/>
      <c r="W438" s="31"/>
      <c r="X438" s="31"/>
      <c r="Y438" s="31"/>
      <c r="Z438" s="31"/>
      <c r="AA438" s="31"/>
      <c r="AB438" s="31"/>
      <c r="AC438" s="31"/>
      <c r="AD438" s="31"/>
    </row>
    <row r="439" spans="1:30">
      <c r="A439" s="31"/>
      <c r="D439" s="31"/>
      <c r="F439" s="31"/>
      <c r="G439" s="31"/>
      <c r="H439" s="31"/>
      <c r="I439" s="31"/>
      <c r="J439" s="31"/>
      <c r="K439" s="31"/>
      <c r="L439" s="31"/>
      <c r="M439" s="31"/>
      <c r="N439" s="31"/>
      <c r="O439" s="31"/>
      <c r="P439" s="31"/>
      <c r="Q439" s="31"/>
      <c r="R439" s="31"/>
      <c r="S439" s="31"/>
      <c r="T439" s="31"/>
      <c r="U439" s="31"/>
      <c r="V439" s="31"/>
      <c r="W439" s="31"/>
      <c r="X439" s="31"/>
      <c r="Y439" s="31"/>
      <c r="Z439" s="31"/>
      <c r="AA439" s="31"/>
      <c r="AB439" s="31"/>
      <c r="AC439" s="31"/>
      <c r="AD439" s="31"/>
    </row>
    <row r="440" spans="1:30">
      <c r="A440" s="31"/>
      <c r="D440" s="31"/>
      <c r="F440" s="31"/>
      <c r="G440" s="31"/>
      <c r="H440" s="31"/>
      <c r="I440" s="31"/>
      <c r="J440" s="31"/>
      <c r="K440" s="31"/>
      <c r="L440" s="31"/>
      <c r="M440" s="31"/>
      <c r="N440" s="31"/>
      <c r="O440" s="31"/>
      <c r="P440" s="31"/>
      <c r="Q440" s="31"/>
      <c r="R440" s="31"/>
      <c r="S440" s="31"/>
      <c r="T440" s="31"/>
      <c r="U440" s="31"/>
      <c r="V440" s="31"/>
      <c r="W440" s="31"/>
      <c r="X440" s="31"/>
      <c r="Y440" s="31"/>
      <c r="Z440" s="31"/>
      <c r="AA440" s="31"/>
      <c r="AB440" s="31"/>
      <c r="AC440" s="31"/>
      <c r="AD440" s="31"/>
    </row>
    <row r="441" spans="1:30">
      <c r="A441" s="31"/>
      <c r="D441" s="31"/>
      <c r="F441" s="31"/>
      <c r="G441" s="31"/>
      <c r="H441" s="31"/>
      <c r="I441" s="31"/>
      <c r="J441" s="31"/>
      <c r="K441" s="31"/>
      <c r="L441" s="31"/>
      <c r="M441" s="31"/>
      <c r="N441" s="31"/>
      <c r="O441" s="31"/>
      <c r="P441" s="31"/>
      <c r="Q441" s="31"/>
      <c r="R441" s="31"/>
      <c r="S441" s="31"/>
      <c r="T441" s="31"/>
      <c r="U441" s="31"/>
      <c r="V441" s="31"/>
      <c r="W441" s="31"/>
      <c r="X441" s="31"/>
      <c r="Y441" s="31"/>
      <c r="Z441" s="31"/>
      <c r="AA441" s="31"/>
      <c r="AB441" s="31"/>
      <c r="AC441" s="31"/>
      <c r="AD441" s="31"/>
    </row>
    <row r="442" spans="1:30">
      <c r="A442" s="31"/>
      <c r="D442" s="31"/>
      <c r="F442" s="31"/>
      <c r="G442" s="31"/>
      <c r="H442" s="31"/>
      <c r="I442" s="31"/>
      <c r="J442" s="31"/>
      <c r="K442" s="31"/>
      <c r="L442" s="31"/>
      <c r="M442" s="31"/>
      <c r="N442" s="31"/>
      <c r="O442" s="31"/>
      <c r="P442" s="31"/>
      <c r="Q442" s="31"/>
      <c r="R442" s="31"/>
      <c r="S442" s="31"/>
      <c r="T442" s="31"/>
      <c r="U442" s="31"/>
      <c r="V442" s="31"/>
      <c r="W442" s="31"/>
      <c r="X442" s="31"/>
      <c r="Y442" s="31"/>
      <c r="Z442" s="31"/>
      <c r="AA442" s="31"/>
      <c r="AB442" s="31"/>
      <c r="AC442" s="31"/>
      <c r="AD442" s="31"/>
    </row>
    <row r="443" spans="1:30">
      <c r="A443" s="31"/>
      <c r="D443" s="31"/>
      <c r="F443" s="31"/>
      <c r="G443" s="31"/>
      <c r="H443" s="31"/>
      <c r="I443" s="31"/>
      <c r="J443" s="31"/>
      <c r="K443" s="31"/>
      <c r="L443" s="31"/>
      <c r="M443" s="31"/>
      <c r="N443" s="31"/>
      <c r="O443" s="31"/>
      <c r="P443" s="31"/>
      <c r="Q443" s="31"/>
      <c r="R443" s="31"/>
      <c r="S443" s="31"/>
      <c r="T443" s="31"/>
      <c r="U443" s="31"/>
      <c r="V443" s="31"/>
      <c r="W443" s="31"/>
      <c r="X443" s="31"/>
      <c r="Y443" s="31"/>
      <c r="Z443" s="31"/>
      <c r="AA443" s="31"/>
      <c r="AB443" s="31"/>
      <c r="AC443" s="31"/>
      <c r="AD443" s="31"/>
    </row>
    <row r="444" spans="1:30">
      <c r="A444" s="31"/>
      <c r="D444" s="31"/>
      <c r="F444" s="31"/>
      <c r="G444" s="31"/>
      <c r="H444" s="31"/>
      <c r="I444" s="31"/>
      <c r="J444" s="31"/>
      <c r="K444" s="31"/>
      <c r="L444" s="31"/>
      <c r="M444" s="31"/>
      <c r="N444" s="31"/>
      <c r="O444" s="31"/>
      <c r="P444" s="31"/>
      <c r="Q444" s="31"/>
      <c r="R444" s="31"/>
      <c r="S444" s="31"/>
      <c r="T444" s="31"/>
      <c r="U444" s="31"/>
      <c r="V444" s="31"/>
      <c r="W444" s="31"/>
      <c r="X444" s="31"/>
      <c r="Y444" s="31"/>
      <c r="Z444" s="31"/>
      <c r="AA444" s="31"/>
      <c r="AB444" s="31"/>
      <c r="AC444" s="31"/>
      <c r="AD444" s="31"/>
    </row>
    <row r="445" spans="1:30">
      <c r="A445" s="31"/>
      <c r="D445" s="31"/>
      <c r="F445" s="31"/>
      <c r="G445" s="31"/>
      <c r="H445" s="31"/>
      <c r="I445" s="31"/>
      <c r="J445" s="31"/>
      <c r="K445" s="31"/>
      <c r="L445" s="31"/>
      <c r="M445" s="31"/>
      <c r="N445" s="31"/>
      <c r="O445" s="31"/>
      <c r="P445" s="31"/>
      <c r="Q445" s="31"/>
      <c r="R445" s="31"/>
      <c r="S445" s="31"/>
      <c r="T445" s="31"/>
      <c r="U445" s="31"/>
      <c r="V445" s="31"/>
      <c r="W445" s="31"/>
      <c r="X445" s="31"/>
      <c r="Y445" s="31"/>
      <c r="Z445" s="31"/>
      <c r="AA445" s="31"/>
      <c r="AB445" s="31"/>
      <c r="AC445" s="31"/>
      <c r="AD445" s="31"/>
    </row>
    <row r="446" spans="1:30">
      <c r="A446" s="31"/>
      <c r="D446" s="31"/>
      <c r="F446" s="31"/>
      <c r="G446" s="31"/>
      <c r="H446" s="31"/>
      <c r="I446" s="31"/>
      <c r="J446" s="31"/>
      <c r="K446" s="31"/>
      <c r="L446" s="31"/>
      <c r="M446" s="31"/>
      <c r="N446" s="31"/>
      <c r="O446" s="31"/>
      <c r="P446" s="31"/>
      <c r="Q446" s="31"/>
      <c r="R446" s="31"/>
      <c r="S446" s="31"/>
      <c r="T446" s="31"/>
      <c r="U446" s="31"/>
      <c r="V446" s="31"/>
      <c r="W446" s="31"/>
      <c r="X446" s="31"/>
      <c r="Y446" s="31"/>
      <c r="Z446" s="31"/>
      <c r="AA446" s="31"/>
      <c r="AB446" s="31"/>
      <c r="AC446" s="31"/>
      <c r="AD446" s="31"/>
    </row>
    <row r="447" spans="1:30">
      <c r="A447" s="31"/>
      <c r="D447" s="31"/>
      <c r="F447" s="31"/>
      <c r="G447" s="31"/>
      <c r="H447" s="31"/>
      <c r="I447" s="31"/>
      <c r="J447" s="31"/>
      <c r="K447" s="31"/>
      <c r="L447" s="31"/>
      <c r="M447" s="31"/>
      <c r="N447" s="31"/>
      <c r="O447" s="31"/>
      <c r="P447" s="31"/>
      <c r="Q447" s="31"/>
      <c r="R447" s="31"/>
      <c r="S447" s="31"/>
      <c r="T447" s="31"/>
      <c r="U447" s="31"/>
      <c r="V447" s="31"/>
      <c r="W447" s="31"/>
      <c r="X447" s="31"/>
      <c r="Y447" s="31"/>
      <c r="Z447" s="31"/>
      <c r="AA447" s="31"/>
      <c r="AB447" s="31"/>
      <c r="AC447" s="31"/>
      <c r="AD447" s="31"/>
    </row>
    <row r="448" spans="1:30">
      <c r="A448" s="31"/>
      <c r="D448" s="31"/>
      <c r="F448" s="31"/>
      <c r="G448" s="31"/>
      <c r="H448" s="31"/>
      <c r="I448" s="31"/>
      <c r="J448" s="31"/>
      <c r="K448" s="31"/>
      <c r="L448" s="31"/>
      <c r="M448" s="31"/>
      <c r="N448" s="31"/>
      <c r="O448" s="31"/>
      <c r="P448" s="31"/>
      <c r="Q448" s="31"/>
      <c r="R448" s="31"/>
      <c r="S448" s="31"/>
      <c r="T448" s="31"/>
      <c r="U448" s="31"/>
      <c r="V448" s="31"/>
      <c r="W448" s="31"/>
      <c r="X448" s="31"/>
      <c r="Y448" s="31"/>
      <c r="Z448" s="31"/>
      <c r="AA448" s="31"/>
      <c r="AB448" s="31"/>
      <c r="AC448" s="31"/>
      <c r="AD448" s="31"/>
    </row>
    <row r="449" spans="1:30">
      <c r="A449" s="31"/>
      <c r="D449" s="31"/>
      <c r="F449" s="31"/>
      <c r="G449" s="31"/>
      <c r="H449" s="31"/>
      <c r="I449" s="31"/>
      <c r="J449" s="31"/>
      <c r="K449" s="31"/>
      <c r="L449" s="31"/>
      <c r="M449" s="31"/>
      <c r="N449" s="31"/>
      <c r="O449" s="31"/>
      <c r="P449" s="31"/>
      <c r="Q449" s="31"/>
      <c r="R449" s="31"/>
      <c r="S449" s="31"/>
      <c r="T449" s="31"/>
      <c r="U449" s="31"/>
      <c r="V449" s="31"/>
      <c r="W449" s="31"/>
      <c r="X449" s="31"/>
      <c r="Y449" s="31"/>
      <c r="Z449" s="31"/>
      <c r="AA449" s="31"/>
      <c r="AB449" s="31"/>
      <c r="AC449" s="31"/>
      <c r="AD449" s="31"/>
    </row>
    <row r="450" spans="1:30">
      <c r="A450" s="31"/>
      <c r="D450" s="31"/>
      <c r="F450" s="31"/>
      <c r="G450" s="31"/>
      <c r="H450" s="31"/>
      <c r="I450" s="31"/>
      <c r="J450" s="31"/>
      <c r="K450" s="31"/>
      <c r="L450" s="31"/>
      <c r="M450" s="31"/>
      <c r="N450" s="31"/>
      <c r="O450" s="31"/>
      <c r="P450" s="31"/>
      <c r="Q450" s="31"/>
      <c r="R450" s="31"/>
      <c r="S450" s="31"/>
      <c r="T450" s="31"/>
      <c r="U450" s="31"/>
      <c r="V450" s="31"/>
      <c r="W450" s="31"/>
      <c r="X450" s="31"/>
      <c r="Y450" s="31"/>
      <c r="Z450" s="31"/>
      <c r="AA450" s="31"/>
      <c r="AB450" s="31"/>
      <c r="AC450" s="31"/>
      <c r="AD450" s="31"/>
    </row>
    <row r="451" spans="1:30">
      <c r="A451" s="31"/>
      <c r="D451" s="31"/>
      <c r="F451" s="31"/>
      <c r="G451" s="31"/>
      <c r="H451" s="31"/>
      <c r="I451" s="31"/>
      <c r="J451" s="31"/>
      <c r="K451" s="31"/>
      <c r="L451" s="31"/>
      <c r="M451" s="31"/>
      <c r="N451" s="31"/>
      <c r="O451" s="31"/>
      <c r="P451" s="31"/>
      <c r="Q451" s="31"/>
      <c r="R451" s="31"/>
      <c r="S451" s="31"/>
      <c r="T451" s="31"/>
      <c r="U451" s="31"/>
      <c r="V451" s="31"/>
      <c r="W451" s="31"/>
      <c r="X451" s="31"/>
      <c r="Y451" s="31"/>
      <c r="Z451" s="31"/>
      <c r="AA451" s="31"/>
      <c r="AB451" s="31"/>
      <c r="AC451" s="31"/>
      <c r="AD451" s="31"/>
    </row>
    <row r="452" spans="1:30">
      <c r="A452" s="31"/>
      <c r="D452" s="31"/>
      <c r="F452" s="31"/>
      <c r="G452" s="31"/>
      <c r="H452" s="31"/>
      <c r="I452" s="31"/>
      <c r="J452" s="31"/>
      <c r="K452" s="31"/>
      <c r="L452" s="31"/>
      <c r="M452" s="31"/>
      <c r="N452" s="31"/>
      <c r="O452" s="31"/>
      <c r="P452" s="31"/>
      <c r="Q452" s="31"/>
      <c r="R452" s="31"/>
      <c r="S452" s="31"/>
      <c r="T452" s="31"/>
      <c r="U452" s="31"/>
      <c r="V452" s="31"/>
      <c r="W452" s="31"/>
      <c r="X452" s="31"/>
      <c r="Y452" s="31"/>
      <c r="Z452" s="31"/>
      <c r="AA452" s="31"/>
      <c r="AB452" s="31"/>
      <c r="AC452" s="31"/>
      <c r="AD452" s="31"/>
    </row>
    <row r="453" spans="1:30">
      <c r="A453" s="31"/>
      <c r="D453" s="31"/>
      <c r="F453" s="31"/>
      <c r="G453" s="31"/>
      <c r="H453" s="31"/>
      <c r="I453" s="31"/>
      <c r="J453" s="31"/>
      <c r="K453" s="31"/>
      <c r="L453" s="31"/>
      <c r="M453" s="31"/>
      <c r="N453" s="31"/>
      <c r="O453" s="31"/>
      <c r="P453" s="31"/>
      <c r="Q453" s="31"/>
      <c r="R453" s="31"/>
      <c r="S453" s="31"/>
      <c r="T453" s="31"/>
      <c r="U453" s="31"/>
      <c r="V453" s="31"/>
      <c r="W453" s="31"/>
      <c r="X453" s="31"/>
      <c r="Y453" s="31"/>
      <c r="Z453" s="31"/>
      <c r="AA453" s="31"/>
      <c r="AB453" s="31"/>
      <c r="AC453" s="31"/>
      <c r="AD453" s="31"/>
    </row>
    <row r="454" spans="1:30">
      <c r="A454" s="31"/>
      <c r="D454" s="31"/>
      <c r="F454" s="31"/>
      <c r="G454" s="31"/>
      <c r="H454" s="31"/>
      <c r="I454" s="31"/>
      <c r="J454" s="31"/>
      <c r="K454" s="31"/>
      <c r="L454" s="31"/>
      <c r="M454" s="31"/>
      <c r="N454" s="31"/>
      <c r="O454" s="31"/>
      <c r="P454" s="31"/>
      <c r="Q454" s="31"/>
      <c r="R454" s="31"/>
      <c r="S454" s="31"/>
      <c r="T454" s="31"/>
      <c r="U454" s="31"/>
      <c r="V454" s="31"/>
      <c r="W454" s="31"/>
      <c r="X454" s="31"/>
      <c r="Y454" s="31"/>
      <c r="Z454" s="31"/>
      <c r="AA454" s="31"/>
      <c r="AB454" s="31"/>
      <c r="AC454" s="31"/>
      <c r="AD454" s="31"/>
    </row>
    <row r="455" spans="1:30">
      <c r="A455" s="31"/>
      <c r="D455" s="31"/>
      <c r="F455" s="31"/>
      <c r="G455" s="31"/>
      <c r="H455" s="31"/>
      <c r="I455" s="31"/>
      <c r="J455" s="31"/>
      <c r="K455" s="31"/>
      <c r="L455" s="31"/>
      <c r="M455" s="31"/>
      <c r="N455" s="31"/>
      <c r="O455" s="31"/>
      <c r="P455" s="31"/>
      <c r="Q455" s="31"/>
      <c r="R455" s="31"/>
      <c r="S455" s="31"/>
      <c r="T455" s="31"/>
      <c r="U455" s="31"/>
      <c r="V455" s="31"/>
      <c r="W455" s="31"/>
      <c r="X455" s="31"/>
      <c r="Y455" s="31"/>
      <c r="Z455" s="31"/>
      <c r="AA455" s="31"/>
      <c r="AB455" s="31"/>
      <c r="AC455" s="31"/>
      <c r="AD455" s="31"/>
    </row>
    <row r="456" spans="1:30">
      <c r="A456" s="31"/>
      <c r="D456" s="31"/>
      <c r="F456" s="31"/>
      <c r="G456" s="31"/>
      <c r="H456" s="31"/>
      <c r="I456" s="31"/>
      <c r="J456" s="31"/>
      <c r="K456" s="31"/>
      <c r="L456" s="31"/>
      <c r="M456" s="31"/>
      <c r="N456" s="31"/>
      <c r="O456" s="31"/>
      <c r="P456" s="31"/>
      <c r="Q456" s="31"/>
      <c r="R456" s="31"/>
      <c r="S456" s="31"/>
      <c r="T456" s="31"/>
      <c r="U456" s="31"/>
      <c r="V456" s="31"/>
      <c r="W456" s="31"/>
      <c r="X456" s="31"/>
      <c r="Y456" s="31"/>
      <c r="Z456" s="31"/>
      <c r="AA456" s="31"/>
      <c r="AB456" s="31"/>
      <c r="AC456" s="31"/>
      <c r="AD456" s="31"/>
    </row>
    <row r="457" spans="1:30">
      <c r="A457" s="31"/>
      <c r="D457" s="31"/>
      <c r="F457" s="31"/>
      <c r="G457" s="31"/>
      <c r="H457" s="31"/>
      <c r="I457" s="31"/>
      <c r="J457" s="31"/>
      <c r="K457" s="31"/>
      <c r="L457" s="31"/>
      <c r="M457" s="31"/>
      <c r="N457" s="31"/>
      <c r="O457" s="31"/>
      <c r="P457" s="31"/>
      <c r="Q457" s="31"/>
      <c r="R457" s="31"/>
      <c r="S457" s="31"/>
      <c r="T457" s="31"/>
      <c r="U457" s="31"/>
      <c r="V457" s="31"/>
      <c r="W457" s="31"/>
      <c r="X457" s="31"/>
      <c r="Y457" s="31"/>
      <c r="Z457" s="31"/>
      <c r="AA457" s="31"/>
      <c r="AB457" s="31"/>
      <c r="AC457" s="31"/>
      <c r="AD457" s="31"/>
    </row>
    <row r="458" spans="1:30">
      <c r="A458" s="31"/>
      <c r="D458" s="31"/>
      <c r="F458" s="31"/>
      <c r="G458" s="31"/>
      <c r="H458" s="31"/>
      <c r="I458" s="31"/>
      <c r="J458" s="31"/>
      <c r="K458" s="31"/>
      <c r="L458" s="31"/>
      <c r="M458" s="31"/>
      <c r="N458" s="31"/>
      <c r="O458" s="31"/>
      <c r="P458" s="31"/>
      <c r="Q458" s="31"/>
      <c r="R458" s="31"/>
      <c r="S458" s="31"/>
      <c r="T458" s="31"/>
      <c r="U458" s="31"/>
      <c r="V458" s="31"/>
      <c r="W458" s="31"/>
      <c r="X458" s="31"/>
      <c r="Y458" s="31"/>
      <c r="Z458" s="31"/>
      <c r="AA458" s="31"/>
      <c r="AB458" s="31"/>
      <c r="AC458" s="31"/>
      <c r="AD458" s="31"/>
    </row>
    <row r="459" spans="1:30">
      <c r="A459" s="31"/>
      <c r="D459" s="31"/>
      <c r="F459" s="31"/>
      <c r="G459" s="31"/>
      <c r="H459" s="31"/>
      <c r="I459" s="31"/>
      <c r="J459" s="31"/>
      <c r="K459" s="31"/>
      <c r="L459" s="31"/>
      <c r="M459" s="31"/>
      <c r="N459" s="31"/>
      <c r="O459" s="31"/>
      <c r="P459" s="31"/>
      <c r="Q459" s="31"/>
      <c r="R459" s="31"/>
      <c r="S459" s="31"/>
      <c r="T459" s="31"/>
      <c r="U459" s="31"/>
      <c r="V459" s="31"/>
      <c r="W459" s="31"/>
      <c r="X459" s="31"/>
      <c r="Y459" s="31"/>
      <c r="Z459" s="31"/>
      <c r="AA459" s="31"/>
      <c r="AB459" s="31"/>
      <c r="AC459" s="31"/>
      <c r="AD459" s="31"/>
    </row>
    <row r="460" spans="1:30">
      <c r="A460" s="31"/>
      <c r="D460" s="31"/>
      <c r="F460" s="31"/>
      <c r="G460" s="31"/>
      <c r="H460" s="31"/>
      <c r="I460" s="31"/>
      <c r="J460" s="31"/>
      <c r="K460" s="31"/>
      <c r="L460" s="31"/>
      <c r="M460" s="31"/>
      <c r="N460" s="31"/>
      <c r="O460" s="31"/>
      <c r="P460" s="31"/>
      <c r="Q460" s="31"/>
      <c r="R460" s="31"/>
      <c r="S460" s="31"/>
      <c r="T460" s="31"/>
      <c r="U460" s="31"/>
      <c r="V460" s="31"/>
      <c r="W460" s="31"/>
      <c r="X460" s="31"/>
      <c r="Y460" s="31"/>
      <c r="Z460" s="31"/>
      <c r="AA460" s="31"/>
      <c r="AB460" s="31"/>
      <c r="AC460" s="31"/>
      <c r="AD460" s="31"/>
    </row>
    <row r="461" spans="1:30">
      <c r="A461" s="31"/>
      <c r="D461" s="31"/>
      <c r="F461" s="31"/>
      <c r="G461" s="31"/>
      <c r="H461" s="31"/>
      <c r="I461" s="31"/>
      <c r="J461" s="31"/>
      <c r="K461" s="31"/>
      <c r="L461" s="31"/>
      <c r="M461" s="31"/>
      <c r="N461" s="31"/>
      <c r="O461" s="31"/>
      <c r="P461" s="31"/>
      <c r="Q461" s="31"/>
      <c r="R461" s="31"/>
      <c r="S461" s="31"/>
      <c r="T461" s="31"/>
      <c r="U461" s="31"/>
      <c r="V461" s="31"/>
      <c r="W461" s="31"/>
      <c r="X461" s="31"/>
      <c r="Y461" s="31"/>
      <c r="Z461" s="31"/>
      <c r="AA461" s="31"/>
      <c r="AB461" s="31"/>
      <c r="AC461" s="31"/>
      <c r="AD461" s="31"/>
    </row>
    <row r="462" spans="1:30">
      <c r="A462" s="31"/>
      <c r="D462" s="31"/>
      <c r="F462" s="31"/>
      <c r="G462" s="31"/>
      <c r="H462" s="31"/>
      <c r="I462" s="31"/>
      <c r="J462" s="31"/>
      <c r="K462" s="31"/>
      <c r="L462" s="31"/>
      <c r="M462" s="31"/>
      <c r="N462" s="31"/>
      <c r="O462" s="31"/>
      <c r="P462" s="31"/>
      <c r="Q462" s="31"/>
      <c r="R462" s="31"/>
      <c r="S462" s="31"/>
      <c r="T462" s="31"/>
      <c r="U462" s="31"/>
      <c r="V462" s="31"/>
      <c r="W462" s="31"/>
      <c r="X462" s="31"/>
      <c r="Y462" s="31"/>
      <c r="Z462" s="31"/>
      <c r="AA462" s="31"/>
      <c r="AB462" s="31"/>
      <c r="AC462" s="31"/>
      <c r="AD462" s="31"/>
    </row>
    <row r="463" spans="1:30">
      <c r="A463" s="31"/>
      <c r="D463" s="31"/>
      <c r="F463" s="31"/>
      <c r="G463" s="31"/>
      <c r="H463" s="31"/>
      <c r="I463" s="31"/>
      <c r="J463" s="31"/>
      <c r="K463" s="31"/>
      <c r="L463" s="31"/>
      <c r="M463" s="31"/>
      <c r="N463" s="31"/>
      <c r="O463" s="31"/>
      <c r="P463" s="31"/>
      <c r="Q463" s="31"/>
      <c r="R463" s="31"/>
      <c r="S463" s="31"/>
      <c r="T463" s="31"/>
      <c r="U463" s="31"/>
      <c r="V463" s="31"/>
      <c r="W463" s="31"/>
      <c r="X463" s="31"/>
      <c r="Y463" s="31"/>
      <c r="Z463" s="31"/>
      <c r="AA463" s="31"/>
      <c r="AB463" s="31"/>
      <c r="AC463" s="31"/>
      <c r="AD463" s="31"/>
    </row>
    <row r="464" spans="1:30">
      <c r="A464" s="31"/>
      <c r="D464" s="31"/>
      <c r="F464" s="31"/>
      <c r="G464" s="31"/>
      <c r="H464" s="31"/>
      <c r="I464" s="31"/>
      <c r="J464" s="31"/>
      <c r="K464" s="31"/>
      <c r="L464" s="31"/>
      <c r="M464" s="31"/>
      <c r="N464" s="31"/>
      <c r="O464" s="31"/>
      <c r="P464" s="31"/>
      <c r="Q464" s="31"/>
      <c r="R464" s="31"/>
      <c r="S464" s="31"/>
      <c r="T464" s="31"/>
      <c r="U464" s="31"/>
      <c r="V464" s="31"/>
      <c r="W464" s="31"/>
      <c r="X464" s="31"/>
      <c r="Y464" s="31"/>
      <c r="Z464" s="31"/>
      <c r="AA464" s="31"/>
      <c r="AB464" s="31"/>
      <c r="AC464" s="31"/>
      <c r="AD464" s="31"/>
    </row>
    <row r="465" spans="1:30">
      <c r="A465" s="31"/>
      <c r="D465" s="31"/>
      <c r="F465" s="31"/>
      <c r="G465" s="31"/>
      <c r="H465" s="31"/>
      <c r="I465" s="31"/>
      <c r="J465" s="31"/>
      <c r="K465" s="31"/>
      <c r="L465" s="31"/>
      <c r="M465" s="31"/>
      <c r="N465" s="31"/>
      <c r="O465" s="31"/>
      <c r="P465" s="31"/>
      <c r="Q465" s="31"/>
      <c r="R465" s="31"/>
      <c r="S465" s="31"/>
      <c r="T465" s="31"/>
      <c r="U465" s="31"/>
      <c r="V465" s="31"/>
      <c r="W465" s="31"/>
      <c r="X465" s="31"/>
      <c r="Y465" s="31"/>
      <c r="Z465" s="31"/>
      <c r="AA465" s="31"/>
      <c r="AB465" s="31"/>
      <c r="AC465" s="31"/>
      <c r="AD465" s="31"/>
    </row>
    <row r="466" spans="1:30">
      <c r="A466" s="31"/>
      <c r="D466" s="31"/>
      <c r="F466" s="31"/>
      <c r="G466" s="31"/>
      <c r="H466" s="31"/>
      <c r="I466" s="31"/>
      <c r="J466" s="31"/>
      <c r="K466" s="31"/>
      <c r="L466" s="31"/>
      <c r="M466" s="31"/>
      <c r="N466" s="31"/>
      <c r="O466" s="31"/>
      <c r="P466" s="31"/>
      <c r="Q466" s="31"/>
      <c r="R466" s="31"/>
      <c r="S466" s="31"/>
      <c r="T466" s="31"/>
      <c r="U466" s="31"/>
      <c r="V466" s="31"/>
      <c r="W466" s="31"/>
      <c r="X466" s="31"/>
      <c r="Y466" s="31"/>
      <c r="Z466" s="31"/>
      <c r="AA466" s="31"/>
      <c r="AB466" s="31"/>
      <c r="AC466" s="31"/>
      <c r="AD466" s="31"/>
    </row>
    <row r="467" spans="1:30">
      <c r="A467" s="31"/>
      <c r="D467" s="31"/>
      <c r="F467" s="31"/>
      <c r="G467" s="31"/>
      <c r="H467" s="31"/>
      <c r="I467" s="31"/>
      <c r="J467" s="31"/>
      <c r="K467" s="31"/>
      <c r="L467" s="31"/>
      <c r="M467" s="31"/>
      <c r="N467" s="31"/>
      <c r="O467" s="31"/>
      <c r="P467" s="31"/>
      <c r="Q467" s="31"/>
      <c r="R467" s="31"/>
      <c r="S467" s="31"/>
      <c r="T467" s="31"/>
      <c r="U467" s="31"/>
      <c r="V467" s="31"/>
      <c r="W467" s="31"/>
      <c r="X467" s="31"/>
      <c r="Y467" s="31"/>
      <c r="Z467" s="31"/>
      <c r="AA467" s="31"/>
      <c r="AB467" s="31"/>
      <c r="AC467" s="31"/>
      <c r="AD467" s="31"/>
    </row>
    <row r="468" spans="1:30">
      <c r="A468" s="31"/>
      <c r="D468" s="31"/>
      <c r="F468" s="31"/>
      <c r="G468" s="31"/>
      <c r="H468" s="31"/>
      <c r="I468" s="31"/>
      <c r="J468" s="31"/>
      <c r="K468" s="31"/>
      <c r="L468" s="31"/>
      <c r="M468" s="31"/>
      <c r="N468" s="31"/>
      <c r="O468" s="31"/>
      <c r="P468" s="31"/>
      <c r="Q468" s="31"/>
      <c r="R468" s="31"/>
      <c r="S468" s="31"/>
      <c r="T468" s="31"/>
      <c r="U468" s="31"/>
      <c r="V468" s="31"/>
      <c r="W468" s="31"/>
      <c r="X468" s="31"/>
      <c r="Y468" s="31"/>
      <c r="Z468" s="31"/>
      <c r="AA468" s="31"/>
      <c r="AB468" s="31"/>
      <c r="AC468" s="31"/>
      <c r="AD468" s="31"/>
    </row>
    <row r="469" spans="1:30">
      <c r="A469" s="31"/>
      <c r="D469" s="31"/>
      <c r="F469" s="31"/>
      <c r="G469" s="31"/>
      <c r="H469" s="31"/>
      <c r="I469" s="31"/>
      <c r="J469" s="31"/>
      <c r="K469" s="31"/>
      <c r="L469" s="31"/>
      <c r="M469" s="31"/>
      <c r="N469" s="31"/>
      <c r="O469" s="31"/>
      <c r="P469" s="31"/>
      <c r="Q469" s="31"/>
      <c r="R469" s="31"/>
      <c r="S469" s="31"/>
      <c r="T469" s="31"/>
      <c r="U469" s="31"/>
      <c r="V469" s="31"/>
      <c r="W469" s="31"/>
      <c r="X469" s="31"/>
      <c r="Y469" s="31"/>
      <c r="Z469" s="31"/>
      <c r="AA469" s="31"/>
      <c r="AB469" s="31"/>
      <c r="AC469" s="31"/>
      <c r="AD469" s="31"/>
    </row>
    <row r="470" spans="1:30">
      <c r="A470" s="31"/>
      <c r="D470" s="31"/>
      <c r="F470" s="31"/>
      <c r="G470" s="31"/>
      <c r="H470" s="31"/>
      <c r="I470" s="31"/>
      <c r="J470" s="31"/>
      <c r="K470" s="31"/>
      <c r="L470" s="31"/>
      <c r="M470" s="31"/>
      <c r="N470" s="31"/>
      <c r="O470" s="31"/>
      <c r="P470" s="31"/>
      <c r="Q470" s="31"/>
      <c r="R470" s="31"/>
      <c r="S470" s="31"/>
      <c r="T470" s="31"/>
      <c r="U470" s="31"/>
      <c r="V470" s="31"/>
      <c r="W470" s="31"/>
      <c r="X470" s="31"/>
      <c r="Y470" s="31"/>
      <c r="Z470" s="31"/>
      <c r="AA470" s="31"/>
      <c r="AB470" s="31"/>
      <c r="AC470" s="31"/>
      <c r="AD470" s="31"/>
    </row>
    <row r="471" spans="1:30">
      <c r="A471" s="31"/>
      <c r="D471" s="31"/>
      <c r="F471" s="31"/>
      <c r="G471" s="31"/>
      <c r="H471" s="31"/>
      <c r="I471" s="31"/>
      <c r="J471" s="31"/>
      <c r="K471" s="31"/>
      <c r="L471" s="31"/>
      <c r="M471" s="31"/>
      <c r="N471" s="31"/>
      <c r="O471" s="31"/>
      <c r="P471" s="31"/>
      <c r="Q471" s="31"/>
      <c r="R471" s="31"/>
      <c r="S471" s="31"/>
      <c r="T471" s="31"/>
      <c r="U471" s="31"/>
      <c r="V471" s="31"/>
      <c r="W471" s="31"/>
      <c r="X471" s="31"/>
      <c r="Y471" s="31"/>
      <c r="Z471" s="31"/>
      <c r="AA471" s="31"/>
      <c r="AB471" s="31"/>
      <c r="AC471" s="31"/>
      <c r="AD471" s="31"/>
    </row>
    <row r="472" spans="1:30">
      <c r="A472" s="31"/>
      <c r="D472" s="31"/>
      <c r="F472" s="31"/>
      <c r="G472" s="31"/>
      <c r="H472" s="31"/>
      <c r="I472" s="31"/>
      <c r="J472" s="31"/>
      <c r="K472" s="31"/>
      <c r="L472" s="31"/>
      <c r="M472" s="31"/>
      <c r="N472" s="31"/>
      <c r="O472" s="31"/>
      <c r="P472" s="31"/>
      <c r="Q472" s="31"/>
      <c r="R472" s="31"/>
      <c r="S472" s="31"/>
      <c r="T472" s="31"/>
      <c r="U472" s="31"/>
      <c r="V472" s="31"/>
      <c r="W472" s="31"/>
      <c r="X472" s="31"/>
      <c r="Y472" s="31"/>
      <c r="Z472" s="31"/>
      <c r="AA472" s="31"/>
      <c r="AB472" s="31"/>
      <c r="AC472" s="31"/>
      <c r="AD472" s="31"/>
    </row>
    <row r="473" spans="1:30">
      <c r="A473" s="31"/>
      <c r="D473" s="31"/>
      <c r="F473" s="31"/>
      <c r="G473" s="31"/>
      <c r="H473" s="31"/>
      <c r="I473" s="31"/>
      <c r="J473" s="31"/>
      <c r="K473" s="31"/>
      <c r="L473" s="31"/>
      <c r="M473" s="31"/>
      <c r="N473" s="31"/>
      <c r="O473" s="31"/>
      <c r="P473" s="31"/>
      <c r="Q473" s="31"/>
      <c r="R473" s="31"/>
      <c r="S473" s="31"/>
      <c r="T473" s="31"/>
      <c r="U473" s="31"/>
      <c r="V473" s="31"/>
      <c r="W473" s="31"/>
      <c r="X473" s="31"/>
      <c r="Y473" s="31"/>
      <c r="Z473" s="31"/>
      <c r="AA473" s="31"/>
      <c r="AB473" s="31"/>
      <c r="AC473" s="31"/>
      <c r="AD473" s="31"/>
    </row>
    <row r="474" spans="1:30">
      <c r="A474" s="31"/>
      <c r="D474" s="31"/>
      <c r="F474" s="31"/>
      <c r="G474" s="31"/>
      <c r="H474" s="31"/>
      <c r="I474" s="31"/>
      <c r="J474" s="31"/>
      <c r="K474" s="31"/>
      <c r="L474" s="31"/>
      <c r="M474" s="31"/>
      <c r="N474" s="31"/>
      <c r="O474" s="31"/>
      <c r="P474" s="31"/>
      <c r="Q474" s="31"/>
      <c r="R474" s="31"/>
      <c r="S474" s="31"/>
      <c r="T474" s="31"/>
      <c r="U474" s="31"/>
      <c r="V474" s="31"/>
      <c r="W474" s="31"/>
      <c r="X474" s="31"/>
      <c r="Y474" s="31"/>
      <c r="Z474" s="31"/>
      <c r="AA474" s="31"/>
      <c r="AB474" s="31"/>
      <c r="AC474" s="31"/>
      <c r="AD474" s="31"/>
    </row>
    <row r="475" spans="1:30">
      <c r="A475" s="31"/>
      <c r="D475" s="31"/>
      <c r="F475" s="31"/>
      <c r="G475" s="31"/>
      <c r="H475" s="31"/>
      <c r="I475" s="31"/>
      <c r="J475" s="31"/>
      <c r="K475" s="31"/>
      <c r="L475" s="31"/>
      <c r="M475" s="31"/>
      <c r="N475" s="31"/>
      <c r="O475" s="31"/>
      <c r="P475" s="31"/>
      <c r="Q475" s="31"/>
      <c r="R475" s="31"/>
      <c r="S475" s="31"/>
      <c r="T475" s="31"/>
      <c r="U475" s="31"/>
      <c r="V475" s="31"/>
      <c r="W475" s="31"/>
      <c r="X475" s="31"/>
      <c r="Y475" s="31"/>
      <c r="Z475" s="31"/>
      <c r="AA475" s="31"/>
      <c r="AB475" s="31"/>
      <c r="AC475" s="31"/>
      <c r="AD475" s="31"/>
    </row>
    <row r="476" spans="1:30">
      <c r="A476" s="31"/>
      <c r="D476" s="31"/>
      <c r="F476" s="31"/>
      <c r="G476" s="31"/>
      <c r="H476" s="31"/>
      <c r="I476" s="31"/>
      <c r="J476" s="31"/>
      <c r="K476" s="31"/>
      <c r="L476" s="31"/>
      <c r="M476" s="31"/>
      <c r="N476" s="31"/>
      <c r="O476" s="31"/>
      <c r="P476" s="31"/>
      <c r="Q476" s="31"/>
      <c r="R476" s="31"/>
      <c r="S476" s="31"/>
      <c r="T476" s="31"/>
      <c r="U476" s="31"/>
      <c r="V476" s="31"/>
      <c r="W476" s="31"/>
      <c r="X476" s="31"/>
      <c r="Y476" s="31"/>
      <c r="Z476" s="31"/>
      <c r="AA476" s="31"/>
      <c r="AB476" s="31"/>
      <c r="AC476" s="31"/>
      <c r="AD476" s="31"/>
    </row>
    <row r="477" spans="1:30">
      <c r="A477" s="31"/>
      <c r="D477" s="31"/>
      <c r="F477" s="31"/>
      <c r="G477" s="31"/>
      <c r="H477" s="31"/>
      <c r="I477" s="31"/>
      <c r="J477" s="31"/>
      <c r="K477" s="31"/>
      <c r="L477" s="31"/>
      <c r="M477" s="31"/>
      <c r="N477" s="31"/>
      <c r="O477" s="31"/>
      <c r="P477" s="31"/>
      <c r="Q477" s="31"/>
      <c r="R477" s="31"/>
      <c r="S477" s="31"/>
      <c r="T477" s="31"/>
      <c r="U477" s="31"/>
      <c r="V477" s="31"/>
      <c r="W477" s="31"/>
      <c r="X477" s="31"/>
      <c r="Y477" s="31"/>
      <c r="Z477" s="31"/>
      <c r="AA477" s="31"/>
      <c r="AB477" s="31"/>
      <c r="AC477" s="31"/>
      <c r="AD477" s="31"/>
    </row>
    <row r="478" spans="1:30">
      <c r="A478" s="31"/>
      <c r="D478" s="31"/>
      <c r="F478" s="31"/>
      <c r="G478" s="31"/>
      <c r="H478" s="31"/>
      <c r="I478" s="31"/>
      <c r="J478" s="31"/>
      <c r="K478" s="31"/>
      <c r="L478" s="31"/>
      <c r="M478" s="31"/>
      <c r="N478" s="31"/>
      <c r="O478" s="31"/>
      <c r="P478" s="31"/>
      <c r="Q478" s="31"/>
      <c r="R478" s="31"/>
      <c r="S478" s="31"/>
      <c r="T478" s="31"/>
      <c r="U478" s="31"/>
      <c r="V478" s="31"/>
      <c r="W478" s="31"/>
      <c r="X478" s="31"/>
      <c r="Y478" s="31"/>
      <c r="Z478" s="31"/>
      <c r="AA478" s="31"/>
      <c r="AB478" s="31"/>
      <c r="AC478" s="31"/>
      <c r="AD478" s="31"/>
    </row>
    <row r="479" spans="1:30">
      <c r="A479" s="31"/>
      <c r="D479" s="31"/>
      <c r="F479" s="31"/>
      <c r="G479" s="31"/>
      <c r="H479" s="31"/>
      <c r="I479" s="31"/>
      <c r="J479" s="31"/>
      <c r="K479" s="31"/>
      <c r="L479" s="31"/>
      <c r="M479" s="31"/>
      <c r="N479" s="31"/>
      <c r="O479" s="31"/>
      <c r="P479" s="31"/>
      <c r="Q479" s="31"/>
      <c r="R479" s="31"/>
      <c r="S479" s="31"/>
      <c r="T479" s="31"/>
      <c r="U479" s="31"/>
      <c r="V479" s="31"/>
      <c r="W479" s="31"/>
      <c r="X479" s="31"/>
      <c r="Y479" s="31"/>
      <c r="Z479" s="31"/>
      <c r="AA479" s="31"/>
      <c r="AB479" s="31"/>
      <c r="AC479" s="31"/>
      <c r="AD479" s="31"/>
    </row>
    <row r="480" spans="1:30">
      <c r="A480" s="31"/>
      <c r="D480" s="31"/>
      <c r="F480" s="31"/>
      <c r="G480" s="31"/>
      <c r="H480" s="31"/>
      <c r="I480" s="31"/>
      <c r="J480" s="31"/>
      <c r="K480" s="31"/>
      <c r="L480" s="31"/>
      <c r="M480" s="31"/>
      <c r="N480" s="31"/>
      <c r="O480" s="31"/>
      <c r="P480" s="31"/>
      <c r="Q480" s="31"/>
      <c r="R480" s="31"/>
      <c r="S480" s="31"/>
      <c r="T480" s="31"/>
      <c r="U480" s="31"/>
      <c r="V480" s="31"/>
      <c r="W480" s="31"/>
      <c r="X480" s="31"/>
      <c r="Y480" s="31"/>
      <c r="Z480" s="31"/>
      <c r="AA480" s="31"/>
      <c r="AB480" s="31"/>
      <c r="AC480" s="31"/>
      <c r="AD480" s="31"/>
    </row>
    <row r="481" spans="1:30">
      <c r="A481" s="31"/>
      <c r="D481" s="31"/>
      <c r="F481" s="31"/>
      <c r="G481" s="31"/>
      <c r="H481" s="31"/>
      <c r="I481" s="31"/>
      <c r="J481" s="31"/>
      <c r="K481" s="31"/>
      <c r="L481" s="31"/>
      <c r="M481" s="31"/>
      <c r="N481" s="31"/>
      <c r="O481" s="31"/>
      <c r="P481" s="31"/>
      <c r="Q481" s="31"/>
      <c r="R481" s="31"/>
      <c r="S481" s="31"/>
      <c r="T481" s="31"/>
      <c r="U481" s="31"/>
      <c r="V481" s="31"/>
      <c r="W481" s="31"/>
      <c r="X481" s="31"/>
      <c r="Y481" s="31"/>
      <c r="Z481" s="31"/>
      <c r="AA481" s="31"/>
      <c r="AB481" s="31"/>
      <c r="AC481" s="31"/>
      <c r="AD481" s="31"/>
    </row>
    <row r="482" spans="1:30">
      <c r="A482" s="31"/>
      <c r="D482" s="31"/>
      <c r="F482" s="31"/>
      <c r="G482" s="31"/>
      <c r="H482" s="31"/>
      <c r="I482" s="31"/>
      <c r="J482" s="31"/>
      <c r="K482" s="31"/>
      <c r="L482" s="31"/>
      <c r="M482" s="31"/>
      <c r="N482" s="31"/>
      <c r="O482" s="31"/>
      <c r="P482" s="31"/>
      <c r="Q482" s="31"/>
      <c r="R482" s="31"/>
      <c r="S482" s="31"/>
      <c r="T482" s="31"/>
      <c r="U482" s="31"/>
      <c r="V482" s="31"/>
      <c r="W482" s="31"/>
      <c r="X482" s="31"/>
      <c r="Y482" s="31"/>
      <c r="Z482" s="31"/>
      <c r="AA482" s="31"/>
      <c r="AB482" s="31"/>
      <c r="AC482" s="31"/>
      <c r="AD482" s="31"/>
    </row>
    <row r="483" spans="1:30">
      <c r="A483" s="31"/>
      <c r="D483" s="31"/>
      <c r="F483" s="31"/>
      <c r="G483" s="31"/>
      <c r="H483" s="31"/>
      <c r="I483" s="31"/>
      <c r="J483" s="31"/>
      <c r="K483" s="31"/>
      <c r="L483" s="31"/>
      <c r="M483" s="31"/>
      <c r="N483" s="31"/>
      <c r="O483" s="31"/>
      <c r="P483" s="31"/>
      <c r="Q483" s="31"/>
      <c r="R483" s="31"/>
      <c r="S483" s="31"/>
      <c r="T483" s="31"/>
      <c r="U483" s="31"/>
      <c r="V483" s="31"/>
      <c r="W483" s="31"/>
      <c r="X483" s="31"/>
      <c r="Y483" s="31"/>
      <c r="Z483" s="31"/>
      <c r="AA483" s="31"/>
      <c r="AB483" s="31"/>
      <c r="AC483" s="31"/>
      <c r="AD483" s="31"/>
    </row>
    <row r="484" spans="1:30">
      <c r="A484" s="31"/>
      <c r="D484" s="31"/>
      <c r="F484" s="31"/>
      <c r="G484" s="31"/>
      <c r="H484" s="31"/>
      <c r="I484" s="31"/>
      <c r="J484" s="31"/>
      <c r="K484" s="31"/>
      <c r="L484" s="31"/>
      <c r="M484" s="31"/>
      <c r="N484" s="31"/>
      <c r="O484" s="31"/>
      <c r="P484" s="31"/>
      <c r="Q484" s="31"/>
      <c r="R484" s="31"/>
      <c r="S484" s="31"/>
      <c r="T484" s="31"/>
      <c r="U484" s="31"/>
      <c r="V484" s="31"/>
      <c r="W484" s="31"/>
      <c r="X484" s="31"/>
      <c r="Y484" s="31"/>
      <c r="Z484" s="31"/>
      <c r="AA484" s="31"/>
      <c r="AB484" s="31"/>
      <c r="AC484" s="31"/>
      <c r="AD484" s="31"/>
    </row>
    <row r="485" spans="1:30">
      <c r="A485" s="31"/>
      <c r="D485" s="31"/>
      <c r="F485" s="31"/>
      <c r="G485" s="31"/>
      <c r="H485" s="31"/>
      <c r="I485" s="31"/>
      <c r="J485" s="31"/>
      <c r="K485" s="31"/>
      <c r="L485" s="31"/>
      <c r="M485" s="31"/>
      <c r="N485" s="31"/>
      <c r="O485" s="31"/>
      <c r="P485" s="31"/>
      <c r="Q485" s="31"/>
      <c r="R485" s="31"/>
      <c r="S485" s="31"/>
      <c r="T485" s="31"/>
      <c r="U485" s="31"/>
      <c r="V485" s="31"/>
      <c r="W485" s="31"/>
      <c r="X485" s="31"/>
      <c r="Y485" s="31"/>
      <c r="Z485" s="31"/>
      <c r="AA485" s="31"/>
      <c r="AB485" s="31"/>
      <c r="AC485" s="31"/>
      <c r="AD485" s="31"/>
    </row>
    <row r="486" spans="1:30">
      <c r="A486" s="31"/>
      <c r="D486" s="31"/>
      <c r="F486" s="31"/>
      <c r="G486" s="31"/>
      <c r="H486" s="31"/>
      <c r="I486" s="31"/>
      <c r="J486" s="31"/>
      <c r="K486" s="31"/>
      <c r="L486" s="31"/>
      <c r="M486" s="31"/>
      <c r="N486" s="31"/>
      <c r="O486" s="31"/>
      <c r="P486" s="31"/>
      <c r="Q486" s="31"/>
      <c r="R486" s="31"/>
      <c r="S486" s="31"/>
      <c r="T486" s="31"/>
      <c r="U486" s="31"/>
      <c r="V486" s="31"/>
      <c r="W486" s="31"/>
      <c r="X486" s="31"/>
      <c r="Y486" s="31"/>
      <c r="Z486" s="31"/>
      <c r="AA486" s="31"/>
      <c r="AB486" s="31"/>
      <c r="AC486" s="31"/>
      <c r="AD486" s="31"/>
    </row>
    <row r="487" spans="1:30">
      <c r="A487" s="31"/>
      <c r="D487" s="31"/>
      <c r="F487" s="31"/>
      <c r="G487" s="31"/>
      <c r="H487" s="31"/>
      <c r="I487" s="31"/>
      <c r="J487" s="31"/>
      <c r="K487" s="31"/>
      <c r="L487" s="31"/>
      <c r="M487" s="31"/>
      <c r="N487" s="31"/>
      <c r="O487" s="31"/>
      <c r="P487" s="31"/>
      <c r="Q487" s="31"/>
      <c r="R487" s="31"/>
      <c r="S487" s="31"/>
      <c r="T487" s="31"/>
      <c r="U487" s="31"/>
      <c r="V487" s="31"/>
      <c r="W487" s="31"/>
      <c r="X487" s="31"/>
      <c r="Y487" s="31"/>
      <c r="Z487" s="31"/>
      <c r="AA487" s="31"/>
      <c r="AB487" s="31"/>
      <c r="AC487" s="31"/>
      <c r="AD487" s="31"/>
    </row>
    <row r="488" spans="1:30">
      <c r="A488" s="31"/>
      <c r="D488" s="31"/>
      <c r="F488" s="31"/>
      <c r="G488" s="31"/>
      <c r="H488" s="31"/>
      <c r="I488" s="31"/>
      <c r="J488" s="31"/>
      <c r="K488" s="31"/>
      <c r="L488" s="31"/>
      <c r="M488" s="31"/>
      <c r="N488" s="31"/>
      <c r="O488" s="31"/>
      <c r="P488" s="31"/>
      <c r="Q488" s="31"/>
      <c r="R488" s="31"/>
      <c r="S488" s="31"/>
      <c r="T488" s="31"/>
      <c r="U488" s="31"/>
      <c r="V488" s="31"/>
      <c r="W488" s="31"/>
      <c r="X488" s="31"/>
      <c r="Y488" s="31"/>
      <c r="Z488" s="31"/>
      <c r="AA488" s="31"/>
      <c r="AB488" s="31"/>
      <c r="AC488" s="31"/>
      <c r="AD488" s="31"/>
    </row>
    <row r="489" spans="1:30">
      <c r="A489" s="31"/>
      <c r="D489" s="31"/>
      <c r="F489" s="31"/>
      <c r="G489" s="31"/>
      <c r="H489" s="31"/>
      <c r="I489" s="31"/>
      <c r="J489" s="31"/>
      <c r="K489" s="31"/>
      <c r="L489" s="31"/>
      <c r="M489" s="31"/>
      <c r="N489" s="31"/>
      <c r="O489" s="31"/>
      <c r="P489" s="31"/>
      <c r="Q489" s="31"/>
      <c r="R489" s="31"/>
      <c r="S489" s="31"/>
      <c r="T489" s="31"/>
      <c r="U489" s="31"/>
      <c r="V489" s="31"/>
      <c r="W489" s="31"/>
      <c r="X489" s="31"/>
      <c r="Y489" s="31"/>
      <c r="Z489" s="31"/>
      <c r="AA489" s="31"/>
      <c r="AB489" s="31"/>
      <c r="AC489" s="31"/>
      <c r="AD489" s="31"/>
    </row>
    <row r="490" spans="1:30">
      <c r="A490" s="31"/>
      <c r="D490" s="31"/>
      <c r="F490" s="31"/>
      <c r="G490" s="31"/>
      <c r="H490" s="31"/>
      <c r="I490" s="31"/>
      <c r="J490" s="31"/>
      <c r="K490" s="31"/>
      <c r="L490" s="31"/>
      <c r="M490" s="31"/>
      <c r="N490" s="31"/>
      <c r="O490" s="31"/>
      <c r="P490" s="31"/>
      <c r="Q490" s="31"/>
      <c r="R490" s="31"/>
      <c r="S490" s="31"/>
      <c r="T490" s="31"/>
      <c r="U490" s="31"/>
      <c r="V490" s="31"/>
      <c r="W490" s="31"/>
      <c r="X490" s="31"/>
      <c r="Y490" s="31"/>
      <c r="Z490" s="31"/>
      <c r="AA490" s="31"/>
      <c r="AB490" s="31"/>
      <c r="AC490" s="31"/>
      <c r="AD490" s="31"/>
    </row>
    <row r="491" spans="1:30">
      <c r="A491" s="31"/>
      <c r="D491" s="31"/>
      <c r="F491" s="31"/>
      <c r="G491" s="31"/>
      <c r="H491" s="31"/>
      <c r="I491" s="31"/>
      <c r="J491" s="31"/>
      <c r="K491" s="31"/>
      <c r="L491" s="31"/>
      <c r="M491" s="31"/>
      <c r="N491" s="31"/>
      <c r="O491" s="31"/>
      <c r="P491" s="31"/>
      <c r="Q491" s="31"/>
      <c r="R491" s="31"/>
      <c r="S491" s="31"/>
      <c r="T491" s="31"/>
      <c r="U491" s="31"/>
      <c r="V491" s="31"/>
      <c r="W491" s="31"/>
      <c r="X491" s="31"/>
      <c r="Y491" s="31"/>
      <c r="Z491" s="31"/>
      <c r="AA491" s="31"/>
      <c r="AB491" s="31"/>
      <c r="AC491" s="31"/>
      <c r="AD491" s="31"/>
    </row>
    <row r="492" spans="1:30">
      <c r="A492" s="31"/>
      <c r="D492" s="31"/>
      <c r="F492" s="31"/>
      <c r="G492" s="31"/>
      <c r="H492" s="31"/>
      <c r="I492" s="31"/>
      <c r="J492" s="31"/>
      <c r="K492" s="31"/>
      <c r="L492" s="31"/>
      <c r="M492" s="31"/>
      <c r="N492" s="31"/>
      <c r="O492" s="31"/>
      <c r="P492" s="31"/>
      <c r="Q492" s="31"/>
      <c r="R492" s="31"/>
      <c r="S492" s="31"/>
      <c r="T492" s="31"/>
      <c r="U492" s="31"/>
      <c r="V492" s="31"/>
      <c r="W492" s="31"/>
      <c r="X492" s="31"/>
      <c r="Y492" s="31"/>
      <c r="Z492" s="31"/>
      <c r="AA492" s="31"/>
      <c r="AB492" s="31"/>
      <c r="AC492" s="31"/>
      <c r="AD492" s="31"/>
    </row>
    <row r="493" spans="1:30">
      <c r="A493" s="31"/>
      <c r="D493" s="31"/>
      <c r="F493" s="31"/>
      <c r="G493" s="31"/>
      <c r="H493" s="31"/>
      <c r="I493" s="31"/>
      <c r="J493" s="31"/>
      <c r="K493" s="31"/>
      <c r="L493" s="31"/>
      <c r="M493" s="31"/>
      <c r="N493" s="31"/>
      <c r="O493" s="31"/>
      <c r="P493" s="31"/>
      <c r="Q493" s="31"/>
      <c r="R493" s="31"/>
      <c r="S493" s="31"/>
      <c r="T493" s="31"/>
      <c r="U493" s="31"/>
      <c r="V493" s="31"/>
      <c r="W493" s="31"/>
      <c r="X493" s="31"/>
      <c r="Y493" s="31"/>
      <c r="Z493" s="31"/>
      <c r="AA493" s="31"/>
      <c r="AB493" s="31"/>
      <c r="AC493" s="31"/>
      <c r="AD493" s="31"/>
    </row>
    <row r="494" spans="1:30">
      <c r="A494" s="31"/>
      <c r="D494" s="31"/>
      <c r="F494" s="31"/>
      <c r="G494" s="31"/>
      <c r="H494" s="31"/>
      <c r="I494" s="31"/>
      <c r="J494" s="31"/>
      <c r="K494" s="31"/>
      <c r="L494" s="31"/>
      <c r="M494" s="31"/>
      <c r="N494" s="31"/>
      <c r="O494" s="31"/>
      <c r="P494" s="31"/>
      <c r="Q494" s="31"/>
      <c r="R494" s="31"/>
      <c r="S494" s="31"/>
      <c r="T494" s="31"/>
      <c r="U494" s="31"/>
      <c r="V494" s="31"/>
      <c r="W494" s="31"/>
      <c r="X494" s="31"/>
      <c r="Y494" s="31"/>
      <c r="Z494" s="31"/>
      <c r="AA494" s="31"/>
      <c r="AB494" s="31"/>
      <c r="AC494" s="31"/>
      <c r="AD494" s="31"/>
    </row>
    <row r="495" spans="1:30">
      <c r="A495" s="31"/>
      <c r="D495" s="31"/>
      <c r="F495" s="31"/>
      <c r="G495" s="31"/>
      <c r="H495" s="31"/>
      <c r="I495" s="31"/>
      <c r="J495" s="31"/>
      <c r="K495" s="31"/>
      <c r="L495" s="31"/>
      <c r="M495" s="31"/>
      <c r="N495" s="31"/>
      <c r="O495" s="31"/>
      <c r="P495" s="31"/>
      <c r="Q495" s="31"/>
      <c r="R495" s="31"/>
      <c r="S495" s="31"/>
      <c r="T495" s="31"/>
      <c r="U495" s="31"/>
      <c r="V495" s="31"/>
      <c r="W495" s="31"/>
      <c r="X495" s="31"/>
      <c r="Y495" s="31"/>
      <c r="Z495" s="31"/>
      <c r="AA495" s="31"/>
      <c r="AB495" s="31"/>
      <c r="AC495" s="31"/>
      <c r="AD495" s="31"/>
    </row>
    <row r="496" spans="1:30">
      <c r="A496" s="31"/>
      <c r="D496" s="31"/>
      <c r="F496" s="31"/>
    </row>
    <row r="497" spans="1:30">
      <c r="A497" s="31"/>
      <c r="D497" s="31"/>
      <c r="F497" s="31"/>
    </row>
    <row r="498" spans="1:30">
      <c r="A498" s="31"/>
      <c r="D498" s="31"/>
      <c r="F498" s="31"/>
    </row>
    <row r="499" spans="1:30">
      <c r="A499" s="31"/>
      <c r="D499" s="31"/>
      <c r="F499" s="31"/>
    </row>
    <row r="500" spans="1:30">
      <c r="A500" s="31"/>
      <c r="D500" s="31"/>
      <c r="F500" s="31"/>
    </row>
    <row r="501" spans="1:30">
      <c r="A501" s="31"/>
      <c r="D501" s="31"/>
      <c r="F501" s="31"/>
    </row>
    <row r="502" spans="1:30">
      <c r="A502" s="31"/>
      <c r="D502" s="31"/>
      <c r="F502" s="31"/>
    </row>
    <row r="503" spans="1:30">
      <c r="A503" s="31"/>
      <c r="D503" s="31"/>
      <c r="F503" s="31"/>
    </row>
    <row r="504" spans="1:30">
      <c r="A504" s="31"/>
      <c r="D504" s="31"/>
      <c r="F504" s="31"/>
    </row>
    <row r="505" spans="1:30">
      <c r="A505" s="31"/>
      <c r="D505" s="31"/>
      <c r="F505" s="31"/>
    </row>
    <row r="506" spans="1:30">
      <c r="A506" s="31"/>
      <c r="D506" s="31"/>
      <c r="F506" s="31"/>
    </row>
    <row r="507" spans="1:30" s="165" customFormat="1">
      <c r="A507" s="31"/>
      <c r="B507" s="31"/>
      <c r="C507" s="31"/>
      <c r="D507" s="31"/>
      <c r="F507" s="31"/>
      <c r="G507" s="121"/>
      <c r="H507" s="121"/>
      <c r="I507" s="121"/>
      <c r="J507" s="121"/>
      <c r="K507" s="121"/>
      <c r="L507" s="121"/>
      <c r="M507" s="121"/>
      <c r="N507" s="121"/>
      <c r="O507" s="121"/>
      <c r="P507" s="121"/>
      <c r="Q507" s="121"/>
      <c r="R507" s="121"/>
      <c r="S507" s="121"/>
      <c r="T507" s="121"/>
      <c r="U507" s="121"/>
      <c r="V507" s="121"/>
      <c r="W507" s="121"/>
      <c r="X507" s="121"/>
      <c r="Y507" s="121"/>
      <c r="Z507" s="121"/>
      <c r="AA507" s="121"/>
      <c r="AB507" s="121"/>
      <c r="AC507" s="121"/>
      <c r="AD507" s="121"/>
    </row>
    <row r="508" spans="1:30" s="165" customFormat="1">
      <c r="A508" s="31"/>
      <c r="B508" s="31"/>
      <c r="C508" s="31"/>
      <c r="D508" s="31"/>
      <c r="F508" s="31"/>
      <c r="G508" s="121"/>
      <c r="H508" s="121"/>
      <c r="I508" s="121"/>
      <c r="J508" s="121"/>
      <c r="K508" s="121"/>
      <c r="L508" s="121"/>
      <c r="M508" s="121"/>
      <c r="N508" s="121"/>
      <c r="O508" s="121"/>
      <c r="P508" s="121"/>
      <c r="Q508" s="121"/>
      <c r="R508" s="121"/>
      <c r="S508" s="121"/>
      <c r="T508" s="121"/>
      <c r="U508" s="121"/>
      <c r="V508" s="121"/>
      <c r="W508" s="121"/>
      <c r="X508" s="121"/>
      <c r="Y508" s="121"/>
      <c r="Z508" s="121"/>
      <c r="AA508" s="121"/>
      <c r="AB508" s="121"/>
      <c r="AC508" s="121"/>
      <c r="AD508" s="121"/>
    </row>
    <row r="509" spans="1:30" s="165" customFormat="1">
      <c r="A509" s="31"/>
      <c r="B509" s="31"/>
      <c r="C509" s="31"/>
      <c r="D509" s="31"/>
      <c r="F509" s="31"/>
      <c r="G509" s="121"/>
      <c r="H509" s="121"/>
      <c r="I509" s="121"/>
      <c r="J509" s="121"/>
      <c r="K509" s="121"/>
      <c r="L509" s="121"/>
      <c r="M509" s="121"/>
      <c r="N509" s="121"/>
      <c r="O509" s="121"/>
      <c r="P509" s="121"/>
      <c r="Q509" s="121"/>
      <c r="R509" s="121"/>
      <c r="S509" s="121"/>
      <c r="T509" s="121"/>
      <c r="U509" s="121"/>
      <c r="V509" s="121"/>
      <c r="W509" s="121"/>
      <c r="X509" s="121"/>
      <c r="Y509" s="121"/>
      <c r="Z509" s="121"/>
      <c r="AA509" s="121"/>
      <c r="AB509" s="121"/>
      <c r="AC509" s="121"/>
      <c r="AD509" s="121"/>
    </row>
    <row r="510" spans="1:30" s="165" customFormat="1">
      <c r="A510" s="31"/>
      <c r="B510" s="31"/>
      <c r="C510" s="31"/>
      <c r="D510" s="31"/>
      <c r="F510" s="31"/>
      <c r="G510" s="121"/>
      <c r="H510" s="121"/>
      <c r="I510" s="121"/>
      <c r="J510" s="121"/>
      <c r="K510" s="121"/>
      <c r="L510" s="121"/>
      <c r="M510" s="121"/>
      <c r="N510" s="121"/>
      <c r="O510" s="121"/>
      <c r="P510" s="121"/>
      <c r="Q510" s="121"/>
      <c r="R510" s="121"/>
      <c r="S510" s="121"/>
      <c r="T510" s="121"/>
      <c r="U510" s="121"/>
      <c r="V510" s="121"/>
      <c r="W510" s="121"/>
      <c r="X510" s="121"/>
      <c r="Y510" s="121"/>
      <c r="Z510" s="121"/>
      <c r="AA510" s="121"/>
      <c r="AB510" s="121"/>
      <c r="AC510" s="121"/>
      <c r="AD510" s="121"/>
    </row>
    <row r="511" spans="1:30" s="165" customFormat="1">
      <c r="A511" s="31"/>
      <c r="B511" s="31"/>
      <c r="C511" s="31"/>
      <c r="D511" s="31"/>
      <c r="F511" s="31"/>
      <c r="G511" s="121"/>
      <c r="H511" s="121"/>
      <c r="I511" s="121"/>
      <c r="J511" s="121"/>
      <c r="K511" s="121"/>
      <c r="L511" s="121"/>
      <c r="M511" s="121"/>
      <c r="N511" s="121"/>
      <c r="O511" s="121"/>
      <c r="P511" s="121"/>
      <c r="Q511" s="121"/>
      <c r="R511" s="121"/>
      <c r="S511" s="121"/>
      <c r="T511" s="121"/>
      <c r="U511" s="121"/>
      <c r="V511" s="121"/>
      <c r="W511" s="121"/>
      <c r="X511" s="121"/>
      <c r="Y511" s="121"/>
      <c r="Z511" s="121"/>
      <c r="AA511" s="121"/>
      <c r="AB511" s="121"/>
      <c r="AC511" s="121"/>
      <c r="AD511" s="121"/>
    </row>
    <row r="512" spans="1:30" s="165" customFormat="1">
      <c r="A512" s="31"/>
      <c r="B512" s="31"/>
      <c r="C512" s="31"/>
      <c r="D512" s="31"/>
      <c r="F512" s="31"/>
      <c r="G512" s="121"/>
      <c r="H512" s="121"/>
      <c r="I512" s="121"/>
      <c r="J512" s="121"/>
      <c r="K512" s="121"/>
      <c r="L512" s="121"/>
      <c r="M512" s="121"/>
      <c r="N512" s="121"/>
      <c r="O512" s="121"/>
      <c r="P512" s="121"/>
      <c r="Q512" s="121"/>
      <c r="R512" s="121"/>
      <c r="S512" s="121"/>
      <c r="T512" s="121"/>
      <c r="U512" s="121"/>
      <c r="V512" s="121"/>
      <c r="W512" s="121"/>
      <c r="X512" s="121"/>
      <c r="Y512" s="121"/>
      <c r="Z512" s="121"/>
      <c r="AA512" s="121"/>
      <c r="AB512" s="121"/>
      <c r="AC512" s="121"/>
      <c r="AD512" s="121"/>
    </row>
    <row r="513" spans="1:30" s="165" customFormat="1">
      <c r="A513" s="31"/>
      <c r="B513" s="31"/>
      <c r="C513" s="31"/>
      <c r="D513" s="31"/>
      <c r="F513" s="31"/>
      <c r="G513" s="121"/>
      <c r="H513" s="121"/>
      <c r="I513" s="121"/>
      <c r="J513" s="121"/>
      <c r="K513" s="121"/>
      <c r="L513" s="121"/>
      <c r="M513" s="121"/>
      <c r="N513" s="121"/>
      <c r="O513" s="121"/>
      <c r="P513" s="121"/>
      <c r="Q513" s="121"/>
      <c r="R513" s="121"/>
      <c r="S513" s="121"/>
      <c r="T513" s="121"/>
      <c r="U513" s="121"/>
      <c r="V513" s="121"/>
      <c r="W513" s="121"/>
      <c r="X513" s="121"/>
      <c r="Y513" s="121"/>
      <c r="Z513" s="121"/>
      <c r="AA513" s="121"/>
      <c r="AB513" s="121"/>
      <c r="AC513" s="121"/>
      <c r="AD513" s="121"/>
    </row>
    <row r="514" spans="1:30" s="165" customFormat="1">
      <c r="A514" s="31"/>
      <c r="B514" s="31"/>
      <c r="C514" s="31"/>
      <c r="D514" s="31"/>
      <c r="F514" s="31"/>
      <c r="G514" s="121"/>
      <c r="H514" s="121"/>
      <c r="I514" s="121"/>
      <c r="J514" s="121"/>
      <c r="K514" s="121"/>
      <c r="L514" s="121"/>
      <c r="M514" s="121"/>
      <c r="N514" s="121"/>
      <c r="O514" s="121"/>
      <c r="P514" s="121"/>
      <c r="Q514" s="121"/>
      <c r="R514" s="121"/>
      <c r="S514" s="121"/>
      <c r="T514" s="121"/>
      <c r="U514" s="121"/>
      <c r="V514" s="121"/>
      <c r="W514" s="121"/>
      <c r="X514" s="121"/>
      <c r="Y514" s="121"/>
      <c r="Z514" s="121"/>
      <c r="AA514" s="121"/>
      <c r="AB514" s="121"/>
      <c r="AC514" s="121"/>
      <c r="AD514" s="121"/>
    </row>
    <row r="515" spans="1:30" s="165" customFormat="1">
      <c r="A515" s="31"/>
      <c r="B515" s="31"/>
      <c r="C515" s="31"/>
      <c r="D515" s="31"/>
      <c r="F515" s="31"/>
      <c r="G515" s="121"/>
      <c r="H515" s="121"/>
      <c r="I515" s="121"/>
      <c r="J515" s="121"/>
      <c r="K515" s="121"/>
      <c r="L515" s="121"/>
      <c r="M515" s="121"/>
      <c r="N515" s="121"/>
      <c r="O515" s="121"/>
      <c r="P515" s="121"/>
      <c r="Q515" s="121"/>
      <c r="R515" s="121"/>
      <c r="S515" s="121"/>
      <c r="T515" s="121"/>
      <c r="U515" s="121"/>
      <c r="V515" s="121"/>
      <c r="W515" s="121"/>
      <c r="X515" s="121"/>
      <c r="Y515" s="121"/>
      <c r="Z515" s="121"/>
      <c r="AA515" s="121"/>
      <c r="AB515" s="121"/>
      <c r="AC515" s="121"/>
      <c r="AD515" s="121"/>
    </row>
    <row r="516" spans="1:30" s="165" customFormat="1">
      <c r="A516" s="31"/>
      <c r="B516" s="31"/>
      <c r="C516" s="31"/>
      <c r="D516" s="31"/>
      <c r="F516" s="31"/>
      <c r="G516" s="121"/>
      <c r="H516" s="121"/>
      <c r="I516" s="121"/>
      <c r="J516" s="121"/>
      <c r="K516" s="121"/>
      <c r="L516" s="121"/>
      <c r="M516" s="121"/>
      <c r="N516" s="121"/>
      <c r="O516" s="121"/>
      <c r="P516" s="121"/>
      <c r="Q516" s="121"/>
      <c r="R516" s="121"/>
      <c r="S516" s="121"/>
      <c r="T516" s="121"/>
      <c r="U516" s="121"/>
      <c r="V516" s="121"/>
      <c r="W516" s="121"/>
      <c r="X516" s="121"/>
      <c r="Y516" s="121"/>
      <c r="Z516" s="121"/>
      <c r="AA516" s="121"/>
      <c r="AB516" s="121"/>
      <c r="AC516" s="121"/>
      <c r="AD516" s="121"/>
    </row>
    <row r="517" spans="1:30" s="165" customFormat="1">
      <c r="A517" s="31"/>
      <c r="B517" s="31"/>
      <c r="C517" s="31"/>
      <c r="D517" s="31"/>
      <c r="F517" s="31"/>
      <c r="G517" s="121"/>
      <c r="H517" s="121"/>
      <c r="I517" s="121"/>
      <c r="J517" s="121"/>
      <c r="K517" s="121"/>
      <c r="L517" s="121"/>
      <c r="M517" s="121"/>
      <c r="N517" s="121"/>
      <c r="O517" s="121"/>
      <c r="P517" s="121"/>
      <c r="Q517" s="121"/>
      <c r="R517" s="121"/>
      <c r="S517" s="121"/>
      <c r="T517" s="121"/>
      <c r="U517" s="121"/>
      <c r="V517" s="121"/>
      <c r="W517" s="121"/>
      <c r="X517" s="121"/>
      <c r="Y517" s="121"/>
      <c r="Z517" s="121"/>
      <c r="AA517" s="121"/>
      <c r="AB517" s="121"/>
      <c r="AC517" s="121"/>
      <c r="AD517" s="121"/>
    </row>
    <row r="518" spans="1:30" s="165" customFormat="1">
      <c r="A518" s="31"/>
      <c r="B518" s="31"/>
      <c r="C518" s="31"/>
      <c r="D518" s="31"/>
      <c r="F518" s="31"/>
      <c r="G518" s="121"/>
      <c r="H518" s="121"/>
      <c r="I518" s="121"/>
      <c r="J518" s="121"/>
      <c r="K518" s="121"/>
      <c r="L518" s="121"/>
      <c r="M518" s="121"/>
      <c r="N518" s="121"/>
      <c r="O518" s="121"/>
      <c r="P518" s="121"/>
      <c r="Q518" s="121"/>
      <c r="R518" s="121"/>
      <c r="S518" s="121"/>
      <c r="T518" s="121"/>
      <c r="U518" s="121"/>
      <c r="V518" s="121"/>
      <c r="W518" s="121"/>
      <c r="X518" s="121"/>
      <c r="Y518" s="121"/>
      <c r="Z518" s="121"/>
      <c r="AA518" s="121"/>
      <c r="AB518" s="121"/>
      <c r="AC518" s="121"/>
      <c r="AD518" s="121"/>
    </row>
    <row r="519" spans="1:30" s="165" customFormat="1">
      <c r="A519" s="31"/>
      <c r="B519" s="31"/>
      <c r="C519" s="31"/>
      <c r="D519" s="31"/>
      <c r="F519" s="31"/>
      <c r="G519" s="121"/>
      <c r="H519" s="121"/>
      <c r="I519" s="121"/>
      <c r="J519" s="121"/>
      <c r="K519" s="121"/>
      <c r="L519" s="121"/>
      <c r="M519" s="121"/>
      <c r="N519" s="121"/>
      <c r="O519" s="121"/>
      <c r="P519" s="121"/>
      <c r="Q519" s="121"/>
      <c r="R519" s="121"/>
      <c r="S519" s="121"/>
      <c r="T519" s="121"/>
      <c r="U519" s="121"/>
      <c r="V519" s="121"/>
      <c r="W519" s="121"/>
      <c r="X519" s="121"/>
      <c r="Y519" s="121"/>
      <c r="Z519" s="121"/>
      <c r="AA519" s="121"/>
      <c r="AB519" s="121"/>
      <c r="AC519" s="121"/>
      <c r="AD519" s="121"/>
    </row>
    <row r="520" spans="1:30" s="165" customFormat="1">
      <c r="A520" s="31"/>
      <c r="B520" s="31"/>
      <c r="C520" s="31"/>
      <c r="D520" s="31"/>
      <c r="F520" s="31"/>
      <c r="G520" s="121"/>
      <c r="H520" s="121"/>
      <c r="I520" s="121"/>
      <c r="J520" s="121"/>
      <c r="K520" s="121"/>
      <c r="L520" s="121"/>
      <c r="M520" s="121"/>
      <c r="N520" s="121"/>
      <c r="O520" s="121"/>
      <c r="P520" s="121"/>
      <c r="Q520" s="121"/>
      <c r="R520" s="121"/>
      <c r="S520" s="121"/>
      <c r="T520" s="121"/>
      <c r="U520" s="121"/>
      <c r="V520" s="121"/>
      <c r="W520" s="121"/>
      <c r="X520" s="121"/>
      <c r="Y520" s="121"/>
      <c r="Z520" s="121"/>
      <c r="AA520" s="121"/>
      <c r="AB520" s="121"/>
      <c r="AC520" s="121"/>
      <c r="AD520" s="121"/>
    </row>
    <row r="521" spans="1:30" s="165" customFormat="1">
      <c r="A521" s="31"/>
      <c r="B521" s="31"/>
      <c r="C521" s="31"/>
      <c r="D521" s="31"/>
      <c r="F521" s="31"/>
      <c r="G521" s="121"/>
      <c r="H521" s="121"/>
      <c r="I521" s="121"/>
      <c r="J521" s="121"/>
      <c r="K521" s="121"/>
      <c r="L521" s="121"/>
      <c r="M521" s="121"/>
      <c r="N521" s="121"/>
      <c r="O521" s="121"/>
      <c r="P521" s="121"/>
      <c r="Q521" s="121"/>
      <c r="R521" s="121"/>
      <c r="S521" s="121"/>
      <c r="T521" s="121"/>
      <c r="U521" s="121"/>
      <c r="V521" s="121"/>
      <c r="W521" s="121"/>
      <c r="X521" s="121"/>
      <c r="Y521" s="121"/>
      <c r="Z521" s="121"/>
      <c r="AA521" s="121"/>
      <c r="AB521" s="121"/>
      <c r="AC521" s="121"/>
      <c r="AD521" s="121"/>
    </row>
    <row r="522" spans="1:30" s="165" customFormat="1">
      <c r="A522" s="31"/>
      <c r="B522" s="31"/>
      <c r="C522" s="31"/>
      <c r="D522" s="31"/>
      <c r="F522" s="31"/>
      <c r="G522" s="121"/>
      <c r="H522" s="121"/>
      <c r="I522" s="121"/>
      <c r="J522" s="121"/>
      <c r="K522" s="121"/>
      <c r="L522" s="121"/>
      <c r="M522" s="121"/>
      <c r="N522" s="121"/>
      <c r="O522" s="121"/>
      <c r="P522" s="121"/>
      <c r="Q522" s="121"/>
      <c r="R522" s="121"/>
      <c r="S522" s="121"/>
      <c r="T522" s="121"/>
      <c r="U522" s="121"/>
      <c r="V522" s="121"/>
      <c r="W522" s="121"/>
      <c r="X522" s="121"/>
      <c r="Y522" s="121"/>
      <c r="Z522" s="121"/>
      <c r="AA522" s="121"/>
      <c r="AB522" s="121"/>
      <c r="AC522" s="121"/>
      <c r="AD522" s="121"/>
    </row>
    <row r="523" spans="1:30" s="165" customFormat="1">
      <c r="A523" s="31"/>
      <c r="B523" s="31"/>
      <c r="C523" s="31"/>
      <c r="D523" s="31"/>
      <c r="F523" s="31"/>
      <c r="G523" s="121"/>
      <c r="H523" s="121"/>
      <c r="I523" s="121"/>
      <c r="J523" s="121"/>
      <c r="K523" s="121"/>
      <c r="L523" s="121"/>
      <c r="M523" s="121"/>
      <c r="N523" s="121"/>
      <c r="O523" s="121"/>
      <c r="P523" s="121"/>
      <c r="Q523" s="121"/>
      <c r="R523" s="121"/>
      <c r="S523" s="121"/>
      <c r="T523" s="121"/>
      <c r="U523" s="121"/>
      <c r="V523" s="121"/>
      <c r="W523" s="121"/>
      <c r="X523" s="121"/>
      <c r="Y523" s="121"/>
      <c r="Z523" s="121"/>
      <c r="AA523" s="121"/>
      <c r="AB523" s="121"/>
      <c r="AC523" s="121"/>
      <c r="AD523" s="121"/>
    </row>
    <row r="524" spans="1:30" s="165" customFormat="1">
      <c r="A524" s="31"/>
      <c r="B524" s="31"/>
      <c r="C524" s="31"/>
      <c r="D524" s="31"/>
      <c r="F524" s="31"/>
      <c r="G524" s="121"/>
      <c r="H524" s="121"/>
      <c r="I524" s="121"/>
      <c r="J524" s="121"/>
      <c r="K524" s="121"/>
      <c r="L524" s="121"/>
      <c r="M524" s="121"/>
      <c r="N524" s="121"/>
      <c r="O524" s="121"/>
      <c r="P524" s="121"/>
      <c r="Q524" s="121"/>
      <c r="R524" s="121"/>
      <c r="S524" s="121"/>
      <c r="T524" s="121"/>
      <c r="U524" s="121"/>
      <c r="V524" s="121"/>
      <c r="W524" s="121"/>
      <c r="X524" s="121"/>
      <c r="Y524" s="121"/>
      <c r="Z524" s="121"/>
      <c r="AA524" s="121"/>
      <c r="AB524" s="121"/>
      <c r="AC524" s="121"/>
      <c r="AD524" s="121"/>
    </row>
    <row r="525" spans="1:30" s="165" customFormat="1">
      <c r="A525" s="31"/>
      <c r="B525" s="31"/>
      <c r="C525" s="31"/>
      <c r="D525" s="31"/>
      <c r="F525" s="31"/>
      <c r="G525" s="121"/>
      <c r="H525" s="121"/>
      <c r="I525" s="121"/>
      <c r="J525" s="121"/>
      <c r="K525" s="121"/>
      <c r="L525" s="121"/>
      <c r="M525" s="121"/>
      <c r="N525" s="121"/>
      <c r="O525" s="121"/>
      <c r="P525" s="121"/>
      <c r="Q525" s="121"/>
      <c r="R525" s="121"/>
      <c r="S525" s="121"/>
      <c r="T525" s="121"/>
      <c r="U525" s="121"/>
      <c r="V525" s="121"/>
      <c r="W525" s="121"/>
      <c r="X525" s="121"/>
      <c r="Y525" s="121"/>
      <c r="Z525" s="121"/>
      <c r="AA525" s="121"/>
      <c r="AB525" s="121"/>
      <c r="AC525" s="121"/>
      <c r="AD525" s="121"/>
    </row>
    <row r="526" spans="1:30" s="165" customFormat="1">
      <c r="A526" s="31"/>
      <c r="B526" s="31"/>
      <c r="C526" s="31"/>
      <c r="D526" s="31"/>
      <c r="F526" s="31"/>
      <c r="G526" s="121"/>
      <c r="H526" s="121"/>
      <c r="I526" s="121"/>
      <c r="J526" s="121"/>
      <c r="K526" s="121"/>
      <c r="L526" s="121"/>
      <c r="M526" s="121"/>
      <c r="N526" s="121"/>
      <c r="O526" s="121"/>
      <c r="P526" s="121"/>
      <c r="Q526" s="121"/>
      <c r="R526" s="121"/>
      <c r="S526" s="121"/>
      <c r="T526" s="121"/>
      <c r="U526" s="121"/>
      <c r="V526" s="121"/>
      <c r="W526" s="121"/>
      <c r="X526" s="121"/>
      <c r="Y526" s="121"/>
      <c r="Z526" s="121"/>
      <c r="AA526" s="121"/>
      <c r="AB526" s="121"/>
      <c r="AC526" s="121"/>
      <c r="AD526" s="121"/>
    </row>
    <row r="527" spans="1:30" s="165" customFormat="1">
      <c r="A527" s="31"/>
      <c r="B527" s="31"/>
      <c r="C527" s="31"/>
      <c r="D527" s="31"/>
      <c r="F527" s="31"/>
      <c r="G527" s="121"/>
      <c r="H527" s="121"/>
      <c r="I527" s="121"/>
      <c r="J527" s="121"/>
      <c r="K527" s="121"/>
      <c r="L527" s="121"/>
      <c r="M527" s="121"/>
      <c r="N527" s="121"/>
      <c r="O527" s="121"/>
      <c r="P527" s="121"/>
      <c r="Q527" s="121"/>
      <c r="R527" s="121"/>
      <c r="S527" s="121"/>
      <c r="T527" s="121"/>
      <c r="U527" s="121"/>
      <c r="V527" s="121"/>
      <c r="W527" s="121"/>
      <c r="X527" s="121"/>
      <c r="Y527" s="121"/>
      <c r="Z527" s="121"/>
      <c r="AA527" s="121"/>
      <c r="AB527" s="121"/>
      <c r="AC527" s="121"/>
      <c r="AD527" s="121"/>
    </row>
    <row r="528" spans="1:30" s="165" customFormat="1">
      <c r="A528" s="31"/>
      <c r="B528" s="31"/>
      <c r="C528" s="31"/>
      <c r="D528" s="31"/>
      <c r="F528" s="31"/>
      <c r="G528" s="121"/>
      <c r="H528" s="121"/>
      <c r="I528" s="121"/>
      <c r="J528" s="121"/>
      <c r="K528" s="121"/>
      <c r="L528" s="121"/>
      <c r="M528" s="121"/>
      <c r="N528" s="121"/>
      <c r="O528" s="121"/>
      <c r="P528" s="121"/>
      <c r="Q528" s="121"/>
      <c r="R528" s="121"/>
      <c r="S528" s="121"/>
      <c r="T528" s="121"/>
      <c r="U528" s="121"/>
      <c r="V528" s="121"/>
      <c r="W528" s="121"/>
      <c r="X528" s="121"/>
      <c r="Y528" s="121"/>
      <c r="Z528" s="121"/>
      <c r="AA528" s="121"/>
      <c r="AB528" s="121"/>
      <c r="AC528" s="121"/>
      <c r="AD528" s="121"/>
    </row>
    <row r="529" spans="1:30" s="165" customFormat="1">
      <c r="A529" s="31"/>
      <c r="B529" s="31"/>
      <c r="C529" s="31"/>
      <c r="D529" s="31"/>
      <c r="F529" s="31"/>
      <c r="G529" s="121"/>
      <c r="H529" s="121"/>
      <c r="I529" s="121"/>
      <c r="J529" s="121"/>
      <c r="K529" s="121"/>
      <c r="L529" s="121"/>
      <c r="M529" s="121"/>
      <c r="N529" s="121"/>
      <c r="O529" s="121"/>
      <c r="P529" s="121"/>
      <c r="Q529" s="121"/>
      <c r="R529" s="121"/>
      <c r="S529" s="121"/>
      <c r="T529" s="121"/>
      <c r="U529" s="121"/>
      <c r="V529" s="121"/>
      <c r="W529" s="121"/>
      <c r="X529" s="121"/>
      <c r="Y529" s="121"/>
      <c r="Z529" s="121"/>
      <c r="AA529" s="121"/>
      <c r="AB529" s="121"/>
      <c r="AC529" s="121"/>
      <c r="AD529" s="121"/>
    </row>
    <row r="530" spans="1:30" s="165" customFormat="1">
      <c r="A530" s="31"/>
      <c r="B530" s="31"/>
      <c r="C530" s="31"/>
      <c r="D530" s="31"/>
      <c r="F530" s="31"/>
      <c r="G530" s="121"/>
      <c r="H530" s="121"/>
      <c r="I530" s="121"/>
      <c r="J530" s="121"/>
      <c r="K530" s="121"/>
      <c r="L530" s="121"/>
      <c r="M530" s="121"/>
      <c r="N530" s="121"/>
      <c r="O530" s="121"/>
      <c r="P530" s="121"/>
      <c r="Q530" s="121"/>
      <c r="R530" s="121"/>
      <c r="S530" s="121"/>
      <c r="T530" s="121"/>
      <c r="U530" s="121"/>
      <c r="V530" s="121"/>
      <c r="W530" s="121"/>
      <c r="X530" s="121"/>
      <c r="Y530" s="121"/>
      <c r="Z530" s="121"/>
      <c r="AA530" s="121"/>
      <c r="AB530" s="121"/>
      <c r="AC530" s="121"/>
      <c r="AD530" s="121"/>
    </row>
  </sheetData>
  <sheetProtection password="CF55" sheet="1" objects="1" scenarios="1" formatRows="0" selectLockedCells="1"/>
  <mergeCells count="7">
    <mergeCell ref="S109:T113"/>
    <mergeCell ref="S117:T121"/>
    <mergeCell ref="A2:B2"/>
    <mergeCell ref="A7:A108"/>
    <mergeCell ref="C4:H4"/>
    <mergeCell ref="J107:N107"/>
    <mergeCell ref="S8:T12"/>
  </mergeCells>
  <dataValidations xWindow="1103" yWindow="667" count="4">
    <dataValidation type="list" allowBlank="1" showInputMessage="1" showErrorMessage="1" sqref="G108:G157 G7:G106">
      <formula1>$I$6:$I$15</formula1>
    </dataValidation>
    <dataValidation type="list" allowBlank="1" showInputMessage="1" showErrorMessage="1" sqref="H7:H106">
      <formula1>$O$6:$O$11</formula1>
    </dataValidation>
    <dataValidation type="list" allowBlank="1" showInputMessage="1" showErrorMessage="1" sqref="H108:H157">
      <formula1>$O$107:$O$112</formula1>
    </dataValidation>
    <dataValidation type="list" allowBlank="1" showInputMessage="1" showErrorMessage="1" sqref="J108:N157">
      <formula1>$O$115:$O$120</formula1>
    </dataValidation>
  </dataValidations>
  <pageMargins left="0.79000000000000015" right="0.79000000000000015" top="0.79000000000000015" bottom="0.79000000000000015" header="0" footer="0"/>
  <pageSetup paperSize="8" orientation="landscape" horizontalDpi="4294967292" verticalDpi="4294967292"/>
  <legacyDrawing r:id="rId1"/>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tint="0.39997558519241921"/>
  </sheetPr>
  <dimension ref="A1:AI157"/>
  <sheetViews>
    <sheetView workbookViewId="0">
      <pane xSplit="2" ySplit="3" topLeftCell="Q4" activePane="bottomRight" state="frozen"/>
      <selection activeCell="L92" sqref="L92:O92"/>
      <selection pane="topRight" activeCell="L92" sqref="L92:O92"/>
      <selection pane="bottomLeft" activeCell="L92" sqref="L92:O92"/>
      <selection pane="bottomRight" activeCell="L92" sqref="L92:O92"/>
    </sheetView>
  </sheetViews>
  <sheetFormatPr defaultColWidth="11.42578125" defaultRowHeight="15"/>
  <cols>
    <col min="1" max="1" width="20.85546875" style="39" customWidth="1"/>
    <col min="2" max="2" width="20.85546875" style="38" customWidth="1"/>
    <col min="3" max="3" width="10.85546875" style="54" customWidth="1"/>
    <col min="4" max="8" width="5.85546875" style="54" customWidth="1"/>
    <col min="9" max="9" width="10.85546875" style="54" customWidth="1"/>
    <col min="10" max="13" width="5.85546875" style="54" customWidth="1"/>
    <col min="14" max="14" width="10.85546875" style="54" customWidth="1"/>
    <col min="15" max="17" width="5.85546875" style="54" customWidth="1"/>
    <col min="18" max="18" width="10.85546875" style="54" customWidth="1"/>
    <col min="19" max="24" width="5.85546875" style="54" customWidth="1"/>
    <col min="25" max="25" width="10.85546875" style="54" customWidth="1"/>
    <col min="26" max="26" width="5.85546875" style="54" customWidth="1"/>
    <col min="27" max="28" width="10.85546875" style="38" customWidth="1"/>
    <col min="29" max="30" width="11.42578125" style="335"/>
    <col min="31" max="31" width="5.85546875" style="335" customWidth="1"/>
    <col min="32" max="33" width="11.42578125" style="335"/>
    <col min="34" max="34" width="5.85546875" style="335" customWidth="1"/>
    <col min="35" max="16384" width="11.42578125" style="335"/>
  </cols>
  <sheetData>
    <row r="1" spans="1:35" ht="12.95" customHeight="1" thickBot="1">
      <c r="A1" s="57" t="s">
        <v>1201</v>
      </c>
      <c r="B1" s="59" t="s">
        <v>192</v>
      </c>
      <c r="C1" s="755" t="s">
        <v>190</v>
      </c>
      <c r="D1" s="1357">
        <v>2010</v>
      </c>
      <c r="E1" s="1357"/>
      <c r="F1" s="1357"/>
      <c r="G1" s="1357"/>
      <c r="H1" s="1358">
        <v>2011</v>
      </c>
      <c r="I1" s="1358"/>
      <c r="J1" s="1358"/>
      <c r="K1" s="1358"/>
      <c r="L1" s="1353">
        <v>2012</v>
      </c>
      <c r="M1" s="1354"/>
      <c r="N1" s="1355"/>
      <c r="O1" s="1359">
        <v>2013</v>
      </c>
      <c r="P1" s="1360"/>
      <c r="Q1" s="1360"/>
      <c r="R1" s="1361"/>
      <c r="S1" s="1353">
        <v>2014</v>
      </c>
      <c r="T1" s="1354"/>
      <c r="U1" s="1354"/>
      <c r="V1" s="1355"/>
      <c r="W1" s="1351">
        <v>2015</v>
      </c>
      <c r="X1" s="1352"/>
      <c r="Y1" s="1352"/>
      <c r="Z1" s="1352"/>
      <c r="AG1" s="464">
        <v>21</v>
      </c>
      <c r="AH1" s="482" t="s">
        <v>844</v>
      </c>
    </row>
    <row r="2" spans="1:35" s="338" customFormat="1" ht="42.75">
      <c r="A2" s="58" t="s">
        <v>193</v>
      </c>
      <c r="B2" s="59" t="s">
        <v>191</v>
      </c>
      <c r="C2" s="418" t="s">
        <v>722</v>
      </c>
      <c r="D2" s="56" t="s">
        <v>141</v>
      </c>
      <c r="E2" s="56" t="s">
        <v>142</v>
      </c>
      <c r="F2" s="56" t="s">
        <v>143</v>
      </c>
      <c r="G2" s="56" t="s">
        <v>144</v>
      </c>
      <c r="H2" s="56" t="s">
        <v>141</v>
      </c>
      <c r="I2" s="418" t="s">
        <v>723</v>
      </c>
      <c r="J2" s="56" t="s">
        <v>143</v>
      </c>
      <c r="K2" s="56" t="s">
        <v>144</v>
      </c>
      <c r="L2" s="56" t="s">
        <v>141</v>
      </c>
      <c r="M2" s="56" t="s">
        <v>142</v>
      </c>
      <c r="N2" s="418" t="s">
        <v>724</v>
      </c>
      <c r="O2" s="56" t="s">
        <v>141</v>
      </c>
      <c r="P2" s="56" t="s">
        <v>142</v>
      </c>
      <c r="Q2" s="56" t="s">
        <v>143</v>
      </c>
      <c r="R2" s="418" t="s">
        <v>725</v>
      </c>
      <c r="S2" s="56" t="s">
        <v>141</v>
      </c>
      <c r="T2" s="56" t="s">
        <v>142</v>
      </c>
      <c r="U2" s="56" t="s">
        <v>143</v>
      </c>
      <c r="V2" s="56" t="s">
        <v>144</v>
      </c>
      <c r="W2" s="56" t="s">
        <v>141</v>
      </c>
      <c r="X2" s="56" t="s">
        <v>142</v>
      </c>
      <c r="Y2" s="418" t="s">
        <v>726</v>
      </c>
      <c r="Z2" s="56" t="s">
        <v>144</v>
      </c>
      <c r="AA2" s="419" t="s">
        <v>814</v>
      </c>
      <c r="AB2" s="419" t="s">
        <v>815</v>
      </c>
      <c r="AD2" s="418" t="s">
        <v>1126</v>
      </c>
      <c r="AE2" s="335"/>
      <c r="AF2" s="337" t="str">
        <f>IF($AG$1=16,R2,IF($AG$1=17,S2,IF($AG$1=18,T2,IF($AG$1=19,U2,IF($AG$1=20,V2,IF($AG$1=21,W2,IF($AG$1=22,X2,0)))))))</f>
        <v>Q1</v>
      </c>
      <c r="AG2" s="446" t="str">
        <f>IF($AG$1=16,S2,IF($AG$1=17,T2,IF($AG$1=18,U2,IF($AG$1=19,V2,IF($AG$1=20,W2,IF($AG$1=21,X2,IF($AG$1=22,Y2,0)))))))</f>
        <v>Q2</v>
      </c>
      <c r="AH2" s="447" t="s">
        <v>843</v>
      </c>
      <c r="AI2" s="447" t="s">
        <v>832</v>
      </c>
    </row>
    <row r="3" spans="1:35" s="338" customFormat="1">
      <c r="A3" s="39"/>
      <c r="B3" s="38"/>
      <c r="C3" s="456">
        <v>0</v>
      </c>
      <c r="D3" s="456">
        <v>1</v>
      </c>
      <c r="E3" s="456">
        <v>2</v>
      </c>
      <c r="F3" s="456">
        <v>3</v>
      </c>
      <c r="G3" s="456">
        <v>4</v>
      </c>
      <c r="H3" s="456">
        <v>5</v>
      </c>
      <c r="I3" s="456">
        <v>6</v>
      </c>
      <c r="J3" s="456">
        <v>7</v>
      </c>
      <c r="K3" s="456">
        <v>8</v>
      </c>
      <c r="L3" s="456">
        <v>9</v>
      </c>
      <c r="M3" s="456">
        <v>10</v>
      </c>
      <c r="N3" s="456">
        <v>11</v>
      </c>
      <c r="O3" s="456">
        <v>12</v>
      </c>
      <c r="P3" s="456">
        <v>13</v>
      </c>
      <c r="Q3" s="456">
        <v>14</v>
      </c>
      <c r="R3" s="456">
        <v>15</v>
      </c>
      <c r="S3" s="456">
        <v>16</v>
      </c>
      <c r="T3" s="456">
        <v>17</v>
      </c>
      <c r="U3" s="456">
        <v>18</v>
      </c>
      <c r="V3" s="456">
        <v>19</v>
      </c>
      <c r="W3" s="456">
        <v>20</v>
      </c>
      <c r="X3" s="456">
        <v>21</v>
      </c>
      <c r="Y3" s="456">
        <v>22</v>
      </c>
      <c r="Z3" s="456">
        <v>23</v>
      </c>
      <c r="AA3" s="39"/>
      <c r="AB3" s="39"/>
      <c r="AD3" s="448">
        <f>V3</f>
        <v>19</v>
      </c>
      <c r="AE3" s="449"/>
      <c r="AF3" s="448">
        <f t="shared" ref="AF3:AG113" si="0">IF($AG$1=16,R3,IF($AG$1=17,S3,IF($AG$1=18,T3,IF($AG$1=19,U3,IF($AG$1=20,V3,IF($AG$1=21,W3,IF($AG$1=22,X3,0)))))))</f>
        <v>20</v>
      </c>
      <c r="AG3" s="448">
        <f t="shared" si="0"/>
        <v>21</v>
      </c>
    </row>
    <row r="4" spans="1:35" s="338" customFormat="1" hidden="1">
      <c r="A4" s="39"/>
      <c r="B4" s="38"/>
      <c r="C4" s="456"/>
      <c r="D4" s="456"/>
      <c r="E4" s="456"/>
      <c r="F4" s="456"/>
      <c r="G4" s="456"/>
      <c r="H4" s="456"/>
      <c r="I4" s="456"/>
      <c r="J4" s="456"/>
      <c r="K4" s="456"/>
      <c r="L4" s="456"/>
      <c r="M4" s="456"/>
      <c r="N4" s="456"/>
      <c r="O4" s="456"/>
      <c r="P4" s="456"/>
      <c r="Q4" s="456"/>
      <c r="R4" s="456"/>
      <c r="S4" s="456"/>
      <c r="T4" s="456"/>
      <c r="U4" s="456"/>
      <c r="V4" s="456"/>
      <c r="W4" s="456"/>
      <c r="X4" s="456"/>
      <c r="Y4" s="456"/>
      <c r="Z4" s="456"/>
      <c r="AA4" s="39"/>
      <c r="AB4" s="39"/>
      <c r="AD4" s="448"/>
      <c r="AE4" s="449"/>
      <c r="AF4" s="448"/>
      <c r="AG4" s="448"/>
    </row>
    <row r="5" spans="1:35" s="338" customFormat="1" hidden="1">
      <c r="A5" s="39"/>
      <c r="B5" s="38"/>
      <c r="C5" s="456"/>
      <c r="D5" s="456"/>
      <c r="E5" s="456"/>
      <c r="F5" s="456"/>
      <c r="G5" s="456"/>
      <c r="H5" s="456"/>
      <c r="I5" s="456"/>
      <c r="J5" s="456"/>
      <c r="K5" s="456"/>
      <c r="L5" s="456"/>
      <c r="M5" s="456"/>
      <c r="N5" s="456"/>
      <c r="O5" s="456"/>
      <c r="P5" s="456"/>
      <c r="Q5" s="456"/>
      <c r="R5" s="456"/>
      <c r="S5" s="456"/>
      <c r="T5" s="456"/>
      <c r="U5" s="456"/>
      <c r="V5" s="456"/>
      <c r="W5" s="456"/>
      <c r="X5" s="456"/>
      <c r="Y5" s="456"/>
      <c r="Z5" s="456"/>
      <c r="AA5" s="39"/>
      <c r="AB5" s="39"/>
      <c r="AD5" s="448"/>
      <c r="AE5" s="449"/>
      <c r="AF5" s="448"/>
      <c r="AG5" s="448"/>
    </row>
    <row r="6" spans="1:35" s="338" customFormat="1" hidden="1">
      <c r="A6" s="39"/>
      <c r="B6" s="38"/>
      <c r="C6" s="456"/>
      <c r="D6" s="456"/>
      <c r="E6" s="456"/>
      <c r="F6" s="456"/>
      <c r="G6" s="456"/>
      <c r="H6" s="456"/>
      <c r="I6" s="456"/>
      <c r="J6" s="456"/>
      <c r="K6" s="456"/>
      <c r="L6" s="456"/>
      <c r="M6" s="456"/>
      <c r="N6" s="456"/>
      <c r="O6" s="456"/>
      <c r="P6" s="456"/>
      <c r="Q6" s="456"/>
      <c r="R6" s="456"/>
      <c r="S6" s="456"/>
      <c r="T6" s="456"/>
      <c r="U6" s="456"/>
      <c r="V6" s="456"/>
      <c r="W6" s="456"/>
      <c r="X6" s="456"/>
      <c r="Y6" s="456"/>
      <c r="Z6" s="456"/>
      <c r="AA6" s="39"/>
      <c r="AB6" s="39"/>
      <c r="AD6" s="448"/>
      <c r="AE6" s="449"/>
      <c r="AF6" s="448"/>
      <c r="AG6" s="448"/>
    </row>
    <row r="7" spans="1:35" s="338" customFormat="1" hidden="1">
      <c r="A7" s="39"/>
      <c r="B7" s="38"/>
      <c r="C7" s="456"/>
      <c r="D7" s="456"/>
      <c r="E7" s="456"/>
      <c r="F7" s="456"/>
      <c r="G7" s="456"/>
      <c r="H7" s="456"/>
      <c r="I7" s="456"/>
      <c r="J7" s="456"/>
      <c r="K7" s="456"/>
      <c r="L7" s="456"/>
      <c r="M7" s="456"/>
      <c r="N7" s="456"/>
      <c r="O7" s="456"/>
      <c r="P7" s="456"/>
      <c r="Q7" s="456"/>
      <c r="R7" s="456"/>
      <c r="S7" s="456"/>
      <c r="T7" s="456"/>
      <c r="U7" s="456"/>
      <c r="V7" s="456"/>
      <c r="W7" s="456"/>
      <c r="X7" s="456"/>
      <c r="Y7" s="456"/>
      <c r="Z7" s="456"/>
      <c r="AA7" s="39"/>
      <c r="AB7" s="39"/>
      <c r="AD7" s="448"/>
      <c r="AE7" s="449"/>
      <c r="AF7" s="448"/>
      <c r="AG7" s="448"/>
    </row>
    <row r="8" spans="1:35" s="338" customFormat="1" hidden="1">
      <c r="A8" s="39"/>
      <c r="B8" s="38"/>
      <c r="C8" s="456"/>
      <c r="D8" s="456"/>
      <c r="E8" s="456"/>
      <c r="F8" s="456"/>
      <c r="G8" s="456"/>
      <c r="H8" s="456"/>
      <c r="I8" s="456"/>
      <c r="J8" s="456"/>
      <c r="K8" s="456"/>
      <c r="L8" s="456"/>
      <c r="M8" s="456"/>
      <c r="N8" s="456"/>
      <c r="O8" s="456"/>
      <c r="P8" s="456"/>
      <c r="Q8" s="456"/>
      <c r="R8" s="456"/>
      <c r="S8" s="456"/>
      <c r="T8" s="456"/>
      <c r="U8" s="456"/>
      <c r="V8" s="456"/>
      <c r="W8" s="456"/>
      <c r="X8" s="456"/>
      <c r="Y8" s="456"/>
      <c r="Z8" s="456"/>
      <c r="AA8" s="39"/>
      <c r="AB8" s="39"/>
      <c r="AD8" s="448"/>
      <c r="AE8" s="449"/>
      <c r="AF8" s="448"/>
      <c r="AG8" s="448"/>
    </row>
    <row r="9" spans="1:35" s="338" customFormat="1" hidden="1">
      <c r="A9" s="39"/>
      <c r="B9" s="38"/>
      <c r="C9" s="456"/>
      <c r="D9" s="456"/>
      <c r="E9" s="456"/>
      <c r="F9" s="456"/>
      <c r="G9" s="456"/>
      <c r="H9" s="456"/>
      <c r="I9" s="456"/>
      <c r="J9" s="456"/>
      <c r="K9" s="456"/>
      <c r="L9" s="456"/>
      <c r="M9" s="456"/>
      <c r="N9" s="456"/>
      <c r="O9" s="456"/>
      <c r="P9" s="456"/>
      <c r="Q9" s="456"/>
      <c r="R9" s="456"/>
      <c r="S9" s="456"/>
      <c r="T9" s="456"/>
      <c r="U9" s="456"/>
      <c r="V9" s="456"/>
      <c r="W9" s="456"/>
      <c r="X9" s="456"/>
      <c r="Y9" s="456"/>
      <c r="Z9" s="456"/>
      <c r="AA9" s="39"/>
      <c r="AB9" s="39"/>
      <c r="AD9" s="448"/>
      <c r="AE9" s="449"/>
      <c r="AF9" s="448"/>
      <c r="AG9" s="448"/>
    </row>
    <row r="10" spans="1:35" s="338" customFormat="1" hidden="1">
      <c r="A10" s="39"/>
      <c r="B10" s="38"/>
      <c r="C10" s="456"/>
      <c r="D10" s="456"/>
      <c r="E10" s="456"/>
      <c r="F10" s="456"/>
      <c r="G10" s="456"/>
      <c r="H10" s="456"/>
      <c r="I10" s="456"/>
      <c r="J10" s="456"/>
      <c r="K10" s="456"/>
      <c r="L10" s="456"/>
      <c r="M10" s="456"/>
      <c r="N10" s="456"/>
      <c r="O10" s="456"/>
      <c r="P10" s="456"/>
      <c r="Q10" s="456"/>
      <c r="R10" s="456"/>
      <c r="S10" s="456"/>
      <c r="T10" s="456"/>
      <c r="U10" s="456"/>
      <c r="V10" s="456"/>
      <c r="W10" s="456"/>
      <c r="X10" s="456"/>
      <c r="Y10" s="456"/>
      <c r="Z10" s="456"/>
      <c r="AA10" s="39"/>
      <c r="AB10" s="39"/>
      <c r="AD10" s="448"/>
      <c r="AE10" s="449"/>
      <c r="AF10" s="448"/>
      <c r="AG10" s="448"/>
    </row>
    <row r="11" spans="1:35" s="338" customFormat="1" hidden="1">
      <c r="A11" s="39"/>
      <c r="B11" s="38"/>
      <c r="C11" s="456"/>
      <c r="D11" s="456"/>
      <c r="E11" s="456"/>
      <c r="F11" s="456"/>
      <c r="G11" s="456"/>
      <c r="H11" s="456"/>
      <c r="I11" s="456"/>
      <c r="J11" s="456"/>
      <c r="K11" s="456"/>
      <c r="L11" s="456"/>
      <c r="M11" s="456"/>
      <c r="N11" s="456"/>
      <c r="O11" s="456"/>
      <c r="P11" s="456"/>
      <c r="Q11" s="456"/>
      <c r="R11" s="456"/>
      <c r="S11" s="456"/>
      <c r="T11" s="456"/>
      <c r="U11" s="456"/>
      <c r="V11" s="456"/>
      <c r="W11" s="456"/>
      <c r="X11" s="456"/>
      <c r="Y11" s="456"/>
      <c r="Z11" s="456"/>
      <c r="AA11" s="39"/>
      <c r="AB11" s="39"/>
      <c r="AD11" s="448"/>
      <c r="AE11" s="449"/>
      <c r="AF11" s="448"/>
      <c r="AG11" s="448"/>
    </row>
    <row r="12" spans="1:35" s="338" customFormat="1" hidden="1">
      <c r="A12" s="39"/>
      <c r="B12" s="38"/>
      <c r="C12" s="456"/>
      <c r="D12" s="456"/>
      <c r="E12" s="456"/>
      <c r="F12" s="456"/>
      <c r="G12" s="456"/>
      <c r="H12" s="456"/>
      <c r="I12" s="456"/>
      <c r="J12" s="456"/>
      <c r="K12" s="456"/>
      <c r="L12" s="456"/>
      <c r="M12" s="456"/>
      <c r="N12" s="456"/>
      <c r="O12" s="456"/>
      <c r="P12" s="456"/>
      <c r="Q12" s="456"/>
      <c r="R12" s="456"/>
      <c r="S12" s="456"/>
      <c r="T12" s="456"/>
      <c r="U12" s="456"/>
      <c r="V12" s="456"/>
      <c r="W12" s="456"/>
      <c r="X12" s="456"/>
      <c r="Y12" s="456"/>
      <c r="Z12" s="456"/>
      <c r="AA12" s="39"/>
      <c r="AB12" s="39"/>
      <c r="AD12" s="448"/>
      <c r="AE12" s="449"/>
      <c r="AF12" s="448"/>
      <c r="AG12" s="448"/>
    </row>
    <row r="13" spans="1:35" s="338" customFormat="1" hidden="1">
      <c r="A13" s="39"/>
      <c r="B13" s="38"/>
      <c r="C13" s="456"/>
      <c r="D13" s="456"/>
      <c r="E13" s="456"/>
      <c r="F13" s="456"/>
      <c r="G13" s="456"/>
      <c r="H13" s="456"/>
      <c r="I13" s="456"/>
      <c r="J13" s="456"/>
      <c r="K13" s="456"/>
      <c r="L13" s="456"/>
      <c r="M13" s="456"/>
      <c r="N13" s="456"/>
      <c r="O13" s="456"/>
      <c r="P13" s="456"/>
      <c r="Q13" s="456"/>
      <c r="R13" s="456"/>
      <c r="S13" s="456"/>
      <c r="T13" s="456"/>
      <c r="U13" s="456"/>
      <c r="V13" s="456"/>
      <c r="W13" s="456"/>
      <c r="X13" s="456"/>
      <c r="Y13" s="456"/>
      <c r="Z13" s="456"/>
      <c r="AA13" s="39"/>
      <c r="AB13" s="39"/>
      <c r="AD13" s="448"/>
      <c r="AE13" s="449"/>
      <c r="AF13" s="448"/>
      <c r="AG13" s="448"/>
    </row>
    <row r="14" spans="1:35" s="338" customFormat="1" hidden="1">
      <c r="A14" s="39"/>
      <c r="B14" s="38"/>
      <c r="C14" s="456"/>
      <c r="D14" s="456"/>
      <c r="E14" s="456"/>
      <c r="F14" s="456"/>
      <c r="G14" s="456"/>
      <c r="H14" s="456"/>
      <c r="I14" s="456"/>
      <c r="J14" s="456"/>
      <c r="K14" s="456"/>
      <c r="L14" s="456"/>
      <c r="M14" s="456"/>
      <c r="N14" s="456"/>
      <c r="O14" s="456"/>
      <c r="P14" s="456"/>
      <c r="Q14" s="456"/>
      <c r="R14" s="456"/>
      <c r="S14" s="456"/>
      <c r="T14" s="456"/>
      <c r="U14" s="456"/>
      <c r="V14" s="456"/>
      <c r="W14" s="456"/>
      <c r="X14" s="456"/>
      <c r="Y14" s="456"/>
      <c r="Z14" s="456"/>
      <c r="AA14" s="39"/>
      <c r="AB14" s="39"/>
      <c r="AD14" s="448"/>
      <c r="AE14" s="449"/>
      <c r="AF14" s="448"/>
      <c r="AG14" s="448"/>
    </row>
    <row r="15" spans="1:35" s="338" customFormat="1" hidden="1">
      <c r="A15" s="39"/>
      <c r="B15" s="38"/>
      <c r="C15" s="456"/>
      <c r="D15" s="456"/>
      <c r="E15" s="456"/>
      <c r="F15" s="456"/>
      <c r="G15" s="456"/>
      <c r="H15" s="456"/>
      <c r="I15" s="456"/>
      <c r="J15" s="456"/>
      <c r="K15" s="456"/>
      <c r="L15" s="456"/>
      <c r="M15" s="456"/>
      <c r="N15" s="456"/>
      <c r="O15" s="456"/>
      <c r="P15" s="456"/>
      <c r="Q15" s="456"/>
      <c r="R15" s="456"/>
      <c r="S15" s="456"/>
      <c r="T15" s="456"/>
      <c r="U15" s="456"/>
      <c r="V15" s="456"/>
      <c r="W15" s="456"/>
      <c r="X15" s="456"/>
      <c r="Y15" s="456"/>
      <c r="Z15" s="456"/>
      <c r="AA15" s="39"/>
      <c r="AB15" s="39"/>
      <c r="AD15" s="448"/>
      <c r="AE15" s="449"/>
      <c r="AF15" s="448"/>
      <c r="AG15" s="448"/>
    </row>
    <row r="16" spans="1:35" s="338" customFormat="1" hidden="1">
      <c r="A16" s="39"/>
      <c r="B16" s="38"/>
      <c r="C16" s="456"/>
      <c r="D16" s="456"/>
      <c r="E16" s="456"/>
      <c r="F16" s="456"/>
      <c r="G16" s="456"/>
      <c r="H16" s="456"/>
      <c r="I16" s="456"/>
      <c r="J16" s="456"/>
      <c r="K16" s="456"/>
      <c r="L16" s="456"/>
      <c r="M16" s="456"/>
      <c r="N16" s="456"/>
      <c r="O16" s="456"/>
      <c r="P16" s="456"/>
      <c r="Q16" s="456"/>
      <c r="R16" s="456"/>
      <c r="S16" s="456"/>
      <c r="T16" s="456"/>
      <c r="U16" s="456"/>
      <c r="V16" s="456"/>
      <c r="W16" s="456"/>
      <c r="X16" s="456"/>
      <c r="Y16" s="456"/>
      <c r="Z16" s="456"/>
      <c r="AA16" s="39"/>
      <c r="AB16" s="39"/>
      <c r="AD16" s="448"/>
      <c r="AE16" s="449"/>
      <c r="AF16" s="448"/>
      <c r="AG16" s="448"/>
    </row>
    <row r="17" spans="1:33" s="338" customFormat="1" hidden="1">
      <c r="A17" s="39"/>
      <c r="B17" s="38"/>
      <c r="C17" s="456"/>
      <c r="D17" s="456"/>
      <c r="E17" s="456"/>
      <c r="F17" s="456"/>
      <c r="G17" s="456"/>
      <c r="H17" s="456"/>
      <c r="I17" s="456"/>
      <c r="J17" s="456"/>
      <c r="K17" s="456"/>
      <c r="L17" s="456"/>
      <c r="M17" s="456"/>
      <c r="N17" s="456"/>
      <c r="O17" s="456"/>
      <c r="P17" s="456"/>
      <c r="Q17" s="456"/>
      <c r="R17" s="456"/>
      <c r="S17" s="456"/>
      <c r="T17" s="456"/>
      <c r="U17" s="456"/>
      <c r="V17" s="456"/>
      <c r="W17" s="456"/>
      <c r="X17" s="456"/>
      <c r="Y17" s="456"/>
      <c r="Z17" s="456"/>
      <c r="AA17" s="39"/>
      <c r="AB17" s="39"/>
      <c r="AD17" s="448"/>
      <c r="AE17" s="449"/>
      <c r="AF17" s="448"/>
      <c r="AG17" s="448"/>
    </row>
    <row r="18" spans="1:33" s="338" customFormat="1" hidden="1">
      <c r="A18" s="39"/>
      <c r="B18" s="38"/>
      <c r="C18" s="456"/>
      <c r="D18" s="456"/>
      <c r="E18" s="456"/>
      <c r="F18" s="456"/>
      <c r="G18" s="456"/>
      <c r="H18" s="456"/>
      <c r="I18" s="456"/>
      <c r="J18" s="456"/>
      <c r="K18" s="456"/>
      <c r="L18" s="456"/>
      <c r="M18" s="456"/>
      <c r="N18" s="456"/>
      <c r="O18" s="456"/>
      <c r="P18" s="456"/>
      <c r="Q18" s="456"/>
      <c r="R18" s="456"/>
      <c r="S18" s="456"/>
      <c r="T18" s="456"/>
      <c r="U18" s="456"/>
      <c r="V18" s="456"/>
      <c r="W18" s="456"/>
      <c r="X18" s="456"/>
      <c r="Y18" s="456"/>
      <c r="Z18" s="456"/>
      <c r="AA18" s="39"/>
      <c r="AB18" s="39"/>
      <c r="AD18" s="448"/>
      <c r="AE18" s="449"/>
      <c r="AF18" s="448"/>
      <c r="AG18" s="448"/>
    </row>
    <row r="19" spans="1:33" s="338" customFormat="1" hidden="1">
      <c r="A19" s="39"/>
      <c r="B19" s="38"/>
      <c r="C19" s="456"/>
      <c r="D19" s="456"/>
      <c r="E19" s="456"/>
      <c r="F19" s="456"/>
      <c r="G19" s="456"/>
      <c r="H19" s="456"/>
      <c r="I19" s="456"/>
      <c r="J19" s="456"/>
      <c r="K19" s="456"/>
      <c r="L19" s="456"/>
      <c r="M19" s="456"/>
      <c r="N19" s="456"/>
      <c r="O19" s="456"/>
      <c r="P19" s="456"/>
      <c r="Q19" s="456"/>
      <c r="R19" s="456"/>
      <c r="S19" s="456"/>
      <c r="T19" s="456"/>
      <c r="U19" s="456"/>
      <c r="V19" s="456"/>
      <c r="W19" s="456"/>
      <c r="X19" s="456"/>
      <c r="Y19" s="456"/>
      <c r="Z19" s="456"/>
      <c r="AA19" s="39"/>
      <c r="AB19" s="39"/>
      <c r="AD19" s="448"/>
      <c r="AE19" s="449"/>
      <c r="AF19" s="448"/>
      <c r="AG19" s="448"/>
    </row>
    <row r="20" spans="1:33" s="338" customFormat="1" hidden="1">
      <c r="A20" s="39"/>
      <c r="B20" s="38"/>
      <c r="C20" s="456"/>
      <c r="D20" s="456"/>
      <c r="E20" s="456"/>
      <c r="F20" s="456"/>
      <c r="G20" s="456"/>
      <c r="H20" s="456"/>
      <c r="I20" s="456"/>
      <c r="J20" s="456"/>
      <c r="K20" s="456"/>
      <c r="L20" s="456"/>
      <c r="M20" s="456"/>
      <c r="N20" s="456"/>
      <c r="O20" s="456"/>
      <c r="P20" s="456"/>
      <c r="Q20" s="456"/>
      <c r="R20" s="456"/>
      <c r="S20" s="456"/>
      <c r="T20" s="456"/>
      <c r="U20" s="456"/>
      <c r="V20" s="456"/>
      <c r="W20" s="456"/>
      <c r="X20" s="456"/>
      <c r="Y20" s="456"/>
      <c r="Z20" s="456"/>
      <c r="AA20" s="39"/>
      <c r="AB20" s="39"/>
      <c r="AD20" s="448"/>
      <c r="AE20" s="449"/>
      <c r="AF20" s="448"/>
      <c r="AG20" s="448"/>
    </row>
    <row r="21" spans="1:33" s="338" customFormat="1" hidden="1">
      <c r="A21" s="39"/>
      <c r="B21" s="38"/>
      <c r="C21" s="456"/>
      <c r="D21" s="456"/>
      <c r="E21" s="456"/>
      <c r="F21" s="456"/>
      <c r="G21" s="456"/>
      <c r="H21" s="456"/>
      <c r="I21" s="456"/>
      <c r="J21" s="456"/>
      <c r="K21" s="456"/>
      <c r="L21" s="456"/>
      <c r="M21" s="456"/>
      <c r="N21" s="456"/>
      <c r="O21" s="456"/>
      <c r="P21" s="456"/>
      <c r="Q21" s="456"/>
      <c r="R21" s="456"/>
      <c r="S21" s="456"/>
      <c r="T21" s="456"/>
      <c r="U21" s="456"/>
      <c r="V21" s="456"/>
      <c r="W21" s="456"/>
      <c r="X21" s="456"/>
      <c r="Y21" s="456"/>
      <c r="Z21" s="456"/>
      <c r="AA21" s="39"/>
      <c r="AB21" s="39"/>
      <c r="AD21" s="448"/>
      <c r="AE21" s="449"/>
      <c r="AF21" s="448"/>
      <c r="AG21" s="448"/>
    </row>
    <row r="22" spans="1:33" s="338" customFormat="1" hidden="1">
      <c r="A22" s="39"/>
      <c r="B22" s="38"/>
      <c r="C22" s="456"/>
      <c r="D22" s="456"/>
      <c r="E22" s="456"/>
      <c r="F22" s="456"/>
      <c r="G22" s="456"/>
      <c r="H22" s="456"/>
      <c r="I22" s="456"/>
      <c r="J22" s="456"/>
      <c r="K22" s="456"/>
      <c r="L22" s="456"/>
      <c r="M22" s="456"/>
      <c r="N22" s="456"/>
      <c r="O22" s="456"/>
      <c r="P22" s="456"/>
      <c r="Q22" s="456"/>
      <c r="R22" s="456"/>
      <c r="S22" s="456"/>
      <c r="T22" s="456"/>
      <c r="U22" s="456"/>
      <c r="V22" s="456"/>
      <c r="W22" s="456"/>
      <c r="X22" s="456"/>
      <c r="Y22" s="456"/>
      <c r="Z22" s="456"/>
      <c r="AA22" s="39"/>
      <c r="AB22" s="39"/>
      <c r="AD22" s="448"/>
      <c r="AE22" s="449"/>
      <c r="AF22" s="448"/>
      <c r="AG22" s="448"/>
    </row>
    <row r="23" spans="1:33" s="338" customFormat="1" hidden="1">
      <c r="A23" s="39"/>
      <c r="B23" s="38"/>
      <c r="C23" s="456"/>
      <c r="D23" s="456"/>
      <c r="E23" s="456"/>
      <c r="F23" s="456"/>
      <c r="G23" s="456"/>
      <c r="H23" s="456"/>
      <c r="I23" s="456"/>
      <c r="J23" s="456"/>
      <c r="K23" s="456"/>
      <c r="L23" s="456"/>
      <c r="M23" s="456"/>
      <c r="N23" s="456"/>
      <c r="O23" s="456"/>
      <c r="P23" s="456"/>
      <c r="Q23" s="456"/>
      <c r="R23" s="456"/>
      <c r="S23" s="456"/>
      <c r="T23" s="456"/>
      <c r="U23" s="456"/>
      <c r="V23" s="456"/>
      <c r="W23" s="456"/>
      <c r="X23" s="456"/>
      <c r="Y23" s="456"/>
      <c r="Z23" s="456"/>
      <c r="AA23" s="39"/>
      <c r="AB23" s="39"/>
      <c r="AD23" s="448"/>
      <c r="AE23" s="449"/>
      <c r="AF23" s="448"/>
      <c r="AG23" s="448"/>
    </row>
    <row r="24" spans="1:33" s="338" customFormat="1" hidden="1">
      <c r="A24" s="39"/>
      <c r="B24" s="38"/>
      <c r="C24" s="456"/>
      <c r="D24" s="456"/>
      <c r="E24" s="456"/>
      <c r="F24" s="456"/>
      <c r="G24" s="456"/>
      <c r="H24" s="456"/>
      <c r="I24" s="456"/>
      <c r="J24" s="456"/>
      <c r="K24" s="456"/>
      <c r="L24" s="456"/>
      <c r="M24" s="456"/>
      <c r="N24" s="456"/>
      <c r="O24" s="456"/>
      <c r="P24" s="456"/>
      <c r="Q24" s="456"/>
      <c r="R24" s="456"/>
      <c r="S24" s="456"/>
      <c r="T24" s="456"/>
      <c r="U24" s="456"/>
      <c r="V24" s="456"/>
      <c r="W24" s="456"/>
      <c r="X24" s="456"/>
      <c r="Y24" s="456"/>
      <c r="Z24" s="456"/>
      <c r="AA24" s="39"/>
      <c r="AB24" s="39"/>
      <c r="AD24" s="448"/>
      <c r="AE24" s="449"/>
      <c r="AF24" s="448"/>
      <c r="AG24" s="448"/>
    </row>
    <row r="25" spans="1:33" s="338" customFormat="1" hidden="1">
      <c r="A25" s="39"/>
      <c r="B25" s="38"/>
      <c r="C25" s="456"/>
      <c r="D25" s="456"/>
      <c r="E25" s="456"/>
      <c r="F25" s="456"/>
      <c r="G25" s="456"/>
      <c r="H25" s="456"/>
      <c r="I25" s="456"/>
      <c r="J25" s="456"/>
      <c r="K25" s="456"/>
      <c r="L25" s="456"/>
      <c r="M25" s="456"/>
      <c r="N25" s="456"/>
      <c r="O25" s="456"/>
      <c r="P25" s="456"/>
      <c r="Q25" s="456"/>
      <c r="R25" s="456"/>
      <c r="S25" s="456"/>
      <c r="T25" s="456"/>
      <c r="U25" s="456"/>
      <c r="V25" s="456"/>
      <c r="W25" s="456"/>
      <c r="X25" s="456"/>
      <c r="Y25" s="456"/>
      <c r="Z25" s="456"/>
      <c r="AA25" s="39"/>
      <c r="AB25" s="39"/>
      <c r="AD25" s="448"/>
      <c r="AE25" s="449"/>
      <c r="AF25" s="448"/>
      <c r="AG25" s="448"/>
    </row>
    <row r="26" spans="1:33" s="338" customFormat="1" hidden="1">
      <c r="A26" s="39"/>
      <c r="B26" s="38"/>
      <c r="C26" s="456"/>
      <c r="D26" s="456"/>
      <c r="E26" s="456"/>
      <c r="F26" s="456"/>
      <c r="G26" s="456"/>
      <c r="H26" s="456"/>
      <c r="I26" s="456"/>
      <c r="J26" s="456"/>
      <c r="K26" s="456"/>
      <c r="L26" s="456"/>
      <c r="M26" s="456"/>
      <c r="N26" s="456"/>
      <c r="O26" s="456"/>
      <c r="P26" s="456"/>
      <c r="Q26" s="456"/>
      <c r="R26" s="456"/>
      <c r="S26" s="456"/>
      <c r="T26" s="456"/>
      <c r="U26" s="456"/>
      <c r="V26" s="456"/>
      <c r="W26" s="456"/>
      <c r="X26" s="456"/>
      <c r="Y26" s="456"/>
      <c r="Z26" s="456"/>
      <c r="AA26" s="39"/>
      <c r="AB26" s="39"/>
      <c r="AD26" s="448"/>
      <c r="AE26" s="449"/>
      <c r="AF26" s="448"/>
      <c r="AG26" s="448"/>
    </row>
    <row r="27" spans="1:33" s="338" customFormat="1" hidden="1">
      <c r="A27" s="39"/>
      <c r="B27" s="38"/>
      <c r="C27" s="456"/>
      <c r="D27" s="456"/>
      <c r="E27" s="456"/>
      <c r="F27" s="456"/>
      <c r="G27" s="456"/>
      <c r="H27" s="456"/>
      <c r="I27" s="456"/>
      <c r="J27" s="456"/>
      <c r="K27" s="456"/>
      <c r="L27" s="456"/>
      <c r="M27" s="456"/>
      <c r="N27" s="456"/>
      <c r="O27" s="456"/>
      <c r="P27" s="456"/>
      <c r="Q27" s="456"/>
      <c r="R27" s="456"/>
      <c r="S27" s="456"/>
      <c r="T27" s="456"/>
      <c r="U27" s="456"/>
      <c r="V27" s="456"/>
      <c r="W27" s="456"/>
      <c r="X27" s="456"/>
      <c r="Y27" s="456"/>
      <c r="Z27" s="456"/>
      <c r="AA27" s="39"/>
      <c r="AB27" s="39"/>
      <c r="AD27" s="448"/>
      <c r="AE27" s="449"/>
      <c r="AF27" s="448"/>
      <c r="AG27" s="448"/>
    </row>
    <row r="28" spans="1:33" s="338" customFormat="1" hidden="1">
      <c r="A28" s="39"/>
      <c r="B28" s="38"/>
      <c r="C28" s="456"/>
      <c r="D28" s="456"/>
      <c r="E28" s="456"/>
      <c r="F28" s="456"/>
      <c r="G28" s="456"/>
      <c r="H28" s="456"/>
      <c r="I28" s="456"/>
      <c r="J28" s="456"/>
      <c r="K28" s="456"/>
      <c r="L28" s="456"/>
      <c r="M28" s="456"/>
      <c r="N28" s="456"/>
      <c r="O28" s="456"/>
      <c r="P28" s="456"/>
      <c r="Q28" s="456"/>
      <c r="R28" s="456"/>
      <c r="S28" s="456"/>
      <c r="T28" s="456"/>
      <c r="U28" s="456"/>
      <c r="V28" s="456"/>
      <c r="W28" s="456"/>
      <c r="X28" s="456"/>
      <c r="Y28" s="456"/>
      <c r="Z28" s="456"/>
      <c r="AA28" s="39"/>
      <c r="AB28" s="39"/>
      <c r="AD28" s="448"/>
      <c r="AE28" s="449"/>
      <c r="AF28" s="448"/>
      <c r="AG28" s="448"/>
    </row>
    <row r="29" spans="1:33" s="338" customFormat="1" hidden="1">
      <c r="A29" s="39"/>
      <c r="B29" s="38"/>
      <c r="C29" s="456"/>
      <c r="D29" s="456"/>
      <c r="E29" s="456"/>
      <c r="F29" s="456"/>
      <c r="G29" s="456"/>
      <c r="H29" s="456"/>
      <c r="I29" s="456"/>
      <c r="J29" s="456"/>
      <c r="K29" s="456"/>
      <c r="L29" s="456"/>
      <c r="M29" s="456"/>
      <c r="N29" s="456"/>
      <c r="O29" s="456"/>
      <c r="P29" s="456"/>
      <c r="Q29" s="456"/>
      <c r="R29" s="456"/>
      <c r="S29" s="456"/>
      <c r="T29" s="456"/>
      <c r="U29" s="456"/>
      <c r="V29" s="456"/>
      <c r="W29" s="456"/>
      <c r="X29" s="456"/>
      <c r="Y29" s="456"/>
      <c r="Z29" s="456"/>
      <c r="AA29" s="39"/>
      <c r="AB29" s="39"/>
      <c r="AD29" s="448"/>
      <c r="AE29" s="449"/>
      <c r="AF29" s="448"/>
      <c r="AG29" s="448"/>
    </row>
    <row r="30" spans="1:33" s="338" customFormat="1" hidden="1">
      <c r="A30" s="39"/>
      <c r="B30" s="38"/>
      <c r="C30" s="456"/>
      <c r="D30" s="456"/>
      <c r="E30" s="456"/>
      <c r="F30" s="456"/>
      <c r="G30" s="456"/>
      <c r="H30" s="456"/>
      <c r="I30" s="456"/>
      <c r="J30" s="456"/>
      <c r="K30" s="456"/>
      <c r="L30" s="456"/>
      <c r="M30" s="456"/>
      <c r="N30" s="456"/>
      <c r="O30" s="456"/>
      <c r="P30" s="456"/>
      <c r="Q30" s="456"/>
      <c r="R30" s="456"/>
      <c r="S30" s="456"/>
      <c r="T30" s="456"/>
      <c r="U30" s="456"/>
      <c r="V30" s="456"/>
      <c r="W30" s="456"/>
      <c r="X30" s="456"/>
      <c r="Y30" s="456"/>
      <c r="Z30" s="456"/>
      <c r="AA30" s="39"/>
      <c r="AB30" s="39"/>
      <c r="AD30" s="448"/>
      <c r="AE30" s="449"/>
      <c r="AF30" s="448"/>
      <c r="AG30" s="448"/>
    </row>
    <row r="31" spans="1:33" s="338" customFormat="1" hidden="1">
      <c r="A31" s="39"/>
      <c r="B31" s="38"/>
      <c r="C31" s="456"/>
      <c r="D31" s="456"/>
      <c r="E31" s="456"/>
      <c r="F31" s="456"/>
      <c r="G31" s="456"/>
      <c r="H31" s="456"/>
      <c r="I31" s="456"/>
      <c r="J31" s="456"/>
      <c r="K31" s="456"/>
      <c r="L31" s="456"/>
      <c r="M31" s="456"/>
      <c r="N31" s="456"/>
      <c r="O31" s="456"/>
      <c r="P31" s="456"/>
      <c r="Q31" s="456"/>
      <c r="R31" s="456"/>
      <c r="S31" s="456"/>
      <c r="T31" s="456"/>
      <c r="U31" s="456"/>
      <c r="V31" s="456"/>
      <c r="W31" s="456"/>
      <c r="X31" s="456"/>
      <c r="Y31" s="456"/>
      <c r="Z31" s="456"/>
      <c r="AA31" s="39"/>
      <c r="AB31" s="39"/>
      <c r="AD31" s="448"/>
      <c r="AE31" s="449"/>
      <c r="AF31" s="448"/>
      <c r="AG31" s="448"/>
    </row>
    <row r="32" spans="1:33" s="338" customFormat="1" hidden="1">
      <c r="A32" s="39"/>
      <c r="B32" s="38"/>
      <c r="C32" s="456"/>
      <c r="D32" s="456"/>
      <c r="E32" s="456"/>
      <c r="F32" s="456"/>
      <c r="G32" s="456"/>
      <c r="H32" s="456"/>
      <c r="I32" s="456"/>
      <c r="J32" s="456"/>
      <c r="K32" s="456"/>
      <c r="L32" s="456"/>
      <c r="M32" s="456"/>
      <c r="N32" s="456"/>
      <c r="O32" s="456"/>
      <c r="P32" s="456"/>
      <c r="Q32" s="456"/>
      <c r="R32" s="456"/>
      <c r="S32" s="456"/>
      <c r="T32" s="456"/>
      <c r="U32" s="456"/>
      <c r="V32" s="456"/>
      <c r="W32" s="456"/>
      <c r="X32" s="456"/>
      <c r="Y32" s="456"/>
      <c r="Z32" s="456"/>
      <c r="AA32" s="39"/>
      <c r="AB32" s="39"/>
      <c r="AD32" s="448"/>
      <c r="AE32" s="449"/>
      <c r="AF32" s="448"/>
      <c r="AG32" s="448"/>
    </row>
    <row r="33" spans="1:33" s="338" customFormat="1" hidden="1">
      <c r="A33" s="39"/>
      <c r="B33" s="38"/>
      <c r="C33" s="456"/>
      <c r="D33" s="456"/>
      <c r="E33" s="456"/>
      <c r="F33" s="456"/>
      <c r="G33" s="456"/>
      <c r="H33" s="456"/>
      <c r="I33" s="456"/>
      <c r="J33" s="456"/>
      <c r="K33" s="456"/>
      <c r="L33" s="456"/>
      <c r="M33" s="456"/>
      <c r="N33" s="456"/>
      <c r="O33" s="456"/>
      <c r="P33" s="456"/>
      <c r="Q33" s="456"/>
      <c r="R33" s="456"/>
      <c r="S33" s="456"/>
      <c r="T33" s="456"/>
      <c r="U33" s="456"/>
      <c r="V33" s="456"/>
      <c r="W33" s="456"/>
      <c r="X33" s="456"/>
      <c r="Y33" s="456"/>
      <c r="Z33" s="456"/>
      <c r="AA33" s="39"/>
      <c r="AB33" s="39"/>
      <c r="AD33" s="448"/>
      <c r="AE33" s="449"/>
      <c r="AF33" s="448"/>
      <c r="AG33" s="448"/>
    </row>
    <row r="34" spans="1:33" s="338" customFormat="1" hidden="1">
      <c r="A34" s="39"/>
      <c r="B34" s="38"/>
      <c r="C34" s="456"/>
      <c r="D34" s="456"/>
      <c r="E34" s="456"/>
      <c r="F34" s="456"/>
      <c r="G34" s="456"/>
      <c r="H34" s="456"/>
      <c r="I34" s="456"/>
      <c r="J34" s="456"/>
      <c r="K34" s="456"/>
      <c r="L34" s="456"/>
      <c r="M34" s="456"/>
      <c r="N34" s="456"/>
      <c r="O34" s="456"/>
      <c r="P34" s="456"/>
      <c r="Q34" s="456"/>
      <c r="R34" s="456"/>
      <c r="S34" s="456"/>
      <c r="T34" s="456"/>
      <c r="U34" s="456"/>
      <c r="V34" s="456"/>
      <c r="W34" s="456"/>
      <c r="X34" s="456"/>
      <c r="Y34" s="456"/>
      <c r="Z34" s="456"/>
      <c r="AA34" s="39"/>
      <c r="AB34" s="39"/>
      <c r="AD34" s="448"/>
      <c r="AE34" s="449"/>
      <c r="AF34" s="448"/>
      <c r="AG34" s="448"/>
    </row>
    <row r="35" spans="1:33" s="338" customFormat="1" hidden="1">
      <c r="A35" s="39"/>
      <c r="B35" s="38"/>
      <c r="C35" s="456"/>
      <c r="D35" s="456"/>
      <c r="E35" s="456"/>
      <c r="F35" s="456"/>
      <c r="G35" s="456"/>
      <c r="H35" s="456"/>
      <c r="I35" s="456"/>
      <c r="J35" s="456"/>
      <c r="K35" s="456"/>
      <c r="L35" s="456"/>
      <c r="M35" s="456"/>
      <c r="N35" s="456"/>
      <c r="O35" s="456"/>
      <c r="P35" s="456"/>
      <c r="Q35" s="456"/>
      <c r="R35" s="456"/>
      <c r="S35" s="456"/>
      <c r="T35" s="456"/>
      <c r="U35" s="456"/>
      <c r="V35" s="456"/>
      <c r="W35" s="456"/>
      <c r="X35" s="456"/>
      <c r="Y35" s="456"/>
      <c r="Z35" s="456"/>
      <c r="AA35" s="39"/>
      <c r="AB35" s="39"/>
      <c r="AD35" s="448"/>
      <c r="AE35" s="449"/>
      <c r="AF35" s="448"/>
      <c r="AG35" s="448"/>
    </row>
    <row r="36" spans="1:33" s="338" customFormat="1" hidden="1">
      <c r="A36" s="39"/>
      <c r="B36" s="38"/>
      <c r="C36" s="456"/>
      <c r="D36" s="456"/>
      <c r="E36" s="456"/>
      <c r="F36" s="456"/>
      <c r="G36" s="456"/>
      <c r="H36" s="456"/>
      <c r="I36" s="456"/>
      <c r="J36" s="456"/>
      <c r="K36" s="456"/>
      <c r="L36" s="456"/>
      <c r="M36" s="456"/>
      <c r="N36" s="456"/>
      <c r="O36" s="456"/>
      <c r="P36" s="456"/>
      <c r="Q36" s="456"/>
      <c r="R36" s="456"/>
      <c r="S36" s="456"/>
      <c r="T36" s="456"/>
      <c r="U36" s="456"/>
      <c r="V36" s="456"/>
      <c r="W36" s="456"/>
      <c r="X36" s="456"/>
      <c r="Y36" s="456"/>
      <c r="Z36" s="456"/>
      <c r="AA36" s="39"/>
      <c r="AB36" s="39"/>
      <c r="AD36" s="448"/>
      <c r="AE36" s="449"/>
      <c r="AF36" s="448"/>
      <c r="AG36" s="448"/>
    </row>
    <row r="37" spans="1:33" s="338" customFormat="1" hidden="1">
      <c r="A37" s="39"/>
      <c r="B37" s="38"/>
      <c r="C37" s="456"/>
      <c r="D37" s="456"/>
      <c r="E37" s="456"/>
      <c r="F37" s="456"/>
      <c r="G37" s="456"/>
      <c r="H37" s="456"/>
      <c r="I37" s="456"/>
      <c r="J37" s="456"/>
      <c r="K37" s="456"/>
      <c r="L37" s="456"/>
      <c r="M37" s="456"/>
      <c r="N37" s="456"/>
      <c r="O37" s="456"/>
      <c r="P37" s="456"/>
      <c r="Q37" s="456"/>
      <c r="R37" s="456"/>
      <c r="S37" s="456"/>
      <c r="T37" s="456"/>
      <c r="U37" s="456"/>
      <c r="V37" s="456"/>
      <c r="W37" s="456"/>
      <c r="X37" s="456"/>
      <c r="Y37" s="456"/>
      <c r="Z37" s="456"/>
      <c r="AA37" s="39"/>
      <c r="AB37" s="39"/>
      <c r="AD37" s="448"/>
      <c r="AE37" s="449"/>
      <c r="AF37" s="448"/>
      <c r="AG37" s="448"/>
    </row>
    <row r="38" spans="1:33" s="338" customFormat="1" hidden="1">
      <c r="A38" s="39"/>
      <c r="B38" s="38"/>
      <c r="C38" s="456"/>
      <c r="D38" s="456"/>
      <c r="E38" s="456"/>
      <c r="F38" s="456"/>
      <c r="G38" s="456"/>
      <c r="H38" s="456"/>
      <c r="I38" s="456"/>
      <c r="J38" s="456"/>
      <c r="K38" s="456"/>
      <c r="L38" s="456"/>
      <c r="M38" s="456"/>
      <c r="N38" s="456"/>
      <c r="O38" s="456"/>
      <c r="P38" s="456"/>
      <c r="Q38" s="456"/>
      <c r="R38" s="456"/>
      <c r="S38" s="456"/>
      <c r="T38" s="456"/>
      <c r="U38" s="456"/>
      <c r="V38" s="456"/>
      <c r="W38" s="456"/>
      <c r="X38" s="456"/>
      <c r="Y38" s="456"/>
      <c r="Z38" s="456"/>
      <c r="AA38" s="39"/>
      <c r="AB38" s="39"/>
      <c r="AD38" s="448"/>
      <c r="AE38" s="449"/>
      <c r="AF38" s="448"/>
      <c r="AG38" s="448"/>
    </row>
    <row r="39" spans="1:33" s="338" customFormat="1" hidden="1">
      <c r="A39" s="39"/>
      <c r="B39" s="38"/>
      <c r="C39" s="456"/>
      <c r="D39" s="456"/>
      <c r="E39" s="456"/>
      <c r="F39" s="456"/>
      <c r="G39" s="456"/>
      <c r="H39" s="456"/>
      <c r="I39" s="456"/>
      <c r="J39" s="456"/>
      <c r="K39" s="456"/>
      <c r="L39" s="456"/>
      <c r="M39" s="456"/>
      <c r="N39" s="456"/>
      <c r="O39" s="456"/>
      <c r="P39" s="456"/>
      <c r="Q39" s="456"/>
      <c r="R39" s="456"/>
      <c r="S39" s="456"/>
      <c r="T39" s="456"/>
      <c r="U39" s="456"/>
      <c r="V39" s="456"/>
      <c r="W39" s="456"/>
      <c r="X39" s="456"/>
      <c r="Y39" s="456"/>
      <c r="Z39" s="456"/>
      <c r="AA39" s="39"/>
      <c r="AB39" s="39"/>
      <c r="AD39" s="448"/>
      <c r="AE39" s="449"/>
      <c r="AF39" s="448"/>
      <c r="AG39" s="448"/>
    </row>
    <row r="40" spans="1:33" s="338" customFormat="1" hidden="1">
      <c r="A40" s="39"/>
      <c r="B40" s="38"/>
      <c r="C40" s="456"/>
      <c r="D40" s="456"/>
      <c r="E40" s="456"/>
      <c r="F40" s="456"/>
      <c r="G40" s="456"/>
      <c r="H40" s="456"/>
      <c r="I40" s="456"/>
      <c r="J40" s="456"/>
      <c r="K40" s="456"/>
      <c r="L40" s="456"/>
      <c r="M40" s="456"/>
      <c r="N40" s="456"/>
      <c r="O40" s="456"/>
      <c r="P40" s="456"/>
      <c r="Q40" s="456"/>
      <c r="R40" s="456"/>
      <c r="S40" s="456"/>
      <c r="T40" s="456"/>
      <c r="U40" s="456"/>
      <c r="V40" s="456"/>
      <c r="W40" s="456"/>
      <c r="X40" s="456"/>
      <c r="Y40" s="456"/>
      <c r="Z40" s="456"/>
      <c r="AA40" s="39"/>
      <c r="AB40" s="39"/>
      <c r="AD40" s="448"/>
      <c r="AE40" s="449"/>
      <c r="AF40" s="448"/>
      <c r="AG40" s="448"/>
    </row>
    <row r="41" spans="1:33" s="338" customFormat="1" hidden="1">
      <c r="A41" s="39"/>
      <c r="B41" s="38"/>
      <c r="C41" s="456"/>
      <c r="D41" s="456"/>
      <c r="E41" s="456"/>
      <c r="F41" s="456"/>
      <c r="G41" s="456"/>
      <c r="H41" s="456"/>
      <c r="I41" s="456"/>
      <c r="J41" s="456"/>
      <c r="K41" s="456"/>
      <c r="L41" s="456"/>
      <c r="M41" s="456"/>
      <c r="N41" s="456"/>
      <c r="O41" s="456"/>
      <c r="P41" s="456"/>
      <c r="Q41" s="456"/>
      <c r="R41" s="456"/>
      <c r="S41" s="456"/>
      <c r="T41" s="456"/>
      <c r="U41" s="456"/>
      <c r="V41" s="456"/>
      <c r="W41" s="456"/>
      <c r="X41" s="456"/>
      <c r="Y41" s="456"/>
      <c r="Z41" s="456"/>
      <c r="AA41" s="39"/>
      <c r="AB41" s="39"/>
      <c r="AD41" s="448"/>
      <c r="AE41" s="449"/>
      <c r="AF41" s="448"/>
      <c r="AG41" s="448"/>
    </row>
    <row r="42" spans="1:33" s="338" customFormat="1" hidden="1">
      <c r="A42" s="39"/>
      <c r="B42" s="38"/>
      <c r="C42" s="456"/>
      <c r="D42" s="456"/>
      <c r="E42" s="456"/>
      <c r="F42" s="456"/>
      <c r="G42" s="456"/>
      <c r="H42" s="456"/>
      <c r="I42" s="456"/>
      <c r="J42" s="456"/>
      <c r="K42" s="456"/>
      <c r="L42" s="456"/>
      <c r="M42" s="456"/>
      <c r="N42" s="456"/>
      <c r="O42" s="456"/>
      <c r="P42" s="456"/>
      <c r="Q42" s="456"/>
      <c r="R42" s="456"/>
      <c r="S42" s="456"/>
      <c r="T42" s="456"/>
      <c r="U42" s="456"/>
      <c r="V42" s="456"/>
      <c r="W42" s="456"/>
      <c r="X42" s="456"/>
      <c r="Y42" s="456"/>
      <c r="Z42" s="456"/>
      <c r="AA42" s="39"/>
      <c r="AB42" s="39"/>
      <c r="AD42" s="448"/>
      <c r="AE42" s="449"/>
      <c r="AF42" s="448"/>
      <c r="AG42" s="448"/>
    </row>
    <row r="43" spans="1:33" s="338" customFormat="1" hidden="1">
      <c r="A43" s="39"/>
      <c r="B43" s="38"/>
      <c r="C43" s="456"/>
      <c r="D43" s="456"/>
      <c r="E43" s="456"/>
      <c r="F43" s="456"/>
      <c r="G43" s="456"/>
      <c r="H43" s="456"/>
      <c r="I43" s="456"/>
      <c r="J43" s="456"/>
      <c r="K43" s="456"/>
      <c r="L43" s="456"/>
      <c r="M43" s="456"/>
      <c r="N43" s="456"/>
      <c r="O43" s="456"/>
      <c r="P43" s="456"/>
      <c r="Q43" s="456"/>
      <c r="R43" s="456"/>
      <c r="S43" s="456"/>
      <c r="T43" s="456"/>
      <c r="U43" s="456"/>
      <c r="V43" s="456"/>
      <c r="W43" s="456"/>
      <c r="X43" s="456"/>
      <c r="Y43" s="456"/>
      <c r="Z43" s="456"/>
      <c r="AA43" s="39"/>
      <c r="AB43" s="39"/>
      <c r="AD43" s="448"/>
      <c r="AE43" s="449"/>
      <c r="AF43" s="448"/>
      <c r="AG43" s="448"/>
    </row>
    <row r="44" spans="1:33" s="338" customFormat="1" hidden="1">
      <c r="A44" s="39"/>
      <c r="B44" s="38"/>
      <c r="C44" s="456"/>
      <c r="D44" s="456"/>
      <c r="E44" s="456"/>
      <c r="F44" s="456"/>
      <c r="G44" s="456"/>
      <c r="H44" s="456"/>
      <c r="I44" s="456"/>
      <c r="J44" s="456"/>
      <c r="K44" s="456"/>
      <c r="L44" s="456"/>
      <c r="M44" s="456"/>
      <c r="N44" s="456"/>
      <c r="O44" s="456"/>
      <c r="P44" s="456"/>
      <c r="Q44" s="456"/>
      <c r="R44" s="456"/>
      <c r="S44" s="456"/>
      <c r="T44" s="456"/>
      <c r="U44" s="456"/>
      <c r="V44" s="456"/>
      <c r="W44" s="456"/>
      <c r="X44" s="456"/>
      <c r="Y44" s="456"/>
      <c r="Z44" s="456"/>
      <c r="AA44" s="39"/>
      <c r="AB44" s="39"/>
      <c r="AD44" s="448"/>
      <c r="AE44" s="449"/>
      <c r="AF44" s="448"/>
      <c r="AG44" s="448"/>
    </row>
    <row r="45" spans="1:33" s="338" customFormat="1" hidden="1">
      <c r="A45" s="39"/>
      <c r="B45" s="38"/>
      <c r="C45" s="456"/>
      <c r="D45" s="456"/>
      <c r="E45" s="456"/>
      <c r="F45" s="456"/>
      <c r="G45" s="456"/>
      <c r="H45" s="456"/>
      <c r="I45" s="456"/>
      <c r="J45" s="456"/>
      <c r="K45" s="456"/>
      <c r="L45" s="456"/>
      <c r="M45" s="456"/>
      <c r="N45" s="456"/>
      <c r="O45" s="456"/>
      <c r="P45" s="456"/>
      <c r="Q45" s="456"/>
      <c r="R45" s="456"/>
      <c r="S45" s="456"/>
      <c r="T45" s="456"/>
      <c r="U45" s="456"/>
      <c r="V45" s="456"/>
      <c r="W45" s="456"/>
      <c r="X45" s="456"/>
      <c r="Y45" s="456"/>
      <c r="Z45" s="456"/>
      <c r="AA45" s="39"/>
      <c r="AB45" s="39"/>
      <c r="AD45" s="448"/>
      <c r="AE45" s="449"/>
      <c r="AF45" s="448"/>
      <c r="AG45" s="448"/>
    </row>
    <row r="46" spans="1:33" s="338" customFormat="1" hidden="1">
      <c r="A46" s="39"/>
      <c r="B46" s="38"/>
      <c r="C46" s="456"/>
      <c r="D46" s="456"/>
      <c r="E46" s="456"/>
      <c r="F46" s="456"/>
      <c r="G46" s="456"/>
      <c r="H46" s="456"/>
      <c r="I46" s="456"/>
      <c r="J46" s="456"/>
      <c r="K46" s="456"/>
      <c r="L46" s="456"/>
      <c r="M46" s="456"/>
      <c r="N46" s="456"/>
      <c r="O46" s="456"/>
      <c r="P46" s="456"/>
      <c r="Q46" s="456"/>
      <c r="R46" s="456"/>
      <c r="S46" s="456"/>
      <c r="T46" s="456"/>
      <c r="U46" s="456"/>
      <c r="V46" s="456"/>
      <c r="W46" s="456"/>
      <c r="X46" s="456"/>
      <c r="Y46" s="456"/>
      <c r="Z46" s="456"/>
      <c r="AA46" s="39"/>
      <c r="AB46" s="39"/>
      <c r="AD46" s="448"/>
      <c r="AE46" s="449"/>
      <c r="AF46" s="448"/>
      <c r="AG46" s="448"/>
    </row>
    <row r="47" spans="1:33" s="338" customFormat="1" hidden="1">
      <c r="A47" s="39"/>
      <c r="B47" s="38"/>
      <c r="C47" s="456"/>
      <c r="D47" s="456"/>
      <c r="E47" s="456"/>
      <c r="F47" s="456"/>
      <c r="G47" s="456"/>
      <c r="H47" s="456"/>
      <c r="I47" s="456"/>
      <c r="J47" s="456"/>
      <c r="K47" s="456"/>
      <c r="L47" s="456"/>
      <c r="M47" s="456"/>
      <c r="N47" s="456"/>
      <c r="O47" s="456"/>
      <c r="P47" s="456"/>
      <c r="Q47" s="456"/>
      <c r="R47" s="456"/>
      <c r="S47" s="456"/>
      <c r="T47" s="456"/>
      <c r="U47" s="456"/>
      <c r="V47" s="456"/>
      <c r="W47" s="456"/>
      <c r="X47" s="456"/>
      <c r="Y47" s="456"/>
      <c r="Z47" s="456"/>
      <c r="AA47" s="39"/>
      <c r="AB47" s="39"/>
      <c r="AD47" s="448"/>
      <c r="AE47" s="449"/>
      <c r="AF47" s="448"/>
      <c r="AG47" s="448"/>
    </row>
    <row r="48" spans="1:33" s="338" customFormat="1" hidden="1">
      <c r="A48" s="39"/>
      <c r="B48" s="38"/>
      <c r="C48" s="456"/>
      <c r="D48" s="456"/>
      <c r="E48" s="456"/>
      <c r="F48" s="456"/>
      <c r="G48" s="456"/>
      <c r="H48" s="456"/>
      <c r="I48" s="456"/>
      <c r="J48" s="456"/>
      <c r="K48" s="456"/>
      <c r="L48" s="456"/>
      <c r="M48" s="456"/>
      <c r="N48" s="456"/>
      <c r="O48" s="456"/>
      <c r="P48" s="456"/>
      <c r="Q48" s="456"/>
      <c r="R48" s="456"/>
      <c r="S48" s="456"/>
      <c r="T48" s="456"/>
      <c r="U48" s="456"/>
      <c r="V48" s="456"/>
      <c r="W48" s="456"/>
      <c r="X48" s="456"/>
      <c r="Y48" s="456"/>
      <c r="Z48" s="456"/>
      <c r="AA48" s="39"/>
      <c r="AB48" s="39"/>
      <c r="AD48" s="448"/>
      <c r="AE48" s="449"/>
      <c r="AF48" s="448"/>
      <c r="AG48" s="448"/>
    </row>
    <row r="49" spans="1:33" s="338" customFormat="1" hidden="1">
      <c r="A49" s="39"/>
      <c r="B49" s="38"/>
      <c r="C49" s="456"/>
      <c r="D49" s="456"/>
      <c r="E49" s="456"/>
      <c r="F49" s="456"/>
      <c r="G49" s="456"/>
      <c r="H49" s="456"/>
      <c r="I49" s="456"/>
      <c r="J49" s="456"/>
      <c r="K49" s="456"/>
      <c r="L49" s="456"/>
      <c r="M49" s="456"/>
      <c r="N49" s="456"/>
      <c r="O49" s="456"/>
      <c r="P49" s="456"/>
      <c r="Q49" s="456"/>
      <c r="R49" s="456"/>
      <c r="S49" s="456"/>
      <c r="T49" s="456"/>
      <c r="U49" s="456"/>
      <c r="V49" s="456"/>
      <c r="W49" s="456"/>
      <c r="X49" s="456"/>
      <c r="Y49" s="456"/>
      <c r="Z49" s="456"/>
      <c r="AA49" s="39"/>
      <c r="AB49" s="39"/>
      <c r="AD49" s="448"/>
      <c r="AE49" s="449"/>
      <c r="AF49" s="448"/>
      <c r="AG49" s="448"/>
    </row>
    <row r="50" spans="1:33" s="338" customFormat="1" hidden="1">
      <c r="A50" s="39"/>
      <c r="B50" s="38"/>
      <c r="C50" s="456"/>
      <c r="D50" s="456"/>
      <c r="E50" s="456"/>
      <c r="F50" s="456"/>
      <c r="G50" s="456"/>
      <c r="H50" s="456"/>
      <c r="I50" s="456"/>
      <c r="J50" s="456"/>
      <c r="K50" s="456"/>
      <c r="L50" s="456"/>
      <c r="M50" s="456"/>
      <c r="N50" s="456"/>
      <c r="O50" s="456"/>
      <c r="P50" s="456"/>
      <c r="Q50" s="456"/>
      <c r="R50" s="456"/>
      <c r="S50" s="456"/>
      <c r="T50" s="456"/>
      <c r="U50" s="456"/>
      <c r="V50" s="456"/>
      <c r="W50" s="456"/>
      <c r="X50" s="456"/>
      <c r="Y50" s="456"/>
      <c r="Z50" s="456"/>
      <c r="AA50" s="39"/>
      <c r="AB50" s="39"/>
      <c r="AD50" s="448"/>
      <c r="AE50" s="449"/>
      <c r="AF50" s="448"/>
      <c r="AG50" s="448"/>
    </row>
    <row r="51" spans="1:33" s="338" customFormat="1" hidden="1">
      <c r="A51" s="39"/>
      <c r="B51" s="38"/>
      <c r="C51" s="456"/>
      <c r="D51" s="456"/>
      <c r="E51" s="456"/>
      <c r="F51" s="456"/>
      <c r="G51" s="456"/>
      <c r="H51" s="456"/>
      <c r="I51" s="456"/>
      <c r="J51" s="456"/>
      <c r="K51" s="456"/>
      <c r="L51" s="456"/>
      <c r="M51" s="456"/>
      <c r="N51" s="456"/>
      <c r="O51" s="456"/>
      <c r="P51" s="456"/>
      <c r="Q51" s="456"/>
      <c r="R51" s="456"/>
      <c r="S51" s="456"/>
      <c r="T51" s="456"/>
      <c r="U51" s="456"/>
      <c r="V51" s="456"/>
      <c r="W51" s="456"/>
      <c r="X51" s="456"/>
      <c r="Y51" s="456"/>
      <c r="Z51" s="456"/>
      <c r="AA51" s="39"/>
      <c r="AB51" s="39"/>
      <c r="AD51" s="448"/>
      <c r="AE51" s="449"/>
      <c r="AF51" s="448"/>
      <c r="AG51" s="448"/>
    </row>
    <row r="52" spans="1:33" s="338" customFormat="1" hidden="1">
      <c r="A52" s="39"/>
      <c r="B52" s="38"/>
      <c r="C52" s="456"/>
      <c r="D52" s="456"/>
      <c r="E52" s="456"/>
      <c r="F52" s="456"/>
      <c r="G52" s="456"/>
      <c r="H52" s="456"/>
      <c r="I52" s="456"/>
      <c r="J52" s="456"/>
      <c r="K52" s="456"/>
      <c r="L52" s="456"/>
      <c r="M52" s="456"/>
      <c r="N52" s="456"/>
      <c r="O52" s="456"/>
      <c r="P52" s="456"/>
      <c r="Q52" s="456"/>
      <c r="R52" s="456"/>
      <c r="S52" s="456"/>
      <c r="T52" s="456"/>
      <c r="U52" s="456"/>
      <c r="V52" s="456"/>
      <c r="W52" s="456"/>
      <c r="X52" s="456"/>
      <c r="Y52" s="456"/>
      <c r="Z52" s="456"/>
      <c r="AA52" s="39"/>
      <c r="AB52" s="39"/>
      <c r="AD52" s="448"/>
      <c r="AE52" s="449"/>
      <c r="AF52" s="448"/>
      <c r="AG52" s="448"/>
    </row>
    <row r="53" spans="1:33" s="338" customFormat="1" hidden="1">
      <c r="A53" s="39"/>
      <c r="B53" s="38"/>
      <c r="C53" s="456"/>
      <c r="D53" s="456"/>
      <c r="E53" s="456"/>
      <c r="F53" s="456"/>
      <c r="G53" s="456"/>
      <c r="H53" s="456"/>
      <c r="I53" s="456"/>
      <c r="J53" s="456"/>
      <c r="K53" s="456"/>
      <c r="L53" s="456"/>
      <c r="M53" s="456"/>
      <c r="N53" s="456"/>
      <c r="O53" s="456"/>
      <c r="P53" s="456"/>
      <c r="Q53" s="456"/>
      <c r="R53" s="456"/>
      <c r="S53" s="456"/>
      <c r="T53" s="456"/>
      <c r="U53" s="456"/>
      <c r="V53" s="456"/>
      <c r="W53" s="456"/>
      <c r="X53" s="456"/>
      <c r="Y53" s="456"/>
      <c r="Z53" s="456"/>
      <c r="AA53" s="39"/>
      <c r="AB53" s="39"/>
      <c r="AD53" s="448"/>
      <c r="AE53" s="449"/>
      <c r="AF53" s="448"/>
      <c r="AG53" s="448"/>
    </row>
    <row r="54" spans="1:33" s="338" customFormat="1" hidden="1">
      <c r="A54" s="39"/>
      <c r="B54" s="38"/>
      <c r="C54" s="456"/>
      <c r="D54" s="456"/>
      <c r="E54" s="456"/>
      <c r="F54" s="456"/>
      <c r="G54" s="456"/>
      <c r="H54" s="456"/>
      <c r="I54" s="456"/>
      <c r="J54" s="456"/>
      <c r="K54" s="456"/>
      <c r="L54" s="456"/>
      <c r="M54" s="456"/>
      <c r="N54" s="456"/>
      <c r="O54" s="456"/>
      <c r="P54" s="456"/>
      <c r="Q54" s="456"/>
      <c r="R54" s="456"/>
      <c r="S54" s="456"/>
      <c r="T54" s="456"/>
      <c r="U54" s="456"/>
      <c r="V54" s="456"/>
      <c r="W54" s="456"/>
      <c r="X54" s="456"/>
      <c r="Y54" s="456"/>
      <c r="Z54" s="456"/>
      <c r="AA54" s="39"/>
      <c r="AB54" s="39"/>
      <c r="AD54" s="448"/>
      <c r="AE54" s="449"/>
      <c r="AF54" s="448"/>
      <c r="AG54" s="448"/>
    </row>
    <row r="55" spans="1:33" s="338" customFormat="1" hidden="1">
      <c r="A55" s="39"/>
      <c r="B55" s="38"/>
      <c r="C55" s="456"/>
      <c r="D55" s="456"/>
      <c r="E55" s="456"/>
      <c r="F55" s="456"/>
      <c r="G55" s="456"/>
      <c r="H55" s="456"/>
      <c r="I55" s="456"/>
      <c r="J55" s="456"/>
      <c r="K55" s="456"/>
      <c r="L55" s="456"/>
      <c r="M55" s="456"/>
      <c r="N55" s="456"/>
      <c r="O55" s="456"/>
      <c r="P55" s="456"/>
      <c r="Q55" s="456"/>
      <c r="R55" s="456"/>
      <c r="S55" s="456"/>
      <c r="T55" s="456"/>
      <c r="U55" s="456"/>
      <c r="V55" s="456"/>
      <c r="W55" s="456"/>
      <c r="X55" s="456"/>
      <c r="Y55" s="456"/>
      <c r="Z55" s="456"/>
      <c r="AA55" s="39"/>
      <c r="AB55" s="39"/>
      <c r="AD55" s="448"/>
      <c r="AE55" s="449"/>
      <c r="AF55" s="448"/>
      <c r="AG55" s="448"/>
    </row>
    <row r="56" spans="1:33" s="338" customFormat="1" hidden="1">
      <c r="A56" s="39"/>
      <c r="B56" s="38"/>
      <c r="C56" s="456"/>
      <c r="D56" s="456"/>
      <c r="E56" s="456"/>
      <c r="F56" s="456"/>
      <c r="G56" s="456"/>
      <c r="H56" s="456"/>
      <c r="I56" s="456"/>
      <c r="J56" s="456"/>
      <c r="K56" s="456"/>
      <c r="L56" s="456"/>
      <c r="M56" s="456"/>
      <c r="N56" s="456"/>
      <c r="O56" s="456"/>
      <c r="P56" s="456"/>
      <c r="Q56" s="456"/>
      <c r="R56" s="456"/>
      <c r="S56" s="456"/>
      <c r="T56" s="456"/>
      <c r="U56" s="456"/>
      <c r="V56" s="456"/>
      <c r="W56" s="456"/>
      <c r="X56" s="456"/>
      <c r="Y56" s="456"/>
      <c r="Z56" s="456"/>
      <c r="AA56" s="39"/>
      <c r="AB56" s="39"/>
      <c r="AD56" s="448"/>
      <c r="AE56" s="449"/>
      <c r="AF56" s="448"/>
      <c r="AG56" s="448"/>
    </row>
    <row r="57" spans="1:33" s="338" customFormat="1" hidden="1">
      <c r="A57" s="39"/>
      <c r="B57" s="38"/>
      <c r="C57" s="456"/>
      <c r="D57" s="456"/>
      <c r="E57" s="456"/>
      <c r="F57" s="456"/>
      <c r="G57" s="456"/>
      <c r="H57" s="456"/>
      <c r="I57" s="456"/>
      <c r="J57" s="456"/>
      <c r="K57" s="456"/>
      <c r="L57" s="456"/>
      <c r="M57" s="456"/>
      <c r="N57" s="456"/>
      <c r="O57" s="456"/>
      <c r="P57" s="456"/>
      <c r="Q57" s="456"/>
      <c r="R57" s="456"/>
      <c r="S57" s="456"/>
      <c r="T57" s="456"/>
      <c r="U57" s="456"/>
      <c r="V57" s="456"/>
      <c r="W57" s="456"/>
      <c r="X57" s="456"/>
      <c r="Y57" s="456"/>
      <c r="Z57" s="456"/>
      <c r="AA57" s="39"/>
      <c r="AB57" s="39"/>
      <c r="AD57" s="448"/>
      <c r="AE57" s="449"/>
      <c r="AF57" s="448"/>
      <c r="AG57" s="448"/>
    </row>
    <row r="58" spans="1:33" s="338" customFormat="1" hidden="1">
      <c r="A58" s="39"/>
      <c r="B58" s="38"/>
      <c r="C58" s="456"/>
      <c r="D58" s="456"/>
      <c r="E58" s="456"/>
      <c r="F58" s="456"/>
      <c r="G58" s="456"/>
      <c r="H58" s="456"/>
      <c r="I58" s="456"/>
      <c r="J58" s="456"/>
      <c r="K58" s="456"/>
      <c r="L58" s="456"/>
      <c r="M58" s="456"/>
      <c r="N58" s="456"/>
      <c r="O58" s="456"/>
      <c r="P58" s="456"/>
      <c r="Q58" s="456"/>
      <c r="R58" s="456"/>
      <c r="S58" s="456"/>
      <c r="T58" s="456"/>
      <c r="U58" s="456"/>
      <c r="V58" s="456"/>
      <c r="W58" s="456"/>
      <c r="X58" s="456"/>
      <c r="Y58" s="456"/>
      <c r="Z58" s="456"/>
      <c r="AA58" s="39"/>
      <c r="AB58" s="39"/>
      <c r="AD58" s="448"/>
      <c r="AE58" s="449"/>
      <c r="AF58" s="448"/>
      <c r="AG58" s="448"/>
    </row>
    <row r="59" spans="1:33" s="338" customFormat="1" hidden="1">
      <c r="A59" s="39"/>
      <c r="B59" s="38"/>
      <c r="C59" s="456"/>
      <c r="D59" s="456"/>
      <c r="E59" s="456"/>
      <c r="F59" s="456"/>
      <c r="G59" s="456"/>
      <c r="H59" s="456"/>
      <c r="I59" s="456"/>
      <c r="J59" s="456"/>
      <c r="K59" s="456"/>
      <c r="L59" s="456"/>
      <c r="M59" s="456"/>
      <c r="N59" s="456"/>
      <c r="O59" s="456"/>
      <c r="P59" s="456"/>
      <c r="Q59" s="456"/>
      <c r="R59" s="456"/>
      <c r="S59" s="456"/>
      <c r="T59" s="456"/>
      <c r="U59" s="456"/>
      <c r="V59" s="456"/>
      <c r="W59" s="456"/>
      <c r="X59" s="456"/>
      <c r="Y59" s="456"/>
      <c r="Z59" s="456"/>
      <c r="AA59" s="39"/>
      <c r="AB59" s="39"/>
      <c r="AD59" s="448"/>
      <c r="AE59" s="449"/>
      <c r="AF59" s="448"/>
      <c r="AG59" s="448"/>
    </row>
    <row r="60" spans="1:33" s="338" customFormat="1" hidden="1">
      <c r="A60" s="39"/>
      <c r="B60" s="38"/>
      <c r="C60" s="456"/>
      <c r="D60" s="456"/>
      <c r="E60" s="456"/>
      <c r="F60" s="456"/>
      <c r="G60" s="456"/>
      <c r="H60" s="456"/>
      <c r="I60" s="456"/>
      <c r="J60" s="456"/>
      <c r="K60" s="456"/>
      <c r="L60" s="456"/>
      <c r="M60" s="456"/>
      <c r="N60" s="456"/>
      <c r="O60" s="456"/>
      <c r="P60" s="456"/>
      <c r="Q60" s="456"/>
      <c r="R60" s="456"/>
      <c r="S60" s="456"/>
      <c r="T60" s="456"/>
      <c r="U60" s="456"/>
      <c r="V60" s="456"/>
      <c r="W60" s="456"/>
      <c r="X60" s="456"/>
      <c r="Y60" s="456"/>
      <c r="Z60" s="456"/>
      <c r="AA60" s="39"/>
      <c r="AB60" s="39"/>
      <c r="AD60" s="448"/>
      <c r="AE60" s="449"/>
      <c r="AF60" s="448"/>
      <c r="AG60" s="448"/>
    </row>
    <row r="61" spans="1:33" s="338" customFormat="1" hidden="1">
      <c r="A61" s="39"/>
      <c r="B61" s="38"/>
      <c r="C61" s="456"/>
      <c r="D61" s="456"/>
      <c r="E61" s="456"/>
      <c r="F61" s="456"/>
      <c r="G61" s="456"/>
      <c r="H61" s="456"/>
      <c r="I61" s="456"/>
      <c r="J61" s="456"/>
      <c r="K61" s="456"/>
      <c r="L61" s="456"/>
      <c r="M61" s="456"/>
      <c r="N61" s="456"/>
      <c r="O61" s="456"/>
      <c r="P61" s="456"/>
      <c r="Q61" s="456"/>
      <c r="R61" s="456"/>
      <c r="S61" s="456"/>
      <c r="T61" s="456"/>
      <c r="U61" s="456"/>
      <c r="V61" s="456"/>
      <c r="W61" s="456"/>
      <c r="X61" s="456"/>
      <c r="Y61" s="456"/>
      <c r="Z61" s="456"/>
      <c r="AA61" s="39"/>
      <c r="AB61" s="39"/>
      <c r="AD61" s="448"/>
      <c r="AE61" s="449"/>
      <c r="AF61" s="448"/>
      <c r="AG61" s="448"/>
    </row>
    <row r="62" spans="1:33" s="338" customFormat="1" hidden="1">
      <c r="A62" s="39"/>
      <c r="B62" s="38"/>
      <c r="C62" s="456"/>
      <c r="D62" s="456"/>
      <c r="E62" s="456"/>
      <c r="F62" s="456"/>
      <c r="G62" s="456"/>
      <c r="H62" s="456"/>
      <c r="I62" s="456"/>
      <c r="J62" s="456"/>
      <c r="K62" s="456"/>
      <c r="L62" s="456"/>
      <c r="M62" s="456"/>
      <c r="N62" s="456"/>
      <c r="O62" s="456"/>
      <c r="P62" s="456"/>
      <c r="Q62" s="456"/>
      <c r="R62" s="456"/>
      <c r="S62" s="456"/>
      <c r="T62" s="456"/>
      <c r="U62" s="456"/>
      <c r="V62" s="456"/>
      <c r="W62" s="456"/>
      <c r="X62" s="456"/>
      <c r="Y62" s="456"/>
      <c r="Z62" s="456"/>
      <c r="AA62" s="39"/>
      <c r="AB62" s="39"/>
      <c r="AD62" s="448"/>
      <c r="AE62" s="449"/>
      <c r="AF62" s="448"/>
      <c r="AG62" s="448"/>
    </row>
    <row r="63" spans="1:33" s="338" customFormat="1" hidden="1">
      <c r="A63" s="39"/>
      <c r="B63" s="38"/>
      <c r="C63" s="456"/>
      <c r="D63" s="456"/>
      <c r="E63" s="456"/>
      <c r="F63" s="456"/>
      <c r="G63" s="456"/>
      <c r="H63" s="456"/>
      <c r="I63" s="456"/>
      <c r="J63" s="456"/>
      <c r="K63" s="456"/>
      <c r="L63" s="456"/>
      <c r="M63" s="456"/>
      <c r="N63" s="456"/>
      <c r="O63" s="456"/>
      <c r="P63" s="456"/>
      <c r="Q63" s="456"/>
      <c r="R63" s="456"/>
      <c r="S63" s="456"/>
      <c r="T63" s="456"/>
      <c r="U63" s="456"/>
      <c r="V63" s="456"/>
      <c r="W63" s="456"/>
      <c r="X63" s="456"/>
      <c r="Y63" s="456"/>
      <c r="Z63" s="456"/>
      <c r="AA63" s="39"/>
      <c r="AB63" s="39"/>
      <c r="AD63" s="448"/>
      <c r="AE63" s="449"/>
      <c r="AF63" s="448"/>
      <c r="AG63" s="448"/>
    </row>
    <row r="64" spans="1:33" s="338" customFormat="1" hidden="1">
      <c r="A64" s="39"/>
      <c r="B64" s="38"/>
      <c r="C64" s="456"/>
      <c r="D64" s="456"/>
      <c r="E64" s="456"/>
      <c r="F64" s="456"/>
      <c r="G64" s="456"/>
      <c r="H64" s="456"/>
      <c r="I64" s="456"/>
      <c r="J64" s="456"/>
      <c r="K64" s="456"/>
      <c r="L64" s="456"/>
      <c r="M64" s="456"/>
      <c r="N64" s="456"/>
      <c r="O64" s="456"/>
      <c r="P64" s="456"/>
      <c r="Q64" s="456"/>
      <c r="R64" s="456"/>
      <c r="S64" s="456"/>
      <c r="T64" s="456"/>
      <c r="U64" s="456"/>
      <c r="V64" s="456"/>
      <c r="W64" s="456"/>
      <c r="X64" s="456"/>
      <c r="Y64" s="456"/>
      <c r="Z64" s="456"/>
      <c r="AA64" s="39"/>
      <c r="AB64" s="39"/>
      <c r="AD64" s="448"/>
      <c r="AE64" s="449"/>
      <c r="AF64" s="448"/>
      <c r="AG64" s="448"/>
    </row>
    <row r="65" spans="1:33" s="338" customFormat="1" hidden="1">
      <c r="A65" s="39"/>
      <c r="B65" s="38"/>
      <c r="C65" s="456"/>
      <c r="D65" s="456"/>
      <c r="E65" s="456"/>
      <c r="F65" s="456"/>
      <c r="G65" s="456"/>
      <c r="H65" s="456"/>
      <c r="I65" s="456"/>
      <c r="J65" s="456"/>
      <c r="K65" s="456"/>
      <c r="L65" s="456"/>
      <c r="M65" s="456"/>
      <c r="N65" s="456"/>
      <c r="O65" s="456"/>
      <c r="P65" s="456"/>
      <c r="Q65" s="456"/>
      <c r="R65" s="456"/>
      <c r="S65" s="456"/>
      <c r="T65" s="456"/>
      <c r="U65" s="456"/>
      <c r="V65" s="456"/>
      <c r="W65" s="456"/>
      <c r="X65" s="456"/>
      <c r="Y65" s="456"/>
      <c r="Z65" s="456"/>
      <c r="AA65" s="39"/>
      <c r="AB65" s="39"/>
      <c r="AD65" s="448"/>
      <c r="AE65" s="449"/>
      <c r="AF65" s="448"/>
      <c r="AG65" s="448"/>
    </row>
    <row r="66" spans="1:33" s="338" customFormat="1" hidden="1">
      <c r="A66" s="39"/>
      <c r="B66" s="38"/>
      <c r="C66" s="456"/>
      <c r="D66" s="456"/>
      <c r="E66" s="456"/>
      <c r="F66" s="456"/>
      <c r="G66" s="456"/>
      <c r="H66" s="456"/>
      <c r="I66" s="456"/>
      <c r="J66" s="456"/>
      <c r="K66" s="456"/>
      <c r="L66" s="456"/>
      <c r="M66" s="456"/>
      <c r="N66" s="456"/>
      <c r="O66" s="456"/>
      <c r="P66" s="456"/>
      <c r="Q66" s="456"/>
      <c r="R66" s="456"/>
      <c r="S66" s="456"/>
      <c r="T66" s="456"/>
      <c r="U66" s="456"/>
      <c r="V66" s="456"/>
      <c r="W66" s="456"/>
      <c r="X66" s="456"/>
      <c r="Y66" s="456"/>
      <c r="Z66" s="456"/>
      <c r="AA66" s="39"/>
      <c r="AB66" s="39"/>
      <c r="AD66" s="448"/>
      <c r="AE66" s="449"/>
      <c r="AF66" s="448"/>
      <c r="AG66" s="448"/>
    </row>
    <row r="67" spans="1:33" s="338" customFormat="1" hidden="1">
      <c r="A67" s="39"/>
      <c r="B67" s="38"/>
      <c r="C67" s="456"/>
      <c r="D67" s="456"/>
      <c r="E67" s="456"/>
      <c r="F67" s="456"/>
      <c r="G67" s="456"/>
      <c r="H67" s="456"/>
      <c r="I67" s="456"/>
      <c r="J67" s="456"/>
      <c r="K67" s="456"/>
      <c r="L67" s="456"/>
      <c r="M67" s="456"/>
      <c r="N67" s="456"/>
      <c r="O67" s="456"/>
      <c r="P67" s="456"/>
      <c r="Q67" s="456"/>
      <c r="R67" s="456"/>
      <c r="S67" s="456"/>
      <c r="T67" s="456"/>
      <c r="U67" s="456"/>
      <c r="V67" s="456"/>
      <c r="W67" s="456"/>
      <c r="X67" s="456"/>
      <c r="Y67" s="456"/>
      <c r="Z67" s="456"/>
      <c r="AA67" s="39"/>
      <c r="AB67" s="39"/>
      <c r="AD67" s="448"/>
      <c r="AE67" s="449"/>
      <c r="AF67" s="448"/>
      <c r="AG67" s="448"/>
    </row>
    <row r="68" spans="1:33" s="338" customFormat="1" hidden="1">
      <c r="A68" s="39"/>
      <c r="B68" s="38"/>
      <c r="C68" s="456"/>
      <c r="D68" s="456"/>
      <c r="E68" s="456"/>
      <c r="F68" s="456"/>
      <c r="G68" s="456"/>
      <c r="H68" s="456"/>
      <c r="I68" s="456"/>
      <c r="J68" s="456"/>
      <c r="K68" s="456"/>
      <c r="L68" s="456"/>
      <c r="M68" s="456"/>
      <c r="N68" s="456"/>
      <c r="O68" s="456"/>
      <c r="P68" s="456"/>
      <c r="Q68" s="456"/>
      <c r="R68" s="456"/>
      <c r="S68" s="456"/>
      <c r="T68" s="456"/>
      <c r="U68" s="456"/>
      <c r="V68" s="456"/>
      <c r="W68" s="456"/>
      <c r="X68" s="456"/>
      <c r="Y68" s="456"/>
      <c r="Z68" s="456"/>
      <c r="AA68" s="39"/>
      <c r="AB68" s="39"/>
      <c r="AD68" s="448"/>
      <c r="AE68" s="449"/>
      <c r="AF68" s="448"/>
      <c r="AG68" s="448"/>
    </row>
    <row r="69" spans="1:33" s="338" customFormat="1" hidden="1">
      <c r="A69" s="39"/>
      <c r="B69" s="38"/>
      <c r="C69" s="456"/>
      <c r="D69" s="456"/>
      <c r="E69" s="456"/>
      <c r="F69" s="456"/>
      <c r="G69" s="456"/>
      <c r="H69" s="456"/>
      <c r="I69" s="456"/>
      <c r="J69" s="456"/>
      <c r="K69" s="456"/>
      <c r="L69" s="456"/>
      <c r="M69" s="456"/>
      <c r="N69" s="456"/>
      <c r="O69" s="456"/>
      <c r="P69" s="456"/>
      <c r="Q69" s="456"/>
      <c r="R69" s="456"/>
      <c r="S69" s="456"/>
      <c r="T69" s="456"/>
      <c r="U69" s="456"/>
      <c r="V69" s="456"/>
      <c r="W69" s="456"/>
      <c r="X69" s="456"/>
      <c r="Y69" s="456"/>
      <c r="Z69" s="456"/>
      <c r="AA69" s="39"/>
      <c r="AB69" s="39"/>
      <c r="AD69" s="448"/>
      <c r="AE69" s="449"/>
      <c r="AF69" s="448"/>
      <c r="AG69" s="448"/>
    </row>
    <row r="70" spans="1:33" s="338" customFormat="1" hidden="1">
      <c r="A70" s="39"/>
      <c r="B70" s="38"/>
      <c r="C70" s="456"/>
      <c r="D70" s="456"/>
      <c r="E70" s="456"/>
      <c r="F70" s="456"/>
      <c r="G70" s="456"/>
      <c r="H70" s="456"/>
      <c r="I70" s="456"/>
      <c r="J70" s="456"/>
      <c r="K70" s="456"/>
      <c r="L70" s="456"/>
      <c r="M70" s="456"/>
      <c r="N70" s="456"/>
      <c r="O70" s="456"/>
      <c r="P70" s="456"/>
      <c r="Q70" s="456"/>
      <c r="R70" s="456"/>
      <c r="S70" s="456"/>
      <c r="T70" s="456"/>
      <c r="U70" s="456"/>
      <c r="V70" s="456"/>
      <c r="W70" s="456"/>
      <c r="X70" s="456"/>
      <c r="Y70" s="456"/>
      <c r="Z70" s="456"/>
      <c r="AA70" s="39"/>
      <c r="AB70" s="39"/>
      <c r="AD70" s="448"/>
      <c r="AE70" s="449"/>
      <c r="AF70" s="448"/>
      <c r="AG70" s="448"/>
    </row>
    <row r="71" spans="1:33" s="338" customFormat="1" hidden="1">
      <c r="A71" s="39"/>
      <c r="B71" s="38"/>
      <c r="C71" s="456"/>
      <c r="D71" s="456"/>
      <c r="E71" s="456"/>
      <c r="F71" s="456"/>
      <c r="G71" s="456"/>
      <c r="H71" s="456"/>
      <c r="I71" s="456"/>
      <c r="J71" s="456"/>
      <c r="K71" s="456"/>
      <c r="L71" s="456"/>
      <c r="M71" s="456"/>
      <c r="N71" s="456"/>
      <c r="O71" s="456"/>
      <c r="P71" s="456"/>
      <c r="Q71" s="456"/>
      <c r="R71" s="456"/>
      <c r="S71" s="456"/>
      <c r="T71" s="456"/>
      <c r="U71" s="456"/>
      <c r="V71" s="456"/>
      <c r="W71" s="456"/>
      <c r="X71" s="456"/>
      <c r="Y71" s="456"/>
      <c r="Z71" s="456"/>
      <c r="AA71" s="39"/>
      <c r="AB71" s="39"/>
      <c r="AD71" s="448"/>
      <c r="AE71" s="449"/>
      <c r="AF71" s="448"/>
      <c r="AG71" s="448"/>
    </row>
    <row r="72" spans="1:33" s="338" customFormat="1" hidden="1">
      <c r="A72" s="39"/>
      <c r="B72" s="38"/>
      <c r="C72" s="456"/>
      <c r="D72" s="456"/>
      <c r="E72" s="456"/>
      <c r="F72" s="456"/>
      <c r="G72" s="456"/>
      <c r="H72" s="456"/>
      <c r="I72" s="456"/>
      <c r="J72" s="456"/>
      <c r="K72" s="456"/>
      <c r="L72" s="456"/>
      <c r="M72" s="456"/>
      <c r="N72" s="456"/>
      <c r="O72" s="456"/>
      <c r="P72" s="456"/>
      <c r="Q72" s="456"/>
      <c r="R72" s="456"/>
      <c r="S72" s="456"/>
      <c r="T72" s="456"/>
      <c r="U72" s="456"/>
      <c r="V72" s="456"/>
      <c r="W72" s="456"/>
      <c r="X72" s="456"/>
      <c r="Y72" s="456"/>
      <c r="Z72" s="456"/>
      <c r="AA72" s="39"/>
      <c r="AB72" s="39"/>
      <c r="AD72" s="448"/>
      <c r="AE72" s="449"/>
      <c r="AF72" s="448"/>
      <c r="AG72" s="448"/>
    </row>
    <row r="73" spans="1:33" s="338" customFormat="1" hidden="1">
      <c r="A73" s="39"/>
      <c r="B73" s="38"/>
      <c r="C73" s="456"/>
      <c r="D73" s="456"/>
      <c r="E73" s="456"/>
      <c r="F73" s="456"/>
      <c r="G73" s="456"/>
      <c r="H73" s="456"/>
      <c r="I73" s="456"/>
      <c r="J73" s="456"/>
      <c r="K73" s="456"/>
      <c r="L73" s="456"/>
      <c r="M73" s="456"/>
      <c r="N73" s="456"/>
      <c r="O73" s="456"/>
      <c r="P73" s="456"/>
      <c r="Q73" s="456"/>
      <c r="R73" s="456"/>
      <c r="S73" s="456"/>
      <c r="T73" s="456"/>
      <c r="U73" s="456"/>
      <c r="V73" s="456"/>
      <c r="W73" s="456"/>
      <c r="X73" s="456"/>
      <c r="Y73" s="456"/>
      <c r="Z73" s="456"/>
      <c r="AA73" s="39"/>
      <c r="AB73" s="39"/>
      <c r="AD73" s="448"/>
      <c r="AE73" s="449"/>
      <c r="AF73" s="448"/>
      <c r="AG73" s="448"/>
    </row>
    <row r="74" spans="1:33" s="338" customFormat="1" hidden="1">
      <c r="A74" s="39"/>
      <c r="B74" s="38"/>
      <c r="C74" s="456"/>
      <c r="D74" s="456"/>
      <c r="E74" s="456"/>
      <c r="F74" s="456"/>
      <c r="G74" s="456"/>
      <c r="H74" s="456"/>
      <c r="I74" s="456"/>
      <c r="J74" s="456"/>
      <c r="K74" s="456"/>
      <c r="L74" s="456"/>
      <c r="M74" s="456"/>
      <c r="N74" s="456"/>
      <c r="O74" s="456"/>
      <c r="P74" s="456"/>
      <c r="Q74" s="456"/>
      <c r="R74" s="456"/>
      <c r="S74" s="456"/>
      <c r="T74" s="456"/>
      <c r="U74" s="456"/>
      <c r="V74" s="456"/>
      <c r="W74" s="456"/>
      <c r="X74" s="456"/>
      <c r="Y74" s="456"/>
      <c r="Z74" s="456"/>
      <c r="AA74" s="39"/>
      <c r="AB74" s="39"/>
      <c r="AD74" s="448"/>
      <c r="AE74" s="449"/>
      <c r="AF74" s="448"/>
      <c r="AG74" s="448"/>
    </row>
    <row r="75" spans="1:33" s="338" customFormat="1" hidden="1">
      <c r="A75" s="39"/>
      <c r="B75" s="38"/>
      <c r="C75" s="456"/>
      <c r="D75" s="456"/>
      <c r="E75" s="456"/>
      <c r="F75" s="456"/>
      <c r="G75" s="456"/>
      <c r="H75" s="456"/>
      <c r="I75" s="456"/>
      <c r="J75" s="456"/>
      <c r="K75" s="456"/>
      <c r="L75" s="456"/>
      <c r="M75" s="456"/>
      <c r="N75" s="456"/>
      <c r="O75" s="456"/>
      <c r="P75" s="456"/>
      <c r="Q75" s="456"/>
      <c r="R75" s="456"/>
      <c r="S75" s="456"/>
      <c r="T75" s="456"/>
      <c r="U75" s="456"/>
      <c r="V75" s="456"/>
      <c r="W75" s="456"/>
      <c r="X75" s="456"/>
      <c r="Y75" s="456"/>
      <c r="Z75" s="456"/>
      <c r="AA75" s="39"/>
      <c r="AB75" s="39"/>
      <c r="AD75" s="448"/>
      <c r="AE75" s="449"/>
      <c r="AF75" s="448"/>
      <c r="AG75" s="448"/>
    </row>
    <row r="76" spans="1:33" s="338" customFormat="1" hidden="1">
      <c r="A76" s="39"/>
      <c r="B76" s="38"/>
      <c r="C76" s="456"/>
      <c r="D76" s="456"/>
      <c r="E76" s="456"/>
      <c r="F76" s="456"/>
      <c r="G76" s="456"/>
      <c r="H76" s="456"/>
      <c r="I76" s="456"/>
      <c r="J76" s="456"/>
      <c r="K76" s="456"/>
      <c r="L76" s="456"/>
      <c r="M76" s="456"/>
      <c r="N76" s="456"/>
      <c r="O76" s="456"/>
      <c r="P76" s="456"/>
      <c r="Q76" s="456"/>
      <c r="R76" s="456"/>
      <c r="S76" s="456"/>
      <c r="T76" s="456"/>
      <c r="U76" s="456"/>
      <c r="V76" s="456"/>
      <c r="W76" s="456"/>
      <c r="X76" s="456"/>
      <c r="Y76" s="456"/>
      <c r="Z76" s="456"/>
      <c r="AA76" s="39"/>
      <c r="AB76" s="39"/>
      <c r="AD76" s="448"/>
      <c r="AE76" s="449"/>
      <c r="AF76" s="448"/>
      <c r="AG76" s="448"/>
    </row>
    <row r="77" spans="1:33" s="338" customFormat="1" hidden="1">
      <c r="A77" s="39"/>
      <c r="B77" s="38"/>
      <c r="C77" s="456"/>
      <c r="D77" s="456"/>
      <c r="E77" s="456"/>
      <c r="F77" s="456"/>
      <c r="G77" s="456"/>
      <c r="H77" s="456"/>
      <c r="I77" s="456"/>
      <c r="J77" s="456"/>
      <c r="K77" s="456"/>
      <c r="L77" s="456"/>
      <c r="M77" s="456"/>
      <c r="N77" s="456"/>
      <c r="O77" s="456"/>
      <c r="P77" s="456"/>
      <c r="Q77" s="456"/>
      <c r="R77" s="456"/>
      <c r="S77" s="456"/>
      <c r="T77" s="456"/>
      <c r="U77" s="456"/>
      <c r="V77" s="456"/>
      <c r="W77" s="456"/>
      <c r="X77" s="456"/>
      <c r="Y77" s="456"/>
      <c r="Z77" s="456"/>
      <c r="AA77" s="39"/>
      <c r="AB77" s="39"/>
      <c r="AD77" s="448"/>
      <c r="AE77" s="449"/>
      <c r="AF77" s="448"/>
      <c r="AG77" s="448"/>
    </row>
    <row r="78" spans="1:33" s="338" customFormat="1" hidden="1">
      <c r="A78" s="39"/>
      <c r="B78" s="38"/>
      <c r="C78" s="456"/>
      <c r="D78" s="456"/>
      <c r="E78" s="456"/>
      <c r="F78" s="456"/>
      <c r="G78" s="456"/>
      <c r="H78" s="456"/>
      <c r="I78" s="456"/>
      <c r="J78" s="456"/>
      <c r="K78" s="456"/>
      <c r="L78" s="456"/>
      <c r="M78" s="456"/>
      <c r="N78" s="456"/>
      <c r="O78" s="456"/>
      <c r="P78" s="456"/>
      <c r="Q78" s="456"/>
      <c r="R78" s="456"/>
      <c r="S78" s="456"/>
      <c r="T78" s="456"/>
      <c r="U78" s="456"/>
      <c r="V78" s="456"/>
      <c r="W78" s="456"/>
      <c r="X78" s="456"/>
      <c r="Y78" s="456"/>
      <c r="Z78" s="456"/>
      <c r="AA78" s="39"/>
      <c r="AB78" s="39"/>
      <c r="AD78" s="448"/>
      <c r="AE78" s="449"/>
      <c r="AF78" s="448"/>
      <c r="AG78" s="448"/>
    </row>
    <row r="79" spans="1:33" s="338" customFormat="1" hidden="1">
      <c r="A79" s="39"/>
      <c r="B79" s="38"/>
      <c r="C79" s="456"/>
      <c r="D79" s="456"/>
      <c r="E79" s="456"/>
      <c r="F79" s="456"/>
      <c r="G79" s="456"/>
      <c r="H79" s="456"/>
      <c r="I79" s="456"/>
      <c r="J79" s="456"/>
      <c r="K79" s="456"/>
      <c r="L79" s="456"/>
      <c r="M79" s="456"/>
      <c r="N79" s="456"/>
      <c r="O79" s="456"/>
      <c r="P79" s="456"/>
      <c r="Q79" s="456"/>
      <c r="R79" s="456"/>
      <c r="S79" s="456"/>
      <c r="T79" s="456"/>
      <c r="U79" s="456"/>
      <c r="V79" s="456"/>
      <c r="W79" s="456"/>
      <c r="X79" s="456"/>
      <c r="Y79" s="456"/>
      <c r="Z79" s="456"/>
      <c r="AA79" s="39"/>
      <c r="AB79" s="39"/>
      <c r="AD79" s="448"/>
      <c r="AE79" s="449"/>
      <c r="AF79" s="448"/>
      <c r="AG79" s="448"/>
    </row>
    <row r="80" spans="1:33" s="338" customFormat="1" hidden="1">
      <c r="A80" s="39"/>
      <c r="B80" s="38"/>
      <c r="C80" s="456"/>
      <c r="D80" s="456"/>
      <c r="E80" s="456"/>
      <c r="F80" s="456"/>
      <c r="G80" s="456"/>
      <c r="H80" s="456"/>
      <c r="I80" s="456"/>
      <c r="J80" s="456"/>
      <c r="K80" s="456"/>
      <c r="L80" s="456"/>
      <c r="M80" s="456"/>
      <c r="N80" s="456"/>
      <c r="O80" s="456"/>
      <c r="P80" s="456"/>
      <c r="Q80" s="456"/>
      <c r="R80" s="456"/>
      <c r="S80" s="456"/>
      <c r="T80" s="456"/>
      <c r="U80" s="456"/>
      <c r="V80" s="456"/>
      <c r="W80" s="456"/>
      <c r="X80" s="456"/>
      <c r="Y80" s="456"/>
      <c r="Z80" s="456"/>
      <c r="AA80" s="39"/>
      <c r="AB80" s="39"/>
      <c r="AD80" s="448"/>
      <c r="AE80" s="449"/>
      <c r="AF80" s="448"/>
      <c r="AG80" s="448"/>
    </row>
    <row r="81" spans="1:33" s="338" customFormat="1" hidden="1">
      <c r="A81" s="39"/>
      <c r="B81" s="38"/>
      <c r="C81" s="456"/>
      <c r="D81" s="456"/>
      <c r="E81" s="456"/>
      <c r="F81" s="456"/>
      <c r="G81" s="456"/>
      <c r="H81" s="456"/>
      <c r="I81" s="456"/>
      <c r="J81" s="456"/>
      <c r="K81" s="456"/>
      <c r="L81" s="456"/>
      <c r="M81" s="456"/>
      <c r="N81" s="456"/>
      <c r="O81" s="456"/>
      <c r="P81" s="456"/>
      <c r="Q81" s="456"/>
      <c r="R81" s="456"/>
      <c r="S81" s="456"/>
      <c r="T81" s="456"/>
      <c r="U81" s="456"/>
      <c r="V81" s="456"/>
      <c r="W81" s="456"/>
      <c r="X81" s="456"/>
      <c r="Y81" s="456"/>
      <c r="Z81" s="456"/>
      <c r="AA81" s="39"/>
      <c r="AB81" s="39"/>
      <c r="AD81" s="448"/>
      <c r="AE81" s="449"/>
      <c r="AF81" s="448"/>
      <c r="AG81" s="448"/>
    </row>
    <row r="82" spans="1:33" s="338" customFormat="1" hidden="1">
      <c r="A82" s="39"/>
      <c r="B82" s="38"/>
      <c r="C82" s="456"/>
      <c r="D82" s="456"/>
      <c r="E82" s="456"/>
      <c r="F82" s="456"/>
      <c r="G82" s="456"/>
      <c r="H82" s="456"/>
      <c r="I82" s="456"/>
      <c r="J82" s="456"/>
      <c r="K82" s="456"/>
      <c r="L82" s="456"/>
      <c r="M82" s="456"/>
      <c r="N82" s="456"/>
      <c r="O82" s="456"/>
      <c r="P82" s="456"/>
      <c r="Q82" s="456"/>
      <c r="R82" s="456"/>
      <c r="S82" s="456"/>
      <c r="T82" s="456"/>
      <c r="U82" s="456"/>
      <c r="V82" s="456"/>
      <c r="W82" s="456"/>
      <c r="X82" s="456"/>
      <c r="Y82" s="456"/>
      <c r="Z82" s="456"/>
      <c r="AA82" s="39"/>
      <c r="AB82" s="39"/>
      <c r="AD82" s="448"/>
      <c r="AE82" s="449"/>
      <c r="AF82" s="448"/>
      <c r="AG82" s="448"/>
    </row>
    <row r="83" spans="1:33" s="338" customFormat="1" hidden="1">
      <c r="A83" s="39"/>
      <c r="B83" s="38"/>
      <c r="C83" s="456"/>
      <c r="D83" s="456"/>
      <c r="E83" s="456"/>
      <c r="F83" s="456"/>
      <c r="G83" s="456"/>
      <c r="H83" s="456"/>
      <c r="I83" s="456"/>
      <c r="J83" s="456"/>
      <c r="K83" s="456"/>
      <c r="L83" s="456"/>
      <c r="M83" s="456"/>
      <c r="N83" s="456"/>
      <c r="O83" s="456"/>
      <c r="P83" s="456"/>
      <c r="Q83" s="456"/>
      <c r="R83" s="456"/>
      <c r="S83" s="456"/>
      <c r="T83" s="456"/>
      <c r="U83" s="456"/>
      <c r="V83" s="456"/>
      <c r="W83" s="456"/>
      <c r="X83" s="456"/>
      <c r="Y83" s="456"/>
      <c r="Z83" s="456"/>
      <c r="AA83" s="39"/>
      <c r="AB83" s="39"/>
      <c r="AD83" s="448"/>
      <c r="AE83" s="449"/>
      <c r="AF83" s="448"/>
      <c r="AG83" s="448"/>
    </row>
    <row r="84" spans="1:33" s="338" customFormat="1" hidden="1">
      <c r="A84" s="39"/>
      <c r="B84" s="38"/>
      <c r="C84" s="456"/>
      <c r="D84" s="456"/>
      <c r="E84" s="456"/>
      <c r="F84" s="456"/>
      <c r="G84" s="456"/>
      <c r="H84" s="456"/>
      <c r="I84" s="456"/>
      <c r="J84" s="456"/>
      <c r="K84" s="456"/>
      <c r="L84" s="456"/>
      <c r="M84" s="456"/>
      <c r="N84" s="456"/>
      <c r="O84" s="456"/>
      <c r="P84" s="456"/>
      <c r="Q84" s="456"/>
      <c r="R84" s="456"/>
      <c r="S84" s="456"/>
      <c r="T84" s="456"/>
      <c r="U84" s="456"/>
      <c r="V84" s="456"/>
      <c r="W84" s="456"/>
      <c r="X84" s="456"/>
      <c r="Y84" s="456"/>
      <c r="Z84" s="456"/>
      <c r="AA84" s="39"/>
      <c r="AB84" s="39"/>
      <c r="AD84" s="448"/>
      <c r="AE84" s="449"/>
      <c r="AF84" s="448"/>
      <c r="AG84" s="448"/>
    </row>
    <row r="85" spans="1:33" s="338" customFormat="1" hidden="1">
      <c r="A85" s="39"/>
      <c r="B85" s="38"/>
      <c r="C85" s="456"/>
      <c r="D85" s="456"/>
      <c r="E85" s="456"/>
      <c r="F85" s="456"/>
      <c r="G85" s="456"/>
      <c r="H85" s="456"/>
      <c r="I85" s="456"/>
      <c r="J85" s="456"/>
      <c r="K85" s="456"/>
      <c r="L85" s="456"/>
      <c r="M85" s="456"/>
      <c r="N85" s="456"/>
      <c r="O85" s="456"/>
      <c r="P85" s="456"/>
      <c r="Q85" s="456"/>
      <c r="R85" s="456"/>
      <c r="S85" s="456"/>
      <c r="T85" s="456"/>
      <c r="U85" s="456"/>
      <c r="V85" s="456"/>
      <c r="W85" s="456"/>
      <c r="X85" s="456"/>
      <c r="Y85" s="456"/>
      <c r="Z85" s="456"/>
      <c r="AA85" s="39"/>
      <c r="AB85" s="39"/>
      <c r="AD85" s="448"/>
      <c r="AE85" s="449"/>
      <c r="AF85" s="448"/>
      <c r="AG85" s="448"/>
    </row>
    <row r="86" spans="1:33" s="338" customFormat="1" hidden="1">
      <c r="A86" s="39"/>
      <c r="B86" s="38"/>
      <c r="C86" s="456"/>
      <c r="D86" s="456"/>
      <c r="E86" s="456"/>
      <c r="F86" s="456"/>
      <c r="G86" s="456"/>
      <c r="H86" s="456"/>
      <c r="I86" s="456"/>
      <c r="J86" s="456"/>
      <c r="K86" s="456"/>
      <c r="L86" s="456"/>
      <c r="M86" s="456"/>
      <c r="N86" s="456"/>
      <c r="O86" s="456"/>
      <c r="P86" s="456"/>
      <c r="Q86" s="456"/>
      <c r="R86" s="456"/>
      <c r="S86" s="456"/>
      <c r="T86" s="456"/>
      <c r="U86" s="456"/>
      <c r="V86" s="456"/>
      <c r="W86" s="456"/>
      <c r="X86" s="456"/>
      <c r="Y86" s="456"/>
      <c r="Z86" s="456"/>
      <c r="AA86" s="39"/>
      <c r="AB86" s="39"/>
      <c r="AD86" s="448"/>
      <c r="AE86" s="449"/>
      <c r="AF86" s="448"/>
      <c r="AG86" s="448"/>
    </row>
    <row r="87" spans="1:33" s="338" customFormat="1" hidden="1">
      <c r="A87" s="39"/>
      <c r="B87" s="38"/>
      <c r="C87" s="456"/>
      <c r="D87" s="456"/>
      <c r="E87" s="456"/>
      <c r="F87" s="456"/>
      <c r="G87" s="456"/>
      <c r="H87" s="456"/>
      <c r="I87" s="456"/>
      <c r="J87" s="456"/>
      <c r="K87" s="456"/>
      <c r="L87" s="456"/>
      <c r="M87" s="456"/>
      <c r="N87" s="456"/>
      <c r="O87" s="456"/>
      <c r="P87" s="456"/>
      <c r="Q87" s="456"/>
      <c r="R87" s="456"/>
      <c r="S87" s="456"/>
      <c r="T87" s="456"/>
      <c r="U87" s="456"/>
      <c r="V87" s="456"/>
      <c r="W87" s="456"/>
      <c r="X87" s="456"/>
      <c r="Y87" s="456"/>
      <c r="Z87" s="456"/>
      <c r="AA87" s="39"/>
      <c r="AB87" s="39"/>
      <c r="AD87" s="448"/>
      <c r="AE87" s="449"/>
      <c r="AF87" s="448"/>
      <c r="AG87" s="448"/>
    </row>
    <row r="88" spans="1:33" s="338" customFormat="1" hidden="1">
      <c r="A88" s="39"/>
      <c r="B88" s="38"/>
      <c r="C88" s="456"/>
      <c r="D88" s="456"/>
      <c r="E88" s="456"/>
      <c r="F88" s="456"/>
      <c r="G88" s="456"/>
      <c r="H88" s="456"/>
      <c r="I88" s="456"/>
      <c r="J88" s="456"/>
      <c r="K88" s="456"/>
      <c r="L88" s="456"/>
      <c r="M88" s="456"/>
      <c r="N88" s="456"/>
      <c r="O88" s="456"/>
      <c r="P88" s="456"/>
      <c r="Q88" s="456"/>
      <c r="R88" s="456"/>
      <c r="S88" s="456"/>
      <c r="T88" s="456"/>
      <c r="U88" s="456"/>
      <c r="V88" s="456"/>
      <c r="W88" s="456"/>
      <c r="X88" s="456"/>
      <c r="Y88" s="456"/>
      <c r="Z88" s="456"/>
      <c r="AA88" s="39"/>
      <c r="AB88" s="39"/>
      <c r="AD88" s="448"/>
      <c r="AE88" s="449"/>
      <c r="AF88" s="448"/>
      <c r="AG88" s="448"/>
    </row>
    <row r="89" spans="1:33" s="338" customFormat="1" hidden="1">
      <c r="A89" s="39"/>
      <c r="B89" s="38"/>
      <c r="C89" s="456"/>
      <c r="D89" s="456"/>
      <c r="E89" s="456"/>
      <c r="F89" s="456"/>
      <c r="G89" s="456"/>
      <c r="H89" s="456"/>
      <c r="I89" s="456"/>
      <c r="J89" s="456"/>
      <c r="K89" s="456"/>
      <c r="L89" s="456"/>
      <c r="M89" s="456"/>
      <c r="N89" s="456"/>
      <c r="O89" s="456"/>
      <c r="P89" s="456"/>
      <c r="Q89" s="456"/>
      <c r="R89" s="456"/>
      <c r="S89" s="456"/>
      <c r="T89" s="456"/>
      <c r="U89" s="456"/>
      <c r="V89" s="456"/>
      <c r="W89" s="456"/>
      <c r="X89" s="456"/>
      <c r="Y89" s="456"/>
      <c r="Z89" s="456"/>
      <c r="AA89" s="39"/>
      <c r="AB89" s="39"/>
      <c r="AD89" s="448"/>
      <c r="AE89" s="449"/>
      <c r="AF89" s="448"/>
      <c r="AG89" s="448"/>
    </row>
    <row r="90" spans="1:33" s="338" customFormat="1" hidden="1">
      <c r="A90" s="39"/>
      <c r="B90" s="38"/>
      <c r="C90" s="456"/>
      <c r="D90" s="456"/>
      <c r="E90" s="456"/>
      <c r="F90" s="456"/>
      <c r="G90" s="456"/>
      <c r="H90" s="456"/>
      <c r="I90" s="456"/>
      <c r="J90" s="456"/>
      <c r="K90" s="456"/>
      <c r="L90" s="456"/>
      <c r="M90" s="456"/>
      <c r="N90" s="456"/>
      <c r="O90" s="456"/>
      <c r="P90" s="456"/>
      <c r="Q90" s="456"/>
      <c r="R90" s="456"/>
      <c r="S90" s="456"/>
      <c r="T90" s="456"/>
      <c r="U90" s="456"/>
      <c r="V90" s="456"/>
      <c r="W90" s="456"/>
      <c r="X90" s="456"/>
      <c r="Y90" s="456"/>
      <c r="Z90" s="456"/>
      <c r="AA90" s="39"/>
      <c r="AB90" s="39"/>
      <c r="AD90" s="448"/>
      <c r="AE90" s="449"/>
      <c r="AF90" s="448"/>
      <c r="AG90" s="448"/>
    </row>
    <row r="91" spans="1:33" s="338" customFormat="1" hidden="1">
      <c r="A91" s="39"/>
      <c r="B91" s="38"/>
      <c r="C91" s="456"/>
      <c r="D91" s="456"/>
      <c r="E91" s="456"/>
      <c r="F91" s="456"/>
      <c r="G91" s="456"/>
      <c r="H91" s="456"/>
      <c r="I91" s="456"/>
      <c r="J91" s="456"/>
      <c r="K91" s="456"/>
      <c r="L91" s="456"/>
      <c r="M91" s="456"/>
      <c r="N91" s="456"/>
      <c r="O91" s="456"/>
      <c r="P91" s="456"/>
      <c r="Q91" s="456"/>
      <c r="R91" s="456"/>
      <c r="S91" s="456"/>
      <c r="T91" s="456"/>
      <c r="U91" s="456"/>
      <c r="V91" s="456"/>
      <c r="W91" s="456"/>
      <c r="X91" s="456"/>
      <c r="Y91" s="456"/>
      <c r="Z91" s="456"/>
      <c r="AA91" s="39"/>
      <c r="AB91" s="39"/>
      <c r="AD91" s="448"/>
      <c r="AE91" s="449"/>
      <c r="AF91" s="448"/>
      <c r="AG91" s="448"/>
    </row>
    <row r="92" spans="1:33" s="338" customFormat="1" hidden="1">
      <c r="A92" s="39"/>
      <c r="B92" s="38"/>
      <c r="C92" s="456"/>
      <c r="D92" s="456"/>
      <c r="E92" s="456"/>
      <c r="F92" s="456"/>
      <c r="G92" s="456"/>
      <c r="H92" s="456"/>
      <c r="I92" s="456"/>
      <c r="J92" s="456"/>
      <c r="K92" s="456"/>
      <c r="L92" s="456"/>
      <c r="M92" s="456"/>
      <c r="N92" s="456"/>
      <c r="O92" s="456"/>
      <c r="P92" s="456"/>
      <c r="Q92" s="456"/>
      <c r="R92" s="456"/>
      <c r="S92" s="456"/>
      <c r="T92" s="456"/>
      <c r="U92" s="456"/>
      <c r="V92" s="456"/>
      <c r="W92" s="456"/>
      <c r="X92" s="456"/>
      <c r="Y92" s="456"/>
      <c r="Z92" s="456"/>
      <c r="AA92" s="39"/>
      <c r="AB92" s="39"/>
      <c r="AD92" s="448"/>
      <c r="AE92" s="449"/>
      <c r="AF92" s="448"/>
      <c r="AG92" s="448"/>
    </row>
    <row r="93" spans="1:33" s="338" customFormat="1" hidden="1">
      <c r="A93" s="39"/>
      <c r="B93" s="38"/>
      <c r="C93" s="456"/>
      <c r="D93" s="456"/>
      <c r="E93" s="456"/>
      <c r="F93" s="456"/>
      <c r="G93" s="456"/>
      <c r="H93" s="456"/>
      <c r="I93" s="456"/>
      <c r="J93" s="456"/>
      <c r="K93" s="456"/>
      <c r="L93" s="456"/>
      <c r="M93" s="456"/>
      <c r="N93" s="456"/>
      <c r="O93" s="456"/>
      <c r="P93" s="456"/>
      <c r="Q93" s="456"/>
      <c r="R93" s="456"/>
      <c r="S93" s="456"/>
      <c r="T93" s="456"/>
      <c r="U93" s="456"/>
      <c r="V93" s="456"/>
      <c r="W93" s="456"/>
      <c r="X93" s="456"/>
      <c r="Y93" s="456"/>
      <c r="Z93" s="456"/>
      <c r="AA93" s="39"/>
      <c r="AB93" s="39"/>
      <c r="AD93" s="448"/>
      <c r="AE93" s="449"/>
      <c r="AF93" s="448"/>
      <c r="AG93" s="448"/>
    </row>
    <row r="94" spans="1:33" s="338" customFormat="1" hidden="1">
      <c r="A94" s="39"/>
      <c r="B94" s="38"/>
      <c r="C94" s="456"/>
      <c r="D94" s="456"/>
      <c r="E94" s="456"/>
      <c r="F94" s="456"/>
      <c r="G94" s="456"/>
      <c r="H94" s="456"/>
      <c r="I94" s="456"/>
      <c r="J94" s="456"/>
      <c r="K94" s="456"/>
      <c r="L94" s="456"/>
      <c r="M94" s="456"/>
      <c r="N94" s="456"/>
      <c r="O94" s="456"/>
      <c r="P94" s="456"/>
      <c r="Q94" s="456"/>
      <c r="R94" s="456"/>
      <c r="S94" s="456"/>
      <c r="T94" s="456"/>
      <c r="U94" s="456"/>
      <c r="V94" s="456"/>
      <c r="W94" s="456"/>
      <c r="X94" s="456"/>
      <c r="Y94" s="456"/>
      <c r="Z94" s="456"/>
      <c r="AA94" s="39"/>
      <c r="AB94" s="39"/>
      <c r="AD94" s="448"/>
      <c r="AE94" s="449"/>
      <c r="AF94" s="448"/>
      <c r="AG94" s="448"/>
    </row>
    <row r="95" spans="1:33" s="338" customFormat="1" hidden="1">
      <c r="A95" s="39"/>
      <c r="B95" s="38"/>
      <c r="C95" s="456"/>
      <c r="D95" s="456"/>
      <c r="E95" s="456"/>
      <c r="F95" s="456"/>
      <c r="G95" s="456"/>
      <c r="H95" s="456"/>
      <c r="I95" s="456"/>
      <c r="J95" s="456"/>
      <c r="K95" s="456"/>
      <c r="L95" s="456"/>
      <c r="M95" s="456"/>
      <c r="N95" s="456"/>
      <c r="O95" s="456"/>
      <c r="P95" s="456"/>
      <c r="Q95" s="456"/>
      <c r="R95" s="456"/>
      <c r="S95" s="456"/>
      <c r="T95" s="456"/>
      <c r="U95" s="456"/>
      <c r="V95" s="456"/>
      <c r="W95" s="456"/>
      <c r="X95" s="456"/>
      <c r="Y95" s="456"/>
      <c r="Z95" s="456"/>
      <c r="AA95" s="39"/>
      <c r="AB95" s="39"/>
      <c r="AD95" s="448"/>
      <c r="AE95" s="449"/>
      <c r="AF95" s="448"/>
      <c r="AG95" s="448"/>
    </row>
    <row r="96" spans="1:33" s="338" customFormat="1" hidden="1">
      <c r="A96" s="39"/>
      <c r="B96" s="38"/>
      <c r="C96" s="456"/>
      <c r="D96" s="456"/>
      <c r="E96" s="456"/>
      <c r="F96" s="456"/>
      <c r="G96" s="456"/>
      <c r="H96" s="456"/>
      <c r="I96" s="456"/>
      <c r="J96" s="456"/>
      <c r="K96" s="456"/>
      <c r="L96" s="456"/>
      <c r="M96" s="456"/>
      <c r="N96" s="456"/>
      <c r="O96" s="456"/>
      <c r="P96" s="456"/>
      <c r="Q96" s="456"/>
      <c r="R96" s="456"/>
      <c r="S96" s="456"/>
      <c r="T96" s="456"/>
      <c r="U96" s="456"/>
      <c r="V96" s="456"/>
      <c r="W96" s="456"/>
      <c r="X96" s="456"/>
      <c r="Y96" s="456"/>
      <c r="Z96" s="456"/>
      <c r="AA96" s="39"/>
      <c r="AB96" s="39"/>
      <c r="AD96" s="448"/>
      <c r="AE96" s="449"/>
      <c r="AF96" s="448"/>
      <c r="AG96" s="448"/>
    </row>
    <row r="97" spans="1:35" s="338" customFormat="1" hidden="1">
      <c r="A97" s="39"/>
      <c r="B97" s="38"/>
      <c r="C97" s="456"/>
      <c r="D97" s="456"/>
      <c r="E97" s="456"/>
      <c r="F97" s="456"/>
      <c r="G97" s="456"/>
      <c r="H97" s="456"/>
      <c r="I97" s="456"/>
      <c r="J97" s="456"/>
      <c r="K97" s="456"/>
      <c r="L97" s="456"/>
      <c r="M97" s="456"/>
      <c r="N97" s="456"/>
      <c r="O97" s="456"/>
      <c r="P97" s="456"/>
      <c r="Q97" s="456"/>
      <c r="R97" s="456"/>
      <c r="S97" s="456"/>
      <c r="T97" s="456"/>
      <c r="U97" s="456"/>
      <c r="V97" s="456"/>
      <c r="W97" s="456"/>
      <c r="X97" s="456"/>
      <c r="Y97" s="456"/>
      <c r="Z97" s="456"/>
      <c r="AA97" s="39"/>
      <c r="AB97" s="39"/>
      <c r="AD97" s="448"/>
      <c r="AE97" s="449"/>
      <c r="AF97" s="448"/>
      <c r="AG97" s="448"/>
    </row>
    <row r="98" spans="1:35" s="338" customFormat="1" hidden="1">
      <c r="A98" s="39"/>
      <c r="B98" s="38"/>
      <c r="C98" s="456"/>
      <c r="D98" s="456"/>
      <c r="E98" s="456"/>
      <c r="F98" s="456"/>
      <c r="G98" s="456"/>
      <c r="H98" s="456"/>
      <c r="I98" s="456"/>
      <c r="J98" s="456"/>
      <c r="K98" s="456"/>
      <c r="L98" s="456"/>
      <c r="M98" s="456"/>
      <c r="N98" s="456"/>
      <c r="O98" s="456"/>
      <c r="P98" s="456"/>
      <c r="Q98" s="456"/>
      <c r="R98" s="456"/>
      <c r="S98" s="456"/>
      <c r="T98" s="456"/>
      <c r="U98" s="456"/>
      <c r="V98" s="456"/>
      <c r="W98" s="456"/>
      <c r="X98" s="456"/>
      <c r="Y98" s="456"/>
      <c r="Z98" s="456"/>
      <c r="AA98" s="39"/>
      <c r="AB98" s="39"/>
      <c r="AD98" s="448"/>
      <c r="AE98" s="449"/>
      <c r="AF98" s="448"/>
      <c r="AG98" s="448"/>
    </row>
    <row r="99" spans="1:35" s="338" customFormat="1" hidden="1">
      <c r="A99" s="39"/>
      <c r="B99" s="38"/>
      <c r="C99" s="456"/>
      <c r="D99" s="456"/>
      <c r="E99" s="456"/>
      <c r="F99" s="456"/>
      <c r="G99" s="456"/>
      <c r="H99" s="456"/>
      <c r="I99" s="456"/>
      <c r="J99" s="456"/>
      <c r="K99" s="456"/>
      <c r="L99" s="456"/>
      <c r="M99" s="456"/>
      <c r="N99" s="456"/>
      <c r="O99" s="456"/>
      <c r="P99" s="456"/>
      <c r="Q99" s="456"/>
      <c r="R99" s="456"/>
      <c r="S99" s="456"/>
      <c r="T99" s="456"/>
      <c r="U99" s="456"/>
      <c r="V99" s="456"/>
      <c r="W99" s="456"/>
      <c r="X99" s="456"/>
      <c r="Y99" s="456"/>
      <c r="Z99" s="456"/>
      <c r="AA99" s="39"/>
      <c r="AB99" s="39"/>
      <c r="AD99" s="448"/>
      <c r="AE99" s="449"/>
      <c r="AF99" s="448"/>
      <c r="AG99" s="448"/>
    </row>
    <row r="100" spans="1:35" s="338" customFormat="1" hidden="1">
      <c r="A100" s="39"/>
      <c r="B100" s="38"/>
      <c r="C100" s="456"/>
      <c r="D100" s="456"/>
      <c r="E100" s="456"/>
      <c r="F100" s="456"/>
      <c r="G100" s="456"/>
      <c r="H100" s="456"/>
      <c r="I100" s="456"/>
      <c r="J100" s="456"/>
      <c r="K100" s="456"/>
      <c r="L100" s="456"/>
      <c r="M100" s="456"/>
      <c r="N100" s="456"/>
      <c r="O100" s="456"/>
      <c r="P100" s="456"/>
      <c r="Q100" s="456"/>
      <c r="R100" s="456"/>
      <c r="S100" s="456"/>
      <c r="T100" s="456"/>
      <c r="U100" s="456"/>
      <c r="V100" s="456"/>
      <c r="W100" s="456"/>
      <c r="X100" s="456"/>
      <c r="Y100" s="456"/>
      <c r="Z100" s="456"/>
      <c r="AA100" s="39"/>
      <c r="AB100" s="39"/>
      <c r="AD100" s="448"/>
      <c r="AE100" s="449"/>
      <c r="AF100" s="448"/>
      <c r="AG100" s="448"/>
    </row>
    <row r="101" spans="1:35" s="338" customFormat="1" hidden="1">
      <c r="A101" s="39"/>
      <c r="B101" s="38"/>
      <c r="C101" s="456"/>
      <c r="D101" s="456"/>
      <c r="E101" s="456"/>
      <c r="F101" s="456"/>
      <c r="G101" s="456"/>
      <c r="H101" s="456"/>
      <c r="I101" s="456"/>
      <c r="J101" s="456"/>
      <c r="K101" s="456"/>
      <c r="L101" s="456"/>
      <c r="M101" s="456"/>
      <c r="N101" s="456"/>
      <c r="O101" s="456"/>
      <c r="P101" s="456"/>
      <c r="Q101" s="456"/>
      <c r="R101" s="456"/>
      <c r="S101" s="456"/>
      <c r="T101" s="456"/>
      <c r="U101" s="456"/>
      <c r="V101" s="456"/>
      <c r="W101" s="456"/>
      <c r="X101" s="456"/>
      <c r="Y101" s="456"/>
      <c r="Z101" s="456"/>
      <c r="AA101" s="39"/>
      <c r="AB101" s="39"/>
      <c r="AD101" s="448"/>
      <c r="AE101" s="449"/>
      <c r="AF101" s="448"/>
      <c r="AG101" s="448"/>
    </row>
    <row r="102" spans="1:35" s="338" customFormat="1" hidden="1">
      <c r="A102" s="39"/>
      <c r="B102" s="38"/>
      <c r="C102" s="456"/>
      <c r="D102" s="456"/>
      <c r="E102" s="456"/>
      <c r="F102" s="456"/>
      <c r="G102" s="456"/>
      <c r="H102" s="456"/>
      <c r="I102" s="456"/>
      <c r="J102" s="456"/>
      <c r="K102" s="456"/>
      <c r="L102" s="456"/>
      <c r="M102" s="456"/>
      <c r="N102" s="456"/>
      <c r="O102" s="456"/>
      <c r="P102" s="456"/>
      <c r="Q102" s="456"/>
      <c r="R102" s="456"/>
      <c r="S102" s="456"/>
      <c r="T102" s="456"/>
      <c r="U102" s="456"/>
      <c r="V102" s="456"/>
      <c r="W102" s="456"/>
      <c r="X102" s="456"/>
      <c r="Y102" s="456"/>
      <c r="Z102" s="456"/>
      <c r="AA102" s="39"/>
      <c r="AB102" s="39"/>
      <c r="AD102" s="448"/>
      <c r="AE102" s="449"/>
      <c r="AF102" s="448"/>
      <c r="AG102" s="448"/>
    </row>
    <row r="103" spans="1:35" s="338" customFormat="1" hidden="1">
      <c r="A103" s="39"/>
      <c r="B103" s="38"/>
      <c r="C103" s="456"/>
      <c r="D103" s="456"/>
      <c r="E103" s="456"/>
      <c r="F103" s="456"/>
      <c r="G103" s="456"/>
      <c r="H103" s="456"/>
      <c r="I103" s="456"/>
      <c r="J103" s="456"/>
      <c r="K103" s="456"/>
      <c r="L103" s="456"/>
      <c r="M103" s="456"/>
      <c r="N103" s="456"/>
      <c r="O103" s="456"/>
      <c r="P103" s="456"/>
      <c r="Q103" s="456"/>
      <c r="R103" s="456"/>
      <c r="S103" s="456"/>
      <c r="T103" s="456"/>
      <c r="U103" s="456"/>
      <c r="V103" s="456"/>
      <c r="W103" s="456"/>
      <c r="X103" s="456"/>
      <c r="Y103" s="456"/>
      <c r="Z103" s="456"/>
      <c r="AA103" s="39"/>
      <c r="AB103" s="39"/>
      <c r="AD103" s="448"/>
      <c r="AE103" s="449"/>
      <c r="AF103" s="448"/>
      <c r="AG103" s="448"/>
    </row>
    <row r="104" spans="1:35" s="338" customFormat="1" hidden="1">
      <c r="A104" s="39"/>
      <c r="B104" s="38"/>
      <c r="C104" s="456"/>
      <c r="D104" s="456"/>
      <c r="E104" s="456"/>
      <c r="F104" s="456"/>
      <c r="G104" s="456"/>
      <c r="H104" s="456"/>
      <c r="I104" s="456"/>
      <c r="J104" s="456"/>
      <c r="K104" s="456"/>
      <c r="L104" s="456"/>
      <c r="M104" s="456"/>
      <c r="N104" s="456"/>
      <c r="O104" s="456"/>
      <c r="P104" s="456"/>
      <c r="Q104" s="456"/>
      <c r="R104" s="456"/>
      <c r="S104" s="456"/>
      <c r="T104" s="456"/>
      <c r="U104" s="456"/>
      <c r="V104" s="456"/>
      <c r="W104" s="456"/>
      <c r="X104" s="456"/>
      <c r="Y104" s="456"/>
      <c r="Z104" s="456"/>
      <c r="AA104" s="39"/>
      <c r="AB104" s="39"/>
      <c r="AD104" s="448"/>
      <c r="AE104" s="449"/>
      <c r="AF104" s="448"/>
      <c r="AG104" s="448"/>
    </row>
    <row r="105" spans="1:35" s="338" customFormat="1" hidden="1">
      <c r="A105" s="39"/>
      <c r="B105" s="38"/>
      <c r="C105" s="456"/>
      <c r="D105" s="456"/>
      <c r="E105" s="456"/>
      <c r="F105" s="456"/>
      <c r="G105" s="456"/>
      <c r="H105" s="456"/>
      <c r="I105" s="456"/>
      <c r="J105" s="456"/>
      <c r="K105" s="456"/>
      <c r="L105" s="456"/>
      <c r="M105" s="456"/>
      <c r="N105" s="456"/>
      <c r="O105" s="456"/>
      <c r="P105" s="456"/>
      <c r="Q105" s="456"/>
      <c r="R105" s="456"/>
      <c r="S105" s="456"/>
      <c r="T105" s="456"/>
      <c r="U105" s="456"/>
      <c r="V105" s="456"/>
      <c r="W105" s="456"/>
      <c r="X105" s="456"/>
      <c r="Y105" s="456"/>
      <c r="Z105" s="456"/>
      <c r="AA105" s="39"/>
      <c r="AB105" s="39"/>
      <c r="AD105" s="448"/>
      <c r="AE105" s="449"/>
      <c r="AF105" s="448"/>
      <c r="AG105" s="448"/>
    </row>
    <row r="106" spans="1:35" s="338" customFormat="1" hidden="1">
      <c r="A106" s="39"/>
      <c r="B106" s="38"/>
      <c r="C106" s="456"/>
      <c r="D106" s="456"/>
      <c r="E106" s="456"/>
      <c r="F106" s="456"/>
      <c r="G106" s="456"/>
      <c r="H106" s="456"/>
      <c r="I106" s="456"/>
      <c r="J106" s="456"/>
      <c r="K106" s="456"/>
      <c r="L106" s="456"/>
      <c r="M106" s="456"/>
      <c r="N106" s="456"/>
      <c r="O106" s="456"/>
      <c r="P106" s="456"/>
      <c r="Q106" s="456"/>
      <c r="R106" s="456"/>
      <c r="S106" s="456"/>
      <c r="T106" s="456"/>
      <c r="U106" s="456"/>
      <c r="V106" s="456"/>
      <c r="W106" s="456"/>
      <c r="X106" s="456"/>
      <c r="Y106" s="456"/>
      <c r="Z106" s="456"/>
      <c r="AA106" s="39"/>
      <c r="AB106" s="39"/>
      <c r="AD106" s="448"/>
      <c r="AE106" s="449"/>
      <c r="AF106" s="448"/>
      <c r="AG106" s="448"/>
    </row>
    <row r="107" spans="1:35" s="338" customFormat="1" hidden="1">
      <c r="A107" s="39"/>
      <c r="B107" s="38"/>
      <c r="C107" s="456"/>
      <c r="D107" s="456"/>
      <c r="E107" s="456"/>
      <c r="F107" s="456"/>
      <c r="G107" s="456"/>
      <c r="H107" s="456"/>
      <c r="I107" s="456"/>
      <c r="J107" s="456"/>
      <c r="K107" s="456"/>
      <c r="L107" s="456"/>
      <c r="M107" s="456"/>
      <c r="N107" s="456"/>
      <c r="O107" s="456"/>
      <c r="P107" s="456"/>
      <c r="Q107" s="456"/>
      <c r="R107" s="456"/>
      <c r="S107" s="456"/>
      <c r="T107" s="456"/>
      <c r="U107" s="456"/>
      <c r="V107" s="456"/>
      <c r="W107" s="456"/>
      <c r="X107" s="456"/>
      <c r="Y107" s="456"/>
      <c r="Z107" s="456"/>
      <c r="AA107" s="39"/>
      <c r="AB107" s="39"/>
      <c r="AD107" s="448"/>
      <c r="AE107" s="449"/>
      <c r="AF107" s="448"/>
      <c r="AG107" s="448"/>
    </row>
    <row r="108" spans="1:35" s="338" customFormat="1" hidden="1">
      <c r="A108" s="39"/>
      <c r="B108" s="38"/>
      <c r="C108" s="456"/>
      <c r="D108" s="456"/>
      <c r="E108" s="456"/>
      <c r="F108" s="456"/>
      <c r="G108" s="456"/>
      <c r="H108" s="456"/>
      <c r="I108" s="456"/>
      <c r="J108" s="456"/>
      <c r="K108" s="456"/>
      <c r="L108" s="456"/>
      <c r="M108" s="456"/>
      <c r="N108" s="456"/>
      <c r="O108" s="456"/>
      <c r="P108" s="456"/>
      <c r="Q108" s="456"/>
      <c r="R108" s="456"/>
      <c r="S108" s="456"/>
      <c r="T108" s="456"/>
      <c r="U108" s="456"/>
      <c r="V108" s="456"/>
      <c r="W108" s="456"/>
      <c r="X108" s="456"/>
      <c r="Y108" s="456"/>
      <c r="Z108" s="456"/>
      <c r="AA108" s="39"/>
      <c r="AB108" s="39"/>
      <c r="AD108" s="448"/>
      <c r="AE108" s="449"/>
      <c r="AF108" s="448"/>
      <c r="AG108" s="448"/>
    </row>
    <row r="109" spans="1:35" s="338" customFormat="1" hidden="1">
      <c r="A109" s="39"/>
      <c r="B109" s="38"/>
      <c r="C109" s="456"/>
      <c r="D109" s="456"/>
      <c r="E109" s="456"/>
      <c r="F109" s="456"/>
      <c r="G109" s="456"/>
      <c r="H109" s="456"/>
      <c r="I109" s="456"/>
      <c r="J109" s="456"/>
      <c r="K109" s="456"/>
      <c r="L109" s="456"/>
      <c r="M109" s="456"/>
      <c r="N109" s="456"/>
      <c r="O109" s="456"/>
      <c r="P109" s="456"/>
      <c r="Q109" s="456"/>
      <c r="R109" s="456"/>
      <c r="S109" s="456"/>
      <c r="T109" s="456"/>
      <c r="U109" s="456"/>
      <c r="V109" s="456"/>
      <c r="W109" s="456"/>
      <c r="X109" s="456"/>
      <c r="Y109" s="456"/>
      <c r="Z109" s="456"/>
      <c r="AA109" s="39"/>
      <c r="AB109" s="39"/>
      <c r="AD109" s="448"/>
      <c r="AE109" s="449"/>
      <c r="AF109" s="448"/>
      <c r="AG109" s="448"/>
    </row>
    <row r="110" spans="1:35" s="338" customFormat="1" hidden="1">
      <c r="A110" s="39"/>
      <c r="B110" s="38"/>
      <c r="C110" s="456"/>
      <c r="D110" s="456"/>
      <c r="E110" s="456"/>
      <c r="F110" s="456"/>
      <c r="G110" s="456"/>
      <c r="H110" s="456"/>
      <c r="I110" s="456"/>
      <c r="J110" s="456"/>
      <c r="K110" s="456"/>
      <c r="L110" s="456"/>
      <c r="M110" s="456"/>
      <c r="N110" s="456"/>
      <c r="O110" s="456"/>
      <c r="P110" s="456"/>
      <c r="Q110" s="456"/>
      <c r="R110" s="456"/>
      <c r="S110" s="456"/>
      <c r="T110" s="456"/>
      <c r="U110" s="456"/>
      <c r="V110" s="456"/>
      <c r="W110" s="456"/>
      <c r="X110" s="456"/>
      <c r="Y110" s="456"/>
      <c r="Z110" s="456"/>
      <c r="AA110" s="39"/>
      <c r="AB110" s="39"/>
      <c r="AD110" s="448"/>
      <c r="AE110" s="449"/>
      <c r="AF110" s="448"/>
      <c r="AG110" s="448"/>
    </row>
    <row r="111" spans="1:35" s="338" customFormat="1">
      <c r="A111" s="39"/>
      <c r="B111" s="38"/>
      <c r="C111" s="456"/>
      <c r="D111" s="456"/>
      <c r="E111" s="456"/>
      <c r="F111" s="456"/>
      <c r="G111" s="456"/>
      <c r="H111" s="456"/>
      <c r="I111" s="456"/>
      <c r="J111" s="456"/>
      <c r="K111" s="456"/>
      <c r="L111" s="456"/>
      <c r="M111" s="456"/>
      <c r="N111" s="456"/>
      <c r="O111" s="456"/>
      <c r="P111" s="456"/>
      <c r="Q111" s="456"/>
      <c r="R111" s="456"/>
      <c r="S111" s="456"/>
      <c r="T111" s="456"/>
      <c r="U111" s="456"/>
      <c r="V111" s="456"/>
      <c r="W111" s="456"/>
      <c r="X111" s="456"/>
      <c r="Y111" s="456"/>
      <c r="Z111" s="456"/>
      <c r="AA111" s="39"/>
      <c r="AB111" s="39"/>
      <c r="AD111" s="448"/>
      <c r="AE111" s="449"/>
      <c r="AF111" s="448"/>
      <c r="AG111" s="448"/>
    </row>
    <row r="112" spans="1:35" ht="15.75" thickBot="1">
      <c r="A112" s="41" t="s">
        <v>695</v>
      </c>
      <c r="B112" s="42" t="s">
        <v>816</v>
      </c>
      <c r="C112" s="50">
        <f>'State DisAgg LFx10 (2015)'!D576</f>
        <v>0</v>
      </c>
      <c r="D112" s="73">
        <f>C112+(($I112-$C112)/6)</f>
        <v>1.6666666666666667</v>
      </c>
      <c r="E112" s="73">
        <f>D112+(($I112-$C112)/6)</f>
        <v>3.3333333333333335</v>
      </c>
      <c r="F112" s="73">
        <f>E112+(($I112-$C112)/6)</f>
        <v>5</v>
      </c>
      <c r="G112" s="73">
        <f>F112+(($I112-$C112)/6)</f>
        <v>6.666666666666667</v>
      </c>
      <c r="H112" s="73">
        <f>G112+(($I112-$C112)/6)</f>
        <v>8.3333333333333339</v>
      </c>
      <c r="I112" s="74">
        <f>'State DisAgg LFx10 (2015)'!H576</f>
        <v>10</v>
      </c>
      <c r="J112" s="73">
        <f>I112+(($N112-$I112)/6)</f>
        <v>10.833333333333334</v>
      </c>
      <c r="K112" s="73">
        <f>J112+(($N112-$I112)/6)</f>
        <v>11.666666666666668</v>
      </c>
      <c r="L112" s="51">
        <f>K112+(($N112-$I112)/6)</f>
        <v>12.500000000000002</v>
      </c>
      <c r="M112" s="51">
        <f>L112+(($N112-$I112)/6)</f>
        <v>13.333333333333336</v>
      </c>
      <c r="N112" s="50">
        <f>'State DisAgg LFx10 (2015)'!L576</f>
        <v>15</v>
      </c>
      <c r="O112" s="51">
        <f>N112+(($R112-$N112)/4)</f>
        <v>16.25</v>
      </c>
      <c r="P112" s="51">
        <f>O112+(($R112-$N112)/4)</f>
        <v>17.5</v>
      </c>
      <c r="Q112" s="51">
        <f>P112+(($R112-$N112)/4)</f>
        <v>18.75</v>
      </c>
      <c r="R112" s="50">
        <f>'State DisAgg LFx10 (2015)'!P576</f>
        <v>20</v>
      </c>
      <c r="S112" s="51">
        <f t="shared" ref="S112:X112" si="1">R112+(($Y112-$R112)/6)</f>
        <v>21.666666666666668</v>
      </c>
      <c r="T112" s="51">
        <f t="shared" si="1"/>
        <v>23.333333333333336</v>
      </c>
      <c r="U112" s="51">
        <f t="shared" si="1"/>
        <v>25.000000000000004</v>
      </c>
      <c r="V112" s="51">
        <f t="shared" si="1"/>
        <v>26.666666666666671</v>
      </c>
      <c r="W112" s="51">
        <f t="shared" si="1"/>
        <v>28.333333333333339</v>
      </c>
      <c r="X112" s="51">
        <f t="shared" si="1"/>
        <v>30.000000000000007</v>
      </c>
      <c r="Y112" s="50">
        <f>'State DisAgg LFx10 (2015)'!T576</f>
        <v>30</v>
      </c>
      <c r="Z112" s="51">
        <f t="shared" ref="Z112" si="2">Y112</f>
        <v>30</v>
      </c>
      <c r="AA112" s="38">
        <f>'Lagos Workings'!AA112*5</f>
        <v>100</v>
      </c>
      <c r="AB112" s="457">
        <f>AA112/22</f>
        <v>4.5454545454545459</v>
      </c>
      <c r="AD112" s="451">
        <f>V112</f>
        <v>26.666666666666671</v>
      </c>
      <c r="AE112" s="346"/>
      <c r="AF112" s="453">
        <f t="shared" si="0"/>
        <v>28.333333333333339</v>
      </c>
      <c r="AG112" s="453">
        <f t="shared" si="0"/>
        <v>30.000000000000007</v>
      </c>
      <c r="AI112" s="338"/>
    </row>
    <row r="113" spans="1:35" s="340" customFormat="1" ht="15.75" thickBot="1">
      <c r="A113" s="45"/>
      <c r="B113" s="46" t="s">
        <v>817</v>
      </c>
      <c r="C113" s="71">
        <f>C112</f>
        <v>0</v>
      </c>
      <c r="D113" s="52"/>
      <c r="E113" s="52"/>
      <c r="F113" s="52"/>
      <c r="G113" s="52"/>
      <c r="H113" s="52"/>
      <c r="I113" s="757">
        <f>'State DisAgg LFx10 (2015)'!H588</f>
        <v>10</v>
      </c>
      <c r="J113" s="52"/>
      <c r="K113" s="52"/>
      <c r="L113" s="52"/>
      <c r="M113" s="52"/>
      <c r="N113" s="757">
        <f>'State DisAgg LFx10 (2015)'!L588</f>
        <v>13</v>
      </c>
      <c r="O113" s="52"/>
      <c r="P113" s="52"/>
      <c r="Q113" s="71"/>
      <c r="R113" s="757">
        <f>'State DisAgg LFx10 (2015)'!P588</f>
        <v>24</v>
      </c>
      <c r="S113" s="52"/>
      <c r="T113" s="52"/>
      <c r="U113" s="52"/>
      <c r="V113" s="757">
        <v>35</v>
      </c>
      <c r="W113" s="757">
        <v>40</v>
      </c>
      <c r="X113" s="70">
        <f>'State DisAgg LFx10 (2015)'!$T588</f>
        <v>42</v>
      </c>
      <c r="Y113" s="70">
        <f>'State DisAgg LFx10 (2015)'!$T588</f>
        <v>42</v>
      </c>
      <c r="Z113" s="70">
        <f>'State DisAgg LFx10 (2015)'!$T588</f>
        <v>42</v>
      </c>
      <c r="AA113" s="429"/>
      <c r="AB113" s="430"/>
      <c r="AD113" s="452">
        <f>V113</f>
        <v>35</v>
      </c>
      <c r="AE113" s="346"/>
      <c r="AF113" s="452">
        <f t="shared" si="0"/>
        <v>40</v>
      </c>
      <c r="AG113" s="452">
        <f t="shared" si="0"/>
        <v>42</v>
      </c>
      <c r="AH113" s="342">
        <f>AG113</f>
        <v>42</v>
      </c>
      <c r="AI113" s="342">
        <f>AG113</f>
        <v>42</v>
      </c>
    </row>
    <row r="114" spans="1:35" s="340" customFormat="1">
      <c r="A114" s="45"/>
      <c r="B114" s="46"/>
      <c r="C114" s="53"/>
      <c r="D114" s="75"/>
      <c r="E114" s="75"/>
      <c r="F114" s="75"/>
      <c r="G114" s="75"/>
      <c r="H114" s="75"/>
      <c r="I114" s="75"/>
      <c r="J114" s="75"/>
      <c r="K114" s="75"/>
      <c r="L114" s="53"/>
      <c r="M114" s="53"/>
      <c r="N114" s="53"/>
      <c r="O114" s="53"/>
      <c r="P114" s="53"/>
      <c r="Q114" s="53"/>
      <c r="R114" s="53"/>
      <c r="S114" s="53"/>
      <c r="T114" s="53"/>
      <c r="U114" s="53"/>
      <c r="V114" s="53"/>
      <c r="W114" s="53"/>
      <c r="X114" s="53"/>
      <c r="Y114" s="53"/>
      <c r="Z114" s="53"/>
      <c r="AA114" s="429"/>
      <c r="AB114" s="430"/>
      <c r="AD114" s="345"/>
      <c r="AE114" s="346"/>
      <c r="AF114" s="454"/>
      <c r="AG114" s="454"/>
      <c r="AH114" s="335"/>
      <c r="AI114" s="338"/>
    </row>
    <row r="115" spans="1:35" ht="15.75" thickBot="1">
      <c r="A115" s="41" t="s">
        <v>696</v>
      </c>
      <c r="B115" s="42" t="s">
        <v>818</v>
      </c>
      <c r="C115" s="52"/>
      <c r="D115" s="52"/>
      <c r="E115" s="52"/>
      <c r="F115" s="52"/>
      <c r="G115" s="52"/>
      <c r="H115" s="52"/>
      <c r="I115" s="52"/>
      <c r="J115" s="52"/>
      <c r="K115" s="52"/>
      <c r="L115" s="52"/>
      <c r="M115" s="52"/>
      <c r="N115" s="52"/>
      <c r="O115" s="52"/>
      <c r="P115" s="52"/>
      <c r="Q115" s="52"/>
      <c r="R115" s="50">
        <v>10</v>
      </c>
      <c r="S115" s="51">
        <f t="shared" ref="S115:X115" si="3">R115+(($Y115-$R115)/6)</f>
        <v>11.666666666666666</v>
      </c>
      <c r="T115" s="51">
        <f t="shared" si="3"/>
        <v>13.333333333333332</v>
      </c>
      <c r="U115" s="51">
        <f t="shared" si="3"/>
        <v>14.999999999999998</v>
      </c>
      <c r="V115" s="51">
        <f t="shared" si="3"/>
        <v>16.666666666666664</v>
      </c>
      <c r="W115" s="51">
        <f t="shared" si="3"/>
        <v>18.333333333333332</v>
      </c>
      <c r="X115" s="51">
        <f t="shared" si="3"/>
        <v>20</v>
      </c>
      <c r="Y115" s="50">
        <f>'State DisAgg LFx10 (2015)'!U576</f>
        <v>20</v>
      </c>
      <c r="Z115" s="51">
        <f t="shared" ref="Z115" si="4">Y115</f>
        <v>20</v>
      </c>
      <c r="AA115" s="38">
        <f>'Lagos Workings'!AA115*5</f>
        <v>100</v>
      </c>
      <c r="AB115" s="457">
        <f>AA115/22</f>
        <v>4.5454545454545459</v>
      </c>
      <c r="AD115" s="451">
        <f>V115</f>
        <v>16.666666666666664</v>
      </c>
      <c r="AE115" s="346"/>
      <c r="AF115" s="453">
        <f t="shared" ref="AF115:AG116" si="5">IF($AG$1=16,R115,IF($AG$1=17,S115,IF($AG$1=18,T115,IF($AG$1=19,U115,IF($AG$1=20,V115,IF($AG$1=21,W115,IF($AG$1=22,X115,0)))))))</f>
        <v>18.333333333333332</v>
      </c>
      <c r="AG115" s="453">
        <f t="shared" si="5"/>
        <v>20</v>
      </c>
      <c r="AI115" s="338"/>
    </row>
    <row r="116" spans="1:35" s="340" customFormat="1" ht="15.75" thickBot="1">
      <c r="A116" s="45"/>
      <c r="B116" s="46" t="s">
        <v>819</v>
      </c>
      <c r="C116" s="52"/>
      <c r="D116" s="52"/>
      <c r="E116" s="52"/>
      <c r="F116" s="52"/>
      <c r="G116" s="52"/>
      <c r="H116" s="52"/>
      <c r="I116" s="52"/>
      <c r="J116" s="52"/>
      <c r="K116" s="52"/>
      <c r="L116" s="52"/>
      <c r="M116" s="52"/>
      <c r="N116" s="52"/>
      <c r="O116" s="52"/>
      <c r="P116" s="52"/>
      <c r="Q116" s="71"/>
      <c r="R116" s="757">
        <f>'State DisAgg LFx10 (2015)'!Q588</f>
        <v>18</v>
      </c>
      <c r="S116" s="52"/>
      <c r="T116" s="52"/>
      <c r="U116" s="52"/>
      <c r="V116" s="757">
        <v>25</v>
      </c>
      <c r="W116" s="757">
        <v>30</v>
      </c>
      <c r="X116" s="70">
        <f>'State DisAgg LFx10 (2015)'!$U588</f>
        <v>31</v>
      </c>
      <c r="Y116" s="70">
        <f>'State DisAgg LFx10 (2015)'!$U588</f>
        <v>31</v>
      </c>
      <c r="Z116" s="70">
        <f>'State DisAgg LFx10 (2015)'!$U588</f>
        <v>31</v>
      </c>
      <c r="AA116" s="49"/>
      <c r="AB116" s="421"/>
      <c r="AD116" s="452">
        <f>V116</f>
        <v>25</v>
      </c>
      <c r="AE116" s="346"/>
      <c r="AF116" s="452">
        <f t="shared" si="5"/>
        <v>30</v>
      </c>
      <c r="AG116" s="452">
        <f t="shared" si="5"/>
        <v>31</v>
      </c>
      <c r="AH116" s="342">
        <f>AG116</f>
        <v>31</v>
      </c>
      <c r="AI116" s="342">
        <f>AG116</f>
        <v>31</v>
      </c>
    </row>
    <row r="117" spans="1:35">
      <c r="A117" s="45"/>
      <c r="B117" s="46"/>
      <c r="C117" s="53"/>
      <c r="D117" s="75"/>
      <c r="E117" s="75"/>
      <c r="F117" s="75"/>
      <c r="G117" s="75"/>
      <c r="H117" s="75"/>
      <c r="I117" s="75"/>
      <c r="J117" s="75"/>
      <c r="K117" s="75"/>
      <c r="L117" s="53"/>
      <c r="M117" s="53"/>
      <c r="N117" s="53"/>
      <c r="O117" s="53"/>
      <c r="P117" s="53"/>
      <c r="Q117" s="53"/>
      <c r="R117" s="53"/>
      <c r="S117" s="53"/>
      <c r="T117" s="53"/>
      <c r="U117" s="53"/>
      <c r="V117" s="53"/>
      <c r="W117" s="53"/>
      <c r="X117" s="53"/>
      <c r="Y117" s="53"/>
      <c r="Z117" s="53"/>
      <c r="AA117" s="49"/>
      <c r="AB117" s="421"/>
      <c r="AD117" s="346"/>
      <c r="AE117" s="346"/>
      <c r="AF117" s="346"/>
      <c r="AG117" s="346"/>
      <c r="AI117" s="338"/>
    </row>
    <row r="118" spans="1:35" ht="15.75" thickBot="1">
      <c r="A118" s="41" t="s">
        <v>697</v>
      </c>
      <c r="B118" s="42" t="s">
        <v>820</v>
      </c>
      <c r="C118" s="52"/>
      <c r="D118" s="52"/>
      <c r="E118" s="52"/>
      <c r="F118" s="52"/>
      <c r="G118" s="52"/>
      <c r="H118" s="52"/>
      <c r="I118" s="52"/>
      <c r="J118" s="52"/>
      <c r="K118" s="52"/>
      <c r="L118" s="52"/>
      <c r="M118" s="52"/>
      <c r="N118" s="52"/>
      <c r="O118" s="52"/>
      <c r="P118" s="52"/>
      <c r="Q118" s="52"/>
      <c r="R118" s="50">
        <v>5</v>
      </c>
      <c r="S118" s="51">
        <f t="shared" ref="S118:X118" si="6">R118+(($Y118-$R118)/6)</f>
        <v>5.833333333333333</v>
      </c>
      <c r="T118" s="51">
        <f t="shared" si="6"/>
        <v>6.6666666666666661</v>
      </c>
      <c r="U118" s="51">
        <f t="shared" si="6"/>
        <v>7.4999999999999991</v>
      </c>
      <c r="V118" s="51">
        <f t="shared" si="6"/>
        <v>8.3333333333333321</v>
      </c>
      <c r="W118" s="51">
        <f t="shared" si="6"/>
        <v>9.1666666666666661</v>
      </c>
      <c r="X118" s="51">
        <f t="shared" si="6"/>
        <v>10</v>
      </c>
      <c r="Y118" s="50">
        <f>'State DisAgg LFx10 (2015)'!V576</f>
        <v>10</v>
      </c>
      <c r="Z118" s="51">
        <f t="shared" ref="Z118" si="7">Y118</f>
        <v>10</v>
      </c>
      <c r="AA118" s="38">
        <f>'Lagos Workings'!AA118*5</f>
        <v>50</v>
      </c>
      <c r="AB118" s="457">
        <f>AA118/22</f>
        <v>2.2727272727272729</v>
      </c>
      <c r="AD118" s="451">
        <f>V118</f>
        <v>8.3333333333333321</v>
      </c>
      <c r="AE118" s="346"/>
      <c r="AF118" s="453">
        <f t="shared" ref="AF118:AG119" si="8">IF($AG$1=16,R118,IF($AG$1=17,S118,IF($AG$1=18,T118,IF($AG$1=19,U118,IF($AG$1=20,V118,IF($AG$1=21,W118,IF($AG$1=22,X118,0)))))))</f>
        <v>9.1666666666666661</v>
      </c>
      <c r="AG118" s="453">
        <f t="shared" si="8"/>
        <v>10</v>
      </c>
      <c r="AI118" s="338"/>
    </row>
    <row r="119" spans="1:35" ht="15.75" thickBot="1">
      <c r="A119" s="45"/>
      <c r="B119" s="46" t="s">
        <v>821</v>
      </c>
      <c r="C119" s="52"/>
      <c r="D119" s="52"/>
      <c r="E119" s="52"/>
      <c r="F119" s="52"/>
      <c r="G119" s="52"/>
      <c r="H119" s="52"/>
      <c r="I119" s="52"/>
      <c r="J119" s="52"/>
      <c r="K119" s="52"/>
      <c r="L119" s="52"/>
      <c r="M119" s="52"/>
      <c r="N119" s="52"/>
      <c r="O119" s="52"/>
      <c r="P119" s="52"/>
      <c r="Q119" s="52"/>
      <c r="R119" s="757">
        <f>'State DisAgg LFx10 (2015)'!R588</f>
        <v>8</v>
      </c>
      <c r="S119" s="52"/>
      <c r="T119" s="52"/>
      <c r="U119" s="52"/>
      <c r="V119" s="757">
        <v>12</v>
      </c>
      <c r="W119" s="757">
        <v>18</v>
      </c>
      <c r="X119" s="70">
        <f>'State DisAgg LFx10 (2015)'!$V588</f>
        <v>22</v>
      </c>
      <c r="Y119" s="70">
        <f>'State DisAgg LFx10 (2015)'!$V588</f>
        <v>22</v>
      </c>
      <c r="Z119" s="70">
        <f>'State DisAgg LFx10 (2015)'!$V588</f>
        <v>22</v>
      </c>
      <c r="AA119" s="49"/>
      <c r="AB119" s="421"/>
      <c r="AD119" s="452">
        <f>V119</f>
        <v>12</v>
      </c>
      <c r="AE119" s="346"/>
      <c r="AF119" s="452">
        <f t="shared" si="8"/>
        <v>18</v>
      </c>
      <c r="AG119" s="452">
        <f t="shared" si="8"/>
        <v>22</v>
      </c>
      <c r="AH119" s="342">
        <f>AG119</f>
        <v>22</v>
      </c>
      <c r="AI119" s="342">
        <f>AG119</f>
        <v>22</v>
      </c>
    </row>
    <row r="120" spans="1:35">
      <c r="A120" s="45"/>
      <c r="B120" s="46"/>
      <c r="C120" s="53"/>
      <c r="D120" s="75"/>
      <c r="E120" s="75"/>
      <c r="F120" s="75"/>
      <c r="G120" s="75"/>
      <c r="H120" s="75"/>
      <c r="I120" s="75"/>
      <c r="J120" s="75"/>
      <c r="K120" s="75"/>
      <c r="L120" s="53"/>
      <c r="M120" s="53"/>
      <c r="N120" s="53"/>
      <c r="O120" s="53"/>
      <c r="P120" s="53"/>
      <c r="Q120" s="53"/>
      <c r="R120" s="53"/>
      <c r="S120" s="53"/>
      <c r="T120" s="53"/>
      <c r="U120" s="53"/>
      <c r="V120" s="53"/>
      <c r="W120" s="53"/>
      <c r="X120" s="53"/>
      <c r="Y120" s="53"/>
      <c r="Z120" s="53"/>
      <c r="AA120" s="49"/>
      <c r="AB120" s="421"/>
      <c r="AD120" s="345"/>
      <c r="AE120" s="346"/>
      <c r="AF120" s="454"/>
      <c r="AG120" s="454"/>
      <c r="AI120" s="338"/>
    </row>
    <row r="121" spans="1:35" ht="15.75" thickBot="1">
      <c r="A121" s="41" t="s">
        <v>698</v>
      </c>
      <c r="B121" s="42" t="s">
        <v>822</v>
      </c>
      <c r="C121" s="52"/>
      <c r="D121" s="52"/>
      <c r="E121" s="52"/>
      <c r="F121" s="52"/>
      <c r="G121" s="52"/>
      <c r="H121" s="52"/>
      <c r="I121" s="52"/>
      <c r="J121" s="52"/>
      <c r="K121" s="52"/>
      <c r="L121" s="52"/>
      <c r="M121" s="52"/>
      <c r="N121" s="52"/>
      <c r="O121" s="52"/>
      <c r="P121" s="52"/>
      <c r="Q121" s="52"/>
      <c r="R121" s="50">
        <v>5</v>
      </c>
      <c r="S121" s="51">
        <f t="shared" ref="S121:X121" si="9">R121+(($Y121-$R121)/6)</f>
        <v>5.833333333333333</v>
      </c>
      <c r="T121" s="51">
        <f t="shared" si="9"/>
        <v>6.6666666666666661</v>
      </c>
      <c r="U121" s="51">
        <f t="shared" si="9"/>
        <v>7.4999999999999991</v>
      </c>
      <c r="V121" s="51">
        <f t="shared" si="9"/>
        <v>8.3333333333333321</v>
      </c>
      <c r="W121" s="51">
        <f t="shared" si="9"/>
        <v>9.1666666666666661</v>
      </c>
      <c r="X121" s="51">
        <f t="shared" si="9"/>
        <v>10</v>
      </c>
      <c r="Y121" s="50">
        <f>'State DisAgg LFx10 (2015)'!W576</f>
        <v>10</v>
      </c>
      <c r="Z121" s="51">
        <f t="shared" ref="Z121" si="10">Y121</f>
        <v>10</v>
      </c>
      <c r="AA121" s="38">
        <f>'Lagos Workings'!AA121*5</f>
        <v>50</v>
      </c>
      <c r="AB121" s="457">
        <f>AA121/22</f>
        <v>2.2727272727272729</v>
      </c>
      <c r="AD121" s="451">
        <f>V121</f>
        <v>8.3333333333333321</v>
      </c>
      <c r="AE121" s="346"/>
      <c r="AF121" s="453">
        <f t="shared" ref="AF121:AG122" si="11">IF($AG$1=16,R121,IF($AG$1=17,S121,IF($AG$1=18,T121,IF($AG$1=19,U121,IF($AG$1=20,V121,IF($AG$1=21,W121,IF($AG$1=22,X121,0)))))))</f>
        <v>9.1666666666666661</v>
      </c>
      <c r="AG121" s="453">
        <f t="shared" si="11"/>
        <v>10</v>
      </c>
      <c r="AI121" s="338"/>
    </row>
    <row r="122" spans="1:35" ht="15.75" thickBot="1">
      <c r="A122" s="45"/>
      <c r="B122" s="46" t="s">
        <v>823</v>
      </c>
      <c r="C122" s="52"/>
      <c r="D122" s="52"/>
      <c r="E122" s="52"/>
      <c r="F122" s="52"/>
      <c r="G122" s="52"/>
      <c r="H122" s="52"/>
      <c r="I122" s="52"/>
      <c r="J122" s="52"/>
      <c r="K122" s="52"/>
      <c r="L122" s="52"/>
      <c r="M122" s="52"/>
      <c r="N122" s="52"/>
      <c r="O122" s="52"/>
      <c r="P122" s="52"/>
      <c r="Q122" s="52"/>
      <c r="R122" s="757">
        <f>'State DisAgg LFx10 (2015)'!S588</f>
        <v>7</v>
      </c>
      <c r="S122" s="52"/>
      <c r="T122" s="52"/>
      <c r="U122" s="52"/>
      <c r="V122" s="757">
        <v>9</v>
      </c>
      <c r="W122" s="757">
        <v>14</v>
      </c>
      <c r="X122" s="70">
        <f>'State DisAgg LFx10 (2015)'!$W588</f>
        <v>15</v>
      </c>
      <c r="Y122" s="70">
        <f>'State DisAgg LFx10 (2015)'!$W588</f>
        <v>15</v>
      </c>
      <c r="Z122" s="70">
        <f>'State DisAgg LFx10 (2015)'!$W588</f>
        <v>15</v>
      </c>
      <c r="AA122" s="49"/>
      <c r="AB122" s="421"/>
      <c r="AD122" s="452">
        <f>V122</f>
        <v>9</v>
      </c>
      <c r="AE122" s="346"/>
      <c r="AF122" s="452">
        <f t="shared" si="11"/>
        <v>14</v>
      </c>
      <c r="AG122" s="452">
        <f t="shared" si="11"/>
        <v>15</v>
      </c>
      <c r="AH122" s="342">
        <f>AG122</f>
        <v>15</v>
      </c>
      <c r="AI122" s="342">
        <f>AG122</f>
        <v>15</v>
      </c>
    </row>
    <row r="123" spans="1:35" ht="14.25" customHeight="1">
      <c r="A123" s="45"/>
      <c r="B123" s="46"/>
      <c r="C123" s="53"/>
      <c r="D123" s="75"/>
      <c r="E123" s="75"/>
      <c r="F123" s="75"/>
      <c r="G123" s="75"/>
      <c r="H123" s="75"/>
      <c r="I123" s="75"/>
      <c r="J123" s="75"/>
      <c r="K123" s="75"/>
      <c r="L123" s="53"/>
      <c r="M123" s="53"/>
      <c r="N123" s="53"/>
      <c r="O123" s="53"/>
      <c r="P123" s="53"/>
      <c r="Q123" s="53"/>
      <c r="R123" s="53"/>
      <c r="S123" s="53"/>
      <c r="T123" s="53"/>
      <c r="U123" s="53"/>
      <c r="V123" s="53"/>
      <c r="W123" s="53"/>
      <c r="X123" s="53"/>
      <c r="Y123" s="53"/>
      <c r="Z123" s="53"/>
      <c r="AA123" s="49"/>
      <c r="AB123" s="421"/>
      <c r="AD123" s="345"/>
      <c r="AE123" s="346"/>
      <c r="AF123" s="454"/>
      <c r="AG123" s="454"/>
      <c r="AI123" s="338"/>
    </row>
    <row r="124" spans="1:35" ht="15.75" thickBot="1">
      <c r="A124" s="41" t="s">
        <v>699</v>
      </c>
      <c r="B124" s="42" t="s">
        <v>202</v>
      </c>
      <c r="C124" s="50">
        <f>'State DisAgg LFx10 (2015)'!D603</f>
        <v>0</v>
      </c>
      <c r="D124" s="73">
        <f>C124+(($I124-$C124)/6)</f>
        <v>0</v>
      </c>
      <c r="E124" s="73">
        <f>D124+(($I124-$C124)/6)</f>
        <v>0</v>
      </c>
      <c r="F124" s="73">
        <f>E124+(($I124-$C124)/6)</f>
        <v>0</v>
      </c>
      <c r="G124" s="73">
        <f>F124+(($I124-$C124)/6)</f>
        <v>0</v>
      </c>
      <c r="H124" s="73">
        <f>G124+(($I124-$C124)/6)</f>
        <v>0</v>
      </c>
      <c r="I124" s="74">
        <f>'State DisAgg LFx10 (2015)'!H603</f>
        <v>0</v>
      </c>
      <c r="J124" s="73">
        <f>I124+(($N124-$I124)/6)</f>
        <v>0.83333333333333337</v>
      </c>
      <c r="K124" s="73">
        <f>J124+(($N124-$I124)/6)</f>
        <v>1.6666666666666667</v>
      </c>
      <c r="L124" s="51">
        <f>K124+(($N124-$I124)/6)</f>
        <v>2.5</v>
      </c>
      <c r="M124" s="51">
        <f>L124+(($N124-$I124)/6)</f>
        <v>3.3333333333333335</v>
      </c>
      <c r="N124" s="50">
        <f>'State DisAgg LFx10 (2015)'!L603</f>
        <v>5</v>
      </c>
      <c r="O124" s="51">
        <f>N124+(($R124-$N124)/4)</f>
        <v>6.25</v>
      </c>
      <c r="P124" s="51">
        <f>O124+(($R124-$N124)/4)</f>
        <v>7.5</v>
      </c>
      <c r="Q124" s="51">
        <f>P124+(($R124-$N124)/4)</f>
        <v>8.75</v>
      </c>
      <c r="R124" s="50">
        <f>'State DisAgg LFx10 (2015)'!P603</f>
        <v>10</v>
      </c>
      <c r="S124" s="51">
        <f t="shared" ref="S124:X124" si="12">R124+(($Y124-$R124)/6)</f>
        <v>10.833333333333334</v>
      </c>
      <c r="T124" s="51">
        <f t="shared" si="12"/>
        <v>11.666666666666668</v>
      </c>
      <c r="U124" s="51">
        <f t="shared" si="12"/>
        <v>12.500000000000002</v>
      </c>
      <c r="V124" s="51">
        <f t="shared" si="12"/>
        <v>13.333333333333336</v>
      </c>
      <c r="W124" s="51">
        <f t="shared" si="12"/>
        <v>14.16666666666667</v>
      </c>
      <c r="X124" s="51">
        <f t="shared" si="12"/>
        <v>15.000000000000004</v>
      </c>
      <c r="Y124" s="50">
        <f>'State DisAgg LFx10 (2015)'!T603</f>
        <v>15</v>
      </c>
      <c r="Z124" s="51">
        <f t="shared" ref="Z124" si="13">Y124</f>
        <v>15</v>
      </c>
      <c r="AA124" s="38">
        <f>'Lagos Workings'!AA124*5</f>
        <v>50</v>
      </c>
      <c r="AB124" s="457">
        <f>AA124/22</f>
        <v>2.2727272727272729</v>
      </c>
      <c r="AD124" s="451">
        <f>V124</f>
        <v>13.333333333333336</v>
      </c>
      <c r="AE124" s="346"/>
      <c r="AF124" s="453">
        <f t="shared" ref="AF124:AG125" si="14">IF($AG$1=16,R124,IF($AG$1=17,S124,IF($AG$1=18,T124,IF($AG$1=19,U124,IF($AG$1=20,V124,IF($AG$1=21,W124,IF($AG$1=22,X124,0)))))))</f>
        <v>14.16666666666667</v>
      </c>
      <c r="AG124" s="453">
        <f t="shared" si="14"/>
        <v>15.000000000000004</v>
      </c>
      <c r="AI124" s="338"/>
    </row>
    <row r="125" spans="1:35" ht="15.75" thickBot="1">
      <c r="A125" s="45"/>
      <c r="B125" s="46" t="s">
        <v>203</v>
      </c>
      <c r="C125" s="71">
        <f>C124</f>
        <v>0</v>
      </c>
      <c r="D125" s="52"/>
      <c r="E125" s="52"/>
      <c r="F125" s="52"/>
      <c r="G125" s="52"/>
      <c r="H125" s="52"/>
      <c r="I125" s="52"/>
      <c r="J125" s="52"/>
      <c r="K125" s="52"/>
      <c r="L125" s="52"/>
      <c r="M125" s="52"/>
      <c r="N125" s="757">
        <f>'State DisAgg LFx10 (2015)'!L615</f>
        <v>8</v>
      </c>
      <c r="O125" s="52"/>
      <c r="P125" s="52"/>
      <c r="Q125" s="71"/>
      <c r="R125" s="77">
        <f>'State DisAgg LFx10 (2015)'!P615</f>
        <v>10</v>
      </c>
      <c r="S125" s="52"/>
      <c r="T125" s="52"/>
      <c r="U125" s="52"/>
      <c r="V125" s="757">
        <v>15</v>
      </c>
      <c r="W125" s="757">
        <v>16</v>
      </c>
      <c r="X125" s="70">
        <f>'State DisAgg LFx10 (2015)'!$T615</f>
        <v>16</v>
      </c>
      <c r="Y125" s="70">
        <f>'State DisAgg LFx10 (2015)'!$T615</f>
        <v>16</v>
      </c>
      <c r="Z125" s="70">
        <f>'State DisAgg LFx10 (2015)'!$T615</f>
        <v>16</v>
      </c>
      <c r="AA125" s="49"/>
      <c r="AB125" s="421"/>
      <c r="AD125" s="452">
        <f>V125</f>
        <v>15</v>
      </c>
      <c r="AE125" s="346"/>
      <c r="AF125" s="452">
        <f t="shared" si="14"/>
        <v>16</v>
      </c>
      <c r="AG125" s="452">
        <f t="shared" si="14"/>
        <v>16</v>
      </c>
      <c r="AH125" s="342">
        <f>AG125</f>
        <v>16</v>
      </c>
      <c r="AI125" s="342">
        <f>AG125</f>
        <v>16</v>
      </c>
    </row>
    <row r="126" spans="1:35">
      <c r="B126" s="46"/>
      <c r="AB126" s="420"/>
      <c r="AD126" s="345"/>
      <c r="AE126" s="346"/>
      <c r="AF126" s="454"/>
      <c r="AG126" s="454"/>
      <c r="AI126" s="338"/>
    </row>
    <row r="127" spans="1:35" ht="15.75" thickBot="1">
      <c r="A127" s="41" t="s">
        <v>700</v>
      </c>
      <c r="B127" s="42" t="s">
        <v>213</v>
      </c>
      <c r="C127" s="52"/>
      <c r="D127" s="52"/>
      <c r="E127" s="52"/>
      <c r="F127" s="52"/>
      <c r="G127" s="52"/>
      <c r="H127" s="52"/>
      <c r="I127" s="52"/>
      <c r="J127" s="52"/>
      <c r="K127" s="52"/>
      <c r="L127" s="52"/>
      <c r="M127" s="52"/>
      <c r="N127" s="52"/>
      <c r="O127" s="52"/>
      <c r="P127" s="52"/>
      <c r="Q127" s="52"/>
      <c r="R127" s="50">
        <v>5</v>
      </c>
      <c r="S127" s="51">
        <f t="shared" ref="S127:X127" si="15">R127+(($Y127-$R127)/6)</f>
        <v>5.833333333333333</v>
      </c>
      <c r="T127" s="51">
        <f t="shared" si="15"/>
        <v>6.6666666666666661</v>
      </c>
      <c r="U127" s="51">
        <f t="shared" si="15"/>
        <v>7.4999999999999991</v>
      </c>
      <c r="V127" s="51">
        <f t="shared" si="15"/>
        <v>8.3333333333333321</v>
      </c>
      <c r="W127" s="51">
        <f t="shared" si="15"/>
        <v>9.1666666666666661</v>
      </c>
      <c r="X127" s="51">
        <f t="shared" si="15"/>
        <v>10</v>
      </c>
      <c r="Y127" s="50">
        <f>'State DisAgg LFx10 (2015)'!U603</f>
        <v>10</v>
      </c>
      <c r="Z127" s="51">
        <f t="shared" ref="Z127" si="16">Y127</f>
        <v>10</v>
      </c>
      <c r="AA127" s="38">
        <f>'Lagos Workings'!AA127*5</f>
        <v>50</v>
      </c>
      <c r="AB127" s="457">
        <f>AA127/22</f>
        <v>2.2727272727272729</v>
      </c>
      <c r="AD127" s="451">
        <f>V127</f>
        <v>8.3333333333333321</v>
      </c>
      <c r="AE127" s="346"/>
      <c r="AF127" s="453">
        <f t="shared" ref="AF127:AG128" si="17">IF($AG$1=16,R127,IF($AG$1=17,S127,IF($AG$1=18,T127,IF($AG$1=19,U127,IF($AG$1=20,V127,IF($AG$1=21,W127,IF($AG$1=22,X127,0)))))))</f>
        <v>9.1666666666666661</v>
      </c>
      <c r="AG127" s="453">
        <f t="shared" si="17"/>
        <v>10</v>
      </c>
      <c r="AI127" s="338"/>
    </row>
    <row r="128" spans="1:35" ht="15.75" thickBot="1">
      <c r="A128" s="45"/>
      <c r="B128" s="46" t="s">
        <v>212</v>
      </c>
      <c r="C128" s="52"/>
      <c r="D128" s="52"/>
      <c r="E128" s="52"/>
      <c r="F128" s="52"/>
      <c r="G128" s="52"/>
      <c r="H128" s="52"/>
      <c r="I128" s="52"/>
      <c r="J128" s="52"/>
      <c r="K128" s="52"/>
      <c r="L128" s="52"/>
      <c r="M128" s="52"/>
      <c r="N128" s="52"/>
      <c r="O128" s="52"/>
      <c r="P128" s="52"/>
      <c r="Q128" s="52"/>
      <c r="R128" s="757">
        <f>'State DisAgg LFx10 (2015)'!Q615</f>
        <v>9</v>
      </c>
      <c r="S128" s="52"/>
      <c r="T128" s="52"/>
      <c r="U128" s="52"/>
      <c r="V128" s="757">
        <v>10</v>
      </c>
      <c r="W128" s="757">
        <v>14</v>
      </c>
      <c r="X128" s="70">
        <f>'State DisAgg LFx10 (2015)'!$U615</f>
        <v>15</v>
      </c>
      <c r="Y128" s="70">
        <f>'State DisAgg LFx10 (2015)'!$U615</f>
        <v>15</v>
      </c>
      <c r="Z128" s="70">
        <f>'State DisAgg LFx10 (2015)'!$U615</f>
        <v>15</v>
      </c>
      <c r="AA128" s="49"/>
      <c r="AB128" s="421"/>
      <c r="AD128" s="452">
        <f>V128</f>
        <v>10</v>
      </c>
      <c r="AE128" s="346"/>
      <c r="AF128" s="452">
        <f t="shared" si="17"/>
        <v>14</v>
      </c>
      <c r="AG128" s="452">
        <f t="shared" si="17"/>
        <v>15</v>
      </c>
      <c r="AH128" s="342">
        <f>AG128</f>
        <v>15</v>
      </c>
      <c r="AI128" s="342">
        <f>AG128</f>
        <v>15</v>
      </c>
    </row>
    <row r="129" spans="1:35">
      <c r="A129" s="45"/>
      <c r="B129" s="46"/>
      <c r="C129" s="53"/>
      <c r="D129" s="75"/>
      <c r="E129" s="75"/>
      <c r="F129" s="75"/>
      <c r="G129" s="75"/>
      <c r="H129" s="75"/>
      <c r="I129" s="75"/>
      <c r="J129" s="75"/>
      <c r="K129" s="75"/>
      <c r="L129" s="53"/>
      <c r="M129" s="53"/>
      <c r="N129" s="53"/>
      <c r="O129" s="53"/>
      <c r="P129" s="53"/>
      <c r="Q129" s="53"/>
      <c r="R129" s="53"/>
      <c r="S129" s="53"/>
      <c r="T129" s="53"/>
      <c r="U129" s="53"/>
      <c r="V129" s="53"/>
      <c r="W129" s="53"/>
      <c r="X129" s="53"/>
      <c r="Y129" s="53"/>
      <c r="Z129" s="53"/>
      <c r="AA129" s="49"/>
      <c r="AB129" s="421"/>
      <c r="AD129" s="346"/>
      <c r="AE129" s="346"/>
      <c r="AF129" s="346"/>
      <c r="AG129" s="346"/>
      <c r="AI129" s="338"/>
    </row>
    <row r="130" spans="1:35" ht="15.75" thickBot="1">
      <c r="A130" s="41" t="s">
        <v>701</v>
      </c>
      <c r="B130" s="42" t="s">
        <v>211</v>
      </c>
      <c r="C130" s="52"/>
      <c r="D130" s="52"/>
      <c r="E130" s="52"/>
      <c r="F130" s="52"/>
      <c r="G130" s="52"/>
      <c r="H130" s="52"/>
      <c r="I130" s="52"/>
      <c r="J130" s="52"/>
      <c r="K130" s="52"/>
      <c r="L130" s="52"/>
      <c r="M130" s="52"/>
      <c r="N130" s="52"/>
      <c r="O130" s="52"/>
      <c r="P130" s="52"/>
      <c r="Q130" s="52"/>
      <c r="R130" s="50">
        <v>2</v>
      </c>
      <c r="S130" s="51">
        <f t="shared" ref="S130:X130" si="18">R130+(($Y130-$R130)/6)</f>
        <v>2.5</v>
      </c>
      <c r="T130" s="51">
        <f t="shared" si="18"/>
        <v>3</v>
      </c>
      <c r="U130" s="51">
        <f t="shared" si="18"/>
        <v>3.5</v>
      </c>
      <c r="V130" s="51">
        <f t="shared" si="18"/>
        <v>4</v>
      </c>
      <c r="W130" s="51">
        <f t="shared" si="18"/>
        <v>4.5</v>
      </c>
      <c r="X130" s="51">
        <f t="shared" si="18"/>
        <v>5</v>
      </c>
      <c r="Y130" s="50">
        <f>'State DisAgg LFx10 (2015)'!V603</f>
        <v>5</v>
      </c>
      <c r="Z130" s="51">
        <f t="shared" ref="Z130" si="19">Y130</f>
        <v>5</v>
      </c>
      <c r="AA130" s="38">
        <f>'Lagos Workings'!AA130*5</f>
        <v>25</v>
      </c>
      <c r="AB130" s="457">
        <f>AA130/22</f>
        <v>1.1363636363636365</v>
      </c>
      <c r="AD130" s="451">
        <f>V130</f>
        <v>4</v>
      </c>
      <c r="AE130" s="346"/>
      <c r="AF130" s="453">
        <f t="shared" ref="AF130:AG131" si="20">IF($AG$1=16,R130,IF($AG$1=17,S130,IF($AG$1=18,T130,IF($AG$1=19,U130,IF($AG$1=20,V130,IF($AG$1=21,W130,IF($AG$1=22,X130,0)))))))</f>
        <v>4.5</v>
      </c>
      <c r="AG130" s="453">
        <f t="shared" si="20"/>
        <v>5</v>
      </c>
      <c r="AI130" s="338"/>
    </row>
    <row r="131" spans="1:35" ht="15.75" thickBot="1">
      <c r="A131" s="45"/>
      <c r="B131" s="46" t="s">
        <v>210</v>
      </c>
      <c r="C131" s="52"/>
      <c r="D131" s="52"/>
      <c r="E131" s="52"/>
      <c r="F131" s="52"/>
      <c r="G131" s="52"/>
      <c r="H131" s="52"/>
      <c r="I131" s="52"/>
      <c r="J131" s="52"/>
      <c r="K131" s="52"/>
      <c r="L131" s="52"/>
      <c r="M131" s="52"/>
      <c r="N131" s="52"/>
      <c r="O131" s="52"/>
      <c r="P131" s="52"/>
      <c r="Q131" s="52"/>
      <c r="R131" s="757">
        <f>'State DisAgg LFx10 (2015)'!R615</f>
        <v>3</v>
      </c>
      <c r="S131" s="52"/>
      <c r="T131" s="52"/>
      <c r="U131" s="52"/>
      <c r="V131" s="757">
        <v>4</v>
      </c>
      <c r="W131" s="757">
        <v>5</v>
      </c>
      <c r="X131" s="70">
        <f>'State DisAgg LFx10 (2015)'!$V615</f>
        <v>7</v>
      </c>
      <c r="Y131" s="70">
        <f>'State DisAgg LFx10 (2015)'!$V615</f>
        <v>7</v>
      </c>
      <c r="Z131" s="70">
        <f>'State DisAgg LFx10 (2015)'!$V615</f>
        <v>7</v>
      </c>
      <c r="AA131" s="49"/>
      <c r="AB131" s="421"/>
      <c r="AD131" s="452">
        <f>V131</f>
        <v>4</v>
      </c>
      <c r="AE131" s="346"/>
      <c r="AF131" s="452">
        <f t="shared" si="20"/>
        <v>5</v>
      </c>
      <c r="AG131" s="452">
        <f t="shared" si="20"/>
        <v>7</v>
      </c>
      <c r="AH131" s="342">
        <f>AG131</f>
        <v>7</v>
      </c>
      <c r="AI131" s="342">
        <f>AG131</f>
        <v>7</v>
      </c>
    </row>
    <row r="132" spans="1:35">
      <c r="A132" s="45"/>
      <c r="B132" s="46"/>
      <c r="C132" s="53"/>
      <c r="D132" s="75"/>
      <c r="E132" s="75"/>
      <c r="F132" s="75"/>
      <c r="G132" s="75"/>
      <c r="H132" s="75"/>
      <c r="I132" s="75"/>
      <c r="J132" s="75"/>
      <c r="K132" s="75"/>
      <c r="L132" s="53"/>
      <c r="M132" s="53"/>
      <c r="N132" s="53"/>
      <c r="O132" s="53"/>
      <c r="P132" s="53"/>
      <c r="Q132" s="53"/>
      <c r="R132" s="53"/>
      <c r="S132" s="53"/>
      <c r="T132" s="53"/>
      <c r="U132" s="53"/>
      <c r="V132" s="53"/>
      <c r="W132" s="53"/>
      <c r="X132" s="53"/>
      <c r="Y132" s="53"/>
      <c r="Z132" s="53"/>
      <c r="AA132" s="49"/>
      <c r="AB132" s="421"/>
      <c r="AD132" s="345"/>
      <c r="AE132" s="346"/>
      <c r="AF132" s="454"/>
      <c r="AG132" s="454"/>
      <c r="AI132" s="338"/>
    </row>
    <row r="133" spans="1:35" ht="15.75" thickBot="1">
      <c r="A133" s="41" t="s">
        <v>702</v>
      </c>
      <c r="B133" s="42" t="s">
        <v>209</v>
      </c>
      <c r="C133" s="52"/>
      <c r="D133" s="52"/>
      <c r="E133" s="52"/>
      <c r="F133" s="52"/>
      <c r="G133" s="52"/>
      <c r="H133" s="52"/>
      <c r="I133" s="52"/>
      <c r="J133" s="52"/>
      <c r="K133" s="52"/>
      <c r="L133" s="52"/>
      <c r="M133" s="52"/>
      <c r="N133" s="52"/>
      <c r="O133" s="52"/>
      <c r="P133" s="52"/>
      <c r="Q133" s="52"/>
      <c r="R133" s="50">
        <f>[3]Logframe!S70</f>
        <v>0</v>
      </c>
      <c r="S133" s="51">
        <f t="shared" ref="S133:X133" si="21">R133+(($Y133-$R133)/6)</f>
        <v>0.5</v>
      </c>
      <c r="T133" s="51">
        <f t="shared" si="21"/>
        <v>1</v>
      </c>
      <c r="U133" s="51">
        <f t="shared" si="21"/>
        <v>1.5</v>
      </c>
      <c r="V133" s="51">
        <f t="shared" si="21"/>
        <v>2</v>
      </c>
      <c r="W133" s="51">
        <f t="shared" si="21"/>
        <v>2.5</v>
      </c>
      <c r="X133" s="51">
        <f t="shared" si="21"/>
        <v>3</v>
      </c>
      <c r="Y133" s="50">
        <f>'State DisAgg LFx10 (2015)'!W603</f>
        <v>3</v>
      </c>
      <c r="Z133" s="51">
        <f t="shared" ref="Z133" si="22">Y133</f>
        <v>3</v>
      </c>
      <c r="AA133" s="38">
        <f>'Lagos Workings'!AA133*5</f>
        <v>25</v>
      </c>
      <c r="AB133" s="457">
        <f>AA133/22</f>
        <v>1.1363636363636365</v>
      </c>
      <c r="AD133" s="451">
        <f>V133</f>
        <v>2</v>
      </c>
      <c r="AE133" s="346"/>
      <c r="AF133" s="453">
        <f t="shared" ref="AF133:AG134" si="23">IF($AG$1=16,R133,IF($AG$1=17,S133,IF($AG$1=18,T133,IF($AG$1=19,U133,IF($AG$1=20,V133,IF($AG$1=21,W133,IF($AG$1=22,X133,0)))))))</f>
        <v>2.5</v>
      </c>
      <c r="AG133" s="453">
        <f t="shared" si="23"/>
        <v>3</v>
      </c>
      <c r="AI133" s="338"/>
    </row>
    <row r="134" spans="1:35" ht="15.75" thickBot="1">
      <c r="A134" s="45"/>
      <c r="B134" s="46" t="s">
        <v>208</v>
      </c>
      <c r="C134" s="52"/>
      <c r="D134" s="52"/>
      <c r="E134" s="52"/>
      <c r="F134" s="52"/>
      <c r="G134" s="52"/>
      <c r="H134" s="52"/>
      <c r="I134" s="52"/>
      <c r="J134" s="52"/>
      <c r="K134" s="52"/>
      <c r="L134" s="52"/>
      <c r="M134" s="52"/>
      <c r="N134" s="52"/>
      <c r="O134" s="52"/>
      <c r="P134" s="52"/>
      <c r="Q134" s="52"/>
      <c r="R134" s="757">
        <f>'State DisAgg LFx10 (2015)'!S615</f>
        <v>2</v>
      </c>
      <c r="S134" s="52"/>
      <c r="T134" s="52"/>
      <c r="U134" s="52"/>
      <c r="V134" s="757">
        <v>3</v>
      </c>
      <c r="W134" s="757">
        <v>3</v>
      </c>
      <c r="X134" s="70">
        <f>'State DisAgg LFx10 (2015)'!$W615</f>
        <v>4</v>
      </c>
      <c r="Y134" s="70">
        <f>'State DisAgg LFx10 (2015)'!$W615</f>
        <v>4</v>
      </c>
      <c r="Z134" s="70">
        <f>'State DisAgg LFx10 (2015)'!$W615</f>
        <v>4</v>
      </c>
      <c r="AA134" s="49"/>
      <c r="AB134" s="421"/>
      <c r="AD134" s="452">
        <f>V134</f>
        <v>3</v>
      </c>
      <c r="AE134" s="346"/>
      <c r="AF134" s="452">
        <f t="shared" si="23"/>
        <v>3</v>
      </c>
      <c r="AG134" s="452">
        <f t="shared" si="23"/>
        <v>4</v>
      </c>
      <c r="AH134" s="342">
        <f>AG134</f>
        <v>4</v>
      </c>
      <c r="AI134" s="342">
        <f>AG134</f>
        <v>4</v>
      </c>
    </row>
    <row r="135" spans="1:35">
      <c r="A135" s="45"/>
      <c r="B135" s="46"/>
      <c r="C135" s="53"/>
      <c r="D135" s="75"/>
      <c r="E135" s="75"/>
      <c r="F135" s="75"/>
      <c r="G135" s="75"/>
      <c r="H135" s="75"/>
      <c r="I135" s="75"/>
      <c r="J135" s="75"/>
      <c r="K135" s="75"/>
      <c r="L135" s="53"/>
      <c r="M135" s="53"/>
      <c r="N135" s="53"/>
      <c r="O135" s="53"/>
      <c r="P135" s="53"/>
      <c r="Q135" s="53"/>
      <c r="R135" s="53"/>
      <c r="S135" s="53"/>
      <c r="T135" s="53"/>
      <c r="U135" s="53"/>
      <c r="V135" s="53"/>
      <c r="W135" s="53"/>
      <c r="X135" s="53"/>
      <c r="Y135" s="53"/>
      <c r="Z135" s="53"/>
      <c r="AA135" s="49"/>
      <c r="AB135" s="421"/>
      <c r="AD135" s="345"/>
      <c r="AE135" s="346"/>
      <c r="AF135" s="454"/>
      <c r="AG135" s="454"/>
      <c r="AI135" s="338"/>
    </row>
    <row r="136" spans="1:35" ht="15.75" thickBot="1">
      <c r="A136" s="41" t="s">
        <v>703</v>
      </c>
      <c r="B136" s="42" t="s">
        <v>1548</v>
      </c>
      <c r="C136" s="756"/>
      <c r="D136" s="756"/>
      <c r="E136" s="756"/>
      <c r="F136" s="756"/>
      <c r="G136" s="756"/>
      <c r="H136" s="756"/>
      <c r="I136" s="756"/>
      <c r="J136" s="756"/>
      <c r="K136" s="756"/>
      <c r="L136" s="756"/>
      <c r="M136" s="756"/>
      <c r="N136" s="756"/>
      <c r="O136" s="756"/>
      <c r="P136" s="756"/>
      <c r="Q136" s="756"/>
      <c r="R136" s="50">
        <f>'State DisAgg LFx10 (2015)'!P630</f>
        <v>10</v>
      </c>
      <c r="S136" s="51">
        <f t="shared" ref="S136:X136" si="24">R136+(($Y136-$R136)/6)</f>
        <v>10.833333333333334</v>
      </c>
      <c r="T136" s="51">
        <f t="shared" si="24"/>
        <v>11.666666666666668</v>
      </c>
      <c r="U136" s="51">
        <f t="shared" si="24"/>
        <v>12.500000000000002</v>
      </c>
      <c r="V136" s="51">
        <f t="shared" si="24"/>
        <v>13.333333333333336</v>
      </c>
      <c r="W136" s="51">
        <f t="shared" si="24"/>
        <v>14.16666666666667</v>
      </c>
      <c r="X136" s="51">
        <f t="shared" si="24"/>
        <v>15.000000000000004</v>
      </c>
      <c r="Y136" s="50">
        <f>'State DisAgg LFx10 (2015)'!T630</f>
        <v>15</v>
      </c>
      <c r="Z136" s="51">
        <f t="shared" ref="Z136" si="25">Y136</f>
        <v>15</v>
      </c>
      <c r="AA136" s="38">
        <f>'Lagos Workings'!AA136*5</f>
        <v>50</v>
      </c>
      <c r="AB136" s="457">
        <f>AA136/22</f>
        <v>2.2727272727272729</v>
      </c>
      <c r="AD136" s="451">
        <f>V136</f>
        <v>13.333333333333336</v>
      </c>
      <c r="AE136" s="346"/>
      <c r="AF136" s="453">
        <f t="shared" ref="AF136:AG137" si="26">IF($AG$1=16,R136,IF($AG$1=17,S136,IF($AG$1=18,T136,IF($AG$1=19,U136,IF($AG$1=20,V136,IF($AG$1=21,W136,IF($AG$1=22,X136,0)))))))</f>
        <v>14.16666666666667</v>
      </c>
      <c r="AG136" s="453">
        <f t="shared" si="26"/>
        <v>15.000000000000004</v>
      </c>
      <c r="AI136" s="338"/>
    </row>
    <row r="137" spans="1:35" ht="15.75" thickBot="1">
      <c r="A137" s="45"/>
      <c r="B137" s="46" t="s">
        <v>1549</v>
      </c>
      <c r="C137" s="52"/>
      <c r="D137" s="52"/>
      <c r="E137" s="52"/>
      <c r="F137" s="52"/>
      <c r="G137" s="52"/>
      <c r="H137" s="52"/>
      <c r="I137" s="52"/>
      <c r="J137" s="52"/>
      <c r="K137" s="52"/>
      <c r="L137" s="52"/>
      <c r="M137" s="52"/>
      <c r="N137" s="52"/>
      <c r="O137" s="52"/>
      <c r="P137" s="52"/>
      <c r="Q137" s="52"/>
      <c r="R137" s="71">
        <f>R136</f>
        <v>10</v>
      </c>
      <c r="S137" s="52"/>
      <c r="T137" s="52"/>
      <c r="U137" s="52"/>
      <c r="V137" s="757">
        <v>10</v>
      </c>
      <c r="W137" s="757">
        <v>10</v>
      </c>
      <c r="X137" s="70">
        <f>'State DisAgg LFx10 (2015)'!$T642</f>
        <v>11</v>
      </c>
      <c r="Y137" s="70">
        <f>'State DisAgg LFx10 (2015)'!$T642</f>
        <v>11</v>
      </c>
      <c r="Z137" s="70">
        <f>'State DisAgg LFx10 (2015)'!$T642</f>
        <v>11</v>
      </c>
      <c r="AA137" s="49"/>
      <c r="AB137" s="421"/>
      <c r="AD137" s="452">
        <f>V137</f>
        <v>10</v>
      </c>
      <c r="AE137" s="346"/>
      <c r="AF137" s="452">
        <f t="shared" si="26"/>
        <v>10</v>
      </c>
      <c r="AG137" s="452">
        <f t="shared" si="26"/>
        <v>11</v>
      </c>
      <c r="AH137" s="342">
        <f>AG137</f>
        <v>11</v>
      </c>
      <c r="AI137" s="342">
        <f>AG137</f>
        <v>11</v>
      </c>
    </row>
    <row r="138" spans="1:35">
      <c r="AB138" s="420"/>
      <c r="AD138" s="345"/>
      <c r="AE138" s="346"/>
      <c r="AF138" s="454"/>
      <c r="AG138" s="454"/>
      <c r="AI138" s="338"/>
    </row>
    <row r="139" spans="1:35" ht="15.75" thickBot="1">
      <c r="A139" s="41" t="s">
        <v>704</v>
      </c>
      <c r="B139" s="42" t="s">
        <v>826</v>
      </c>
      <c r="C139" s="52"/>
      <c r="D139" s="52"/>
      <c r="E139" s="52"/>
      <c r="F139" s="52"/>
      <c r="G139" s="52"/>
      <c r="H139" s="52"/>
      <c r="I139" s="52"/>
      <c r="J139" s="52"/>
      <c r="K139" s="52"/>
      <c r="L139" s="52"/>
      <c r="M139" s="52"/>
      <c r="N139" s="52"/>
      <c r="O139" s="52"/>
      <c r="P139" s="52"/>
      <c r="Q139" s="52"/>
      <c r="R139" s="50">
        <f>'State DisAgg LFx10 (2015)'!Q630</f>
        <v>8</v>
      </c>
      <c r="S139" s="51">
        <f t="shared" ref="S139:X139" si="27">R139+(($Y139-$R139)/6)</f>
        <v>8.3333333333333339</v>
      </c>
      <c r="T139" s="51">
        <f t="shared" si="27"/>
        <v>8.6666666666666679</v>
      </c>
      <c r="U139" s="51">
        <f t="shared" si="27"/>
        <v>9.0000000000000018</v>
      </c>
      <c r="V139" s="51">
        <f t="shared" si="27"/>
        <v>9.3333333333333357</v>
      </c>
      <c r="W139" s="51">
        <f t="shared" si="27"/>
        <v>9.6666666666666696</v>
      </c>
      <c r="X139" s="51">
        <f t="shared" si="27"/>
        <v>10.000000000000004</v>
      </c>
      <c r="Y139" s="50">
        <f>'State DisAgg LFx10 (2015)'!U630</f>
        <v>10</v>
      </c>
      <c r="Z139" s="51">
        <f t="shared" ref="Z139" si="28">Y139</f>
        <v>10</v>
      </c>
      <c r="AA139" s="38">
        <f>'Lagos Workings'!AA139*5</f>
        <v>50</v>
      </c>
      <c r="AB139" s="457">
        <f>AA139/22</f>
        <v>2.2727272727272729</v>
      </c>
      <c r="AD139" s="451">
        <f>V139</f>
        <v>9.3333333333333357</v>
      </c>
      <c r="AE139" s="346"/>
      <c r="AF139" s="453">
        <f t="shared" ref="AF139:AG140" si="29">IF($AG$1=16,R139,IF($AG$1=17,S139,IF($AG$1=18,T139,IF($AG$1=19,U139,IF($AG$1=20,V139,IF($AG$1=21,W139,IF($AG$1=22,X139,0)))))))</f>
        <v>9.6666666666666696</v>
      </c>
      <c r="AG139" s="453">
        <f t="shared" si="29"/>
        <v>10.000000000000004</v>
      </c>
      <c r="AI139" s="338"/>
    </row>
    <row r="140" spans="1:35" ht="15.75" thickBot="1">
      <c r="A140" s="45"/>
      <c r="B140" s="46" t="s">
        <v>827</v>
      </c>
      <c r="C140" s="52"/>
      <c r="D140" s="52"/>
      <c r="E140" s="52"/>
      <c r="F140" s="52"/>
      <c r="G140" s="52"/>
      <c r="H140" s="52"/>
      <c r="I140" s="52"/>
      <c r="J140" s="52"/>
      <c r="K140" s="52"/>
      <c r="L140" s="52"/>
      <c r="M140" s="52"/>
      <c r="N140" s="52"/>
      <c r="O140" s="52"/>
      <c r="P140" s="52"/>
      <c r="Q140" s="52"/>
      <c r="R140" s="71">
        <f>R139</f>
        <v>8</v>
      </c>
      <c r="S140" s="52"/>
      <c r="T140" s="52"/>
      <c r="U140" s="52"/>
      <c r="V140" s="757">
        <v>8</v>
      </c>
      <c r="W140" s="757">
        <v>8</v>
      </c>
      <c r="X140" s="70">
        <f>'State DisAgg LFx10 (2015)'!$U642</f>
        <v>9</v>
      </c>
      <c r="Y140" s="70">
        <f>'State DisAgg LFx10 (2015)'!$U642</f>
        <v>9</v>
      </c>
      <c r="Z140" s="70">
        <f>'State DisAgg LFx10 (2015)'!$U642</f>
        <v>9</v>
      </c>
      <c r="AA140" s="49"/>
      <c r="AB140" s="421"/>
      <c r="AD140" s="452">
        <f>V140</f>
        <v>8</v>
      </c>
      <c r="AE140" s="346"/>
      <c r="AF140" s="452">
        <f t="shared" si="29"/>
        <v>8</v>
      </c>
      <c r="AG140" s="452">
        <f t="shared" si="29"/>
        <v>9</v>
      </c>
      <c r="AH140" s="342">
        <f>AG140</f>
        <v>9</v>
      </c>
      <c r="AI140" s="342">
        <f>AG140</f>
        <v>9</v>
      </c>
    </row>
    <row r="141" spans="1:35">
      <c r="A141" s="45"/>
      <c r="B141" s="46"/>
      <c r="C141" s="53"/>
      <c r="D141" s="75"/>
      <c r="E141" s="75"/>
      <c r="F141" s="75"/>
      <c r="G141" s="75"/>
      <c r="H141" s="75"/>
      <c r="I141" s="75"/>
      <c r="J141" s="75"/>
      <c r="K141" s="75"/>
      <c r="L141" s="53"/>
      <c r="M141" s="53"/>
      <c r="N141" s="53"/>
      <c r="O141" s="53"/>
      <c r="P141" s="53"/>
      <c r="Q141" s="53"/>
      <c r="R141" s="53"/>
      <c r="S141" s="53"/>
      <c r="T141" s="53"/>
      <c r="U141" s="53"/>
      <c r="V141" s="53"/>
      <c r="W141" s="53"/>
      <c r="X141" s="53"/>
      <c r="Y141" s="53"/>
      <c r="Z141" s="53"/>
      <c r="AA141" s="49"/>
      <c r="AB141" s="421"/>
      <c r="AD141" s="346"/>
      <c r="AE141" s="346"/>
      <c r="AF141" s="346"/>
      <c r="AG141" s="346"/>
      <c r="AI141" s="338"/>
    </row>
    <row r="142" spans="1:35" ht="15.75" thickBot="1">
      <c r="A142" s="41" t="s">
        <v>705</v>
      </c>
      <c r="B142" s="42" t="s">
        <v>828</v>
      </c>
      <c r="C142" s="52"/>
      <c r="D142" s="52"/>
      <c r="E142" s="52"/>
      <c r="F142" s="52"/>
      <c r="G142" s="52"/>
      <c r="H142" s="52"/>
      <c r="I142" s="52"/>
      <c r="J142" s="52"/>
      <c r="K142" s="52"/>
      <c r="L142" s="52"/>
      <c r="M142" s="52"/>
      <c r="N142" s="52"/>
      <c r="O142" s="52"/>
      <c r="P142" s="52"/>
      <c r="Q142" s="52"/>
      <c r="R142" s="50">
        <f>'State DisAgg LFx10 (2015)'!R630</f>
        <v>3</v>
      </c>
      <c r="S142" s="51">
        <f t="shared" ref="S142:X142" si="30">R142+(($Y142-$R142)/6)</f>
        <v>3.3333333333333335</v>
      </c>
      <c r="T142" s="51">
        <f t="shared" si="30"/>
        <v>3.666666666666667</v>
      </c>
      <c r="U142" s="51">
        <f t="shared" si="30"/>
        <v>4</v>
      </c>
      <c r="V142" s="51">
        <f t="shared" si="30"/>
        <v>4.333333333333333</v>
      </c>
      <c r="W142" s="51">
        <f t="shared" si="30"/>
        <v>4.6666666666666661</v>
      </c>
      <c r="X142" s="51">
        <f t="shared" si="30"/>
        <v>4.9999999999999991</v>
      </c>
      <c r="Y142" s="50">
        <f>'State DisAgg LFx10 (2015)'!V630</f>
        <v>5</v>
      </c>
      <c r="Z142" s="51">
        <f t="shared" ref="Z142" si="31">Y142</f>
        <v>5</v>
      </c>
      <c r="AA142" s="38">
        <f>'Lagos Workings'!AA142*5</f>
        <v>25</v>
      </c>
      <c r="AB142" s="457">
        <f>AA142/22</f>
        <v>1.1363636363636365</v>
      </c>
      <c r="AD142" s="451">
        <f>V142</f>
        <v>4.333333333333333</v>
      </c>
      <c r="AE142" s="346"/>
      <c r="AF142" s="453">
        <f t="shared" ref="AF142:AG143" si="32">IF($AG$1=16,R142,IF($AG$1=17,S142,IF($AG$1=18,T142,IF($AG$1=19,U142,IF($AG$1=20,V142,IF($AG$1=21,W142,IF($AG$1=22,X142,0)))))))</f>
        <v>4.6666666666666661</v>
      </c>
      <c r="AG142" s="453">
        <f t="shared" si="32"/>
        <v>4.9999999999999991</v>
      </c>
      <c r="AI142" s="338"/>
    </row>
    <row r="143" spans="1:35" ht="15.75" thickBot="1">
      <c r="A143" s="45"/>
      <c r="B143" s="46" t="s">
        <v>829</v>
      </c>
      <c r="C143" s="52"/>
      <c r="D143" s="52"/>
      <c r="E143" s="52"/>
      <c r="F143" s="52"/>
      <c r="G143" s="52"/>
      <c r="H143" s="52"/>
      <c r="I143" s="52"/>
      <c r="J143" s="52"/>
      <c r="K143" s="52"/>
      <c r="L143" s="52"/>
      <c r="M143" s="52"/>
      <c r="N143" s="52"/>
      <c r="O143" s="52"/>
      <c r="P143" s="52"/>
      <c r="Q143" s="52"/>
      <c r="R143" s="71">
        <f>R142</f>
        <v>3</v>
      </c>
      <c r="S143" s="52"/>
      <c r="T143" s="52"/>
      <c r="U143" s="52"/>
      <c r="V143" s="757">
        <v>4</v>
      </c>
      <c r="W143" s="757">
        <v>5</v>
      </c>
      <c r="X143" s="70">
        <f>'State DisAgg LFx10 (2015)'!$V642</f>
        <v>7</v>
      </c>
      <c r="Y143" s="70">
        <f>'State DisAgg LFx10 (2015)'!$V642</f>
        <v>7</v>
      </c>
      <c r="Z143" s="70">
        <f>'State DisAgg LFx10 (2015)'!$V642</f>
        <v>7</v>
      </c>
      <c r="AA143" s="49"/>
      <c r="AB143" s="421"/>
      <c r="AD143" s="452">
        <f>V143</f>
        <v>4</v>
      </c>
      <c r="AE143" s="346"/>
      <c r="AF143" s="452">
        <f t="shared" si="32"/>
        <v>5</v>
      </c>
      <c r="AG143" s="452">
        <f t="shared" si="32"/>
        <v>7</v>
      </c>
      <c r="AH143" s="342">
        <f>AG143</f>
        <v>7</v>
      </c>
      <c r="AI143" s="342">
        <f>AG143</f>
        <v>7</v>
      </c>
    </row>
    <row r="144" spans="1:35">
      <c r="A144" s="45"/>
      <c r="B144" s="46"/>
      <c r="C144" s="53"/>
      <c r="D144" s="75"/>
      <c r="E144" s="75"/>
      <c r="F144" s="75"/>
      <c r="G144" s="75"/>
      <c r="H144" s="75"/>
      <c r="I144" s="75"/>
      <c r="J144" s="75"/>
      <c r="K144" s="75"/>
      <c r="L144" s="53"/>
      <c r="M144" s="53"/>
      <c r="N144" s="53"/>
      <c r="O144" s="53"/>
      <c r="P144" s="53"/>
      <c r="Q144" s="53"/>
      <c r="R144" s="53"/>
      <c r="S144" s="53"/>
      <c r="T144" s="53"/>
      <c r="U144" s="53"/>
      <c r="V144" s="53"/>
      <c r="W144" s="53"/>
      <c r="X144" s="53"/>
      <c r="Y144" s="53"/>
      <c r="Z144" s="53"/>
      <c r="AA144" s="49"/>
      <c r="AB144" s="421"/>
      <c r="AD144" s="345"/>
      <c r="AE144" s="346"/>
      <c r="AF144" s="454"/>
      <c r="AG144" s="454"/>
      <c r="AI144" s="338"/>
    </row>
    <row r="145" spans="1:35" ht="15.75" thickBot="1">
      <c r="A145" s="41" t="s">
        <v>706</v>
      </c>
      <c r="B145" s="42" t="s">
        <v>830</v>
      </c>
      <c r="C145" s="52"/>
      <c r="D145" s="52"/>
      <c r="E145" s="52"/>
      <c r="F145" s="52"/>
      <c r="G145" s="52"/>
      <c r="H145" s="52"/>
      <c r="I145" s="52"/>
      <c r="J145" s="52"/>
      <c r="K145" s="52"/>
      <c r="L145" s="52"/>
      <c r="M145" s="52"/>
      <c r="N145" s="52"/>
      <c r="O145" s="52"/>
      <c r="P145" s="52"/>
      <c r="Q145" s="52"/>
      <c r="R145" s="50">
        <f>'State DisAgg LFx10 (2015)'!S630</f>
        <v>1</v>
      </c>
      <c r="S145" s="51">
        <f t="shared" ref="S145:X145" si="33">R145+(($Y145-$R145)/6)</f>
        <v>1.1666666666666667</v>
      </c>
      <c r="T145" s="51">
        <f t="shared" si="33"/>
        <v>1.3333333333333335</v>
      </c>
      <c r="U145" s="51">
        <f t="shared" si="33"/>
        <v>1.5000000000000002</v>
      </c>
      <c r="V145" s="51">
        <f t="shared" si="33"/>
        <v>1.666666666666667</v>
      </c>
      <c r="W145" s="51">
        <f t="shared" si="33"/>
        <v>1.8333333333333337</v>
      </c>
      <c r="X145" s="51">
        <f t="shared" si="33"/>
        <v>2.0000000000000004</v>
      </c>
      <c r="Y145" s="50">
        <f>'State DisAgg LFx10 (2015)'!W630</f>
        <v>2</v>
      </c>
      <c r="Z145" s="51">
        <f t="shared" ref="Z145" si="34">Y145</f>
        <v>2</v>
      </c>
      <c r="AA145" s="38">
        <f>'Lagos Workings'!AA145*5</f>
        <v>25</v>
      </c>
      <c r="AB145" s="457">
        <f>AA145/22</f>
        <v>1.1363636363636365</v>
      </c>
      <c r="AD145" s="451">
        <f>V145</f>
        <v>1.666666666666667</v>
      </c>
      <c r="AE145" s="346"/>
      <c r="AF145" s="453">
        <f t="shared" ref="AF145:AG146" si="35">IF($AG$1=16,R145,IF($AG$1=17,S145,IF($AG$1=18,T145,IF($AG$1=19,U145,IF($AG$1=20,V145,IF($AG$1=21,W145,IF($AG$1=22,X145,0)))))))</f>
        <v>1.8333333333333337</v>
      </c>
      <c r="AG145" s="453">
        <f t="shared" si="35"/>
        <v>2.0000000000000004</v>
      </c>
      <c r="AI145" s="338"/>
    </row>
    <row r="146" spans="1:35" ht="15.75" thickBot="1">
      <c r="A146" s="45"/>
      <c r="B146" s="46" t="s">
        <v>831</v>
      </c>
      <c r="C146" s="52"/>
      <c r="D146" s="52"/>
      <c r="E146" s="52"/>
      <c r="F146" s="52"/>
      <c r="G146" s="52"/>
      <c r="H146" s="52"/>
      <c r="I146" s="52"/>
      <c r="J146" s="52"/>
      <c r="K146" s="52"/>
      <c r="L146" s="52"/>
      <c r="M146" s="52"/>
      <c r="N146" s="52"/>
      <c r="O146" s="52"/>
      <c r="P146" s="52"/>
      <c r="Q146" s="52"/>
      <c r="R146" s="71">
        <f>R145</f>
        <v>1</v>
      </c>
      <c r="S146" s="52"/>
      <c r="T146" s="52"/>
      <c r="U146" s="52"/>
      <c r="V146" s="757">
        <v>2</v>
      </c>
      <c r="W146" s="757">
        <v>2</v>
      </c>
      <c r="X146" s="70">
        <f>'State DisAgg LFx10 (2015)'!$W642</f>
        <v>3</v>
      </c>
      <c r="Y146" s="70">
        <f>'State DisAgg LFx10 (2015)'!$W642</f>
        <v>3</v>
      </c>
      <c r="Z146" s="70">
        <f>'State DisAgg LFx10 (2015)'!$W642</f>
        <v>3</v>
      </c>
      <c r="AA146" s="49"/>
      <c r="AB146" s="421"/>
      <c r="AD146" s="452">
        <f>V146</f>
        <v>2</v>
      </c>
      <c r="AE146" s="346"/>
      <c r="AF146" s="452">
        <f t="shared" si="35"/>
        <v>2</v>
      </c>
      <c r="AG146" s="452">
        <f t="shared" si="35"/>
        <v>3</v>
      </c>
      <c r="AH146" s="342">
        <f>AG146</f>
        <v>3</v>
      </c>
      <c r="AI146" s="342">
        <f>AG146</f>
        <v>3</v>
      </c>
    </row>
    <row r="147" spans="1:35">
      <c r="A147" s="45"/>
      <c r="B147" s="46"/>
      <c r="C147" s="53"/>
      <c r="D147" s="75"/>
      <c r="E147" s="75"/>
      <c r="F147" s="75"/>
      <c r="G147" s="75"/>
      <c r="H147" s="75"/>
      <c r="I147" s="75"/>
      <c r="J147" s="75"/>
      <c r="K147" s="75"/>
      <c r="L147" s="53"/>
      <c r="M147" s="53"/>
      <c r="N147" s="53"/>
      <c r="O147" s="53"/>
      <c r="P147" s="53"/>
      <c r="Q147" s="53"/>
      <c r="R147" s="53"/>
      <c r="S147" s="48"/>
      <c r="T147" s="48"/>
      <c r="U147" s="48"/>
      <c r="V147" s="48"/>
      <c r="W147" s="48"/>
      <c r="X147" s="48"/>
      <c r="Y147" s="48"/>
      <c r="Z147" s="48"/>
      <c r="AA147" s="49"/>
      <c r="AB147" s="421"/>
      <c r="AI147" s="338"/>
    </row>
    <row r="148" spans="1:35">
      <c r="A148" s="38"/>
      <c r="AI148" s="338"/>
    </row>
    <row r="149" spans="1:35">
      <c r="C149" s="55" t="s">
        <v>194</v>
      </c>
      <c r="D149" s="431"/>
      <c r="E149" s="432"/>
      <c r="F149" s="433"/>
    </row>
    <row r="150" spans="1:35">
      <c r="C150" s="55" t="s">
        <v>195</v>
      </c>
      <c r="D150" s="434" t="s">
        <v>196</v>
      </c>
      <c r="E150" s="435" t="s">
        <v>153</v>
      </c>
      <c r="F150" s="435" t="s">
        <v>154</v>
      </c>
      <c r="G150" s="435" t="s">
        <v>158</v>
      </c>
      <c r="H150" s="434" t="s">
        <v>197</v>
      </c>
    </row>
    <row r="151" spans="1:35">
      <c r="C151" s="55"/>
      <c r="D151" s="434"/>
      <c r="E151" s="435"/>
      <c r="F151" s="435"/>
      <c r="G151" s="435"/>
      <c r="H151" s="434"/>
    </row>
    <row r="153" spans="1:35" ht="14.25">
      <c r="A153" s="1356" t="s">
        <v>727</v>
      </c>
      <c r="B153" s="1356"/>
    </row>
    <row r="154" spans="1:35" ht="14.25">
      <c r="A154" s="1356"/>
      <c r="B154" s="1356"/>
    </row>
    <row r="155" spans="1:35" ht="14.25">
      <c r="A155" s="1356"/>
      <c r="B155" s="1356"/>
    </row>
    <row r="156" spans="1:35" ht="14.25">
      <c r="A156" s="1356"/>
      <c r="B156" s="1356"/>
    </row>
    <row r="157" spans="1:35" s="54" customFormat="1" ht="14.25">
      <c r="A157" s="1356"/>
      <c r="B157" s="1356"/>
      <c r="AA157" s="38"/>
      <c r="AB157" s="38"/>
      <c r="AC157" s="335"/>
      <c r="AD157" s="335"/>
      <c r="AE157" s="335"/>
      <c r="AF157" s="335"/>
      <c r="AG157" s="335"/>
      <c r="AH157" s="335"/>
      <c r="AI157" s="335"/>
    </row>
  </sheetData>
  <sheetProtection password="CF55" sheet="1" objects="1" scenarios="1" selectLockedCells="1"/>
  <mergeCells count="7">
    <mergeCell ref="S1:V1"/>
    <mergeCell ref="W1:Z1"/>
    <mergeCell ref="A153:B157"/>
    <mergeCell ref="D1:G1"/>
    <mergeCell ref="H1:K1"/>
    <mergeCell ref="L1:N1"/>
    <mergeCell ref="O1:R1"/>
  </mergeCells>
  <conditionalFormatting sqref="AH113">
    <cfRule type="iconSet" priority="93">
      <iconSet iconSet="5ArrowsGray" showValue="0">
        <cfvo type="percent" val="0"/>
        <cfvo type="formula" val="$AF$113-$AB$112" gte="0"/>
        <cfvo type="formula" val="$AF$113"/>
        <cfvo type="formula" val="$AF$113" gte="0"/>
        <cfvo type="formula" val="$AF$113+$AB$112"/>
      </iconSet>
    </cfRule>
  </conditionalFormatting>
  <conditionalFormatting sqref="AH113">
    <cfRule type="cellIs" dxfId="221" priority="94" stopIfTrue="1" operator="greaterThanOrEqual">
      <formula>AG112</formula>
    </cfRule>
    <cfRule type="cellIs" dxfId="220" priority="96" stopIfTrue="1" operator="lessThan">
      <formula>AG112</formula>
    </cfRule>
  </conditionalFormatting>
  <conditionalFormatting sqref="AH113">
    <cfRule type="cellIs" dxfId="219" priority="95" stopIfTrue="1" operator="lessThan">
      <formula>AD112</formula>
    </cfRule>
  </conditionalFormatting>
  <conditionalFormatting sqref="AI113">
    <cfRule type="iconSet" priority="89">
      <iconSet iconSet="5ArrowsGray" showValue="0">
        <cfvo type="percent" val="0"/>
        <cfvo type="formula" val="$AF$113-$AB$112" gte="0"/>
        <cfvo type="formula" val="$AF$113"/>
        <cfvo type="formula" val="$AF$113" gte="0"/>
        <cfvo type="formula" val="$AF$113+$AB$112"/>
      </iconSet>
    </cfRule>
  </conditionalFormatting>
  <conditionalFormatting sqref="AI113">
    <cfRule type="cellIs" dxfId="218" priority="90" stopIfTrue="1" operator="greaterThanOrEqual">
      <formula>AG112</formula>
    </cfRule>
    <cfRule type="cellIs" dxfId="217" priority="92" stopIfTrue="1" operator="lessThan">
      <formula>AG112</formula>
    </cfRule>
  </conditionalFormatting>
  <conditionalFormatting sqref="AI113">
    <cfRule type="cellIs" dxfId="216" priority="91" stopIfTrue="1" operator="lessThanOrEqual">
      <formula>AD112</formula>
    </cfRule>
  </conditionalFormatting>
  <conditionalFormatting sqref="AH116">
    <cfRule type="iconSet" priority="85">
      <iconSet iconSet="5ArrowsGray" showValue="0">
        <cfvo type="percent" val="0"/>
        <cfvo type="formula" val="$AF$116-$AB$115" gte="0"/>
        <cfvo type="formula" val="$AF$116"/>
        <cfvo type="formula" val="$AF$116" gte="0"/>
        <cfvo type="formula" val="$AF$116+$AB$115"/>
      </iconSet>
    </cfRule>
  </conditionalFormatting>
  <conditionalFormatting sqref="AH116">
    <cfRule type="cellIs" dxfId="215" priority="86" stopIfTrue="1" operator="greaterThanOrEqual">
      <formula>AG115</formula>
    </cfRule>
    <cfRule type="cellIs" dxfId="214" priority="88" stopIfTrue="1" operator="lessThan">
      <formula>AG115</formula>
    </cfRule>
  </conditionalFormatting>
  <conditionalFormatting sqref="AH116">
    <cfRule type="cellIs" dxfId="213" priority="87" stopIfTrue="1" operator="lessThan">
      <formula>AD115</formula>
    </cfRule>
  </conditionalFormatting>
  <conditionalFormatting sqref="AI116">
    <cfRule type="iconSet" priority="81">
      <iconSet iconSet="5ArrowsGray" showValue="0">
        <cfvo type="percent" val="0"/>
        <cfvo type="formula" val="$AF$116-$AB$115" gte="0"/>
        <cfvo type="formula" val="$AF$116"/>
        <cfvo type="formula" val="$AF$116" gte="0"/>
        <cfvo type="formula" val="$AF$116+$AB$115"/>
      </iconSet>
    </cfRule>
  </conditionalFormatting>
  <conditionalFormatting sqref="AI116">
    <cfRule type="cellIs" dxfId="212" priority="82" stopIfTrue="1" operator="greaterThanOrEqual">
      <formula>AG115</formula>
    </cfRule>
    <cfRule type="cellIs" dxfId="211" priority="84" stopIfTrue="1" operator="lessThan">
      <formula>AG115</formula>
    </cfRule>
  </conditionalFormatting>
  <conditionalFormatting sqref="AI116">
    <cfRule type="cellIs" dxfId="210" priority="83" stopIfTrue="1" operator="lessThanOrEqual">
      <formula>AD115</formula>
    </cfRule>
  </conditionalFormatting>
  <conditionalFormatting sqref="AH119">
    <cfRule type="iconSet" priority="77">
      <iconSet iconSet="5ArrowsGray" showValue="0">
        <cfvo type="percent" val="0"/>
        <cfvo type="formula" val="$AF$119-$AB$118" gte="0"/>
        <cfvo type="formula" val="$AF$119"/>
        <cfvo type="formula" val="$AF$119" gte="0"/>
        <cfvo type="formula" val="$AF$119+$AB$118"/>
      </iconSet>
    </cfRule>
  </conditionalFormatting>
  <conditionalFormatting sqref="AH119">
    <cfRule type="cellIs" dxfId="209" priority="78" stopIfTrue="1" operator="greaterThanOrEqual">
      <formula>AG118</formula>
    </cfRule>
    <cfRule type="cellIs" dxfId="208" priority="80" stopIfTrue="1" operator="lessThan">
      <formula>AG118</formula>
    </cfRule>
  </conditionalFormatting>
  <conditionalFormatting sqref="AH119">
    <cfRule type="cellIs" dxfId="207" priority="79" stopIfTrue="1" operator="lessThan">
      <formula>AD118</formula>
    </cfRule>
  </conditionalFormatting>
  <conditionalFormatting sqref="AI119">
    <cfRule type="iconSet" priority="73">
      <iconSet iconSet="5ArrowsGray" showValue="0">
        <cfvo type="percent" val="0"/>
        <cfvo type="formula" val="$AF$119-$AB$118" gte="0"/>
        <cfvo type="formula" val="$AF$119"/>
        <cfvo type="formula" val="$AF$119" gte="0"/>
        <cfvo type="formula" val="$AF$119+$AB$118"/>
      </iconSet>
    </cfRule>
  </conditionalFormatting>
  <conditionalFormatting sqref="AI119">
    <cfRule type="cellIs" dxfId="206" priority="74" stopIfTrue="1" operator="greaterThanOrEqual">
      <formula>AG118</formula>
    </cfRule>
    <cfRule type="cellIs" dxfId="205" priority="76" stopIfTrue="1" operator="lessThan">
      <formula>AG118</formula>
    </cfRule>
  </conditionalFormatting>
  <conditionalFormatting sqref="AI119">
    <cfRule type="cellIs" dxfId="204" priority="75" stopIfTrue="1" operator="lessThanOrEqual">
      <formula>AD118</formula>
    </cfRule>
  </conditionalFormatting>
  <conditionalFormatting sqref="AH122">
    <cfRule type="iconSet" priority="69">
      <iconSet iconSet="5ArrowsGray" showValue="0">
        <cfvo type="percent" val="0"/>
        <cfvo type="formula" val="$AF$122-$AB$121" gte="0"/>
        <cfvo type="formula" val="$AF$122"/>
        <cfvo type="formula" val="$AF$122" gte="0"/>
        <cfvo type="formula" val="$AF$122+$AB$121"/>
      </iconSet>
    </cfRule>
  </conditionalFormatting>
  <conditionalFormatting sqref="AH122">
    <cfRule type="cellIs" dxfId="203" priority="70" stopIfTrue="1" operator="greaterThanOrEqual">
      <formula>AG121</formula>
    </cfRule>
    <cfRule type="cellIs" dxfId="202" priority="72" stopIfTrue="1" operator="lessThan">
      <formula>AG121</formula>
    </cfRule>
  </conditionalFormatting>
  <conditionalFormatting sqref="AH122">
    <cfRule type="cellIs" dxfId="201" priority="71" stopIfTrue="1" operator="lessThan">
      <formula>AD121</formula>
    </cfRule>
  </conditionalFormatting>
  <conditionalFormatting sqref="AI122">
    <cfRule type="iconSet" priority="65">
      <iconSet iconSet="5ArrowsGray" showValue="0">
        <cfvo type="percent" val="0"/>
        <cfvo type="formula" val="$AF$122-$AB$121" gte="0"/>
        <cfvo type="formula" val="$AF$122"/>
        <cfvo type="formula" val="$AF$122" gte="0"/>
        <cfvo type="formula" val="$AF$122+$AB$121"/>
      </iconSet>
    </cfRule>
  </conditionalFormatting>
  <conditionalFormatting sqref="AI122">
    <cfRule type="cellIs" dxfId="200" priority="66" stopIfTrue="1" operator="greaterThanOrEqual">
      <formula>AG121</formula>
    </cfRule>
    <cfRule type="cellIs" dxfId="199" priority="68" stopIfTrue="1" operator="lessThan">
      <formula>AG121</formula>
    </cfRule>
  </conditionalFormatting>
  <conditionalFormatting sqref="AI122">
    <cfRule type="cellIs" dxfId="198" priority="67" stopIfTrue="1" operator="lessThanOrEqual">
      <formula>AD121</formula>
    </cfRule>
  </conditionalFormatting>
  <conditionalFormatting sqref="AH125">
    <cfRule type="iconSet" priority="61">
      <iconSet iconSet="5ArrowsGray" showValue="0">
        <cfvo type="percent" val="0"/>
        <cfvo type="formula" val="$AF$125-$AB$124" gte="0"/>
        <cfvo type="formula" val="$AF$125"/>
        <cfvo type="formula" val="$AF$125" gte="0"/>
        <cfvo type="formula" val="$AF$125+$AB$124"/>
      </iconSet>
    </cfRule>
  </conditionalFormatting>
  <conditionalFormatting sqref="AH125">
    <cfRule type="cellIs" dxfId="197" priority="62" stopIfTrue="1" operator="greaterThanOrEqual">
      <formula>AG124</formula>
    </cfRule>
    <cfRule type="cellIs" dxfId="196" priority="64" stopIfTrue="1" operator="lessThan">
      <formula>AG124</formula>
    </cfRule>
  </conditionalFormatting>
  <conditionalFormatting sqref="AH125">
    <cfRule type="cellIs" dxfId="195" priority="63" stopIfTrue="1" operator="lessThan">
      <formula>AD124</formula>
    </cfRule>
  </conditionalFormatting>
  <conditionalFormatting sqref="AI125">
    <cfRule type="iconSet" priority="57">
      <iconSet iconSet="5ArrowsGray" showValue="0">
        <cfvo type="percent" val="0"/>
        <cfvo type="formula" val="$AF$125-$AB$124" gte="0"/>
        <cfvo type="formula" val="$AF$125"/>
        <cfvo type="formula" val="$AF$125" gte="0"/>
        <cfvo type="formula" val="$AF$125+$AB$124"/>
      </iconSet>
    </cfRule>
  </conditionalFormatting>
  <conditionalFormatting sqref="AI125">
    <cfRule type="cellIs" dxfId="194" priority="58" stopIfTrue="1" operator="greaterThanOrEqual">
      <formula>AG124</formula>
    </cfRule>
    <cfRule type="cellIs" dxfId="193" priority="60" stopIfTrue="1" operator="lessThan">
      <formula>AG124</formula>
    </cfRule>
  </conditionalFormatting>
  <conditionalFormatting sqref="AI125">
    <cfRule type="cellIs" dxfId="192" priority="59" stopIfTrue="1" operator="lessThanOrEqual">
      <formula>AD124</formula>
    </cfRule>
  </conditionalFormatting>
  <conditionalFormatting sqref="AH128">
    <cfRule type="iconSet" priority="53">
      <iconSet iconSet="5ArrowsGray" showValue="0">
        <cfvo type="percent" val="0"/>
        <cfvo type="formula" val="$AF$128-$AB$127" gte="0"/>
        <cfvo type="formula" val="$AF$128"/>
        <cfvo type="formula" val="$AF$128" gte="0"/>
        <cfvo type="formula" val="$AF$128+$AB$127"/>
      </iconSet>
    </cfRule>
  </conditionalFormatting>
  <conditionalFormatting sqref="AH128">
    <cfRule type="cellIs" dxfId="191" priority="54" stopIfTrue="1" operator="greaterThanOrEqual">
      <formula>AG127</formula>
    </cfRule>
    <cfRule type="cellIs" dxfId="190" priority="56" stopIfTrue="1" operator="lessThan">
      <formula>AG127</formula>
    </cfRule>
  </conditionalFormatting>
  <conditionalFormatting sqref="AH128">
    <cfRule type="cellIs" dxfId="189" priority="55" stopIfTrue="1" operator="lessThan">
      <formula>AD127</formula>
    </cfRule>
  </conditionalFormatting>
  <conditionalFormatting sqref="AI128">
    <cfRule type="iconSet" priority="49">
      <iconSet iconSet="5ArrowsGray" showValue="0">
        <cfvo type="percent" val="0"/>
        <cfvo type="formula" val="$AF$128-$AB$127" gte="0"/>
        <cfvo type="formula" val="$AF$128"/>
        <cfvo type="formula" val="$AF$128" gte="0"/>
        <cfvo type="formula" val="$AF$128+$AB$127"/>
      </iconSet>
    </cfRule>
  </conditionalFormatting>
  <conditionalFormatting sqref="AI128">
    <cfRule type="cellIs" dxfId="188" priority="50" stopIfTrue="1" operator="greaterThanOrEqual">
      <formula>AG127</formula>
    </cfRule>
    <cfRule type="cellIs" dxfId="187" priority="52" stopIfTrue="1" operator="lessThan">
      <formula>AG127</formula>
    </cfRule>
  </conditionalFormatting>
  <conditionalFormatting sqref="AI128">
    <cfRule type="cellIs" dxfId="186" priority="51" stopIfTrue="1" operator="lessThanOrEqual">
      <formula>AD127</formula>
    </cfRule>
  </conditionalFormatting>
  <conditionalFormatting sqref="AH131">
    <cfRule type="iconSet" priority="45">
      <iconSet iconSet="5ArrowsGray" showValue="0">
        <cfvo type="percent" val="0"/>
        <cfvo type="formula" val="$AF$131-$AB$130" gte="0"/>
        <cfvo type="formula" val="$AF$131"/>
        <cfvo type="formula" val="$AF$131" gte="0"/>
        <cfvo type="formula" val="$AF$131+$AB$130"/>
      </iconSet>
    </cfRule>
  </conditionalFormatting>
  <conditionalFormatting sqref="AH131">
    <cfRule type="cellIs" dxfId="185" priority="46" stopIfTrue="1" operator="greaterThanOrEqual">
      <formula>AG130</formula>
    </cfRule>
    <cfRule type="cellIs" dxfId="184" priority="48" stopIfTrue="1" operator="lessThan">
      <formula>AG130</formula>
    </cfRule>
  </conditionalFormatting>
  <conditionalFormatting sqref="AH131">
    <cfRule type="cellIs" dxfId="183" priority="47" stopIfTrue="1" operator="lessThan">
      <formula>AD130</formula>
    </cfRule>
  </conditionalFormatting>
  <conditionalFormatting sqref="AI131">
    <cfRule type="iconSet" priority="41">
      <iconSet iconSet="5ArrowsGray" showValue="0">
        <cfvo type="percent" val="0"/>
        <cfvo type="formula" val="$AF$131-$AB$130" gte="0"/>
        <cfvo type="formula" val="$AF$131"/>
        <cfvo type="formula" val="$AF$131" gte="0"/>
        <cfvo type="formula" val="$AF$131+$AB$130"/>
      </iconSet>
    </cfRule>
  </conditionalFormatting>
  <conditionalFormatting sqref="AI131">
    <cfRule type="cellIs" dxfId="182" priority="42" stopIfTrue="1" operator="greaterThanOrEqual">
      <formula>AG130</formula>
    </cfRule>
    <cfRule type="cellIs" dxfId="181" priority="44" stopIfTrue="1" operator="lessThan">
      <formula>AG130</formula>
    </cfRule>
  </conditionalFormatting>
  <conditionalFormatting sqref="AI131">
    <cfRule type="cellIs" dxfId="180" priority="43" stopIfTrue="1" operator="lessThanOrEqual">
      <formula>AD130</formula>
    </cfRule>
  </conditionalFormatting>
  <conditionalFormatting sqref="AH134">
    <cfRule type="iconSet" priority="37">
      <iconSet iconSet="5ArrowsGray" showValue="0">
        <cfvo type="percent" val="0"/>
        <cfvo type="formula" val="$AF$134-$AB$133" gte="0"/>
        <cfvo type="formula" val="$AF$134"/>
        <cfvo type="formula" val="$AF$134" gte="0"/>
        <cfvo type="formula" val="$AF$134+$AB$133"/>
      </iconSet>
    </cfRule>
  </conditionalFormatting>
  <conditionalFormatting sqref="AH134">
    <cfRule type="cellIs" dxfId="179" priority="38" stopIfTrue="1" operator="greaterThanOrEqual">
      <formula>AG133</formula>
    </cfRule>
    <cfRule type="cellIs" dxfId="178" priority="40" stopIfTrue="1" operator="lessThan">
      <formula>AG133</formula>
    </cfRule>
  </conditionalFormatting>
  <conditionalFormatting sqref="AH134">
    <cfRule type="cellIs" dxfId="177" priority="39" stopIfTrue="1" operator="lessThan">
      <formula>AD133</formula>
    </cfRule>
  </conditionalFormatting>
  <conditionalFormatting sqref="AI134">
    <cfRule type="iconSet" priority="33">
      <iconSet iconSet="5ArrowsGray" showValue="0">
        <cfvo type="percent" val="0"/>
        <cfvo type="formula" val="$AF$134-$AB$133" gte="0"/>
        <cfvo type="formula" val="$AF$134"/>
        <cfvo type="formula" val="$AF$134" gte="0"/>
        <cfvo type="formula" val="$AF$134+$AB$133"/>
      </iconSet>
    </cfRule>
  </conditionalFormatting>
  <conditionalFormatting sqref="AI134">
    <cfRule type="cellIs" dxfId="176" priority="34" stopIfTrue="1" operator="greaterThanOrEqual">
      <formula>AG133</formula>
    </cfRule>
    <cfRule type="cellIs" dxfId="175" priority="36" stopIfTrue="1" operator="lessThan">
      <formula>AG133</formula>
    </cfRule>
  </conditionalFormatting>
  <conditionalFormatting sqref="AI134">
    <cfRule type="cellIs" dxfId="174" priority="35" stopIfTrue="1" operator="lessThanOrEqual">
      <formula>AD133</formula>
    </cfRule>
  </conditionalFormatting>
  <conditionalFormatting sqref="AH137">
    <cfRule type="iconSet" priority="29">
      <iconSet iconSet="5ArrowsGray" showValue="0">
        <cfvo type="percent" val="0"/>
        <cfvo type="formula" val="$AF$137-$AB$136" gte="0"/>
        <cfvo type="formula" val="$AF$137"/>
        <cfvo type="formula" val="$AF$137" gte="0"/>
        <cfvo type="formula" val="$AF$137+$AB$136"/>
      </iconSet>
    </cfRule>
  </conditionalFormatting>
  <conditionalFormatting sqref="AH137">
    <cfRule type="cellIs" dxfId="173" priority="30" stopIfTrue="1" operator="greaterThanOrEqual">
      <formula>AG136</formula>
    </cfRule>
    <cfRule type="cellIs" dxfId="172" priority="32" stopIfTrue="1" operator="lessThan">
      <formula>AG136</formula>
    </cfRule>
  </conditionalFormatting>
  <conditionalFormatting sqref="AH137">
    <cfRule type="cellIs" dxfId="171" priority="31" stopIfTrue="1" operator="lessThan">
      <formula>AD136</formula>
    </cfRule>
  </conditionalFormatting>
  <conditionalFormatting sqref="AI137">
    <cfRule type="iconSet" priority="25">
      <iconSet iconSet="5ArrowsGray" showValue="0">
        <cfvo type="percent" val="0"/>
        <cfvo type="formula" val="$AF$137-$AB$136" gte="0"/>
        <cfvo type="formula" val="$AF$137"/>
        <cfvo type="formula" val="$AF$137" gte="0"/>
        <cfvo type="formula" val="$AF$137+$AB$136"/>
      </iconSet>
    </cfRule>
  </conditionalFormatting>
  <conditionalFormatting sqref="AI137">
    <cfRule type="cellIs" dxfId="170" priority="26" stopIfTrue="1" operator="greaterThanOrEqual">
      <formula>AG136</formula>
    </cfRule>
    <cfRule type="cellIs" dxfId="169" priority="28" stopIfTrue="1" operator="lessThan">
      <formula>AG136</formula>
    </cfRule>
  </conditionalFormatting>
  <conditionalFormatting sqref="AI137">
    <cfRule type="cellIs" dxfId="168" priority="27" stopIfTrue="1" operator="lessThanOrEqual">
      <formula>AD136</formula>
    </cfRule>
  </conditionalFormatting>
  <conditionalFormatting sqref="AH140">
    <cfRule type="iconSet" priority="21">
      <iconSet iconSet="5ArrowsGray" showValue="0">
        <cfvo type="percent" val="0"/>
        <cfvo type="formula" val="$AF$140-$AB$139" gte="0"/>
        <cfvo type="formula" val="$AF$140"/>
        <cfvo type="formula" val="$AF$140" gte="0"/>
        <cfvo type="formula" val="$AF$140+$AB$139"/>
      </iconSet>
    </cfRule>
  </conditionalFormatting>
  <conditionalFormatting sqref="AH140">
    <cfRule type="cellIs" dxfId="167" priority="22" stopIfTrue="1" operator="greaterThanOrEqual">
      <formula>AG139</formula>
    </cfRule>
    <cfRule type="cellIs" dxfId="166" priority="24" stopIfTrue="1" operator="lessThan">
      <formula>AG139</formula>
    </cfRule>
  </conditionalFormatting>
  <conditionalFormatting sqref="AH140">
    <cfRule type="cellIs" dxfId="165" priority="23" stopIfTrue="1" operator="lessThan">
      <formula>AD139</formula>
    </cfRule>
  </conditionalFormatting>
  <conditionalFormatting sqref="AI140">
    <cfRule type="iconSet" priority="17">
      <iconSet iconSet="5ArrowsGray" showValue="0">
        <cfvo type="percent" val="0"/>
        <cfvo type="formula" val="$AF$140-$AB$139" gte="0"/>
        <cfvo type="formula" val="$AF$140"/>
        <cfvo type="formula" val="$AF$140" gte="0"/>
        <cfvo type="formula" val="$AF$140+$AB$139"/>
      </iconSet>
    </cfRule>
  </conditionalFormatting>
  <conditionalFormatting sqref="AI140">
    <cfRule type="cellIs" dxfId="164" priority="18" stopIfTrue="1" operator="greaterThanOrEqual">
      <formula>AG139</formula>
    </cfRule>
    <cfRule type="cellIs" dxfId="163" priority="20" stopIfTrue="1" operator="lessThan">
      <formula>AG139</formula>
    </cfRule>
  </conditionalFormatting>
  <conditionalFormatting sqref="AI140">
    <cfRule type="cellIs" dxfId="162" priority="19" stopIfTrue="1" operator="lessThanOrEqual">
      <formula>AD139</formula>
    </cfRule>
  </conditionalFormatting>
  <conditionalFormatting sqref="AH143">
    <cfRule type="iconSet" priority="13">
      <iconSet iconSet="5ArrowsGray" showValue="0">
        <cfvo type="percent" val="0"/>
        <cfvo type="formula" val="$AF$143-$AB$142" gte="0"/>
        <cfvo type="formula" val="$AF$143"/>
        <cfvo type="formula" val="$AF$143" gte="0"/>
        <cfvo type="formula" val="$AF$143+$AB$142"/>
      </iconSet>
    </cfRule>
  </conditionalFormatting>
  <conditionalFormatting sqref="AH143">
    <cfRule type="cellIs" dxfId="161" priority="14" stopIfTrue="1" operator="greaterThanOrEqual">
      <formula>AG142</formula>
    </cfRule>
    <cfRule type="cellIs" dxfId="160" priority="16" stopIfTrue="1" operator="lessThan">
      <formula>AG142</formula>
    </cfRule>
  </conditionalFormatting>
  <conditionalFormatting sqref="AH143">
    <cfRule type="cellIs" dxfId="159" priority="15" stopIfTrue="1" operator="lessThan">
      <formula>AD142</formula>
    </cfRule>
  </conditionalFormatting>
  <conditionalFormatting sqref="AI143">
    <cfRule type="iconSet" priority="9">
      <iconSet iconSet="5ArrowsGray" showValue="0">
        <cfvo type="percent" val="0"/>
        <cfvo type="formula" val="$AF$143-$AB$142" gte="0"/>
        <cfvo type="formula" val="$AF$143"/>
        <cfvo type="formula" val="$AF$143" gte="0"/>
        <cfvo type="formula" val="$AF$143+$AB$142"/>
      </iconSet>
    </cfRule>
  </conditionalFormatting>
  <conditionalFormatting sqref="AI143">
    <cfRule type="cellIs" dxfId="158" priority="10" stopIfTrue="1" operator="greaterThanOrEqual">
      <formula>AG142</formula>
    </cfRule>
    <cfRule type="cellIs" dxfId="157" priority="12" stopIfTrue="1" operator="lessThan">
      <formula>AG142</formula>
    </cfRule>
  </conditionalFormatting>
  <conditionalFormatting sqref="AI143">
    <cfRule type="cellIs" dxfId="156" priority="11" stopIfTrue="1" operator="lessThanOrEqual">
      <formula>AD142</formula>
    </cfRule>
  </conditionalFormatting>
  <conditionalFormatting sqref="AH146">
    <cfRule type="iconSet" priority="5">
      <iconSet iconSet="5ArrowsGray" showValue="0">
        <cfvo type="percent" val="0"/>
        <cfvo type="formula" val="$AF$146-$AB$145" gte="0"/>
        <cfvo type="formula" val="$AF$146"/>
        <cfvo type="formula" val="$AF$146" gte="0"/>
        <cfvo type="formula" val="$AF$146+$AB$145"/>
      </iconSet>
    </cfRule>
  </conditionalFormatting>
  <conditionalFormatting sqref="AH146">
    <cfRule type="cellIs" dxfId="155" priority="6" stopIfTrue="1" operator="greaterThanOrEqual">
      <formula>AG145</formula>
    </cfRule>
    <cfRule type="cellIs" dxfId="154" priority="8" stopIfTrue="1" operator="lessThan">
      <formula>AG145</formula>
    </cfRule>
  </conditionalFormatting>
  <conditionalFormatting sqref="AH146">
    <cfRule type="cellIs" dxfId="153" priority="7" stopIfTrue="1" operator="lessThan">
      <formula>AD145</formula>
    </cfRule>
  </conditionalFormatting>
  <conditionalFormatting sqref="AI146">
    <cfRule type="iconSet" priority="1">
      <iconSet iconSet="5ArrowsGray" showValue="0">
        <cfvo type="percent" val="0"/>
        <cfvo type="formula" val="$AF$146-$AB$145" gte="0"/>
        <cfvo type="formula" val="$AF$146"/>
        <cfvo type="formula" val="$AF$146" gte="0"/>
        <cfvo type="formula" val="$AF$146+$AB$145"/>
      </iconSet>
    </cfRule>
  </conditionalFormatting>
  <conditionalFormatting sqref="AI146">
    <cfRule type="cellIs" dxfId="152" priority="2" stopIfTrue="1" operator="greaterThanOrEqual">
      <formula>AG145</formula>
    </cfRule>
    <cfRule type="cellIs" dxfId="151" priority="4" stopIfTrue="1" operator="lessThan">
      <formula>AG145</formula>
    </cfRule>
  </conditionalFormatting>
  <conditionalFormatting sqref="AI146">
    <cfRule type="cellIs" dxfId="150" priority="3" stopIfTrue="1" operator="lessThanOrEqual">
      <formula>AD145</formula>
    </cfRule>
  </conditionalFormatting>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tint="0.39997558519241921"/>
  </sheetPr>
  <dimension ref="A1:AI157"/>
  <sheetViews>
    <sheetView workbookViewId="0">
      <pane xSplit="2" ySplit="3" topLeftCell="Q4" activePane="bottomRight" state="frozen"/>
      <selection activeCell="L92" sqref="L92:O92"/>
      <selection pane="topRight" activeCell="L92" sqref="L92:O92"/>
      <selection pane="bottomLeft" activeCell="L92" sqref="L92:O92"/>
      <selection pane="bottomRight" activeCell="L92" sqref="L92:O92"/>
    </sheetView>
  </sheetViews>
  <sheetFormatPr defaultColWidth="11.42578125" defaultRowHeight="15"/>
  <cols>
    <col min="1" max="1" width="20.85546875" style="39" customWidth="1"/>
    <col min="2" max="2" width="20.85546875" style="38" customWidth="1"/>
    <col min="3" max="3" width="10.85546875" style="54" customWidth="1"/>
    <col min="4" max="8" width="5.85546875" style="54" customWidth="1"/>
    <col min="9" max="9" width="10.85546875" style="54" customWidth="1"/>
    <col min="10" max="13" width="5.85546875" style="54" customWidth="1"/>
    <col min="14" max="14" width="10.85546875" style="54" customWidth="1"/>
    <col min="15" max="17" width="5.85546875" style="54" customWidth="1"/>
    <col min="18" max="18" width="10.85546875" style="54" customWidth="1"/>
    <col min="19" max="24" width="5.85546875" style="54" customWidth="1"/>
    <col min="25" max="25" width="10.85546875" style="54" customWidth="1"/>
    <col min="26" max="26" width="5.85546875" style="54" customWidth="1"/>
    <col min="27" max="28" width="10.85546875" style="38" customWidth="1"/>
    <col min="29" max="30" width="11.42578125" style="335"/>
    <col min="31" max="31" width="5.85546875" style="335" customWidth="1"/>
    <col min="32" max="33" width="11.42578125" style="335"/>
    <col min="34" max="34" width="5.85546875" style="335" customWidth="1"/>
    <col min="35" max="16384" width="11.42578125" style="335"/>
  </cols>
  <sheetData>
    <row r="1" spans="1:35" ht="12.95" customHeight="1" thickBot="1">
      <c r="A1" s="57" t="s">
        <v>1202</v>
      </c>
      <c r="B1" s="59" t="s">
        <v>192</v>
      </c>
      <c r="C1" s="755" t="s">
        <v>190</v>
      </c>
      <c r="D1" s="1357">
        <v>2010</v>
      </c>
      <c r="E1" s="1357"/>
      <c r="F1" s="1357"/>
      <c r="G1" s="1357"/>
      <c r="H1" s="1358">
        <v>2011</v>
      </c>
      <c r="I1" s="1358"/>
      <c r="J1" s="1358"/>
      <c r="K1" s="1358"/>
      <c r="L1" s="1353">
        <v>2012</v>
      </c>
      <c r="M1" s="1354"/>
      <c r="N1" s="1355"/>
      <c r="O1" s="1359">
        <v>2013</v>
      </c>
      <c r="P1" s="1360"/>
      <c r="Q1" s="1360"/>
      <c r="R1" s="1361"/>
      <c r="S1" s="1353">
        <v>2014</v>
      </c>
      <c r="T1" s="1354"/>
      <c r="U1" s="1354"/>
      <c r="V1" s="1355"/>
      <c r="W1" s="1351">
        <v>2015</v>
      </c>
      <c r="X1" s="1352"/>
      <c r="Y1" s="1352"/>
      <c r="Z1" s="1352"/>
      <c r="AG1" s="464">
        <v>21</v>
      </c>
      <c r="AH1" s="482" t="s">
        <v>844</v>
      </c>
    </row>
    <row r="2" spans="1:35" s="338" customFormat="1" ht="42.75">
      <c r="A2" s="58" t="s">
        <v>193</v>
      </c>
      <c r="B2" s="59" t="s">
        <v>191</v>
      </c>
      <c r="C2" s="418" t="s">
        <v>722</v>
      </c>
      <c r="D2" s="56" t="s">
        <v>141</v>
      </c>
      <c r="E2" s="56" t="s">
        <v>142</v>
      </c>
      <c r="F2" s="56" t="s">
        <v>143</v>
      </c>
      <c r="G2" s="56" t="s">
        <v>144</v>
      </c>
      <c r="H2" s="56" t="s">
        <v>141</v>
      </c>
      <c r="I2" s="418" t="s">
        <v>723</v>
      </c>
      <c r="J2" s="56" t="s">
        <v>143</v>
      </c>
      <c r="K2" s="56" t="s">
        <v>144</v>
      </c>
      <c r="L2" s="56" t="s">
        <v>141</v>
      </c>
      <c r="M2" s="56" t="s">
        <v>142</v>
      </c>
      <c r="N2" s="418" t="s">
        <v>724</v>
      </c>
      <c r="O2" s="56" t="s">
        <v>141</v>
      </c>
      <c r="P2" s="56" t="s">
        <v>142</v>
      </c>
      <c r="Q2" s="56" t="s">
        <v>143</v>
      </c>
      <c r="R2" s="418" t="s">
        <v>725</v>
      </c>
      <c r="S2" s="56" t="s">
        <v>141</v>
      </c>
      <c r="T2" s="56" t="s">
        <v>142</v>
      </c>
      <c r="U2" s="56" t="s">
        <v>143</v>
      </c>
      <c r="V2" s="56" t="s">
        <v>144</v>
      </c>
      <c r="W2" s="56" t="s">
        <v>141</v>
      </c>
      <c r="X2" s="56" t="s">
        <v>142</v>
      </c>
      <c r="Y2" s="418" t="s">
        <v>726</v>
      </c>
      <c r="Z2" s="56" t="s">
        <v>144</v>
      </c>
      <c r="AA2" s="419" t="s">
        <v>814</v>
      </c>
      <c r="AB2" s="419" t="s">
        <v>815</v>
      </c>
      <c r="AD2" s="418" t="s">
        <v>1126</v>
      </c>
      <c r="AE2" s="335"/>
      <c r="AF2" s="337" t="str">
        <f>IF($AG$1=16,R2,IF($AG$1=17,S2,IF($AG$1=18,T2,IF($AG$1=19,U2,IF($AG$1=20,V2,IF($AG$1=21,W2,IF($AG$1=22,X2,0)))))))</f>
        <v>Q1</v>
      </c>
      <c r="AG2" s="446" t="str">
        <f>IF($AG$1=16,S2,IF($AG$1=17,T2,IF($AG$1=18,U2,IF($AG$1=19,V2,IF($AG$1=20,W2,IF($AG$1=21,X2,IF($AG$1=22,Y2,0)))))))</f>
        <v>Q2</v>
      </c>
      <c r="AH2" s="447" t="s">
        <v>843</v>
      </c>
      <c r="AI2" s="447" t="s">
        <v>832</v>
      </c>
    </row>
    <row r="3" spans="1:35" s="338" customFormat="1">
      <c r="A3" s="39"/>
      <c r="B3" s="38"/>
      <c r="C3" s="456">
        <v>0</v>
      </c>
      <c r="D3" s="456">
        <v>1</v>
      </c>
      <c r="E3" s="456">
        <v>2</v>
      </c>
      <c r="F3" s="456">
        <v>3</v>
      </c>
      <c r="G3" s="456">
        <v>4</v>
      </c>
      <c r="H3" s="456">
        <v>5</v>
      </c>
      <c r="I3" s="456">
        <v>6</v>
      </c>
      <c r="J3" s="456">
        <v>7</v>
      </c>
      <c r="K3" s="456">
        <v>8</v>
      </c>
      <c r="L3" s="456">
        <v>9</v>
      </c>
      <c r="M3" s="456">
        <v>10</v>
      </c>
      <c r="N3" s="456">
        <v>11</v>
      </c>
      <c r="O3" s="456">
        <v>12</v>
      </c>
      <c r="P3" s="456">
        <v>13</v>
      </c>
      <c r="Q3" s="456">
        <v>14</v>
      </c>
      <c r="R3" s="456">
        <v>15</v>
      </c>
      <c r="S3" s="456">
        <v>16</v>
      </c>
      <c r="T3" s="456">
        <v>17</v>
      </c>
      <c r="U3" s="456">
        <v>18</v>
      </c>
      <c r="V3" s="456">
        <v>19</v>
      </c>
      <c r="W3" s="456">
        <v>20</v>
      </c>
      <c r="X3" s="456">
        <v>21</v>
      </c>
      <c r="Y3" s="456">
        <v>22</v>
      </c>
      <c r="Z3" s="456">
        <v>23</v>
      </c>
      <c r="AA3" s="39"/>
      <c r="AB3" s="39"/>
      <c r="AD3" s="448">
        <f>V3</f>
        <v>19</v>
      </c>
      <c r="AE3" s="449"/>
      <c r="AF3" s="448">
        <f t="shared" ref="AF3:AG3" si="0">IF($AG$1=16,R3,IF($AG$1=17,S3,IF($AG$1=18,T3,IF($AG$1=19,U3,IF($AG$1=20,V3,IF($AG$1=21,W3,IF($AG$1=22,X3,0)))))))</f>
        <v>20</v>
      </c>
      <c r="AG3" s="448">
        <f t="shared" si="0"/>
        <v>21</v>
      </c>
    </row>
    <row r="4" spans="1:35" s="338" customFormat="1" hidden="1">
      <c r="A4" s="39"/>
      <c r="B4" s="38"/>
      <c r="C4" s="456"/>
      <c r="D4" s="456"/>
      <c r="E4" s="456"/>
      <c r="F4" s="456"/>
      <c r="G4" s="456"/>
      <c r="H4" s="456"/>
      <c r="I4" s="456"/>
      <c r="J4" s="456"/>
      <c r="K4" s="456"/>
      <c r="L4" s="456"/>
      <c r="M4" s="456"/>
      <c r="N4" s="456"/>
      <c r="O4" s="456"/>
      <c r="P4" s="456"/>
      <c r="Q4" s="456"/>
      <c r="R4" s="456"/>
      <c r="S4" s="456"/>
      <c r="T4" s="456"/>
      <c r="U4" s="456"/>
      <c r="V4" s="456"/>
      <c r="W4" s="456"/>
      <c r="X4" s="456"/>
      <c r="Y4" s="456"/>
      <c r="Z4" s="456"/>
      <c r="AA4" s="39"/>
      <c r="AB4" s="39"/>
      <c r="AD4" s="448"/>
      <c r="AE4" s="449"/>
      <c r="AF4" s="448"/>
      <c r="AG4" s="448"/>
    </row>
    <row r="5" spans="1:35" s="338" customFormat="1" hidden="1">
      <c r="A5" s="39"/>
      <c r="B5" s="38"/>
      <c r="C5" s="456"/>
      <c r="D5" s="456"/>
      <c r="E5" s="456"/>
      <c r="F5" s="456"/>
      <c r="G5" s="456"/>
      <c r="H5" s="456"/>
      <c r="I5" s="456"/>
      <c r="J5" s="456"/>
      <c r="K5" s="456"/>
      <c r="L5" s="456"/>
      <c r="M5" s="456"/>
      <c r="N5" s="456"/>
      <c r="O5" s="456"/>
      <c r="P5" s="456"/>
      <c r="Q5" s="456"/>
      <c r="R5" s="456"/>
      <c r="S5" s="456"/>
      <c r="T5" s="456"/>
      <c r="U5" s="456"/>
      <c r="V5" s="456"/>
      <c r="W5" s="456"/>
      <c r="X5" s="456"/>
      <c r="Y5" s="456"/>
      <c r="Z5" s="456"/>
      <c r="AA5" s="39"/>
      <c r="AB5" s="39"/>
      <c r="AD5" s="448"/>
      <c r="AE5" s="449"/>
      <c r="AF5" s="448"/>
      <c r="AG5" s="448"/>
    </row>
    <row r="6" spans="1:35" s="338" customFormat="1" hidden="1">
      <c r="A6" s="39"/>
      <c r="B6" s="38"/>
      <c r="C6" s="456"/>
      <c r="D6" s="456"/>
      <c r="E6" s="456"/>
      <c r="F6" s="456"/>
      <c r="G6" s="456"/>
      <c r="H6" s="456"/>
      <c r="I6" s="456"/>
      <c r="J6" s="456"/>
      <c r="K6" s="456"/>
      <c r="L6" s="456"/>
      <c r="M6" s="456"/>
      <c r="N6" s="456"/>
      <c r="O6" s="456"/>
      <c r="P6" s="456"/>
      <c r="Q6" s="456"/>
      <c r="R6" s="456"/>
      <c r="S6" s="456"/>
      <c r="T6" s="456"/>
      <c r="U6" s="456"/>
      <c r="V6" s="456"/>
      <c r="W6" s="456"/>
      <c r="X6" s="456"/>
      <c r="Y6" s="456"/>
      <c r="Z6" s="456"/>
      <c r="AA6" s="39"/>
      <c r="AB6" s="39"/>
      <c r="AD6" s="448"/>
      <c r="AE6" s="449"/>
      <c r="AF6" s="448"/>
      <c r="AG6" s="448"/>
    </row>
    <row r="7" spans="1:35" s="338" customFormat="1" hidden="1">
      <c r="A7" s="39"/>
      <c r="B7" s="38"/>
      <c r="C7" s="456"/>
      <c r="D7" s="456"/>
      <c r="E7" s="456"/>
      <c r="F7" s="456"/>
      <c r="G7" s="456"/>
      <c r="H7" s="456"/>
      <c r="I7" s="456"/>
      <c r="J7" s="456"/>
      <c r="K7" s="456"/>
      <c r="L7" s="456"/>
      <c r="M7" s="456"/>
      <c r="N7" s="456"/>
      <c r="O7" s="456"/>
      <c r="P7" s="456"/>
      <c r="Q7" s="456"/>
      <c r="R7" s="456"/>
      <c r="S7" s="456"/>
      <c r="T7" s="456"/>
      <c r="U7" s="456"/>
      <c r="V7" s="456"/>
      <c r="W7" s="456"/>
      <c r="X7" s="456"/>
      <c r="Y7" s="456"/>
      <c r="Z7" s="456"/>
      <c r="AA7" s="39"/>
      <c r="AB7" s="39"/>
      <c r="AD7" s="448"/>
      <c r="AE7" s="449"/>
      <c r="AF7" s="448"/>
      <c r="AG7" s="448"/>
    </row>
    <row r="8" spans="1:35" s="338" customFormat="1" hidden="1">
      <c r="A8" s="39"/>
      <c r="B8" s="38"/>
      <c r="C8" s="456"/>
      <c r="D8" s="456"/>
      <c r="E8" s="456"/>
      <c r="F8" s="456"/>
      <c r="G8" s="456"/>
      <c r="H8" s="456"/>
      <c r="I8" s="456"/>
      <c r="J8" s="456"/>
      <c r="K8" s="456"/>
      <c r="L8" s="456"/>
      <c r="M8" s="456"/>
      <c r="N8" s="456"/>
      <c r="O8" s="456"/>
      <c r="P8" s="456"/>
      <c r="Q8" s="456"/>
      <c r="R8" s="456"/>
      <c r="S8" s="456"/>
      <c r="T8" s="456"/>
      <c r="U8" s="456"/>
      <c r="V8" s="456"/>
      <c r="W8" s="456"/>
      <c r="X8" s="456"/>
      <c r="Y8" s="456"/>
      <c r="Z8" s="456"/>
      <c r="AA8" s="39"/>
      <c r="AB8" s="39"/>
      <c r="AD8" s="448"/>
      <c r="AE8" s="449"/>
      <c r="AF8" s="448"/>
      <c r="AG8" s="448"/>
    </row>
    <row r="9" spans="1:35" s="338" customFormat="1" hidden="1">
      <c r="A9" s="39"/>
      <c r="B9" s="38"/>
      <c r="C9" s="456"/>
      <c r="D9" s="456"/>
      <c r="E9" s="456"/>
      <c r="F9" s="456"/>
      <c r="G9" s="456"/>
      <c r="H9" s="456"/>
      <c r="I9" s="456"/>
      <c r="J9" s="456"/>
      <c r="K9" s="456"/>
      <c r="L9" s="456"/>
      <c r="M9" s="456"/>
      <c r="N9" s="456"/>
      <c r="O9" s="456"/>
      <c r="P9" s="456"/>
      <c r="Q9" s="456"/>
      <c r="R9" s="456"/>
      <c r="S9" s="456"/>
      <c r="T9" s="456"/>
      <c r="U9" s="456"/>
      <c r="V9" s="456"/>
      <c r="W9" s="456"/>
      <c r="X9" s="456"/>
      <c r="Y9" s="456"/>
      <c r="Z9" s="456"/>
      <c r="AA9" s="39"/>
      <c r="AB9" s="39"/>
      <c r="AD9" s="448"/>
      <c r="AE9" s="449"/>
      <c r="AF9" s="448"/>
      <c r="AG9" s="448"/>
    </row>
    <row r="10" spans="1:35" s="338" customFormat="1" hidden="1">
      <c r="A10" s="39"/>
      <c r="B10" s="38"/>
      <c r="C10" s="456"/>
      <c r="D10" s="456"/>
      <c r="E10" s="456"/>
      <c r="F10" s="456"/>
      <c r="G10" s="456"/>
      <c r="H10" s="456"/>
      <c r="I10" s="456"/>
      <c r="J10" s="456"/>
      <c r="K10" s="456"/>
      <c r="L10" s="456"/>
      <c r="M10" s="456"/>
      <c r="N10" s="456"/>
      <c r="O10" s="456"/>
      <c r="P10" s="456"/>
      <c r="Q10" s="456"/>
      <c r="R10" s="456"/>
      <c r="S10" s="456"/>
      <c r="T10" s="456"/>
      <c r="U10" s="456"/>
      <c r="V10" s="456"/>
      <c r="W10" s="456"/>
      <c r="X10" s="456"/>
      <c r="Y10" s="456"/>
      <c r="Z10" s="456"/>
      <c r="AA10" s="39"/>
      <c r="AB10" s="39"/>
      <c r="AD10" s="448"/>
      <c r="AE10" s="449"/>
      <c r="AF10" s="448"/>
      <c r="AG10" s="448"/>
    </row>
    <row r="11" spans="1:35" s="338" customFormat="1" hidden="1">
      <c r="A11" s="39"/>
      <c r="B11" s="38"/>
      <c r="C11" s="456"/>
      <c r="D11" s="456"/>
      <c r="E11" s="456"/>
      <c r="F11" s="456"/>
      <c r="G11" s="456"/>
      <c r="H11" s="456"/>
      <c r="I11" s="456"/>
      <c r="J11" s="456"/>
      <c r="K11" s="456"/>
      <c r="L11" s="456"/>
      <c r="M11" s="456"/>
      <c r="N11" s="456"/>
      <c r="O11" s="456"/>
      <c r="P11" s="456"/>
      <c r="Q11" s="456"/>
      <c r="R11" s="456"/>
      <c r="S11" s="456"/>
      <c r="T11" s="456"/>
      <c r="U11" s="456"/>
      <c r="V11" s="456"/>
      <c r="W11" s="456"/>
      <c r="X11" s="456"/>
      <c r="Y11" s="456"/>
      <c r="Z11" s="456"/>
      <c r="AA11" s="39"/>
      <c r="AB11" s="39"/>
      <c r="AD11" s="448"/>
      <c r="AE11" s="449"/>
      <c r="AF11" s="448"/>
      <c r="AG11" s="448"/>
    </row>
    <row r="12" spans="1:35" s="338" customFormat="1" hidden="1">
      <c r="A12" s="39"/>
      <c r="B12" s="38"/>
      <c r="C12" s="456"/>
      <c r="D12" s="456"/>
      <c r="E12" s="456"/>
      <c r="F12" s="456"/>
      <c r="G12" s="456"/>
      <c r="H12" s="456"/>
      <c r="I12" s="456"/>
      <c r="J12" s="456"/>
      <c r="K12" s="456"/>
      <c r="L12" s="456"/>
      <c r="M12" s="456"/>
      <c r="N12" s="456"/>
      <c r="O12" s="456"/>
      <c r="P12" s="456"/>
      <c r="Q12" s="456"/>
      <c r="R12" s="456"/>
      <c r="S12" s="456"/>
      <c r="T12" s="456"/>
      <c r="U12" s="456"/>
      <c r="V12" s="456"/>
      <c r="W12" s="456"/>
      <c r="X12" s="456"/>
      <c r="Y12" s="456"/>
      <c r="Z12" s="456"/>
      <c r="AA12" s="39"/>
      <c r="AB12" s="39"/>
      <c r="AD12" s="448"/>
      <c r="AE12" s="449"/>
      <c r="AF12" s="448"/>
      <c r="AG12" s="448"/>
    </row>
    <row r="13" spans="1:35" s="338" customFormat="1" hidden="1">
      <c r="A13" s="39"/>
      <c r="B13" s="38"/>
      <c r="C13" s="456"/>
      <c r="D13" s="456"/>
      <c r="E13" s="456"/>
      <c r="F13" s="456"/>
      <c r="G13" s="456"/>
      <c r="H13" s="456"/>
      <c r="I13" s="456"/>
      <c r="J13" s="456"/>
      <c r="K13" s="456"/>
      <c r="L13" s="456"/>
      <c r="M13" s="456"/>
      <c r="N13" s="456"/>
      <c r="O13" s="456"/>
      <c r="P13" s="456"/>
      <c r="Q13" s="456"/>
      <c r="R13" s="456"/>
      <c r="S13" s="456"/>
      <c r="T13" s="456"/>
      <c r="U13" s="456"/>
      <c r="V13" s="456"/>
      <c r="W13" s="456"/>
      <c r="X13" s="456"/>
      <c r="Y13" s="456"/>
      <c r="Z13" s="456"/>
      <c r="AA13" s="39"/>
      <c r="AB13" s="39"/>
      <c r="AD13" s="448"/>
      <c r="AE13" s="449"/>
      <c r="AF13" s="448"/>
      <c r="AG13" s="448"/>
    </row>
    <row r="14" spans="1:35" s="338" customFormat="1" hidden="1">
      <c r="A14" s="39"/>
      <c r="B14" s="38"/>
      <c r="C14" s="456"/>
      <c r="D14" s="456"/>
      <c r="E14" s="456"/>
      <c r="F14" s="456"/>
      <c r="G14" s="456"/>
      <c r="H14" s="456"/>
      <c r="I14" s="456"/>
      <c r="J14" s="456"/>
      <c r="K14" s="456"/>
      <c r="L14" s="456"/>
      <c r="M14" s="456"/>
      <c r="N14" s="456"/>
      <c r="O14" s="456"/>
      <c r="P14" s="456"/>
      <c r="Q14" s="456"/>
      <c r="R14" s="456"/>
      <c r="S14" s="456"/>
      <c r="T14" s="456"/>
      <c r="U14" s="456"/>
      <c r="V14" s="456"/>
      <c r="W14" s="456"/>
      <c r="X14" s="456"/>
      <c r="Y14" s="456"/>
      <c r="Z14" s="456"/>
      <c r="AA14" s="39"/>
      <c r="AB14" s="39"/>
      <c r="AD14" s="448"/>
      <c r="AE14" s="449"/>
      <c r="AF14" s="448"/>
      <c r="AG14" s="448"/>
    </row>
    <row r="15" spans="1:35" s="338" customFormat="1" hidden="1">
      <c r="A15" s="39"/>
      <c r="B15" s="38"/>
      <c r="C15" s="456"/>
      <c r="D15" s="456"/>
      <c r="E15" s="456"/>
      <c r="F15" s="456"/>
      <c r="G15" s="456"/>
      <c r="H15" s="456"/>
      <c r="I15" s="456"/>
      <c r="J15" s="456"/>
      <c r="K15" s="456"/>
      <c r="L15" s="456"/>
      <c r="M15" s="456"/>
      <c r="N15" s="456"/>
      <c r="O15" s="456"/>
      <c r="P15" s="456"/>
      <c r="Q15" s="456"/>
      <c r="R15" s="456"/>
      <c r="S15" s="456"/>
      <c r="T15" s="456"/>
      <c r="U15" s="456"/>
      <c r="V15" s="456"/>
      <c r="W15" s="456"/>
      <c r="X15" s="456"/>
      <c r="Y15" s="456"/>
      <c r="Z15" s="456"/>
      <c r="AA15" s="39"/>
      <c r="AB15" s="39"/>
      <c r="AD15" s="448"/>
      <c r="AE15" s="449"/>
      <c r="AF15" s="448"/>
      <c r="AG15" s="448"/>
    </row>
    <row r="16" spans="1:35" s="338" customFormat="1" hidden="1">
      <c r="A16" s="39"/>
      <c r="B16" s="38"/>
      <c r="C16" s="456"/>
      <c r="D16" s="456"/>
      <c r="E16" s="456"/>
      <c r="F16" s="456"/>
      <c r="G16" s="456"/>
      <c r="H16" s="456"/>
      <c r="I16" s="456"/>
      <c r="J16" s="456"/>
      <c r="K16" s="456"/>
      <c r="L16" s="456"/>
      <c r="M16" s="456"/>
      <c r="N16" s="456"/>
      <c r="O16" s="456"/>
      <c r="P16" s="456"/>
      <c r="Q16" s="456"/>
      <c r="R16" s="456"/>
      <c r="S16" s="456"/>
      <c r="T16" s="456"/>
      <c r="U16" s="456"/>
      <c r="V16" s="456"/>
      <c r="W16" s="456"/>
      <c r="X16" s="456"/>
      <c r="Y16" s="456"/>
      <c r="Z16" s="456"/>
      <c r="AA16" s="39"/>
      <c r="AB16" s="39"/>
      <c r="AD16" s="448"/>
      <c r="AE16" s="449"/>
      <c r="AF16" s="448"/>
      <c r="AG16" s="448"/>
    </row>
    <row r="17" spans="1:33" s="338" customFormat="1" hidden="1">
      <c r="A17" s="39"/>
      <c r="B17" s="38"/>
      <c r="C17" s="456"/>
      <c r="D17" s="456"/>
      <c r="E17" s="456"/>
      <c r="F17" s="456"/>
      <c r="G17" s="456"/>
      <c r="H17" s="456"/>
      <c r="I17" s="456"/>
      <c r="J17" s="456"/>
      <c r="K17" s="456"/>
      <c r="L17" s="456"/>
      <c r="M17" s="456"/>
      <c r="N17" s="456"/>
      <c r="O17" s="456"/>
      <c r="P17" s="456"/>
      <c r="Q17" s="456"/>
      <c r="R17" s="456"/>
      <c r="S17" s="456"/>
      <c r="T17" s="456"/>
      <c r="U17" s="456"/>
      <c r="V17" s="456"/>
      <c r="W17" s="456"/>
      <c r="X17" s="456"/>
      <c r="Y17" s="456"/>
      <c r="Z17" s="456"/>
      <c r="AA17" s="39"/>
      <c r="AB17" s="39"/>
      <c r="AD17" s="448"/>
      <c r="AE17" s="449"/>
      <c r="AF17" s="448"/>
      <c r="AG17" s="448"/>
    </row>
    <row r="18" spans="1:33" s="338" customFormat="1" hidden="1">
      <c r="A18" s="39"/>
      <c r="B18" s="38"/>
      <c r="C18" s="456"/>
      <c r="D18" s="456"/>
      <c r="E18" s="456"/>
      <c r="F18" s="456"/>
      <c r="G18" s="456"/>
      <c r="H18" s="456"/>
      <c r="I18" s="456"/>
      <c r="J18" s="456"/>
      <c r="K18" s="456"/>
      <c r="L18" s="456"/>
      <c r="M18" s="456"/>
      <c r="N18" s="456"/>
      <c r="O18" s="456"/>
      <c r="P18" s="456"/>
      <c r="Q18" s="456"/>
      <c r="R18" s="456"/>
      <c r="S18" s="456"/>
      <c r="T18" s="456"/>
      <c r="U18" s="456"/>
      <c r="V18" s="456"/>
      <c r="W18" s="456"/>
      <c r="X18" s="456"/>
      <c r="Y18" s="456"/>
      <c r="Z18" s="456"/>
      <c r="AA18" s="39"/>
      <c r="AB18" s="39"/>
      <c r="AD18" s="448"/>
      <c r="AE18" s="449"/>
      <c r="AF18" s="448"/>
      <c r="AG18" s="448"/>
    </row>
    <row r="19" spans="1:33" s="338" customFormat="1" hidden="1">
      <c r="A19" s="39"/>
      <c r="B19" s="38"/>
      <c r="C19" s="456"/>
      <c r="D19" s="456"/>
      <c r="E19" s="456"/>
      <c r="F19" s="456"/>
      <c r="G19" s="456"/>
      <c r="H19" s="456"/>
      <c r="I19" s="456"/>
      <c r="J19" s="456"/>
      <c r="K19" s="456"/>
      <c r="L19" s="456"/>
      <c r="M19" s="456"/>
      <c r="N19" s="456"/>
      <c r="O19" s="456"/>
      <c r="P19" s="456"/>
      <c r="Q19" s="456"/>
      <c r="R19" s="456"/>
      <c r="S19" s="456"/>
      <c r="T19" s="456"/>
      <c r="U19" s="456"/>
      <c r="V19" s="456"/>
      <c r="W19" s="456"/>
      <c r="X19" s="456"/>
      <c r="Y19" s="456"/>
      <c r="Z19" s="456"/>
      <c r="AA19" s="39"/>
      <c r="AB19" s="39"/>
      <c r="AD19" s="448"/>
      <c r="AE19" s="449"/>
      <c r="AF19" s="448"/>
      <c r="AG19" s="448"/>
    </row>
    <row r="20" spans="1:33" s="338" customFormat="1" hidden="1">
      <c r="A20" s="39"/>
      <c r="B20" s="38"/>
      <c r="C20" s="456"/>
      <c r="D20" s="456"/>
      <c r="E20" s="456"/>
      <c r="F20" s="456"/>
      <c r="G20" s="456"/>
      <c r="H20" s="456"/>
      <c r="I20" s="456"/>
      <c r="J20" s="456"/>
      <c r="K20" s="456"/>
      <c r="L20" s="456"/>
      <c r="M20" s="456"/>
      <c r="N20" s="456"/>
      <c r="O20" s="456"/>
      <c r="P20" s="456"/>
      <c r="Q20" s="456"/>
      <c r="R20" s="456"/>
      <c r="S20" s="456"/>
      <c r="T20" s="456"/>
      <c r="U20" s="456"/>
      <c r="V20" s="456"/>
      <c r="W20" s="456"/>
      <c r="X20" s="456"/>
      <c r="Y20" s="456"/>
      <c r="Z20" s="456"/>
      <c r="AA20" s="39"/>
      <c r="AB20" s="39"/>
      <c r="AD20" s="448"/>
      <c r="AE20" s="449"/>
      <c r="AF20" s="448"/>
      <c r="AG20" s="448"/>
    </row>
    <row r="21" spans="1:33" s="338" customFormat="1" hidden="1">
      <c r="A21" s="39"/>
      <c r="B21" s="38"/>
      <c r="C21" s="456"/>
      <c r="D21" s="456"/>
      <c r="E21" s="456"/>
      <c r="F21" s="456"/>
      <c r="G21" s="456"/>
      <c r="H21" s="456"/>
      <c r="I21" s="456"/>
      <c r="J21" s="456"/>
      <c r="K21" s="456"/>
      <c r="L21" s="456"/>
      <c r="M21" s="456"/>
      <c r="N21" s="456"/>
      <c r="O21" s="456"/>
      <c r="P21" s="456"/>
      <c r="Q21" s="456"/>
      <c r="R21" s="456"/>
      <c r="S21" s="456"/>
      <c r="T21" s="456"/>
      <c r="U21" s="456"/>
      <c r="V21" s="456"/>
      <c r="W21" s="456"/>
      <c r="X21" s="456"/>
      <c r="Y21" s="456"/>
      <c r="Z21" s="456"/>
      <c r="AA21" s="39"/>
      <c r="AB21" s="39"/>
      <c r="AD21" s="448"/>
      <c r="AE21" s="449"/>
      <c r="AF21" s="448"/>
      <c r="AG21" s="448"/>
    </row>
    <row r="22" spans="1:33" s="338" customFormat="1" hidden="1">
      <c r="A22" s="39"/>
      <c r="B22" s="38"/>
      <c r="C22" s="456"/>
      <c r="D22" s="456"/>
      <c r="E22" s="456"/>
      <c r="F22" s="456"/>
      <c r="G22" s="456"/>
      <c r="H22" s="456"/>
      <c r="I22" s="456"/>
      <c r="J22" s="456"/>
      <c r="K22" s="456"/>
      <c r="L22" s="456"/>
      <c r="M22" s="456"/>
      <c r="N22" s="456"/>
      <c r="O22" s="456"/>
      <c r="P22" s="456"/>
      <c r="Q22" s="456"/>
      <c r="R22" s="456"/>
      <c r="S22" s="456"/>
      <c r="T22" s="456"/>
      <c r="U22" s="456"/>
      <c r="V22" s="456"/>
      <c r="W22" s="456"/>
      <c r="X22" s="456"/>
      <c r="Y22" s="456"/>
      <c r="Z22" s="456"/>
      <c r="AA22" s="39"/>
      <c r="AB22" s="39"/>
      <c r="AD22" s="448"/>
      <c r="AE22" s="449"/>
      <c r="AF22" s="448"/>
      <c r="AG22" s="448"/>
    </row>
    <row r="23" spans="1:33" s="338" customFormat="1" hidden="1">
      <c r="A23" s="39"/>
      <c r="B23" s="38"/>
      <c r="C23" s="456"/>
      <c r="D23" s="456"/>
      <c r="E23" s="456"/>
      <c r="F23" s="456"/>
      <c r="G23" s="456"/>
      <c r="H23" s="456"/>
      <c r="I23" s="456"/>
      <c r="J23" s="456"/>
      <c r="K23" s="456"/>
      <c r="L23" s="456"/>
      <c r="M23" s="456"/>
      <c r="N23" s="456"/>
      <c r="O23" s="456"/>
      <c r="P23" s="456"/>
      <c r="Q23" s="456"/>
      <c r="R23" s="456"/>
      <c r="S23" s="456"/>
      <c r="T23" s="456"/>
      <c r="U23" s="456"/>
      <c r="V23" s="456"/>
      <c r="W23" s="456"/>
      <c r="X23" s="456"/>
      <c r="Y23" s="456"/>
      <c r="Z23" s="456"/>
      <c r="AA23" s="39"/>
      <c r="AB23" s="39"/>
      <c r="AD23" s="448"/>
      <c r="AE23" s="449"/>
      <c r="AF23" s="448"/>
      <c r="AG23" s="448"/>
    </row>
    <row r="24" spans="1:33" s="338" customFormat="1" hidden="1">
      <c r="A24" s="39"/>
      <c r="B24" s="38"/>
      <c r="C24" s="456"/>
      <c r="D24" s="456"/>
      <c r="E24" s="456"/>
      <c r="F24" s="456"/>
      <c r="G24" s="456"/>
      <c r="H24" s="456"/>
      <c r="I24" s="456"/>
      <c r="J24" s="456"/>
      <c r="K24" s="456"/>
      <c r="L24" s="456"/>
      <c r="M24" s="456"/>
      <c r="N24" s="456"/>
      <c r="O24" s="456"/>
      <c r="P24" s="456"/>
      <c r="Q24" s="456"/>
      <c r="R24" s="456"/>
      <c r="S24" s="456"/>
      <c r="T24" s="456"/>
      <c r="U24" s="456"/>
      <c r="V24" s="456"/>
      <c r="W24" s="456"/>
      <c r="X24" s="456"/>
      <c r="Y24" s="456"/>
      <c r="Z24" s="456"/>
      <c r="AA24" s="39"/>
      <c r="AB24" s="39"/>
      <c r="AD24" s="448"/>
      <c r="AE24" s="449"/>
      <c r="AF24" s="448"/>
      <c r="AG24" s="448"/>
    </row>
    <row r="25" spans="1:33" s="338" customFormat="1" hidden="1">
      <c r="A25" s="39"/>
      <c r="B25" s="38"/>
      <c r="C25" s="456"/>
      <c r="D25" s="456"/>
      <c r="E25" s="456"/>
      <c r="F25" s="456"/>
      <c r="G25" s="456"/>
      <c r="H25" s="456"/>
      <c r="I25" s="456"/>
      <c r="J25" s="456"/>
      <c r="K25" s="456"/>
      <c r="L25" s="456"/>
      <c r="M25" s="456"/>
      <c r="N25" s="456"/>
      <c r="O25" s="456"/>
      <c r="P25" s="456"/>
      <c r="Q25" s="456"/>
      <c r="R25" s="456"/>
      <c r="S25" s="456"/>
      <c r="T25" s="456"/>
      <c r="U25" s="456"/>
      <c r="V25" s="456"/>
      <c r="W25" s="456"/>
      <c r="X25" s="456"/>
      <c r="Y25" s="456"/>
      <c r="Z25" s="456"/>
      <c r="AA25" s="39"/>
      <c r="AB25" s="39"/>
      <c r="AD25" s="448"/>
      <c r="AE25" s="449"/>
      <c r="AF25" s="448"/>
      <c r="AG25" s="448"/>
    </row>
    <row r="26" spans="1:33" s="338" customFormat="1" hidden="1">
      <c r="A26" s="39"/>
      <c r="B26" s="38"/>
      <c r="C26" s="456"/>
      <c r="D26" s="456"/>
      <c r="E26" s="456"/>
      <c r="F26" s="456"/>
      <c r="G26" s="456"/>
      <c r="H26" s="456"/>
      <c r="I26" s="456"/>
      <c r="J26" s="456"/>
      <c r="K26" s="456"/>
      <c r="L26" s="456"/>
      <c r="M26" s="456"/>
      <c r="N26" s="456"/>
      <c r="O26" s="456"/>
      <c r="P26" s="456"/>
      <c r="Q26" s="456"/>
      <c r="R26" s="456"/>
      <c r="S26" s="456"/>
      <c r="T26" s="456"/>
      <c r="U26" s="456"/>
      <c r="V26" s="456"/>
      <c r="W26" s="456"/>
      <c r="X26" s="456"/>
      <c r="Y26" s="456"/>
      <c r="Z26" s="456"/>
      <c r="AA26" s="39"/>
      <c r="AB26" s="39"/>
      <c r="AD26" s="448"/>
      <c r="AE26" s="449"/>
      <c r="AF26" s="448"/>
      <c r="AG26" s="448"/>
    </row>
    <row r="27" spans="1:33" s="338" customFormat="1" hidden="1">
      <c r="A27" s="39"/>
      <c r="B27" s="38"/>
      <c r="C27" s="456"/>
      <c r="D27" s="456"/>
      <c r="E27" s="456"/>
      <c r="F27" s="456"/>
      <c r="G27" s="456"/>
      <c r="H27" s="456"/>
      <c r="I27" s="456"/>
      <c r="J27" s="456"/>
      <c r="K27" s="456"/>
      <c r="L27" s="456"/>
      <c r="M27" s="456"/>
      <c r="N27" s="456"/>
      <c r="O27" s="456"/>
      <c r="P27" s="456"/>
      <c r="Q27" s="456"/>
      <c r="R27" s="456"/>
      <c r="S27" s="456"/>
      <c r="T27" s="456"/>
      <c r="U27" s="456"/>
      <c r="V27" s="456"/>
      <c r="W27" s="456"/>
      <c r="X27" s="456"/>
      <c r="Y27" s="456"/>
      <c r="Z27" s="456"/>
      <c r="AA27" s="39"/>
      <c r="AB27" s="39"/>
      <c r="AD27" s="448"/>
      <c r="AE27" s="449"/>
      <c r="AF27" s="448"/>
      <c r="AG27" s="448"/>
    </row>
    <row r="28" spans="1:33" s="338" customFormat="1" hidden="1">
      <c r="A28" s="39"/>
      <c r="B28" s="38"/>
      <c r="C28" s="456"/>
      <c r="D28" s="456"/>
      <c r="E28" s="456"/>
      <c r="F28" s="456"/>
      <c r="G28" s="456"/>
      <c r="H28" s="456"/>
      <c r="I28" s="456"/>
      <c r="J28" s="456"/>
      <c r="K28" s="456"/>
      <c r="L28" s="456"/>
      <c r="M28" s="456"/>
      <c r="N28" s="456"/>
      <c r="O28" s="456"/>
      <c r="P28" s="456"/>
      <c r="Q28" s="456"/>
      <c r="R28" s="456"/>
      <c r="S28" s="456"/>
      <c r="T28" s="456"/>
      <c r="U28" s="456"/>
      <c r="V28" s="456"/>
      <c r="W28" s="456"/>
      <c r="X28" s="456"/>
      <c r="Y28" s="456"/>
      <c r="Z28" s="456"/>
      <c r="AA28" s="39"/>
      <c r="AB28" s="39"/>
      <c r="AD28" s="448"/>
      <c r="AE28" s="449"/>
      <c r="AF28" s="448"/>
      <c r="AG28" s="448"/>
    </row>
    <row r="29" spans="1:33" s="338" customFormat="1" hidden="1">
      <c r="A29" s="39"/>
      <c r="B29" s="38"/>
      <c r="C29" s="456"/>
      <c r="D29" s="456"/>
      <c r="E29" s="456"/>
      <c r="F29" s="456"/>
      <c r="G29" s="456"/>
      <c r="H29" s="456"/>
      <c r="I29" s="456"/>
      <c r="J29" s="456"/>
      <c r="K29" s="456"/>
      <c r="L29" s="456"/>
      <c r="M29" s="456"/>
      <c r="N29" s="456"/>
      <c r="O29" s="456"/>
      <c r="P29" s="456"/>
      <c r="Q29" s="456"/>
      <c r="R29" s="456"/>
      <c r="S29" s="456"/>
      <c r="T29" s="456"/>
      <c r="U29" s="456"/>
      <c r="V29" s="456"/>
      <c r="W29" s="456"/>
      <c r="X29" s="456"/>
      <c r="Y29" s="456"/>
      <c r="Z29" s="456"/>
      <c r="AA29" s="39"/>
      <c r="AB29" s="39"/>
      <c r="AD29" s="448"/>
      <c r="AE29" s="449"/>
      <c r="AF29" s="448"/>
      <c r="AG29" s="448"/>
    </row>
    <row r="30" spans="1:33" s="338" customFormat="1" hidden="1">
      <c r="A30" s="39"/>
      <c r="B30" s="38"/>
      <c r="C30" s="456"/>
      <c r="D30" s="456"/>
      <c r="E30" s="456"/>
      <c r="F30" s="456"/>
      <c r="G30" s="456"/>
      <c r="H30" s="456"/>
      <c r="I30" s="456"/>
      <c r="J30" s="456"/>
      <c r="K30" s="456"/>
      <c r="L30" s="456"/>
      <c r="M30" s="456"/>
      <c r="N30" s="456"/>
      <c r="O30" s="456"/>
      <c r="P30" s="456"/>
      <c r="Q30" s="456"/>
      <c r="R30" s="456"/>
      <c r="S30" s="456"/>
      <c r="T30" s="456"/>
      <c r="U30" s="456"/>
      <c r="V30" s="456"/>
      <c r="W30" s="456"/>
      <c r="X30" s="456"/>
      <c r="Y30" s="456"/>
      <c r="Z30" s="456"/>
      <c r="AA30" s="39"/>
      <c r="AB30" s="39"/>
      <c r="AD30" s="448"/>
      <c r="AE30" s="449"/>
      <c r="AF30" s="448"/>
      <c r="AG30" s="448"/>
    </row>
    <row r="31" spans="1:33" s="338" customFormat="1" hidden="1">
      <c r="A31" s="39"/>
      <c r="B31" s="38"/>
      <c r="C31" s="456"/>
      <c r="D31" s="456"/>
      <c r="E31" s="456"/>
      <c r="F31" s="456"/>
      <c r="G31" s="456"/>
      <c r="H31" s="456"/>
      <c r="I31" s="456"/>
      <c r="J31" s="456"/>
      <c r="K31" s="456"/>
      <c r="L31" s="456"/>
      <c r="M31" s="456"/>
      <c r="N31" s="456"/>
      <c r="O31" s="456"/>
      <c r="P31" s="456"/>
      <c r="Q31" s="456"/>
      <c r="R31" s="456"/>
      <c r="S31" s="456"/>
      <c r="T31" s="456"/>
      <c r="U31" s="456"/>
      <c r="V31" s="456"/>
      <c r="W31" s="456"/>
      <c r="X31" s="456"/>
      <c r="Y31" s="456"/>
      <c r="Z31" s="456"/>
      <c r="AA31" s="39"/>
      <c r="AB31" s="39"/>
      <c r="AD31" s="448"/>
      <c r="AE31" s="449"/>
      <c r="AF31" s="448"/>
      <c r="AG31" s="448"/>
    </row>
    <row r="32" spans="1:33" s="338" customFormat="1" hidden="1">
      <c r="A32" s="39"/>
      <c r="B32" s="38"/>
      <c r="C32" s="456"/>
      <c r="D32" s="456"/>
      <c r="E32" s="456"/>
      <c r="F32" s="456"/>
      <c r="G32" s="456"/>
      <c r="H32" s="456"/>
      <c r="I32" s="456"/>
      <c r="J32" s="456"/>
      <c r="K32" s="456"/>
      <c r="L32" s="456"/>
      <c r="M32" s="456"/>
      <c r="N32" s="456"/>
      <c r="O32" s="456"/>
      <c r="P32" s="456"/>
      <c r="Q32" s="456"/>
      <c r="R32" s="456"/>
      <c r="S32" s="456"/>
      <c r="T32" s="456"/>
      <c r="U32" s="456"/>
      <c r="V32" s="456"/>
      <c r="W32" s="456"/>
      <c r="X32" s="456"/>
      <c r="Y32" s="456"/>
      <c r="Z32" s="456"/>
      <c r="AA32" s="39"/>
      <c r="AB32" s="39"/>
      <c r="AD32" s="448"/>
      <c r="AE32" s="449"/>
      <c r="AF32" s="448"/>
      <c r="AG32" s="448"/>
    </row>
    <row r="33" spans="1:33" s="338" customFormat="1" hidden="1">
      <c r="A33" s="39"/>
      <c r="B33" s="38"/>
      <c r="C33" s="456"/>
      <c r="D33" s="456"/>
      <c r="E33" s="456"/>
      <c r="F33" s="456"/>
      <c r="G33" s="456"/>
      <c r="H33" s="456"/>
      <c r="I33" s="456"/>
      <c r="J33" s="456"/>
      <c r="K33" s="456"/>
      <c r="L33" s="456"/>
      <c r="M33" s="456"/>
      <c r="N33" s="456"/>
      <c r="O33" s="456"/>
      <c r="P33" s="456"/>
      <c r="Q33" s="456"/>
      <c r="R33" s="456"/>
      <c r="S33" s="456"/>
      <c r="T33" s="456"/>
      <c r="U33" s="456"/>
      <c r="V33" s="456"/>
      <c r="W33" s="456"/>
      <c r="X33" s="456"/>
      <c r="Y33" s="456"/>
      <c r="Z33" s="456"/>
      <c r="AA33" s="39"/>
      <c r="AB33" s="39"/>
      <c r="AD33" s="448"/>
      <c r="AE33" s="449"/>
      <c r="AF33" s="448"/>
      <c r="AG33" s="448"/>
    </row>
    <row r="34" spans="1:33" s="338" customFormat="1" hidden="1">
      <c r="A34" s="39"/>
      <c r="B34" s="38"/>
      <c r="C34" s="456"/>
      <c r="D34" s="456"/>
      <c r="E34" s="456"/>
      <c r="F34" s="456"/>
      <c r="G34" s="456"/>
      <c r="H34" s="456"/>
      <c r="I34" s="456"/>
      <c r="J34" s="456"/>
      <c r="K34" s="456"/>
      <c r="L34" s="456"/>
      <c r="M34" s="456"/>
      <c r="N34" s="456"/>
      <c r="O34" s="456"/>
      <c r="P34" s="456"/>
      <c r="Q34" s="456"/>
      <c r="R34" s="456"/>
      <c r="S34" s="456"/>
      <c r="T34" s="456"/>
      <c r="U34" s="456"/>
      <c r="V34" s="456"/>
      <c r="W34" s="456"/>
      <c r="X34" s="456"/>
      <c r="Y34" s="456"/>
      <c r="Z34" s="456"/>
      <c r="AA34" s="39"/>
      <c r="AB34" s="39"/>
      <c r="AD34" s="448"/>
      <c r="AE34" s="449"/>
      <c r="AF34" s="448"/>
      <c r="AG34" s="448"/>
    </row>
    <row r="35" spans="1:33" s="338" customFormat="1" hidden="1">
      <c r="A35" s="39"/>
      <c r="B35" s="38"/>
      <c r="C35" s="456"/>
      <c r="D35" s="456"/>
      <c r="E35" s="456"/>
      <c r="F35" s="456"/>
      <c r="G35" s="456"/>
      <c r="H35" s="456"/>
      <c r="I35" s="456"/>
      <c r="J35" s="456"/>
      <c r="K35" s="456"/>
      <c r="L35" s="456"/>
      <c r="M35" s="456"/>
      <c r="N35" s="456"/>
      <c r="O35" s="456"/>
      <c r="P35" s="456"/>
      <c r="Q35" s="456"/>
      <c r="R35" s="456"/>
      <c r="S35" s="456"/>
      <c r="T35" s="456"/>
      <c r="U35" s="456"/>
      <c r="V35" s="456"/>
      <c r="W35" s="456"/>
      <c r="X35" s="456"/>
      <c r="Y35" s="456"/>
      <c r="Z35" s="456"/>
      <c r="AA35" s="39"/>
      <c r="AB35" s="39"/>
      <c r="AD35" s="448"/>
      <c r="AE35" s="449"/>
      <c r="AF35" s="448"/>
      <c r="AG35" s="448"/>
    </row>
    <row r="36" spans="1:33" s="338" customFormat="1" hidden="1">
      <c r="A36" s="39"/>
      <c r="B36" s="38"/>
      <c r="C36" s="456"/>
      <c r="D36" s="456"/>
      <c r="E36" s="456"/>
      <c r="F36" s="456"/>
      <c r="G36" s="456"/>
      <c r="H36" s="456"/>
      <c r="I36" s="456"/>
      <c r="J36" s="456"/>
      <c r="K36" s="456"/>
      <c r="L36" s="456"/>
      <c r="M36" s="456"/>
      <c r="N36" s="456"/>
      <c r="O36" s="456"/>
      <c r="P36" s="456"/>
      <c r="Q36" s="456"/>
      <c r="R36" s="456"/>
      <c r="S36" s="456"/>
      <c r="T36" s="456"/>
      <c r="U36" s="456"/>
      <c r="V36" s="456"/>
      <c r="W36" s="456"/>
      <c r="X36" s="456"/>
      <c r="Y36" s="456"/>
      <c r="Z36" s="456"/>
      <c r="AA36" s="39"/>
      <c r="AB36" s="39"/>
      <c r="AD36" s="448"/>
      <c r="AE36" s="449"/>
      <c r="AF36" s="448"/>
      <c r="AG36" s="448"/>
    </row>
    <row r="37" spans="1:33" s="338" customFormat="1" hidden="1">
      <c r="A37" s="39"/>
      <c r="B37" s="38"/>
      <c r="C37" s="456"/>
      <c r="D37" s="456"/>
      <c r="E37" s="456"/>
      <c r="F37" s="456"/>
      <c r="G37" s="456"/>
      <c r="H37" s="456"/>
      <c r="I37" s="456"/>
      <c r="J37" s="456"/>
      <c r="K37" s="456"/>
      <c r="L37" s="456"/>
      <c r="M37" s="456"/>
      <c r="N37" s="456"/>
      <c r="O37" s="456"/>
      <c r="P37" s="456"/>
      <c r="Q37" s="456"/>
      <c r="R37" s="456"/>
      <c r="S37" s="456"/>
      <c r="T37" s="456"/>
      <c r="U37" s="456"/>
      <c r="V37" s="456"/>
      <c r="W37" s="456"/>
      <c r="X37" s="456"/>
      <c r="Y37" s="456"/>
      <c r="Z37" s="456"/>
      <c r="AA37" s="39"/>
      <c r="AB37" s="39"/>
      <c r="AD37" s="448"/>
      <c r="AE37" s="449"/>
      <c r="AF37" s="448"/>
      <c r="AG37" s="448"/>
    </row>
    <row r="38" spans="1:33" s="338" customFormat="1" hidden="1">
      <c r="A38" s="39"/>
      <c r="B38" s="38"/>
      <c r="C38" s="456"/>
      <c r="D38" s="456"/>
      <c r="E38" s="456"/>
      <c r="F38" s="456"/>
      <c r="G38" s="456"/>
      <c r="H38" s="456"/>
      <c r="I38" s="456"/>
      <c r="J38" s="456"/>
      <c r="K38" s="456"/>
      <c r="L38" s="456"/>
      <c r="M38" s="456"/>
      <c r="N38" s="456"/>
      <c r="O38" s="456"/>
      <c r="P38" s="456"/>
      <c r="Q38" s="456"/>
      <c r="R38" s="456"/>
      <c r="S38" s="456"/>
      <c r="T38" s="456"/>
      <c r="U38" s="456"/>
      <c r="V38" s="456"/>
      <c r="W38" s="456"/>
      <c r="X38" s="456"/>
      <c r="Y38" s="456"/>
      <c r="Z38" s="456"/>
      <c r="AA38" s="39"/>
      <c r="AB38" s="39"/>
      <c r="AD38" s="448"/>
      <c r="AE38" s="449"/>
      <c r="AF38" s="448"/>
      <c r="AG38" s="448"/>
    </row>
    <row r="39" spans="1:33" s="338" customFormat="1" hidden="1">
      <c r="A39" s="39"/>
      <c r="B39" s="38"/>
      <c r="C39" s="456"/>
      <c r="D39" s="456"/>
      <c r="E39" s="456"/>
      <c r="F39" s="456"/>
      <c r="G39" s="456"/>
      <c r="H39" s="456"/>
      <c r="I39" s="456"/>
      <c r="J39" s="456"/>
      <c r="K39" s="456"/>
      <c r="L39" s="456"/>
      <c r="M39" s="456"/>
      <c r="N39" s="456"/>
      <c r="O39" s="456"/>
      <c r="P39" s="456"/>
      <c r="Q39" s="456"/>
      <c r="R39" s="456"/>
      <c r="S39" s="456"/>
      <c r="T39" s="456"/>
      <c r="U39" s="456"/>
      <c r="V39" s="456"/>
      <c r="W39" s="456"/>
      <c r="X39" s="456"/>
      <c r="Y39" s="456"/>
      <c r="Z39" s="456"/>
      <c r="AA39" s="39"/>
      <c r="AB39" s="39"/>
      <c r="AD39" s="448"/>
      <c r="AE39" s="449"/>
      <c r="AF39" s="448"/>
      <c r="AG39" s="448"/>
    </row>
    <row r="40" spans="1:33" s="338" customFormat="1" hidden="1">
      <c r="A40" s="39"/>
      <c r="B40" s="38"/>
      <c r="C40" s="456"/>
      <c r="D40" s="456"/>
      <c r="E40" s="456"/>
      <c r="F40" s="456"/>
      <c r="G40" s="456"/>
      <c r="H40" s="456"/>
      <c r="I40" s="456"/>
      <c r="J40" s="456"/>
      <c r="K40" s="456"/>
      <c r="L40" s="456"/>
      <c r="M40" s="456"/>
      <c r="N40" s="456"/>
      <c r="O40" s="456"/>
      <c r="P40" s="456"/>
      <c r="Q40" s="456"/>
      <c r="R40" s="456"/>
      <c r="S40" s="456"/>
      <c r="T40" s="456"/>
      <c r="U40" s="456"/>
      <c r="V40" s="456"/>
      <c r="W40" s="456"/>
      <c r="X40" s="456"/>
      <c r="Y40" s="456"/>
      <c r="Z40" s="456"/>
      <c r="AA40" s="39"/>
      <c r="AB40" s="39"/>
      <c r="AD40" s="448"/>
      <c r="AE40" s="449"/>
      <c r="AF40" s="448"/>
      <c r="AG40" s="448"/>
    </row>
    <row r="41" spans="1:33" s="338" customFormat="1" hidden="1">
      <c r="A41" s="39"/>
      <c r="B41" s="38"/>
      <c r="C41" s="456"/>
      <c r="D41" s="456"/>
      <c r="E41" s="456"/>
      <c r="F41" s="456"/>
      <c r="G41" s="456"/>
      <c r="H41" s="456"/>
      <c r="I41" s="456"/>
      <c r="J41" s="456"/>
      <c r="K41" s="456"/>
      <c r="L41" s="456"/>
      <c r="M41" s="456"/>
      <c r="N41" s="456"/>
      <c r="O41" s="456"/>
      <c r="P41" s="456"/>
      <c r="Q41" s="456"/>
      <c r="R41" s="456"/>
      <c r="S41" s="456"/>
      <c r="T41" s="456"/>
      <c r="U41" s="456"/>
      <c r="V41" s="456"/>
      <c r="W41" s="456"/>
      <c r="X41" s="456"/>
      <c r="Y41" s="456"/>
      <c r="Z41" s="456"/>
      <c r="AA41" s="39"/>
      <c r="AB41" s="39"/>
      <c r="AD41" s="448"/>
      <c r="AE41" s="449"/>
      <c r="AF41" s="448"/>
      <c r="AG41" s="448"/>
    </row>
    <row r="42" spans="1:33" s="338" customFormat="1" hidden="1">
      <c r="A42" s="39"/>
      <c r="B42" s="38"/>
      <c r="C42" s="456"/>
      <c r="D42" s="456"/>
      <c r="E42" s="456"/>
      <c r="F42" s="456"/>
      <c r="G42" s="456"/>
      <c r="H42" s="456"/>
      <c r="I42" s="456"/>
      <c r="J42" s="456"/>
      <c r="K42" s="456"/>
      <c r="L42" s="456"/>
      <c r="M42" s="456"/>
      <c r="N42" s="456"/>
      <c r="O42" s="456"/>
      <c r="P42" s="456"/>
      <c r="Q42" s="456"/>
      <c r="R42" s="456"/>
      <c r="S42" s="456"/>
      <c r="T42" s="456"/>
      <c r="U42" s="456"/>
      <c r="V42" s="456"/>
      <c r="W42" s="456"/>
      <c r="X42" s="456"/>
      <c r="Y42" s="456"/>
      <c r="Z42" s="456"/>
      <c r="AA42" s="39"/>
      <c r="AB42" s="39"/>
      <c r="AD42" s="448"/>
      <c r="AE42" s="449"/>
      <c r="AF42" s="448"/>
      <c r="AG42" s="448"/>
    </row>
    <row r="43" spans="1:33" s="338" customFormat="1" hidden="1">
      <c r="A43" s="39"/>
      <c r="B43" s="38"/>
      <c r="C43" s="456"/>
      <c r="D43" s="456"/>
      <c r="E43" s="456"/>
      <c r="F43" s="456"/>
      <c r="G43" s="456"/>
      <c r="H43" s="456"/>
      <c r="I43" s="456"/>
      <c r="J43" s="456"/>
      <c r="K43" s="456"/>
      <c r="L43" s="456"/>
      <c r="M43" s="456"/>
      <c r="N43" s="456"/>
      <c r="O43" s="456"/>
      <c r="P43" s="456"/>
      <c r="Q43" s="456"/>
      <c r="R43" s="456"/>
      <c r="S43" s="456"/>
      <c r="T43" s="456"/>
      <c r="U43" s="456"/>
      <c r="V43" s="456"/>
      <c r="W43" s="456"/>
      <c r="X43" s="456"/>
      <c r="Y43" s="456"/>
      <c r="Z43" s="456"/>
      <c r="AA43" s="39"/>
      <c r="AB43" s="39"/>
      <c r="AD43" s="448"/>
      <c r="AE43" s="449"/>
      <c r="AF43" s="448"/>
      <c r="AG43" s="448"/>
    </row>
    <row r="44" spans="1:33" s="338" customFormat="1" hidden="1">
      <c r="A44" s="39"/>
      <c r="B44" s="38"/>
      <c r="C44" s="456"/>
      <c r="D44" s="456"/>
      <c r="E44" s="456"/>
      <c r="F44" s="456"/>
      <c r="G44" s="456"/>
      <c r="H44" s="456"/>
      <c r="I44" s="456"/>
      <c r="J44" s="456"/>
      <c r="K44" s="456"/>
      <c r="L44" s="456"/>
      <c r="M44" s="456"/>
      <c r="N44" s="456"/>
      <c r="O44" s="456"/>
      <c r="P44" s="456"/>
      <c r="Q44" s="456"/>
      <c r="R44" s="456"/>
      <c r="S44" s="456"/>
      <c r="T44" s="456"/>
      <c r="U44" s="456"/>
      <c r="V44" s="456"/>
      <c r="W44" s="456"/>
      <c r="X44" s="456"/>
      <c r="Y44" s="456"/>
      <c r="Z44" s="456"/>
      <c r="AA44" s="39"/>
      <c r="AB44" s="39"/>
      <c r="AD44" s="448"/>
      <c r="AE44" s="449"/>
      <c r="AF44" s="448"/>
      <c r="AG44" s="448"/>
    </row>
    <row r="45" spans="1:33" s="338" customFormat="1" hidden="1">
      <c r="A45" s="39"/>
      <c r="B45" s="38"/>
      <c r="C45" s="456"/>
      <c r="D45" s="456"/>
      <c r="E45" s="456"/>
      <c r="F45" s="456"/>
      <c r="G45" s="456"/>
      <c r="H45" s="456"/>
      <c r="I45" s="456"/>
      <c r="J45" s="456"/>
      <c r="K45" s="456"/>
      <c r="L45" s="456"/>
      <c r="M45" s="456"/>
      <c r="N45" s="456"/>
      <c r="O45" s="456"/>
      <c r="P45" s="456"/>
      <c r="Q45" s="456"/>
      <c r="R45" s="456"/>
      <c r="S45" s="456"/>
      <c r="T45" s="456"/>
      <c r="U45" s="456"/>
      <c r="V45" s="456"/>
      <c r="W45" s="456"/>
      <c r="X45" s="456"/>
      <c r="Y45" s="456"/>
      <c r="Z45" s="456"/>
      <c r="AA45" s="39"/>
      <c r="AB45" s="39"/>
      <c r="AD45" s="448"/>
      <c r="AE45" s="449"/>
      <c r="AF45" s="448"/>
      <c r="AG45" s="448"/>
    </row>
    <row r="46" spans="1:33" s="338" customFormat="1" hidden="1">
      <c r="A46" s="39"/>
      <c r="B46" s="38"/>
      <c r="C46" s="456"/>
      <c r="D46" s="456"/>
      <c r="E46" s="456"/>
      <c r="F46" s="456"/>
      <c r="G46" s="456"/>
      <c r="H46" s="456"/>
      <c r="I46" s="456"/>
      <c r="J46" s="456"/>
      <c r="K46" s="456"/>
      <c r="L46" s="456"/>
      <c r="M46" s="456"/>
      <c r="N46" s="456"/>
      <c r="O46" s="456"/>
      <c r="P46" s="456"/>
      <c r="Q46" s="456"/>
      <c r="R46" s="456"/>
      <c r="S46" s="456"/>
      <c r="T46" s="456"/>
      <c r="U46" s="456"/>
      <c r="V46" s="456"/>
      <c r="W46" s="456"/>
      <c r="X46" s="456"/>
      <c r="Y46" s="456"/>
      <c r="Z46" s="456"/>
      <c r="AA46" s="39"/>
      <c r="AB46" s="39"/>
      <c r="AD46" s="448"/>
      <c r="AE46" s="449"/>
      <c r="AF46" s="448"/>
      <c r="AG46" s="448"/>
    </row>
    <row r="47" spans="1:33" s="338" customFormat="1" hidden="1">
      <c r="A47" s="39"/>
      <c r="B47" s="38"/>
      <c r="C47" s="456"/>
      <c r="D47" s="456"/>
      <c r="E47" s="456"/>
      <c r="F47" s="456"/>
      <c r="G47" s="456"/>
      <c r="H47" s="456"/>
      <c r="I47" s="456"/>
      <c r="J47" s="456"/>
      <c r="K47" s="456"/>
      <c r="L47" s="456"/>
      <c r="M47" s="456"/>
      <c r="N47" s="456"/>
      <c r="O47" s="456"/>
      <c r="P47" s="456"/>
      <c r="Q47" s="456"/>
      <c r="R47" s="456"/>
      <c r="S47" s="456"/>
      <c r="T47" s="456"/>
      <c r="U47" s="456"/>
      <c r="V47" s="456"/>
      <c r="W47" s="456"/>
      <c r="X47" s="456"/>
      <c r="Y47" s="456"/>
      <c r="Z47" s="456"/>
      <c r="AA47" s="39"/>
      <c r="AB47" s="39"/>
      <c r="AD47" s="448"/>
      <c r="AE47" s="449"/>
      <c r="AF47" s="448"/>
      <c r="AG47" s="448"/>
    </row>
    <row r="48" spans="1:33" s="338" customFormat="1" hidden="1">
      <c r="A48" s="39"/>
      <c r="B48" s="38"/>
      <c r="C48" s="456"/>
      <c r="D48" s="456"/>
      <c r="E48" s="456"/>
      <c r="F48" s="456"/>
      <c r="G48" s="456"/>
      <c r="H48" s="456"/>
      <c r="I48" s="456"/>
      <c r="J48" s="456"/>
      <c r="K48" s="456"/>
      <c r="L48" s="456"/>
      <c r="M48" s="456"/>
      <c r="N48" s="456"/>
      <c r="O48" s="456"/>
      <c r="P48" s="456"/>
      <c r="Q48" s="456"/>
      <c r="R48" s="456"/>
      <c r="S48" s="456"/>
      <c r="T48" s="456"/>
      <c r="U48" s="456"/>
      <c r="V48" s="456"/>
      <c r="W48" s="456"/>
      <c r="X48" s="456"/>
      <c r="Y48" s="456"/>
      <c r="Z48" s="456"/>
      <c r="AA48" s="39"/>
      <c r="AB48" s="39"/>
      <c r="AD48" s="448"/>
      <c r="AE48" s="449"/>
      <c r="AF48" s="448"/>
      <c r="AG48" s="448"/>
    </row>
    <row r="49" spans="1:33" s="338" customFormat="1" hidden="1">
      <c r="A49" s="39"/>
      <c r="B49" s="38"/>
      <c r="C49" s="456"/>
      <c r="D49" s="456"/>
      <c r="E49" s="456"/>
      <c r="F49" s="456"/>
      <c r="G49" s="456"/>
      <c r="H49" s="456"/>
      <c r="I49" s="456"/>
      <c r="J49" s="456"/>
      <c r="K49" s="456"/>
      <c r="L49" s="456"/>
      <c r="M49" s="456"/>
      <c r="N49" s="456"/>
      <c r="O49" s="456"/>
      <c r="P49" s="456"/>
      <c r="Q49" s="456"/>
      <c r="R49" s="456"/>
      <c r="S49" s="456"/>
      <c r="T49" s="456"/>
      <c r="U49" s="456"/>
      <c r="V49" s="456"/>
      <c r="W49" s="456"/>
      <c r="X49" s="456"/>
      <c r="Y49" s="456"/>
      <c r="Z49" s="456"/>
      <c r="AA49" s="39"/>
      <c r="AB49" s="39"/>
      <c r="AD49" s="448"/>
      <c r="AE49" s="449"/>
      <c r="AF49" s="448"/>
      <c r="AG49" s="448"/>
    </row>
    <row r="50" spans="1:33" s="338" customFormat="1" hidden="1">
      <c r="A50" s="39"/>
      <c r="B50" s="38"/>
      <c r="C50" s="456"/>
      <c r="D50" s="456"/>
      <c r="E50" s="456"/>
      <c r="F50" s="456"/>
      <c r="G50" s="456"/>
      <c r="H50" s="456"/>
      <c r="I50" s="456"/>
      <c r="J50" s="456"/>
      <c r="K50" s="456"/>
      <c r="L50" s="456"/>
      <c r="M50" s="456"/>
      <c r="N50" s="456"/>
      <c r="O50" s="456"/>
      <c r="P50" s="456"/>
      <c r="Q50" s="456"/>
      <c r="R50" s="456"/>
      <c r="S50" s="456"/>
      <c r="T50" s="456"/>
      <c r="U50" s="456"/>
      <c r="V50" s="456"/>
      <c r="W50" s="456"/>
      <c r="X50" s="456"/>
      <c r="Y50" s="456"/>
      <c r="Z50" s="456"/>
      <c r="AA50" s="39"/>
      <c r="AB50" s="39"/>
      <c r="AD50" s="448"/>
      <c r="AE50" s="449"/>
      <c r="AF50" s="448"/>
      <c r="AG50" s="448"/>
    </row>
    <row r="51" spans="1:33" s="338" customFormat="1" hidden="1">
      <c r="A51" s="39"/>
      <c r="B51" s="38"/>
      <c r="C51" s="456"/>
      <c r="D51" s="456"/>
      <c r="E51" s="456"/>
      <c r="F51" s="456"/>
      <c r="G51" s="456"/>
      <c r="H51" s="456"/>
      <c r="I51" s="456"/>
      <c r="J51" s="456"/>
      <c r="K51" s="456"/>
      <c r="L51" s="456"/>
      <c r="M51" s="456"/>
      <c r="N51" s="456"/>
      <c r="O51" s="456"/>
      <c r="P51" s="456"/>
      <c r="Q51" s="456"/>
      <c r="R51" s="456"/>
      <c r="S51" s="456"/>
      <c r="T51" s="456"/>
      <c r="U51" s="456"/>
      <c r="V51" s="456"/>
      <c r="W51" s="456"/>
      <c r="X51" s="456"/>
      <c r="Y51" s="456"/>
      <c r="Z51" s="456"/>
      <c r="AA51" s="39"/>
      <c r="AB51" s="39"/>
      <c r="AD51" s="448"/>
      <c r="AE51" s="449"/>
      <c r="AF51" s="448"/>
      <c r="AG51" s="448"/>
    </row>
    <row r="52" spans="1:33" s="338" customFormat="1" hidden="1">
      <c r="A52" s="39"/>
      <c r="B52" s="38"/>
      <c r="C52" s="456"/>
      <c r="D52" s="456"/>
      <c r="E52" s="456"/>
      <c r="F52" s="456"/>
      <c r="G52" s="456"/>
      <c r="H52" s="456"/>
      <c r="I52" s="456"/>
      <c r="J52" s="456"/>
      <c r="K52" s="456"/>
      <c r="L52" s="456"/>
      <c r="M52" s="456"/>
      <c r="N52" s="456"/>
      <c r="O52" s="456"/>
      <c r="P52" s="456"/>
      <c r="Q52" s="456"/>
      <c r="R52" s="456"/>
      <c r="S52" s="456"/>
      <c r="T52" s="456"/>
      <c r="U52" s="456"/>
      <c r="V52" s="456"/>
      <c r="W52" s="456"/>
      <c r="X52" s="456"/>
      <c r="Y52" s="456"/>
      <c r="Z52" s="456"/>
      <c r="AA52" s="39"/>
      <c r="AB52" s="39"/>
      <c r="AD52" s="448"/>
      <c r="AE52" s="449"/>
      <c r="AF52" s="448"/>
      <c r="AG52" s="448"/>
    </row>
    <row r="53" spans="1:33" s="338" customFormat="1" hidden="1">
      <c r="A53" s="39"/>
      <c r="B53" s="38"/>
      <c r="C53" s="456"/>
      <c r="D53" s="456"/>
      <c r="E53" s="456"/>
      <c r="F53" s="456"/>
      <c r="G53" s="456"/>
      <c r="H53" s="456"/>
      <c r="I53" s="456"/>
      <c r="J53" s="456"/>
      <c r="K53" s="456"/>
      <c r="L53" s="456"/>
      <c r="M53" s="456"/>
      <c r="N53" s="456"/>
      <c r="O53" s="456"/>
      <c r="P53" s="456"/>
      <c r="Q53" s="456"/>
      <c r="R53" s="456"/>
      <c r="S53" s="456"/>
      <c r="T53" s="456"/>
      <c r="U53" s="456"/>
      <c r="V53" s="456"/>
      <c r="W53" s="456"/>
      <c r="X53" s="456"/>
      <c r="Y53" s="456"/>
      <c r="Z53" s="456"/>
      <c r="AA53" s="39"/>
      <c r="AB53" s="39"/>
      <c r="AD53" s="448"/>
      <c r="AE53" s="449"/>
      <c r="AF53" s="448"/>
      <c r="AG53" s="448"/>
    </row>
    <row r="54" spans="1:33" s="338" customFormat="1" hidden="1">
      <c r="A54" s="39"/>
      <c r="B54" s="38"/>
      <c r="C54" s="456"/>
      <c r="D54" s="456"/>
      <c r="E54" s="456"/>
      <c r="F54" s="456"/>
      <c r="G54" s="456"/>
      <c r="H54" s="456"/>
      <c r="I54" s="456"/>
      <c r="J54" s="456"/>
      <c r="K54" s="456"/>
      <c r="L54" s="456"/>
      <c r="M54" s="456"/>
      <c r="N54" s="456"/>
      <c r="O54" s="456"/>
      <c r="P54" s="456"/>
      <c r="Q54" s="456"/>
      <c r="R54" s="456"/>
      <c r="S54" s="456"/>
      <c r="T54" s="456"/>
      <c r="U54" s="456"/>
      <c r="V54" s="456"/>
      <c r="W54" s="456"/>
      <c r="X54" s="456"/>
      <c r="Y54" s="456"/>
      <c r="Z54" s="456"/>
      <c r="AA54" s="39"/>
      <c r="AB54" s="39"/>
      <c r="AD54" s="448"/>
      <c r="AE54" s="449"/>
      <c r="AF54" s="448"/>
      <c r="AG54" s="448"/>
    </row>
    <row r="55" spans="1:33" s="338" customFormat="1" hidden="1">
      <c r="A55" s="39"/>
      <c r="B55" s="38"/>
      <c r="C55" s="456"/>
      <c r="D55" s="456"/>
      <c r="E55" s="456"/>
      <c r="F55" s="456"/>
      <c r="G55" s="456"/>
      <c r="H55" s="456"/>
      <c r="I55" s="456"/>
      <c r="J55" s="456"/>
      <c r="K55" s="456"/>
      <c r="L55" s="456"/>
      <c r="M55" s="456"/>
      <c r="N55" s="456"/>
      <c r="O55" s="456"/>
      <c r="P55" s="456"/>
      <c r="Q55" s="456"/>
      <c r="R55" s="456"/>
      <c r="S55" s="456"/>
      <c r="T55" s="456"/>
      <c r="U55" s="456"/>
      <c r="V55" s="456"/>
      <c r="W55" s="456"/>
      <c r="X55" s="456"/>
      <c r="Y55" s="456"/>
      <c r="Z55" s="456"/>
      <c r="AA55" s="39"/>
      <c r="AB55" s="39"/>
      <c r="AD55" s="448"/>
      <c r="AE55" s="449"/>
      <c r="AF55" s="448"/>
      <c r="AG55" s="448"/>
    </row>
    <row r="56" spans="1:33" s="338" customFormat="1" hidden="1">
      <c r="A56" s="39"/>
      <c r="B56" s="38"/>
      <c r="C56" s="456"/>
      <c r="D56" s="456"/>
      <c r="E56" s="456"/>
      <c r="F56" s="456"/>
      <c r="G56" s="456"/>
      <c r="H56" s="456"/>
      <c r="I56" s="456"/>
      <c r="J56" s="456"/>
      <c r="K56" s="456"/>
      <c r="L56" s="456"/>
      <c r="M56" s="456"/>
      <c r="N56" s="456"/>
      <c r="O56" s="456"/>
      <c r="P56" s="456"/>
      <c r="Q56" s="456"/>
      <c r="R56" s="456"/>
      <c r="S56" s="456"/>
      <c r="T56" s="456"/>
      <c r="U56" s="456"/>
      <c r="V56" s="456"/>
      <c r="W56" s="456"/>
      <c r="X56" s="456"/>
      <c r="Y56" s="456"/>
      <c r="Z56" s="456"/>
      <c r="AA56" s="39"/>
      <c r="AB56" s="39"/>
      <c r="AD56" s="448"/>
      <c r="AE56" s="449"/>
      <c r="AF56" s="448"/>
      <c r="AG56" s="448"/>
    </row>
    <row r="57" spans="1:33" s="338" customFormat="1" hidden="1">
      <c r="A57" s="39"/>
      <c r="B57" s="38"/>
      <c r="C57" s="456"/>
      <c r="D57" s="456"/>
      <c r="E57" s="456"/>
      <c r="F57" s="456"/>
      <c r="G57" s="456"/>
      <c r="H57" s="456"/>
      <c r="I57" s="456"/>
      <c r="J57" s="456"/>
      <c r="K57" s="456"/>
      <c r="L57" s="456"/>
      <c r="M57" s="456"/>
      <c r="N57" s="456"/>
      <c r="O57" s="456"/>
      <c r="P57" s="456"/>
      <c r="Q57" s="456"/>
      <c r="R57" s="456"/>
      <c r="S57" s="456"/>
      <c r="T57" s="456"/>
      <c r="U57" s="456"/>
      <c r="V57" s="456"/>
      <c r="W57" s="456"/>
      <c r="X57" s="456"/>
      <c r="Y57" s="456"/>
      <c r="Z57" s="456"/>
      <c r="AA57" s="39"/>
      <c r="AB57" s="39"/>
      <c r="AD57" s="448"/>
      <c r="AE57" s="449"/>
      <c r="AF57" s="448"/>
      <c r="AG57" s="448"/>
    </row>
    <row r="58" spans="1:33" s="338" customFormat="1" hidden="1">
      <c r="A58" s="39"/>
      <c r="B58" s="38"/>
      <c r="C58" s="456"/>
      <c r="D58" s="456"/>
      <c r="E58" s="456"/>
      <c r="F58" s="456"/>
      <c r="G58" s="456"/>
      <c r="H58" s="456"/>
      <c r="I58" s="456"/>
      <c r="J58" s="456"/>
      <c r="K58" s="456"/>
      <c r="L58" s="456"/>
      <c r="M58" s="456"/>
      <c r="N58" s="456"/>
      <c r="O58" s="456"/>
      <c r="P58" s="456"/>
      <c r="Q58" s="456"/>
      <c r="R58" s="456"/>
      <c r="S58" s="456"/>
      <c r="T58" s="456"/>
      <c r="U58" s="456"/>
      <c r="V58" s="456"/>
      <c r="W58" s="456"/>
      <c r="X58" s="456"/>
      <c r="Y58" s="456"/>
      <c r="Z58" s="456"/>
      <c r="AA58" s="39"/>
      <c r="AB58" s="39"/>
      <c r="AD58" s="448"/>
      <c r="AE58" s="449"/>
      <c r="AF58" s="448"/>
      <c r="AG58" s="448"/>
    </row>
    <row r="59" spans="1:33" s="338" customFormat="1" hidden="1">
      <c r="A59" s="39"/>
      <c r="B59" s="38"/>
      <c r="C59" s="456"/>
      <c r="D59" s="456"/>
      <c r="E59" s="456"/>
      <c r="F59" s="456"/>
      <c r="G59" s="456"/>
      <c r="H59" s="456"/>
      <c r="I59" s="456"/>
      <c r="J59" s="456"/>
      <c r="K59" s="456"/>
      <c r="L59" s="456"/>
      <c r="M59" s="456"/>
      <c r="N59" s="456"/>
      <c r="O59" s="456"/>
      <c r="P59" s="456"/>
      <c r="Q59" s="456"/>
      <c r="R59" s="456"/>
      <c r="S59" s="456"/>
      <c r="T59" s="456"/>
      <c r="U59" s="456"/>
      <c r="V59" s="456"/>
      <c r="W59" s="456"/>
      <c r="X59" s="456"/>
      <c r="Y59" s="456"/>
      <c r="Z59" s="456"/>
      <c r="AA59" s="39"/>
      <c r="AB59" s="39"/>
      <c r="AD59" s="448"/>
      <c r="AE59" s="449"/>
      <c r="AF59" s="448"/>
      <c r="AG59" s="448"/>
    </row>
    <row r="60" spans="1:33" s="338" customFormat="1" hidden="1">
      <c r="A60" s="39"/>
      <c r="B60" s="38"/>
      <c r="C60" s="456"/>
      <c r="D60" s="456"/>
      <c r="E60" s="456"/>
      <c r="F60" s="456"/>
      <c r="G60" s="456"/>
      <c r="H60" s="456"/>
      <c r="I60" s="456"/>
      <c r="J60" s="456"/>
      <c r="K60" s="456"/>
      <c r="L60" s="456"/>
      <c r="M60" s="456"/>
      <c r="N60" s="456"/>
      <c r="O60" s="456"/>
      <c r="P60" s="456"/>
      <c r="Q60" s="456"/>
      <c r="R60" s="456"/>
      <c r="S60" s="456"/>
      <c r="T60" s="456"/>
      <c r="U60" s="456"/>
      <c r="V60" s="456"/>
      <c r="W60" s="456"/>
      <c r="X60" s="456"/>
      <c r="Y60" s="456"/>
      <c r="Z60" s="456"/>
      <c r="AA60" s="39"/>
      <c r="AB60" s="39"/>
      <c r="AD60" s="448"/>
      <c r="AE60" s="449"/>
      <c r="AF60" s="448"/>
      <c r="AG60" s="448"/>
    </row>
    <row r="61" spans="1:33" s="338" customFormat="1" hidden="1">
      <c r="A61" s="39"/>
      <c r="B61" s="38"/>
      <c r="C61" s="456"/>
      <c r="D61" s="456"/>
      <c r="E61" s="456"/>
      <c r="F61" s="456"/>
      <c r="G61" s="456"/>
      <c r="H61" s="456"/>
      <c r="I61" s="456"/>
      <c r="J61" s="456"/>
      <c r="K61" s="456"/>
      <c r="L61" s="456"/>
      <c r="M61" s="456"/>
      <c r="N61" s="456"/>
      <c r="O61" s="456"/>
      <c r="P61" s="456"/>
      <c r="Q61" s="456"/>
      <c r="R61" s="456"/>
      <c r="S61" s="456"/>
      <c r="T61" s="456"/>
      <c r="U61" s="456"/>
      <c r="V61" s="456"/>
      <c r="W61" s="456"/>
      <c r="X61" s="456"/>
      <c r="Y61" s="456"/>
      <c r="Z61" s="456"/>
      <c r="AA61" s="39"/>
      <c r="AB61" s="39"/>
      <c r="AD61" s="448"/>
      <c r="AE61" s="449"/>
      <c r="AF61" s="448"/>
      <c r="AG61" s="448"/>
    </row>
    <row r="62" spans="1:33" s="338" customFormat="1" hidden="1">
      <c r="A62" s="39"/>
      <c r="B62" s="38"/>
      <c r="C62" s="456"/>
      <c r="D62" s="456"/>
      <c r="E62" s="456"/>
      <c r="F62" s="456"/>
      <c r="G62" s="456"/>
      <c r="H62" s="456"/>
      <c r="I62" s="456"/>
      <c r="J62" s="456"/>
      <c r="K62" s="456"/>
      <c r="L62" s="456"/>
      <c r="M62" s="456"/>
      <c r="N62" s="456"/>
      <c r="O62" s="456"/>
      <c r="P62" s="456"/>
      <c r="Q62" s="456"/>
      <c r="R62" s="456"/>
      <c r="S62" s="456"/>
      <c r="T62" s="456"/>
      <c r="U62" s="456"/>
      <c r="V62" s="456"/>
      <c r="W62" s="456"/>
      <c r="X62" s="456"/>
      <c r="Y62" s="456"/>
      <c r="Z62" s="456"/>
      <c r="AA62" s="39"/>
      <c r="AB62" s="39"/>
      <c r="AD62" s="448"/>
      <c r="AE62" s="449"/>
      <c r="AF62" s="448"/>
      <c r="AG62" s="448"/>
    </row>
    <row r="63" spans="1:33" s="338" customFormat="1" hidden="1">
      <c r="A63" s="39"/>
      <c r="B63" s="38"/>
      <c r="C63" s="456"/>
      <c r="D63" s="456"/>
      <c r="E63" s="456"/>
      <c r="F63" s="456"/>
      <c r="G63" s="456"/>
      <c r="H63" s="456"/>
      <c r="I63" s="456"/>
      <c r="J63" s="456"/>
      <c r="K63" s="456"/>
      <c r="L63" s="456"/>
      <c r="M63" s="456"/>
      <c r="N63" s="456"/>
      <c r="O63" s="456"/>
      <c r="P63" s="456"/>
      <c r="Q63" s="456"/>
      <c r="R63" s="456"/>
      <c r="S63" s="456"/>
      <c r="T63" s="456"/>
      <c r="U63" s="456"/>
      <c r="V63" s="456"/>
      <c r="W63" s="456"/>
      <c r="X63" s="456"/>
      <c r="Y63" s="456"/>
      <c r="Z63" s="456"/>
      <c r="AA63" s="39"/>
      <c r="AB63" s="39"/>
      <c r="AD63" s="448"/>
      <c r="AE63" s="449"/>
      <c r="AF63" s="448"/>
      <c r="AG63" s="448"/>
    </row>
    <row r="64" spans="1:33" s="338" customFormat="1" hidden="1">
      <c r="A64" s="39"/>
      <c r="B64" s="38"/>
      <c r="C64" s="456"/>
      <c r="D64" s="456"/>
      <c r="E64" s="456"/>
      <c r="F64" s="456"/>
      <c r="G64" s="456"/>
      <c r="H64" s="456"/>
      <c r="I64" s="456"/>
      <c r="J64" s="456"/>
      <c r="K64" s="456"/>
      <c r="L64" s="456"/>
      <c r="M64" s="456"/>
      <c r="N64" s="456"/>
      <c r="O64" s="456"/>
      <c r="P64" s="456"/>
      <c r="Q64" s="456"/>
      <c r="R64" s="456"/>
      <c r="S64" s="456"/>
      <c r="T64" s="456"/>
      <c r="U64" s="456"/>
      <c r="V64" s="456"/>
      <c r="W64" s="456"/>
      <c r="X64" s="456"/>
      <c r="Y64" s="456"/>
      <c r="Z64" s="456"/>
      <c r="AA64" s="39"/>
      <c r="AB64" s="39"/>
      <c r="AD64" s="448"/>
      <c r="AE64" s="449"/>
      <c r="AF64" s="448"/>
      <c r="AG64" s="448"/>
    </row>
    <row r="65" spans="1:33" s="338" customFormat="1" hidden="1">
      <c r="A65" s="39"/>
      <c r="B65" s="38"/>
      <c r="C65" s="456"/>
      <c r="D65" s="456"/>
      <c r="E65" s="456"/>
      <c r="F65" s="456"/>
      <c r="G65" s="456"/>
      <c r="H65" s="456"/>
      <c r="I65" s="456"/>
      <c r="J65" s="456"/>
      <c r="K65" s="456"/>
      <c r="L65" s="456"/>
      <c r="M65" s="456"/>
      <c r="N65" s="456"/>
      <c r="O65" s="456"/>
      <c r="P65" s="456"/>
      <c r="Q65" s="456"/>
      <c r="R65" s="456"/>
      <c r="S65" s="456"/>
      <c r="T65" s="456"/>
      <c r="U65" s="456"/>
      <c r="V65" s="456"/>
      <c r="W65" s="456"/>
      <c r="X65" s="456"/>
      <c r="Y65" s="456"/>
      <c r="Z65" s="456"/>
      <c r="AA65" s="39"/>
      <c r="AB65" s="39"/>
      <c r="AD65" s="448"/>
      <c r="AE65" s="449"/>
      <c r="AF65" s="448"/>
      <c r="AG65" s="448"/>
    </row>
    <row r="66" spans="1:33" s="338" customFormat="1" hidden="1">
      <c r="A66" s="39"/>
      <c r="B66" s="38"/>
      <c r="C66" s="456"/>
      <c r="D66" s="456"/>
      <c r="E66" s="456"/>
      <c r="F66" s="456"/>
      <c r="G66" s="456"/>
      <c r="H66" s="456"/>
      <c r="I66" s="456"/>
      <c r="J66" s="456"/>
      <c r="K66" s="456"/>
      <c r="L66" s="456"/>
      <c r="M66" s="456"/>
      <c r="N66" s="456"/>
      <c r="O66" s="456"/>
      <c r="P66" s="456"/>
      <c r="Q66" s="456"/>
      <c r="R66" s="456"/>
      <c r="S66" s="456"/>
      <c r="T66" s="456"/>
      <c r="U66" s="456"/>
      <c r="V66" s="456"/>
      <c r="W66" s="456"/>
      <c r="X66" s="456"/>
      <c r="Y66" s="456"/>
      <c r="Z66" s="456"/>
      <c r="AA66" s="39"/>
      <c r="AB66" s="39"/>
      <c r="AD66" s="448"/>
      <c r="AE66" s="449"/>
      <c r="AF66" s="448"/>
      <c r="AG66" s="448"/>
    </row>
    <row r="67" spans="1:33" s="338" customFormat="1" hidden="1">
      <c r="A67" s="39"/>
      <c r="B67" s="38"/>
      <c r="C67" s="456"/>
      <c r="D67" s="456"/>
      <c r="E67" s="456"/>
      <c r="F67" s="456"/>
      <c r="G67" s="456"/>
      <c r="H67" s="456"/>
      <c r="I67" s="456"/>
      <c r="J67" s="456"/>
      <c r="K67" s="456"/>
      <c r="L67" s="456"/>
      <c r="M67" s="456"/>
      <c r="N67" s="456"/>
      <c r="O67" s="456"/>
      <c r="P67" s="456"/>
      <c r="Q67" s="456"/>
      <c r="R67" s="456"/>
      <c r="S67" s="456"/>
      <c r="T67" s="456"/>
      <c r="U67" s="456"/>
      <c r="V67" s="456"/>
      <c r="W67" s="456"/>
      <c r="X67" s="456"/>
      <c r="Y67" s="456"/>
      <c r="Z67" s="456"/>
      <c r="AA67" s="39"/>
      <c r="AB67" s="39"/>
      <c r="AD67" s="448"/>
      <c r="AE67" s="449"/>
      <c r="AF67" s="448"/>
      <c r="AG67" s="448"/>
    </row>
    <row r="68" spans="1:33" s="338" customFormat="1" hidden="1">
      <c r="A68" s="39"/>
      <c r="B68" s="38"/>
      <c r="C68" s="456"/>
      <c r="D68" s="456"/>
      <c r="E68" s="456"/>
      <c r="F68" s="456"/>
      <c r="G68" s="456"/>
      <c r="H68" s="456"/>
      <c r="I68" s="456"/>
      <c r="J68" s="456"/>
      <c r="K68" s="456"/>
      <c r="L68" s="456"/>
      <c r="M68" s="456"/>
      <c r="N68" s="456"/>
      <c r="O68" s="456"/>
      <c r="P68" s="456"/>
      <c r="Q68" s="456"/>
      <c r="R68" s="456"/>
      <c r="S68" s="456"/>
      <c r="T68" s="456"/>
      <c r="U68" s="456"/>
      <c r="V68" s="456"/>
      <c r="W68" s="456"/>
      <c r="X68" s="456"/>
      <c r="Y68" s="456"/>
      <c r="Z68" s="456"/>
      <c r="AA68" s="39"/>
      <c r="AB68" s="39"/>
      <c r="AD68" s="448"/>
      <c r="AE68" s="449"/>
      <c r="AF68" s="448"/>
      <c r="AG68" s="448"/>
    </row>
    <row r="69" spans="1:33" s="338" customFormat="1" hidden="1">
      <c r="A69" s="39"/>
      <c r="B69" s="38"/>
      <c r="C69" s="456"/>
      <c r="D69" s="456"/>
      <c r="E69" s="456"/>
      <c r="F69" s="456"/>
      <c r="G69" s="456"/>
      <c r="H69" s="456"/>
      <c r="I69" s="456"/>
      <c r="J69" s="456"/>
      <c r="K69" s="456"/>
      <c r="L69" s="456"/>
      <c r="M69" s="456"/>
      <c r="N69" s="456"/>
      <c r="O69" s="456"/>
      <c r="P69" s="456"/>
      <c r="Q69" s="456"/>
      <c r="R69" s="456"/>
      <c r="S69" s="456"/>
      <c r="T69" s="456"/>
      <c r="U69" s="456"/>
      <c r="V69" s="456"/>
      <c r="W69" s="456"/>
      <c r="X69" s="456"/>
      <c r="Y69" s="456"/>
      <c r="Z69" s="456"/>
      <c r="AA69" s="39"/>
      <c r="AB69" s="39"/>
      <c r="AD69" s="448"/>
      <c r="AE69" s="449"/>
      <c r="AF69" s="448"/>
      <c r="AG69" s="448"/>
    </row>
    <row r="70" spans="1:33" s="338" customFormat="1" hidden="1">
      <c r="A70" s="39"/>
      <c r="B70" s="38"/>
      <c r="C70" s="456"/>
      <c r="D70" s="456"/>
      <c r="E70" s="456"/>
      <c r="F70" s="456"/>
      <c r="G70" s="456"/>
      <c r="H70" s="456"/>
      <c r="I70" s="456"/>
      <c r="J70" s="456"/>
      <c r="K70" s="456"/>
      <c r="L70" s="456"/>
      <c r="M70" s="456"/>
      <c r="N70" s="456"/>
      <c r="O70" s="456"/>
      <c r="P70" s="456"/>
      <c r="Q70" s="456"/>
      <c r="R70" s="456"/>
      <c r="S70" s="456"/>
      <c r="T70" s="456"/>
      <c r="U70" s="456"/>
      <c r="V70" s="456"/>
      <c r="W70" s="456"/>
      <c r="X70" s="456"/>
      <c r="Y70" s="456"/>
      <c r="Z70" s="456"/>
      <c r="AA70" s="39"/>
      <c r="AB70" s="39"/>
      <c r="AD70" s="448"/>
      <c r="AE70" s="449"/>
      <c r="AF70" s="448"/>
      <c r="AG70" s="448"/>
    </row>
    <row r="71" spans="1:33" s="338" customFormat="1" hidden="1">
      <c r="A71" s="39"/>
      <c r="B71" s="38"/>
      <c r="C71" s="456"/>
      <c r="D71" s="456"/>
      <c r="E71" s="456"/>
      <c r="F71" s="456"/>
      <c r="G71" s="456"/>
      <c r="H71" s="456"/>
      <c r="I71" s="456"/>
      <c r="J71" s="456"/>
      <c r="K71" s="456"/>
      <c r="L71" s="456"/>
      <c r="M71" s="456"/>
      <c r="N71" s="456"/>
      <c r="O71" s="456"/>
      <c r="P71" s="456"/>
      <c r="Q71" s="456"/>
      <c r="R71" s="456"/>
      <c r="S71" s="456"/>
      <c r="T71" s="456"/>
      <c r="U71" s="456"/>
      <c r="V71" s="456"/>
      <c r="W71" s="456"/>
      <c r="X71" s="456"/>
      <c r="Y71" s="456"/>
      <c r="Z71" s="456"/>
      <c r="AA71" s="39"/>
      <c r="AB71" s="39"/>
      <c r="AD71" s="448"/>
      <c r="AE71" s="449"/>
      <c r="AF71" s="448"/>
      <c r="AG71" s="448"/>
    </row>
    <row r="72" spans="1:33" s="338" customFormat="1" hidden="1">
      <c r="A72" s="39"/>
      <c r="B72" s="38"/>
      <c r="C72" s="456"/>
      <c r="D72" s="456"/>
      <c r="E72" s="456"/>
      <c r="F72" s="456"/>
      <c r="G72" s="456"/>
      <c r="H72" s="456"/>
      <c r="I72" s="456"/>
      <c r="J72" s="456"/>
      <c r="K72" s="456"/>
      <c r="L72" s="456"/>
      <c r="M72" s="456"/>
      <c r="N72" s="456"/>
      <c r="O72" s="456"/>
      <c r="P72" s="456"/>
      <c r="Q72" s="456"/>
      <c r="R72" s="456"/>
      <c r="S72" s="456"/>
      <c r="T72" s="456"/>
      <c r="U72" s="456"/>
      <c r="V72" s="456"/>
      <c r="W72" s="456"/>
      <c r="X72" s="456"/>
      <c r="Y72" s="456"/>
      <c r="Z72" s="456"/>
      <c r="AA72" s="39"/>
      <c r="AB72" s="39"/>
      <c r="AD72" s="448"/>
      <c r="AE72" s="449"/>
      <c r="AF72" s="448"/>
      <c r="AG72" s="448"/>
    </row>
    <row r="73" spans="1:33" s="338" customFormat="1" hidden="1">
      <c r="A73" s="39"/>
      <c r="B73" s="38"/>
      <c r="C73" s="456"/>
      <c r="D73" s="456"/>
      <c r="E73" s="456"/>
      <c r="F73" s="456"/>
      <c r="G73" s="456"/>
      <c r="H73" s="456"/>
      <c r="I73" s="456"/>
      <c r="J73" s="456"/>
      <c r="K73" s="456"/>
      <c r="L73" s="456"/>
      <c r="M73" s="456"/>
      <c r="N73" s="456"/>
      <c r="O73" s="456"/>
      <c r="P73" s="456"/>
      <c r="Q73" s="456"/>
      <c r="R73" s="456"/>
      <c r="S73" s="456"/>
      <c r="T73" s="456"/>
      <c r="U73" s="456"/>
      <c r="V73" s="456"/>
      <c r="W73" s="456"/>
      <c r="X73" s="456"/>
      <c r="Y73" s="456"/>
      <c r="Z73" s="456"/>
      <c r="AA73" s="39"/>
      <c r="AB73" s="39"/>
      <c r="AD73" s="448"/>
      <c r="AE73" s="449"/>
      <c r="AF73" s="448"/>
      <c r="AG73" s="448"/>
    </row>
    <row r="74" spans="1:33" s="338" customFormat="1" hidden="1">
      <c r="A74" s="39"/>
      <c r="B74" s="38"/>
      <c r="C74" s="456"/>
      <c r="D74" s="456"/>
      <c r="E74" s="456"/>
      <c r="F74" s="456"/>
      <c r="G74" s="456"/>
      <c r="H74" s="456"/>
      <c r="I74" s="456"/>
      <c r="J74" s="456"/>
      <c r="K74" s="456"/>
      <c r="L74" s="456"/>
      <c r="M74" s="456"/>
      <c r="N74" s="456"/>
      <c r="O74" s="456"/>
      <c r="P74" s="456"/>
      <c r="Q74" s="456"/>
      <c r="R74" s="456"/>
      <c r="S74" s="456"/>
      <c r="T74" s="456"/>
      <c r="U74" s="456"/>
      <c r="V74" s="456"/>
      <c r="W74" s="456"/>
      <c r="X74" s="456"/>
      <c r="Y74" s="456"/>
      <c r="Z74" s="456"/>
      <c r="AA74" s="39"/>
      <c r="AB74" s="39"/>
      <c r="AD74" s="448"/>
      <c r="AE74" s="449"/>
      <c r="AF74" s="448"/>
      <c r="AG74" s="448"/>
    </row>
    <row r="75" spans="1:33" s="338" customFormat="1" hidden="1">
      <c r="A75" s="39"/>
      <c r="B75" s="38"/>
      <c r="C75" s="456"/>
      <c r="D75" s="456"/>
      <c r="E75" s="456"/>
      <c r="F75" s="456"/>
      <c r="G75" s="456"/>
      <c r="H75" s="456"/>
      <c r="I75" s="456"/>
      <c r="J75" s="456"/>
      <c r="K75" s="456"/>
      <c r="L75" s="456"/>
      <c r="M75" s="456"/>
      <c r="N75" s="456"/>
      <c r="O75" s="456"/>
      <c r="P75" s="456"/>
      <c r="Q75" s="456"/>
      <c r="R75" s="456"/>
      <c r="S75" s="456"/>
      <c r="T75" s="456"/>
      <c r="U75" s="456"/>
      <c r="V75" s="456"/>
      <c r="W75" s="456"/>
      <c r="X75" s="456"/>
      <c r="Y75" s="456"/>
      <c r="Z75" s="456"/>
      <c r="AA75" s="39"/>
      <c r="AB75" s="39"/>
      <c r="AD75" s="448"/>
      <c r="AE75" s="449"/>
      <c r="AF75" s="448"/>
      <c r="AG75" s="448"/>
    </row>
    <row r="76" spans="1:33" s="338" customFormat="1" hidden="1">
      <c r="A76" s="39"/>
      <c r="B76" s="38"/>
      <c r="C76" s="456"/>
      <c r="D76" s="456"/>
      <c r="E76" s="456"/>
      <c r="F76" s="456"/>
      <c r="G76" s="456"/>
      <c r="H76" s="456"/>
      <c r="I76" s="456"/>
      <c r="J76" s="456"/>
      <c r="K76" s="456"/>
      <c r="L76" s="456"/>
      <c r="M76" s="456"/>
      <c r="N76" s="456"/>
      <c r="O76" s="456"/>
      <c r="P76" s="456"/>
      <c r="Q76" s="456"/>
      <c r="R76" s="456"/>
      <c r="S76" s="456"/>
      <c r="T76" s="456"/>
      <c r="U76" s="456"/>
      <c r="V76" s="456"/>
      <c r="W76" s="456"/>
      <c r="X76" s="456"/>
      <c r="Y76" s="456"/>
      <c r="Z76" s="456"/>
      <c r="AA76" s="39"/>
      <c r="AB76" s="39"/>
      <c r="AD76" s="448"/>
      <c r="AE76" s="449"/>
      <c r="AF76" s="448"/>
      <c r="AG76" s="448"/>
    </row>
    <row r="77" spans="1:33" s="338" customFormat="1" hidden="1">
      <c r="A77" s="39"/>
      <c r="B77" s="38"/>
      <c r="C77" s="456"/>
      <c r="D77" s="456"/>
      <c r="E77" s="456"/>
      <c r="F77" s="456"/>
      <c r="G77" s="456"/>
      <c r="H77" s="456"/>
      <c r="I77" s="456"/>
      <c r="J77" s="456"/>
      <c r="K77" s="456"/>
      <c r="L77" s="456"/>
      <c r="M77" s="456"/>
      <c r="N77" s="456"/>
      <c r="O77" s="456"/>
      <c r="P77" s="456"/>
      <c r="Q77" s="456"/>
      <c r="R77" s="456"/>
      <c r="S77" s="456"/>
      <c r="T77" s="456"/>
      <c r="U77" s="456"/>
      <c r="V77" s="456"/>
      <c r="W77" s="456"/>
      <c r="X77" s="456"/>
      <c r="Y77" s="456"/>
      <c r="Z77" s="456"/>
      <c r="AA77" s="39"/>
      <c r="AB77" s="39"/>
      <c r="AD77" s="448"/>
      <c r="AE77" s="449"/>
      <c r="AF77" s="448"/>
      <c r="AG77" s="448"/>
    </row>
    <row r="78" spans="1:33" s="338" customFormat="1" hidden="1">
      <c r="A78" s="39"/>
      <c r="B78" s="38"/>
      <c r="C78" s="456"/>
      <c r="D78" s="456"/>
      <c r="E78" s="456"/>
      <c r="F78" s="456"/>
      <c r="G78" s="456"/>
      <c r="H78" s="456"/>
      <c r="I78" s="456"/>
      <c r="J78" s="456"/>
      <c r="K78" s="456"/>
      <c r="L78" s="456"/>
      <c r="M78" s="456"/>
      <c r="N78" s="456"/>
      <c r="O78" s="456"/>
      <c r="P78" s="456"/>
      <c r="Q78" s="456"/>
      <c r="R78" s="456"/>
      <c r="S78" s="456"/>
      <c r="T78" s="456"/>
      <c r="U78" s="456"/>
      <c r="V78" s="456"/>
      <c r="W78" s="456"/>
      <c r="X78" s="456"/>
      <c r="Y78" s="456"/>
      <c r="Z78" s="456"/>
      <c r="AA78" s="39"/>
      <c r="AB78" s="39"/>
      <c r="AD78" s="448"/>
      <c r="AE78" s="449"/>
      <c r="AF78" s="448"/>
      <c r="AG78" s="448"/>
    </row>
    <row r="79" spans="1:33" s="338" customFormat="1" hidden="1">
      <c r="A79" s="39"/>
      <c r="B79" s="38"/>
      <c r="C79" s="456"/>
      <c r="D79" s="456"/>
      <c r="E79" s="456"/>
      <c r="F79" s="456"/>
      <c r="G79" s="456"/>
      <c r="H79" s="456"/>
      <c r="I79" s="456"/>
      <c r="J79" s="456"/>
      <c r="K79" s="456"/>
      <c r="L79" s="456"/>
      <c r="M79" s="456"/>
      <c r="N79" s="456"/>
      <c r="O79" s="456"/>
      <c r="P79" s="456"/>
      <c r="Q79" s="456"/>
      <c r="R79" s="456"/>
      <c r="S79" s="456"/>
      <c r="T79" s="456"/>
      <c r="U79" s="456"/>
      <c r="V79" s="456"/>
      <c r="W79" s="456"/>
      <c r="X79" s="456"/>
      <c r="Y79" s="456"/>
      <c r="Z79" s="456"/>
      <c r="AA79" s="39"/>
      <c r="AB79" s="39"/>
      <c r="AD79" s="448"/>
      <c r="AE79" s="449"/>
      <c r="AF79" s="448"/>
      <c r="AG79" s="448"/>
    </row>
    <row r="80" spans="1:33" s="338" customFormat="1" hidden="1">
      <c r="A80" s="39"/>
      <c r="B80" s="38"/>
      <c r="C80" s="456"/>
      <c r="D80" s="456"/>
      <c r="E80" s="456"/>
      <c r="F80" s="456"/>
      <c r="G80" s="456"/>
      <c r="H80" s="456"/>
      <c r="I80" s="456"/>
      <c r="J80" s="456"/>
      <c r="K80" s="456"/>
      <c r="L80" s="456"/>
      <c r="M80" s="456"/>
      <c r="N80" s="456"/>
      <c r="O80" s="456"/>
      <c r="P80" s="456"/>
      <c r="Q80" s="456"/>
      <c r="R80" s="456"/>
      <c r="S80" s="456"/>
      <c r="T80" s="456"/>
      <c r="U80" s="456"/>
      <c r="V80" s="456"/>
      <c r="W80" s="456"/>
      <c r="X80" s="456"/>
      <c r="Y80" s="456"/>
      <c r="Z80" s="456"/>
      <c r="AA80" s="39"/>
      <c r="AB80" s="39"/>
      <c r="AD80" s="448"/>
      <c r="AE80" s="449"/>
      <c r="AF80" s="448"/>
      <c r="AG80" s="448"/>
    </row>
    <row r="81" spans="1:33" s="338" customFormat="1" hidden="1">
      <c r="A81" s="39"/>
      <c r="B81" s="38"/>
      <c r="C81" s="456"/>
      <c r="D81" s="456"/>
      <c r="E81" s="456"/>
      <c r="F81" s="456"/>
      <c r="G81" s="456"/>
      <c r="H81" s="456"/>
      <c r="I81" s="456"/>
      <c r="J81" s="456"/>
      <c r="K81" s="456"/>
      <c r="L81" s="456"/>
      <c r="M81" s="456"/>
      <c r="N81" s="456"/>
      <c r="O81" s="456"/>
      <c r="P81" s="456"/>
      <c r="Q81" s="456"/>
      <c r="R81" s="456"/>
      <c r="S81" s="456"/>
      <c r="T81" s="456"/>
      <c r="U81" s="456"/>
      <c r="V81" s="456"/>
      <c r="W81" s="456"/>
      <c r="X81" s="456"/>
      <c r="Y81" s="456"/>
      <c r="Z81" s="456"/>
      <c r="AA81" s="39"/>
      <c r="AB81" s="39"/>
      <c r="AD81" s="448"/>
      <c r="AE81" s="449"/>
      <c r="AF81" s="448"/>
      <c r="AG81" s="448"/>
    </row>
    <row r="82" spans="1:33" s="338" customFormat="1" hidden="1">
      <c r="A82" s="39"/>
      <c r="B82" s="38"/>
      <c r="C82" s="456"/>
      <c r="D82" s="456"/>
      <c r="E82" s="456"/>
      <c r="F82" s="456"/>
      <c r="G82" s="456"/>
      <c r="H82" s="456"/>
      <c r="I82" s="456"/>
      <c r="J82" s="456"/>
      <c r="K82" s="456"/>
      <c r="L82" s="456"/>
      <c r="M82" s="456"/>
      <c r="N82" s="456"/>
      <c r="O82" s="456"/>
      <c r="P82" s="456"/>
      <c r="Q82" s="456"/>
      <c r="R82" s="456"/>
      <c r="S82" s="456"/>
      <c r="T82" s="456"/>
      <c r="U82" s="456"/>
      <c r="V82" s="456"/>
      <c r="W82" s="456"/>
      <c r="X82" s="456"/>
      <c r="Y82" s="456"/>
      <c r="Z82" s="456"/>
      <c r="AA82" s="39"/>
      <c r="AB82" s="39"/>
      <c r="AD82" s="448"/>
      <c r="AE82" s="449"/>
      <c r="AF82" s="448"/>
      <c r="AG82" s="448"/>
    </row>
    <row r="83" spans="1:33" s="338" customFormat="1" hidden="1">
      <c r="A83" s="39"/>
      <c r="B83" s="38"/>
      <c r="C83" s="456"/>
      <c r="D83" s="456"/>
      <c r="E83" s="456"/>
      <c r="F83" s="456"/>
      <c r="G83" s="456"/>
      <c r="H83" s="456"/>
      <c r="I83" s="456"/>
      <c r="J83" s="456"/>
      <c r="K83" s="456"/>
      <c r="L83" s="456"/>
      <c r="M83" s="456"/>
      <c r="N83" s="456"/>
      <c r="O83" s="456"/>
      <c r="P83" s="456"/>
      <c r="Q83" s="456"/>
      <c r="R83" s="456"/>
      <c r="S83" s="456"/>
      <c r="T83" s="456"/>
      <c r="U83" s="456"/>
      <c r="V83" s="456"/>
      <c r="W83" s="456"/>
      <c r="X83" s="456"/>
      <c r="Y83" s="456"/>
      <c r="Z83" s="456"/>
      <c r="AA83" s="39"/>
      <c r="AB83" s="39"/>
      <c r="AD83" s="448"/>
      <c r="AE83" s="449"/>
      <c r="AF83" s="448"/>
      <c r="AG83" s="448"/>
    </row>
    <row r="84" spans="1:33" s="338" customFormat="1" hidden="1">
      <c r="A84" s="39"/>
      <c r="B84" s="38"/>
      <c r="C84" s="456"/>
      <c r="D84" s="456"/>
      <c r="E84" s="456"/>
      <c r="F84" s="456"/>
      <c r="G84" s="456"/>
      <c r="H84" s="456"/>
      <c r="I84" s="456"/>
      <c r="J84" s="456"/>
      <c r="K84" s="456"/>
      <c r="L84" s="456"/>
      <c r="M84" s="456"/>
      <c r="N84" s="456"/>
      <c r="O84" s="456"/>
      <c r="P84" s="456"/>
      <c r="Q84" s="456"/>
      <c r="R84" s="456"/>
      <c r="S84" s="456"/>
      <c r="T84" s="456"/>
      <c r="U84" s="456"/>
      <c r="V84" s="456"/>
      <c r="W84" s="456"/>
      <c r="X84" s="456"/>
      <c r="Y84" s="456"/>
      <c r="Z84" s="456"/>
      <c r="AA84" s="39"/>
      <c r="AB84" s="39"/>
      <c r="AD84" s="448"/>
      <c r="AE84" s="449"/>
      <c r="AF84" s="448"/>
      <c r="AG84" s="448"/>
    </row>
    <row r="85" spans="1:33" s="338" customFormat="1" hidden="1">
      <c r="A85" s="39"/>
      <c r="B85" s="38"/>
      <c r="C85" s="456"/>
      <c r="D85" s="456"/>
      <c r="E85" s="456"/>
      <c r="F85" s="456"/>
      <c r="G85" s="456"/>
      <c r="H85" s="456"/>
      <c r="I85" s="456"/>
      <c r="J85" s="456"/>
      <c r="K85" s="456"/>
      <c r="L85" s="456"/>
      <c r="M85" s="456"/>
      <c r="N85" s="456"/>
      <c r="O85" s="456"/>
      <c r="P85" s="456"/>
      <c r="Q85" s="456"/>
      <c r="R85" s="456"/>
      <c r="S85" s="456"/>
      <c r="T85" s="456"/>
      <c r="U85" s="456"/>
      <c r="V85" s="456"/>
      <c r="W85" s="456"/>
      <c r="X85" s="456"/>
      <c r="Y85" s="456"/>
      <c r="Z85" s="456"/>
      <c r="AA85" s="39"/>
      <c r="AB85" s="39"/>
      <c r="AD85" s="448"/>
      <c r="AE85" s="449"/>
      <c r="AF85" s="448"/>
      <c r="AG85" s="448"/>
    </row>
    <row r="86" spans="1:33" s="338" customFormat="1" hidden="1">
      <c r="A86" s="39"/>
      <c r="B86" s="38"/>
      <c r="C86" s="456"/>
      <c r="D86" s="456"/>
      <c r="E86" s="456"/>
      <c r="F86" s="456"/>
      <c r="G86" s="456"/>
      <c r="H86" s="456"/>
      <c r="I86" s="456"/>
      <c r="J86" s="456"/>
      <c r="K86" s="456"/>
      <c r="L86" s="456"/>
      <c r="M86" s="456"/>
      <c r="N86" s="456"/>
      <c r="O86" s="456"/>
      <c r="P86" s="456"/>
      <c r="Q86" s="456"/>
      <c r="R86" s="456"/>
      <c r="S86" s="456"/>
      <c r="T86" s="456"/>
      <c r="U86" s="456"/>
      <c r="V86" s="456"/>
      <c r="W86" s="456"/>
      <c r="X86" s="456"/>
      <c r="Y86" s="456"/>
      <c r="Z86" s="456"/>
      <c r="AA86" s="39"/>
      <c r="AB86" s="39"/>
      <c r="AD86" s="448"/>
      <c r="AE86" s="449"/>
      <c r="AF86" s="448"/>
      <c r="AG86" s="448"/>
    </row>
    <row r="87" spans="1:33" s="338" customFormat="1" hidden="1">
      <c r="A87" s="39"/>
      <c r="B87" s="38"/>
      <c r="C87" s="456"/>
      <c r="D87" s="456"/>
      <c r="E87" s="456"/>
      <c r="F87" s="456"/>
      <c r="G87" s="456"/>
      <c r="H87" s="456"/>
      <c r="I87" s="456"/>
      <c r="J87" s="456"/>
      <c r="K87" s="456"/>
      <c r="L87" s="456"/>
      <c r="M87" s="456"/>
      <c r="N87" s="456"/>
      <c r="O87" s="456"/>
      <c r="P87" s="456"/>
      <c r="Q87" s="456"/>
      <c r="R87" s="456"/>
      <c r="S87" s="456"/>
      <c r="T87" s="456"/>
      <c r="U87" s="456"/>
      <c r="V87" s="456"/>
      <c r="W87" s="456"/>
      <c r="X87" s="456"/>
      <c r="Y87" s="456"/>
      <c r="Z87" s="456"/>
      <c r="AA87" s="39"/>
      <c r="AB87" s="39"/>
      <c r="AD87" s="448"/>
      <c r="AE87" s="449"/>
      <c r="AF87" s="448"/>
      <c r="AG87" s="448"/>
    </row>
    <row r="88" spans="1:33" s="338" customFormat="1" hidden="1">
      <c r="A88" s="39"/>
      <c r="B88" s="38"/>
      <c r="C88" s="456"/>
      <c r="D88" s="456"/>
      <c r="E88" s="456"/>
      <c r="F88" s="456"/>
      <c r="G88" s="456"/>
      <c r="H88" s="456"/>
      <c r="I88" s="456"/>
      <c r="J88" s="456"/>
      <c r="K88" s="456"/>
      <c r="L88" s="456"/>
      <c r="M88" s="456"/>
      <c r="N88" s="456"/>
      <c r="O88" s="456"/>
      <c r="P88" s="456"/>
      <c r="Q88" s="456"/>
      <c r="R88" s="456"/>
      <c r="S88" s="456"/>
      <c r="T88" s="456"/>
      <c r="U88" s="456"/>
      <c r="V88" s="456"/>
      <c r="W88" s="456"/>
      <c r="X88" s="456"/>
      <c r="Y88" s="456"/>
      <c r="Z88" s="456"/>
      <c r="AA88" s="39"/>
      <c r="AB88" s="39"/>
      <c r="AD88" s="448"/>
      <c r="AE88" s="449"/>
      <c r="AF88" s="448"/>
      <c r="AG88" s="448"/>
    </row>
    <row r="89" spans="1:33" s="338" customFormat="1" hidden="1">
      <c r="A89" s="39"/>
      <c r="B89" s="38"/>
      <c r="C89" s="456"/>
      <c r="D89" s="456"/>
      <c r="E89" s="456"/>
      <c r="F89" s="456"/>
      <c r="G89" s="456"/>
      <c r="H89" s="456"/>
      <c r="I89" s="456"/>
      <c r="J89" s="456"/>
      <c r="K89" s="456"/>
      <c r="L89" s="456"/>
      <c r="M89" s="456"/>
      <c r="N89" s="456"/>
      <c r="O89" s="456"/>
      <c r="P89" s="456"/>
      <c r="Q89" s="456"/>
      <c r="R89" s="456"/>
      <c r="S89" s="456"/>
      <c r="T89" s="456"/>
      <c r="U89" s="456"/>
      <c r="V89" s="456"/>
      <c r="W89" s="456"/>
      <c r="X89" s="456"/>
      <c r="Y89" s="456"/>
      <c r="Z89" s="456"/>
      <c r="AA89" s="39"/>
      <c r="AB89" s="39"/>
      <c r="AD89" s="448"/>
      <c r="AE89" s="449"/>
      <c r="AF89" s="448"/>
      <c r="AG89" s="448"/>
    </row>
    <row r="90" spans="1:33" s="338" customFormat="1" hidden="1">
      <c r="A90" s="39"/>
      <c r="B90" s="38"/>
      <c r="C90" s="456"/>
      <c r="D90" s="456"/>
      <c r="E90" s="456"/>
      <c r="F90" s="456"/>
      <c r="G90" s="456"/>
      <c r="H90" s="456"/>
      <c r="I90" s="456"/>
      <c r="J90" s="456"/>
      <c r="K90" s="456"/>
      <c r="L90" s="456"/>
      <c r="M90" s="456"/>
      <c r="N90" s="456"/>
      <c r="O90" s="456"/>
      <c r="P90" s="456"/>
      <c r="Q90" s="456"/>
      <c r="R90" s="456"/>
      <c r="S90" s="456"/>
      <c r="T90" s="456"/>
      <c r="U90" s="456"/>
      <c r="V90" s="456"/>
      <c r="W90" s="456"/>
      <c r="X90" s="456"/>
      <c r="Y90" s="456"/>
      <c r="Z90" s="456"/>
      <c r="AA90" s="39"/>
      <c r="AB90" s="39"/>
      <c r="AD90" s="448"/>
      <c r="AE90" s="449"/>
      <c r="AF90" s="448"/>
      <c r="AG90" s="448"/>
    </row>
    <row r="91" spans="1:33" s="338" customFormat="1" hidden="1">
      <c r="A91" s="39"/>
      <c r="B91" s="38"/>
      <c r="C91" s="456"/>
      <c r="D91" s="456"/>
      <c r="E91" s="456"/>
      <c r="F91" s="456"/>
      <c r="G91" s="456"/>
      <c r="H91" s="456"/>
      <c r="I91" s="456"/>
      <c r="J91" s="456"/>
      <c r="K91" s="456"/>
      <c r="L91" s="456"/>
      <c r="M91" s="456"/>
      <c r="N91" s="456"/>
      <c r="O91" s="456"/>
      <c r="P91" s="456"/>
      <c r="Q91" s="456"/>
      <c r="R91" s="456"/>
      <c r="S91" s="456"/>
      <c r="T91" s="456"/>
      <c r="U91" s="456"/>
      <c r="V91" s="456"/>
      <c r="W91" s="456"/>
      <c r="X91" s="456"/>
      <c r="Y91" s="456"/>
      <c r="Z91" s="456"/>
      <c r="AA91" s="39"/>
      <c r="AB91" s="39"/>
      <c r="AD91" s="448"/>
      <c r="AE91" s="449"/>
      <c r="AF91" s="448"/>
      <c r="AG91" s="448"/>
    </row>
    <row r="92" spans="1:33" s="338" customFormat="1" hidden="1">
      <c r="A92" s="39"/>
      <c r="B92" s="38"/>
      <c r="C92" s="456"/>
      <c r="D92" s="456"/>
      <c r="E92" s="456"/>
      <c r="F92" s="456"/>
      <c r="G92" s="456"/>
      <c r="H92" s="456"/>
      <c r="I92" s="456"/>
      <c r="J92" s="456"/>
      <c r="K92" s="456"/>
      <c r="L92" s="456"/>
      <c r="M92" s="456"/>
      <c r="N92" s="456"/>
      <c r="O92" s="456"/>
      <c r="P92" s="456"/>
      <c r="Q92" s="456"/>
      <c r="R92" s="456"/>
      <c r="S92" s="456"/>
      <c r="T92" s="456"/>
      <c r="U92" s="456"/>
      <c r="V92" s="456"/>
      <c r="W92" s="456"/>
      <c r="X92" s="456"/>
      <c r="Y92" s="456"/>
      <c r="Z92" s="456"/>
      <c r="AA92" s="39"/>
      <c r="AB92" s="39"/>
      <c r="AD92" s="448"/>
      <c r="AE92" s="449"/>
      <c r="AF92" s="448"/>
      <c r="AG92" s="448"/>
    </row>
    <row r="93" spans="1:33" s="338" customFormat="1" hidden="1">
      <c r="A93" s="39"/>
      <c r="B93" s="38"/>
      <c r="C93" s="456"/>
      <c r="D93" s="456"/>
      <c r="E93" s="456"/>
      <c r="F93" s="456"/>
      <c r="G93" s="456"/>
      <c r="H93" s="456"/>
      <c r="I93" s="456"/>
      <c r="J93" s="456"/>
      <c r="K93" s="456"/>
      <c r="L93" s="456"/>
      <c r="M93" s="456"/>
      <c r="N93" s="456"/>
      <c r="O93" s="456"/>
      <c r="P93" s="456"/>
      <c r="Q93" s="456"/>
      <c r="R93" s="456"/>
      <c r="S93" s="456"/>
      <c r="T93" s="456"/>
      <c r="U93" s="456"/>
      <c r="V93" s="456"/>
      <c r="W93" s="456"/>
      <c r="X93" s="456"/>
      <c r="Y93" s="456"/>
      <c r="Z93" s="456"/>
      <c r="AA93" s="39"/>
      <c r="AB93" s="39"/>
      <c r="AD93" s="448"/>
      <c r="AE93" s="449"/>
      <c r="AF93" s="448"/>
      <c r="AG93" s="448"/>
    </row>
    <row r="94" spans="1:33" s="338" customFormat="1" hidden="1">
      <c r="A94" s="39"/>
      <c r="B94" s="38"/>
      <c r="C94" s="456"/>
      <c r="D94" s="456"/>
      <c r="E94" s="456"/>
      <c r="F94" s="456"/>
      <c r="G94" s="456"/>
      <c r="H94" s="456"/>
      <c r="I94" s="456"/>
      <c r="J94" s="456"/>
      <c r="K94" s="456"/>
      <c r="L94" s="456"/>
      <c r="M94" s="456"/>
      <c r="N94" s="456"/>
      <c r="O94" s="456"/>
      <c r="P94" s="456"/>
      <c r="Q94" s="456"/>
      <c r="R94" s="456"/>
      <c r="S94" s="456"/>
      <c r="T94" s="456"/>
      <c r="U94" s="456"/>
      <c r="V94" s="456"/>
      <c r="W94" s="456"/>
      <c r="X94" s="456"/>
      <c r="Y94" s="456"/>
      <c r="Z94" s="456"/>
      <c r="AA94" s="39"/>
      <c r="AB94" s="39"/>
      <c r="AD94" s="448"/>
      <c r="AE94" s="449"/>
      <c r="AF94" s="448"/>
      <c r="AG94" s="448"/>
    </row>
    <row r="95" spans="1:33" s="338" customFormat="1" hidden="1">
      <c r="A95" s="39"/>
      <c r="B95" s="38"/>
      <c r="C95" s="456"/>
      <c r="D95" s="456"/>
      <c r="E95" s="456"/>
      <c r="F95" s="456"/>
      <c r="G95" s="456"/>
      <c r="H95" s="456"/>
      <c r="I95" s="456"/>
      <c r="J95" s="456"/>
      <c r="K95" s="456"/>
      <c r="L95" s="456"/>
      <c r="M95" s="456"/>
      <c r="N95" s="456"/>
      <c r="O95" s="456"/>
      <c r="P95" s="456"/>
      <c r="Q95" s="456"/>
      <c r="R95" s="456"/>
      <c r="S95" s="456"/>
      <c r="T95" s="456"/>
      <c r="U95" s="456"/>
      <c r="V95" s="456"/>
      <c r="W95" s="456"/>
      <c r="X95" s="456"/>
      <c r="Y95" s="456"/>
      <c r="Z95" s="456"/>
      <c r="AA95" s="39"/>
      <c r="AB95" s="39"/>
      <c r="AD95" s="448"/>
      <c r="AE95" s="449"/>
      <c r="AF95" s="448"/>
      <c r="AG95" s="448"/>
    </row>
    <row r="96" spans="1:33" s="338" customFormat="1" hidden="1">
      <c r="A96" s="39"/>
      <c r="B96" s="38"/>
      <c r="C96" s="456"/>
      <c r="D96" s="456"/>
      <c r="E96" s="456"/>
      <c r="F96" s="456"/>
      <c r="G96" s="456"/>
      <c r="H96" s="456"/>
      <c r="I96" s="456"/>
      <c r="J96" s="456"/>
      <c r="K96" s="456"/>
      <c r="L96" s="456"/>
      <c r="M96" s="456"/>
      <c r="N96" s="456"/>
      <c r="O96" s="456"/>
      <c r="P96" s="456"/>
      <c r="Q96" s="456"/>
      <c r="R96" s="456"/>
      <c r="S96" s="456"/>
      <c r="T96" s="456"/>
      <c r="U96" s="456"/>
      <c r="V96" s="456"/>
      <c r="W96" s="456"/>
      <c r="X96" s="456"/>
      <c r="Y96" s="456"/>
      <c r="Z96" s="456"/>
      <c r="AA96" s="39"/>
      <c r="AB96" s="39"/>
      <c r="AD96" s="448"/>
      <c r="AE96" s="449"/>
      <c r="AF96" s="448"/>
      <c r="AG96" s="448"/>
    </row>
    <row r="97" spans="1:35" s="338" customFormat="1" hidden="1">
      <c r="A97" s="39"/>
      <c r="B97" s="38"/>
      <c r="C97" s="456"/>
      <c r="D97" s="456"/>
      <c r="E97" s="456"/>
      <c r="F97" s="456"/>
      <c r="G97" s="456"/>
      <c r="H97" s="456"/>
      <c r="I97" s="456"/>
      <c r="J97" s="456"/>
      <c r="K97" s="456"/>
      <c r="L97" s="456"/>
      <c r="M97" s="456"/>
      <c r="N97" s="456"/>
      <c r="O97" s="456"/>
      <c r="P97" s="456"/>
      <c r="Q97" s="456"/>
      <c r="R97" s="456"/>
      <c r="S97" s="456"/>
      <c r="T97" s="456"/>
      <c r="U97" s="456"/>
      <c r="V97" s="456"/>
      <c r="W97" s="456"/>
      <c r="X97" s="456"/>
      <c r="Y97" s="456"/>
      <c r="Z97" s="456"/>
      <c r="AA97" s="39"/>
      <c r="AB97" s="39"/>
      <c r="AD97" s="448"/>
      <c r="AE97" s="449"/>
      <c r="AF97" s="448"/>
      <c r="AG97" s="448"/>
    </row>
    <row r="98" spans="1:35" s="338" customFormat="1" hidden="1">
      <c r="A98" s="39"/>
      <c r="B98" s="38"/>
      <c r="C98" s="456"/>
      <c r="D98" s="456"/>
      <c r="E98" s="456"/>
      <c r="F98" s="456"/>
      <c r="G98" s="456"/>
      <c r="H98" s="456"/>
      <c r="I98" s="456"/>
      <c r="J98" s="456"/>
      <c r="K98" s="456"/>
      <c r="L98" s="456"/>
      <c r="M98" s="456"/>
      <c r="N98" s="456"/>
      <c r="O98" s="456"/>
      <c r="P98" s="456"/>
      <c r="Q98" s="456"/>
      <c r="R98" s="456"/>
      <c r="S98" s="456"/>
      <c r="T98" s="456"/>
      <c r="U98" s="456"/>
      <c r="V98" s="456"/>
      <c r="W98" s="456"/>
      <c r="X98" s="456"/>
      <c r="Y98" s="456"/>
      <c r="Z98" s="456"/>
      <c r="AA98" s="39"/>
      <c r="AB98" s="39"/>
      <c r="AD98" s="448"/>
      <c r="AE98" s="449"/>
      <c r="AF98" s="448"/>
      <c r="AG98" s="448"/>
    </row>
    <row r="99" spans="1:35" s="338" customFormat="1" hidden="1">
      <c r="A99" s="39"/>
      <c r="B99" s="38"/>
      <c r="C99" s="456"/>
      <c r="D99" s="456"/>
      <c r="E99" s="456"/>
      <c r="F99" s="456"/>
      <c r="G99" s="456"/>
      <c r="H99" s="456"/>
      <c r="I99" s="456"/>
      <c r="J99" s="456"/>
      <c r="K99" s="456"/>
      <c r="L99" s="456"/>
      <c r="M99" s="456"/>
      <c r="N99" s="456"/>
      <c r="O99" s="456"/>
      <c r="P99" s="456"/>
      <c r="Q99" s="456"/>
      <c r="R99" s="456"/>
      <c r="S99" s="456"/>
      <c r="T99" s="456"/>
      <c r="U99" s="456"/>
      <c r="V99" s="456"/>
      <c r="W99" s="456"/>
      <c r="X99" s="456"/>
      <c r="Y99" s="456"/>
      <c r="Z99" s="456"/>
      <c r="AA99" s="39"/>
      <c r="AB99" s="39"/>
      <c r="AD99" s="448"/>
      <c r="AE99" s="449"/>
      <c r="AF99" s="448"/>
      <c r="AG99" s="448"/>
    </row>
    <row r="100" spans="1:35" s="338" customFormat="1" hidden="1">
      <c r="A100" s="39"/>
      <c r="B100" s="38"/>
      <c r="C100" s="456"/>
      <c r="D100" s="456"/>
      <c r="E100" s="456"/>
      <c r="F100" s="456"/>
      <c r="G100" s="456"/>
      <c r="H100" s="456"/>
      <c r="I100" s="456"/>
      <c r="J100" s="456"/>
      <c r="K100" s="456"/>
      <c r="L100" s="456"/>
      <c r="M100" s="456"/>
      <c r="N100" s="456"/>
      <c r="O100" s="456"/>
      <c r="P100" s="456"/>
      <c r="Q100" s="456"/>
      <c r="R100" s="456"/>
      <c r="S100" s="456"/>
      <c r="T100" s="456"/>
      <c r="U100" s="456"/>
      <c r="V100" s="456"/>
      <c r="W100" s="456"/>
      <c r="X100" s="456"/>
      <c r="Y100" s="456"/>
      <c r="Z100" s="456"/>
      <c r="AA100" s="39"/>
      <c r="AB100" s="39"/>
      <c r="AD100" s="448"/>
      <c r="AE100" s="449"/>
      <c r="AF100" s="448"/>
      <c r="AG100" s="448"/>
    </row>
    <row r="101" spans="1:35" s="338" customFormat="1" hidden="1">
      <c r="A101" s="39"/>
      <c r="B101" s="38"/>
      <c r="C101" s="456"/>
      <c r="D101" s="456"/>
      <c r="E101" s="456"/>
      <c r="F101" s="456"/>
      <c r="G101" s="456"/>
      <c r="H101" s="456"/>
      <c r="I101" s="456"/>
      <c r="J101" s="456"/>
      <c r="K101" s="456"/>
      <c r="L101" s="456"/>
      <c r="M101" s="456"/>
      <c r="N101" s="456"/>
      <c r="O101" s="456"/>
      <c r="P101" s="456"/>
      <c r="Q101" s="456"/>
      <c r="R101" s="456"/>
      <c r="S101" s="456"/>
      <c r="T101" s="456"/>
      <c r="U101" s="456"/>
      <c r="V101" s="456"/>
      <c r="W101" s="456"/>
      <c r="X101" s="456"/>
      <c r="Y101" s="456"/>
      <c r="Z101" s="456"/>
      <c r="AA101" s="39"/>
      <c r="AB101" s="39"/>
      <c r="AD101" s="448"/>
      <c r="AE101" s="449"/>
      <c r="AF101" s="448"/>
      <c r="AG101" s="448"/>
    </row>
    <row r="102" spans="1:35" s="338" customFormat="1" hidden="1">
      <c r="A102" s="39"/>
      <c r="B102" s="38"/>
      <c r="C102" s="456"/>
      <c r="D102" s="456"/>
      <c r="E102" s="456"/>
      <c r="F102" s="456"/>
      <c r="G102" s="456"/>
      <c r="H102" s="456"/>
      <c r="I102" s="456"/>
      <c r="J102" s="456"/>
      <c r="K102" s="456"/>
      <c r="L102" s="456"/>
      <c r="M102" s="456"/>
      <c r="N102" s="456"/>
      <c r="O102" s="456"/>
      <c r="P102" s="456"/>
      <c r="Q102" s="456"/>
      <c r="R102" s="456"/>
      <c r="S102" s="456"/>
      <c r="T102" s="456"/>
      <c r="U102" s="456"/>
      <c r="V102" s="456"/>
      <c r="W102" s="456"/>
      <c r="X102" s="456"/>
      <c r="Y102" s="456"/>
      <c r="Z102" s="456"/>
      <c r="AA102" s="39"/>
      <c r="AB102" s="39"/>
      <c r="AD102" s="448"/>
      <c r="AE102" s="449"/>
      <c r="AF102" s="448"/>
      <c r="AG102" s="448"/>
    </row>
    <row r="103" spans="1:35" s="338" customFormat="1" hidden="1">
      <c r="A103" s="39"/>
      <c r="B103" s="38"/>
      <c r="C103" s="456"/>
      <c r="D103" s="456"/>
      <c r="E103" s="456"/>
      <c r="F103" s="456"/>
      <c r="G103" s="456"/>
      <c r="H103" s="456"/>
      <c r="I103" s="456"/>
      <c r="J103" s="456"/>
      <c r="K103" s="456"/>
      <c r="L103" s="456"/>
      <c r="M103" s="456"/>
      <c r="N103" s="456"/>
      <c r="O103" s="456"/>
      <c r="P103" s="456"/>
      <c r="Q103" s="456"/>
      <c r="R103" s="456"/>
      <c r="S103" s="456"/>
      <c r="T103" s="456"/>
      <c r="U103" s="456"/>
      <c r="V103" s="456"/>
      <c r="W103" s="456"/>
      <c r="X103" s="456"/>
      <c r="Y103" s="456"/>
      <c r="Z103" s="456"/>
      <c r="AA103" s="39"/>
      <c r="AB103" s="39"/>
      <c r="AD103" s="448"/>
      <c r="AE103" s="449"/>
      <c r="AF103" s="448"/>
      <c r="AG103" s="448"/>
    </row>
    <row r="104" spans="1:35" s="338" customFormat="1" hidden="1">
      <c r="A104" s="39"/>
      <c r="B104" s="38"/>
      <c r="C104" s="456"/>
      <c r="D104" s="456"/>
      <c r="E104" s="456"/>
      <c r="F104" s="456"/>
      <c r="G104" s="456"/>
      <c r="H104" s="456"/>
      <c r="I104" s="456"/>
      <c r="J104" s="456"/>
      <c r="K104" s="456"/>
      <c r="L104" s="456"/>
      <c r="M104" s="456"/>
      <c r="N104" s="456"/>
      <c r="O104" s="456"/>
      <c r="P104" s="456"/>
      <c r="Q104" s="456"/>
      <c r="R104" s="456"/>
      <c r="S104" s="456"/>
      <c r="T104" s="456"/>
      <c r="U104" s="456"/>
      <c r="V104" s="456"/>
      <c r="W104" s="456"/>
      <c r="X104" s="456"/>
      <c r="Y104" s="456"/>
      <c r="Z104" s="456"/>
      <c r="AA104" s="39"/>
      <c r="AB104" s="39"/>
      <c r="AD104" s="448"/>
      <c r="AE104" s="449"/>
      <c r="AF104" s="448"/>
      <c r="AG104" s="448"/>
    </row>
    <row r="105" spans="1:35" s="338" customFormat="1" hidden="1">
      <c r="A105" s="39"/>
      <c r="B105" s="38"/>
      <c r="C105" s="456"/>
      <c r="D105" s="456"/>
      <c r="E105" s="456"/>
      <c r="F105" s="456"/>
      <c r="G105" s="456"/>
      <c r="H105" s="456"/>
      <c r="I105" s="456"/>
      <c r="J105" s="456"/>
      <c r="K105" s="456"/>
      <c r="L105" s="456"/>
      <c r="M105" s="456"/>
      <c r="N105" s="456"/>
      <c r="O105" s="456"/>
      <c r="P105" s="456"/>
      <c r="Q105" s="456"/>
      <c r="R105" s="456"/>
      <c r="S105" s="456"/>
      <c r="T105" s="456"/>
      <c r="U105" s="456"/>
      <c r="V105" s="456"/>
      <c r="W105" s="456"/>
      <c r="X105" s="456"/>
      <c r="Y105" s="456"/>
      <c r="Z105" s="456"/>
      <c r="AA105" s="39"/>
      <c r="AB105" s="39"/>
      <c r="AD105" s="448"/>
      <c r="AE105" s="449"/>
      <c r="AF105" s="448"/>
      <c r="AG105" s="448"/>
    </row>
    <row r="106" spans="1:35" s="338" customFormat="1" hidden="1">
      <c r="A106" s="39"/>
      <c r="B106" s="38"/>
      <c r="C106" s="456"/>
      <c r="D106" s="456"/>
      <c r="E106" s="456"/>
      <c r="F106" s="456"/>
      <c r="G106" s="456"/>
      <c r="H106" s="456"/>
      <c r="I106" s="456"/>
      <c r="J106" s="456"/>
      <c r="K106" s="456"/>
      <c r="L106" s="456"/>
      <c r="M106" s="456"/>
      <c r="N106" s="456"/>
      <c r="O106" s="456"/>
      <c r="P106" s="456"/>
      <c r="Q106" s="456"/>
      <c r="R106" s="456"/>
      <c r="S106" s="456"/>
      <c r="T106" s="456"/>
      <c r="U106" s="456"/>
      <c r="V106" s="456"/>
      <c r="W106" s="456"/>
      <c r="X106" s="456"/>
      <c r="Y106" s="456"/>
      <c r="Z106" s="456"/>
      <c r="AA106" s="39"/>
      <c r="AB106" s="39"/>
      <c r="AD106" s="448"/>
      <c r="AE106" s="449"/>
      <c r="AF106" s="448"/>
      <c r="AG106" s="448"/>
    </row>
    <row r="107" spans="1:35" s="338" customFormat="1" hidden="1">
      <c r="A107" s="39"/>
      <c r="B107" s="38"/>
      <c r="C107" s="456"/>
      <c r="D107" s="456"/>
      <c r="E107" s="456"/>
      <c r="F107" s="456"/>
      <c r="G107" s="456"/>
      <c r="H107" s="456"/>
      <c r="I107" s="456"/>
      <c r="J107" s="456"/>
      <c r="K107" s="456"/>
      <c r="L107" s="456"/>
      <c r="M107" s="456"/>
      <c r="N107" s="456"/>
      <c r="O107" s="456"/>
      <c r="P107" s="456"/>
      <c r="Q107" s="456"/>
      <c r="R107" s="456"/>
      <c r="S107" s="456"/>
      <c r="T107" s="456"/>
      <c r="U107" s="456"/>
      <c r="V107" s="456"/>
      <c r="W107" s="456"/>
      <c r="X107" s="456"/>
      <c r="Y107" s="456"/>
      <c r="Z107" s="456"/>
      <c r="AA107" s="39"/>
      <c r="AB107" s="39"/>
      <c r="AD107" s="448"/>
      <c r="AE107" s="449"/>
      <c r="AF107" s="448"/>
      <c r="AG107" s="448"/>
    </row>
    <row r="108" spans="1:35" s="338" customFormat="1" hidden="1">
      <c r="A108" s="39"/>
      <c r="B108" s="38"/>
      <c r="C108" s="456"/>
      <c r="D108" s="456"/>
      <c r="E108" s="456"/>
      <c r="F108" s="456"/>
      <c r="G108" s="456"/>
      <c r="H108" s="456"/>
      <c r="I108" s="456"/>
      <c r="J108" s="456"/>
      <c r="K108" s="456"/>
      <c r="L108" s="456"/>
      <c r="M108" s="456"/>
      <c r="N108" s="456"/>
      <c r="O108" s="456"/>
      <c r="P108" s="456"/>
      <c r="Q108" s="456"/>
      <c r="R108" s="456"/>
      <c r="S108" s="456"/>
      <c r="T108" s="456"/>
      <c r="U108" s="456"/>
      <c r="V108" s="456"/>
      <c r="W108" s="456"/>
      <c r="X108" s="456"/>
      <c r="Y108" s="456"/>
      <c r="Z108" s="456"/>
      <c r="AA108" s="39"/>
      <c r="AB108" s="39"/>
      <c r="AD108" s="448"/>
      <c r="AE108" s="449"/>
      <c r="AF108" s="448"/>
      <c r="AG108" s="448"/>
    </row>
    <row r="109" spans="1:35" s="338" customFormat="1" hidden="1">
      <c r="A109" s="39"/>
      <c r="B109" s="38"/>
      <c r="C109" s="456"/>
      <c r="D109" s="456"/>
      <c r="E109" s="456"/>
      <c r="F109" s="456"/>
      <c r="G109" s="456"/>
      <c r="H109" s="456"/>
      <c r="I109" s="456"/>
      <c r="J109" s="456"/>
      <c r="K109" s="456"/>
      <c r="L109" s="456"/>
      <c r="M109" s="456"/>
      <c r="N109" s="456"/>
      <c r="O109" s="456"/>
      <c r="P109" s="456"/>
      <c r="Q109" s="456"/>
      <c r="R109" s="456"/>
      <c r="S109" s="456"/>
      <c r="T109" s="456"/>
      <c r="U109" s="456"/>
      <c r="V109" s="456"/>
      <c r="W109" s="456"/>
      <c r="X109" s="456"/>
      <c r="Y109" s="456"/>
      <c r="Z109" s="456"/>
      <c r="AA109" s="39"/>
      <c r="AB109" s="39"/>
      <c r="AD109" s="448"/>
      <c r="AE109" s="449"/>
      <c r="AF109" s="448"/>
      <c r="AG109" s="448"/>
    </row>
    <row r="110" spans="1:35" s="338" customFormat="1" hidden="1">
      <c r="A110" s="39"/>
      <c r="B110" s="38"/>
      <c r="C110" s="456"/>
      <c r="D110" s="456"/>
      <c r="E110" s="456"/>
      <c r="F110" s="456"/>
      <c r="G110" s="456"/>
      <c r="H110" s="456"/>
      <c r="I110" s="456"/>
      <c r="J110" s="456"/>
      <c r="K110" s="456"/>
      <c r="L110" s="456"/>
      <c r="M110" s="456"/>
      <c r="N110" s="456"/>
      <c r="O110" s="456"/>
      <c r="P110" s="456"/>
      <c r="Q110" s="456"/>
      <c r="R110" s="456"/>
      <c r="S110" s="456"/>
      <c r="T110" s="456"/>
      <c r="U110" s="456"/>
      <c r="V110" s="456"/>
      <c r="W110" s="456"/>
      <c r="X110" s="456"/>
      <c r="Y110" s="456"/>
      <c r="Z110" s="456"/>
      <c r="AA110" s="39"/>
      <c r="AB110" s="39"/>
      <c r="AD110" s="448"/>
      <c r="AE110" s="449"/>
      <c r="AF110" s="448"/>
      <c r="AG110" s="448"/>
    </row>
    <row r="111" spans="1:35" s="338" customFormat="1">
      <c r="A111" s="39"/>
      <c r="B111" s="38"/>
      <c r="C111" s="456"/>
      <c r="D111" s="456"/>
      <c r="E111" s="456"/>
      <c r="F111" s="456"/>
      <c r="G111" s="456"/>
      <c r="H111" s="456"/>
      <c r="I111" s="456"/>
      <c r="J111" s="456"/>
      <c r="K111" s="456"/>
      <c r="L111" s="456"/>
      <c r="M111" s="456"/>
      <c r="N111" s="456"/>
      <c r="O111" s="456"/>
      <c r="P111" s="456"/>
      <c r="Q111" s="456"/>
      <c r="R111" s="456"/>
      <c r="S111" s="456"/>
      <c r="T111" s="456"/>
      <c r="U111" s="456"/>
      <c r="V111" s="456"/>
      <c r="W111" s="456"/>
      <c r="X111" s="456"/>
      <c r="Y111" s="456"/>
      <c r="Z111" s="456"/>
      <c r="AA111" s="39"/>
      <c r="AB111" s="39"/>
      <c r="AD111" s="448"/>
      <c r="AE111" s="449"/>
      <c r="AF111" s="448"/>
      <c r="AG111" s="448"/>
    </row>
    <row r="112" spans="1:35" ht="15.75" thickBot="1">
      <c r="A112" s="41" t="s">
        <v>695</v>
      </c>
      <c r="B112" s="42" t="s">
        <v>816</v>
      </c>
      <c r="C112" s="50">
        <f>'State DisAgg LFx10 (2015)'!D577</f>
        <v>0</v>
      </c>
      <c r="D112" s="73">
        <f>C112+(($I112-$C112)/6)</f>
        <v>0</v>
      </c>
      <c r="E112" s="73">
        <f>D112+(($I112-$C112)/6)</f>
        <v>0</v>
      </c>
      <c r="F112" s="73">
        <f>E112+(($I112-$C112)/6)</f>
        <v>0</v>
      </c>
      <c r="G112" s="73">
        <f>F112+(($I112-$C112)/6)</f>
        <v>0</v>
      </c>
      <c r="H112" s="73">
        <f>G112+(($I112-$C112)/6)</f>
        <v>0</v>
      </c>
      <c r="I112" s="74">
        <f>'State DisAgg LFx10 (2015)'!H577</f>
        <v>0</v>
      </c>
      <c r="J112" s="73">
        <f>I112+(($N112-$I112)/6)</f>
        <v>0</v>
      </c>
      <c r="K112" s="73">
        <f>J112+(($N112-$I112)/6)</f>
        <v>0</v>
      </c>
      <c r="L112" s="51">
        <f>K112+(($N112-$I112)/6)</f>
        <v>0</v>
      </c>
      <c r="M112" s="51">
        <f>L112+(($N112-$I112)/6)</f>
        <v>0</v>
      </c>
      <c r="N112" s="50">
        <f>'State DisAgg LFx10 (2015)'!L577</f>
        <v>0</v>
      </c>
      <c r="O112" s="51">
        <f>N112+(($R112-$N112)/4)</f>
        <v>2.5</v>
      </c>
      <c r="P112" s="51">
        <f>O112+(($R112-$N112)/4)</f>
        <v>5</v>
      </c>
      <c r="Q112" s="51">
        <f>P112+(($R112-$N112)/4)</f>
        <v>7.5</v>
      </c>
      <c r="R112" s="50">
        <f>'State DisAgg LFx10 (2015)'!P577</f>
        <v>10</v>
      </c>
      <c r="S112" s="51">
        <f t="shared" ref="S112:X112" si="1">R112+(($Y112-$R112)/6)</f>
        <v>11.666666666666666</v>
      </c>
      <c r="T112" s="51">
        <f t="shared" si="1"/>
        <v>13.333333333333332</v>
      </c>
      <c r="U112" s="51">
        <f t="shared" si="1"/>
        <v>14.999999999999998</v>
      </c>
      <c r="V112" s="51">
        <f t="shared" si="1"/>
        <v>16.666666666666664</v>
      </c>
      <c r="W112" s="51">
        <f t="shared" si="1"/>
        <v>18.333333333333332</v>
      </c>
      <c r="X112" s="51">
        <f t="shared" si="1"/>
        <v>20</v>
      </c>
      <c r="Y112" s="50">
        <f>'State DisAgg LFx10 (2015)'!T577</f>
        <v>20</v>
      </c>
      <c r="Z112" s="51">
        <f t="shared" ref="Z112" si="2">Y112</f>
        <v>20</v>
      </c>
      <c r="AA112" s="38">
        <f>'Lagos Workings'!AA112*5</f>
        <v>100</v>
      </c>
      <c r="AB112" s="457">
        <f>AA112/22</f>
        <v>4.5454545454545459</v>
      </c>
      <c r="AD112" s="451">
        <f>V112</f>
        <v>16.666666666666664</v>
      </c>
      <c r="AE112" s="346"/>
      <c r="AF112" s="453">
        <f t="shared" ref="AF112:AG113" si="3">IF($AG$1=16,R112,IF($AG$1=17,S112,IF($AG$1=18,T112,IF($AG$1=19,U112,IF($AG$1=20,V112,IF($AG$1=21,W112,IF($AG$1=22,X112,0)))))))</f>
        <v>18.333333333333332</v>
      </c>
      <c r="AG112" s="453">
        <f t="shared" si="3"/>
        <v>20</v>
      </c>
      <c r="AI112" s="338"/>
    </row>
    <row r="113" spans="1:35" s="340" customFormat="1" ht="15.75" thickBot="1">
      <c r="A113" s="45"/>
      <c r="B113" s="46" t="s">
        <v>817</v>
      </c>
      <c r="C113" s="71">
        <f>C112</f>
        <v>0</v>
      </c>
      <c r="D113" s="52"/>
      <c r="E113" s="52"/>
      <c r="F113" s="52"/>
      <c r="G113" s="52"/>
      <c r="H113" s="52"/>
      <c r="I113" s="757">
        <f>'State DisAgg LFx10 (2015)'!H589</f>
        <v>0</v>
      </c>
      <c r="J113" s="52"/>
      <c r="K113" s="52"/>
      <c r="L113" s="52"/>
      <c r="M113" s="52"/>
      <c r="N113" s="757">
        <f>'State DisAgg LFx10 (2015)'!L589</f>
        <v>0</v>
      </c>
      <c r="O113" s="52"/>
      <c r="P113" s="52"/>
      <c r="Q113" s="71"/>
      <c r="R113" s="757">
        <f>'State DisAgg LFx10 (2015)'!P589</f>
        <v>18</v>
      </c>
      <c r="S113" s="52"/>
      <c r="T113" s="52"/>
      <c r="U113" s="52"/>
      <c r="V113" s="757">
        <v>35</v>
      </c>
      <c r="W113" s="757">
        <v>39</v>
      </c>
      <c r="X113" s="70">
        <f>'State DisAgg LFx10 (2015)'!$T589</f>
        <v>42</v>
      </c>
      <c r="Y113" s="70">
        <f>'State DisAgg LFx10 (2015)'!$T589</f>
        <v>42</v>
      </c>
      <c r="Z113" s="70">
        <f>'State DisAgg LFx10 (2015)'!$T589</f>
        <v>42</v>
      </c>
      <c r="AA113" s="429"/>
      <c r="AB113" s="430"/>
      <c r="AD113" s="452">
        <f>V113</f>
        <v>35</v>
      </c>
      <c r="AE113" s="346"/>
      <c r="AF113" s="452">
        <f t="shared" si="3"/>
        <v>39</v>
      </c>
      <c r="AG113" s="452">
        <f t="shared" si="3"/>
        <v>42</v>
      </c>
      <c r="AH113" s="342">
        <f>AG113</f>
        <v>42</v>
      </c>
      <c r="AI113" s="342">
        <f>AG113</f>
        <v>42</v>
      </c>
    </row>
    <row r="114" spans="1:35" s="340" customFormat="1">
      <c r="A114" s="45"/>
      <c r="B114" s="46"/>
      <c r="C114" s="53"/>
      <c r="D114" s="75"/>
      <c r="E114" s="75"/>
      <c r="F114" s="75"/>
      <c r="G114" s="75"/>
      <c r="H114" s="75"/>
      <c r="I114" s="75"/>
      <c r="J114" s="75"/>
      <c r="K114" s="75"/>
      <c r="L114" s="53"/>
      <c r="M114" s="53"/>
      <c r="N114" s="53"/>
      <c r="O114" s="53"/>
      <c r="P114" s="53"/>
      <c r="Q114" s="53"/>
      <c r="R114" s="53"/>
      <c r="S114" s="53"/>
      <c r="T114" s="53"/>
      <c r="U114" s="53"/>
      <c r="V114" s="53"/>
      <c r="W114" s="53"/>
      <c r="X114" s="53"/>
      <c r="Y114" s="53"/>
      <c r="Z114" s="53"/>
      <c r="AA114" s="429"/>
      <c r="AB114" s="430"/>
      <c r="AD114" s="345"/>
      <c r="AE114" s="346"/>
      <c r="AF114" s="454"/>
      <c r="AG114" s="454"/>
      <c r="AH114" s="335"/>
      <c r="AI114" s="338"/>
    </row>
    <row r="115" spans="1:35" ht="15.75" thickBot="1">
      <c r="A115" s="41" t="s">
        <v>696</v>
      </c>
      <c r="B115" s="42" t="s">
        <v>818</v>
      </c>
      <c r="C115" s="52"/>
      <c r="D115" s="52"/>
      <c r="E115" s="52"/>
      <c r="F115" s="52"/>
      <c r="G115" s="52"/>
      <c r="H115" s="52"/>
      <c r="I115" s="52"/>
      <c r="J115" s="52"/>
      <c r="K115" s="52"/>
      <c r="L115" s="52"/>
      <c r="M115" s="52"/>
      <c r="N115" s="52"/>
      <c r="O115" s="52"/>
      <c r="P115" s="52"/>
      <c r="Q115" s="52"/>
      <c r="R115" s="50">
        <v>10</v>
      </c>
      <c r="S115" s="51">
        <f t="shared" ref="S115:X115" si="4">R115+(($Y115-$R115)/6)</f>
        <v>10.833333333333334</v>
      </c>
      <c r="T115" s="51">
        <f t="shared" si="4"/>
        <v>11.666666666666668</v>
      </c>
      <c r="U115" s="51">
        <f t="shared" si="4"/>
        <v>12.500000000000002</v>
      </c>
      <c r="V115" s="51">
        <f t="shared" si="4"/>
        <v>13.333333333333336</v>
      </c>
      <c r="W115" s="51">
        <f t="shared" si="4"/>
        <v>14.16666666666667</v>
      </c>
      <c r="X115" s="51">
        <f t="shared" si="4"/>
        <v>15.000000000000004</v>
      </c>
      <c r="Y115" s="50">
        <f>'State DisAgg LFx10 (2015)'!U577</f>
        <v>15</v>
      </c>
      <c r="Z115" s="51">
        <f t="shared" ref="Z115" si="5">Y115</f>
        <v>15</v>
      </c>
      <c r="AA115" s="38">
        <f>'Lagos Workings'!AA115*5</f>
        <v>100</v>
      </c>
      <c r="AB115" s="457">
        <f>AA115/22</f>
        <v>4.5454545454545459</v>
      </c>
      <c r="AD115" s="451">
        <f>V115</f>
        <v>13.333333333333336</v>
      </c>
      <c r="AE115" s="346"/>
      <c r="AF115" s="453">
        <f t="shared" ref="AF115:AG116" si="6">IF($AG$1=16,R115,IF($AG$1=17,S115,IF($AG$1=18,T115,IF($AG$1=19,U115,IF($AG$1=20,V115,IF($AG$1=21,W115,IF($AG$1=22,X115,0)))))))</f>
        <v>14.16666666666667</v>
      </c>
      <c r="AG115" s="453">
        <f t="shared" si="6"/>
        <v>15.000000000000004</v>
      </c>
      <c r="AI115" s="338"/>
    </row>
    <row r="116" spans="1:35" s="340" customFormat="1" ht="15.75" thickBot="1">
      <c r="A116" s="45"/>
      <c r="B116" s="46" t="s">
        <v>819</v>
      </c>
      <c r="C116" s="52"/>
      <c r="D116" s="52"/>
      <c r="E116" s="52"/>
      <c r="F116" s="52"/>
      <c r="G116" s="52"/>
      <c r="H116" s="52"/>
      <c r="I116" s="52"/>
      <c r="J116" s="52"/>
      <c r="K116" s="52"/>
      <c r="L116" s="52"/>
      <c r="M116" s="52"/>
      <c r="N116" s="52"/>
      <c r="O116" s="52"/>
      <c r="P116" s="52"/>
      <c r="Q116" s="71"/>
      <c r="R116" s="757">
        <f>'State DisAgg LFx10 (2015)'!Q589</f>
        <v>11</v>
      </c>
      <c r="S116" s="52"/>
      <c r="T116" s="52"/>
      <c r="U116" s="52"/>
      <c r="V116" s="757">
        <v>17</v>
      </c>
      <c r="W116" s="757">
        <v>19</v>
      </c>
      <c r="X116" s="70">
        <f>'State DisAgg LFx10 (2015)'!$U589</f>
        <v>22</v>
      </c>
      <c r="Y116" s="70">
        <f>'State DisAgg LFx10 (2015)'!$U589</f>
        <v>22</v>
      </c>
      <c r="Z116" s="70">
        <f>'State DisAgg LFx10 (2015)'!$U589</f>
        <v>22</v>
      </c>
      <c r="AA116" s="49"/>
      <c r="AB116" s="421"/>
      <c r="AD116" s="452">
        <f>V116</f>
        <v>17</v>
      </c>
      <c r="AE116" s="346"/>
      <c r="AF116" s="452">
        <f t="shared" si="6"/>
        <v>19</v>
      </c>
      <c r="AG116" s="452">
        <f t="shared" si="6"/>
        <v>22</v>
      </c>
      <c r="AH116" s="342">
        <f>AG116</f>
        <v>22</v>
      </c>
      <c r="AI116" s="342">
        <f>AG116</f>
        <v>22</v>
      </c>
    </row>
    <row r="117" spans="1:35">
      <c r="A117" s="45"/>
      <c r="B117" s="46"/>
      <c r="C117" s="53"/>
      <c r="D117" s="75"/>
      <c r="E117" s="75"/>
      <c r="F117" s="75"/>
      <c r="G117" s="75"/>
      <c r="H117" s="75"/>
      <c r="I117" s="75"/>
      <c r="J117" s="75"/>
      <c r="K117" s="75"/>
      <c r="L117" s="53"/>
      <c r="M117" s="53"/>
      <c r="N117" s="53"/>
      <c r="O117" s="53"/>
      <c r="P117" s="53"/>
      <c r="Q117" s="53"/>
      <c r="R117" s="53"/>
      <c r="S117" s="53"/>
      <c r="T117" s="53"/>
      <c r="U117" s="53"/>
      <c r="V117" s="53"/>
      <c r="W117" s="53"/>
      <c r="X117" s="53"/>
      <c r="Y117" s="53"/>
      <c r="Z117" s="53"/>
      <c r="AA117" s="49"/>
      <c r="AB117" s="421"/>
      <c r="AD117" s="346"/>
      <c r="AE117" s="346"/>
      <c r="AF117" s="346"/>
      <c r="AG117" s="346"/>
      <c r="AI117" s="338"/>
    </row>
    <row r="118" spans="1:35" ht="15.75" thickBot="1">
      <c r="A118" s="41" t="s">
        <v>697</v>
      </c>
      <c r="B118" s="42" t="s">
        <v>820</v>
      </c>
      <c r="C118" s="52"/>
      <c r="D118" s="52"/>
      <c r="E118" s="52"/>
      <c r="F118" s="52"/>
      <c r="G118" s="52"/>
      <c r="H118" s="52"/>
      <c r="I118" s="52"/>
      <c r="J118" s="52"/>
      <c r="K118" s="52"/>
      <c r="L118" s="52"/>
      <c r="M118" s="52"/>
      <c r="N118" s="52"/>
      <c r="O118" s="52"/>
      <c r="P118" s="52"/>
      <c r="Q118" s="52"/>
      <c r="R118" s="50">
        <v>5</v>
      </c>
      <c r="S118" s="51">
        <f t="shared" ref="S118:X118" si="7">R118+(($Y118-$R118)/6)</f>
        <v>5</v>
      </c>
      <c r="T118" s="51">
        <f t="shared" si="7"/>
        <v>5</v>
      </c>
      <c r="U118" s="51">
        <f t="shared" si="7"/>
        <v>5</v>
      </c>
      <c r="V118" s="51">
        <f t="shared" si="7"/>
        <v>5</v>
      </c>
      <c r="W118" s="51">
        <f t="shared" si="7"/>
        <v>5</v>
      </c>
      <c r="X118" s="51">
        <f t="shared" si="7"/>
        <v>5</v>
      </c>
      <c r="Y118" s="50">
        <f>'State DisAgg LFx10 (2015)'!V577</f>
        <v>5</v>
      </c>
      <c r="Z118" s="51">
        <f t="shared" ref="Z118" si="8">Y118</f>
        <v>5</v>
      </c>
      <c r="AA118" s="38">
        <f>'Lagos Workings'!AA118*5</f>
        <v>50</v>
      </c>
      <c r="AB118" s="457">
        <f>AA118/22</f>
        <v>2.2727272727272729</v>
      </c>
      <c r="AD118" s="451">
        <f>V118</f>
        <v>5</v>
      </c>
      <c r="AE118" s="346"/>
      <c r="AF118" s="453">
        <f t="shared" ref="AF118:AG119" si="9">IF($AG$1=16,R118,IF($AG$1=17,S118,IF($AG$1=18,T118,IF($AG$1=19,U118,IF($AG$1=20,V118,IF($AG$1=21,W118,IF($AG$1=22,X118,0)))))))</f>
        <v>5</v>
      </c>
      <c r="AG118" s="453">
        <f t="shared" si="9"/>
        <v>5</v>
      </c>
      <c r="AI118" s="338"/>
    </row>
    <row r="119" spans="1:35" ht="15.75" thickBot="1">
      <c r="A119" s="45"/>
      <c r="B119" s="46" t="s">
        <v>821</v>
      </c>
      <c r="C119" s="52"/>
      <c r="D119" s="52"/>
      <c r="E119" s="52"/>
      <c r="F119" s="52"/>
      <c r="G119" s="52"/>
      <c r="H119" s="52"/>
      <c r="I119" s="52"/>
      <c r="J119" s="52"/>
      <c r="K119" s="52"/>
      <c r="L119" s="52"/>
      <c r="M119" s="52"/>
      <c r="N119" s="52"/>
      <c r="O119" s="52"/>
      <c r="P119" s="52"/>
      <c r="Q119" s="52"/>
      <c r="R119" s="757">
        <f>'State DisAgg LFx10 (2015)'!R589</f>
        <v>4</v>
      </c>
      <c r="S119" s="52"/>
      <c r="T119" s="52"/>
      <c r="U119" s="52"/>
      <c r="V119" s="757">
        <v>8</v>
      </c>
      <c r="W119" s="757">
        <v>9</v>
      </c>
      <c r="X119" s="70">
        <f>'State DisAgg LFx10 (2015)'!$V589</f>
        <v>10</v>
      </c>
      <c r="Y119" s="70">
        <f>'State DisAgg LFx10 (2015)'!$V589</f>
        <v>10</v>
      </c>
      <c r="Z119" s="70">
        <f>'State DisAgg LFx10 (2015)'!$V589</f>
        <v>10</v>
      </c>
      <c r="AA119" s="49"/>
      <c r="AB119" s="421"/>
      <c r="AD119" s="452">
        <f>V119</f>
        <v>8</v>
      </c>
      <c r="AE119" s="346"/>
      <c r="AF119" s="452">
        <f t="shared" si="9"/>
        <v>9</v>
      </c>
      <c r="AG119" s="452">
        <f t="shared" si="9"/>
        <v>10</v>
      </c>
      <c r="AH119" s="342">
        <f>AG119</f>
        <v>10</v>
      </c>
      <c r="AI119" s="342">
        <f>AG119</f>
        <v>10</v>
      </c>
    </row>
    <row r="120" spans="1:35">
      <c r="A120" s="45"/>
      <c r="B120" s="46"/>
      <c r="C120" s="53"/>
      <c r="D120" s="75"/>
      <c r="E120" s="75"/>
      <c r="F120" s="75"/>
      <c r="G120" s="75"/>
      <c r="H120" s="75"/>
      <c r="I120" s="75"/>
      <c r="J120" s="75"/>
      <c r="K120" s="75"/>
      <c r="L120" s="53"/>
      <c r="M120" s="53"/>
      <c r="N120" s="53"/>
      <c r="O120" s="53"/>
      <c r="P120" s="53"/>
      <c r="Q120" s="53"/>
      <c r="R120" s="53"/>
      <c r="S120" s="53"/>
      <c r="T120" s="53"/>
      <c r="U120" s="53"/>
      <c r="V120" s="53"/>
      <c r="W120" s="53"/>
      <c r="X120" s="53"/>
      <c r="Y120" s="53"/>
      <c r="Z120" s="53"/>
      <c r="AA120" s="49"/>
      <c r="AB120" s="421"/>
      <c r="AD120" s="345"/>
      <c r="AE120" s="346"/>
      <c r="AF120" s="454"/>
      <c r="AG120" s="454"/>
      <c r="AI120" s="338"/>
    </row>
    <row r="121" spans="1:35" ht="15.75" thickBot="1">
      <c r="A121" s="41" t="s">
        <v>698</v>
      </c>
      <c r="B121" s="42" t="s">
        <v>822</v>
      </c>
      <c r="C121" s="52"/>
      <c r="D121" s="52"/>
      <c r="E121" s="52"/>
      <c r="F121" s="52"/>
      <c r="G121" s="52"/>
      <c r="H121" s="52"/>
      <c r="I121" s="52"/>
      <c r="J121" s="52"/>
      <c r="K121" s="52"/>
      <c r="L121" s="52"/>
      <c r="M121" s="52"/>
      <c r="N121" s="52"/>
      <c r="O121" s="52"/>
      <c r="P121" s="52"/>
      <c r="Q121" s="52"/>
      <c r="R121" s="50">
        <v>5</v>
      </c>
      <c r="S121" s="51">
        <f t="shared" ref="S121:X121" si="10">R121+(($Y121-$R121)/6)</f>
        <v>5</v>
      </c>
      <c r="T121" s="51">
        <f t="shared" si="10"/>
        <v>5</v>
      </c>
      <c r="U121" s="51">
        <f t="shared" si="10"/>
        <v>5</v>
      </c>
      <c r="V121" s="51">
        <f t="shared" si="10"/>
        <v>5</v>
      </c>
      <c r="W121" s="51">
        <f t="shared" si="10"/>
        <v>5</v>
      </c>
      <c r="X121" s="51">
        <f t="shared" si="10"/>
        <v>5</v>
      </c>
      <c r="Y121" s="50">
        <f>'State DisAgg LFx10 (2015)'!W577</f>
        <v>5</v>
      </c>
      <c r="Z121" s="51">
        <f t="shared" ref="Z121" si="11">Y121</f>
        <v>5</v>
      </c>
      <c r="AA121" s="38">
        <f>'Lagos Workings'!AA121*5</f>
        <v>50</v>
      </c>
      <c r="AB121" s="457">
        <f>AA121/22</f>
        <v>2.2727272727272729</v>
      </c>
      <c r="AD121" s="451">
        <f>V121</f>
        <v>5</v>
      </c>
      <c r="AE121" s="346"/>
      <c r="AF121" s="453">
        <f t="shared" ref="AF121:AG122" si="12">IF($AG$1=16,R121,IF($AG$1=17,S121,IF($AG$1=18,T121,IF($AG$1=19,U121,IF($AG$1=20,V121,IF($AG$1=21,W121,IF($AG$1=22,X121,0)))))))</f>
        <v>5</v>
      </c>
      <c r="AG121" s="453">
        <f t="shared" si="12"/>
        <v>5</v>
      </c>
      <c r="AI121" s="338"/>
    </row>
    <row r="122" spans="1:35" ht="15.75" thickBot="1">
      <c r="A122" s="45"/>
      <c r="B122" s="46" t="s">
        <v>823</v>
      </c>
      <c r="C122" s="52"/>
      <c r="D122" s="52"/>
      <c r="E122" s="52"/>
      <c r="F122" s="52"/>
      <c r="G122" s="52"/>
      <c r="H122" s="52"/>
      <c r="I122" s="52"/>
      <c r="J122" s="52"/>
      <c r="K122" s="52"/>
      <c r="L122" s="52"/>
      <c r="M122" s="52"/>
      <c r="N122" s="52"/>
      <c r="O122" s="52"/>
      <c r="P122" s="52"/>
      <c r="Q122" s="52"/>
      <c r="R122" s="757">
        <f>'State DisAgg LFx10 (2015)'!S589</f>
        <v>4</v>
      </c>
      <c r="S122" s="52"/>
      <c r="T122" s="52"/>
      <c r="U122" s="52"/>
      <c r="V122" s="757">
        <v>6</v>
      </c>
      <c r="W122" s="757">
        <v>6</v>
      </c>
      <c r="X122" s="70">
        <f>'State DisAgg LFx10 (2015)'!$W589</f>
        <v>6</v>
      </c>
      <c r="Y122" s="70">
        <f>'State DisAgg LFx10 (2015)'!$W589</f>
        <v>6</v>
      </c>
      <c r="Z122" s="70">
        <f>'State DisAgg LFx10 (2015)'!$W589</f>
        <v>6</v>
      </c>
      <c r="AA122" s="49"/>
      <c r="AB122" s="421"/>
      <c r="AD122" s="452">
        <f>V122</f>
        <v>6</v>
      </c>
      <c r="AE122" s="346"/>
      <c r="AF122" s="452">
        <f t="shared" si="12"/>
        <v>6</v>
      </c>
      <c r="AG122" s="452">
        <f t="shared" si="12"/>
        <v>6</v>
      </c>
      <c r="AH122" s="342">
        <f>AG122</f>
        <v>6</v>
      </c>
      <c r="AI122" s="342">
        <f>AG122</f>
        <v>6</v>
      </c>
    </row>
    <row r="123" spans="1:35" ht="14.25" customHeight="1">
      <c r="A123" s="45"/>
      <c r="B123" s="46"/>
      <c r="C123" s="53"/>
      <c r="D123" s="75"/>
      <c r="E123" s="75"/>
      <c r="F123" s="75"/>
      <c r="G123" s="75"/>
      <c r="H123" s="75"/>
      <c r="I123" s="75"/>
      <c r="J123" s="75"/>
      <c r="K123" s="75"/>
      <c r="L123" s="53"/>
      <c r="M123" s="53"/>
      <c r="N123" s="53"/>
      <c r="O123" s="53"/>
      <c r="P123" s="53"/>
      <c r="Q123" s="53"/>
      <c r="R123" s="53"/>
      <c r="S123" s="53"/>
      <c r="T123" s="53"/>
      <c r="U123" s="53"/>
      <c r="V123" s="53"/>
      <c r="W123" s="53"/>
      <c r="X123" s="53"/>
      <c r="Y123" s="53"/>
      <c r="Z123" s="53"/>
      <c r="AA123" s="49"/>
      <c r="AB123" s="421"/>
      <c r="AD123" s="345"/>
      <c r="AE123" s="346"/>
      <c r="AF123" s="454"/>
      <c r="AG123" s="454"/>
      <c r="AI123" s="338"/>
    </row>
    <row r="124" spans="1:35" ht="15.75" thickBot="1">
      <c r="A124" s="41" t="s">
        <v>699</v>
      </c>
      <c r="B124" s="42" t="s">
        <v>202</v>
      </c>
      <c r="C124" s="50">
        <f>'State DisAgg LFx10 (2015)'!D604</f>
        <v>0</v>
      </c>
      <c r="D124" s="73">
        <f>C124+(($I124-$C124)/6)</f>
        <v>0</v>
      </c>
      <c r="E124" s="73">
        <f>D124+(($I124-$C124)/6)</f>
        <v>0</v>
      </c>
      <c r="F124" s="73">
        <f>E124+(($I124-$C124)/6)</f>
        <v>0</v>
      </c>
      <c r="G124" s="73">
        <f>F124+(($I124-$C124)/6)</f>
        <v>0</v>
      </c>
      <c r="H124" s="73">
        <f>G124+(($I124-$C124)/6)</f>
        <v>0</v>
      </c>
      <c r="I124" s="74">
        <f>'State DisAgg LFx10 (2015)'!H604</f>
        <v>0</v>
      </c>
      <c r="J124" s="73">
        <f>I124+(($N124-$I124)/6)</f>
        <v>0</v>
      </c>
      <c r="K124" s="73">
        <f>J124+(($N124-$I124)/6)</f>
        <v>0</v>
      </c>
      <c r="L124" s="51">
        <f>K124+(($N124-$I124)/6)</f>
        <v>0</v>
      </c>
      <c r="M124" s="51">
        <f>L124+(($N124-$I124)/6)</f>
        <v>0</v>
      </c>
      <c r="N124" s="50">
        <f>'State DisAgg LFx10 (2015)'!L604</f>
        <v>0</v>
      </c>
      <c r="O124" s="51">
        <f>N124+(($R124-$N124)/4)</f>
        <v>1.25</v>
      </c>
      <c r="P124" s="51">
        <f>O124+(($R124-$N124)/4)</f>
        <v>2.5</v>
      </c>
      <c r="Q124" s="51">
        <f>P124+(($R124-$N124)/4)</f>
        <v>3.75</v>
      </c>
      <c r="R124" s="50">
        <f>'State DisAgg LFx10 (2015)'!P604</f>
        <v>5</v>
      </c>
      <c r="S124" s="51">
        <f t="shared" ref="S124:X124" si="13">R124+(($Y124-$R124)/6)</f>
        <v>5.833333333333333</v>
      </c>
      <c r="T124" s="51">
        <f t="shared" si="13"/>
        <v>6.6666666666666661</v>
      </c>
      <c r="U124" s="51">
        <f t="shared" si="13"/>
        <v>7.4999999999999991</v>
      </c>
      <c r="V124" s="51">
        <f t="shared" si="13"/>
        <v>8.3333333333333321</v>
      </c>
      <c r="W124" s="51">
        <f t="shared" si="13"/>
        <v>9.1666666666666661</v>
      </c>
      <c r="X124" s="51">
        <f t="shared" si="13"/>
        <v>10</v>
      </c>
      <c r="Y124" s="50">
        <f>'State DisAgg LFx10 (2015)'!T604</f>
        <v>10</v>
      </c>
      <c r="Z124" s="51">
        <f t="shared" ref="Z124" si="14">Y124</f>
        <v>10</v>
      </c>
      <c r="AA124" s="38">
        <f>'Lagos Workings'!AA124*5</f>
        <v>50</v>
      </c>
      <c r="AB124" s="457">
        <f>AA124/22</f>
        <v>2.2727272727272729</v>
      </c>
      <c r="AD124" s="451">
        <f>V124</f>
        <v>8.3333333333333321</v>
      </c>
      <c r="AE124" s="346"/>
      <c r="AF124" s="453">
        <f t="shared" ref="AF124:AG125" si="15">IF($AG$1=16,R124,IF($AG$1=17,S124,IF($AG$1=18,T124,IF($AG$1=19,U124,IF($AG$1=20,V124,IF($AG$1=21,W124,IF($AG$1=22,X124,0)))))))</f>
        <v>9.1666666666666661</v>
      </c>
      <c r="AG124" s="453">
        <f t="shared" si="15"/>
        <v>10</v>
      </c>
      <c r="AI124" s="338"/>
    </row>
    <row r="125" spans="1:35" ht="15.75" thickBot="1">
      <c r="A125" s="45"/>
      <c r="B125" s="46" t="s">
        <v>203</v>
      </c>
      <c r="C125" s="71">
        <f>C124</f>
        <v>0</v>
      </c>
      <c r="D125" s="52"/>
      <c r="E125" s="52"/>
      <c r="F125" s="52"/>
      <c r="G125" s="52"/>
      <c r="H125" s="52"/>
      <c r="I125" s="52"/>
      <c r="J125" s="52"/>
      <c r="K125" s="52"/>
      <c r="L125" s="52"/>
      <c r="M125" s="52"/>
      <c r="N125" s="757">
        <f>'State DisAgg LFx10 (2015)'!L616</f>
        <v>0</v>
      </c>
      <c r="O125" s="52"/>
      <c r="P125" s="52"/>
      <c r="Q125" s="71"/>
      <c r="R125" s="77">
        <f>'State DisAgg LFx10 (2015)'!P616</f>
        <v>7</v>
      </c>
      <c r="S125" s="52"/>
      <c r="T125" s="52"/>
      <c r="U125" s="52"/>
      <c r="V125" s="757">
        <v>9</v>
      </c>
      <c r="W125" s="757">
        <v>15</v>
      </c>
      <c r="X125" s="70">
        <f>'State DisAgg LFx10 (2015)'!$T616</f>
        <v>16</v>
      </c>
      <c r="Y125" s="70">
        <f>'State DisAgg LFx10 (2015)'!$T616</f>
        <v>16</v>
      </c>
      <c r="Z125" s="70">
        <f>'State DisAgg LFx10 (2015)'!$T616</f>
        <v>16</v>
      </c>
      <c r="AA125" s="49"/>
      <c r="AB125" s="421"/>
      <c r="AD125" s="452">
        <f>V125</f>
        <v>9</v>
      </c>
      <c r="AE125" s="346"/>
      <c r="AF125" s="452">
        <f t="shared" si="15"/>
        <v>15</v>
      </c>
      <c r="AG125" s="452">
        <f t="shared" si="15"/>
        <v>16</v>
      </c>
      <c r="AH125" s="342">
        <f>AG125</f>
        <v>16</v>
      </c>
      <c r="AI125" s="342">
        <f>AG125</f>
        <v>16</v>
      </c>
    </row>
    <row r="126" spans="1:35">
      <c r="B126" s="46"/>
      <c r="AB126" s="420"/>
      <c r="AD126" s="345"/>
      <c r="AE126" s="346"/>
      <c r="AF126" s="454"/>
      <c r="AG126" s="454"/>
      <c r="AI126" s="338"/>
    </row>
    <row r="127" spans="1:35" ht="15.75" thickBot="1">
      <c r="A127" s="41" t="s">
        <v>700</v>
      </c>
      <c r="B127" s="42" t="s">
        <v>213</v>
      </c>
      <c r="C127" s="52"/>
      <c r="D127" s="52"/>
      <c r="E127" s="52"/>
      <c r="F127" s="52"/>
      <c r="G127" s="52"/>
      <c r="H127" s="52"/>
      <c r="I127" s="52"/>
      <c r="J127" s="52"/>
      <c r="K127" s="52"/>
      <c r="L127" s="52"/>
      <c r="M127" s="52"/>
      <c r="N127" s="52"/>
      <c r="O127" s="52"/>
      <c r="P127" s="52"/>
      <c r="Q127" s="52"/>
      <c r="R127" s="50">
        <v>5</v>
      </c>
      <c r="S127" s="51">
        <f t="shared" ref="S127:X127" si="16">R127+(($Y127-$R127)/6)</f>
        <v>5</v>
      </c>
      <c r="T127" s="51">
        <f t="shared" si="16"/>
        <v>5</v>
      </c>
      <c r="U127" s="51">
        <f t="shared" si="16"/>
        <v>5</v>
      </c>
      <c r="V127" s="51">
        <f t="shared" si="16"/>
        <v>5</v>
      </c>
      <c r="W127" s="51">
        <f t="shared" si="16"/>
        <v>5</v>
      </c>
      <c r="X127" s="51">
        <f t="shared" si="16"/>
        <v>5</v>
      </c>
      <c r="Y127" s="50">
        <f>'State DisAgg LFx10 (2015)'!U604</f>
        <v>5</v>
      </c>
      <c r="Z127" s="51">
        <f t="shared" ref="Z127" si="17">Y127</f>
        <v>5</v>
      </c>
      <c r="AA127" s="38">
        <f>'Lagos Workings'!AA127*5</f>
        <v>50</v>
      </c>
      <c r="AB127" s="457">
        <f>AA127/22</f>
        <v>2.2727272727272729</v>
      </c>
      <c r="AD127" s="451">
        <f>V127</f>
        <v>5</v>
      </c>
      <c r="AE127" s="346"/>
      <c r="AF127" s="453">
        <f t="shared" ref="AF127:AG128" si="18">IF($AG$1=16,R127,IF($AG$1=17,S127,IF($AG$1=18,T127,IF($AG$1=19,U127,IF($AG$1=20,V127,IF($AG$1=21,W127,IF($AG$1=22,X127,0)))))))</f>
        <v>5</v>
      </c>
      <c r="AG127" s="453">
        <f t="shared" si="18"/>
        <v>5</v>
      </c>
      <c r="AI127" s="338"/>
    </row>
    <row r="128" spans="1:35" ht="15.75" thickBot="1">
      <c r="A128" s="45"/>
      <c r="B128" s="46" t="s">
        <v>212</v>
      </c>
      <c r="C128" s="52"/>
      <c r="D128" s="52"/>
      <c r="E128" s="52"/>
      <c r="F128" s="52"/>
      <c r="G128" s="52"/>
      <c r="H128" s="52"/>
      <c r="I128" s="52"/>
      <c r="J128" s="52"/>
      <c r="K128" s="52"/>
      <c r="L128" s="52"/>
      <c r="M128" s="52"/>
      <c r="N128" s="52"/>
      <c r="O128" s="52"/>
      <c r="P128" s="52"/>
      <c r="Q128" s="52"/>
      <c r="R128" s="757">
        <f>'State DisAgg LFx10 (2015)'!Q616</f>
        <v>6</v>
      </c>
      <c r="S128" s="52"/>
      <c r="T128" s="52"/>
      <c r="U128" s="52"/>
      <c r="V128" s="757">
        <v>8</v>
      </c>
      <c r="W128" s="757">
        <v>14</v>
      </c>
      <c r="X128" s="70">
        <f>'State DisAgg LFx10 (2015)'!$U616</f>
        <v>15</v>
      </c>
      <c r="Y128" s="70">
        <f>'State DisAgg LFx10 (2015)'!$U616</f>
        <v>15</v>
      </c>
      <c r="Z128" s="70">
        <f>'State DisAgg LFx10 (2015)'!$U616</f>
        <v>15</v>
      </c>
      <c r="AA128" s="49"/>
      <c r="AB128" s="421"/>
      <c r="AD128" s="452">
        <f>V128</f>
        <v>8</v>
      </c>
      <c r="AE128" s="346"/>
      <c r="AF128" s="452">
        <f t="shared" si="18"/>
        <v>14</v>
      </c>
      <c r="AG128" s="452">
        <f t="shared" si="18"/>
        <v>15</v>
      </c>
      <c r="AH128" s="342">
        <f>AG128</f>
        <v>15</v>
      </c>
      <c r="AI128" s="342">
        <f>AG128</f>
        <v>15</v>
      </c>
    </row>
    <row r="129" spans="1:35">
      <c r="A129" s="45"/>
      <c r="B129" s="46"/>
      <c r="C129" s="53"/>
      <c r="D129" s="75"/>
      <c r="E129" s="75"/>
      <c r="F129" s="75"/>
      <c r="G129" s="75"/>
      <c r="H129" s="75"/>
      <c r="I129" s="75"/>
      <c r="J129" s="75"/>
      <c r="K129" s="75"/>
      <c r="L129" s="53"/>
      <c r="M129" s="53"/>
      <c r="N129" s="53"/>
      <c r="O129" s="53"/>
      <c r="P129" s="53"/>
      <c r="Q129" s="53"/>
      <c r="R129" s="53"/>
      <c r="S129" s="53"/>
      <c r="T129" s="53"/>
      <c r="U129" s="53"/>
      <c r="V129" s="53"/>
      <c r="W129" s="53"/>
      <c r="X129" s="53"/>
      <c r="Y129" s="53"/>
      <c r="Z129" s="53"/>
      <c r="AA129" s="49"/>
      <c r="AB129" s="421"/>
      <c r="AD129" s="346"/>
      <c r="AE129" s="346"/>
      <c r="AF129" s="346"/>
      <c r="AG129" s="346"/>
      <c r="AI129" s="338"/>
    </row>
    <row r="130" spans="1:35" ht="15.75" thickBot="1">
      <c r="A130" s="41" t="s">
        <v>701</v>
      </c>
      <c r="B130" s="42" t="s">
        <v>211</v>
      </c>
      <c r="C130" s="52"/>
      <c r="D130" s="52"/>
      <c r="E130" s="52"/>
      <c r="F130" s="52"/>
      <c r="G130" s="52"/>
      <c r="H130" s="52"/>
      <c r="I130" s="52"/>
      <c r="J130" s="52"/>
      <c r="K130" s="52"/>
      <c r="L130" s="52"/>
      <c r="M130" s="52"/>
      <c r="N130" s="52"/>
      <c r="O130" s="52"/>
      <c r="P130" s="52"/>
      <c r="Q130" s="52"/>
      <c r="R130" s="50">
        <v>2</v>
      </c>
      <c r="S130" s="51">
        <f t="shared" ref="S130:X130" si="19">R130+(($Y130-$R130)/6)</f>
        <v>2.1666666666666665</v>
      </c>
      <c r="T130" s="51">
        <f t="shared" si="19"/>
        <v>2.333333333333333</v>
      </c>
      <c r="U130" s="51">
        <f t="shared" si="19"/>
        <v>2.4999999999999996</v>
      </c>
      <c r="V130" s="51">
        <f t="shared" si="19"/>
        <v>2.6666666666666661</v>
      </c>
      <c r="W130" s="51">
        <f t="shared" si="19"/>
        <v>2.8333333333333326</v>
      </c>
      <c r="X130" s="51">
        <f t="shared" si="19"/>
        <v>2.9999999999999991</v>
      </c>
      <c r="Y130" s="50">
        <f>'State DisAgg LFx10 (2015)'!V604</f>
        <v>3</v>
      </c>
      <c r="Z130" s="51">
        <f t="shared" ref="Z130" si="20">Y130</f>
        <v>3</v>
      </c>
      <c r="AA130" s="38">
        <f>'Lagos Workings'!AA130*5</f>
        <v>25</v>
      </c>
      <c r="AB130" s="457">
        <f>AA130/22</f>
        <v>1.1363636363636365</v>
      </c>
      <c r="AD130" s="451">
        <f>V130</f>
        <v>2.6666666666666661</v>
      </c>
      <c r="AE130" s="346"/>
      <c r="AF130" s="453">
        <f t="shared" ref="AF130:AG131" si="21">IF($AG$1=16,R130,IF($AG$1=17,S130,IF($AG$1=18,T130,IF($AG$1=19,U130,IF($AG$1=20,V130,IF($AG$1=21,W130,IF($AG$1=22,X130,0)))))))</f>
        <v>2.8333333333333326</v>
      </c>
      <c r="AG130" s="453">
        <f t="shared" si="21"/>
        <v>2.9999999999999991</v>
      </c>
      <c r="AI130" s="338"/>
    </row>
    <row r="131" spans="1:35" ht="15.75" thickBot="1">
      <c r="A131" s="45"/>
      <c r="B131" s="46" t="s">
        <v>210</v>
      </c>
      <c r="C131" s="52"/>
      <c r="D131" s="52"/>
      <c r="E131" s="52"/>
      <c r="F131" s="52"/>
      <c r="G131" s="52"/>
      <c r="H131" s="52"/>
      <c r="I131" s="52"/>
      <c r="J131" s="52"/>
      <c r="K131" s="52"/>
      <c r="L131" s="52"/>
      <c r="M131" s="52"/>
      <c r="N131" s="52"/>
      <c r="O131" s="52"/>
      <c r="P131" s="52"/>
      <c r="Q131" s="52"/>
      <c r="R131" s="757">
        <f>'State DisAgg LFx10 (2015)'!R616</f>
        <v>2</v>
      </c>
      <c r="S131" s="52"/>
      <c r="T131" s="52"/>
      <c r="U131" s="52"/>
      <c r="V131" s="757">
        <v>4</v>
      </c>
      <c r="W131" s="757">
        <v>10</v>
      </c>
      <c r="X131" s="70">
        <f>'State DisAgg LFx10 (2015)'!$V616</f>
        <v>10</v>
      </c>
      <c r="Y131" s="70">
        <f>'State DisAgg LFx10 (2015)'!$V616</f>
        <v>10</v>
      </c>
      <c r="Z131" s="70">
        <f>'State DisAgg LFx10 (2015)'!$V616</f>
        <v>10</v>
      </c>
      <c r="AA131" s="49"/>
      <c r="AB131" s="421"/>
      <c r="AD131" s="452">
        <f>V131</f>
        <v>4</v>
      </c>
      <c r="AE131" s="346"/>
      <c r="AF131" s="452">
        <f t="shared" si="21"/>
        <v>10</v>
      </c>
      <c r="AG131" s="452">
        <f t="shared" si="21"/>
        <v>10</v>
      </c>
      <c r="AH131" s="342">
        <f>AG131</f>
        <v>10</v>
      </c>
      <c r="AI131" s="342">
        <f>AG131</f>
        <v>10</v>
      </c>
    </row>
    <row r="132" spans="1:35">
      <c r="A132" s="45"/>
      <c r="B132" s="46"/>
      <c r="C132" s="53"/>
      <c r="D132" s="75"/>
      <c r="E132" s="75"/>
      <c r="F132" s="75"/>
      <c r="G132" s="75"/>
      <c r="H132" s="75"/>
      <c r="I132" s="75"/>
      <c r="J132" s="75"/>
      <c r="K132" s="75"/>
      <c r="L132" s="53"/>
      <c r="M132" s="53"/>
      <c r="N132" s="53"/>
      <c r="O132" s="53"/>
      <c r="P132" s="53"/>
      <c r="Q132" s="53"/>
      <c r="R132" s="53"/>
      <c r="S132" s="53"/>
      <c r="T132" s="53"/>
      <c r="U132" s="53"/>
      <c r="V132" s="53"/>
      <c r="W132" s="53"/>
      <c r="X132" s="53"/>
      <c r="Y132" s="53"/>
      <c r="Z132" s="53"/>
      <c r="AA132" s="49"/>
      <c r="AB132" s="421"/>
      <c r="AD132" s="345"/>
      <c r="AE132" s="346"/>
      <c r="AF132" s="454"/>
      <c r="AG132" s="454"/>
      <c r="AI132" s="338"/>
    </row>
    <row r="133" spans="1:35" ht="15.75" thickBot="1">
      <c r="A133" s="41" t="s">
        <v>702</v>
      </c>
      <c r="B133" s="42" t="s">
        <v>209</v>
      </c>
      <c r="C133" s="52"/>
      <c r="D133" s="52"/>
      <c r="E133" s="52"/>
      <c r="F133" s="52"/>
      <c r="G133" s="52"/>
      <c r="H133" s="52"/>
      <c r="I133" s="52"/>
      <c r="J133" s="52"/>
      <c r="K133" s="52"/>
      <c r="L133" s="52"/>
      <c r="M133" s="52"/>
      <c r="N133" s="52"/>
      <c r="O133" s="52"/>
      <c r="P133" s="52"/>
      <c r="Q133" s="52"/>
      <c r="R133" s="50">
        <f>[3]Logframe!S71</f>
        <v>0</v>
      </c>
      <c r="S133" s="51">
        <f t="shared" ref="S133:X133" si="22">R133+(($Y133-$R133)/6)</f>
        <v>0.16666666666666666</v>
      </c>
      <c r="T133" s="51">
        <f t="shared" si="22"/>
        <v>0.33333333333333331</v>
      </c>
      <c r="U133" s="51">
        <f t="shared" si="22"/>
        <v>0.5</v>
      </c>
      <c r="V133" s="51">
        <f t="shared" si="22"/>
        <v>0.66666666666666663</v>
      </c>
      <c r="W133" s="51">
        <f t="shared" si="22"/>
        <v>0.83333333333333326</v>
      </c>
      <c r="X133" s="51">
        <f t="shared" si="22"/>
        <v>0.99999999999999989</v>
      </c>
      <c r="Y133" s="50">
        <f>'State DisAgg LFx10 (2015)'!W604</f>
        <v>1</v>
      </c>
      <c r="Z133" s="51">
        <f t="shared" ref="Z133" si="23">Y133</f>
        <v>1</v>
      </c>
      <c r="AA133" s="38">
        <f>'Lagos Workings'!AA133*5</f>
        <v>25</v>
      </c>
      <c r="AB133" s="457">
        <f>AA133/22</f>
        <v>1.1363636363636365</v>
      </c>
      <c r="AD133" s="451">
        <f>V133</f>
        <v>0.66666666666666663</v>
      </c>
      <c r="AE133" s="346"/>
      <c r="AF133" s="453">
        <f t="shared" ref="AF133:AG134" si="24">IF($AG$1=16,R133,IF($AG$1=17,S133,IF($AG$1=18,T133,IF($AG$1=19,U133,IF($AG$1=20,V133,IF($AG$1=21,W133,IF($AG$1=22,X133,0)))))))</f>
        <v>0.83333333333333326</v>
      </c>
      <c r="AG133" s="453">
        <f t="shared" si="24"/>
        <v>0.99999999999999989</v>
      </c>
      <c r="AI133" s="338"/>
    </row>
    <row r="134" spans="1:35" ht="15.75" thickBot="1">
      <c r="A134" s="45"/>
      <c r="B134" s="46" t="s">
        <v>208</v>
      </c>
      <c r="C134" s="52"/>
      <c r="D134" s="52"/>
      <c r="E134" s="52"/>
      <c r="F134" s="52"/>
      <c r="G134" s="52"/>
      <c r="H134" s="52"/>
      <c r="I134" s="52"/>
      <c r="J134" s="52"/>
      <c r="K134" s="52"/>
      <c r="L134" s="52"/>
      <c r="M134" s="52"/>
      <c r="N134" s="52"/>
      <c r="O134" s="52"/>
      <c r="P134" s="52"/>
      <c r="Q134" s="52"/>
      <c r="R134" s="757">
        <f>'State DisAgg LFx10 (2015)'!S616</f>
        <v>0</v>
      </c>
      <c r="S134" s="52"/>
      <c r="T134" s="52"/>
      <c r="U134" s="52"/>
      <c r="V134" s="757">
        <v>1</v>
      </c>
      <c r="W134" s="757">
        <v>1</v>
      </c>
      <c r="X134" s="70">
        <f>'State DisAgg LFx10 (2015)'!$W616</f>
        <v>1</v>
      </c>
      <c r="Y134" s="70">
        <f>'State DisAgg LFx10 (2015)'!$W616</f>
        <v>1</v>
      </c>
      <c r="Z134" s="70">
        <f>'State DisAgg LFx10 (2015)'!$W616</f>
        <v>1</v>
      </c>
      <c r="AA134" s="49"/>
      <c r="AB134" s="421"/>
      <c r="AD134" s="452">
        <f>V134</f>
        <v>1</v>
      </c>
      <c r="AE134" s="346"/>
      <c r="AF134" s="452">
        <f t="shared" si="24"/>
        <v>1</v>
      </c>
      <c r="AG134" s="452">
        <f t="shared" si="24"/>
        <v>1</v>
      </c>
      <c r="AH134" s="342">
        <f>AG134</f>
        <v>1</v>
      </c>
      <c r="AI134" s="342">
        <f>AG134</f>
        <v>1</v>
      </c>
    </row>
    <row r="135" spans="1:35">
      <c r="A135" s="45"/>
      <c r="B135" s="46"/>
      <c r="C135" s="53"/>
      <c r="D135" s="75"/>
      <c r="E135" s="75"/>
      <c r="F135" s="75"/>
      <c r="G135" s="75"/>
      <c r="H135" s="75"/>
      <c r="I135" s="75"/>
      <c r="J135" s="75"/>
      <c r="K135" s="75"/>
      <c r="L135" s="53"/>
      <c r="M135" s="53"/>
      <c r="N135" s="53"/>
      <c r="O135" s="53"/>
      <c r="P135" s="53"/>
      <c r="Q135" s="53"/>
      <c r="R135" s="53"/>
      <c r="S135" s="53"/>
      <c r="T135" s="53"/>
      <c r="U135" s="53"/>
      <c r="V135" s="53"/>
      <c r="W135" s="53"/>
      <c r="X135" s="53"/>
      <c r="Y135" s="53"/>
      <c r="Z135" s="53"/>
      <c r="AA135" s="49"/>
      <c r="AB135" s="421"/>
      <c r="AD135" s="345"/>
      <c r="AE135" s="346"/>
      <c r="AF135" s="454"/>
      <c r="AG135" s="454"/>
      <c r="AI135" s="338"/>
    </row>
    <row r="136" spans="1:35" ht="15.75" thickBot="1">
      <c r="A136" s="41" t="s">
        <v>703</v>
      </c>
      <c r="B136" s="42" t="s">
        <v>1548</v>
      </c>
      <c r="C136" s="756"/>
      <c r="D136" s="756"/>
      <c r="E136" s="756"/>
      <c r="F136" s="756"/>
      <c r="G136" s="756"/>
      <c r="H136" s="756"/>
      <c r="I136" s="756"/>
      <c r="J136" s="756"/>
      <c r="K136" s="756"/>
      <c r="L136" s="756"/>
      <c r="M136" s="756"/>
      <c r="N136" s="756"/>
      <c r="O136" s="756"/>
      <c r="P136" s="756"/>
      <c r="Q136" s="756"/>
      <c r="R136" s="50">
        <f>'State DisAgg LFx10 (2015)'!P631</f>
        <v>7</v>
      </c>
      <c r="S136" s="51">
        <f t="shared" ref="S136:X136" si="25">R136+(($Y136-$R136)/6)</f>
        <v>7.5</v>
      </c>
      <c r="T136" s="51">
        <f t="shared" si="25"/>
        <v>8</v>
      </c>
      <c r="U136" s="51">
        <f t="shared" si="25"/>
        <v>8.5</v>
      </c>
      <c r="V136" s="51">
        <f t="shared" si="25"/>
        <v>9</v>
      </c>
      <c r="W136" s="51">
        <f t="shared" si="25"/>
        <v>9.5</v>
      </c>
      <c r="X136" s="51">
        <f t="shared" si="25"/>
        <v>10</v>
      </c>
      <c r="Y136" s="50">
        <f>'State DisAgg LFx10 (2015)'!T631</f>
        <v>10</v>
      </c>
      <c r="Z136" s="51">
        <f t="shared" ref="Z136" si="26">Y136</f>
        <v>10</v>
      </c>
      <c r="AA136" s="38">
        <f>'Lagos Workings'!AA136*5</f>
        <v>50</v>
      </c>
      <c r="AB136" s="457">
        <f>AA136/22</f>
        <v>2.2727272727272729</v>
      </c>
      <c r="AD136" s="451">
        <f>V136</f>
        <v>9</v>
      </c>
      <c r="AE136" s="346"/>
      <c r="AF136" s="453">
        <f t="shared" ref="AF136:AG137" si="27">IF($AG$1=16,R136,IF($AG$1=17,S136,IF($AG$1=18,T136,IF($AG$1=19,U136,IF($AG$1=20,V136,IF($AG$1=21,W136,IF($AG$1=22,X136,0)))))))</f>
        <v>9.5</v>
      </c>
      <c r="AG136" s="453">
        <f t="shared" si="27"/>
        <v>10</v>
      </c>
      <c r="AI136" s="338"/>
    </row>
    <row r="137" spans="1:35" ht="15.75" thickBot="1">
      <c r="A137" s="45"/>
      <c r="B137" s="46" t="s">
        <v>1549</v>
      </c>
      <c r="C137" s="52"/>
      <c r="D137" s="52"/>
      <c r="E137" s="52"/>
      <c r="F137" s="52"/>
      <c r="G137" s="52"/>
      <c r="H137" s="52"/>
      <c r="I137" s="52"/>
      <c r="J137" s="52"/>
      <c r="K137" s="52"/>
      <c r="L137" s="52"/>
      <c r="M137" s="52"/>
      <c r="N137" s="52"/>
      <c r="O137" s="52"/>
      <c r="P137" s="52"/>
      <c r="Q137" s="52"/>
      <c r="R137" s="71">
        <f>R136</f>
        <v>7</v>
      </c>
      <c r="S137" s="52"/>
      <c r="T137" s="52"/>
      <c r="U137" s="52"/>
      <c r="V137" s="757">
        <v>9</v>
      </c>
      <c r="W137" s="757">
        <v>9</v>
      </c>
      <c r="X137" s="70">
        <f>'State DisAgg LFx10 (2015)'!$T643</f>
        <v>9</v>
      </c>
      <c r="Y137" s="70">
        <f>'State DisAgg LFx10 (2015)'!$T643</f>
        <v>9</v>
      </c>
      <c r="Z137" s="70">
        <f>'State DisAgg LFx10 (2015)'!$T643</f>
        <v>9</v>
      </c>
      <c r="AA137" s="49"/>
      <c r="AB137" s="421"/>
      <c r="AD137" s="452">
        <f>V137</f>
        <v>9</v>
      </c>
      <c r="AE137" s="346"/>
      <c r="AF137" s="452">
        <f t="shared" si="27"/>
        <v>9</v>
      </c>
      <c r="AG137" s="452">
        <f t="shared" si="27"/>
        <v>9</v>
      </c>
      <c r="AH137" s="342">
        <f>AG137</f>
        <v>9</v>
      </c>
      <c r="AI137" s="342">
        <f>AG137</f>
        <v>9</v>
      </c>
    </row>
    <row r="138" spans="1:35">
      <c r="AB138" s="420"/>
      <c r="AD138" s="345"/>
      <c r="AE138" s="346"/>
      <c r="AF138" s="454"/>
      <c r="AG138" s="454"/>
      <c r="AI138" s="338"/>
    </row>
    <row r="139" spans="1:35" ht="15.75" thickBot="1">
      <c r="A139" s="41" t="s">
        <v>704</v>
      </c>
      <c r="B139" s="42" t="s">
        <v>826</v>
      </c>
      <c r="C139" s="52"/>
      <c r="D139" s="52"/>
      <c r="E139" s="52"/>
      <c r="F139" s="52"/>
      <c r="G139" s="52"/>
      <c r="H139" s="52"/>
      <c r="I139" s="52"/>
      <c r="J139" s="52"/>
      <c r="K139" s="52"/>
      <c r="L139" s="52"/>
      <c r="M139" s="52"/>
      <c r="N139" s="52"/>
      <c r="O139" s="52"/>
      <c r="P139" s="52"/>
      <c r="Q139" s="52"/>
      <c r="R139" s="50">
        <f>'State DisAgg LFx10 (2015)'!Q631</f>
        <v>7</v>
      </c>
      <c r="S139" s="51">
        <f t="shared" ref="S139:X139" si="28">R139+(($Y139-$R139)/6)</f>
        <v>7.5</v>
      </c>
      <c r="T139" s="51">
        <f t="shared" si="28"/>
        <v>8</v>
      </c>
      <c r="U139" s="51">
        <f t="shared" si="28"/>
        <v>8.5</v>
      </c>
      <c r="V139" s="51">
        <f t="shared" si="28"/>
        <v>9</v>
      </c>
      <c r="W139" s="51">
        <f t="shared" si="28"/>
        <v>9.5</v>
      </c>
      <c r="X139" s="51">
        <f t="shared" si="28"/>
        <v>10</v>
      </c>
      <c r="Y139" s="50">
        <f>'State DisAgg LFx10 (2015)'!U631</f>
        <v>10</v>
      </c>
      <c r="Z139" s="51">
        <f t="shared" ref="Z139" si="29">Y139</f>
        <v>10</v>
      </c>
      <c r="AA139" s="38">
        <f>'Lagos Workings'!AA139*5</f>
        <v>50</v>
      </c>
      <c r="AB139" s="457">
        <f>AA139/22</f>
        <v>2.2727272727272729</v>
      </c>
      <c r="AD139" s="451">
        <f>V139</f>
        <v>9</v>
      </c>
      <c r="AE139" s="346"/>
      <c r="AF139" s="453">
        <f t="shared" ref="AF139:AG140" si="30">IF($AG$1=16,R139,IF($AG$1=17,S139,IF($AG$1=18,T139,IF($AG$1=19,U139,IF($AG$1=20,V139,IF($AG$1=21,W139,IF($AG$1=22,X139,0)))))))</f>
        <v>9.5</v>
      </c>
      <c r="AG139" s="453">
        <f t="shared" si="30"/>
        <v>10</v>
      </c>
      <c r="AI139" s="338"/>
    </row>
    <row r="140" spans="1:35" ht="15.75" thickBot="1">
      <c r="A140" s="45"/>
      <c r="B140" s="46" t="s">
        <v>827</v>
      </c>
      <c r="C140" s="52"/>
      <c r="D140" s="52"/>
      <c r="E140" s="52"/>
      <c r="F140" s="52"/>
      <c r="G140" s="52"/>
      <c r="H140" s="52"/>
      <c r="I140" s="52"/>
      <c r="J140" s="52"/>
      <c r="K140" s="52"/>
      <c r="L140" s="52"/>
      <c r="M140" s="52"/>
      <c r="N140" s="52"/>
      <c r="O140" s="52"/>
      <c r="P140" s="52"/>
      <c r="Q140" s="52"/>
      <c r="R140" s="71">
        <f>R139</f>
        <v>7</v>
      </c>
      <c r="S140" s="52"/>
      <c r="T140" s="52"/>
      <c r="U140" s="52"/>
      <c r="V140" s="757">
        <v>8</v>
      </c>
      <c r="W140" s="757">
        <v>8</v>
      </c>
      <c r="X140" s="70">
        <f>'State DisAgg LFx10 (2015)'!$U643</f>
        <v>9</v>
      </c>
      <c r="Y140" s="70">
        <f>'State DisAgg LFx10 (2015)'!$U643</f>
        <v>9</v>
      </c>
      <c r="Z140" s="70">
        <f>'State DisAgg LFx10 (2015)'!$U643</f>
        <v>9</v>
      </c>
      <c r="AA140" s="49"/>
      <c r="AB140" s="421"/>
      <c r="AD140" s="452">
        <f>V140</f>
        <v>8</v>
      </c>
      <c r="AE140" s="346"/>
      <c r="AF140" s="452">
        <f t="shared" si="30"/>
        <v>8</v>
      </c>
      <c r="AG140" s="452">
        <f t="shared" si="30"/>
        <v>9</v>
      </c>
      <c r="AH140" s="342">
        <f>AG140</f>
        <v>9</v>
      </c>
      <c r="AI140" s="342">
        <f>AG140</f>
        <v>9</v>
      </c>
    </row>
    <row r="141" spans="1:35">
      <c r="A141" s="45"/>
      <c r="B141" s="46"/>
      <c r="C141" s="53"/>
      <c r="D141" s="75"/>
      <c r="E141" s="75"/>
      <c r="F141" s="75"/>
      <c r="G141" s="75"/>
      <c r="H141" s="75"/>
      <c r="I141" s="75"/>
      <c r="J141" s="75"/>
      <c r="K141" s="75"/>
      <c r="L141" s="53"/>
      <c r="M141" s="53"/>
      <c r="N141" s="53"/>
      <c r="O141" s="53"/>
      <c r="P141" s="53"/>
      <c r="Q141" s="53"/>
      <c r="R141" s="53"/>
      <c r="S141" s="53"/>
      <c r="T141" s="53"/>
      <c r="U141" s="53"/>
      <c r="V141" s="53"/>
      <c r="W141" s="53"/>
      <c r="X141" s="53"/>
      <c r="Y141" s="53"/>
      <c r="Z141" s="53"/>
      <c r="AA141" s="49"/>
      <c r="AB141" s="421"/>
      <c r="AD141" s="346"/>
      <c r="AE141" s="346"/>
      <c r="AF141" s="346"/>
      <c r="AG141" s="346"/>
      <c r="AI141" s="338"/>
    </row>
    <row r="142" spans="1:35" ht="15.75" thickBot="1">
      <c r="A142" s="41" t="s">
        <v>705</v>
      </c>
      <c r="B142" s="42" t="s">
        <v>828</v>
      </c>
      <c r="C142" s="52"/>
      <c r="D142" s="52"/>
      <c r="E142" s="52"/>
      <c r="F142" s="52"/>
      <c r="G142" s="52"/>
      <c r="H142" s="52"/>
      <c r="I142" s="52"/>
      <c r="J142" s="52"/>
      <c r="K142" s="52"/>
      <c r="L142" s="52"/>
      <c r="M142" s="52"/>
      <c r="N142" s="52"/>
      <c r="O142" s="52"/>
      <c r="P142" s="52"/>
      <c r="Q142" s="52"/>
      <c r="R142" s="50">
        <f>'State DisAgg LFx10 (2015)'!R631</f>
        <v>1</v>
      </c>
      <c r="S142" s="51">
        <f t="shared" ref="S142:X142" si="31">R142+(($Y142-$R142)/6)</f>
        <v>1.3333333333333333</v>
      </c>
      <c r="T142" s="51">
        <f t="shared" si="31"/>
        <v>1.6666666666666665</v>
      </c>
      <c r="U142" s="51">
        <f t="shared" si="31"/>
        <v>1.9999999999999998</v>
      </c>
      <c r="V142" s="51">
        <f t="shared" si="31"/>
        <v>2.333333333333333</v>
      </c>
      <c r="W142" s="51">
        <f t="shared" si="31"/>
        <v>2.6666666666666665</v>
      </c>
      <c r="X142" s="51">
        <f t="shared" si="31"/>
        <v>3</v>
      </c>
      <c r="Y142" s="50">
        <f>'State DisAgg LFx10 (2015)'!V631</f>
        <v>3</v>
      </c>
      <c r="Z142" s="51">
        <f t="shared" ref="Z142" si="32">Y142</f>
        <v>3</v>
      </c>
      <c r="AA142" s="38">
        <f>'Lagos Workings'!AA142*5</f>
        <v>25</v>
      </c>
      <c r="AB142" s="457">
        <f>AA142/22</f>
        <v>1.1363636363636365</v>
      </c>
      <c r="AD142" s="451">
        <f>V142</f>
        <v>2.333333333333333</v>
      </c>
      <c r="AE142" s="346"/>
      <c r="AF142" s="453">
        <f t="shared" ref="AF142:AG143" si="33">IF($AG$1=16,R142,IF($AG$1=17,S142,IF($AG$1=18,T142,IF($AG$1=19,U142,IF($AG$1=20,V142,IF($AG$1=21,W142,IF($AG$1=22,X142,0)))))))</f>
        <v>2.6666666666666665</v>
      </c>
      <c r="AG142" s="453">
        <f t="shared" si="33"/>
        <v>3</v>
      </c>
      <c r="AI142" s="338"/>
    </row>
    <row r="143" spans="1:35" ht="15.75" thickBot="1">
      <c r="A143" s="45"/>
      <c r="B143" s="46" t="s">
        <v>829</v>
      </c>
      <c r="C143" s="52"/>
      <c r="D143" s="52"/>
      <c r="E143" s="52"/>
      <c r="F143" s="52"/>
      <c r="G143" s="52"/>
      <c r="H143" s="52"/>
      <c r="I143" s="52"/>
      <c r="J143" s="52"/>
      <c r="K143" s="52"/>
      <c r="L143" s="52"/>
      <c r="M143" s="52"/>
      <c r="N143" s="52"/>
      <c r="O143" s="52"/>
      <c r="P143" s="52"/>
      <c r="Q143" s="52"/>
      <c r="R143" s="71">
        <f>R142</f>
        <v>1</v>
      </c>
      <c r="S143" s="52"/>
      <c r="T143" s="52"/>
      <c r="U143" s="52"/>
      <c r="V143" s="757">
        <v>4</v>
      </c>
      <c r="W143" s="757">
        <v>10</v>
      </c>
      <c r="X143" s="70">
        <f>'State DisAgg LFx10 (2015)'!$V643</f>
        <v>11</v>
      </c>
      <c r="Y143" s="70">
        <f>'State DisAgg LFx10 (2015)'!$V643</f>
        <v>11</v>
      </c>
      <c r="Z143" s="70">
        <f>'State DisAgg LFx10 (2015)'!$V643</f>
        <v>11</v>
      </c>
      <c r="AA143" s="49"/>
      <c r="AB143" s="421"/>
      <c r="AD143" s="452">
        <f>V143</f>
        <v>4</v>
      </c>
      <c r="AE143" s="346"/>
      <c r="AF143" s="452">
        <f t="shared" si="33"/>
        <v>10</v>
      </c>
      <c r="AG143" s="452">
        <f t="shared" si="33"/>
        <v>11</v>
      </c>
      <c r="AH143" s="342">
        <f>AG143</f>
        <v>11</v>
      </c>
      <c r="AI143" s="342">
        <f>AG143</f>
        <v>11</v>
      </c>
    </row>
    <row r="144" spans="1:35">
      <c r="A144" s="45"/>
      <c r="B144" s="46"/>
      <c r="C144" s="53"/>
      <c r="D144" s="75"/>
      <c r="E144" s="75"/>
      <c r="F144" s="75"/>
      <c r="G144" s="75"/>
      <c r="H144" s="75"/>
      <c r="I144" s="75"/>
      <c r="J144" s="75"/>
      <c r="K144" s="75"/>
      <c r="L144" s="53"/>
      <c r="M144" s="53"/>
      <c r="N144" s="53"/>
      <c r="O144" s="53"/>
      <c r="P144" s="53"/>
      <c r="Q144" s="53"/>
      <c r="R144" s="53"/>
      <c r="S144" s="53"/>
      <c r="T144" s="53"/>
      <c r="U144" s="53"/>
      <c r="V144" s="53"/>
      <c r="W144" s="53"/>
      <c r="X144" s="53"/>
      <c r="Y144" s="53"/>
      <c r="Z144" s="53"/>
      <c r="AA144" s="49"/>
      <c r="AB144" s="421"/>
      <c r="AD144" s="345"/>
      <c r="AE144" s="346"/>
      <c r="AF144" s="454"/>
      <c r="AG144" s="454"/>
      <c r="AI144" s="338"/>
    </row>
    <row r="145" spans="1:35" ht="15.75" thickBot="1">
      <c r="A145" s="41" t="s">
        <v>706</v>
      </c>
      <c r="B145" s="42" t="s">
        <v>830</v>
      </c>
      <c r="C145" s="52"/>
      <c r="D145" s="52"/>
      <c r="E145" s="52"/>
      <c r="F145" s="52"/>
      <c r="G145" s="52"/>
      <c r="H145" s="52"/>
      <c r="I145" s="52"/>
      <c r="J145" s="52"/>
      <c r="K145" s="52"/>
      <c r="L145" s="52"/>
      <c r="M145" s="52"/>
      <c r="N145" s="52"/>
      <c r="O145" s="52"/>
      <c r="P145" s="52"/>
      <c r="Q145" s="52"/>
      <c r="R145" s="50">
        <f>'State DisAgg LFx10 (2015)'!S631</f>
        <v>0</v>
      </c>
      <c r="S145" s="51">
        <f t="shared" ref="S145:X145" si="34">R145+(($Y145-$R145)/6)</f>
        <v>0.16666666666666666</v>
      </c>
      <c r="T145" s="51">
        <f t="shared" si="34"/>
        <v>0.33333333333333331</v>
      </c>
      <c r="U145" s="51">
        <f t="shared" si="34"/>
        <v>0.5</v>
      </c>
      <c r="V145" s="51">
        <f t="shared" si="34"/>
        <v>0.66666666666666663</v>
      </c>
      <c r="W145" s="51">
        <f t="shared" si="34"/>
        <v>0.83333333333333326</v>
      </c>
      <c r="X145" s="51">
        <f t="shared" si="34"/>
        <v>0.99999999999999989</v>
      </c>
      <c r="Y145" s="50">
        <f>'State DisAgg LFx10 (2015)'!W631</f>
        <v>1</v>
      </c>
      <c r="Z145" s="51">
        <f t="shared" ref="Z145" si="35">Y145</f>
        <v>1</v>
      </c>
      <c r="AA145" s="38">
        <f>'Lagos Workings'!AA145*5</f>
        <v>25</v>
      </c>
      <c r="AB145" s="457">
        <f>AA145/22</f>
        <v>1.1363636363636365</v>
      </c>
      <c r="AD145" s="451">
        <f>V145</f>
        <v>0.66666666666666663</v>
      </c>
      <c r="AE145" s="346"/>
      <c r="AF145" s="453">
        <f t="shared" ref="AF145:AG146" si="36">IF($AG$1=16,R145,IF($AG$1=17,S145,IF($AG$1=18,T145,IF($AG$1=19,U145,IF($AG$1=20,V145,IF($AG$1=21,W145,IF($AG$1=22,X145,0)))))))</f>
        <v>0.83333333333333326</v>
      </c>
      <c r="AG145" s="453">
        <f t="shared" si="36"/>
        <v>0.99999999999999989</v>
      </c>
      <c r="AI145" s="338"/>
    </row>
    <row r="146" spans="1:35" ht="15.75" thickBot="1">
      <c r="A146" s="45"/>
      <c r="B146" s="46" t="s">
        <v>831</v>
      </c>
      <c r="C146" s="52"/>
      <c r="D146" s="52"/>
      <c r="E146" s="52"/>
      <c r="F146" s="52"/>
      <c r="G146" s="52"/>
      <c r="H146" s="52"/>
      <c r="I146" s="52"/>
      <c r="J146" s="52"/>
      <c r="K146" s="52"/>
      <c r="L146" s="52"/>
      <c r="M146" s="52"/>
      <c r="N146" s="52"/>
      <c r="O146" s="52"/>
      <c r="P146" s="52"/>
      <c r="Q146" s="52"/>
      <c r="R146" s="71">
        <f>R145</f>
        <v>0</v>
      </c>
      <c r="S146" s="52"/>
      <c r="T146" s="52"/>
      <c r="U146" s="52"/>
      <c r="V146" s="757">
        <v>1</v>
      </c>
      <c r="W146" s="757">
        <v>2</v>
      </c>
      <c r="X146" s="70">
        <f>'State DisAgg LFx10 (2015)'!$W643</f>
        <v>3</v>
      </c>
      <c r="Y146" s="70">
        <f>'State DisAgg LFx10 (2015)'!$W643</f>
        <v>3</v>
      </c>
      <c r="Z146" s="70">
        <f>'State DisAgg LFx10 (2015)'!$W643</f>
        <v>3</v>
      </c>
      <c r="AA146" s="49"/>
      <c r="AB146" s="421"/>
      <c r="AD146" s="452">
        <f>V146</f>
        <v>1</v>
      </c>
      <c r="AE146" s="346"/>
      <c r="AF146" s="452">
        <f t="shared" si="36"/>
        <v>2</v>
      </c>
      <c r="AG146" s="452">
        <f t="shared" si="36"/>
        <v>3</v>
      </c>
      <c r="AH146" s="342">
        <f>AG146</f>
        <v>3</v>
      </c>
      <c r="AI146" s="342">
        <f>AG146</f>
        <v>3</v>
      </c>
    </row>
    <row r="147" spans="1:35">
      <c r="A147" s="45"/>
      <c r="B147" s="46"/>
      <c r="C147" s="53"/>
      <c r="D147" s="75"/>
      <c r="E147" s="75"/>
      <c r="F147" s="75"/>
      <c r="G147" s="75"/>
      <c r="H147" s="75"/>
      <c r="I147" s="75"/>
      <c r="J147" s="75"/>
      <c r="K147" s="75"/>
      <c r="L147" s="53"/>
      <c r="M147" s="53"/>
      <c r="N147" s="53"/>
      <c r="O147" s="53"/>
      <c r="P147" s="53"/>
      <c r="Q147" s="53"/>
      <c r="R147" s="53"/>
      <c r="S147" s="48"/>
      <c r="T147" s="48"/>
      <c r="U147" s="48"/>
      <c r="V147" s="48"/>
      <c r="W147" s="48"/>
      <c r="X147" s="48"/>
      <c r="Y147" s="48"/>
      <c r="Z147" s="48"/>
      <c r="AA147" s="49"/>
      <c r="AB147" s="421"/>
      <c r="AI147" s="338"/>
    </row>
    <row r="148" spans="1:35">
      <c r="A148" s="38"/>
      <c r="AI148" s="338"/>
    </row>
    <row r="149" spans="1:35">
      <c r="C149" s="55" t="s">
        <v>194</v>
      </c>
      <c r="D149" s="431"/>
      <c r="E149" s="432"/>
      <c r="F149" s="433"/>
    </row>
    <row r="150" spans="1:35">
      <c r="C150" s="55" t="s">
        <v>195</v>
      </c>
      <c r="D150" s="434" t="s">
        <v>196</v>
      </c>
      <c r="E150" s="435" t="s">
        <v>153</v>
      </c>
      <c r="F150" s="435" t="s">
        <v>154</v>
      </c>
      <c r="G150" s="435" t="s">
        <v>158</v>
      </c>
      <c r="H150" s="434" t="s">
        <v>197</v>
      </c>
    </row>
    <row r="151" spans="1:35">
      <c r="C151" s="55"/>
      <c r="D151" s="434"/>
      <c r="E151" s="435"/>
      <c r="F151" s="435"/>
      <c r="G151" s="435"/>
      <c r="H151" s="434"/>
    </row>
    <row r="153" spans="1:35" ht="14.25">
      <c r="A153" s="1356" t="s">
        <v>727</v>
      </c>
      <c r="B153" s="1356"/>
    </row>
    <row r="154" spans="1:35" ht="14.25">
      <c r="A154" s="1356"/>
      <c r="B154" s="1356"/>
    </row>
    <row r="155" spans="1:35" ht="14.25">
      <c r="A155" s="1356"/>
      <c r="B155" s="1356"/>
    </row>
    <row r="156" spans="1:35" ht="14.25">
      <c r="A156" s="1356"/>
      <c r="B156" s="1356"/>
    </row>
    <row r="157" spans="1:35" ht="14.25">
      <c r="A157" s="1356"/>
      <c r="B157" s="1356"/>
    </row>
  </sheetData>
  <sheetProtection password="CF55" sheet="1" objects="1" scenarios="1" selectLockedCells="1"/>
  <mergeCells count="7">
    <mergeCell ref="S1:V1"/>
    <mergeCell ref="W1:Z1"/>
    <mergeCell ref="A153:B157"/>
    <mergeCell ref="D1:G1"/>
    <mergeCell ref="H1:K1"/>
    <mergeCell ref="L1:N1"/>
    <mergeCell ref="O1:R1"/>
  </mergeCells>
  <conditionalFormatting sqref="AH113">
    <cfRule type="iconSet" priority="93">
      <iconSet iconSet="5ArrowsGray" showValue="0">
        <cfvo type="percent" val="0"/>
        <cfvo type="formula" val="$AF$113-$AB$112" gte="0"/>
        <cfvo type="formula" val="$AF$113"/>
        <cfvo type="formula" val="$AF$113" gte="0"/>
        <cfvo type="formula" val="$AF$113+$AB$112"/>
      </iconSet>
    </cfRule>
  </conditionalFormatting>
  <conditionalFormatting sqref="AH113">
    <cfRule type="cellIs" dxfId="149" priority="94" stopIfTrue="1" operator="greaterThanOrEqual">
      <formula>AG112</formula>
    </cfRule>
    <cfRule type="cellIs" dxfId="148" priority="96" stopIfTrue="1" operator="lessThan">
      <formula>AG112</formula>
    </cfRule>
  </conditionalFormatting>
  <conditionalFormatting sqref="AH113">
    <cfRule type="cellIs" dxfId="147" priority="95" stopIfTrue="1" operator="lessThan">
      <formula>AD112</formula>
    </cfRule>
  </conditionalFormatting>
  <conditionalFormatting sqref="AI113">
    <cfRule type="iconSet" priority="89">
      <iconSet iconSet="5ArrowsGray" showValue="0">
        <cfvo type="percent" val="0"/>
        <cfvo type="formula" val="$AF$113-$AB$112" gte="0"/>
        <cfvo type="formula" val="$AF$113"/>
        <cfvo type="formula" val="$AF$113" gte="0"/>
        <cfvo type="formula" val="$AF$113+$AB$112"/>
      </iconSet>
    </cfRule>
  </conditionalFormatting>
  <conditionalFormatting sqref="AI113">
    <cfRule type="cellIs" dxfId="146" priority="90" stopIfTrue="1" operator="greaterThanOrEqual">
      <formula>AG112</formula>
    </cfRule>
    <cfRule type="cellIs" dxfId="145" priority="92" stopIfTrue="1" operator="lessThan">
      <formula>AG112</formula>
    </cfRule>
  </conditionalFormatting>
  <conditionalFormatting sqref="AI113">
    <cfRule type="cellIs" dxfId="144" priority="91" stopIfTrue="1" operator="lessThanOrEqual">
      <formula>AD112</formula>
    </cfRule>
  </conditionalFormatting>
  <conditionalFormatting sqref="AH116">
    <cfRule type="iconSet" priority="85">
      <iconSet iconSet="5ArrowsGray" showValue="0">
        <cfvo type="percent" val="0"/>
        <cfvo type="formula" val="$AF$116-$AB$115" gte="0"/>
        <cfvo type="formula" val="$AF$116"/>
        <cfvo type="formula" val="$AF$116" gte="0"/>
        <cfvo type="formula" val="$AF$116+$AB$115"/>
      </iconSet>
    </cfRule>
  </conditionalFormatting>
  <conditionalFormatting sqref="AH116">
    <cfRule type="cellIs" dxfId="143" priority="86" stopIfTrue="1" operator="greaterThanOrEqual">
      <formula>AG115</formula>
    </cfRule>
    <cfRule type="cellIs" dxfId="142" priority="88" stopIfTrue="1" operator="lessThan">
      <formula>AG115</formula>
    </cfRule>
  </conditionalFormatting>
  <conditionalFormatting sqref="AH116">
    <cfRule type="cellIs" dxfId="141" priority="87" stopIfTrue="1" operator="lessThan">
      <formula>AD115</formula>
    </cfRule>
  </conditionalFormatting>
  <conditionalFormatting sqref="AI116">
    <cfRule type="iconSet" priority="81">
      <iconSet iconSet="5ArrowsGray" showValue="0">
        <cfvo type="percent" val="0"/>
        <cfvo type="formula" val="$AF$116-$AB$115" gte="0"/>
        <cfvo type="formula" val="$AF$116"/>
        <cfvo type="formula" val="$AF$116" gte="0"/>
        <cfvo type="formula" val="$AF$116+$AB$115"/>
      </iconSet>
    </cfRule>
  </conditionalFormatting>
  <conditionalFormatting sqref="AI116">
    <cfRule type="cellIs" dxfId="140" priority="82" stopIfTrue="1" operator="greaterThanOrEqual">
      <formula>AG115</formula>
    </cfRule>
    <cfRule type="cellIs" dxfId="139" priority="84" stopIfTrue="1" operator="lessThan">
      <formula>AG115</formula>
    </cfRule>
  </conditionalFormatting>
  <conditionalFormatting sqref="AI116">
    <cfRule type="cellIs" dxfId="138" priority="83" stopIfTrue="1" operator="lessThanOrEqual">
      <formula>AD115</formula>
    </cfRule>
  </conditionalFormatting>
  <conditionalFormatting sqref="AH119">
    <cfRule type="iconSet" priority="77">
      <iconSet iconSet="5ArrowsGray" showValue="0">
        <cfvo type="percent" val="0"/>
        <cfvo type="formula" val="$AF$119-$AB$118" gte="0"/>
        <cfvo type="formula" val="$AF$119"/>
        <cfvo type="formula" val="$AF$119" gte="0"/>
        <cfvo type="formula" val="$AF$119+$AB$118"/>
      </iconSet>
    </cfRule>
  </conditionalFormatting>
  <conditionalFormatting sqref="AH119">
    <cfRule type="cellIs" dxfId="137" priority="78" stopIfTrue="1" operator="greaterThanOrEqual">
      <formula>AG118</formula>
    </cfRule>
    <cfRule type="cellIs" dxfId="136" priority="80" stopIfTrue="1" operator="lessThan">
      <formula>AG118</formula>
    </cfRule>
  </conditionalFormatting>
  <conditionalFormatting sqref="AH119">
    <cfRule type="cellIs" dxfId="135" priority="79" stopIfTrue="1" operator="lessThan">
      <formula>AD118</formula>
    </cfRule>
  </conditionalFormatting>
  <conditionalFormatting sqref="AI119">
    <cfRule type="iconSet" priority="73">
      <iconSet iconSet="5ArrowsGray" showValue="0">
        <cfvo type="percent" val="0"/>
        <cfvo type="formula" val="$AF$119-$AB$118" gte="0"/>
        <cfvo type="formula" val="$AF$119"/>
        <cfvo type="formula" val="$AF$119" gte="0"/>
        <cfvo type="formula" val="$AF$119+$AB$118"/>
      </iconSet>
    </cfRule>
  </conditionalFormatting>
  <conditionalFormatting sqref="AI119">
    <cfRule type="cellIs" dxfId="134" priority="74" stopIfTrue="1" operator="greaterThanOrEqual">
      <formula>AG118</formula>
    </cfRule>
    <cfRule type="cellIs" dxfId="133" priority="76" stopIfTrue="1" operator="lessThan">
      <formula>AG118</formula>
    </cfRule>
  </conditionalFormatting>
  <conditionalFormatting sqref="AI119">
    <cfRule type="cellIs" dxfId="132" priority="75" stopIfTrue="1" operator="lessThanOrEqual">
      <formula>AD118</formula>
    </cfRule>
  </conditionalFormatting>
  <conditionalFormatting sqref="AH122">
    <cfRule type="iconSet" priority="69">
      <iconSet iconSet="5ArrowsGray" showValue="0">
        <cfvo type="percent" val="0"/>
        <cfvo type="formula" val="$AF$122-$AB$121" gte="0"/>
        <cfvo type="formula" val="$AF$122"/>
        <cfvo type="formula" val="$AF$122" gte="0"/>
        <cfvo type="formula" val="$AF$122+$AB$121"/>
      </iconSet>
    </cfRule>
  </conditionalFormatting>
  <conditionalFormatting sqref="AH122">
    <cfRule type="cellIs" dxfId="131" priority="70" stopIfTrue="1" operator="greaterThanOrEqual">
      <formula>AG121</formula>
    </cfRule>
    <cfRule type="cellIs" dxfId="130" priority="72" stopIfTrue="1" operator="lessThan">
      <formula>AG121</formula>
    </cfRule>
  </conditionalFormatting>
  <conditionalFormatting sqref="AH122">
    <cfRule type="cellIs" dxfId="129" priority="71" stopIfTrue="1" operator="lessThan">
      <formula>AD121</formula>
    </cfRule>
  </conditionalFormatting>
  <conditionalFormatting sqref="AI122">
    <cfRule type="iconSet" priority="65">
      <iconSet iconSet="5ArrowsGray" showValue="0">
        <cfvo type="percent" val="0"/>
        <cfvo type="formula" val="$AF$122-$AB$121" gte="0"/>
        <cfvo type="formula" val="$AF$122"/>
        <cfvo type="formula" val="$AF$122" gte="0"/>
        <cfvo type="formula" val="$AF$122+$AB$121"/>
      </iconSet>
    </cfRule>
  </conditionalFormatting>
  <conditionalFormatting sqref="AI122">
    <cfRule type="cellIs" dxfId="128" priority="66" stopIfTrue="1" operator="greaterThanOrEqual">
      <formula>AG121</formula>
    </cfRule>
    <cfRule type="cellIs" dxfId="127" priority="68" stopIfTrue="1" operator="lessThan">
      <formula>AG121</formula>
    </cfRule>
  </conditionalFormatting>
  <conditionalFormatting sqref="AI122">
    <cfRule type="cellIs" dxfId="126" priority="67" stopIfTrue="1" operator="lessThanOrEqual">
      <formula>AD121</formula>
    </cfRule>
  </conditionalFormatting>
  <conditionalFormatting sqref="AH125">
    <cfRule type="iconSet" priority="61">
      <iconSet iconSet="5ArrowsGray" showValue="0">
        <cfvo type="percent" val="0"/>
        <cfvo type="formula" val="$AF$125-$AB$124" gte="0"/>
        <cfvo type="formula" val="$AF$125"/>
        <cfvo type="formula" val="$AF$125" gte="0"/>
        <cfvo type="formula" val="$AF$125+$AB$124"/>
      </iconSet>
    </cfRule>
  </conditionalFormatting>
  <conditionalFormatting sqref="AH125">
    <cfRule type="cellIs" dxfId="125" priority="62" stopIfTrue="1" operator="greaterThanOrEqual">
      <formula>AG124</formula>
    </cfRule>
    <cfRule type="cellIs" dxfId="124" priority="64" stopIfTrue="1" operator="lessThan">
      <formula>AG124</formula>
    </cfRule>
  </conditionalFormatting>
  <conditionalFormatting sqref="AH125">
    <cfRule type="cellIs" dxfId="123" priority="63" stopIfTrue="1" operator="lessThan">
      <formula>AD124</formula>
    </cfRule>
  </conditionalFormatting>
  <conditionalFormatting sqref="AI125">
    <cfRule type="iconSet" priority="57">
      <iconSet iconSet="5ArrowsGray" showValue="0">
        <cfvo type="percent" val="0"/>
        <cfvo type="formula" val="$AF$125-$AB$124" gte="0"/>
        <cfvo type="formula" val="$AF$125"/>
        <cfvo type="formula" val="$AF$125" gte="0"/>
        <cfvo type="formula" val="$AF$125+$AB$124"/>
      </iconSet>
    </cfRule>
  </conditionalFormatting>
  <conditionalFormatting sqref="AI125">
    <cfRule type="cellIs" dxfId="122" priority="58" stopIfTrue="1" operator="greaterThanOrEqual">
      <formula>AG124</formula>
    </cfRule>
    <cfRule type="cellIs" dxfId="121" priority="60" stopIfTrue="1" operator="lessThan">
      <formula>AG124</formula>
    </cfRule>
  </conditionalFormatting>
  <conditionalFormatting sqref="AI125">
    <cfRule type="cellIs" dxfId="120" priority="59" stopIfTrue="1" operator="lessThanOrEqual">
      <formula>AD124</formula>
    </cfRule>
  </conditionalFormatting>
  <conditionalFormatting sqref="AH128">
    <cfRule type="iconSet" priority="53">
      <iconSet iconSet="5ArrowsGray" showValue="0">
        <cfvo type="percent" val="0"/>
        <cfvo type="formula" val="$AF$128-$AB$127" gte="0"/>
        <cfvo type="formula" val="$AF$128"/>
        <cfvo type="formula" val="$AF$128" gte="0"/>
        <cfvo type="formula" val="$AF$128+$AB$127"/>
      </iconSet>
    </cfRule>
  </conditionalFormatting>
  <conditionalFormatting sqref="AH128">
    <cfRule type="cellIs" dxfId="119" priority="54" stopIfTrue="1" operator="greaterThanOrEqual">
      <formula>AG127</formula>
    </cfRule>
    <cfRule type="cellIs" dxfId="118" priority="56" stopIfTrue="1" operator="lessThan">
      <formula>AG127</formula>
    </cfRule>
  </conditionalFormatting>
  <conditionalFormatting sqref="AH128">
    <cfRule type="cellIs" dxfId="117" priority="55" stopIfTrue="1" operator="lessThan">
      <formula>AD127</formula>
    </cfRule>
  </conditionalFormatting>
  <conditionalFormatting sqref="AI128">
    <cfRule type="iconSet" priority="49">
      <iconSet iconSet="5ArrowsGray" showValue="0">
        <cfvo type="percent" val="0"/>
        <cfvo type="formula" val="$AF$128-$AB$127" gte="0"/>
        <cfvo type="formula" val="$AF$128"/>
        <cfvo type="formula" val="$AF$128" gte="0"/>
        <cfvo type="formula" val="$AF$128+$AB$127"/>
      </iconSet>
    </cfRule>
  </conditionalFormatting>
  <conditionalFormatting sqref="AI128">
    <cfRule type="cellIs" dxfId="116" priority="50" stopIfTrue="1" operator="greaterThanOrEqual">
      <formula>AG127</formula>
    </cfRule>
    <cfRule type="cellIs" dxfId="115" priority="52" stopIfTrue="1" operator="lessThan">
      <formula>AG127</formula>
    </cfRule>
  </conditionalFormatting>
  <conditionalFormatting sqref="AI128">
    <cfRule type="cellIs" dxfId="114" priority="51" stopIfTrue="1" operator="lessThanOrEqual">
      <formula>AD127</formula>
    </cfRule>
  </conditionalFormatting>
  <conditionalFormatting sqref="AH131">
    <cfRule type="iconSet" priority="45">
      <iconSet iconSet="5ArrowsGray" showValue="0">
        <cfvo type="percent" val="0"/>
        <cfvo type="formula" val="$AF$131-$AB$130" gte="0"/>
        <cfvo type="formula" val="$AF$131"/>
        <cfvo type="formula" val="$AF$131" gte="0"/>
        <cfvo type="formula" val="$AF$131+$AB$130"/>
      </iconSet>
    </cfRule>
  </conditionalFormatting>
  <conditionalFormatting sqref="AH131">
    <cfRule type="cellIs" dxfId="113" priority="46" stopIfTrue="1" operator="greaterThanOrEqual">
      <formula>AG130</formula>
    </cfRule>
    <cfRule type="cellIs" dxfId="112" priority="48" stopIfTrue="1" operator="lessThan">
      <formula>AG130</formula>
    </cfRule>
  </conditionalFormatting>
  <conditionalFormatting sqref="AH131">
    <cfRule type="cellIs" dxfId="111" priority="47" stopIfTrue="1" operator="lessThan">
      <formula>AD130</formula>
    </cfRule>
  </conditionalFormatting>
  <conditionalFormatting sqref="AI131">
    <cfRule type="iconSet" priority="41">
      <iconSet iconSet="5ArrowsGray" showValue="0">
        <cfvo type="percent" val="0"/>
        <cfvo type="formula" val="$AF$131-$AB$130" gte="0"/>
        <cfvo type="formula" val="$AF$131"/>
        <cfvo type="formula" val="$AF$131" gte="0"/>
        <cfvo type="formula" val="$AF$131+$AB$130"/>
      </iconSet>
    </cfRule>
  </conditionalFormatting>
  <conditionalFormatting sqref="AI131">
    <cfRule type="cellIs" dxfId="110" priority="42" stopIfTrue="1" operator="greaterThanOrEqual">
      <formula>AG130</formula>
    </cfRule>
    <cfRule type="cellIs" dxfId="109" priority="44" stopIfTrue="1" operator="lessThan">
      <formula>AG130</formula>
    </cfRule>
  </conditionalFormatting>
  <conditionalFormatting sqref="AI131">
    <cfRule type="cellIs" dxfId="108" priority="43" stopIfTrue="1" operator="lessThanOrEqual">
      <formula>AD130</formula>
    </cfRule>
  </conditionalFormatting>
  <conditionalFormatting sqref="AH134">
    <cfRule type="iconSet" priority="37">
      <iconSet iconSet="5ArrowsGray" showValue="0">
        <cfvo type="percent" val="0"/>
        <cfvo type="formula" val="$AF$134-$AB$133" gte="0"/>
        <cfvo type="formula" val="$AF$134"/>
        <cfvo type="formula" val="$AF$134" gte="0"/>
        <cfvo type="formula" val="$AF$134+$AB$133"/>
      </iconSet>
    </cfRule>
  </conditionalFormatting>
  <conditionalFormatting sqref="AH134">
    <cfRule type="cellIs" dxfId="107" priority="38" stopIfTrue="1" operator="greaterThanOrEqual">
      <formula>AG133</formula>
    </cfRule>
    <cfRule type="cellIs" dxfId="106" priority="40" stopIfTrue="1" operator="lessThan">
      <formula>AG133</formula>
    </cfRule>
  </conditionalFormatting>
  <conditionalFormatting sqref="AH134">
    <cfRule type="cellIs" dxfId="105" priority="39" stopIfTrue="1" operator="lessThan">
      <formula>AD133</formula>
    </cfRule>
  </conditionalFormatting>
  <conditionalFormatting sqref="AI134">
    <cfRule type="iconSet" priority="33">
      <iconSet iconSet="5ArrowsGray" showValue="0">
        <cfvo type="percent" val="0"/>
        <cfvo type="formula" val="$AF$134-$AB$133" gte="0"/>
        <cfvo type="formula" val="$AF$134"/>
        <cfvo type="formula" val="$AF$134" gte="0"/>
        <cfvo type="formula" val="$AF$134+$AB$133"/>
      </iconSet>
    </cfRule>
  </conditionalFormatting>
  <conditionalFormatting sqref="AI134">
    <cfRule type="cellIs" dxfId="104" priority="34" stopIfTrue="1" operator="greaterThanOrEqual">
      <formula>AG133</formula>
    </cfRule>
    <cfRule type="cellIs" dxfId="103" priority="36" stopIfTrue="1" operator="lessThan">
      <formula>AG133</formula>
    </cfRule>
  </conditionalFormatting>
  <conditionalFormatting sqref="AI134">
    <cfRule type="cellIs" dxfId="102" priority="35" stopIfTrue="1" operator="lessThanOrEqual">
      <formula>AD133</formula>
    </cfRule>
  </conditionalFormatting>
  <conditionalFormatting sqref="AH137">
    <cfRule type="iconSet" priority="29">
      <iconSet iconSet="5ArrowsGray" showValue="0">
        <cfvo type="percent" val="0"/>
        <cfvo type="formula" val="$AF$137-$AB$136" gte="0"/>
        <cfvo type="formula" val="$AF$137"/>
        <cfvo type="formula" val="$AF$137" gte="0"/>
        <cfvo type="formula" val="$AF$137+$AB$136"/>
      </iconSet>
    </cfRule>
  </conditionalFormatting>
  <conditionalFormatting sqref="AH137">
    <cfRule type="cellIs" dxfId="101" priority="30" stopIfTrue="1" operator="greaterThanOrEqual">
      <formula>AG136</formula>
    </cfRule>
    <cfRule type="cellIs" dxfId="100" priority="32" stopIfTrue="1" operator="lessThan">
      <formula>AG136</formula>
    </cfRule>
  </conditionalFormatting>
  <conditionalFormatting sqref="AH137">
    <cfRule type="cellIs" dxfId="99" priority="31" stopIfTrue="1" operator="lessThan">
      <formula>AD136</formula>
    </cfRule>
  </conditionalFormatting>
  <conditionalFormatting sqref="AI137">
    <cfRule type="iconSet" priority="25">
      <iconSet iconSet="5ArrowsGray" showValue="0">
        <cfvo type="percent" val="0"/>
        <cfvo type="formula" val="$AF$137-$AB$136" gte="0"/>
        <cfvo type="formula" val="$AF$137"/>
        <cfvo type="formula" val="$AF$137" gte="0"/>
        <cfvo type="formula" val="$AF$137+$AB$136"/>
      </iconSet>
    </cfRule>
  </conditionalFormatting>
  <conditionalFormatting sqref="AI137">
    <cfRule type="cellIs" dxfId="98" priority="26" stopIfTrue="1" operator="greaterThanOrEqual">
      <formula>AG136</formula>
    </cfRule>
    <cfRule type="cellIs" dxfId="97" priority="28" stopIfTrue="1" operator="lessThan">
      <formula>AG136</formula>
    </cfRule>
  </conditionalFormatting>
  <conditionalFormatting sqref="AI137">
    <cfRule type="cellIs" dxfId="96" priority="27" stopIfTrue="1" operator="lessThanOrEqual">
      <formula>AD136</formula>
    </cfRule>
  </conditionalFormatting>
  <conditionalFormatting sqref="AH140">
    <cfRule type="iconSet" priority="21">
      <iconSet iconSet="5ArrowsGray" showValue="0">
        <cfvo type="percent" val="0"/>
        <cfvo type="formula" val="$AF$140-$AB$139" gte="0"/>
        <cfvo type="formula" val="$AF$140"/>
        <cfvo type="formula" val="$AF$140" gte="0"/>
        <cfvo type="formula" val="$AF$140+$AB$139"/>
      </iconSet>
    </cfRule>
  </conditionalFormatting>
  <conditionalFormatting sqref="AH140">
    <cfRule type="cellIs" dxfId="95" priority="22" stopIfTrue="1" operator="greaterThanOrEqual">
      <formula>AG139</formula>
    </cfRule>
    <cfRule type="cellIs" dxfId="94" priority="24" stopIfTrue="1" operator="lessThan">
      <formula>AG139</formula>
    </cfRule>
  </conditionalFormatting>
  <conditionalFormatting sqref="AH140">
    <cfRule type="cellIs" dxfId="93" priority="23" stopIfTrue="1" operator="lessThan">
      <formula>AD139</formula>
    </cfRule>
  </conditionalFormatting>
  <conditionalFormatting sqref="AI140">
    <cfRule type="iconSet" priority="17">
      <iconSet iconSet="5ArrowsGray" showValue="0">
        <cfvo type="percent" val="0"/>
        <cfvo type="formula" val="$AF$140-$AB$139" gte="0"/>
        <cfvo type="formula" val="$AF$140"/>
        <cfvo type="formula" val="$AF$140" gte="0"/>
        <cfvo type="formula" val="$AF$140+$AB$139"/>
      </iconSet>
    </cfRule>
  </conditionalFormatting>
  <conditionalFormatting sqref="AI140">
    <cfRule type="cellIs" dxfId="92" priority="18" stopIfTrue="1" operator="greaterThanOrEqual">
      <formula>AG139</formula>
    </cfRule>
    <cfRule type="cellIs" dxfId="91" priority="20" stopIfTrue="1" operator="lessThan">
      <formula>AG139</formula>
    </cfRule>
  </conditionalFormatting>
  <conditionalFormatting sqref="AI140">
    <cfRule type="cellIs" dxfId="90" priority="19" stopIfTrue="1" operator="lessThanOrEqual">
      <formula>AD139</formula>
    </cfRule>
  </conditionalFormatting>
  <conditionalFormatting sqref="AH143">
    <cfRule type="iconSet" priority="13">
      <iconSet iconSet="5ArrowsGray" showValue="0">
        <cfvo type="percent" val="0"/>
        <cfvo type="formula" val="$AF$143-$AB$142" gte="0"/>
        <cfvo type="formula" val="$AF$143"/>
        <cfvo type="formula" val="$AF$143" gte="0"/>
        <cfvo type="formula" val="$AF$143+$AB$142"/>
      </iconSet>
    </cfRule>
  </conditionalFormatting>
  <conditionalFormatting sqref="AH143">
    <cfRule type="cellIs" dxfId="89" priority="14" stopIfTrue="1" operator="greaterThanOrEqual">
      <formula>AG142</formula>
    </cfRule>
    <cfRule type="cellIs" dxfId="88" priority="16" stopIfTrue="1" operator="lessThan">
      <formula>AG142</formula>
    </cfRule>
  </conditionalFormatting>
  <conditionalFormatting sqref="AH143">
    <cfRule type="cellIs" dxfId="87" priority="15" stopIfTrue="1" operator="lessThan">
      <formula>AD142</formula>
    </cfRule>
  </conditionalFormatting>
  <conditionalFormatting sqref="AI143">
    <cfRule type="iconSet" priority="9">
      <iconSet iconSet="5ArrowsGray" showValue="0">
        <cfvo type="percent" val="0"/>
        <cfvo type="formula" val="$AF$143-$AB$142" gte="0"/>
        <cfvo type="formula" val="$AF$143"/>
        <cfvo type="formula" val="$AF$143" gte="0"/>
        <cfvo type="formula" val="$AF$143+$AB$142"/>
      </iconSet>
    </cfRule>
  </conditionalFormatting>
  <conditionalFormatting sqref="AI143">
    <cfRule type="cellIs" dxfId="86" priority="10" stopIfTrue="1" operator="greaterThanOrEqual">
      <formula>AG142</formula>
    </cfRule>
    <cfRule type="cellIs" dxfId="85" priority="12" stopIfTrue="1" operator="lessThan">
      <formula>AG142</formula>
    </cfRule>
  </conditionalFormatting>
  <conditionalFormatting sqref="AI143">
    <cfRule type="cellIs" dxfId="84" priority="11" stopIfTrue="1" operator="lessThanOrEqual">
      <formula>AD142</formula>
    </cfRule>
  </conditionalFormatting>
  <conditionalFormatting sqref="AH146">
    <cfRule type="iconSet" priority="5">
      <iconSet iconSet="5ArrowsGray" showValue="0">
        <cfvo type="percent" val="0"/>
        <cfvo type="formula" val="$AF$146-$AB$145" gte="0"/>
        <cfvo type="formula" val="$AF$146"/>
        <cfvo type="formula" val="$AF$146" gte="0"/>
        <cfvo type="formula" val="$AF$146+$AB$145"/>
      </iconSet>
    </cfRule>
  </conditionalFormatting>
  <conditionalFormatting sqref="AH146">
    <cfRule type="cellIs" dxfId="83" priority="6" stopIfTrue="1" operator="greaterThanOrEqual">
      <formula>AG145</formula>
    </cfRule>
    <cfRule type="cellIs" dxfId="82" priority="8" stopIfTrue="1" operator="lessThan">
      <formula>AG145</formula>
    </cfRule>
  </conditionalFormatting>
  <conditionalFormatting sqref="AH146">
    <cfRule type="cellIs" dxfId="81" priority="7" stopIfTrue="1" operator="lessThan">
      <formula>AD145</formula>
    </cfRule>
  </conditionalFormatting>
  <conditionalFormatting sqref="AI146">
    <cfRule type="iconSet" priority="1">
      <iconSet iconSet="5ArrowsGray" showValue="0">
        <cfvo type="percent" val="0"/>
        <cfvo type="formula" val="$AF$146-$AB$145" gte="0"/>
        <cfvo type="formula" val="$AF$146"/>
        <cfvo type="formula" val="$AF$146" gte="0"/>
        <cfvo type="formula" val="$AF$146+$AB$145"/>
      </iconSet>
    </cfRule>
  </conditionalFormatting>
  <conditionalFormatting sqref="AI146">
    <cfRule type="cellIs" dxfId="80" priority="2" stopIfTrue="1" operator="greaterThanOrEqual">
      <formula>AG145</formula>
    </cfRule>
    <cfRule type="cellIs" dxfId="79" priority="4" stopIfTrue="1" operator="lessThan">
      <formula>AG145</formula>
    </cfRule>
  </conditionalFormatting>
  <conditionalFormatting sqref="AI146">
    <cfRule type="cellIs" dxfId="78" priority="3" stopIfTrue="1" operator="lessThanOrEqual">
      <formula>AD145</formula>
    </cfRule>
  </conditionalFormatting>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3366FF"/>
    <pageSetUpPr fitToPage="1"/>
  </sheetPr>
  <dimension ref="A1:BD716"/>
  <sheetViews>
    <sheetView workbookViewId="0">
      <pane xSplit="3" ySplit="20" topLeftCell="Q554" activePane="bottomRight" state="frozen"/>
      <selection activeCell="AG595" sqref="AG595"/>
      <selection pane="topRight" activeCell="AG595" sqref="AG595"/>
      <selection pane="bottomLeft" activeCell="AG595" sqref="AG595"/>
      <selection pane="bottomRight" activeCell="AG595" sqref="AG595"/>
    </sheetView>
  </sheetViews>
  <sheetFormatPr defaultColWidth="8.85546875" defaultRowHeight="12.75"/>
  <cols>
    <col min="1" max="1" width="15.140625" style="4" customWidth="1"/>
    <col min="2" max="2" width="19.7109375" style="4" customWidth="1"/>
    <col min="3" max="3" width="18.85546875" style="27" customWidth="1"/>
    <col min="4" max="14" width="5.28515625" style="4" customWidth="1"/>
    <col min="15" max="15" width="10.85546875" style="4" customWidth="1"/>
    <col min="16" max="20" width="5.28515625" style="4" customWidth="1"/>
    <col min="21" max="21" width="10.85546875" style="4" customWidth="1"/>
    <col min="22" max="24" width="5.28515625" style="4" customWidth="1"/>
    <col min="25" max="25" width="10.85546875" style="4" customWidth="1"/>
    <col min="26" max="28" width="5.28515625" style="4" customWidth="1"/>
    <col min="29" max="29" width="10.85546875" style="4" customWidth="1"/>
    <col min="30" max="31" width="5.28515625" style="4" customWidth="1"/>
    <col min="32" max="32" width="2.85546875" style="4" customWidth="1"/>
    <col min="33" max="33" width="50.85546875" style="121" customWidth="1"/>
    <col min="34" max="36" width="12.85546875" style="351" customWidth="1"/>
    <col min="37" max="39" width="15.85546875" style="4" customWidth="1"/>
    <col min="40" max="40" width="25.85546875" style="4" customWidth="1"/>
    <col min="41" max="41" width="10.85546875" style="4" customWidth="1"/>
    <col min="42" max="16384" width="8.85546875" style="4"/>
  </cols>
  <sheetData>
    <row r="1" spans="1:41" s="67" customFormat="1" ht="16.5" thickBot="1">
      <c r="A1" s="3" t="s">
        <v>0</v>
      </c>
      <c r="B1" s="64" t="s">
        <v>643</v>
      </c>
      <c r="C1" s="65" t="s">
        <v>774</v>
      </c>
      <c r="D1" s="65"/>
      <c r="E1" s="65"/>
      <c r="F1" s="65"/>
      <c r="G1" s="65"/>
      <c r="H1" s="65"/>
      <c r="I1" s="65"/>
      <c r="J1" s="65"/>
      <c r="K1" s="65"/>
      <c r="L1" s="65"/>
      <c r="M1" s="65"/>
      <c r="N1" s="65"/>
      <c r="O1" s="65"/>
      <c r="P1" s="65"/>
      <c r="Q1" s="65"/>
      <c r="R1" s="65"/>
      <c r="S1" s="65"/>
      <c r="T1" s="65"/>
      <c r="U1" s="65"/>
      <c r="V1" s="65"/>
      <c r="W1" s="65"/>
      <c r="X1" s="65"/>
      <c r="Y1" s="65"/>
      <c r="Z1" s="65"/>
      <c r="AA1" s="65"/>
      <c r="AB1" s="65"/>
      <c r="AC1" s="65"/>
      <c r="AD1" s="65"/>
      <c r="AE1" s="66"/>
      <c r="AG1" s="121"/>
      <c r="AH1" s="350"/>
      <c r="AI1" s="350"/>
      <c r="AJ1" s="350"/>
      <c r="AN1" s="4"/>
      <c r="AO1" s="4"/>
    </row>
    <row r="2" spans="1:41">
      <c r="A2" s="5"/>
      <c r="B2" s="5"/>
      <c r="C2" s="6"/>
      <c r="D2" s="215" t="s">
        <v>631</v>
      </c>
      <c r="E2" s="215"/>
      <c r="F2" s="215"/>
      <c r="G2" s="215"/>
      <c r="H2" s="262" t="s">
        <v>669</v>
      </c>
      <c r="I2" s="215"/>
      <c r="J2" s="215" t="s">
        <v>626</v>
      </c>
      <c r="K2" s="215"/>
      <c r="L2" s="215"/>
      <c r="M2" s="215"/>
      <c r="N2" s="215"/>
      <c r="O2" s="215" t="s">
        <v>627</v>
      </c>
      <c r="P2" s="215"/>
      <c r="Q2" s="215"/>
      <c r="R2" s="215"/>
      <c r="S2" s="215"/>
      <c r="U2" s="215" t="s">
        <v>628</v>
      </c>
      <c r="V2" s="215"/>
      <c r="W2" s="215"/>
      <c r="X2" s="215"/>
      <c r="Y2" s="215" t="s">
        <v>629</v>
      </c>
      <c r="Z2" s="215"/>
      <c r="AA2" s="215"/>
      <c r="AB2" s="215"/>
      <c r="AC2" s="215" t="s">
        <v>630</v>
      </c>
      <c r="AD2" s="215"/>
      <c r="AE2" s="215"/>
    </row>
    <row r="3" spans="1:41" ht="13.5" thickBot="1">
      <c r="A3" s="5"/>
      <c r="B3" s="5"/>
      <c r="C3" s="6"/>
      <c r="D3" s="212" t="s">
        <v>624</v>
      </c>
      <c r="E3" s="212" t="s">
        <v>625</v>
      </c>
      <c r="F3" s="212" t="s">
        <v>622</v>
      </c>
      <c r="G3" s="212" t="s">
        <v>623</v>
      </c>
      <c r="H3" s="212" t="s">
        <v>624</v>
      </c>
      <c r="I3" s="212" t="s">
        <v>625</v>
      </c>
      <c r="J3" s="212" t="s">
        <v>622</v>
      </c>
      <c r="K3" s="212" t="s">
        <v>623</v>
      </c>
      <c r="L3" s="212" t="s">
        <v>624</v>
      </c>
      <c r="M3" s="212" t="s">
        <v>625</v>
      </c>
      <c r="N3" s="212" t="s">
        <v>622</v>
      </c>
      <c r="O3" s="212" t="s">
        <v>623</v>
      </c>
      <c r="P3" s="212" t="s">
        <v>624</v>
      </c>
      <c r="Q3" s="212" t="s">
        <v>625</v>
      </c>
      <c r="R3" s="212" t="s">
        <v>622</v>
      </c>
      <c r="S3" s="212" t="s">
        <v>623</v>
      </c>
      <c r="T3" s="212" t="s">
        <v>624</v>
      </c>
      <c r="U3" s="212" t="s">
        <v>625</v>
      </c>
      <c r="V3" s="212" t="s">
        <v>622</v>
      </c>
      <c r="W3" s="212" t="s">
        <v>623</v>
      </c>
      <c r="X3" s="212" t="s">
        <v>624</v>
      </c>
      <c r="Y3" s="212" t="s">
        <v>625</v>
      </c>
      <c r="Z3" s="212" t="s">
        <v>622</v>
      </c>
      <c r="AA3" s="212" t="s">
        <v>623</v>
      </c>
      <c r="AB3" s="212" t="s">
        <v>624</v>
      </c>
      <c r="AC3" s="212" t="s">
        <v>625</v>
      </c>
      <c r="AD3" s="212" t="s">
        <v>622</v>
      </c>
      <c r="AE3" s="212" t="s">
        <v>623</v>
      </c>
      <c r="AH3" s="352" t="s">
        <v>737</v>
      </c>
      <c r="AI3" s="352" t="s">
        <v>738</v>
      </c>
      <c r="AJ3" s="352" t="s">
        <v>739</v>
      </c>
      <c r="AK3" s="352" t="s">
        <v>740</v>
      </c>
      <c r="AL3" s="352" t="s">
        <v>746</v>
      </c>
      <c r="AM3" s="352" t="s">
        <v>747</v>
      </c>
      <c r="AN3" s="358" t="s">
        <v>749</v>
      </c>
      <c r="AO3" s="358" t="s">
        <v>750</v>
      </c>
    </row>
    <row r="4" spans="1:41" ht="12.95" hidden="1" customHeight="1" thickBot="1">
      <c r="A4" s="235"/>
      <c r="B4" s="236"/>
      <c r="C4" s="236"/>
      <c r="D4" s="232"/>
      <c r="E4" s="233"/>
      <c r="F4" s="234"/>
      <c r="G4" s="232"/>
      <c r="H4" s="232"/>
      <c r="I4" s="233"/>
      <c r="J4" s="234"/>
      <c r="K4" s="232"/>
      <c r="L4" s="232"/>
      <c r="M4" s="233"/>
      <c r="N4" s="234"/>
      <c r="O4" s="232"/>
      <c r="P4" s="232"/>
      <c r="Q4" s="233"/>
      <c r="R4" s="234"/>
      <c r="S4" s="232"/>
      <c r="T4" s="232"/>
      <c r="U4" s="233"/>
      <c r="V4" s="234"/>
      <c r="W4" s="232"/>
      <c r="X4" s="232"/>
      <c r="Y4" s="233"/>
      <c r="Z4" s="234"/>
      <c r="AA4" s="232"/>
      <c r="AB4" s="232"/>
      <c r="AC4" s="233"/>
      <c r="AD4" s="234"/>
      <c r="AE4" s="233"/>
    </row>
    <row r="5" spans="1:41" ht="12.95" hidden="1" customHeight="1" thickBot="1">
      <c r="A5" s="237"/>
      <c r="B5" s="231"/>
      <c r="C5" s="231"/>
      <c r="D5" s="232"/>
      <c r="E5" s="233"/>
      <c r="F5" s="234"/>
      <c r="G5" s="232"/>
      <c r="H5" s="232"/>
      <c r="I5" s="233"/>
      <c r="J5" s="234"/>
      <c r="K5" s="232"/>
      <c r="L5" s="232"/>
      <c r="M5" s="233"/>
      <c r="N5" s="234"/>
      <c r="O5" s="232"/>
      <c r="P5" s="232"/>
      <c r="Q5" s="233"/>
      <c r="R5" s="234"/>
      <c r="S5" s="232"/>
      <c r="T5" s="232"/>
      <c r="U5" s="233"/>
      <c r="V5" s="234"/>
      <c r="W5" s="232"/>
      <c r="X5" s="232"/>
      <c r="Y5" s="233"/>
      <c r="Z5" s="234"/>
      <c r="AA5" s="232"/>
      <c r="AB5" s="232"/>
      <c r="AC5" s="233"/>
      <c r="AD5" s="234"/>
      <c r="AE5" s="233"/>
    </row>
    <row r="6" spans="1:41" ht="13.5" hidden="1" thickBot="1">
      <c r="A6" s="235"/>
      <c r="B6" s="236"/>
      <c r="C6" s="236"/>
      <c r="D6" s="232"/>
      <c r="E6" s="233"/>
      <c r="F6" s="234"/>
      <c r="G6" s="232"/>
      <c r="H6" s="232"/>
      <c r="I6" s="233"/>
      <c r="J6" s="234"/>
      <c r="K6" s="232"/>
      <c r="L6" s="232"/>
      <c r="M6" s="233"/>
      <c r="N6" s="234"/>
      <c r="O6" s="232"/>
      <c r="P6" s="232"/>
      <c r="Q6" s="233"/>
      <c r="R6" s="234"/>
      <c r="S6" s="232"/>
      <c r="T6" s="232"/>
      <c r="U6" s="233"/>
      <c r="V6" s="234"/>
      <c r="W6" s="232"/>
      <c r="X6" s="232"/>
      <c r="Y6" s="233"/>
      <c r="Z6" s="234"/>
      <c r="AA6" s="232"/>
      <c r="AB6" s="232"/>
      <c r="AC6" s="233"/>
      <c r="AD6" s="234"/>
      <c r="AE6" s="233"/>
    </row>
    <row r="7" spans="1:41" ht="12.95" hidden="1" customHeight="1" thickBot="1">
      <c r="A7" s="237"/>
      <c r="B7" s="231"/>
      <c r="C7" s="231"/>
      <c r="D7" s="232"/>
      <c r="E7" s="233"/>
      <c r="F7" s="234"/>
      <c r="G7" s="232"/>
      <c r="H7" s="232"/>
      <c r="I7" s="233"/>
      <c r="J7" s="234"/>
      <c r="K7" s="232"/>
      <c r="L7" s="232"/>
      <c r="M7" s="233"/>
      <c r="N7" s="234"/>
      <c r="O7" s="232"/>
      <c r="P7" s="232"/>
      <c r="Q7" s="233"/>
      <c r="R7" s="234"/>
      <c r="S7" s="232"/>
      <c r="T7" s="232"/>
      <c r="U7" s="233"/>
      <c r="V7" s="234"/>
      <c r="W7" s="232"/>
      <c r="X7" s="232"/>
      <c r="Y7" s="233"/>
      <c r="Z7" s="234"/>
      <c r="AA7" s="232"/>
      <c r="AB7" s="232"/>
      <c r="AC7" s="233"/>
      <c r="AD7" s="234"/>
      <c r="AE7" s="233"/>
    </row>
    <row r="8" spans="1:41" ht="12.95" hidden="1" customHeight="1" thickBot="1">
      <c r="A8" s="235"/>
      <c r="B8" s="236"/>
      <c r="C8" s="236"/>
      <c r="D8" s="232"/>
      <c r="E8" s="233"/>
      <c r="F8" s="234"/>
      <c r="G8" s="232"/>
      <c r="H8" s="232"/>
      <c r="I8" s="233"/>
      <c r="J8" s="234"/>
      <c r="K8" s="232"/>
      <c r="L8" s="232"/>
      <c r="M8" s="233"/>
      <c r="N8" s="234"/>
      <c r="O8" s="232"/>
      <c r="P8" s="232"/>
      <c r="Q8" s="233"/>
      <c r="R8" s="234"/>
      <c r="S8" s="232"/>
      <c r="T8" s="232"/>
      <c r="U8" s="233"/>
      <c r="V8" s="234"/>
      <c r="W8" s="232"/>
      <c r="X8" s="232"/>
      <c r="Y8" s="233"/>
      <c r="Z8" s="234"/>
      <c r="AA8" s="232"/>
      <c r="AB8" s="232"/>
      <c r="AC8" s="233"/>
      <c r="AD8" s="234"/>
      <c r="AE8" s="233"/>
    </row>
    <row r="9" spans="1:41" ht="12.95" hidden="1" customHeight="1" thickBot="1">
      <c r="A9" s="237"/>
      <c r="B9" s="231"/>
      <c r="C9" s="231"/>
      <c r="D9" s="232"/>
      <c r="E9" s="233"/>
      <c r="F9" s="234"/>
      <c r="G9" s="232"/>
      <c r="H9" s="232"/>
      <c r="I9" s="233"/>
      <c r="J9" s="234"/>
      <c r="K9" s="232"/>
      <c r="L9" s="232"/>
      <c r="M9" s="233"/>
      <c r="N9" s="234"/>
      <c r="O9" s="232"/>
      <c r="P9" s="232"/>
      <c r="Q9" s="233"/>
      <c r="R9" s="234"/>
      <c r="S9" s="232"/>
      <c r="T9" s="232"/>
      <c r="U9" s="233"/>
      <c r="V9" s="234"/>
      <c r="W9" s="232"/>
      <c r="X9" s="232"/>
      <c r="Y9" s="233"/>
      <c r="Z9" s="234"/>
      <c r="AA9" s="232"/>
      <c r="AB9" s="232"/>
      <c r="AC9" s="233"/>
      <c r="AD9" s="234"/>
      <c r="AE9" s="233"/>
    </row>
    <row r="10" spans="1:41" ht="35.1" hidden="1" customHeight="1" thickBot="1">
      <c r="A10" s="235"/>
      <c r="B10" s="236"/>
      <c r="C10" s="236"/>
      <c r="D10" s="232"/>
      <c r="E10" s="233"/>
      <c r="F10" s="234"/>
      <c r="G10" s="232"/>
      <c r="H10" s="232"/>
      <c r="I10" s="233"/>
      <c r="J10" s="234"/>
      <c r="K10" s="232"/>
      <c r="L10" s="232"/>
      <c r="M10" s="233"/>
      <c r="N10" s="234"/>
      <c r="O10" s="232"/>
      <c r="P10" s="232"/>
      <c r="Q10" s="233"/>
      <c r="R10" s="234"/>
      <c r="S10" s="232"/>
      <c r="T10" s="232"/>
      <c r="U10" s="233"/>
      <c r="V10" s="234"/>
      <c r="W10" s="232"/>
      <c r="X10" s="232"/>
      <c r="Y10" s="233"/>
      <c r="Z10" s="234"/>
      <c r="AA10" s="232"/>
      <c r="AB10" s="232"/>
      <c r="AC10" s="233"/>
      <c r="AD10" s="234"/>
      <c r="AE10" s="233"/>
    </row>
    <row r="11" spans="1:41" ht="13.5" hidden="1" thickBot="1">
      <c r="A11" s="237"/>
      <c r="B11" s="231"/>
      <c r="C11" s="231"/>
      <c r="D11" s="232"/>
      <c r="E11" s="233"/>
      <c r="F11" s="234"/>
      <c r="G11" s="232"/>
      <c r="H11" s="232"/>
      <c r="I11" s="233"/>
      <c r="J11" s="234"/>
      <c r="K11" s="232"/>
      <c r="L11" s="232"/>
      <c r="M11" s="233"/>
      <c r="N11" s="234"/>
      <c r="O11" s="232"/>
      <c r="P11" s="232"/>
      <c r="Q11" s="233"/>
      <c r="R11" s="234"/>
      <c r="S11" s="232"/>
      <c r="T11" s="232"/>
      <c r="U11" s="233"/>
      <c r="V11" s="234"/>
      <c r="W11" s="232"/>
      <c r="X11" s="232"/>
      <c r="Y11" s="233"/>
      <c r="Z11" s="234"/>
      <c r="AA11" s="232"/>
      <c r="AB11" s="232"/>
      <c r="AC11" s="233"/>
      <c r="AD11" s="234"/>
      <c r="AE11" s="233"/>
    </row>
    <row r="12" spans="1:41" ht="12.95" hidden="1" customHeight="1" thickBot="1">
      <c r="A12" s="235"/>
      <c r="B12" s="236"/>
      <c r="C12" s="236"/>
      <c r="D12" s="232"/>
      <c r="E12" s="233"/>
      <c r="F12" s="234"/>
      <c r="G12" s="232"/>
      <c r="H12" s="232"/>
      <c r="I12" s="233"/>
      <c r="J12" s="234"/>
      <c r="K12" s="232"/>
      <c r="L12" s="232"/>
      <c r="M12" s="233"/>
      <c r="N12" s="234"/>
      <c r="O12" s="232"/>
      <c r="P12" s="232"/>
      <c r="Q12" s="233"/>
      <c r="R12" s="234"/>
      <c r="S12" s="232"/>
      <c r="T12" s="232"/>
      <c r="U12" s="233"/>
      <c r="V12" s="234"/>
      <c r="W12" s="232"/>
      <c r="X12" s="232"/>
      <c r="Y12" s="233"/>
      <c r="Z12" s="234"/>
      <c r="AA12" s="232"/>
      <c r="AB12" s="232"/>
      <c r="AC12" s="233"/>
      <c r="AD12" s="234"/>
      <c r="AE12" s="233"/>
    </row>
    <row r="13" spans="1:41" ht="24" hidden="1" customHeight="1" thickBot="1">
      <c r="A13" s="237"/>
      <c r="B13" s="231"/>
      <c r="C13" s="231"/>
      <c r="D13" s="232"/>
      <c r="E13" s="233"/>
      <c r="F13" s="234"/>
      <c r="G13" s="232"/>
      <c r="H13" s="232"/>
      <c r="I13" s="233"/>
      <c r="J13" s="234"/>
      <c r="K13" s="232"/>
      <c r="L13" s="232"/>
      <c r="M13" s="233"/>
      <c r="N13" s="234"/>
      <c r="O13" s="232"/>
      <c r="P13" s="232"/>
      <c r="Q13" s="233"/>
      <c r="R13" s="234"/>
      <c r="S13" s="232"/>
      <c r="T13" s="232"/>
      <c r="U13" s="233"/>
      <c r="V13" s="234"/>
      <c r="W13" s="232"/>
      <c r="X13" s="232"/>
      <c r="Y13" s="233"/>
      <c r="Z13" s="234"/>
      <c r="AA13" s="232"/>
      <c r="AB13" s="232"/>
      <c r="AC13" s="233"/>
      <c r="AD13" s="234"/>
      <c r="AE13" s="233"/>
    </row>
    <row r="14" spans="1:41" ht="12.95" hidden="1" customHeight="1" thickBot="1">
      <c r="A14" s="235"/>
      <c r="B14" s="236"/>
      <c r="C14" s="236"/>
      <c r="D14" s="232"/>
      <c r="E14" s="233"/>
      <c r="F14" s="234"/>
      <c r="G14" s="232"/>
      <c r="H14" s="232"/>
      <c r="I14" s="233"/>
      <c r="J14" s="234"/>
      <c r="K14" s="232"/>
      <c r="L14" s="232"/>
      <c r="M14" s="233"/>
      <c r="N14" s="234"/>
      <c r="O14" s="232"/>
      <c r="P14" s="232"/>
      <c r="Q14" s="233"/>
      <c r="R14" s="234"/>
      <c r="S14" s="232"/>
      <c r="T14" s="232"/>
      <c r="U14" s="233"/>
      <c r="V14" s="234"/>
      <c r="W14" s="232"/>
      <c r="X14" s="232"/>
      <c r="Y14" s="233"/>
      <c r="Z14" s="234"/>
      <c r="AA14" s="232"/>
      <c r="AB14" s="232"/>
      <c r="AC14" s="233"/>
      <c r="AD14" s="234"/>
      <c r="AE14" s="233"/>
    </row>
    <row r="15" spans="1:41" ht="12.95" hidden="1" customHeight="1" thickBot="1">
      <c r="A15" s="237"/>
      <c r="B15" s="231"/>
      <c r="C15" s="231"/>
      <c r="D15" s="232"/>
      <c r="E15" s="233"/>
      <c r="F15" s="234"/>
      <c r="G15" s="232"/>
      <c r="H15" s="232"/>
      <c r="I15" s="233"/>
      <c r="J15" s="234"/>
      <c r="K15" s="232"/>
      <c r="L15" s="232"/>
      <c r="M15" s="233"/>
      <c r="N15" s="234"/>
      <c r="O15" s="232"/>
      <c r="P15" s="232"/>
      <c r="Q15" s="233"/>
      <c r="R15" s="234"/>
      <c r="S15" s="232"/>
      <c r="T15" s="232"/>
      <c r="U15" s="233"/>
      <c r="V15" s="234"/>
      <c r="W15" s="232"/>
      <c r="X15" s="232"/>
      <c r="Y15" s="233"/>
      <c r="Z15" s="234"/>
      <c r="AA15" s="232"/>
      <c r="AB15" s="232"/>
      <c r="AC15" s="233"/>
      <c r="AD15" s="234"/>
      <c r="AE15" s="233"/>
    </row>
    <row r="16" spans="1:41" ht="13.5" hidden="1" thickBot="1">
      <c r="A16" s="235"/>
      <c r="B16" s="236"/>
      <c r="C16" s="236"/>
      <c r="D16" s="232"/>
      <c r="E16" s="233"/>
      <c r="F16" s="234"/>
      <c r="G16" s="232"/>
      <c r="H16" s="232"/>
      <c r="I16" s="233"/>
      <c r="J16" s="234"/>
      <c r="K16" s="232"/>
      <c r="L16" s="232"/>
      <c r="M16" s="233"/>
      <c r="N16" s="234"/>
      <c r="O16" s="232"/>
      <c r="P16" s="232"/>
      <c r="Q16" s="233"/>
      <c r="R16" s="234"/>
      <c r="S16" s="232"/>
      <c r="T16" s="232"/>
      <c r="U16" s="233"/>
      <c r="V16" s="234"/>
      <c r="W16" s="232"/>
      <c r="X16" s="232"/>
      <c r="Y16" s="233"/>
      <c r="Z16" s="234"/>
      <c r="AA16" s="232"/>
      <c r="AB16" s="232"/>
      <c r="AC16" s="233"/>
      <c r="AD16" s="234"/>
      <c r="AE16" s="233"/>
    </row>
    <row r="17" spans="1:56" ht="12.95" hidden="1" customHeight="1" thickBot="1">
      <c r="A17" s="237"/>
      <c r="B17" s="231"/>
      <c r="C17" s="231"/>
      <c r="D17" s="232"/>
      <c r="E17" s="233"/>
      <c r="F17" s="234"/>
      <c r="G17" s="232"/>
      <c r="H17" s="232"/>
      <c r="I17" s="233"/>
      <c r="J17" s="234"/>
      <c r="K17" s="232"/>
      <c r="L17" s="232"/>
      <c r="M17" s="233"/>
      <c r="N17" s="234"/>
      <c r="O17" s="232"/>
      <c r="P17" s="232"/>
      <c r="Q17" s="233"/>
      <c r="R17" s="234"/>
      <c r="S17" s="232"/>
      <c r="T17" s="232"/>
      <c r="U17" s="233"/>
      <c r="V17" s="234"/>
      <c r="W17" s="232"/>
      <c r="X17" s="232"/>
      <c r="Y17" s="233"/>
      <c r="Z17" s="234"/>
      <c r="AA17" s="232"/>
      <c r="AB17" s="232"/>
      <c r="AC17" s="233"/>
      <c r="AD17" s="234"/>
      <c r="AE17" s="233"/>
    </row>
    <row r="18" spans="1:56" ht="12.95" hidden="1" customHeight="1" thickBot="1">
      <c r="A18" s="235"/>
      <c r="B18" s="236"/>
      <c r="C18" s="236"/>
      <c r="D18" s="232"/>
      <c r="E18" s="233"/>
      <c r="F18" s="234"/>
      <c r="G18" s="232"/>
      <c r="H18" s="232"/>
      <c r="I18" s="233"/>
      <c r="J18" s="234"/>
      <c r="K18" s="232"/>
      <c r="L18" s="232"/>
      <c r="M18" s="233"/>
      <c r="N18" s="234"/>
      <c r="O18" s="232"/>
      <c r="P18" s="232"/>
      <c r="Q18" s="233"/>
      <c r="R18" s="234"/>
      <c r="S18" s="232"/>
      <c r="T18" s="232"/>
      <c r="U18" s="233"/>
      <c r="V18" s="234"/>
      <c r="W18" s="232"/>
      <c r="X18" s="232"/>
      <c r="Y18" s="233"/>
      <c r="Z18" s="234"/>
      <c r="AA18" s="232"/>
      <c r="AB18" s="232"/>
      <c r="AC18" s="233"/>
      <c r="AD18" s="234"/>
      <c r="AE18" s="233"/>
    </row>
    <row r="19" spans="1:56" ht="13.5" hidden="1" thickBot="1">
      <c r="A19" s="215"/>
      <c r="B19" s="215"/>
      <c r="C19" s="216"/>
    </row>
    <row r="20" spans="1:56" ht="13.5" hidden="1" thickBot="1">
      <c r="A20" s="5"/>
      <c r="B20" s="5"/>
      <c r="C20" s="6"/>
    </row>
    <row r="21" spans="1:56" ht="12.95" customHeight="1" thickBot="1">
      <c r="A21" s="15" t="s">
        <v>1</v>
      </c>
      <c r="B21" s="274" t="s">
        <v>24</v>
      </c>
      <c r="C21" s="8"/>
      <c r="D21" s="1377">
        <v>2008</v>
      </c>
      <c r="E21" s="1378"/>
      <c r="F21" s="1372">
        <v>2009</v>
      </c>
      <c r="G21" s="1373"/>
      <c r="H21" s="1373"/>
      <c r="I21" s="1374"/>
      <c r="J21" s="1372">
        <v>2010</v>
      </c>
      <c r="K21" s="1373"/>
      <c r="L21" s="1373"/>
      <c r="M21" s="1374"/>
      <c r="N21" s="1372">
        <v>2011</v>
      </c>
      <c r="O21" s="1373"/>
      <c r="P21" s="1373"/>
      <c r="Q21" s="1374"/>
      <c r="R21" s="1372">
        <v>2012</v>
      </c>
      <c r="S21" s="1373"/>
      <c r="T21" s="1373"/>
      <c r="U21" s="1374"/>
      <c r="V21" s="1372">
        <v>2013</v>
      </c>
      <c r="W21" s="1373"/>
      <c r="X21" s="1373"/>
      <c r="Y21" s="1374"/>
      <c r="Z21" s="1372">
        <v>2014</v>
      </c>
      <c r="AA21" s="1373"/>
      <c r="AB21" s="1373"/>
      <c r="AC21" s="1374"/>
      <c r="AD21" s="1372">
        <v>2015</v>
      </c>
      <c r="AE21" s="1374"/>
      <c r="AG21" s="257" t="s">
        <v>663</v>
      </c>
      <c r="AK21" s="356"/>
      <c r="AL21" s="4" t="s">
        <v>812</v>
      </c>
      <c r="AQ21" s="351" t="s">
        <v>751</v>
      </c>
      <c r="AR21" s="357" t="s">
        <v>754</v>
      </c>
      <c r="AS21" s="351" t="s">
        <v>752</v>
      </c>
      <c r="AX21" s="351" t="s">
        <v>797</v>
      </c>
      <c r="AY21" s="411">
        <v>0.44</v>
      </c>
      <c r="AZ21" s="411">
        <v>31.8</v>
      </c>
      <c r="BA21" s="411">
        <v>0.28999999999999998</v>
      </c>
      <c r="BB21" s="411">
        <v>44.88</v>
      </c>
      <c r="BC21" s="411">
        <v>0.55000000000000004</v>
      </c>
      <c r="BD21" s="412">
        <v>155</v>
      </c>
    </row>
    <row r="22" spans="1:56" ht="12.95" customHeight="1" thickBot="1">
      <c r="A22" s="868" t="s">
        <v>47</v>
      </c>
      <c r="B22" s="868" t="s">
        <v>48</v>
      </c>
      <c r="C22" s="194" t="s">
        <v>802</v>
      </c>
      <c r="D22" s="206"/>
      <c r="E22" s="207"/>
      <c r="F22" s="209"/>
      <c r="G22" s="206"/>
      <c r="H22" s="206"/>
      <c r="I22" s="207"/>
      <c r="J22" s="332" t="s">
        <v>719</v>
      </c>
      <c r="K22" s="206"/>
      <c r="L22" s="206"/>
      <c r="M22" s="207"/>
      <c r="N22" s="277"/>
      <c r="O22" s="278">
        <f>(O32-J32)/5/$C$658/Spend!O22*'State Efficiency Ratios'!$C$654</f>
        <v>76.850026716516965</v>
      </c>
      <c r="P22" s="278"/>
      <c r="Q22" s="279"/>
      <c r="R22" s="277"/>
      <c r="S22" s="278"/>
      <c r="T22" s="278"/>
      <c r="U22" s="278">
        <f>(U32-O32)/6/$C$658/Spend!U22*'State Efficiency Ratios'!$C$654</f>
        <v>-71.063255514594601</v>
      </c>
      <c r="V22" s="277"/>
      <c r="W22" s="278"/>
      <c r="X22" s="278"/>
      <c r="Y22" s="278">
        <f>(Y32-U32)/4/$C$658/Spend!Y22*'State Efficiency Ratios'!$C$654</f>
        <v>148.98820691031645</v>
      </c>
      <c r="Z22" s="277"/>
      <c r="AA22" s="278"/>
      <c r="AB22" s="278"/>
      <c r="AC22" s="278">
        <f>(AC32-Y32)/4/$C$658/Spend!AC22*'State Efficiency Ratios'!$C$654</f>
        <v>-911.77580027832892</v>
      </c>
      <c r="AD22" s="277"/>
      <c r="AE22" s="280"/>
      <c r="AG22" s="295" t="s">
        <v>668</v>
      </c>
      <c r="AK22" s="378">
        <f>(Y22+((Y94+Y117+Y140)/3))/2</f>
        <v>413.10366461496824</v>
      </c>
      <c r="AL22" s="378">
        <f t="shared" ref="AL22:AL29" si="0">(Y22+Y94+Y117+Y140)/4</f>
        <v>545.16139346729415</v>
      </c>
      <c r="AP22" s="397">
        <f>AK32</f>
        <v>0.71666666666666679</v>
      </c>
      <c r="AQ22" s="398">
        <f>AK22</f>
        <v>413.10366461496824</v>
      </c>
      <c r="AR22" s="378">
        <f>$AP$28/AP22*AQ22</f>
        <v>-230.56948722695896</v>
      </c>
      <c r="AS22" s="351">
        <v>6</v>
      </c>
      <c r="AX22" s="351" t="s">
        <v>798</v>
      </c>
      <c r="AY22" s="411">
        <v>0.1</v>
      </c>
      <c r="AZ22" s="411">
        <v>9</v>
      </c>
      <c r="BA22" s="411">
        <v>0.49</v>
      </c>
      <c r="BB22" s="411">
        <v>82.75</v>
      </c>
      <c r="BC22" s="411">
        <v>0.51</v>
      </c>
      <c r="BD22" s="412">
        <v>209</v>
      </c>
    </row>
    <row r="23" spans="1:56" ht="24.75" thickBot="1">
      <c r="A23" s="885"/>
      <c r="B23" s="885"/>
      <c r="C23" s="194" t="s">
        <v>803</v>
      </c>
      <c r="D23" s="206"/>
      <c r="E23" s="207"/>
      <c r="F23" s="209"/>
      <c r="G23" s="206"/>
      <c r="H23" s="206"/>
      <c r="I23" s="207"/>
      <c r="J23" s="209"/>
      <c r="K23" s="206"/>
      <c r="L23" s="206"/>
      <c r="M23" s="207"/>
      <c r="N23" s="277"/>
      <c r="O23" s="278">
        <f>(O33-J33)/5/$C$658/Spend!O23*'State Efficiency Ratios'!$C$654</f>
        <v>0</v>
      </c>
      <c r="P23" s="278"/>
      <c r="Q23" s="279"/>
      <c r="R23" s="277"/>
      <c r="S23" s="278"/>
      <c r="T23" s="278"/>
      <c r="U23" s="278">
        <f>(U33-O33)/6/$C$658/Spend!U23*'State Efficiency Ratios'!$C$654</f>
        <v>37.544446736657683</v>
      </c>
      <c r="V23" s="277"/>
      <c r="W23" s="278"/>
      <c r="X23" s="278"/>
      <c r="Y23" s="278">
        <f>(Y33-U33)/4/$C$658/Spend!Y23*'State Efficiency Ratios'!$C$654</f>
        <v>206.86642927779553</v>
      </c>
      <c r="Z23" s="277"/>
      <c r="AA23" s="278"/>
      <c r="AB23" s="278"/>
      <c r="AC23" s="278">
        <f>(AC33-Y33)/4/$C$658/Spend!AC23*'State Efficiency Ratios'!$C$654</f>
        <v>-1056.4778854029387</v>
      </c>
      <c r="AD23" s="277"/>
      <c r="AE23" s="280"/>
      <c r="AG23" s="295"/>
      <c r="AK23" s="378">
        <f t="shared" ref="AK23:AK29" si="1">(Y23+((Y95+Y118+Y141)/3))/2</f>
        <v>351.56845177766752</v>
      </c>
      <c r="AL23" s="378">
        <f t="shared" si="0"/>
        <v>423.91946302760357</v>
      </c>
      <c r="AP23" s="397">
        <f t="shared" ref="AP23:AP29" si="2">AK33</f>
        <v>0.71666666666666679</v>
      </c>
      <c r="AQ23" s="398">
        <f t="shared" ref="AQ23:AQ29" si="3">AK23</f>
        <v>351.56845177766752</v>
      </c>
      <c r="AR23" s="394">
        <f t="shared" ref="AR23:AR29" si="4">$AP$28/AP23*AQ23</f>
        <v>-196.22425215497717</v>
      </c>
      <c r="AS23" s="395">
        <v>8</v>
      </c>
      <c r="AX23" s="351" t="s">
        <v>799</v>
      </c>
      <c r="AY23" s="411">
        <v>0.16</v>
      </c>
      <c r="AZ23" s="411">
        <v>21.2</v>
      </c>
      <c r="BA23" s="411">
        <v>1.34</v>
      </c>
      <c r="BB23" s="411">
        <v>53.8</v>
      </c>
      <c r="BC23" s="411">
        <v>0.6</v>
      </c>
      <c r="BD23" s="412">
        <v>143.38</v>
      </c>
    </row>
    <row r="24" spans="1:56" ht="24.75" thickBot="1">
      <c r="A24" s="885"/>
      <c r="B24" s="885"/>
      <c r="C24" s="194" t="s">
        <v>804</v>
      </c>
      <c r="D24" s="206"/>
      <c r="E24" s="207"/>
      <c r="F24" s="209"/>
      <c r="G24" s="206"/>
      <c r="H24" s="206"/>
      <c r="I24" s="207"/>
      <c r="J24" s="209"/>
      <c r="K24" s="206"/>
      <c r="L24" s="206"/>
      <c r="M24" s="207"/>
      <c r="N24" s="277"/>
      <c r="O24" s="278">
        <f>(O34-J34)/5/$C$658/Spend!O24*'State Efficiency Ratios'!$C$654</f>
        <v>43.020994391740736</v>
      </c>
      <c r="P24" s="278"/>
      <c r="Q24" s="279"/>
      <c r="R24" s="277"/>
      <c r="S24" s="278"/>
      <c r="T24" s="278"/>
      <c r="U24" s="278">
        <f>(U34-O34)/6/$C$658/Spend!U24*'State Efficiency Ratios'!$C$654</f>
        <v>64.378315033577408</v>
      </c>
      <c r="V24" s="277"/>
      <c r="W24" s="278"/>
      <c r="X24" s="278"/>
      <c r="Y24" s="278">
        <f>(Y34-U34)/4/$C$658/Spend!Y24*'State Efficiency Ratios'!$C$654</f>
        <v>23.850481316396387</v>
      </c>
      <c r="Z24" s="277"/>
      <c r="AA24" s="278"/>
      <c r="AB24" s="278"/>
      <c r="AC24" s="278">
        <f>(AC34-Y34)/4/$C$658/Spend!AC24*'State Efficiency Ratios'!$C$654</f>
        <v>-943.64770623235063</v>
      </c>
      <c r="AD24" s="277"/>
      <c r="AE24" s="280"/>
      <c r="AG24" s="295"/>
      <c r="AK24" s="378">
        <f t="shared" si="1"/>
        <v>76.168961375764169</v>
      </c>
      <c r="AL24" s="378">
        <f t="shared" si="0"/>
        <v>102.32820140544806</v>
      </c>
      <c r="AP24" s="401">
        <f t="shared" si="2"/>
        <v>0.13333333333333336</v>
      </c>
      <c r="AQ24" s="402">
        <f t="shared" si="3"/>
        <v>76.168961375764169</v>
      </c>
      <c r="AR24" s="378">
        <f t="shared" si="4"/>
        <v>-228.50688412729244</v>
      </c>
      <c r="AS24" s="351">
        <v>4</v>
      </c>
      <c r="AX24" s="351" t="s">
        <v>800</v>
      </c>
      <c r="AY24" s="411">
        <v>1.66</v>
      </c>
      <c r="AZ24" s="411">
        <v>30</v>
      </c>
      <c r="BA24" s="411">
        <v>0.35</v>
      </c>
      <c r="BB24" s="411">
        <v>39.130000000000003</v>
      </c>
      <c r="BC24" s="411">
        <v>0.78</v>
      </c>
      <c r="BD24" s="412">
        <v>297.38</v>
      </c>
    </row>
    <row r="25" spans="1:56" ht="15.75" thickBot="1">
      <c r="A25" s="885"/>
      <c r="B25" s="885"/>
      <c r="C25" s="194" t="s">
        <v>805</v>
      </c>
      <c r="D25" s="206"/>
      <c r="E25" s="207"/>
      <c r="F25" s="209"/>
      <c r="G25" s="206"/>
      <c r="H25" s="206"/>
      <c r="I25" s="207"/>
      <c r="J25" s="209"/>
      <c r="K25" s="206"/>
      <c r="L25" s="206"/>
      <c r="M25" s="207"/>
      <c r="N25" s="277"/>
      <c r="O25" s="278">
        <f>(O35-J35)/5/$C$658/Spend!O25*'State Efficiency Ratios'!$C$654</f>
        <v>0</v>
      </c>
      <c r="P25" s="278"/>
      <c r="Q25" s="279"/>
      <c r="R25" s="277"/>
      <c r="S25" s="278"/>
      <c r="T25" s="278"/>
      <c r="U25" s="278">
        <f>(U35-O35)/6/$C$658/Spend!U25*'State Efficiency Ratios'!$C$654</f>
        <v>74.027312143748148</v>
      </c>
      <c r="V25" s="277"/>
      <c r="W25" s="278"/>
      <c r="X25" s="278"/>
      <c r="Y25" s="278">
        <f>(Y35-U35)/4/$C$658/Spend!Y25*'State Efficiency Ratios'!$C$654</f>
        <v>25.670915519853772</v>
      </c>
      <c r="Z25" s="277"/>
      <c r="AA25" s="278"/>
      <c r="AB25" s="278"/>
      <c r="AC25" s="278">
        <f>(AC35-Y35)/4/$C$658/Spend!AC25*'State Efficiency Ratios'!$C$654</f>
        <v>-727.83605963598677</v>
      </c>
      <c r="AD25" s="277"/>
      <c r="AE25" s="280"/>
      <c r="AG25" s="295"/>
      <c r="AK25" s="378">
        <f t="shared" si="1"/>
        <v>142.48654624403733</v>
      </c>
      <c r="AL25" s="378">
        <f t="shared" si="0"/>
        <v>200.89436160612908</v>
      </c>
      <c r="AP25" s="397">
        <f t="shared" si="2"/>
        <v>0.16666666666666652</v>
      </c>
      <c r="AQ25" s="398">
        <f t="shared" si="3"/>
        <v>142.48654624403733</v>
      </c>
      <c r="AR25" s="378">
        <f t="shared" si="4"/>
        <v>-341.96771098568991</v>
      </c>
      <c r="AS25" s="351">
        <v>2</v>
      </c>
      <c r="AX25" s="351" t="s">
        <v>801</v>
      </c>
      <c r="AY25" s="411">
        <v>0.4</v>
      </c>
      <c r="AZ25" s="411">
        <v>26.83</v>
      </c>
      <c r="BA25" s="411">
        <v>0.27</v>
      </c>
      <c r="BB25" s="411">
        <v>120</v>
      </c>
      <c r="BC25" s="411">
        <v>0.59</v>
      </c>
      <c r="BD25" s="412">
        <v>380.6</v>
      </c>
    </row>
    <row r="26" spans="1:56" ht="13.5" thickBot="1">
      <c r="A26" s="885"/>
      <c r="B26" s="885"/>
      <c r="C26" s="194" t="s">
        <v>806</v>
      </c>
      <c r="D26" s="206"/>
      <c r="E26" s="207"/>
      <c r="F26" s="209"/>
      <c r="G26" s="206"/>
      <c r="H26" s="206"/>
      <c r="I26" s="207"/>
      <c r="J26" s="209"/>
      <c r="K26" s="206"/>
      <c r="L26" s="206"/>
      <c r="M26" s="207"/>
      <c r="N26" s="277"/>
      <c r="O26" s="278">
        <f>(O36-J36)/5/$C$658/Spend!O26*'State Efficiency Ratios'!$C$654</f>
        <v>0</v>
      </c>
      <c r="P26" s="278"/>
      <c r="Q26" s="279"/>
      <c r="R26" s="277"/>
      <c r="S26" s="278"/>
      <c r="T26" s="278"/>
      <c r="U26" s="278">
        <f>(U36-O36)/6/$C$658/Spend!U26*'State Efficiency Ratios'!$C$654</f>
        <v>55.99418539122221</v>
      </c>
      <c r="V26" s="277"/>
      <c r="W26" s="278"/>
      <c r="X26" s="278"/>
      <c r="Y26" s="278">
        <f>(Y36-U36)/4/$C$658/Spend!Y26*'State Efficiency Ratios'!$C$654</f>
        <v>22.204368915509342</v>
      </c>
      <c r="Z26" s="277"/>
      <c r="AA26" s="278"/>
      <c r="AB26" s="278"/>
      <c r="AC26" s="278">
        <f>(AC36-Y36)/4/$C$658/Spend!AC26*'State Efficiency Ratios'!$C$654</f>
        <v>-627.05763807173059</v>
      </c>
      <c r="AD26" s="277"/>
      <c r="AE26" s="280"/>
      <c r="AG26" s="295"/>
      <c r="AK26" s="378">
        <f t="shared" si="1"/>
        <v>209.22197444462324</v>
      </c>
      <c r="AL26" s="378">
        <f t="shared" si="0"/>
        <v>302.73077720918019</v>
      </c>
      <c r="AP26" s="397">
        <f t="shared" si="2"/>
        <v>0.29999999999999982</v>
      </c>
      <c r="AQ26" s="398">
        <f t="shared" si="3"/>
        <v>209.22197444462324</v>
      </c>
      <c r="AR26" s="378">
        <f t="shared" si="4"/>
        <v>-278.96263259283114</v>
      </c>
      <c r="AS26" s="351">
        <v>3</v>
      </c>
    </row>
    <row r="27" spans="1:56" ht="12.95" customHeight="1" thickBot="1">
      <c r="A27" s="885"/>
      <c r="B27" s="885"/>
      <c r="C27" s="194" t="s">
        <v>807</v>
      </c>
      <c r="D27" s="210"/>
      <c r="E27" s="211"/>
      <c r="F27" s="209"/>
      <c r="G27" s="210"/>
      <c r="H27" s="210"/>
      <c r="I27" s="211"/>
      <c r="J27" s="209"/>
      <c r="K27" s="210"/>
      <c r="L27" s="210"/>
      <c r="M27" s="211"/>
      <c r="N27" s="281"/>
      <c r="O27" s="282"/>
      <c r="P27" s="282"/>
      <c r="Q27" s="282"/>
      <c r="R27" s="277"/>
      <c r="S27" s="278"/>
      <c r="T27" s="278"/>
      <c r="U27" s="278">
        <f>(U37-R37)/3/$C$658/Spend!U27*'State Efficiency Ratios'!$C$654</f>
        <v>0</v>
      </c>
      <c r="V27" s="277"/>
      <c r="W27" s="278"/>
      <c r="X27" s="278"/>
      <c r="Y27" s="278">
        <f>(Y37-U37)/4/$C$658/Spend!Y27*'State Efficiency Ratios'!$C$654</f>
        <v>139.4898985489456</v>
      </c>
      <c r="Z27" s="277"/>
      <c r="AA27" s="278"/>
      <c r="AB27" s="278"/>
      <c r="AC27" s="278">
        <f>(AC37-Y37)/4/$C$658/Spend!AC27*'State Efficiency Ratios'!$C$654</f>
        <v>-566.22432859638343</v>
      </c>
      <c r="AD27" s="277"/>
      <c r="AE27" s="280"/>
      <c r="AG27" s="295"/>
      <c r="AK27" s="378">
        <f t="shared" si="1"/>
        <v>175.41911484185573</v>
      </c>
      <c r="AL27" s="378">
        <f t="shared" si="0"/>
        <v>193.38372298831081</v>
      </c>
      <c r="AP27" s="397">
        <f t="shared" si="2"/>
        <v>0.31666666666666671</v>
      </c>
      <c r="AQ27" s="398">
        <f t="shared" si="3"/>
        <v>175.41911484185573</v>
      </c>
      <c r="AR27" s="378">
        <f t="shared" si="4"/>
        <v>-221.58203980023876</v>
      </c>
      <c r="AS27" s="351">
        <v>5</v>
      </c>
    </row>
    <row r="28" spans="1:56" ht="12.95" customHeight="1" thickBot="1">
      <c r="A28" s="885"/>
      <c r="B28" s="885"/>
      <c r="C28" s="194" t="s">
        <v>808</v>
      </c>
      <c r="D28" s="210"/>
      <c r="E28" s="211"/>
      <c r="F28" s="209"/>
      <c r="G28" s="210"/>
      <c r="H28" s="210"/>
      <c r="I28" s="211"/>
      <c r="J28" s="209"/>
      <c r="K28" s="210"/>
      <c r="L28" s="210"/>
      <c r="M28" s="211"/>
      <c r="N28" s="281"/>
      <c r="O28" s="282"/>
      <c r="P28" s="282"/>
      <c r="Q28" s="282"/>
      <c r="R28" s="277"/>
      <c r="S28" s="278"/>
      <c r="T28" s="278"/>
      <c r="U28" s="278">
        <f>(U38-R38)/3/$C$658/Spend!U28*'State Efficiency Ratios'!$C$654</f>
        <v>0</v>
      </c>
      <c r="V28" s="277"/>
      <c r="W28" s="278"/>
      <c r="X28" s="278"/>
      <c r="Y28" s="278">
        <f>(Y38-U38)/4/$C$658/Spend!Y28*'State Efficiency Ratios'!$C$654</f>
        <v>-426.93547533839069</v>
      </c>
      <c r="Z28" s="277"/>
      <c r="AA28" s="278"/>
      <c r="AB28" s="278"/>
      <c r="AC28" s="278">
        <f>(AC38-Y38)/4/$C$658/Spend!AC28*'State Efficiency Ratios'!$C$654</f>
        <v>-669.08141851998528</v>
      </c>
      <c r="AD28" s="277"/>
      <c r="AE28" s="280"/>
      <c r="AG28" s="295"/>
      <c r="AK28" s="378">
        <f t="shared" si="1"/>
        <v>-55.343487543865422</v>
      </c>
      <c r="AL28" s="378">
        <f t="shared" si="0"/>
        <v>130.45250635339721</v>
      </c>
      <c r="AP28" s="399">
        <f t="shared" si="2"/>
        <v>-0.39999999999999997</v>
      </c>
      <c r="AQ28" s="400">
        <f t="shared" si="3"/>
        <v>-55.343487543865422</v>
      </c>
      <c r="AR28" s="396">
        <f t="shared" si="4"/>
        <v>-55.343487543865422</v>
      </c>
      <c r="AS28" s="393">
        <v>1</v>
      </c>
    </row>
    <row r="29" spans="1:56" ht="12.95" customHeight="1" thickBot="1">
      <c r="A29" s="885"/>
      <c r="B29" s="885"/>
      <c r="C29" s="194" t="s">
        <v>809</v>
      </c>
      <c r="D29" s="210"/>
      <c r="E29" s="211"/>
      <c r="F29" s="209"/>
      <c r="G29" s="210"/>
      <c r="H29" s="210"/>
      <c r="I29" s="211"/>
      <c r="J29" s="209"/>
      <c r="K29" s="210"/>
      <c r="L29" s="210"/>
      <c r="M29" s="211"/>
      <c r="N29" s="281"/>
      <c r="O29" s="282"/>
      <c r="P29" s="282"/>
      <c r="Q29" s="282"/>
      <c r="R29" s="277"/>
      <c r="S29" s="278"/>
      <c r="T29" s="278"/>
      <c r="U29" s="278">
        <f>(U39-R39)/3/$C$658/Spend!U29*'State Efficiency Ratios'!$C$654</f>
        <v>0</v>
      </c>
      <c r="V29" s="277"/>
      <c r="W29" s="278"/>
      <c r="X29" s="278"/>
      <c r="Y29" s="278">
        <f>(Y39-U39)/4/$C$658/Spend!Y29*'State Efficiency Ratios'!$C$654</f>
        <v>283.61772787865061</v>
      </c>
      <c r="Z29" s="277"/>
      <c r="AA29" s="278"/>
      <c r="AB29" s="278"/>
      <c r="AC29" s="278">
        <f>(AC39-Y39)/4/$C$658/Spend!AC29*'State Efficiency Ratios'!$C$654</f>
        <v>-915.90028891012457</v>
      </c>
      <c r="AD29" s="277"/>
      <c r="AE29" s="280"/>
      <c r="AG29" s="295"/>
      <c r="AK29" s="378">
        <f t="shared" si="1"/>
        <v>385.84955758724766</v>
      </c>
      <c r="AL29" s="378">
        <f t="shared" si="0"/>
        <v>436.96547244154618</v>
      </c>
      <c r="AP29" s="397">
        <f t="shared" si="2"/>
        <v>0.68333333333333324</v>
      </c>
      <c r="AQ29" s="398">
        <f t="shared" si="3"/>
        <v>385.84955758724766</v>
      </c>
      <c r="AR29" s="378">
        <f t="shared" si="4"/>
        <v>-225.86315566082791</v>
      </c>
      <c r="AS29" s="351">
        <v>7</v>
      </c>
    </row>
    <row r="30" spans="1:56" ht="12.95" customHeight="1" thickBot="1">
      <c r="A30" s="885"/>
      <c r="B30" s="885"/>
      <c r="C30" s="194" t="s">
        <v>810</v>
      </c>
      <c r="D30" s="210"/>
      <c r="E30" s="211"/>
      <c r="F30" s="209"/>
      <c r="G30" s="210"/>
      <c r="H30" s="210"/>
      <c r="I30" s="211"/>
      <c r="J30" s="209"/>
      <c r="K30" s="210"/>
      <c r="L30" s="210"/>
      <c r="M30" s="211"/>
      <c r="N30" s="281"/>
      <c r="O30" s="282"/>
      <c r="P30" s="282"/>
      <c r="Q30" s="283"/>
      <c r="R30" s="281"/>
      <c r="S30" s="282"/>
      <c r="T30" s="282"/>
      <c r="U30" s="283"/>
      <c r="V30" s="281"/>
      <c r="W30" s="282"/>
      <c r="X30" s="282"/>
      <c r="Y30" s="283"/>
      <c r="Z30" s="277"/>
      <c r="AA30" s="278"/>
      <c r="AB30" s="278"/>
      <c r="AC30" s="278">
        <f>(AC40-Y40)/4/$C$658/Spend!AC30*'State Efficiency Ratios'!$C$654</f>
        <v>-1013.9186065519511</v>
      </c>
      <c r="AD30" s="277"/>
      <c r="AE30" s="280"/>
      <c r="AG30" s="295"/>
      <c r="AK30" s="413">
        <f>SUM(AK22:AK29)/8</f>
        <v>212.30934791778731</v>
      </c>
    </row>
    <row r="31" spans="1:56" ht="12.95" customHeight="1" thickBot="1">
      <c r="A31" s="885"/>
      <c r="B31" s="885"/>
      <c r="C31" s="194" t="s">
        <v>811</v>
      </c>
      <c r="D31" s="210"/>
      <c r="E31" s="211"/>
      <c r="F31" s="209"/>
      <c r="G31" s="210"/>
      <c r="H31" s="210"/>
      <c r="I31" s="211"/>
      <c r="J31" s="209"/>
      <c r="K31" s="210"/>
      <c r="L31" s="210"/>
      <c r="M31" s="211"/>
      <c r="N31" s="281"/>
      <c r="O31" s="282"/>
      <c r="P31" s="282"/>
      <c r="Q31" s="283"/>
      <c r="R31" s="281"/>
      <c r="S31" s="282"/>
      <c r="T31" s="282"/>
      <c r="U31" s="283"/>
      <c r="V31" s="281"/>
      <c r="W31" s="282"/>
      <c r="X31" s="282"/>
      <c r="Y31" s="283"/>
      <c r="Z31" s="277"/>
      <c r="AA31" s="278"/>
      <c r="AB31" s="278"/>
      <c r="AC31" s="278">
        <f>(AC41-Y41)/4/$C$658/Spend!AC31*'State Efficiency Ratios'!$C$654</f>
        <v>-744.6897510905892</v>
      </c>
      <c r="AD31" s="277"/>
      <c r="AE31" s="280"/>
      <c r="AG31" s="295"/>
      <c r="AP31" s="403"/>
      <c r="AQ31" s="403" t="s">
        <v>753</v>
      </c>
      <c r="AR31" s="351" t="s">
        <v>754</v>
      </c>
      <c r="AS31" s="351" t="s">
        <v>752</v>
      </c>
      <c r="AU31" s="403"/>
      <c r="AV31" s="409" t="s">
        <v>742</v>
      </c>
      <c r="AW31" s="351" t="s">
        <v>754</v>
      </c>
      <c r="AX31" s="351" t="s">
        <v>752</v>
      </c>
    </row>
    <row r="32" spans="1:56" ht="12.95" customHeight="1" thickBot="1">
      <c r="A32" s="885"/>
      <c r="B32" s="885"/>
      <c r="C32" s="9" t="s">
        <v>295</v>
      </c>
      <c r="D32" s="241" t="s">
        <v>632</v>
      </c>
      <c r="E32" s="241" t="s">
        <v>632</v>
      </c>
      <c r="F32" s="243" t="s">
        <v>646</v>
      </c>
      <c r="G32" s="241" t="s">
        <v>646</v>
      </c>
      <c r="H32" s="241" t="s">
        <v>646</v>
      </c>
      <c r="I32" s="244" t="s">
        <v>646</v>
      </c>
      <c r="J32" s="195">
        <f>'State DisAgg LFx10 (2015)'!D22</f>
        <v>2.2000000000000002</v>
      </c>
      <c r="K32" s="196"/>
      <c r="L32" s="196"/>
      <c r="M32" s="197"/>
      <c r="N32" s="195"/>
      <c r="O32" s="196">
        <f>'State DisAgg LFx10 (2015)'!H32</f>
        <v>3.5</v>
      </c>
      <c r="P32" s="196"/>
      <c r="Q32" s="197"/>
      <c r="R32" s="195"/>
      <c r="S32" s="196"/>
      <c r="T32" s="196"/>
      <c r="U32" s="197">
        <f>'State DisAgg LFx10 (2015)'!L32</f>
        <v>2.9</v>
      </c>
      <c r="V32" s="195"/>
      <c r="W32" s="196"/>
      <c r="X32" s="196"/>
      <c r="Y32" s="197">
        <f>'State DisAgg LFx10 (2015)'!P32</f>
        <v>3.5</v>
      </c>
      <c r="Z32" s="195"/>
      <c r="AA32" s="196"/>
      <c r="AB32" s="196"/>
      <c r="AC32" s="197">
        <f>'State DisAgg LFx10 (2015)'!T32</f>
        <v>0</v>
      </c>
      <c r="AD32" s="195"/>
      <c r="AE32" s="197"/>
      <c r="AH32" s="354">
        <f>Y32-U32</f>
        <v>0.60000000000000009</v>
      </c>
      <c r="AI32" s="354">
        <f>U32-O32</f>
        <v>-0.60000000000000009</v>
      </c>
      <c r="AJ32" s="354">
        <f t="shared" ref="AJ32:AJ41" si="5">O32-J32</f>
        <v>1.2999999999999998</v>
      </c>
      <c r="AK32" s="356">
        <f>(AH32+((AH104+AH127+AH150)/3))/2</f>
        <v>0.71666666666666679</v>
      </c>
      <c r="AL32" s="356">
        <f>(AH32+AH104+AH127+AH150)/4</f>
        <v>0.77500000000000002</v>
      </c>
      <c r="AP32" s="392">
        <v>1.1000000000000001</v>
      </c>
      <c r="AQ32" s="404">
        <v>828</v>
      </c>
      <c r="AR32" s="378">
        <f>$AP$32/AP32*AQ32</f>
        <v>828</v>
      </c>
      <c r="AS32" s="351">
        <v>5</v>
      </c>
      <c r="AU32" s="392">
        <v>0.8</v>
      </c>
      <c r="AV32" s="392">
        <v>169</v>
      </c>
      <c r="AW32" s="394">
        <f t="shared" ref="AW32:AW39" si="6">$AU$33/AU32*AV32</f>
        <v>274.625</v>
      </c>
      <c r="AX32" s="395">
        <v>8</v>
      </c>
    </row>
    <row r="33" spans="1:50" ht="12.95" customHeight="1" thickBot="1">
      <c r="A33" s="885"/>
      <c r="B33" s="885"/>
      <c r="C33" s="9" t="s">
        <v>296</v>
      </c>
      <c r="D33" s="241" t="s">
        <v>632</v>
      </c>
      <c r="E33" s="241" t="s">
        <v>632</v>
      </c>
      <c r="F33" s="243" t="s">
        <v>646</v>
      </c>
      <c r="G33" s="241" t="s">
        <v>646</v>
      </c>
      <c r="H33" s="241" t="s">
        <v>646</v>
      </c>
      <c r="I33" s="244" t="s">
        <v>646</v>
      </c>
      <c r="J33" s="195">
        <f>'State DisAgg LFx10 (2015)'!D23</f>
        <v>2.5</v>
      </c>
      <c r="K33" s="196"/>
      <c r="L33" s="196"/>
      <c r="M33" s="197"/>
      <c r="N33" s="195"/>
      <c r="O33" s="196">
        <f>'State DisAgg LFx10 (2015)'!H33</f>
        <v>2.5</v>
      </c>
      <c r="P33" s="196"/>
      <c r="Q33" s="197"/>
      <c r="R33" s="195"/>
      <c r="S33" s="196"/>
      <c r="T33" s="196"/>
      <c r="U33" s="197">
        <f>'State DisAgg LFx10 (2015)'!L33</f>
        <v>2.8</v>
      </c>
      <c r="V33" s="195"/>
      <c r="W33" s="196"/>
      <c r="X33" s="196"/>
      <c r="Y33" s="197">
        <f>'State DisAgg LFx10 (2015)'!P33</f>
        <v>3.6</v>
      </c>
      <c r="Z33" s="195"/>
      <c r="AA33" s="196"/>
      <c r="AB33" s="196"/>
      <c r="AC33" s="197">
        <f>'State DisAgg LFx10 (2015)'!T33</f>
        <v>0</v>
      </c>
      <c r="AD33" s="195"/>
      <c r="AE33" s="197"/>
      <c r="AH33" s="354">
        <f t="shared" ref="AH33:AH41" si="7">Y33-U33</f>
        <v>0.80000000000000027</v>
      </c>
      <c r="AI33" s="354">
        <f>U33-O33</f>
        <v>0.29999999999999982</v>
      </c>
      <c r="AJ33" s="354">
        <f t="shared" si="5"/>
        <v>0</v>
      </c>
      <c r="AK33" s="356">
        <f t="shared" ref="AK33:AK39" si="8">(AH33+((AH105+AH128+AH151)/3))/2</f>
        <v>0.71666666666666679</v>
      </c>
      <c r="AL33" s="356">
        <f t="shared" ref="AL33:AL39" si="9">(AH33+AH105+AH128+AH151)/4</f>
        <v>0.67500000000000004</v>
      </c>
      <c r="AP33" s="392">
        <v>0.6</v>
      </c>
      <c r="AQ33" s="404">
        <v>470</v>
      </c>
      <c r="AR33" s="378">
        <f>$AP$32/AP33*AQ33</f>
        <v>861.66666666666674</v>
      </c>
      <c r="AS33" s="351">
        <v>4</v>
      </c>
      <c r="AU33" s="392">
        <v>1.3</v>
      </c>
      <c r="AV33" s="392">
        <v>352</v>
      </c>
      <c r="AW33" s="378">
        <f t="shared" si="6"/>
        <v>352</v>
      </c>
      <c r="AX33" s="351">
        <v>5</v>
      </c>
    </row>
    <row r="34" spans="1:50" ht="12.95" customHeight="1" thickBot="1">
      <c r="A34" s="885"/>
      <c r="B34" s="885"/>
      <c r="C34" s="9" t="s">
        <v>297</v>
      </c>
      <c r="D34" s="241" t="s">
        <v>632</v>
      </c>
      <c r="E34" s="241" t="s">
        <v>632</v>
      </c>
      <c r="F34" s="243" t="s">
        <v>646</v>
      </c>
      <c r="G34" s="241" t="s">
        <v>646</v>
      </c>
      <c r="H34" s="241" t="s">
        <v>646</v>
      </c>
      <c r="I34" s="244" t="s">
        <v>646</v>
      </c>
      <c r="J34" s="195">
        <f>'State DisAgg LFx10 (2015)'!D24</f>
        <v>1.8</v>
      </c>
      <c r="K34" s="196"/>
      <c r="L34" s="196"/>
      <c r="M34" s="197"/>
      <c r="N34" s="195"/>
      <c r="O34" s="196">
        <f>'State DisAgg LFx10 (2015)'!H34</f>
        <v>2.5</v>
      </c>
      <c r="P34" s="196"/>
      <c r="Q34" s="197"/>
      <c r="R34" s="195"/>
      <c r="S34" s="196"/>
      <c r="T34" s="196"/>
      <c r="U34" s="197">
        <f>'State DisAgg LFx10 (2015)'!L34</f>
        <v>3.1</v>
      </c>
      <c r="V34" s="195"/>
      <c r="W34" s="196"/>
      <c r="X34" s="196"/>
      <c r="Y34" s="197">
        <f>'State DisAgg LFx10 (2015)'!P34</f>
        <v>3.2</v>
      </c>
      <c r="Z34" s="195"/>
      <c r="AA34" s="196"/>
      <c r="AB34" s="196"/>
      <c r="AC34" s="197">
        <f>'State DisAgg LFx10 (2015)'!T34</f>
        <v>0</v>
      </c>
      <c r="AD34" s="195"/>
      <c r="AE34" s="197"/>
      <c r="AH34" s="354">
        <f t="shared" si="7"/>
        <v>0.10000000000000009</v>
      </c>
      <c r="AI34" s="354">
        <f>U34-O34</f>
        <v>0.60000000000000009</v>
      </c>
      <c r="AJ34" s="354">
        <f t="shared" si="5"/>
        <v>0.7</v>
      </c>
      <c r="AK34" s="356">
        <f t="shared" si="8"/>
        <v>0.13333333333333336</v>
      </c>
      <c r="AL34" s="356">
        <f t="shared" si="9"/>
        <v>0.15000000000000002</v>
      </c>
      <c r="AP34" s="392">
        <v>0.2</v>
      </c>
      <c r="AQ34" s="404">
        <v>145</v>
      </c>
      <c r="AR34" s="378">
        <f>$AP$32/AP34*AQ34</f>
        <v>797.5</v>
      </c>
      <c r="AS34" s="351">
        <v>6</v>
      </c>
      <c r="AU34" s="392">
        <v>1</v>
      </c>
      <c r="AV34" s="392">
        <v>268</v>
      </c>
      <c r="AW34" s="378">
        <f t="shared" si="6"/>
        <v>348.40000000000003</v>
      </c>
      <c r="AX34" s="351">
        <v>6</v>
      </c>
    </row>
    <row r="35" spans="1:50" ht="12.95" customHeight="1" thickBot="1">
      <c r="A35" s="885"/>
      <c r="B35" s="885"/>
      <c r="C35" s="9" t="s">
        <v>298</v>
      </c>
      <c r="D35" s="241" t="s">
        <v>632</v>
      </c>
      <c r="E35" s="241" t="s">
        <v>632</v>
      </c>
      <c r="F35" s="243" t="s">
        <v>646</v>
      </c>
      <c r="G35" s="241" t="s">
        <v>646</v>
      </c>
      <c r="H35" s="241" t="s">
        <v>646</v>
      </c>
      <c r="I35" s="244" t="s">
        <v>646</v>
      </c>
      <c r="J35" s="195">
        <f>'State DisAgg LFx10 (2015)'!D25</f>
        <v>2</v>
      </c>
      <c r="K35" s="196"/>
      <c r="L35" s="196"/>
      <c r="M35" s="197"/>
      <c r="N35" s="195"/>
      <c r="O35" s="196">
        <f>'State DisAgg LFx10 (2015)'!H35</f>
        <v>2</v>
      </c>
      <c r="P35" s="196"/>
      <c r="Q35" s="197"/>
      <c r="R35" s="195"/>
      <c r="S35" s="196"/>
      <c r="T35" s="196"/>
      <c r="U35" s="197">
        <f>'State DisAgg LFx10 (2015)'!L35</f>
        <v>2.7</v>
      </c>
      <c r="V35" s="195"/>
      <c r="W35" s="196"/>
      <c r="X35" s="196"/>
      <c r="Y35" s="197">
        <f>'State DisAgg LFx10 (2015)'!P35</f>
        <v>2.8</v>
      </c>
      <c r="Z35" s="195"/>
      <c r="AA35" s="196"/>
      <c r="AB35" s="196"/>
      <c r="AC35" s="197">
        <f>'State DisAgg LFx10 (2015)'!T35</f>
        <v>0</v>
      </c>
      <c r="AD35" s="195"/>
      <c r="AE35" s="197"/>
      <c r="AH35" s="354">
        <f t="shared" si="7"/>
        <v>9.9999999999999645E-2</v>
      </c>
      <c r="AI35" s="354">
        <f>U35-O35</f>
        <v>0.70000000000000018</v>
      </c>
      <c r="AJ35" s="354">
        <f t="shared" si="5"/>
        <v>0</v>
      </c>
      <c r="AK35" s="356">
        <f t="shared" si="8"/>
        <v>0.16666666666666652</v>
      </c>
      <c r="AL35" s="356">
        <f t="shared" si="9"/>
        <v>0.19999999999999996</v>
      </c>
      <c r="AP35" s="406">
        <v>-0.2</v>
      </c>
      <c r="AQ35" s="408">
        <v>-156</v>
      </c>
      <c r="AR35" s="394">
        <f>-($AP$32/AP35*AQ35)</f>
        <v>-858</v>
      </c>
      <c r="AS35" s="395">
        <v>8</v>
      </c>
      <c r="AU35" s="392">
        <v>0.9</v>
      </c>
      <c r="AV35" s="392">
        <v>238</v>
      </c>
      <c r="AW35" s="378">
        <f t="shared" si="6"/>
        <v>343.77777777777777</v>
      </c>
      <c r="AX35" s="351">
        <v>7</v>
      </c>
    </row>
    <row r="36" spans="1:50" ht="12.95" customHeight="1" thickBot="1">
      <c r="A36" s="885"/>
      <c r="B36" s="885"/>
      <c r="C36" s="9" t="s">
        <v>299</v>
      </c>
      <c r="D36" s="241" t="s">
        <v>632</v>
      </c>
      <c r="E36" s="241" t="s">
        <v>632</v>
      </c>
      <c r="F36" s="243" t="s">
        <v>646</v>
      </c>
      <c r="G36" s="241" t="s">
        <v>646</v>
      </c>
      <c r="H36" s="241" t="s">
        <v>646</v>
      </c>
      <c r="I36" s="244" t="s">
        <v>646</v>
      </c>
      <c r="J36" s="195">
        <f>'State DisAgg LFx10 (2015)'!D26</f>
        <v>2</v>
      </c>
      <c r="K36" s="196"/>
      <c r="L36" s="196"/>
      <c r="M36" s="197"/>
      <c r="N36" s="195"/>
      <c r="O36" s="196">
        <f>'State DisAgg LFx10 (2015)'!H36</f>
        <v>2</v>
      </c>
      <c r="P36" s="196"/>
      <c r="Q36" s="197"/>
      <c r="R36" s="195"/>
      <c r="S36" s="196"/>
      <c r="T36" s="196"/>
      <c r="U36" s="197">
        <f>'State DisAgg LFx10 (2015)'!L36</f>
        <v>2.7</v>
      </c>
      <c r="V36" s="195"/>
      <c r="W36" s="196"/>
      <c r="X36" s="196"/>
      <c r="Y36" s="197">
        <f>'State DisAgg LFx10 (2015)'!P36</f>
        <v>2.8</v>
      </c>
      <c r="Z36" s="195"/>
      <c r="AA36" s="196"/>
      <c r="AB36" s="196"/>
      <c r="AC36" s="197">
        <f>'State DisAgg LFx10 (2015)'!T36</f>
        <v>0</v>
      </c>
      <c r="AD36" s="195"/>
      <c r="AE36" s="197"/>
      <c r="AH36" s="354">
        <f t="shared" si="7"/>
        <v>9.9999999999999645E-2</v>
      </c>
      <c r="AI36" s="354">
        <f>U36-O36</f>
        <v>0.70000000000000018</v>
      </c>
      <c r="AJ36" s="354">
        <f t="shared" si="5"/>
        <v>0</v>
      </c>
      <c r="AK36" s="356">
        <f t="shared" si="8"/>
        <v>0.29999999999999982</v>
      </c>
      <c r="AL36" s="356">
        <f t="shared" si="9"/>
        <v>0.39999999999999991</v>
      </c>
      <c r="AP36" s="392">
        <v>0.5</v>
      </c>
      <c r="AQ36" s="404">
        <v>336</v>
      </c>
      <c r="AR36" s="378">
        <f>$AP$32/AP36*AQ36</f>
        <v>739.2</v>
      </c>
      <c r="AS36" s="351">
        <v>7</v>
      </c>
      <c r="AU36" s="406">
        <v>0.5</v>
      </c>
      <c r="AV36" s="406">
        <v>150</v>
      </c>
      <c r="AW36" s="378">
        <f t="shared" si="6"/>
        <v>390</v>
      </c>
      <c r="AX36" s="351">
        <v>4</v>
      </c>
    </row>
    <row r="37" spans="1:50" ht="13.5" thickBot="1">
      <c r="A37" s="885"/>
      <c r="B37" s="885"/>
      <c r="C37" s="9" t="s">
        <v>300</v>
      </c>
      <c r="D37" s="199"/>
      <c r="E37" s="200"/>
      <c r="F37" s="201"/>
      <c r="G37" s="199"/>
      <c r="H37" s="199"/>
      <c r="I37" s="200"/>
      <c r="J37" s="201"/>
      <c r="K37" s="199"/>
      <c r="L37" s="199"/>
      <c r="M37" s="200"/>
      <c r="N37" s="198"/>
      <c r="O37" s="217" t="s">
        <v>634</v>
      </c>
      <c r="P37" s="241" t="s">
        <v>632</v>
      </c>
      <c r="Q37" s="244" t="s">
        <v>646</v>
      </c>
      <c r="R37" s="195">
        <f>'State DisAgg LFx10 (2015)'!H27</f>
        <v>1.8</v>
      </c>
      <c r="S37" s="196"/>
      <c r="T37" s="196"/>
      <c r="U37" s="197">
        <f>'State DisAgg LFx10 (2015)'!L37</f>
        <v>1.8</v>
      </c>
      <c r="V37" s="195"/>
      <c r="W37" s="196"/>
      <c r="X37" s="196"/>
      <c r="Y37" s="197">
        <f>'State DisAgg LFx10 (2015)'!P37</f>
        <v>2.2000000000000002</v>
      </c>
      <c r="Z37" s="195"/>
      <c r="AA37" s="196"/>
      <c r="AB37" s="196"/>
      <c r="AC37" s="197">
        <f>'State DisAgg LFx10 (2015)'!T37</f>
        <v>0</v>
      </c>
      <c r="AD37" s="195"/>
      <c r="AE37" s="197"/>
      <c r="AH37" s="354">
        <f t="shared" si="7"/>
        <v>0.40000000000000013</v>
      </c>
      <c r="AI37" s="354">
        <f>U37-R37</f>
        <v>0</v>
      </c>
      <c r="AJ37" s="354" t="e">
        <f t="shared" si="5"/>
        <v>#VALUE!</v>
      </c>
      <c r="AK37" s="356">
        <f t="shared" si="8"/>
        <v>0.31666666666666671</v>
      </c>
      <c r="AL37" s="356">
        <f t="shared" si="9"/>
        <v>0.27499999999999997</v>
      </c>
      <c r="AP37" s="392">
        <v>0.7</v>
      </c>
      <c r="AQ37" s="404">
        <v>740</v>
      </c>
      <c r="AR37" s="378">
        <f>$AP$32/AP37*AQ37</f>
        <v>1162.8571428571429</v>
      </c>
      <c r="AS37" s="351">
        <v>2</v>
      </c>
      <c r="AU37" s="405">
        <v>1.3</v>
      </c>
      <c r="AV37" s="405">
        <v>793</v>
      </c>
      <c r="AW37" s="396">
        <f t="shared" si="6"/>
        <v>793</v>
      </c>
      <c r="AX37" s="393">
        <v>1</v>
      </c>
    </row>
    <row r="38" spans="1:50" ht="13.5" thickBot="1">
      <c r="A38" s="885"/>
      <c r="B38" s="885"/>
      <c r="C38" s="9" t="s">
        <v>301</v>
      </c>
      <c r="D38" s="199"/>
      <c r="E38" s="200"/>
      <c r="F38" s="201"/>
      <c r="G38" s="199"/>
      <c r="H38" s="199"/>
      <c r="I38" s="200"/>
      <c r="J38" s="201"/>
      <c r="K38" s="199"/>
      <c r="L38" s="199"/>
      <c r="M38" s="200"/>
      <c r="N38" s="198"/>
      <c r="O38" s="217" t="s">
        <v>634</v>
      </c>
      <c r="P38" s="241" t="s">
        <v>632</v>
      </c>
      <c r="Q38" s="244" t="s">
        <v>646</v>
      </c>
      <c r="R38" s="195">
        <f>'State DisAgg LFx10 (2015)'!H28</f>
        <v>3.1</v>
      </c>
      <c r="S38" s="196"/>
      <c r="T38" s="196"/>
      <c r="U38" s="197">
        <f>'State DisAgg LFx10 (2015)'!L38</f>
        <v>3.1</v>
      </c>
      <c r="V38" s="195"/>
      <c r="W38" s="196"/>
      <c r="X38" s="196"/>
      <c r="Y38" s="197">
        <f>'State DisAgg LFx10 (2015)'!P38</f>
        <v>2.1</v>
      </c>
      <c r="Z38" s="195"/>
      <c r="AA38" s="196"/>
      <c r="AB38" s="196"/>
      <c r="AC38" s="197">
        <f>'State DisAgg LFx10 (2015)'!T38</f>
        <v>0</v>
      </c>
      <c r="AD38" s="195"/>
      <c r="AE38" s="197"/>
      <c r="AH38" s="354">
        <f t="shared" si="7"/>
        <v>-1</v>
      </c>
      <c r="AI38" s="354">
        <f t="shared" ref="AI38:AI39" si="10">U38-R38</f>
        <v>0</v>
      </c>
      <c r="AJ38" s="354" t="e">
        <f t="shared" si="5"/>
        <v>#VALUE!</v>
      </c>
      <c r="AK38" s="356">
        <f t="shared" si="8"/>
        <v>-0.39999999999999997</v>
      </c>
      <c r="AL38" s="356">
        <f t="shared" si="9"/>
        <v>-9.9999999999999922E-2</v>
      </c>
      <c r="AP38" s="405">
        <v>1.1000000000000001</v>
      </c>
      <c r="AQ38" s="407">
        <v>1423</v>
      </c>
      <c r="AR38" s="396">
        <f>$AP$32/AP38*AQ38</f>
        <v>1423</v>
      </c>
      <c r="AS38" s="393">
        <v>1</v>
      </c>
      <c r="AU38" s="392">
        <v>0.7</v>
      </c>
      <c r="AV38" s="392">
        <v>413</v>
      </c>
      <c r="AW38" s="378">
        <f t="shared" si="6"/>
        <v>767.00000000000011</v>
      </c>
      <c r="AX38" s="351">
        <v>2</v>
      </c>
    </row>
    <row r="39" spans="1:50" ht="13.5" thickBot="1">
      <c r="A39" s="885"/>
      <c r="B39" s="885"/>
      <c r="C39" s="9" t="s">
        <v>302</v>
      </c>
      <c r="D39" s="199"/>
      <c r="E39" s="200"/>
      <c r="F39" s="201"/>
      <c r="G39" s="199"/>
      <c r="H39" s="199"/>
      <c r="I39" s="200"/>
      <c r="J39" s="201"/>
      <c r="K39" s="199"/>
      <c r="L39" s="199"/>
      <c r="M39" s="200"/>
      <c r="N39" s="198"/>
      <c r="O39" s="217" t="s">
        <v>634</v>
      </c>
      <c r="P39" s="241" t="s">
        <v>632</v>
      </c>
      <c r="Q39" s="244" t="s">
        <v>646</v>
      </c>
      <c r="R39" s="195">
        <f>'State DisAgg LFx10 (2015)'!H29</f>
        <v>2.1</v>
      </c>
      <c r="S39" s="196"/>
      <c r="T39" s="196"/>
      <c r="U39" s="197">
        <f>'State DisAgg LFx10 (2015)'!L39</f>
        <v>2.1</v>
      </c>
      <c r="V39" s="195"/>
      <c r="W39" s="196"/>
      <c r="X39" s="196"/>
      <c r="Y39" s="197">
        <f>'State DisAgg LFx10 (2015)'!P39</f>
        <v>3</v>
      </c>
      <c r="Z39" s="195"/>
      <c r="AA39" s="196"/>
      <c r="AB39" s="196"/>
      <c r="AC39" s="197">
        <f>'State DisAgg LFx10 (2015)'!T39</f>
        <v>0</v>
      </c>
      <c r="AD39" s="195"/>
      <c r="AE39" s="197"/>
      <c r="AH39" s="354">
        <f t="shared" si="7"/>
        <v>0.89999999999999991</v>
      </c>
      <c r="AI39" s="354">
        <f t="shared" si="10"/>
        <v>0</v>
      </c>
      <c r="AJ39" s="354" t="e">
        <f t="shared" si="5"/>
        <v>#VALUE!</v>
      </c>
      <c r="AK39" s="356">
        <f t="shared" si="8"/>
        <v>0.68333333333333324</v>
      </c>
      <c r="AL39" s="356">
        <f t="shared" si="9"/>
        <v>0.57499999999999996</v>
      </c>
      <c r="AP39" s="392">
        <v>0.3</v>
      </c>
      <c r="AQ39" s="404">
        <v>286</v>
      </c>
      <c r="AR39" s="378">
        <f>$AP$32/AP39*AQ39</f>
        <v>1048.6666666666667</v>
      </c>
      <c r="AS39" s="351">
        <v>3</v>
      </c>
      <c r="AU39" s="392">
        <v>0.7</v>
      </c>
      <c r="AV39" s="392">
        <v>321</v>
      </c>
      <c r="AW39" s="378">
        <f t="shared" si="6"/>
        <v>596.14285714285722</v>
      </c>
      <c r="AX39" s="351">
        <v>3</v>
      </c>
    </row>
    <row r="40" spans="1:50" ht="13.5" thickBot="1">
      <c r="A40" s="885"/>
      <c r="B40" s="885"/>
      <c r="C40" s="9" t="s">
        <v>303</v>
      </c>
      <c r="D40" s="202"/>
      <c r="E40" s="203"/>
      <c r="F40" s="201"/>
      <c r="G40" s="202"/>
      <c r="H40" s="202"/>
      <c r="I40" s="203"/>
      <c r="J40" s="201"/>
      <c r="K40" s="202"/>
      <c r="L40" s="202"/>
      <c r="M40" s="203"/>
      <c r="N40" s="204"/>
      <c r="O40" s="214"/>
      <c r="P40" s="205"/>
      <c r="Q40" s="205"/>
      <c r="R40" s="201"/>
      <c r="S40" s="202"/>
      <c r="T40" s="202"/>
      <c r="U40" s="203"/>
      <c r="V40" s="242"/>
      <c r="W40" s="217" t="s">
        <v>633</v>
      </c>
      <c r="X40" s="241" t="s">
        <v>632</v>
      </c>
      <c r="Y40" s="197">
        <f>'State DisAgg LFx10 (2015)'!P30</f>
        <v>2.6</v>
      </c>
      <c r="Z40" s="195"/>
      <c r="AA40" s="196"/>
      <c r="AB40" s="196"/>
      <c r="AC40" s="197">
        <f>'State DisAgg LFx10 (2015)'!T40</f>
        <v>0</v>
      </c>
      <c r="AD40" s="195"/>
      <c r="AE40" s="197"/>
      <c r="AH40" s="354">
        <f t="shared" si="7"/>
        <v>2.6</v>
      </c>
      <c r="AI40" s="354">
        <f>U40-O40</f>
        <v>0</v>
      </c>
      <c r="AJ40" s="354">
        <f t="shared" si="5"/>
        <v>0</v>
      </c>
      <c r="AK40" s="414">
        <f>SUM(AK32:AK39)/8</f>
        <v>0.32916666666666666</v>
      </c>
    </row>
    <row r="41" spans="1:50" ht="13.5" thickBot="1">
      <c r="A41" s="885"/>
      <c r="B41" s="885"/>
      <c r="C41" s="9" t="s">
        <v>304</v>
      </c>
      <c r="D41" s="202"/>
      <c r="E41" s="203"/>
      <c r="F41" s="201"/>
      <c r="G41" s="202"/>
      <c r="H41" s="202"/>
      <c r="I41" s="203"/>
      <c r="J41" s="201"/>
      <c r="K41" s="202"/>
      <c r="L41" s="202"/>
      <c r="M41" s="203"/>
      <c r="N41" s="204"/>
      <c r="O41" s="205"/>
      <c r="P41" s="205"/>
      <c r="Q41" s="205"/>
      <c r="R41" s="201"/>
      <c r="S41" s="202"/>
      <c r="T41" s="202"/>
      <c r="U41" s="203"/>
      <c r="V41" s="242"/>
      <c r="W41" s="217" t="s">
        <v>633</v>
      </c>
      <c r="X41" s="241" t="s">
        <v>632</v>
      </c>
      <c r="Y41" s="197">
        <f>'State DisAgg LFx10 (2015)'!P31</f>
        <v>2.6</v>
      </c>
      <c r="Z41" s="195"/>
      <c r="AA41" s="196"/>
      <c r="AB41" s="196"/>
      <c r="AC41" s="197">
        <f>'State DisAgg LFx10 (2015)'!T41</f>
        <v>0</v>
      </c>
      <c r="AD41" s="195"/>
      <c r="AE41" s="197"/>
      <c r="AH41" s="354">
        <f t="shared" si="7"/>
        <v>2.6</v>
      </c>
      <c r="AI41" s="354">
        <f>U41-O41</f>
        <v>0</v>
      </c>
      <c r="AJ41" s="354">
        <f t="shared" si="5"/>
        <v>0</v>
      </c>
    </row>
    <row r="42" spans="1:50" ht="12.95" hidden="1" customHeight="1" thickBot="1">
      <c r="A42" s="885"/>
      <c r="B42" s="273"/>
      <c r="C42" s="231"/>
      <c r="D42" s="232"/>
      <c r="E42" s="233"/>
      <c r="F42" s="234"/>
      <c r="G42" s="232"/>
      <c r="H42" s="232"/>
      <c r="I42" s="233"/>
      <c r="J42" s="234"/>
      <c r="K42" s="232"/>
      <c r="L42" s="232"/>
      <c r="M42" s="233"/>
      <c r="N42" s="234"/>
      <c r="O42" s="232"/>
      <c r="P42" s="232"/>
      <c r="Q42" s="233"/>
      <c r="R42" s="234"/>
      <c r="S42" s="232"/>
      <c r="T42" s="232"/>
      <c r="U42" s="233"/>
      <c r="V42" s="234"/>
      <c r="W42" s="232"/>
      <c r="X42" s="232"/>
      <c r="Y42" s="233"/>
      <c r="Z42" s="234"/>
      <c r="AA42" s="232"/>
      <c r="AB42" s="232"/>
      <c r="AC42" s="233"/>
      <c r="AD42" s="234"/>
      <c r="AE42" s="233"/>
      <c r="AH42" s="353">
        <v>18</v>
      </c>
      <c r="AI42" s="353">
        <v>18</v>
      </c>
      <c r="AJ42" s="353">
        <v>18</v>
      </c>
      <c r="AP42" s="403"/>
      <c r="AQ42" s="403"/>
    </row>
    <row r="43" spans="1:50" ht="12.95" hidden="1" customHeight="1" thickBot="1">
      <c r="A43" s="885"/>
      <c r="B43" s="273"/>
      <c r="C43" s="231"/>
      <c r="D43" s="232"/>
      <c r="E43" s="233"/>
      <c r="F43" s="234"/>
      <c r="G43" s="232"/>
      <c r="H43" s="232"/>
      <c r="I43" s="233"/>
      <c r="J43" s="234"/>
      <c r="K43" s="232"/>
      <c r="L43" s="232"/>
      <c r="M43" s="233"/>
      <c r="N43" s="234"/>
      <c r="O43" s="232"/>
      <c r="P43" s="232"/>
      <c r="Q43" s="233"/>
      <c r="R43" s="234"/>
      <c r="S43" s="232"/>
      <c r="T43" s="232"/>
      <c r="U43" s="233"/>
      <c r="V43" s="234"/>
      <c r="W43" s="232"/>
      <c r="X43" s="232"/>
      <c r="Y43" s="233"/>
      <c r="Z43" s="234"/>
      <c r="AA43" s="232"/>
      <c r="AB43" s="232"/>
      <c r="AC43" s="233"/>
      <c r="AD43" s="234"/>
      <c r="AE43" s="233"/>
      <c r="AH43" s="353">
        <v>16</v>
      </c>
      <c r="AI43" s="353">
        <v>16</v>
      </c>
      <c r="AJ43" s="353">
        <v>16</v>
      </c>
      <c r="AP43" s="403"/>
      <c r="AQ43" s="403"/>
    </row>
    <row r="44" spans="1:50" ht="12.95" customHeight="1" thickBot="1">
      <c r="A44" s="885"/>
      <c r="B44" s="3" t="s">
        <v>25</v>
      </c>
      <c r="C44" s="12"/>
      <c r="D44" s="1377">
        <v>2008</v>
      </c>
      <c r="E44" s="1378"/>
      <c r="F44" s="1372">
        <v>2009</v>
      </c>
      <c r="G44" s="1373"/>
      <c r="H44" s="1373"/>
      <c r="I44" s="1374"/>
      <c r="J44" s="1372">
        <v>2010</v>
      </c>
      <c r="K44" s="1373"/>
      <c r="L44" s="1373"/>
      <c r="M44" s="1374"/>
      <c r="N44" s="1372">
        <v>2011</v>
      </c>
      <c r="O44" s="1373"/>
      <c r="P44" s="1373"/>
      <c r="Q44" s="1374"/>
      <c r="R44" s="1372">
        <v>2012</v>
      </c>
      <c r="S44" s="1373"/>
      <c r="T44" s="1373"/>
      <c r="U44" s="1374"/>
      <c r="V44" s="1372">
        <v>2013</v>
      </c>
      <c r="W44" s="1373"/>
      <c r="X44" s="1373"/>
      <c r="Y44" s="1374"/>
      <c r="Z44" s="1372">
        <v>2014</v>
      </c>
      <c r="AA44" s="1373"/>
      <c r="AB44" s="1373"/>
      <c r="AC44" s="1374"/>
      <c r="AD44" s="1372">
        <v>2015</v>
      </c>
      <c r="AE44" s="1374"/>
      <c r="AG44" s="257" t="s">
        <v>663</v>
      </c>
      <c r="AQ44" s="403" t="s">
        <v>755</v>
      </c>
      <c r="AR44" s="351" t="s">
        <v>754</v>
      </c>
      <c r="AS44" s="351" t="s">
        <v>752</v>
      </c>
      <c r="AV44" s="409" t="s">
        <v>745</v>
      </c>
      <c r="AW44" s="351" t="s">
        <v>754</v>
      </c>
      <c r="AX44" s="351" t="s">
        <v>752</v>
      </c>
    </row>
    <row r="45" spans="1:50" ht="13.5" thickBot="1">
      <c r="A45" s="885"/>
      <c r="B45" s="868" t="s">
        <v>49</v>
      </c>
      <c r="C45" s="194" t="s">
        <v>802</v>
      </c>
      <c r="D45" s="206"/>
      <c r="E45" s="207"/>
      <c r="F45" s="209"/>
      <c r="G45" s="206"/>
      <c r="H45" s="206"/>
      <c r="I45" s="207"/>
      <c r="J45" s="332" t="s">
        <v>719</v>
      </c>
      <c r="K45" s="206"/>
      <c r="L45" s="206"/>
      <c r="M45" s="207"/>
      <c r="N45" s="277"/>
      <c r="O45" s="278">
        <f>(O55-J55)/5/$C$659/Spend!O45*'State Efficiency Ratios'!$C$654</f>
        <v>59.115405166551533</v>
      </c>
      <c r="P45" s="278"/>
      <c r="Q45" s="279"/>
      <c r="R45" s="277"/>
      <c r="S45" s="278"/>
      <c r="T45" s="278"/>
      <c r="U45" s="278">
        <f>(U55-O55)/6/$C$659/Spend!U45*'State Efficiency Ratios'!$C$654</f>
        <v>71.063255514594601</v>
      </c>
      <c r="V45" s="277"/>
      <c r="W45" s="278"/>
      <c r="X45" s="278"/>
      <c r="Y45" s="278">
        <f>(Y55-U55)/4/$C$659/Spend!Y45*'State Efficiency Ratios'!$C$654</f>
        <v>-74.494103455158282</v>
      </c>
      <c r="Z45" s="277"/>
      <c r="AA45" s="278"/>
      <c r="AB45" s="278"/>
      <c r="AC45" s="278">
        <f>(AC55-Y55)/4/$C$659/Spend!AC45*'State Efficiency Ratios'!$C$654</f>
        <v>-599.16695446861615</v>
      </c>
      <c r="AD45" s="277"/>
      <c r="AE45" s="280"/>
      <c r="AG45" s="295"/>
      <c r="AH45" s="351">
        <f>SUM(AH32:AH39)/8</f>
        <v>0.24999999999999994</v>
      </c>
      <c r="AI45" s="356">
        <f>4/6*SUM(AI32:AI36)/5</f>
        <v>0.22666666666666666</v>
      </c>
      <c r="AJ45" s="351">
        <f>4/5*SUM(AJ32:AJ36)/5</f>
        <v>0.31999999999999995</v>
      </c>
      <c r="AP45" s="392">
        <v>0.8</v>
      </c>
      <c r="AQ45" s="404">
        <v>828</v>
      </c>
      <c r="AR45" s="378">
        <f t="shared" ref="AR45:AR52" si="11">$AP$46/AP45*AQ45</f>
        <v>1241.9999999999998</v>
      </c>
      <c r="AS45" s="409">
        <v>4</v>
      </c>
      <c r="AT45" s="403"/>
      <c r="AU45" s="392">
        <v>0.7</v>
      </c>
      <c r="AV45" s="392">
        <v>169</v>
      </c>
      <c r="AW45" s="378">
        <f t="shared" ref="AW45:AW52" si="12">$AU$46/AU45*AV45</f>
        <v>265.57142857142861</v>
      </c>
      <c r="AX45" s="409">
        <v>7</v>
      </c>
    </row>
    <row r="46" spans="1:50" ht="24.75" thickBot="1">
      <c r="A46" s="885"/>
      <c r="B46" s="885"/>
      <c r="C46" s="194" t="s">
        <v>803</v>
      </c>
      <c r="D46" s="206"/>
      <c r="E46" s="207"/>
      <c r="F46" s="209"/>
      <c r="G46" s="206"/>
      <c r="H46" s="206"/>
      <c r="I46" s="207"/>
      <c r="J46" s="209"/>
      <c r="K46" s="206"/>
      <c r="L46" s="206"/>
      <c r="M46" s="207"/>
      <c r="N46" s="277"/>
      <c r="O46" s="278">
        <f>(O56-J56)/5/$C$659/Spend!O46*'State Efficiency Ratios'!$C$654</f>
        <v>31.880930954269353</v>
      </c>
      <c r="P46" s="278"/>
      <c r="Q46" s="279"/>
      <c r="R46" s="277"/>
      <c r="S46" s="278"/>
      <c r="T46" s="278"/>
      <c r="U46" s="278">
        <f>(U56-O56)/6/$C$659/Spend!U46*'State Efficiency Ratios'!$C$654</f>
        <v>62.574077894429514</v>
      </c>
      <c r="V46" s="277"/>
      <c r="W46" s="278"/>
      <c r="X46" s="278"/>
      <c r="Y46" s="278">
        <f>(Y56-U56)/4/$C$659/Spend!Y46*'State Efficiency Ratios'!$C$654</f>
        <v>387.87455489586648</v>
      </c>
      <c r="Z46" s="277"/>
      <c r="AA46" s="278"/>
      <c r="AB46" s="278"/>
      <c r="AC46" s="278">
        <f>(AC56-Y56)/4/$C$659/Spend!AC46*'State Efficiency Ratios'!$C$654</f>
        <v>-1027.1312774750793</v>
      </c>
      <c r="AD46" s="277"/>
      <c r="AE46" s="280"/>
      <c r="AG46" s="295"/>
      <c r="AH46" s="378">
        <f>SUM(Y22:Y29)/8</f>
        <v>52.969069128634629</v>
      </c>
      <c r="AI46" s="378">
        <f>SUM(U22:U26)/5</f>
        <v>32.176200758122164</v>
      </c>
      <c r="AJ46" s="378">
        <f>SUM(O22:O26)/5</f>
        <v>23.97420422165154</v>
      </c>
      <c r="AP46" s="392">
        <v>1.2</v>
      </c>
      <c r="AQ46" s="404">
        <v>470</v>
      </c>
      <c r="AR46" s="378">
        <f t="shared" si="11"/>
        <v>470</v>
      </c>
      <c r="AS46" s="409">
        <v>7</v>
      </c>
      <c r="AT46" s="403"/>
      <c r="AU46" s="392">
        <v>1.1000000000000001</v>
      </c>
      <c r="AV46" s="392">
        <v>294</v>
      </c>
      <c r="AW46" s="378">
        <f t="shared" si="12"/>
        <v>294</v>
      </c>
      <c r="AX46" s="409">
        <v>4</v>
      </c>
    </row>
    <row r="47" spans="1:50" ht="24.75" thickBot="1">
      <c r="A47" s="885"/>
      <c r="B47" s="885"/>
      <c r="C47" s="194" t="s">
        <v>804</v>
      </c>
      <c r="D47" s="206"/>
      <c r="E47" s="207"/>
      <c r="F47" s="209"/>
      <c r="G47" s="206"/>
      <c r="H47" s="206"/>
      <c r="I47" s="207"/>
      <c r="J47" s="209"/>
      <c r="K47" s="206"/>
      <c r="L47" s="206"/>
      <c r="M47" s="207"/>
      <c r="N47" s="277"/>
      <c r="O47" s="278">
        <f>(O57-J57)/5/$C$659/Spend!O47*'State Efficiency Ratios'!$C$654</f>
        <v>0</v>
      </c>
      <c r="P47" s="278"/>
      <c r="Q47" s="279"/>
      <c r="R47" s="277"/>
      <c r="S47" s="278"/>
      <c r="T47" s="278"/>
      <c r="U47" s="278">
        <f>(U57-O57)/6/$C$659/Spend!U47*'State Efficiency Ratios'!$C$654</f>
        <v>118.02691089489188</v>
      </c>
      <c r="V47" s="277"/>
      <c r="W47" s="278"/>
      <c r="X47" s="278"/>
      <c r="Y47" s="278">
        <f>(Y57-U57)/4/$C$659/Spend!Y47*'State Efficiency Ratios'!$C$654</f>
        <v>71.55144394918905</v>
      </c>
      <c r="Z47" s="277"/>
      <c r="AA47" s="278"/>
      <c r="AB47" s="278"/>
      <c r="AC47" s="278">
        <f>(AC57-Y57)/4/$C$659/Spend!AC47*'State Efficiency Ratios'!$C$654</f>
        <v>-707.73577967426297</v>
      </c>
      <c r="AD47" s="277"/>
      <c r="AE47" s="280"/>
      <c r="AG47" s="295"/>
      <c r="AP47" s="392">
        <v>0.2</v>
      </c>
      <c r="AQ47" s="404">
        <v>145</v>
      </c>
      <c r="AR47" s="378">
        <f t="shared" si="11"/>
        <v>869.99999999999989</v>
      </c>
      <c r="AS47" s="409">
        <v>6</v>
      </c>
      <c r="AT47" s="403"/>
      <c r="AU47" s="392">
        <v>0.2</v>
      </c>
      <c r="AV47" s="392">
        <v>46</v>
      </c>
      <c r="AW47" s="378">
        <f t="shared" si="12"/>
        <v>253</v>
      </c>
      <c r="AX47" s="409">
        <v>8</v>
      </c>
    </row>
    <row r="48" spans="1:50" ht="13.5" thickBot="1">
      <c r="A48" s="885"/>
      <c r="B48" s="885"/>
      <c r="C48" s="194" t="s">
        <v>805</v>
      </c>
      <c r="D48" s="206"/>
      <c r="E48" s="207"/>
      <c r="F48" s="209"/>
      <c r="G48" s="206"/>
      <c r="H48" s="206"/>
      <c r="I48" s="207"/>
      <c r="J48" s="209"/>
      <c r="K48" s="206"/>
      <c r="L48" s="206"/>
      <c r="M48" s="207"/>
      <c r="N48" s="277"/>
      <c r="O48" s="278">
        <f>(O58-J58)/5/$C$659/Spend!O48*'State Efficiency Ratios'!$C$654</f>
        <v>61.802844328457752</v>
      </c>
      <c r="P48" s="278"/>
      <c r="Q48" s="279"/>
      <c r="R48" s="277"/>
      <c r="S48" s="278"/>
      <c r="T48" s="278"/>
      <c r="U48" s="278">
        <f>(U58-O58)/6/$C$659/Spend!U48*'State Efficiency Ratios'!$C$654</f>
        <v>31.725990918749183</v>
      </c>
      <c r="V48" s="277"/>
      <c r="W48" s="278"/>
      <c r="X48" s="278"/>
      <c r="Y48" s="278">
        <f>(Y58-U58)/4/$C$659/Spend!Y48*'State Efficiency Ratios'!$C$654</f>
        <v>0</v>
      </c>
      <c r="Z48" s="277"/>
      <c r="AA48" s="278"/>
      <c r="AB48" s="278"/>
      <c r="AC48" s="278">
        <f>(AC58-Y58)/4/$C$659/Spend!AC48*'State Efficiency Ratios'!$C$654</f>
        <v>-597.86533470098902</v>
      </c>
      <c r="AD48" s="277"/>
      <c r="AE48" s="280"/>
      <c r="AG48" s="295"/>
      <c r="AP48" s="392">
        <v>0.01</v>
      </c>
      <c r="AQ48" s="404">
        <v>-156</v>
      </c>
      <c r="AR48" s="378">
        <f t="shared" si="11"/>
        <v>-18720</v>
      </c>
      <c r="AS48" s="409">
        <v>8</v>
      </c>
      <c r="AT48" s="403"/>
      <c r="AU48" s="392">
        <v>0.4</v>
      </c>
      <c r="AV48" s="392">
        <v>104</v>
      </c>
      <c r="AW48" s="378">
        <f t="shared" si="12"/>
        <v>286</v>
      </c>
      <c r="AX48" s="409">
        <v>5</v>
      </c>
    </row>
    <row r="49" spans="1:50" ht="13.5" thickBot="1">
      <c r="A49" s="885"/>
      <c r="B49" s="885"/>
      <c r="C49" s="194" t="s">
        <v>806</v>
      </c>
      <c r="D49" s="206"/>
      <c r="E49" s="207"/>
      <c r="F49" s="209"/>
      <c r="G49" s="206"/>
      <c r="H49" s="206"/>
      <c r="I49" s="207"/>
      <c r="J49" s="209"/>
      <c r="K49" s="206"/>
      <c r="L49" s="206"/>
      <c r="M49" s="207"/>
      <c r="N49" s="277"/>
      <c r="O49" s="278">
        <f>(O59-J59)/5/$C$659/Spend!O49*'State Efficiency Ratios'!$C$654</f>
        <v>27.688218312560871</v>
      </c>
      <c r="P49" s="278"/>
      <c r="Q49" s="279"/>
      <c r="R49" s="277"/>
      <c r="S49" s="278"/>
      <c r="T49" s="278"/>
      <c r="U49" s="278">
        <f>(U59-O59)/6/$C$659/Spend!U49*'State Efficiency Ratios'!$C$654</f>
        <v>39.995846708015854</v>
      </c>
      <c r="V49" s="277"/>
      <c r="W49" s="278"/>
      <c r="X49" s="278"/>
      <c r="Y49" s="278">
        <f>(Y59-U59)/4/$C$659/Spend!Y49*'State Efficiency Ratios'!$C$654</f>
        <v>111.02184457754711</v>
      </c>
      <c r="Z49" s="277"/>
      <c r="AA49" s="278"/>
      <c r="AB49" s="278"/>
      <c r="AC49" s="278">
        <f>(AC59-Y59)/4/$C$659/Spend!AC49*'State Efficiency Ratios'!$C$654</f>
        <v>-559.87289113547388</v>
      </c>
      <c r="AD49" s="277"/>
      <c r="AE49" s="280"/>
      <c r="AG49" s="295"/>
      <c r="AP49" s="392">
        <v>0.2</v>
      </c>
      <c r="AQ49" s="404">
        <v>336</v>
      </c>
      <c r="AR49" s="378">
        <f t="shared" si="11"/>
        <v>2015.9999999999998</v>
      </c>
      <c r="AS49" s="409">
        <v>2</v>
      </c>
      <c r="AT49" s="403"/>
      <c r="AU49" s="392">
        <v>0.9</v>
      </c>
      <c r="AV49" s="392">
        <v>227</v>
      </c>
      <c r="AW49" s="378">
        <f t="shared" si="12"/>
        <v>277.44444444444446</v>
      </c>
      <c r="AX49" s="409">
        <v>6</v>
      </c>
    </row>
    <row r="50" spans="1:50" ht="12.95" customHeight="1" thickBot="1">
      <c r="A50" s="885"/>
      <c r="B50" s="885"/>
      <c r="C50" s="194" t="s">
        <v>807</v>
      </c>
      <c r="D50" s="210"/>
      <c r="E50" s="211"/>
      <c r="F50" s="209"/>
      <c r="G50" s="210"/>
      <c r="H50" s="210"/>
      <c r="I50" s="211"/>
      <c r="J50" s="209"/>
      <c r="K50" s="210"/>
      <c r="L50" s="210"/>
      <c r="M50" s="211"/>
      <c r="N50" s="281"/>
      <c r="O50" s="282"/>
      <c r="P50" s="282"/>
      <c r="Q50" s="282"/>
      <c r="R50" s="277"/>
      <c r="S50" s="278"/>
      <c r="T50" s="278"/>
      <c r="U50" s="278">
        <f>(U60-R60)/3/$C$659/Spend!U50*'State Efficiency Ratios'!$C$654</f>
        <v>0</v>
      </c>
      <c r="V50" s="277"/>
      <c r="W50" s="278"/>
      <c r="X50" s="278"/>
      <c r="Y50" s="278">
        <f>(Y60-U60)/4/$C$659/Spend!Y50*'State Efficiency Ratios'!$C$654</f>
        <v>69.744949274472759</v>
      </c>
      <c r="Z50" s="277"/>
      <c r="AA50" s="278"/>
      <c r="AB50" s="278"/>
      <c r="AC50" s="278">
        <f>(AC60-Y60)/4/$C$659/Spend!AC50*'State Efficiency Ratios'!$C$654</f>
        <v>-308.84963377984548</v>
      </c>
      <c r="AD50" s="277"/>
      <c r="AE50" s="280"/>
      <c r="AG50" s="295"/>
      <c r="AP50" s="392">
        <v>0.4</v>
      </c>
      <c r="AQ50" s="404">
        <v>740</v>
      </c>
      <c r="AR50" s="378">
        <f t="shared" si="11"/>
        <v>2219.9999999999995</v>
      </c>
      <c r="AS50" s="409">
        <v>1</v>
      </c>
      <c r="AT50" s="403"/>
      <c r="AU50" s="392">
        <v>0.2</v>
      </c>
      <c r="AV50" s="392">
        <v>55</v>
      </c>
      <c r="AW50" s="378">
        <f t="shared" si="12"/>
        <v>302.5</v>
      </c>
      <c r="AX50" s="409">
        <v>3</v>
      </c>
    </row>
    <row r="51" spans="1:50" ht="12.95" customHeight="1" thickBot="1">
      <c r="A51" s="885"/>
      <c r="B51" s="885"/>
      <c r="C51" s="194" t="s">
        <v>808</v>
      </c>
      <c r="D51" s="210"/>
      <c r="E51" s="211"/>
      <c r="F51" s="209"/>
      <c r="G51" s="210"/>
      <c r="H51" s="210"/>
      <c r="I51" s="211"/>
      <c r="J51" s="209"/>
      <c r="K51" s="210"/>
      <c r="L51" s="210"/>
      <c r="M51" s="211"/>
      <c r="N51" s="281"/>
      <c r="O51" s="282"/>
      <c r="P51" s="282"/>
      <c r="Q51" s="282"/>
      <c r="R51" s="277"/>
      <c r="S51" s="278"/>
      <c r="T51" s="278"/>
      <c r="U51" s="278">
        <f>(U61-R61)/3/$C$659/Spend!U51*'State Efficiency Ratios'!$C$654</f>
        <v>0</v>
      </c>
      <c r="V51" s="277"/>
      <c r="W51" s="278"/>
      <c r="X51" s="278"/>
      <c r="Y51" s="278">
        <f>(Y61-U61)/4/$C$659/Spend!Y51*'State Efficiency Ratios'!$C$654</f>
        <v>85.387095067678118</v>
      </c>
      <c r="Z51" s="277"/>
      <c r="AA51" s="278"/>
      <c r="AB51" s="278"/>
      <c r="AC51" s="278">
        <f>(AC61-Y61)/4/$C$659/Spend!AC51*'State Efficiency Ratios'!$C$654</f>
        <v>-382.33223915427726</v>
      </c>
      <c r="AD51" s="277"/>
      <c r="AE51" s="280"/>
      <c r="AG51" s="295"/>
      <c r="AP51" s="392">
        <v>1</v>
      </c>
      <c r="AQ51" s="404">
        <v>1423</v>
      </c>
      <c r="AR51" s="378">
        <f t="shared" si="11"/>
        <v>1707.6</v>
      </c>
      <c r="AS51" s="409">
        <v>3</v>
      </c>
      <c r="AT51" s="403"/>
      <c r="AU51" s="392">
        <v>0.5</v>
      </c>
      <c r="AV51" s="392">
        <v>171</v>
      </c>
      <c r="AW51" s="378">
        <f t="shared" si="12"/>
        <v>376.20000000000005</v>
      </c>
      <c r="AX51" s="409">
        <v>2</v>
      </c>
    </row>
    <row r="52" spans="1:50" ht="12.95" customHeight="1" thickBot="1">
      <c r="A52" s="885"/>
      <c r="B52" s="885"/>
      <c r="C52" s="194" t="s">
        <v>809</v>
      </c>
      <c r="D52" s="210"/>
      <c r="E52" s="211"/>
      <c r="F52" s="209"/>
      <c r="G52" s="210"/>
      <c r="H52" s="210"/>
      <c r="I52" s="211"/>
      <c r="J52" s="209"/>
      <c r="K52" s="210"/>
      <c r="L52" s="210"/>
      <c r="M52" s="211"/>
      <c r="N52" s="281"/>
      <c r="O52" s="282"/>
      <c r="P52" s="282"/>
      <c r="Q52" s="282"/>
      <c r="R52" s="277"/>
      <c r="S52" s="278"/>
      <c r="T52" s="278"/>
      <c r="U52" s="278">
        <f>(U62-R62)/3/$C$659/Spend!U52*'State Efficiency Ratios'!$C$654</f>
        <v>0</v>
      </c>
      <c r="V52" s="277"/>
      <c r="W52" s="278"/>
      <c r="X52" s="278"/>
      <c r="Y52" s="278">
        <f>(Y62-U62)/4/$C$659/Spend!Y52*'State Efficiency Ratios'!$C$654</f>
        <v>661.77469838351828</v>
      </c>
      <c r="Z52" s="277"/>
      <c r="AA52" s="278"/>
      <c r="AB52" s="278"/>
      <c r="AC52" s="278">
        <f>(AC62-Y62)/4/$C$659/Spend!AC52*'State Efficiency Ratios'!$C$654</f>
        <v>-946.43029854046199</v>
      </c>
      <c r="AD52" s="277"/>
      <c r="AE52" s="280"/>
      <c r="AG52" s="295"/>
      <c r="AP52" s="392">
        <v>0.3</v>
      </c>
      <c r="AQ52" s="404">
        <v>286</v>
      </c>
      <c r="AR52" s="378">
        <f t="shared" si="11"/>
        <v>1144</v>
      </c>
      <c r="AS52" s="409">
        <v>5</v>
      </c>
      <c r="AT52" s="403"/>
      <c r="AU52" s="392">
        <v>0.6</v>
      </c>
      <c r="AV52" s="392">
        <v>234</v>
      </c>
      <c r="AW52" s="378">
        <f t="shared" si="12"/>
        <v>429.00000000000006</v>
      </c>
      <c r="AX52" s="409">
        <v>1</v>
      </c>
    </row>
    <row r="53" spans="1:50" ht="12.95" customHeight="1" thickBot="1">
      <c r="A53" s="885"/>
      <c r="B53" s="885"/>
      <c r="C53" s="194" t="s">
        <v>810</v>
      </c>
      <c r="D53" s="210"/>
      <c r="E53" s="211"/>
      <c r="F53" s="209"/>
      <c r="G53" s="210"/>
      <c r="H53" s="210"/>
      <c r="I53" s="211"/>
      <c r="J53" s="209"/>
      <c r="K53" s="210"/>
      <c r="L53" s="210"/>
      <c r="M53" s="211"/>
      <c r="N53" s="281"/>
      <c r="O53" s="282"/>
      <c r="P53" s="282"/>
      <c r="Q53" s="283"/>
      <c r="R53" s="281"/>
      <c r="S53" s="282"/>
      <c r="T53" s="282"/>
      <c r="U53" s="283"/>
      <c r="V53" s="281"/>
      <c r="W53" s="282"/>
      <c r="X53" s="282"/>
      <c r="Y53" s="283"/>
      <c r="Z53" s="277"/>
      <c r="AA53" s="278"/>
      <c r="AB53" s="278"/>
      <c r="AC53" s="278">
        <f>(AC63-Y63)/4/$C$659/Spend!AC53*'State Efficiency Ratios'!$C$654</f>
        <v>0</v>
      </c>
      <c r="AD53" s="277"/>
      <c r="AE53" s="280"/>
      <c r="AG53" s="295"/>
    </row>
    <row r="54" spans="1:50" ht="12.95" customHeight="1" thickBot="1">
      <c r="A54" s="885"/>
      <c r="B54" s="885"/>
      <c r="C54" s="194" t="s">
        <v>811</v>
      </c>
      <c r="D54" s="210"/>
      <c r="E54" s="211"/>
      <c r="F54" s="209"/>
      <c r="G54" s="210"/>
      <c r="H54" s="210"/>
      <c r="I54" s="211"/>
      <c r="J54" s="209"/>
      <c r="K54" s="210"/>
      <c r="L54" s="210"/>
      <c r="M54" s="211"/>
      <c r="N54" s="281"/>
      <c r="O54" s="282"/>
      <c r="P54" s="282"/>
      <c r="Q54" s="283"/>
      <c r="R54" s="281"/>
      <c r="S54" s="282"/>
      <c r="T54" s="282"/>
      <c r="U54" s="283"/>
      <c r="V54" s="281"/>
      <c r="W54" s="282"/>
      <c r="X54" s="282"/>
      <c r="Y54" s="283"/>
      <c r="Z54" s="277"/>
      <c r="AA54" s="278"/>
      <c r="AB54" s="278"/>
      <c r="AC54" s="278">
        <f>(AC64-Y64)/4/$C$659/Spend!AC54*'State Efficiency Ratios'!$C$654</f>
        <v>-343.70296204181045</v>
      </c>
      <c r="AD54" s="277"/>
      <c r="AE54" s="280"/>
      <c r="AG54" s="295"/>
    </row>
    <row r="55" spans="1:50" ht="12.95" customHeight="1" thickBot="1">
      <c r="A55" s="885"/>
      <c r="B55" s="885"/>
      <c r="C55" s="9" t="s">
        <v>295</v>
      </c>
      <c r="D55" s="241" t="s">
        <v>632</v>
      </c>
      <c r="E55" s="241" t="s">
        <v>632</v>
      </c>
      <c r="F55" s="243" t="s">
        <v>646</v>
      </c>
      <c r="G55" s="241" t="s">
        <v>646</v>
      </c>
      <c r="H55" s="241" t="s">
        <v>646</v>
      </c>
      <c r="I55" s="244" t="s">
        <v>646</v>
      </c>
      <c r="J55" s="195">
        <f>'State DisAgg LFx10 (2015)'!D45</f>
        <v>1</v>
      </c>
      <c r="K55" s="196"/>
      <c r="L55" s="196"/>
      <c r="M55" s="197"/>
      <c r="N55" s="195"/>
      <c r="O55" s="196">
        <f>'State DisAgg LFx10 (2015)'!H55</f>
        <v>2</v>
      </c>
      <c r="P55" s="196"/>
      <c r="Q55" s="197"/>
      <c r="R55" s="195"/>
      <c r="S55" s="196"/>
      <c r="T55" s="196"/>
      <c r="U55" s="197">
        <f>'State DisAgg LFx10 (2015)'!L55</f>
        <v>2.6</v>
      </c>
      <c r="V55" s="195"/>
      <c r="W55" s="196"/>
      <c r="X55" s="196"/>
      <c r="Y55" s="197">
        <f>'State DisAgg LFx10 (2015)'!P55</f>
        <v>2.2999999999999998</v>
      </c>
      <c r="Z55" s="195"/>
      <c r="AA55" s="196"/>
      <c r="AB55" s="196"/>
      <c r="AC55" s="197">
        <f>'State DisAgg LFx10 (2015)'!T55</f>
        <v>0</v>
      </c>
      <c r="AD55" s="195"/>
      <c r="AE55" s="197"/>
      <c r="AH55" s="354">
        <f>Y55-U55</f>
        <v>-0.30000000000000027</v>
      </c>
      <c r="AI55" s="354">
        <f>U55-O55</f>
        <v>0.60000000000000009</v>
      </c>
      <c r="AJ55" s="354">
        <f t="shared" ref="AJ55:AJ64" si="13">O55-J55</f>
        <v>1</v>
      </c>
    </row>
    <row r="56" spans="1:50" ht="12.95" customHeight="1" thickBot="1">
      <c r="A56" s="885"/>
      <c r="B56" s="885"/>
      <c r="C56" s="9" t="s">
        <v>296</v>
      </c>
      <c r="D56" s="241" t="s">
        <v>632</v>
      </c>
      <c r="E56" s="241" t="s">
        <v>632</v>
      </c>
      <c r="F56" s="243" t="s">
        <v>646</v>
      </c>
      <c r="G56" s="241" t="s">
        <v>646</v>
      </c>
      <c r="H56" s="241" t="s">
        <v>646</v>
      </c>
      <c r="I56" s="244" t="s">
        <v>646</v>
      </c>
      <c r="J56" s="195">
        <f>'State DisAgg LFx10 (2015)'!D46</f>
        <v>1</v>
      </c>
      <c r="K56" s="196"/>
      <c r="L56" s="196"/>
      <c r="M56" s="197"/>
      <c r="N56" s="195"/>
      <c r="O56" s="196">
        <f>'State DisAgg LFx10 (2015)'!H56</f>
        <v>1.5</v>
      </c>
      <c r="P56" s="196"/>
      <c r="Q56" s="197"/>
      <c r="R56" s="195"/>
      <c r="S56" s="196"/>
      <c r="T56" s="196"/>
      <c r="U56" s="197">
        <f>'State DisAgg LFx10 (2015)'!L56</f>
        <v>2</v>
      </c>
      <c r="V56" s="195"/>
      <c r="W56" s="196"/>
      <c r="X56" s="196"/>
      <c r="Y56" s="197">
        <f>'State DisAgg LFx10 (2015)'!P56</f>
        <v>3.5</v>
      </c>
      <c r="Z56" s="195"/>
      <c r="AA56" s="196"/>
      <c r="AB56" s="196"/>
      <c r="AC56" s="197">
        <f>'State DisAgg LFx10 (2015)'!T56</f>
        <v>0</v>
      </c>
      <c r="AD56" s="195"/>
      <c r="AE56" s="197"/>
      <c r="AH56" s="354">
        <f t="shared" ref="AH56:AH64" si="14">Y56-U56</f>
        <v>1.5</v>
      </c>
      <c r="AI56" s="354">
        <f>U56-O56</f>
        <v>0.5</v>
      </c>
      <c r="AJ56" s="354">
        <f t="shared" si="13"/>
        <v>0.5</v>
      </c>
    </row>
    <row r="57" spans="1:50" ht="12.95" customHeight="1" thickBot="1">
      <c r="A57" s="885"/>
      <c r="B57" s="885"/>
      <c r="C57" s="9" t="s">
        <v>297</v>
      </c>
      <c r="D57" s="241" t="s">
        <v>632</v>
      </c>
      <c r="E57" s="241" t="s">
        <v>632</v>
      </c>
      <c r="F57" s="243" t="s">
        <v>646</v>
      </c>
      <c r="G57" s="241" t="s">
        <v>646</v>
      </c>
      <c r="H57" s="241" t="s">
        <v>646</v>
      </c>
      <c r="I57" s="244" t="s">
        <v>646</v>
      </c>
      <c r="J57" s="195">
        <f>'State DisAgg LFx10 (2015)'!D47</f>
        <v>1</v>
      </c>
      <c r="K57" s="196"/>
      <c r="L57" s="196"/>
      <c r="M57" s="197"/>
      <c r="N57" s="195"/>
      <c r="O57" s="196">
        <f>'State DisAgg LFx10 (2015)'!H57</f>
        <v>1</v>
      </c>
      <c r="P57" s="196"/>
      <c r="Q57" s="197"/>
      <c r="R57" s="195"/>
      <c r="S57" s="196"/>
      <c r="T57" s="196"/>
      <c r="U57" s="197">
        <f>'State DisAgg LFx10 (2015)'!L57</f>
        <v>2.1</v>
      </c>
      <c r="V57" s="195"/>
      <c r="W57" s="196"/>
      <c r="X57" s="196"/>
      <c r="Y57" s="197">
        <f>'State DisAgg LFx10 (2015)'!P57</f>
        <v>2.4</v>
      </c>
      <c r="Z57" s="195"/>
      <c r="AA57" s="196"/>
      <c r="AB57" s="196"/>
      <c r="AC57" s="197">
        <f>'State DisAgg LFx10 (2015)'!T57</f>
        <v>0</v>
      </c>
      <c r="AD57" s="195"/>
      <c r="AE57" s="197"/>
      <c r="AH57" s="354">
        <f t="shared" si="14"/>
        <v>0.29999999999999982</v>
      </c>
      <c r="AI57" s="354">
        <f>U57-O57</f>
        <v>1.1000000000000001</v>
      </c>
      <c r="AJ57" s="354">
        <f t="shared" si="13"/>
        <v>0</v>
      </c>
    </row>
    <row r="58" spans="1:50" ht="12.95" customHeight="1" thickBot="1">
      <c r="A58" s="885"/>
      <c r="B58" s="885"/>
      <c r="C58" s="9" t="s">
        <v>298</v>
      </c>
      <c r="D58" s="241" t="s">
        <v>632</v>
      </c>
      <c r="E58" s="241" t="s">
        <v>632</v>
      </c>
      <c r="F58" s="243" t="s">
        <v>646</v>
      </c>
      <c r="G58" s="241" t="s">
        <v>646</v>
      </c>
      <c r="H58" s="241" t="s">
        <v>646</v>
      </c>
      <c r="I58" s="244" t="s">
        <v>646</v>
      </c>
      <c r="J58" s="195">
        <f>'State DisAgg LFx10 (2015)'!D48</f>
        <v>1</v>
      </c>
      <c r="K58" s="196"/>
      <c r="L58" s="196"/>
      <c r="M58" s="197"/>
      <c r="N58" s="195"/>
      <c r="O58" s="196">
        <f>'State DisAgg LFx10 (2015)'!H58</f>
        <v>2</v>
      </c>
      <c r="P58" s="196"/>
      <c r="Q58" s="197"/>
      <c r="R58" s="195"/>
      <c r="S58" s="196"/>
      <c r="T58" s="196"/>
      <c r="U58" s="197">
        <f>'State DisAgg LFx10 (2015)'!L58</f>
        <v>2.2999999999999998</v>
      </c>
      <c r="V58" s="195"/>
      <c r="W58" s="196"/>
      <c r="X58" s="196"/>
      <c r="Y58" s="197">
        <f>'State DisAgg LFx10 (2015)'!P58</f>
        <v>2.2999999999999998</v>
      </c>
      <c r="Z58" s="195"/>
      <c r="AA58" s="196"/>
      <c r="AB58" s="196"/>
      <c r="AC58" s="197">
        <f>'State DisAgg LFx10 (2015)'!T58</f>
        <v>0</v>
      </c>
      <c r="AD58" s="195"/>
      <c r="AE58" s="197"/>
      <c r="AH58" s="354">
        <f t="shared" si="14"/>
        <v>0</v>
      </c>
      <c r="AI58" s="354">
        <f>U58-O58</f>
        <v>0.29999999999999982</v>
      </c>
      <c r="AJ58" s="354">
        <f t="shared" si="13"/>
        <v>1</v>
      </c>
    </row>
    <row r="59" spans="1:50" ht="12.95" customHeight="1" thickBot="1">
      <c r="A59" s="885"/>
      <c r="B59" s="885"/>
      <c r="C59" s="9" t="s">
        <v>299</v>
      </c>
      <c r="D59" s="241" t="s">
        <v>632</v>
      </c>
      <c r="E59" s="241" t="s">
        <v>632</v>
      </c>
      <c r="F59" s="243" t="s">
        <v>646</v>
      </c>
      <c r="G59" s="241" t="s">
        <v>646</v>
      </c>
      <c r="H59" s="241" t="s">
        <v>646</v>
      </c>
      <c r="I59" s="244" t="s">
        <v>646</v>
      </c>
      <c r="J59" s="195">
        <f>'State DisAgg LFx10 (2015)'!D49</f>
        <v>1</v>
      </c>
      <c r="K59" s="196"/>
      <c r="L59" s="196"/>
      <c r="M59" s="197"/>
      <c r="N59" s="195"/>
      <c r="O59" s="196">
        <f>'State DisAgg LFx10 (2015)'!H59</f>
        <v>1.5</v>
      </c>
      <c r="P59" s="196"/>
      <c r="Q59" s="197"/>
      <c r="R59" s="195"/>
      <c r="S59" s="196"/>
      <c r="T59" s="196"/>
      <c r="U59" s="197">
        <f>'State DisAgg LFx10 (2015)'!L59</f>
        <v>2</v>
      </c>
      <c r="V59" s="195"/>
      <c r="W59" s="196"/>
      <c r="X59" s="196"/>
      <c r="Y59" s="197">
        <f>'State DisAgg LFx10 (2015)'!P59</f>
        <v>2.5</v>
      </c>
      <c r="Z59" s="195"/>
      <c r="AA59" s="196"/>
      <c r="AB59" s="196"/>
      <c r="AC59" s="197">
        <f>'State DisAgg LFx10 (2015)'!T59</f>
        <v>0</v>
      </c>
      <c r="AD59" s="195"/>
      <c r="AE59" s="197"/>
      <c r="AH59" s="354">
        <f t="shared" si="14"/>
        <v>0.5</v>
      </c>
      <c r="AI59" s="354">
        <f>U59-O59</f>
        <v>0.5</v>
      </c>
      <c r="AJ59" s="354">
        <f t="shared" si="13"/>
        <v>0.5</v>
      </c>
    </row>
    <row r="60" spans="1:50" ht="13.5" thickBot="1">
      <c r="A60" s="885"/>
      <c r="B60" s="885"/>
      <c r="C60" s="9" t="s">
        <v>300</v>
      </c>
      <c r="D60" s="199"/>
      <c r="E60" s="200"/>
      <c r="F60" s="201"/>
      <c r="G60" s="199"/>
      <c r="H60" s="199"/>
      <c r="I60" s="200"/>
      <c r="J60" s="201"/>
      <c r="K60" s="199"/>
      <c r="L60" s="199"/>
      <c r="M60" s="200"/>
      <c r="N60" s="198"/>
      <c r="O60" s="217" t="s">
        <v>634</v>
      </c>
      <c r="P60" s="241" t="s">
        <v>632</v>
      </c>
      <c r="Q60" s="244" t="s">
        <v>646</v>
      </c>
      <c r="R60" s="195">
        <f>'State DisAgg LFx10 (2015)'!H50</f>
        <v>1</v>
      </c>
      <c r="S60" s="196"/>
      <c r="T60" s="196"/>
      <c r="U60" s="197">
        <f>'State DisAgg LFx10 (2015)'!L60</f>
        <v>1</v>
      </c>
      <c r="V60" s="195"/>
      <c r="W60" s="196"/>
      <c r="X60" s="196"/>
      <c r="Y60" s="197">
        <f>'State DisAgg LFx10 (2015)'!P60</f>
        <v>1.2</v>
      </c>
      <c r="Z60" s="195"/>
      <c r="AA60" s="196"/>
      <c r="AB60" s="196"/>
      <c r="AC60" s="197">
        <f>'State DisAgg LFx10 (2015)'!T60</f>
        <v>0</v>
      </c>
      <c r="AD60" s="195"/>
      <c r="AE60" s="197"/>
      <c r="AH60" s="354">
        <f t="shared" si="14"/>
        <v>0.19999999999999996</v>
      </c>
      <c r="AI60" s="354">
        <f>U60-R60</f>
        <v>0</v>
      </c>
      <c r="AJ60" s="354" t="e">
        <f t="shared" si="13"/>
        <v>#VALUE!</v>
      </c>
    </row>
    <row r="61" spans="1:50" ht="13.5" thickBot="1">
      <c r="A61" s="885"/>
      <c r="B61" s="885"/>
      <c r="C61" s="9" t="s">
        <v>301</v>
      </c>
      <c r="D61" s="199"/>
      <c r="E61" s="200"/>
      <c r="F61" s="201"/>
      <c r="G61" s="199"/>
      <c r="H61" s="199"/>
      <c r="I61" s="200"/>
      <c r="J61" s="201"/>
      <c r="K61" s="199"/>
      <c r="L61" s="199"/>
      <c r="M61" s="200"/>
      <c r="N61" s="198"/>
      <c r="O61" s="217" t="s">
        <v>634</v>
      </c>
      <c r="P61" s="241" t="s">
        <v>632</v>
      </c>
      <c r="Q61" s="244" t="s">
        <v>646</v>
      </c>
      <c r="R61" s="195">
        <f>'State DisAgg LFx10 (2015)'!H51</f>
        <v>1</v>
      </c>
      <c r="S61" s="196"/>
      <c r="T61" s="196"/>
      <c r="U61" s="197">
        <f>'State DisAgg LFx10 (2015)'!L61</f>
        <v>1</v>
      </c>
      <c r="V61" s="195"/>
      <c r="W61" s="196"/>
      <c r="X61" s="196"/>
      <c r="Y61" s="197">
        <f>'State DisAgg LFx10 (2015)'!P61</f>
        <v>1.2</v>
      </c>
      <c r="Z61" s="195"/>
      <c r="AA61" s="196"/>
      <c r="AB61" s="196"/>
      <c r="AC61" s="197">
        <f>'State DisAgg LFx10 (2015)'!T61</f>
        <v>0</v>
      </c>
      <c r="AD61" s="195"/>
      <c r="AE61" s="197"/>
      <c r="AH61" s="354">
        <f t="shared" si="14"/>
        <v>0.19999999999999996</v>
      </c>
      <c r="AI61" s="354">
        <f t="shared" ref="AI61:AI62" si="15">U61-R61</f>
        <v>0</v>
      </c>
      <c r="AJ61" s="354" t="e">
        <f t="shared" si="13"/>
        <v>#VALUE!</v>
      </c>
    </row>
    <row r="62" spans="1:50" ht="13.5" thickBot="1">
      <c r="A62" s="885"/>
      <c r="B62" s="885"/>
      <c r="C62" s="9" t="s">
        <v>302</v>
      </c>
      <c r="D62" s="199"/>
      <c r="E62" s="200"/>
      <c r="F62" s="201"/>
      <c r="G62" s="199"/>
      <c r="H62" s="199"/>
      <c r="I62" s="200"/>
      <c r="J62" s="201"/>
      <c r="K62" s="199"/>
      <c r="L62" s="199"/>
      <c r="M62" s="200"/>
      <c r="N62" s="198"/>
      <c r="O62" s="217" t="s">
        <v>634</v>
      </c>
      <c r="P62" s="241" t="s">
        <v>632</v>
      </c>
      <c r="Q62" s="244" t="s">
        <v>646</v>
      </c>
      <c r="R62" s="195">
        <f>'State DisAgg LFx10 (2015)'!H52</f>
        <v>1</v>
      </c>
      <c r="S62" s="196"/>
      <c r="T62" s="196"/>
      <c r="U62" s="197">
        <f>'State DisAgg LFx10 (2015)'!L62</f>
        <v>1</v>
      </c>
      <c r="V62" s="195"/>
      <c r="W62" s="196"/>
      <c r="X62" s="196"/>
      <c r="Y62" s="197">
        <f>'State DisAgg LFx10 (2015)'!P62</f>
        <v>3.1</v>
      </c>
      <c r="Z62" s="195"/>
      <c r="AA62" s="196"/>
      <c r="AB62" s="196"/>
      <c r="AC62" s="197">
        <f>'State DisAgg LFx10 (2015)'!T62</f>
        <v>0</v>
      </c>
      <c r="AD62" s="195"/>
      <c r="AE62" s="197"/>
      <c r="AH62" s="354">
        <f t="shared" si="14"/>
        <v>2.1</v>
      </c>
      <c r="AI62" s="354">
        <f t="shared" si="15"/>
        <v>0</v>
      </c>
      <c r="AJ62" s="354" t="e">
        <f t="shared" si="13"/>
        <v>#VALUE!</v>
      </c>
    </row>
    <row r="63" spans="1:50" ht="13.5" thickBot="1">
      <c r="A63" s="885"/>
      <c r="B63" s="885"/>
      <c r="C63" s="9" t="s">
        <v>303</v>
      </c>
      <c r="D63" s="202"/>
      <c r="E63" s="203"/>
      <c r="F63" s="201"/>
      <c r="G63" s="202"/>
      <c r="H63" s="202"/>
      <c r="I63" s="203"/>
      <c r="J63" s="201"/>
      <c r="K63" s="202"/>
      <c r="L63" s="202"/>
      <c r="M63" s="203"/>
      <c r="N63" s="204"/>
      <c r="O63" s="214"/>
      <c r="P63" s="205"/>
      <c r="Q63" s="205"/>
      <c r="R63" s="201"/>
      <c r="S63" s="202"/>
      <c r="T63" s="202"/>
      <c r="U63" s="203"/>
      <c r="V63" s="242"/>
      <c r="W63" s="217" t="s">
        <v>633</v>
      </c>
      <c r="X63" s="241" t="s">
        <v>632</v>
      </c>
      <c r="Y63" s="197">
        <f>'State DisAgg LFx10 (2015)'!P53</f>
        <v>0</v>
      </c>
      <c r="Z63" s="195"/>
      <c r="AA63" s="196"/>
      <c r="AB63" s="196"/>
      <c r="AC63" s="197">
        <f>'State DisAgg LFx10 (2015)'!T63</f>
        <v>0</v>
      </c>
      <c r="AD63" s="195"/>
      <c r="AE63" s="197"/>
      <c r="AH63" s="354">
        <f t="shared" si="14"/>
        <v>0</v>
      </c>
      <c r="AI63" s="354">
        <f>U63-O63</f>
        <v>0</v>
      </c>
      <c r="AJ63" s="354">
        <f t="shared" si="13"/>
        <v>0</v>
      </c>
    </row>
    <row r="64" spans="1:50" ht="13.5" thickBot="1">
      <c r="A64" s="885"/>
      <c r="B64" s="885"/>
      <c r="C64" s="9" t="s">
        <v>304</v>
      </c>
      <c r="D64" s="202"/>
      <c r="E64" s="203"/>
      <c r="F64" s="201"/>
      <c r="G64" s="202"/>
      <c r="H64" s="202"/>
      <c r="I64" s="203"/>
      <c r="J64" s="201"/>
      <c r="K64" s="202"/>
      <c r="L64" s="202"/>
      <c r="M64" s="203"/>
      <c r="N64" s="204"/>
      <c r="O64" s="205"/>
      <c r="P64" s="205"/>
      <c r="Q64" s="205"/>
      <c r="R64" s="201"/>
      <c r="S64" s="202"/>
      <c r="T64" s="202"/>
      <c r="U64" s="203"/>
      <c r="V64" s="242"/>
      <c r="W64" s="217" t="s">
        <v>633</v>
      </c>
      <c r="X64" s="241" t="s">
        <v>632</v>
      </c>
      <c r="Y64" s="197">
        <f>'State DisAgg LFx10 (2015)'!P54</f>
        <v>1.2</v>
      </c>
      <c r="Z64" s="195"/>
      <c r="AA64" s="196"/>
      <c r="AB64" s="196"/>
      <c r="AC64" s="197">
        <f>'State DisAgg LFx10 (2015)'!T64</f>
        <v>0</v>
      </c>
      <c r="AD64" s="195"/>
      <c r="AE64" s="197"/>
      <c r="AH64" s="354">
        <f t="shared" si="14"/>
        <v>1.2</v>
      </c>
      <c r="AI64" s="354">
        <f>U64-O64</f>
        <v>0</v>
      </c>
      <c r="AJ64" s="354">
        <f t="shared" si="13"/>
        <v>0</v>
      </c>
    </row>
    <row r="65" spans="1:36" ht="12.95" hidden="1" customHeight="1" thickBot="1">
      <c r="A65" s="885"/>
      <c r="B65" s="273"/>
      <c r="C65" s="231"/>
      <c r="D65" s="232"/>
      <c r="E65" s="233"/>
      <c r="F65" s="234"/>
      <c r="G65" s="232"/>
      <c r="H65" s="232"/>
      <c r="I65" s="233"/>
      <c r="J65" s="234"/>
      <c r="K65" s="232"/>
      <c r="L65" s="232"/>
      <c r="M65" s="233"/>
      <c r="N65" s="234"/>
      <c r="O65" s="232"/>
      <c r="P65" s="232"/>
      <c r="Q65" s="233"/>
      <c r="R65" s="234"/>
      <c r="S65" s="232"/>
      <c r="T65" s="232"/>
      <c r="U65" s="233"/>
      <c r="V65" s="234"/>
      <c r="W65" s="232"/>
      <c r="X65" s="232"/>
      <c r="Y65" s="233"/>
      <c r="Z65" s="234"/>
      <c r="AA65" s="232"/>
      <c r="AB65" s="232"/>
      <c r="AC65" s="233"/>
      <c r="AD65" s="234"/>
      <c r="AE65" s="233"/>
      <c r="AH65" s="353">
        <v>18</v>
      </c>
      <c r="AI65" s="353">
        <v>18</v>
      </c>
      <c r="AJ65" s="353">
        <v>18</v>
      </c>
    </row>
    <row r="66" spans="1:36" ht="12.95" hidden="1" customHeight="1" thickBot="1">
      <c r="A66" s="885"/>
      <c r="B66" s="273"/>
      <c r="C66" s="231"/>
      <c r="D66" s="232"/>
      <c r="E66" s="233"/>
      <c r="F66" s="234"/>
      <c r="G66" s="232"/>
      <c r="H66" s="232"/>
      <c r="I66" s="233"/>
      <c r="J66" s="234"/>
      <c r="K66" s="232"/>
      <c r="L66" s="232"/>
      <c r="M66" s="233"/>
      <c r="N66" s="234"/>
      <c r="O66" s="232"/>
      <c r="P66" s="232"/>
      <c r="Q66" s="233"/>
      <c r="R66" s="234"/>
      <c r="S66" s="232"/>
      <c r="T66" s="232"/>
      <c r="U66" s="233"/>
      <c r="V66" s="234"/>
      <c r="W66" s="232"/>
      <c r="X66" s="232"/>
      <c r="Y66" s="233"/>
      <c r="Z66" s="234"/>
      <c r="AA66" s="232"/>
      <c r="AB66" s="232"/>
      <c r="AC66" s="233"/>
      <c r="AD66" s="234"/>
      <c r="AE66" s="233"/>
      <c r="AH66" s="353">
        <v>16</v>
      </c>
      <c r="AI66" s="353">
        <v>16</v>
      </c>
      <c r="AJ66" s="353">
        <v>16</v>
      </c>
    </row>
    <row r="67" spans="1:36" ht="12.95" customHeight="1" thickBot="1">
      <c r="A67" s="885"/>
      <c r="B67" s="3" t="s">
        <v>37</v>
      </c>
      <c r="C67" s="12"/>
      <c r="D67" s="1377">
        <v>2008</v>
      </c>
      <c r="E67" s="1378"/>
      <c r="F67" s="1372">
        <v>2009</v>
      </c>
      <c r="G67" s="1373"/>
      <c r="H67" s="1373"/>
      <c r="I67" s="1374"/>
      <c r="J67" s="1372">
        <v>2010</v>
      </c>
      <c r="K67" s="1373"/>
      <c r="L67" s="1373"/>
      <c r="M67" s="1374"/>
      <c r="N67" s="1372">
        <v>2011</v>
      </c>
      <c r="O67" s="1373"/>
      <c r="P67" s="1373"/>
      <c r="Q67" s="1374"/>
      <c r="R67" s="1372">
        <v>2012</v>
      </c>
      <c r="S67" s="1373"/>
      <c r="T67" s="1373"/>
      <c r="U67" s="1374"/>
      <c r="V67" s="1372">
        <v>2013</v>
      </c>
      <c r="W67" s="1373"/>
      <c r="X67" s="1373"/>
      <c r="Y67" s="1374"/>
      <c r="Z67" s="1372">
        <v>2014</v>
      </c>
      <c r="AA67" s="1373"/>
      <c r="AB67" s="1373"/>
      <c r="AC67" s="1374"/>
      <c r="AD67" s="1372">
        <v>2015</v>
      </c>
      <c r="AE67" s="1374"/>
    </row>
    <row r="68" spans="1:36" ht="12.95" customHeight="1" thickBot="1">
      <c r="A68" s="1375"/>
      <c r="B68" s="868" t="s">
        <v>148</v>
      </c>
      <c r="C68" s="91"/>
      <c r="D68" s="1379" t="s">
        <v>716</v>
      </c>
      <c r="E68" s="1380"/>
      <c r="F68" s="1380"/>
      <c r="G68" s="1380"/>
      <c r="H68" s="1380"/>
      <c r="I68" s="1380"/>
      <c r="J68" s="1380"/>
      <c r="K68" s="1380"/>
      <c r="L68" s="1380"/>
      <c r="M68" s="1380"/>
      <c r="N68" s="1380"/>
      <c r="O68" s="1380"/>
      <c r="P68" s="1380"/>
      <c r="Q68" s="1380"/>
      <c r="R68" s="1380"/>
      <c r="S68" s="1380"/>
      <c r="T68" s="1380"/>
      <c r="U68" s="1380"/>
      <c r="V68" s="1380"/>
      <c r="W68" s="1380"/>
      <c r="X68" s="1380"/>
      <c r="Y68" s="1380"/>
      <c r="Z68" s="1380"/>
      <c r="AA68" s="1380"/>
      <c r="AB68" s="1380"/>
      <c r="AC68" s="1380"/>
      <c r="AD68" s="1380"/>
      <c r="AE68" s="1381"/>
      <c r="AG68" s="257" t="s">
        <v>663</v>
      </c>
      <c r="AH68" s="356">
        <f>SUM(AH55:AH62)/8</f>
        <v>0.5625</v>
      </c>
      <c r="AI68" s="356">
        <f>4/6*SUM(AI55:AI59)/5</f>
        <v>0.4</v>
      </c>
      <c r="AJ68" s="351">
        <f>4/5*SUM(AJ55:AJ59)/5</f>
        <v>0.48000000000000009</v>
      </c>
    </row>
    <row r="69" spans="1:36" ht="13.5" thickBot="1">
      <c r="A69" s="1375"/>
      <c r="B69" s="885"/>
      <c r="C69" s="194" t="s">
        <v>802</v>
      </c>
      <c r="D69" s="206"/>
      <c r="E69" s="207"/>
      <c r="F69" s="209"/>
      <c r="G69" s="206"/>
      <c r="H69" s="206"/>
      <c r="I69" s="207"/>
      <c r="J69" s="332" t="s">
        <v>720</v>
      </c>
      <c r="K69" s="206"/>
      <c r="L69" s="206"/>
      <c r="M69" s="207"/>
      <c r="N69" s="277"/>
      <c r="O69" s="278">
        <f>(O79-J79)/5/$C$660/Spend!O69*'State Efficiency Ratios'!$C$654</f>
        <v>256.16675572172329</v>
      </c>
      <c r="P69" s="278"/>
      <c r="Q69" s="279"/>
      <c r="R69" s="277"/>
      <c r="S69" s="278"/>
      <c r="T69" s="278"/>
      <c r="U69" s="278">
        <f>(U79-O79)/6/$C$660/Spend!U69*'State Efficiency Ratios'!$C$654</f>
        <v>19.739793198498496</v>
      </c>
      <c r="V69" s="277"/>
      <c r="W69" s="278"/>
      <c r="X69" s="278"/>
      <c r="Y69" s="278">
        <f>(Y79-U79)/4/$C$660/Spend!Y69*'State Efficiency Ratios'!$C$654</f>
        <v>124.15683909193035</v>
      </c>
      <c r="Z69" s="277"/>
      <c r="AA69" s="278"/>
      <c r="AB69" s="278"/>
      <c r="AC69" s="278">
        <f>(AC79-Y79)/4/$C$660/Spend!AC69*'State Efficiency Ratios'!$C$654</f>
        <v>-1389.3726480431678</v>
      </c>
      <c r="AD69" s="277"/>
      <c r="AE69" s="280"/>
      <c r="AG69" s="295"/>
      <c r="AH69" s="378">
        <f>SUM(Y45:Y52)/8</f>
        <v>164.10756033663921</v>
      </c>
      <c r="AI69" s="378">
        <f>SUM(U45:U49)/5</f>
        <v>64.677216386136209</v>
      </c>
      <c r="AJ69" s="378">
        <f>SUM(O45:O49)/5</f>
        <v>36.097479752367903</v>
      </c>
    </row>
    <row r="70" spans="1:36" ht="24.75" thickBot="1">
      <c r="A70" s="1375"/>
      <c r="B70" s="885"/>
      <c r="C70" s="194" t="s">
        <v>803</v>
      </c>
      <c r="D70" s="206"/>
      <c r="E70" s="207"/>
      <c r="F70" s="209"/>
      <c r="G70" s="206"/>
      <c r="H70" s="206"/>
      <c r="I70" s="207"/>
      <c r="J70" s="209"/>
      <c r="K70" s="206"/>
      <c r="L70" s="206"/>
      <c r="M70" s="207"/>
      <c r="N70" s="277"/>
      <c r="O70" s="278">
        <f>(O80-J80)/5/$C$660/Spend!O70*'State Efficiency Ratios'!$C$654</f>
        <v>-148.77767778659029</v>
      </c>
      <c r="P70" s="278"/>
      <c r="Q70" s="279"/>
      <c r="R70" s="277"/>
      <c r="S70" s="278"/>
      <c r="T70" s="278"/>
      <c r="U70" s="278">
        <f>(U80-O80)/6/$C$660/Spend!U70*'State Efficiency Ratios'!$C$654</f>
        <v>312.87038947214756</v>
      </c>
      <c r="V70" s="277"/>
      <c r="W70" s="278"/>
      <c r="X70" s="278"/>
      <c r="Y70" s="278">
        <f>(Y80-U80)/4/$C$660/Spend!Y70*'State Efficiency Ratios'!$C$654</f>
        <v>0</v>
      </c>
      <c r="Z70" s="277"/>
      <c r="AA70" s="278"/>
      <c r="AB70" s="278"/>
      <c r="AC70" s="278">
        <f>(AC80-Y80)/4/$C$660/Spend!AC70*'State Efficiency Ratios'!$C$654</f>
        <v>-1956.4405285239607</v>
      </c>
      <c r="AD70" s="277"/>
      <c r="AE70" s="280"/>
      <c r="AG70" s="295"/>
    </row>
    <row r="71" spans="1:36" ht="24.75" thickBot="1">
      <c r="A71" s="1375"/>
      <c r="B71" s="885"/>
      <c r="C71" s="194" t="s">
        <v>804</v>
      </c>
      <c r="D71" s="206"/>
      <c r="E71" s="207"/>
      <c r="F71" s="209"/>
      <c r="G71" s="206"/>
      <c r="H71" s="206"/>
      <c r="I71" s="207"/>
      <c r="J71" s="209"/>
      <c r="K71" s="206"/>
      <c r="L71" s="206"/>
      <c r="M71" s="207"/>
      <c r="N71" s="277"/>
      <c r="O71" s="278">
        <f>(O81-J81)/5/$C$660/Spend!O71*'State Efficiency Ratios'!$C$654</f>
        <v>51.215469513977069</v>
      </c>
      <c r="P71" s="278"/>
      <c r="Q71" s="279"/>
      <c r="R71" s="277"/>
      <c r="S71" s="278"/>
      <c r="T71" s="278"/>
      <c r="U71" s="278">
        <f>(U81-O81)/6/$C$660/Spend!U71*'State Efficiency Ratios'!$C$654</f>
        <v>-17.882865287104831</v>
      </c>
      <c r="V71" s="277"/>
      <c r="W71" s="278"/>
      <c r="X71" s="278"/>
      <c r="Y71" s="278">
        <f>(Y81-U81)/4/$C$660/Spend!Y71*'State Efficiency Ratios'!$C$654</f>
        <v>39.750802193993941</v>
      </c>
      <c r="Z71" s="277"/>
      <c r="AA71" s="278"/>
      <c r="AB71" s="278"/>
      <c r="AC71" s="278">
        <f>(AC81-Y81)/4/$C$660/Spend!AC71*'State Efficiency Ratios'!$C$654</f>
        <v>-982.96636065869848</v>
      </c>
      <c r="AD71" s="277"/>
      <c r="AE71" s="280"/>
      <c r="AG71" s="295"/>
    </row>
    <row r="72" spans="1:36" ht="13.5" thickBot="1">
      <c r="A72" s="1375"/>
      <c r="B72" s="885"/>
      <c r="C72" s="194" t="s">
        <v>805</v>
      </c>
      <c r="D72" s="206"/>
      <c r="E72" s="207"/>
      <c r="F72" s="209"/>
      <c r="G72" s="206"/>
      <c r="H72" s="206"/>
      <c r="I72" s="207"/>
      <c r="J72" s="209"/>
      <c r="K72" s="206"/>
      <c r="L72" s="206"/>
      <c r="M72" s="207"/>
      <c r="N72" s="277"/>
      <c r="O72" s="278">
        <f>(O82-J82)/5/$C$660/Spend!O72*'State Efficiency Ratios'!$C$654</f>
        <v>103.00474054742958</v>
      </c>
      <c r="P72" s="278"/>
      <c r="Q72" s="279"/>
      <c r="R72" s="277"/>
      <c r="S72" s="278"/>
      <c r="T72" s="278"/>
      <c r="U72" s="278">
        <f>(U82-O82)/6/$C$660/Spend!U72*'State Efficiency Ratios'!$C$654</f>
        <v>35.251101020832444</v>
      </c>
      <c r="V72" s="277"/>
      <c r="W72" s="278"/>
      <c r="X72" s="278"/>
      <c r="Y72" s="278">
        <f>(Y82-U82)/4/$C$660/Spend!Y72*'State Efficiency Ratios'!$C$654</f>
        <v>513.41831039707722</v>
      </c>
      <c r="Z72" s="277"/>
      <c r="AA72" s="278"/>
      <c r="AB72" s="278"/>
      <c r="AC72" s="278">
        <f>(AC82-Y82)/4/$C$660/Spend!AC72*'State Efficiency Ratios'!$C$654</f>
        <v>-1213.0600993933112</v>
      </c>
      <c r="AD72" s="277"/>
      <c r="AE72" s="280"/>
      <c r="AG72" s="295"/>
    </row>
    <row r="73" spans="1:36" ht="13.5" thickBot="1">
      <c r="A73" s="1375"/>
      <c r="B73" s="885"/>
      <c r="C73" s="194" t="s">
        <v>806</v>
      </c>
      <c r="D73" s="206"/>
      <c r="E73" s="207"/>
      <c r="F73" s="209"/>
      <c r="G73" s="206"/>
      <c r="H73" s="206"/>
      <c r="I73" s="207"/>
      <c r="J73" s="209"/>
      <c r="K73" s="206"/>
      <c r="L73" s="206"/>
      <c r="M73" s="207"/>
      <c r="N73" s="277"/>
      <c r="O73" s="278">
        <f>(O83-J83)/5/$C$660/Spend!O73*'State Efficiency Ratios'!$C$654</f>
        <v>110.75287325024348</v>
      </c>
      <c r="P73" s="278"/>
      <c r="Q73" s="279"/>
      <c r="R73" s="277"/>
      <c r="S73" s="278"/>
      <c r="T73" s="278"/>
      <c r="U73" s="278">
        <f>(U83-O83)/6/$C$660/Spend!U73*'State Efficiency Ratios'!$C$654</f>
        <v>279.97092695611099</v>
      </c>
      <c r="V73" s="277"/>
      <c r="W73" s="278"/>
      <c r="X73" s="278"/>
      <c r="Y73" s="278">
        <f>(Y83-U83)/4/$C$660/Spend!Y73*'State Efficiency Ratios'!$C$654</f>
        <v>148.02912610339612</v>
      </c>
      <c r="Z73" s="277"/>
      <c r="AA73" s="278"/>
      <c r="AB73" s="278"/>
      <c r="AC73" s="278">
        <f>(AC83-Y83)/4/$C$660/Spend!AC73*'State Efficiency Ratios'!$C$654</f>
        <v>-1940.8926892696427</v>
      </c>
      <c r="AD73" s="277"/>
      <c r="AE73" s="280"/>
      <c r="AG73" s="295"/>
    </row>
    <row r="74" spans="1:36" ht="12.95" customHeight="1" thickBot="1">
      <c r="A74" s="1375"/>
      <c r="B74" s="885"/>
      <c r="C74" s="194" t="s">
        <v>807</v>
      </c>
      <c r="D74" s="210"/>
      <c r="E74" s="211"/>
      <c r="F74" s="209"/>
      <c r="G74" s="210"/>
      <c r="H74" s="210"/>
      <c r="I74" s="211"/>
      <c r="J74" s="209"/>
      <c r="K74" s="210"/>
      <c r="L74" s="210"/>
      <c r="M74" s="211"/>
      <c r="N74" s="281"/>
      <c r="O74" s="282"/>
      <c r="P74" s="282"/>
      <c r="Q74" s="282"/>
      <c r="R74" s="277"/>
      <c r="S74" s="278"/>
      <c r="T74" s="278"/>
      <c r="U74" s="278">
        <f>(U84-R84)/3/$C$660/Spend!U74*'State Efficiency Ratios'!$C$654</f>
        <v>193.91777178759901</v>
      </c>
      <c r="V74" s="277"/>
      <c r="W74" s="278"/>
      <c r="X74" s="278"/>
      <c r="Y74" s="278">
        <f>(Y84-U84)/4/$C$660/Spend!Y74*'State Efficiency Ratios'!$C$654</f>
        <v>116.24158212412129</v>
      </c>
      <c r="Z74" s="277"/>
      <c r="AA74" s="278"/>
      <c r="AB74" s="278"/>
      <c r="AC74" s="278">
        <f>(AC84-Y84)/4/$C$660/Spend!AC74*'State Efficiency Ratios'!$C$654</f>
        <v>-729.22830198019074</v>
      </c>
      <c r="AD74" s="277"/>
      <c r="AE74" s="280"/>
      <c r="AG74" s="295"/>
    </row>
    <row r="75" spans="1:36" ht="12.95" customHeight="1" thickBot="1">
      <c r="A75" s="1375"/>
      <c r="B75" s="885" t="s">
        <v>145</v>
      </c>
      <c r="C75" s="194" t="s">
        <v>808</v>
      </c>
      <c r="D75" s="210"/>
      <c r="E75" s="211"/>
      <c r="F75" s="209"/>
      <c r="G75" s="210"/>
      <c r="H75" s="210"/>
      <c r="I75" s="211"/>
      <c r="J75" s="209"/>
      <c r="K75" s="210"/>
      <c r="L75" s="210"/>
      <c r="M75" s="211"/>
      <c r="N75" s="281"/>
      <c r="O75" s="282"/>
      <c r="P75" s="282"/>
      <c r="Q75" s="282"/>
      <c r="R75" s="277"/>
      <c r="S75" s="278"/>
      <c r="T75" s="278"/>
      <c r="U75" s="278">
        <f>(U85-R85)/3/$C$660/Spend!U75*'State Efficiency Ratios'!$C$654</f>
        <v>194.7821968463235</v>
      </c>
      <c r="V75" s="277"/>
      <c r="W75" s="278"/>
      <c r="X75" s="278"/>
      <c r="Y75" s="278">
        <f>(Y85-U85)/4/$C$660/Spend!Y75*'State Efficiency Ratios'!$C$654</f>
        <v>925.02686323317982</v>
      </c>
      <c r="Z75" s="277"/>
      <c r="AA75" s="278"/>
      <c r="AB75" s="278"/>
      <c r="AC75" s="278">
        <f>(AC85-Y85)/4/$C$660/Spend!AC75*'State Efficiency Ratios'!$C$654</f>
        <v>-1486.8475967110783</v>
      </c>
      <c r="AD75" s="277"/>
      <c r="AE75" s="280"/>
      <c r="AG75" s="295"/>
    </row>
    <row r="76" spans="1:36" ht="12.95" customHeight="1" thickBot="1">
      <c r="A76" s="1375"/>
      <c r="B76" s="885"/>
      <c r="C76" s="194" t="s">
        <v>809</v>
      </c>
      <c r="D76" s="210"/>
      <c r="E76" s="211"/>
      <c r="F76" s="209"/>
      <c r="G76" s="210"/>
      <c r="H76" s="210"/>
      <c r="I76" s="211"/>
      <c r="J76" s="209"/>
      <c r="K76" s="210"/>
      <c r="L76" s="210"/>
      <c r="M76" s="211"/>
      <c r="N76" s="281"/>
      <c r="O76" s="282"/>
      <c r="P76" s="282"/>
      <c r="Q76" s="282"/>
      <c r="R76" s="277"/>
      <c r="S76" s="278"/>
      <c r="T76" s="278"/>
      <c r="U76" s="278">
        <f>(U86-R86)/3/$C$660/Spend!U76*'State Efficiency Ratios'!$C$654</f>
        <v>0</v>
      </c>
      <c r="V76" s="277"/>
      <c r="W76" s="278"/>
      <c r="X76" s="278"/>
      <c r="Y76" s="278">
        <f>(Y86-U86)/4/$C$660/Spend!Y76*'State Efficiency Ratios'!$C$654</f>
        <v>52.521801459009374</v>
      </c>
      <c r="Z76" s="277"/>
      <c r="AA76" s="278"/>
      <c r="AB76" s="278"/>
      <c r="AC76" s="278">
        <f>(AC86-Y86)/4/$C$660/Spend!AC76*'State Efficiency Ratios'!$C$654</f>
        <v>-814.13359014233288</v>
      </c>
      <c r="AD76" s="277"/>
      <c r="AE76" s="280"/>
      <c r="AG76" s="295"/>
    </row>
    <row r="77" spans="1:36" ht="12.95" customHeight="1" thickBot="1">
      <c r="A77" s="1375"/>
      <c r="B77" s="885" t="s">
        <v>147</v>
      </c>
      <c r="C77" s="194" t="s">
        <v>810</v>
      </c>
      <c r="D77" s="210"/>
      <c r="E77" s="211"/>
      <c r="F77" s="209"/>
      <c r="G77" s="210"/>
      <c r="H77" s="210"/>
      <c r="I77" s="211"/>
      <c r="J77" s="209"/>
      <c r="K77" s="210"/>
      <c r="L77" s="210"/>
      <c r="M77" s="211"/>
      <c r="N77" s="281"/>
      <c r="O77" s="282"/>
      <c r="P77" s="282"/>
      <c r="Q77" s="283"/>
      <c r="R77" s="281"/>
      <c r="S77" s="282"/>
      <c r="T77" s="282"/>
      <c r="U77" s="283"/>
      <c r="V77" s="281"/>
      <c r="W77" s="282"/>
      <c r="X77" s="282"/>
      <c r="Y77" s="283"/>
      <c r="Z77" s="277"/>
      <c r="AA77" s="278"/>
      <c r="AB77" s="278"/>
      <c r="AC77" s="278">
        <f>(AC87-Y87)/4/$C$660/Spend!AC77*'State Efficiency Ratios'!$C$654</f>
        <v>-3119.7495586213881</v>
      </c>
      <c r="AD77" s="277"/>
      <c r="AE77" s="280"/>
      <c r="AG77" s="295"/>
    </row>
    <row r="78" spans="1:36" ht="12.95" customHeight="1" thickBot="1">
      <c r="A78" s="1375"/>
      <c r="B78" s="885"/>
      <c r="C78" s="194" t="s">
        <v>811</v>
      </c>
      <c r="D78" s="210"/>
      <c r="E78" s="211"/>
      <c r="F78" s="209"/>
      <c r="G78" s="210"/>
      <c r="H78" s="210"/>
      <c r="I78" s="211"/>
      <c r="J78" s="209"/>
      <c r="K78" s="210"/>
      <c r="L78" s="210"/>
      <c r="M78" s="211"/>
      <c r="N78" s="281"/>
      <c r="O78" s="282"/>
      <c r="P78" s="282"/>
      <c r="Q78" s="283"/>
      <c r="R78" s="281"/>
      <c r="S78" s="282"/>
      <c r="T78" s="282"/>
      <c r="U78" s="283"/>
      <c r="V78" s="281"/>
      <c r="W78" s="282"/>
      <c r="X78" s="282"/>
      <c r="Y78" s="283"/>
      <c r="Z78" s="277"/>
      <c r="AA78" s="278"/>
      <c r="AB78" s="278"/>
      <c r="AC78" s="278">
        <f>(AC88-Y88)/4/$C$660/Spend!AC78*'State Efficiency Ratios'!$C$654</f>
        <v>-2720.9817828309992</v>
      </c>
      <c r="AD78" s="277"/>
      <c r="AE78" s="280"/>
      <c r="AG78" s="295"/>
    </row>
    <row r="79" spans="1:36" ht="12.95" customHeight="1" thickBot="1">
      <c r="A79" s="1375"/>
      <c r="B79" s="885" t="s">
        <v>146</v>
      </c>
      <c r="C79" s="9" t="s">
        <v>295</v>
      </c>
      <c r="D79" s="241" t="s">
        <v>632</v>
      </c>
      <c r="E79" s="241" t="s">
        <v>632</v>
      </c>
      <c r="F79" s="243" t="s">
        <v>646</v>
      </c>
      <c r="G79" s="241" t="s">
        <v>646</v>
      </c>
      <c r="H79" s="241" t="s">
        <v>646</v>
      </c>
      <c r="I79" s="244" t="s">
        <v>646</v>
      </c>
      <c r="J79" s="195">
        <f>SUM('State DisAgg LFx10 (2015)'!D69:G69)/4</f>
        <v>0.5</v>
      </c>
      <c r="K79" s="196"/>
      <c r="L79" s="196"/>
      <c r="M79" s="197"/>
      <c r="N79" s="195"/>
      <c r="O79" s="196">
        <f>SUM('State DisAgg LFx10 (2015)'!H79:K79)/4</f>
        <v>7</v>
      </c>
      <c r="P79" s="196"/>
      <c r="Q79" s="197"/>
      <c r="R79" s="195"/>
      <c r="S79" s="196"/>
      <c r="T79" s="196"/>
      <c r="U79" s="197">
        <f>SUM('State DisAgg LFx10 (2015)'!L79:O79)/4</f>
        <v>7.25</v>
      </c>
      <c r="V79" s="195"/>
      <c r="W79" s="196"/>
      <c r="X79" s="196"/>
      <c r="Y79" s="197">
        <f>SUM('State DisAgg LFx10 (2015)'!P79:S79)/4</f>
        <v>8</v>
      </c>
      <c r="Z79" s="195"/>
      <c r="AA79" s="196"/>
      <c r="AB79" s="196"/>
      <c r="AC79" s="197">
        <f>SUM('State DisAgg LFx10 (2015)'!T79:W79)/4</f>
        <v>0</v>
      </c>
      <c r="AD79" s="195"/>
      <c r="AE79" s="197"/>
      <c r="AH79" s="354">
        <f>Y79-U79</f>
        <v>0.75</v>
      </c>
      <c r="AI79" s="354">
        <f>U79-O79</f>
        <v>0.25</v>
      </c>
      <c r="AJ79" s="354">
        <f t="shared" ref="AJ79:AJ88" si="16">O79-J79</f>
        <v>6.5</v>
      </c>
    </row>
    <row r="80" spans="1:36" ht="12.95" customHeight="1" thickBot="1">
      <c r="A80" s="1375"/>
      <c r="B80" s="885"/>
      <c r="C80" s="9" t="s">
        <v>296</v>
      </c>
      <c r="D80" s="241" t="s">
        <v>632</v>
      </c>
      <c r="E80" s="241" t="s">
        <v>632</v>
      </c>
      <c r="F80" s="243" t="s">
        <v>646</v>
      </c>
      <c r="G80" s="241" t="s">
        <v>646</v>
      </c>
      <c r="H80" s="241" t="s">
        <v>646</v>
      </c>
      <c r="I80" s="244" t="s">
        <v>646</v>
      </c>
      <c r="J80" s="195">
        <f>SUM('State DisAgg LFx10 (2015)'!D70:G70)/4</f>
        <v>9.75</v>
      </c>
      <c r="K80" s="196"/>
      <c r="L80" s="196"/>
      <c r="M80" s="197"/>
      <c r="N80" s="195"/>
      <c r="O80" s="196">
        <f>SUM('State DisAgg LFx10 (2015)'!H80:K80)/4</f>
        <v>6.25</v>
      </c>
      <c r="P80" s="196"/>
      <c r="Q80" s="197"/>
      <c r="R80" s="195"/>
      <c r="S80" s="196"/>
      <c r="T80" s="196"/>
      <c r="U80" s="197">
        <f>SUM('State DisAgg LFx10 (2015)'!L80:O80)/4</f>
        <v>10</v>
      </c>
      <c r="V80" s="195"/>
      <c r="W80" s="196"/>
      <c r="X80" s="196"/>
      <c r="Y80" s="197">
        <f>SUM('State DisAgg LFx10 (2015)'!P80:S80)/4</f>
        <v>10</v>
      </c>
      <c r="Z80" s="195"/>
      <c r="AA80" s="196"/>
      <c r="AB80" s="196"/>
      <c r="AC80" s="197">
        <f>SUM('State DisAgg LFx10 (2015)'!T80:W80)/4</f>
        <v>0</v>
      </c>
      <c r="AD80" s="195"/>
      <c r="AE80" s="197"/>
      <c r="AH80" s="354">
        <f t="shared" ref="AH80:AH88" si="17">Y80-U80</f>
        <v>0</v>
      </c>
      <c r="AI80" s="354">
        <f>U80-O80</f>
        <v>3.75</v>
      </c>
      <c r="AJ80" s="354">
        <f t="shared" si="16"/>
        <v>-3.5</v>
      </c>
    </row>
    <row r="81" spans="1:36" ht="12.95" customHeight="1" thickBot="1">
      <c r="A81" s="1375"/>
      <c r="B81" s="885"/>
      <c r="C81" s="9" t="s">
        <v>297</v>
      </c>
      <c r="D81" s="241" t="s">
        <v>632</v>
      </c>
      <c r="E81" s="241" t="s">
        <v>632</v>
      </c>
      <c r="F81" s="243" t="s">
        <v>646</v>
      </c>
      <c r="G81" s="241" t="s">
        <v>646</v>
      </c>
      <c r="H81" s="241" t="s">
        <v>646</v>
      </c>
      <c r="I81" s="244" t="s">
        <v>646</v>
      </c>
      <c r="J81" s="195">
        <f>SUM('State DisAgg LFx10 (2015)'!D71:G71)/4</f>
        <v>3.75</v>
      </c>
      <c r="K81" s="196"/>
      <c r="L81" s="196"/>
      <c r="M81" s="197"/>
      <c r="N81" s="195"/>
      <c r="O81" s="196">
        <f>SUM('State DisAgg LFx10 (2015)'!H81:K81)/4</f>
        <v>5</v>
      </c>
      <c r="P81" s="196"/>
      <c r="Q81" s="197"/>
      <c r="R81" s="195"/>
      <c r="S81" s="196"/>
      <c r="T81" s="196"/>
      <c r="U81" s="197">
        <f>SUM('State DisAgg LFx10 (2015)'!L81:O81)/4</f>
        <v>4.75</v>
      </c>
      <c r="V81" s="195"/>
      <c r="W81" s="196"/>
      <c r="X81" s="196"/>
      <c r="Y81" s="197">
        <f>SUM('State DisAgg LFx10 (2015)'!P81:S81)/4</f>
        <v>5</v>
      </c>
      <c r="Z81" s="195"/>
      <c r="AA81" s="196"/>
      <c r="AB81" s="196"/>
      <c r="AC81" s="197">
        <f>SUM('State DisAgg LFx10 (2015)'!T81:W81)/4</f>
        <v>0</v>
      </c>
      <c r="AD81" s="195"/>
      <c r="AE81" s="197"/>
      <c r="AH81" s="354">
        <f t="shared" si="17"/>
        <v>0.25</v>
      </c>
      <c r="AI81" s="354">
        <f>U81-O81</f>
        <v>-0.25</v>
      </c>
      <c r="AJ81" s="354">
        <f t="shared" si="16"/>
        <v>1.25</v>
      </c>
    </row>
    <row r="82" spans="1:36" ht="12.95" customHeight="1" thickBot="1">
      <c r="A82" s="1375"/>
      <c r="B82" s="885"/>
      <c r="C82" s="9" t="s">
        <v>298</v>
      </c>
      <c r="D82" s="241" t="s">
        <v>632</v>
      </c>
      <c r="E82" s="241" t="s">
        <v>632</v>
      </c>
      <c r="F82" s="243" t="s">
        <v>646</v>
      </c>
      <c r="G82" s="241" t="s">
        <v>646</v>
      </c>
      <c r="H82" s="241" t="s">
        <v>646</v>
      </c>
      <c r="I82" s="244" t="s">
        <v>646</v>
      </c>
      <c r="J82" s="195">
        <f>SUM('State DisAgg LFx10 (2015)'!D72:G72)/4</f>
        <v>1</v>
      </c>
      <c r="K82" s="196"/>
      <c r="L82" s="196"/>
      <c r="M82" s="197"/>
      <c r="N82" s="195"/>
      <c r="O82" s="196">
        <f>SUM('State DisAgg LFx10 (2015)'!H82:K82)/4</f>
        <v>3.5</v>
      </c>
      <c r="P82" s="196"/>
      <c r="Q82" s="197"/>
      <c r="R82" s="195"/>
      <c r="S82" s="196"/>
      <c r="T82" s="196"/>
      <c r="U82" s="197">
        <f>SUM('State DisAgg LFx10 (2015)'!L82:O82)/4</f>
        <v>4</v>
      </c>
      <c r="V82" s="195"/>
      <c r="W82" s="196"/>
      <c r="X82" s="196"/>
      <c r="Y82" s="197">
        <f>SUM('State DisAgg LFx10 (2015)'!P82:S82)/4</f>
        <v>7</v>
      </c>
      <c r="Z82" s="195"/>
      <c r="AA82" s="196"/>
      <c r="AB82" s="196"/>
      <c r="AC82" s="197">
        <f>SUM('State DisAgg LFx10 (2015)'!T82:W82)/4</f>
        <v>0</v>
      </c>
      <c r="AD82" s="195"/>
      <c r="AE82" s="197"/>
      <c r="AH82" s="354">
        <f t="shared" si="17"/>
        <v>3</v>
      </c>
      <c r="AI82" s="354">
        <f>U82-O82</f>
        <v>0.5</v>
      </c>
      <c r="AJ82" s="354">
        <f t="shared" si="16"/>
        <v>2.5</v>
      </c>
    </row>
    <row r="83" spans="1:36" ht="12.95" customHeight="1" thickBot="1">
      <c r="A83" s="1375"/>
      <c r="B83" s="885"/>
      <c r="C83" s="9" t="s">
        <v>299</v>
      </c>
      <c r="D83" s="241" t="s">
        <v>632</v>
      </c>
      <c r="E83" s="241" t="s">
        <v>632</v>
      </c>
      <c r="F83" s="243" t="s">
        <v>646</v>
      </c>
      <c r="G83" s="241" t="s">
        <v>646</v>
      </c>
      <c r="H83" s="241" t="s">
        <v>646</v>
      </c>
      <c r="I83" s="244" t="s">
        <v>646</v>
      </c>
      <c r="J83" s="195">
        <f>SUM('State DisAgg LFx10 (2015)'!D73:G73)/4</f>
        <v>3.75</v>
      </c>
      <c r="K83" s="196"/>
      <c r="L83" s="196"/>
      <c r="M83" s="197"/>
      <c r="N83" s="195"/>
      <c r="O83" s="196">
        <f>SUM('State DisAgg LFx10 (2015)'!H83:K83)/4</f>
        <v>6.75</v>
      </c>
      <c r="P83" s="196"/>
      <c r="Q83" s="197"/>
      <c r="R83" s="195"/>
      <c r="S83" s="196"/>
      <c r="T83" s="196"/>
      <c r="U83" s="197">
        <f>SUM('State DisAgg LFx10 (2015)'!L83:O83)/4</f>
        <v>12</v>
      </c>
      <c r="V83" s="195"/>
      <c r="W83" s="196"/>
      <c r="X83" s="196"/>
      <c r="Y83" s="197">
        <f>SUM('State DisAgg LFx10 (2015)'!P83:S83)/4</f>
        <v>13</v>
      </c>
      <c r="Z83" s="195"/>
      <c r="AA83" s="196"/>
      <c r="AB83" s="196"/>
      <c r="AC83" s="197">
        <f>SUM('State DisAgg LFx10 (2015)'!T83:W83)/4</f>
        <v>0</v>
      </c>
      <c r="AD83" s="195"/>
      <c r="AE83" s="197"/>
      <c r="AH83" s="354">
        <f t="shared" si="17"/>
        <v>1</v>
      </c>
      <c r="AI83" s="354">
        <f>U83-O83</f>
        <v>5.25</v>
      </c>
      <c r="AJ83" s="354">
        <f t="shared" si="16"/>
        <v>3</v>
      </c>
    </row>
    <row r="84" spans="1:36" ht="13.5" thickBot="1">
      <c r="A84" s="1375"/>
      <c r="B84" s="885"/>
      <c r="C84" s="9" t="s">
        <v>300</v>
      </c>
      <c r="D84" s="199"/>
      <c r="E84" s="200"/>
      <c r="F84" s="201"/>
      <c r="G84" s="199"/>
      <c r="H84" s="199"/>
      <c r="I84" s="200"/>
      <c r="J84" s="201"/>
      <c r="K84" s="199"/>
      <c r="L84" s="199"/>
      <c r="M84" s="200"/>
      <c r="N84" s="198"/>
      <c r="O84" s="217" t="s">
        <v>634</v>
      </c>
      <c r="P84" s="241" t="s">
        <v>632</v>
      </c>
      <c r="Q84" s="244" t="s">
        <v>646</v>
      </c>
      <c r="R84" s="195">
        <f>SUM('State DisAgg LFx10 (2015)'!H74:K74)/4</f>
        <v>3</v>
      </c>
      <c r="S84" s="196"/>
      <c r="T84" s="196"/>
      <c r="U84" s="197">
        <f>SUM('State DisAgg LFx10 (2015)'!L84:O84)/4</f>
        <v>3.75</v>
      </c>
      <c r="V84" s="195"/>
      <c r="W84" s="196"/>
      <c r="X84" s="196"/>
      <c r="Y84" s="197">
        <f>SUM('State DisAgg LFx10 (2015)'!P84:S84)/4</f>
        <v>4.25</v>
      </c>
      <c r="Z84" s="195"/>
      <c r="AA84" s="196"/>
      <c r="AB84" s="196"/>
      <c r="AC84" s="197">
        <f>SUM('State DisAgg LFx10 (2015)'!T84:W84)/4</f>
        <v>0</v>
      </c>
      <c r="AD84" s="195"/>
      <c r="AE84" s="197"/>
      <c r="AH84" s="354">
        <f t="shared" si="17"/>
        <v>0.5</v>
      </c>
      <c r="AI84" s="354">
        <f>U84-R84</f>
        <v>0.75</v>
      </c>
      <c r="AJ84" s="354" t="e">
        <f t="shared" si="16"/>
        <v>#VALUE!</v>
      </c>
    </row>
    <row r="85" spans="1:36" ht="13.5" thickBot="1">
      <c r="A85" s="1375"/>
      <c r="B85" s="885"/>
      <c r="C85" s="9" t="s">
        <v>301</v>
      </c>
      <c r="D85" s="199"/>
      <c r="E85" s="200"/>
      <c r="F85" s="201"/>
      <c r="G85" s="199"/>
      <c r="H85" s="199"/>
      <c r="I85" s="200"/>
      <c r="J85" s="201"/>
      <c r="K85" s="199"/>
      <c r="L85" s="199"/>
      <c r="M85" s="200"/>
      <c r="N85" s="198"/>
      <c r="O85" s="217" t="s">
        <v>634</v>
      </c>
      <c r="P85" s="241" t="s">
        <v>632</v>
      </c>
      <c r="Q85" s="244" t="s">
        <v>646</v>
      </c>
      <c r="R85" s="195">
        <f>SUM('State DisAgg LFx10 (2015)'!H75:K75)/4</f>
        <v>3</v>
      </c>
      <c r="S85" s="196"/>
      <c r="T85" s="196"/>
      <c r="U85" s="197">
        <f>SUM('State DisAgg LFx10 (2015)'!L85:O85)/4</f>
        <v>3.75</v>
      </c>
      <c r="V85" s="195"/>
      <c r="W85" s="196"/>
      <c r="X85" s="196"/>
      <c r="Y85" s="197">
        <f>SUM('State DisAgg LFx10 (2015)'!P85:S85)/4</f>
        <v>7</v>
      </c>
      <c r="Z85" s="195"/>
      <c r="AA85" s="196"/>
      <c r="AB85" s="196"/>
      <c r="AC85" s="197">
        <f>SUM('State DisAgg LFx10 (2015)'!T85:W85)/4</f>
        <v>0</v>
      </c>
      <c r="AD85" s="195"/>
      <c r="AE85" s="197"/>
      <c r="AH85" s="354">
        <f t="shared" si="17"/>
        <v>3.25</v>
      </c>
      <c r="AI85" s="354">
        <f t="shared" ref="AI85:AI86" si="18">U85-R85</f>
        <v>0.75</v>
      </c>
      <c r="AJ85" s="354" t="e">
        <f t="shared" si="16"/>
        <v>#VALUE!</v>
      </c>
    </row>
    <row r="86" spans="1:36" ht="13.5" thickBot="1">
      <c r="A86" s="1375"/>
      <c r="B86" s="885"/>
      <c r="C86" s="9" t="s">
        <v>302</v>
      </c>
      <c r="D86" s="199"/>
      <c r="E86" s="200"/>
      <c r="F86" s="201"/>
      <c r="G86" s="199"/>
      <c r="H86" s="199"/>
      <c r="I86" s="200"/>
      <c r="J86" s="201"/>
      <c r="K86" s="199"/>
      <c r="L86" s="199"/>
      <c r="M86" s="200"/>
      <c r="N86" s="198"/>
      <c r="O86" s="217" t="s">
        <v>634</v>
      </c>
      <c r="P86" s="241" t="s">
        <v>632</v>
      </c>
      <c r="Q86" s="244" t="s">
        <v>646</v>
      </c>
      <c r="R86" s="195">
        <f>SUM('State DisAgg LFx10 (2015)'!H76:K76)/4</f>
        <v>3.75</v>
      </c>
      <c r="S86" s="196"/>
      <c r="T86" s="196"/>
      <c r="U86" s="197">
        <f>SUM('State DisAgg LFx10 (2015)'!L86:O86)/4</f>
        <v>3.75</v>
      </c>
      <c r="V86" s="195"/>
      <c r="W86" s="196"/>
      <c r="X86" s="196"/>
      <c r="Y86" s="197">
        <f>SUM('State DisAgg LFx10 (2015)'!P86:S86)/4</f>
        <v>4</v>
      </c>
      <c r="Z86" s="195"/>
      <c r="AA86" s="196"/>
      <c r="AB86" s="196"/>
      <c r="AC86" s="197">
        <f>SUM('State DisAgg LFx10 (2015)'!T86:W86)/4</f>
        <v>0</v>
      </c>
      <c r="AD86" s="195"/>
      <c r="AE86" s="197"/>
      <c r="AH86" s="354">
        <f t="shared" si="17"/>
        <v>0.25</v>
      </c>
      <c r="AI86" s="354">
        <f t="shared" si="18"/>
        <v>0</v>
      </c>
      <c r="AJ86" s="354" t="e">
        <f t="shared" si="16"/>
        <v>#VALUE!</v>
      </c>
    </row>
    <row r="87" spans="1:36" ht="13.5" thickBot="1">
      <c r="A87" s="1375"/>
      <c r="B87" s="885"/>
      <c r="C87" s="9" t="s">
        <v>303</v>
      </c>
      <c r="D87" s="202"/>
      <c r="E87" s="203"/>
      <c r="F87" s="201"/>
      <c r="G87" s="202"/>
      <c r="H87" s="202"/>
      <c r="I87" s="203"/>
      <c r="J87" s="201"/>
      <c r="K87" s="202"/>
      <c r="L87" s="202"/>
      <c r="M87" s="203"/>
      <c r="N87" s="204"/>
      <c r="O87" s="214"/>
      <c r="P87" s="205"/>
      <c r="Q87" s="205"/>
      <c r="R87" s="201"/>
      <c r="S87" s="202"/>
      <c r="T87" s="202"/>
      <c r="U87" s="203"/>
      <c r="V87" s="242"/>
      <c r="W87" s="217" t="s">
        <v>633</v>
      </c>
      <c r="X87" s="241" t="s">
        <v>632</v>
      </c>
      <c r="Y87" s="197">
        <f>SUM('State DisAgg LFx10 (2015)'!P77:S77)/4</f>
        <v>12</v>
      </c>
      <c r="Z87" s="195"/>
      <c r="AA87" s="196"/>
      <c r="AB87" s="196"/>
      <c r="AC87" s="197">
        <f>SUM('State DisAgg LFx10 (2015)'!T87:W87)/4</f>
        <v>0</v>
      </c>
      <c r="AD87" s="195"/>
      <c r="AE87" s="197"/>
      <c r="AH87" s="354">
        <f t="shared" si="17"/>
        <v>12</v>
      </c>
      <c r="AI87" s="354">
        <f>U87-O87</f>
        <v>0</v>
      </c>
      <c r="AJ87" s="354">
        <f t="shared" si="16"/>
        <v>0</v>
      </c>
    </row>
    <row r="88" spans="1:36" ht="13.5" thickBot="1">
      <c r="A88" s="1376"/>
      <c r="B88" s="869"/>
      <c r="C88" s="9" t="s">
        <v>304</v>
      </c>
      <c r="D88" s="202"/>
      <c r="E88" s="203"/>
      <c r="F88" s="201"/>
      <c r="G88" s="202"/>
      <c r="H88" s="202"/>
      <c r="I88" s="203"/>
      <c r="J88" s="201"/>
      <c r="K88" s="202"/>
      <c r="L88" s="202"/>
      <c r="M88" s="203"/>
      <c r="N88" s="204"/>
      <c r="O88" s="205"/>
      <c r="P88" s="205"/>
      <c r="Q88" s="205"/>
      <c r="R88" s="201"/>
      <c r="S88" s="202"/>
      <c r="T88" s="202"/>
      <c r="U88" s="203"/>
      <c r="V88" s="242"/>
      <c r="W88" s="217" t="s">
        <v>633</v>
      </c>
      <c r="X88" s="241" t="s">
        <v>632</v>
      </c>
      <c r="Y88" s="197">
        <f>SUM('State DisAgg LFx10 (2015)'!P78:S78)/4</f>
        <v>14.25</v>
      </c>
      <c r="Z88" s="195"/>
      <c r="AA88" s="196"/>
      <c r="AB88" s="196"/>
      <c r="AC88" s="197">
        <f>SUM('State DisAgg LFx10 (2015)'!T88:W88)/4</f>
        <v>0</v>
      </c>
      <c r="AD88" s="195"/>
      <c r="AE88" s="197"/>
      <c r="AH88" s="354">
        <f t="shared" si="17"/>
        <v>14.25</v>
      </c>
      <c r="AI88" s="354">
        <f>U88-O88</f>
        <v>0</v>
      </c>
      <c r="AJ88" s="354">
        <f t="shared" si="16"/>
        <v>0</v>
      </c>
    </row>
    <row r="89" spans="1:36" ht="12.95" hidden="1" customHeight="1" thickBot="1">
      <c r="A89" s="231"/>
      <c r="B89" s="231"/>
      <c r="C89" s="231"/>
      <c r="D89" s="232"/>
      <c r="E89" s="233"/>
      <c r="F89" s="234"/>
      <c r="G89" s="232"/>
      <c r="H89" s="232"/>
      <c r="I89" s="233"/>
      <c r="J89" s="234"/>
      <c r="K89" s="232"/>
      <c r="L89" s="232"/>
      <c r="M89" s="233"/>
      <c r="N89" s="234"/>
      <c r="O89" s="232"/>
      <c r="P89" s="232"/>
      <c r="Q89" s="233"/>
      <c r="R89" s="234"/>
      <c r="S89" s="232"/>
      <c r="T89" s="232"/>
      <c r="U89" s="233"/>
      <c r="V89" s="234"/>
      <c r="W89" s="232"/>
      <c r="X89" s="232"/>
      <c r="Y89" s="233"/>
      <c r="Z89" s="234"/>
      <c r="AA89" s="232"/>
      <c r="AB89" s="232"/>
      <c r="AC89" s="233"/>
      <c r="AD89" s="234"/>
      <c r="AE89" s="233"/>
      <c r="AH89" s="353">
        <v>18</v>
      </c>
      <c r="AI89" s="353">
        <v>18</v>
      </c>
      <c r="AJ89" s="353">
        <v>18</v>
      </c>
    </row>
    <row r="90" spans="1:36" ht="12.95" hidden="1" customHeight="1" thickBot="1">
      <c r="A90" s="231"/>
      <c r="B90" s="231"/>
      <c r="C90" s="231"/>
      <c r="D90" s="232"/>
      <c r="E90" s="233"/>
      <c r="F90" s="234"/>
      <c r="G90" s="232"/>
      <c r="H90" s="232"/>
      <c r="I90" s="233"/>
      <c r="J90" s="234"/>
      <c r="K90" s="232"/>
      <c r="L90" s="232"/>
      <c r="M90" s="233"/>
      <c r="N90" s="234"/>
      <c r="O90" s="232"/>
      <c r="P90" s="232"/>
      <c r="Q90" s="233"/>
      <c r="R90" s="234"/>
      <c r="S90" s="232"/>
      <c r="T90" s="232"/>
      <c r="U90" s="233"/>
      <c r="V90" s="234"/>
      <c r="W90" s="232"/>
      <c r="X90" s="232"/>
      <c r="Y90" s="233"/>
      <c r="Z90" s="234"/>
      <c r="AA90" s="232"/>
      <c r="AB90" s="232"/>
      <c r="AC90" s="233"/>
      <c r="AD90" s="234"/>
      <c r="AE90" s="233"/>
      <c r="AH90" s="353">
        <v>16</v>
      </c>
      <c r="AI90" s="353">
        <v>16</v>
      </c>
      <c r="AJ90" s="353">
        <v>16</v>
      </c>
    </row>
    <row r="91" spans="1:36">
      <c r="A91" s="5"/>
      <c r="B91" s="5"/>
      <c r="C91" s="14"/>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row>
    <row r="92" spans="1:36" ht="13.5" thickBot="1">
      <c r="A92" s="5"/>
      <c r="B92" s="5"/>
      <c r="C92" s="6"/>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row>
    <row r="93" spans="1:36" ht="12.95" customHeight="1" thickBot="1">
      <c r="A93" s="276" t="s">
        <v>5</v>
      </c>
      <c r="B93" s="274" t="s">
        <v>22</v>
      </c>
      <c r="C93" s="8"/>
      <c r="D93" s="1377">
        <v>2008</v>
      </c>
      <c r="E93" s="1378"/>
      <c r="F93" s="1372">
        <v>2009</v>
      </c>
      <c r="G93" s="1373"/>
      <c r="H93" s="1373"/>
      <c r="I93" s="1374"/>
      <c r="J93" s="1372">
        <v>2010</v>
      </c>
      <c r="K93" s="1373"/>
      <c r="L93" s="1373"/>
      <c r="M93" s="1374"/>
      <c r="N93" s="1372">
        <v>2011</v>
      </c>
      <c r="O93" s="1373"/>
      <c r="P93" s="1373"/>
      <c r="Q93" s="1374"/>
      <c r="R93" s="1372">
        <v>2012</v>
      </c>
      <c r="S93" s="1373"/>
      <c r="T93" s="1373"/>
      <c r="U93" s="1374"/>
      <c r="V93" s="1372">
        <v>2013</v>
      </c>
      <c r="W93" s="1373"/>
      <c r="X93" s="1373"/>
      <c r="Y93" s="1374"/>
      <c r="Z93" s="1372">
        <v>2014</v>
      </c>
      <c r="AA93" s="1373"/>
      <c r="AB93" s="1373"/>
      <c r="AC93" s="1374"/>
      <c r="AD93" s="1372">
        <v>2015</v>
      </c>
      <c r="AE93" s="1374"/>
      <c r="AG93" s="257" t="s">
        <v>663</v>
      </c>
    </row>
    <row r="94" spans="1:36" ht="12.95" customHeight="1" thickBot="1">
      <c r="A94" s="868" t="s">
        <v>54</v>
      </c>
      <c r="B94" s="868" t="s">
        <v>55</v>
      </c>
      <c r="C94" s="194" t="s">
        <v>802</v>
      </c>
      <c r="D94" s="206"/>
      <c r="E94" s="207"/>
      <c r="F94" s="209"/>
      <c r="G94" s="206"/>
      <c r="H94" s="206"/>
      <c r="I94" s="207"/>
      <c r="J94" s="332" t="s">
        <v>721</v>
      </c>
      <c r="K94" s="206"/>
      <c r="L94" s="206"/>
      <c r="M94" s="207"/>
      <c r="N94" s="277"/>
      <c r="O94" s="278">
        <f>(O104-J104)/5/$C$665/Spend!O94*'State Efficiency Ratios'!$C$654</f>
        <v>0</v>
      </c>
      <c r="P94" s="278"/>
      <c r="Q94" s="279"/>
      <c r="R94" s="277"/>
      <c r="S94" s="278"/>
      <c r="T94" s="278"/>
      <c r="U94" s="278">
        <f>(U104-O104)/6/$C$665/Spend!U94*'State Efficiency Ratios'!$C$654</f>
        <v>323.01479779361176</v>
      </c>
      <c r="V94" s="277"/>
      <c r="W94" s="278"/>
      <c r="X94" s="278"/>
      <c r="Y94" s="278">
        <f>(Y104-U104)/4/$C$665/Spend!Y94*'State Efficiency Ratios'!$C$654</f>
        <v>827.71226061286904</v>
      </c>
      <c r="Z94" s="277"/>
      <c r="AA94" s="278"/>
      <c r="AB94" s="278"/>
      <c r="AC94" s="278">
        <f>(AC104-Y104)/4/$C$665/Spend!AC94*'State Efficiency Ratios'!$C$654</f>
        <v>-3157.665109189018</v>
      </c>
      <c r="AD94" s="277"/>
      <c r="AE94" s="280"/>
      <c r="AG94" s="295"/>
    </row>
    <row r="95" spans="1:36" ht="24.75" thickBot="1">
      <c r="A95" s="885"/>
      <c r="B95" s="885"/>
      <c r="C95" s="194" t="s">
        <v>803</v>
      </c>
      <c r="D95" s="206"/>
      <c r="E95" s="207"/>
      <c r="F95" s="209"/>
      <c r="G95" s="206"/>
      <c r="H95" s="206"/>
      <c r="I95" s="207"/>
      <c r="J95" s="209"/>
      <c r="K95" s="206"/>
      <c r="L95" s="206"/>
      <c r="M95" s="207"/>
      <c r="N95" s="277"/>
      <c r="O95" s="278">
        <f>(O105-J105)/5/$C$665/Spend!O95*'State Efficiency Ratios'!$C$654</f>
        <v>-19.321776335920838</v>
      </c>
      <c r="P95" s="278"/>
      <c r="Q95" s="279"/>
      <c r="R95" s="277"/>
      <c r="S95" s="278"/>
      <c r="T95" s="278"/>
      <c r="U95" s="278">
        <f>(U105-O105)/6/$C$665/Spend!U95*'State Efficiency Ratios'!$C$654</f>
        <v>189.6184178619076</v>
      </c>
      <c r="V95" s="277"/>
      <c r="W95" s="278"/>
      <c r="X95" s="278"/>
      <c r="Y95" s="278">
        <f>(Y105-U105)/4/$C$665/Spend!Y95*'State Efficiency Ratios'!$C$654</f>
        <v>470.15097563135339</v>
      </c>
      <c r="Z95" s="277"/>
      <c r="AA95" s="278"/>
      <c r="AB95" s="278"/>
      <c r="AC95" s="278">
        <f>(AC105-Y105)/4/$C$665/Spend!AC95*'State Efficiency Ratios'!$C$654</f>
        <v>-2845.7316778530335</v>
      </c>
      <c r="AD95" s="277"/>
      <c r="AE95" s="280"/>
      <c r="AG95" s="295"/>
    </row>
    <row r="96" spans="1:36" ht="24.75" thickBot="1">
      <c r="A96" s="885"/>
      <c r="B96" s="885"/>
      <c r="C96" s="194" t="s">
        <v>804</v>
      </c>
      <c r="D96" s="206"/>
      <c r="E96" s="207"/>
      <c r="F96" s="209"/>
      <c r="G96" s="206"/>
      <c r="H96" s="206"/>
      <c r="I96" s="207"/>
      <c r="J96" s="209"/>
      <c r="K96" s="206"/>
      <c r="L96" s="206"/>
      <c r="M96" s="207"/>
      <c r="N96" s="277"/>
      <c r="O96" s="278">
        <f>(O106-J106)/5/$C$665/Spend!O96*'State Efficiency Ratios'!$C$654</f>
        <v>167.61426386392495</v>
      </c>
      <c r="P96" s="278"/>
      <c r="Q96" s="279"/>
      <c r="R96" s="277"/>
      <c r="S96" s="278"/>
      <c r="T96" s="278"/>
      <c r="U96" s="278">
        <f>(U106-O106)/6/$C$665/Spend!U96*'State Efficiency Ratios'!$C$654</f>
        <v>-32.51430052200881</v>
      </c>
      <c r="V96" s="277"/>
      <c r="W96" s="278"/>
      <c r="X96" s="278"/>
      <c r="Y96" s="278">
        <f>(Y106-U106)/4/$C$665/Spend!Y96*'State Efficiency Ratios'!$C$654</f>
        <v>144.54837161452357</v>
      </c>
      <c r="Z96" s="277"/>
      <c r="AA96" s="278"/>
      <c r="AB96" s="278"/>
      <c r="AC96" s="278">
        <f>(AC106-Y106)/4/$C$665/Spend!AC96*'State Efficiency Ratios'!$C$654</f>
        <v>-2770.177925492696</v>
      </c>
      <c r="AD96" s="277"/>
      <c r="AE96" s="280"/>
      <c r="AG96" s="295"/>
    </row>
    <row r="97" spans="1:36" ht="13.5" thickBot="1">
      <c r="A97" s="885"/>
      <c r="B97" s="885"/>
      <c r="C97" s="194" t="s">
        <v>805</v>
      </c>
      <c r="D97" s="206"/>
      <c r="E97" s="207"/>
      <c r="F97" s="209"/>
      <c r="G97" s="206"/>
      <c r="H97" s="206"/>
      <c r="I97" s="207"/>
      <c r="J97" s="209"/>
      <c r="K97" s="206"/>
      <c r="L97" s="206"/>
      <c r="M97" s="207"/>
      <c r="N97" s="277"/>
      <c r="O97" s="278">
        <f>(O107-J107)/5/$C$665/Spend!O97*'State Efficiency Ratios'!$C$654</f>
        <v>18.728134644987215</v>
      </c>
      <c r="P97" s="278"/>
      <c r="Q97" s="279"/>
      <c r="R97" s="277"/>
      <c r="S97" s="278"/>
      <c r="T97" s="278"/>
      <c r="U97" s="278">
        <f>(U107-O107)/6/$C$665/Spend!U97*'State Efficiency Ratios'!$C$654</f>
        <v>320.46455473484042</v>
      </c>
      <c r="V97" s="277"/>
      <c r="W97" s="278"/>
      <c r="X97" s="278"/>
      <c r="Y97" s="278">
        <f>(Y107-U107)/4/$C$665/Spend!Y97*'State Efficiency Ratios'!$C$654</f>
        <v>-155.58130618093261</v>
      </c>
      <c r="Z97" s="277"/>
      <c r="AA97" s="278"/>
      <c r="AB97" s="278"/>
      <c r="AC97" s="278">
        <f>(AC107-Y107)/4/$C$665/Spend!AC97*'State Efficiency Ratios'!$C$654</f>
        <v>-2205.5638170787474</v>
      </c>
      <c r="AD97" s="277"/>
      <c r="AE97" s="280"/>
      <c r="AG97" s="295"/>
    </row>
    <row r="98" spans="1:36" ht="13.5" thickBot="1">
      <c r="A98" s="885"/>
      <c r="B98" s="885"/>
      <c r="C98" s="194" t="s">
        <v>806</v>
      </c>
      <c r="D98" s="206"/>
      <c r="E98" s="207"/>
      <c r="F98" s="209"/>
      <c r="G98" s="206"/>
      <c r="H98" s="206"/>
      <c r="I98" s="207"/>
      <c r="J98" s="209"/>
      <c r="K98" s="206"/>
      <c r="L98" s="206"/>
      <c r="M98" s="207"/>
      <c r="N98" s="277"/>
      <c r="O98" s="278">
        <f>(O108-J108)/5/$C$665/Spend!O98*'State Efficiency Ratios'!$C$654</f>
        <v>67.122953484996032</v>
      </c>
      <c r="P98" s="278"/>
      <c r="Q98" s="279"/>
      <c r="R98" s="277"/>
      <c r="S98" s="278"/>
      <c r="T98" s="278"/>
      <c r="U98" s="278">
        <f>(U108-O108)/6/$C$665/Spend!U98*'State Efficiency Ratios'!$C$654</f>
        <v>0</v>
      </c>
      <c r="V98" s="277"/>
      <c r="W98" s="278"/>
      <c r="X98" s="278"/>
      <c r="Y98" s="278">
        <f>(Y108-U108)/4/$C$665/Spend!Y98*'State Efficiency Ratios'!$C$654</f>
        <v>336.42983205317307</v>
      </c>
      <c r="Z98" s="277"/>
      <c r="AA98" s="278"/>
      <c r="AB98" s="278"/>
      <c r="AC98" s="278">
        <f>(AC108-Y108)/4/$C$665/Spend!AC98*'State Efficiency Ratios'!$C$654</f>
        <v>-2375.2183260292827</v>
      </c>
      <c r="AD98" s="277"/>
      <c r="AE98" s="280"/>
      <c r="AG98" s="295"/>
    </row>
    <row r="99" spans="1:36" ht="12.95" customHeight="1" thickBot="1">
      <c r="A99" s="885"/>
      <c r="B99" s="885"/>
      <c r="C99" s="194" t="s">
        <v>807</v>
      </c>
      <c r="D99" s="210"/>
      <c r="E99" s="211"/>
      <c r="F99" s="209"/>
      <c r="G99" s="210"/>
      <c r="H99" s="210"/>
      <c r="I99" s="211"/>
      <c r="J99" s="209"/>
      <c r="K99" s="210"/>
      <c r="L99" s="210"/>
      <c r="M99" s="211"/>
      <c r="N99" s="281"/>
      <c r="O99" s="282"/>
      <c r="P99" s="282"/>
      <c r="Q99" s="282"/>
      <c r="R99" s="277"/>
      <c r="S99" s="278"/>
      <c r="T99" s="278"/>
      <c r="U99" s="278">
        <f>(U109-R109)/3/$C$665/Spend!U99*'State Efficiency Ratios'!$C$654</f>
        <v>0</v>
      </c>
      <c r="V99" s="277"/>
      <c r="W99" s="278"/>
      <c r="X99" s="278"/>
      <c r="Y99" s="278">
        <f>(Y109-U109)/4/$C$665/Spend!Y99*'State Efficiency Ratios'!$C$654</f>
        <v>739.71915897168105</v>
      </c>
      <c r="Z99" s="277"/>
      <c r="AA99" s="278"/>
      <c r="AB99" s="278"/>
      <c r="AC99" s="278">
        <f>(AC109-Y109)/4/$C$665/Spend!AC99*'State Efficiency Ratios'!$C$654</f>
        <v>-1715.8312987769193</v>
      </c>
      <c r="AD99" s="277"/>
      <c r="AE99" s="280"/>
      <c r="AG99" s="295"/>
    </row>
    <row r="100" spans="1:36" ht="12.95" customHeight="1" thickBot="1">
      <c r="A100" s="885"/>
      <c r="B100" s="885"/>
      <c r="C100" s="194" t="s">
        <v>808</v>
      </c>
      <c r="D100" s="210"/>
      <c r="E100" s="211"/>
      <c r="F100" s="209"/>
      <c r="G100" s="210"/>
      <c r="H100" s="210"/>
      <c r="I100" s="211"/>
      <c r="J100" s="209"/>
      <c r="K100" s="210"/>
      <c r="L100" s="210"/>
      <c r="M100" s="211"/>
      <c r="N100" s="281"/>
      <c r="O100" s="282"/>
      <c r="P100" s="282"/>
      <c r="Q100" s="282"/>
      <c r="R100" s="277"/>
      <c r="S100" s="278"/>
      <c r="T100" s="278"/>
      <c r="U100" s="278">
        <f>(U110-R110)/3/$C$665/Spend!U100*'State Efficiency Ratios'!$C$654</f>
        <v>0</v>
      </c>
      <c r="V100" s="277"/>
      <c r="W100" s="278"/>
      <c r="X100" s="278"/>
      <c r="Y100" s="278">
        <f>(Y110-U110)/4/$C$665/Spend!Y100*'State Efficiency Ratios'!$C$654</f>
        <v>-776.2463187970734</v>
      </c>
      <c r="Z100" s="277"/>
      <c r="AA100" s="278"/>
      <c r="AB100" s="278"/>
      <c r="AC100" s="278">
        <f>(AC110-Y110)/4/$C$665/Spend!AC100*'State Efficiency Ratios'!$C$654</f>
        <v>-2124.0679953015406</v>
      </c>
      <c r="AD100" s="277"/>
      <c r="AE100" s="280"/>
      <c r="AG100" s="295"/>
    </row>
    <row r="101" spans="1:36" ht="12.95" customHeight="1" thickBot="1">
      <c r="A101" s="885"/>
      <c r="B101" s="885"/>
      <c r="C101" s="194" t="s">
        <v>809</v>
      </c>
      <c r="D101" s="210"/>
      <c r="E101" s="211"/>
      <c r="F101" s="209"/>
      <c r="G101" s="210"/>
      <c r="H101" s="210"/>
      <c r="I101" s="211"/>
      <c r="J101" s="209"/>
      <c r="K101" s="210"/>
      <c r="L101" s="210"/>
      <c r="M101" s="211"/>
      <c r="N101" s="281"/>
      <c r="O101" s="282"/>
      <c r="P101" s="282"/>
      <c r="Q101" s="282"/>
      <c r="R101" s="277"/>
      <c r="S101" s="278"/>
      <c r="T101" s="278"/>
      <c r="U101" s="278">
        <f>(U111-R111)/3/$C$665/Spend!U101*'State Efficiency Ratios'!$C$654</f>
        <v>0</v>
      </c>
      <c r="V101" s="277"/>
      <c r="W101" s="278"/>
      <c r="X101" s="278"/>
      <c r="Y101" s="278">
        <f>(Y111-U111)/4/$C$665/Spend!Y101*'State Efficiency Ratios'!$C$654</f>
        <v>286.4825534127782</v>
      </c>
      <c r="Z101" s="277"/>
      <c r="AA101" s="278"/>
      <c r="AB101" s="278"/>
      <c r="AC101" s="278">
        <f>(AC111-Y111)/4/$C$665/Spend!AC101*'State Efficiency Ratios'!$C$654</f>
        <v>-2312.8795174498096</v>
      </c>
      <c r="AD101" s="277"/>
      <c r="AE101" s="280"/>
      <c r="AG101" s="295"/>
    </row>
    <row r="102" spans="1:36" ht="12.95" customHeight="1" thickBot="1">
      <c r="A102" s="885"/>
      <c r="B102" s="885"/>
      <c r="C102" s="194" t="s">
        <v>810</v>
      </c>
      <c r="D102" s="210"/>
      <c r="E102" s="211"/>
      <c r="F102" s="209"/>
      <c r="G102" s="210"/>
      <c r="H102" s="210"/>
      <c r="I102" s="211"/>
      <c r="J102" s="209"/>
      <c r="K102" s="210"/>
      <c r="L102" s="210"/>
      <c r="M102" s="211"/>
      <c r="N102" s="281"/>
      <c r="O102" s="282"/>
      <c r="P102" s="282"/>
      <c r="Q102" s="283"/>
      <c r="R102" s="281"/>
      <c r="S102" s="282"/>
      <c r="T102" s="282"/>
      <c r="U102" s="283"/>
      <c r="V102" s="281"/>
      <c r="W102" s="282"/>
      <c r="X102" s="282"/>
      <c r="Y102" s="283"/>
      <c r="Z102" s="277"/>
      <c r="AA102" s="278"/>
      <c r="AB102" s="278"/>
      <c r="AC102" s="278">
        <f>(AC112-Y112)/4/$C$665/Spend!AC102*'State Efficiency Ratios'!$C$654</f>
        <v>-2481.618967085195</v>
      </c>
      <c r="AD102" s="277"/>
      <c r="AE102" s="280"/>
      <c r="AG102" s="295"/>
    </row>
    <row r="103" spans="1:36" ht="12.95" customHeight="1" thickBot="1">
      <c r="A103" s="885"/>
      <c r="B103" s="885"/>
      <c r="C103" s="194" t="s">
        <v>811</v>
      </c>
      <c r="D103" s="210"/>
      <c r="E103" s="211"/>
      <c r="F103" s="209"/>
      <c r="G103" s="210"/>
      <c r="H103" s="210"/>
      <c r="I103" s="211"/>
      <c r="J103" s="209"/>
      <c r="K103" s="210"/>
      <c r="L103" s="210"/>
      <c r="M103" s="211"/>
      <c r="N103" s="281"/>
      <c r="O103" s="282"/>
      <c r="P103" s="282"/>
      <c r="Q103" s="283"/>
      <c r="R103" s="281"/>
      <c r="S103" s="282"/>
      <c r="T103" s="282"/>
      <c r="U103" s="283"/>
      <c r="V103" s="281"/>
      <c r="W103" s="282"/>
      <c r="X103" s="282"/>
      <c r="Y103" s="283"/>
      <c r="Z103" s="277"/>
      <c r="AA103" s="278"/>
      <c r="AB103" s="278"/>
      <c r="AC103" s="278">
        <f>(AC113-Y113)/4/$C$665/Spend!AC103*'State Efficiency Ratios'!$C$654</f>
        <v>-2169.8419320821363</v>
      </c>
      <c r="AD103" s="277"/>
      <c r="AE103" s="280"/>
      <c r="AG103" s="295"/>
    </row>
    <row r="104" spans="1:36" ht="12.95" customHeight="1" thickBot="1">
      <c r="A104" s="885"/>
      <c r="B104" s="885"/>
      <c r="C104" s="9" t="s">
        <v>295</v>
      </c>
      <c r="D104" s="241" t="s">
        <v>632</v>
      </c>
      <c r="E104" s="241" t="s">
        <v>632</v>
      </c>
      <c r="F104" s="243" t="s">
        <v>646</v>
      </c>
      <c r="G104" s="241" t="s">
        <v>646</v>
      </c>
      <c r="H104" s="241" t="s">
        <v>646</v>
      </c>
      <c r="I104" s="244" t="s">
        <v>646</v>
      </c>
      <c r="J104" s="195">
        <f>'State DisAgg LFx10 (2015)'!D94</f>
        <v>2</v>
      </c>
      <c r="K104" s="196"/>
      <c r="L104" s="196"/>
      <c r="M104" s="197"/>
      <c r="N104" s="195"/>
      <c r="O104" s="196">
        <f>'State DisAgg LFx10 (2015)'!H104</f>
        <v>2</v>
      </c>
      <c r="P104" s="196"/>
      <c r="Q104" s="197"/>
      <c r="R104" s="195"/>
      <c r="S104" s="196"/>
      <c r="T104" s="196"/>
      <c r="U104" s="197">
        <f>'State DisAgg LFx10 (2015)'!L104</f>
        <v>2.9</v>
      </c>
      <c r="V104" s="195"/>
      <c r="W104" s="196"/>
      <c r="X104" s="196"/>
      <c r="Y104" s="197">
        <f>'State DisAgg LFx10 (2015)'!P104</f>
        <v>4</v>
      </c>
      <c r="Z104" s="195"/>
      <c r="AA104" s="196"/>
      <c r="AB104" s="196"/>
      <c r="AC104" s="197">
        <f>'State DisAgg LFx10 (2015)'!T104</f>
        <v>0</v>
      </c>
      <c r="AD104" s="195"/>
      <c r="AE104" s="197"/>
      <c r="AH104" s="354">
        <f>Y104-U104</f>
        <v>1.1000000000000001</v>
      </c>
      <c r="AI104" s="354">
        <f>U104-O104</f>
        <v>0.89999999999999991</v>
      </c>
      <c r="AJ104" s="354">
        <f t="shared" ref="AJ104:AJ113" si="19">O104-J104</f>
        <v>0</v>
      </c>
    </row>
    <row r="105" spans="1:36" ht="12.95" customHeight="1" thickBot="1">
      <c r="A105" s="885"/>
      <c r="B105" s="885"/>
      <c r="C105" s="9" t="s">
        <v>296</v>
      </c>
      <c r="D105" s="241" t="s">
        <v>632</v>
      </c>
      <c r="E105" s="241" t="s">
        <v>632</v>
      </c>
      <c r="F105" s="243" t="s">
        <v>646</v>
      </c>
      <c r="G105" s="241" t="s">
        <v>646</v>
      </c>
      <c r="H105" s="241" t="s">
        <v>646</v>
      </c>
      <c r="I105" s="244" t="s">
        <v>646</v>
      </c>
      <c r="J105" s="195">
        <f>'State DisAgg LFx10 (2015)'!D95</f>
        <v>2.2000000000000002</v>
      </c>
      <c r="K105" s="196"/>
      <c r="L105" s="196"/>
      <c r="M105" s="197"/>
      <c r="N105" s="195"/>
      <c r="O105" s="196">
        <f>'State DisAgg LFx10 (2015)'!H105</f>
        <v>2.1</v>
      </c>
      <c r="P105" s="196"/>
      <c r="Q105" s="197"/>
      <c r="R105" s="195"/>
      <c r="S105" s="196"/>
      <c r="T105" s="196"/>
      <c r="U105" s="197">
        <f>'State DisAgg LFx10 (2015)'!L105</f>
        <v>2.6</v>
      </c>
      <c r="V105" s="195"/>
      <c r="W105" s="196"/>
      <c r="X105" s="196"/>
      <c r="Y105" s="197">
        <f>'State DisAgg LFx10 (2015)'!P105</f>
        <v>3.2</v>
      </c>
      <c r="Z105" s="195"/>
      <c r="AA105" s="196"/>
      <c r="AB105" s="196"/>
      <c r="AC105" s="197">
        <f>'State DisAgg LFx10 (2015)'!T105</f>
        <v>0</v>
      </c>
      <c r="AD105" s="195"/>
      <c r="AE105" s="197"/>
      <c r="AH105" s="354">
        <f t="shared" ref="AH105:AH113" si="20">Y105-U105</f>
        <v>0.60000000000000009</v>
      </c>
      <c r="AI105" s="354">
        <f>U105-O105</f>
        <v>0.5</v>
      </c>
      <c r="AJ105" s="354">
        <f t="shared" si="19"/>
        <v>-0.10000000000000009</v>
      </c>
    </row>
    <row r="106" spans="1:36" ht="12.95" customHeight="1" thickBot="1">
      <c r="A106" s="885"/>
      <c r="B106" s="885"/>
      <c r="C106" s="9" t="s">
        <v>297</v>
      </c>
      <c r="D106" s="241" t="s">
        <v>632</v>
      </c>
      <c r="E106" s="241" t="s">
        <v>632</v>
      </c>
      <c r="F106" s="243" t="s">
        <v>646</v>
      </c>
      <c r="G106" s="241" t="s">
        <v>646</v>
      </c>
      <c r="H106" s="241" t="s">
        <v>646</v>
      </c>
      <c r="I106" s="244" t="s">
        <v>646</v>
      </c>
      <c r="J106" s="195">
        <f>'State DisAgg LFx10 (2015)'!D96</f>
        <v>2.1</v>
      </c>
      <c r="K106" s="196"/>
      <c r="L106" s="196"/>
      <c r="M106" s="197"/>
      <c r="N106" s="195"/>
      <c r="O106" s="196">
        <f>'State DisAgg LFx10 (2015)'!H106</f>
        <v>3</v>
      </c>
      <c r="P106" s="196"/>
      <c r="Q106" s="197"/>
      <c r="R106" s="195"/>
      <c r="S106" s="196"/>
      <c r="T106" s="196"/>
      <c r="U106" s="197">
        <f>'State DisAgg LFx10 (2015)'!L106</f>
        <v>2.9</v>
      </c>
      <c r="V106" s="195"/>
      <c r="W106" s="196"/>
      <c r="X106" s="196"/>
      <c r="Y106" s="197">
        <f>'State DisAgg LFx10 (2015)'!P106</f>
        <v>3.1</v>
      </c>
      <c r="Z106" s="195"/>
      <c r="AA106" s="196"/>
      <c r="AB106" s="196"/>
      <c r="AC106" s="197">
        <f>'State DisAgg LFx10 (2015)'!T106</f>
        <v>0</v>
      </c>
      <c r="AD106" s="195"/>
      <c r="AE106" s="197"/>
      <c r="AH106" s="354">
        <f t="shared" si="20"/>
        <v>0.20000000000000018</v>
      </c>
      <c r="AI106" s="354">
        <f>U106-O106</f>
        <v>-0.10000000000000009</v>
      </c>
      <c r="AJ106" s="354">
        <f t="shared" si="19"/>
        <v>0.89999999999999991</v>
      </c>
    </row>
    <row r="107" spans="1:36" ht="12.95" customHeight="1" thickBot="1">
      <c r="A107" s="885"/>
      <c r="B107" s="885"/>
      <c r="C107" s="9" t="s">
        <v>298</v>
      </c>
      <c r="D107" s="241" t="s">
        <v>632</v>
      </c>
      <c r="E107" s="241" t="s">
        <v>632</v>
      </c>
      <c r="F107" s="243" t="s">
        <v>646</v>
      </c>
      <c r="G107" s="241" t="s">
        <v>646</v>
      </c>
      <c r="H107" s="241" t="s">
        <v>646</v>
      </c>
      <c r="I107" s="244" t="s">
        <v>646</v>
      </c>
      <c r="J107" s="195">
        <f>'State DisAgg LFx10 (2015)'!D97</f>
        <v>1.9</v>
      </c>
      <c r="K107" s="196"/>
      <c r="L107" s="196"/>
      <c r="M107" s="197"/>
      <c r="N107" s="195"/>
      <c r="O107" s="196">
        <f>'State DisAgg LFx10 (2015)'!H107</f>
        <v>2</v>
      </c>
      <c r="P107" s="196"/>
      <c r="Q107" s="197"/>
      <c r="R107" s="195"/>
      <c r="S107" s="196"/>
      <c r="T107" s="196"/>
      <c r="U107" s="197">
        <f>'State DisAgg LFx10 (2015)'!L107</f>
        <v>3</v>
      </c>
      <c r="V107" s="195"/>
      <c r="W107" s="196"/>
      <c r="X107" s="196"/>
      <c r="Y107" s="197">
        <f>'State DisAgg LFx10 (2015)'!P107</f>
        <v>2.8</v>
      </c>
      <c r="Z107" s="195"/>
      <c r="AA107" s="196"/>
      <c r="AB107" s="196"/>
      <c r="AC107" s="197">
        <f>'State DisAgg LFx10 (2015)'!T107</f>
        <v>0</v>
      </c>
      <c r="AD107" s="195"/>
      <c r="AE107" s="197"/>
      <c r="AH107" s="354">
        <f t="shared" si="20"/>
        <v>-0.20000000000000018</v>
      </c>
      <c r="AI107" s="354">
        <f>U107-O107</f>
        <v>1</v>
      </c>
      <c r="AJ107" s="354">
        <f t="shared" si="19"/>
        <v>0.10000000000000009</v>
      </c>
    </row>
    <row r="108" spans="1:36" ht="12.95" customHeight="1" thickBot="1">
      <c r="A108" s="885"/>
      <c r="B108" s="885"/>
      <c r="C108" s="9" t="s">
        <v>299</v>
      </c>
      <c r="D108" s="241" t="s">
        <v>632</v>
      </c>
      <c r="E108" s="241" t="s">
        <v>632</v>
      </c>
      <c r="F108" s="243" t="s">
        <v>646</v>
      </c>
      <c r="G108" s="241" t="s">
        <v>646</v>
      </c>
      <c r="H108" s="241" t="s">
        <v>646</v>
      </c>
      <c r="I108" s="244" t="s">
        <v>646</v>
      </c>
      <c r="J108" s="195">
        <f>'State DisAgg LFx10 (2015)'!D98</f>
        <v>2.6</v>
      </c>
      <c r="K108" s="196"/>
      <c r="L108" s="196"/>
      <c r="M108" s="197"/>
      <c r="N108" s="195"/>
      <c r="O108" s="196">
        <f>'State DisAgg LFx10 (2015)'!H108</f>
        <v>3</v>
      </c>
      <c r="P108" s="196"/>
      <c r="Q108" s="197"/>
      <c r="R108" s="195"/>
      <c r="S108" s="196"/>
      <c r="T108" s="196"/>
      <c r="U108" s="197">
        <f>'State DisAgg LFx10 (2015)'!L108</f>
        <v>3</v>
      </c>
      <c r="V108" s="195"/>
      <c r="W108" s="196"/>
      <c r="X108" s="196"/>
      <c r="Y108" s="197">
        <f>'State DisAgg LFx10 (2015)'!P108</f>
        <v>3.5</v>
      </c>
      <c r="Z108" s="195"/>
      <c r="AA108" s="196"/>
      <c r="AB108" s="196"/>
      <c r="AC108" s="197">
        <f>'State DisAgg LFx10 (2015)'!T108</f>
        <v>0</v>
      </c>
      <c r="AD108" s="195"/>
      <c r="AE108" s="197"/>
      <c r="AH108" s="354">
        <f t="shared" si="20"/>
        <v>0.5</v>
      </c>
      <c r="AI108" s="354">
        <f>U108-O108</f>
        <v>0</v>
      </c>
      <c r="AJ108" s="354">
        <f t="shared" si="19"/>
        <v>0.39999999999999991</v>
      </c>
    </row>
    <row r="109" spans="1:36" ht="13.5" thickBot="1">
      <c r="A109" s="885"/>
      <c r="B109" s="885"/>
      <c r="C109" s="9" t="s">
        <v>300</v>
      </c>
      <c r="D109" s="199"/>
      <c r="E109" s="200"/>
      <c r="F109" s="201"/>
      <c r="G109" s="199"/>
      <c r="H109" s="199"/>
      <c r="I109" s="200"/>
      <c r="J109" s="201"/>
      <c r="K109" s="199"/>
      <c r="L109" s="199"/>
      <c r="M109" s="200"/>
      <c r="N109" s="198"/>
      <c r="O109" s="217" t="s">
        <v>634</v>
      </c>
      <c r="P109" s="241" t="s">
        <v>632</v>
      </c>
      <c r="Q109" s="244" t="s">
        <v>646</v>
      </c>
      <c r="R109" s="195">
        <f>'State DisAgg LFx10 (2015)'!H99</f>
        <v>1.5</v>
      </c>
      <c r="S109" s="196"/>
      <c r="T109" s="196"/>
      <c r="U109" s="197">
        <f>'State DisAgg LFx10 (2015)'!L109</f>
        <v>1.5</v>
      </c>
      <c r="V109" s="195"/>
      <c r="W109" s="196"/>
      <c r="X109" s="196"/>
      <c r="Y109" s="197">
        <f>'State DisAgg LFx10 (2015)'!P109</f>
        <v>2.2000000000000002</v>
      </c>
      <c r="Z109" s="195"/>
      <c r="AA109" s="196"/>
      <c r="AB109" s="196"/>
      <c r="AC109" s="197">
        <f>'State DisAgg LFx10 (2015)'!T109</f>
        <v>0</v>
      </c>
      <c r="AD109" s="195"/>
      <c r="AE109" s="197"/>
      <c r="AH109" s="354">
        <f t="shared" si="20"/>
        <v>0.70000000000000018</v>
      </c>
      <c r="AI109" s="354">
        <f>U109-R109</f>
        <v>0</v>
      </c>
      <c r="AJ109" s="354" t="e">
        <f t="shared" si="19"/>
        <v>#VALUE!</v>
      </c>
    </row>
    <row r="110" spans="1:36" ht="13.5" thickBot="1">
      <c r="A110" s="885"/>
      <c r="B110" s="885"/>
      <c r="C110" s="9" t="s">
        <v>301</v>
      </c>
      <c r="D110" s="199"/>
      <c r="E110" s="200"/>
      <c r="F110" s="201"/>
      <c r="G110" s="199"/>
      <c r="H110" s="199"/>
      <c r="I110" s="200"/>
      <c r="J110" s="201"/>
      <c r="K110" s="199"/>
      <c r="L110" s="199"/>
      <c r="M110" s="200"/>
      <c r="N110" s="198"/>
      <c r="O110" s="217" t="s">
        <v>634</v>
      </c>
      <c r="P110" s="241" t="s">
        <v>632</v>
      </c>
      <c r="Q110" s="244" t="s">
        <v>646</v>
      </c>
      <c r="R110" s="195">
        <f>'State DisAgg LFx10 (2015)'!H100</f>
        <v>2.8</v>
      </c>
      <c r="S110" s="196"/>
      <c r="T110" s="196"/>
      <c r="U110" s="197">
        <f>'State DisAgg LFx10 (2015)'!L110</f>
        <v>2.8</v>
      </c>
      <c r="V110" s="195"/>
      <c r="W110" s="196"/>
      <c r="X110" s="196"/>
      <c r="Y110" s="197">
        <f>'State DisAgg LFx10 (2015)'!P110</f>
        <v>2.2000000000000002</v>
      </c>
      <c r="Z110" s="195"/>
      <c r="AA110" s="196"/>
      <c r="AB110" s="196"/>
      <c r="AC110" s="197">
        <f>'State DisAgg LFx10 (2015)'!T110</f>
        <v>0</v>
      </c>
      <c r="AD110" s="195"/>
      <c r="AE110" s="197"/>
      <c r="AH110" s="354">
        <f t="shared" si="20"/>
        <v>-0.59999999999999964</v>
      </c>
      <c r="AI110" s="354">
        <f t="shared" ref="AI110:AI111" si="21">U110-R110</f>
        <v>0</v>
      </c>
      <c r="AJ110" s="354" t="e">
        <f t="shared" si="19"/>
        <v>#VALUE!</v>
      </c>
    </row>
    <row r="111" spans="1:36" ht="13.5" thickBot="1">
      <c r="A111" s="885"/>
      <c r="B111" s="885"/>
      <c r="C111" s="9" t="s">
        <v>302</v>
      </c>
      <c r="D111" s="199"/>
      <c r="E111" s="200"/>
      <c r="F111" s="201"/>
      <c r="G111" s="199"/>
      <c r="H111" s="199"/>
      <c r="I111" s="200"/>
      <c r="J111" s="201"/>
      <c r="K111" s="199"/>
      <c r="L111" s="199"/>
      <c r="M111" s="200"/>
      <c r="N111" s="198"/>
      <c r="O111" s="217" t="s">
        <v>634</v>
      </c>
      <c r="P111" s="241" t="s">
        <v>632</v>
      </c>
      <c r="Q111" s="244" t="s">
        <v>646</v>
      </c>
      <c r="R111" s="195">
        <f>'State DisAgg LFx10 (2015)'!H101</f>
        <v>2.2000000000000002</v>
      </c>
      <c r="S111" s="196"/>
      <c r="T111" s="196"/>
      <c r="U111" s="197">
        <f>'State DisAgg LFx10 (2015)'!L111</f>
        <v>2.2000000000000002</v>
      </c>
      <c r="V111" s="195"/>
      <c r="W111" s="196"/>
      <c r="X111" s="196"/>
      <c r="Y111" s="197">
        <f>'State DisAgg LFx10 (2015)'!P111</f>
        <v>2.5</v>
      </c>
      <c r="Z111" s="195"/>
      <c r="AA111" s="196"/>
      <c r="AB111" s="196"/>
      <c r="AC111" s="197">
        <f>'State DisAgg LFx10 (2015)'!T111</f>
        <v>0</v>
      </c>
      <c r="AD111" s="195"/>
      <c r="AE111" s="197"/>
      <c r="AH111" s="354">
        <f t="shared" si="20"/>
        <v>0.29999999999999982</v>
      </c>
      <c r="AI111" s="354">
        <f t="shared" si="21"/>
        <v>0</v>
      </c>
      <c r="AJ111" s="354" t="e">
        <f t="shared" si="19"/>
        <v>#VALUE!</v>
      </c>
    </row>
    <row r="112" spans="1:36" ht="13.5" thickBot="1">
      <c r="A112" s="885"/>
      <c r="B112" s="885"/>
      <c r="C112" s="9" t="s">
        <v>303</v>
      </c>
      <c r="D112" s="202"/>
      <c r="E112" s="203"/>
      <c r="F112" s="201"/>
      <c r="G112" s="202"/>
      <c r="H112" s="202"/>
      <c r="I112" s="203"/>
      <c r="J112" s="201"/>
      <c r="K112" s="202"/>
      <c r="L112" s="202"/>
      <c r="M112" s="203"/>
      <c r="N112" s="204"/>
      <c r="O112" s="214"/>
      <c r="P112" s="205"/>
      <c r="Q112" s="205"/>
      <c r="R112" s="201"/>
      <c r="S112" s="202"/>
      <c r="T112" s="202"/>
      <c r="U112" s="203"/>
      <c r="V112" s="242"/>
      <c r="W112" s="217" t="s">
        <v>633</v>
      </c>
      <c r="X112" s="241" t="s">
        <v>632</v>
      </c>
      <c r="Y112" s="197">
        <f>'State DisAgg LFx10 (2015)'!P102</f>
        <v>2.1</v>
      </c>
      <c r="Z112" s="195"/>
      <c r="AA112" s="196"/>
      <c r="AB112" s="196"/>
      <c r="AC112" s="197">
        <f>'State DisAgg LFx10 (2015)'!T112</f>
        <v>0</v>
      </c>
      <c r="AD112" s="195"/>
      <c r="AE112" s="197"/>
      <c r="AH112" s="354">
        <f t="shared" si="20"/>
        <v>2.1</v>
      </c>
      <c r="AI112" s="354">
        <f>U112-O112</f>
        <v>0</v>
      </c>
      <c r="AJ112" s="354">
        <f t="shared" si="19"/>
        <v>0</v>
      </c>
    </row>
    <row r="113" spans="1:36" ht="13.5" thickBot="1">
      <c r="A113" s="885"/>
      <c r="B113" s="885"/>
      <c r="C113" s="9" t="s">
        <v>304</v>
      </c>
      <c r="D113" s="202"/>
      <c r="E113" s="203"/>
      <c r="F113" s="201"/>
      <c r="G113" s="202"/>
      <c r="H113" s="202"/>
      <c r="I113" s="203"/>
      <c r="J113" s="201"/>
      <c r="K113" s="202"/>
      <c r="L113" s="202"/>
      <c r="M113" s="203"/>
      <c r="N113" s="204"/>
      <c r="O113" s="205"/>
      <c r="P113" s="205"/>
      <c r="Q113" s="205"/>
      <c r="R113" s="201"/>
      <c r="S113" s="202"/>
      <c r="T113" s="202"/>
      <c r="U113" s="203"/>
      <c r="V113" s="242"/>
      <c r="W113" s="217" t="s">
        <v>633</v>
      </c>
      <c r="X113" s="241" t="s">
        <v>632</v>
      </c>
      <c r="Y113" s="197">
        <f>'State DisAgg LFx10 (2015)'!P103</f>
        <v>2.5</v>
      </c>
      <c r="Z113" s="195"/>
      <c r="AA113" s="196"/>
      <c r="AB113" s="196"/>
      <c r="AC113" s="197">
        <f>'State DisAgg LFx10 (2015)'!T113</f>
        <v>0</v>
      </c>
      <c r="AD113" s="195"/>
      <c r="AE113" s="197"/>
      <c r="AH113" s="354">
        <f t="shared" si="20"/>
        <v>2.5</v>
      </c>
      <c r="AI113" s="354">
        <f>U113-O113</f>
        <v>0</v>
      </c>
      <c r="AJ113" s="354">
        <f t="shared" si="19"/>
        <v>0</v>
      </c>
    </row>
    <row r="114" spans="1:36" ht="12.95" hidden="1" customHeight="1" thickBot="1">
      <c r="A114" s="885"/>
      <c r="B114" s="273"/>
      <c r="C114" s="231"/>
      <c r="D114" s="232"/>
      <c r="E114" s="233"/>
      <c r="F114" s="234"/>
      <c r="G114" s="232"/>
      <c r="H114" s="232"/>
      <c r="I114" s="233"/>
      <c r="J114" s="234"/>
      <c r="K114" s="232"/>
      <c r="L114" s="232"/>
      <c r="M114" s="233"/>
      <c r="N114" s="234"/>
      <c r="O114" s="232"/>
      <c r="P114" s="232"/>
      <c r="Q114" s="233"/>
      <c r="R114" s="234"/>
      <c r="S114" s="232"/>
      <c r="T114" s="232"/>
      <c r="U114" s="233"/>
      <c r="V114" s="234"/>
      <c r="W114" s="232"/>
      <c r="X114" s="232"/>
      <c r="Y114" s="233"/>
      <c r="Z114" s="234"/>
      <c r="AA114" s="232"/>
      <c r="AB114" s="232"/>
      <c r="AC114" s="233"/>
      <c r="AD114" s="234"/>
      <c r="AE114" s="233"/>
      <c r="AH114" s="353">
        <v>18</v>
      </c>
      <c r="AI114" s="353">
        <v>18</v>
      </c>
      <c r="AJ114" s="353">
        <v>18</v>
      </c>
    </row>
    <row r="115" spans="1:36" ht="12.95" hidden="1" customHeight="1" thickBot="1">
      <c r="A115" s="885"/>
      <c r="B115" s="273"/>
      <c r="C115" s="231"/>
      <c r="D115" s="232"/>
      <c r="E115" s="233"/>
      <c r="F115" s="234"/>
      <c r="G115" s="232"/>
      <c r="H115" s="232"/>
      <c r="I115" s="233"/>
      <c r="J115" s="234"/>
      <c r="K115" s="232"/>
      <c r="L115" s="232"/>
      <c r="M115" s="233"/>
      <c r="N115" s="234"/>
      <c r="O115" s="232"/>
      <c r="P115" s="232"/>
      <c r="Q115" s="233"/>
      <c r="R115" s="234"/>
      <c r="S115" s="232"/>
      <c r="T115" s="232"/>
      <c r="U115" s="233"/>
      <c r="V115" s="234"/>
      <c r="W115" s="232"/>
      <c r="X115" s="232"/>
      <c r="Y115" s="233"/>
      <c r="Z115" s="234"/>
      <c r="AA115" s="232"/>
      <c r="AB115" s="232"/>
      <c r="AC115" s="233"/>
      <c r="AD115" s="234"/>
      <c r="AE115" s="233"/>
      <c r="AH115" s="353">
        <v>16</v>
      </c>
      <c r="AI115" s="353">
        <v>16</v>
      </c>
      <c r="AJ115" s="353">
        <v>16</v>
      </c>
    </row>
    <row r="116" spans="1:36" ht="12.95" customHeight="1" thickBot="1">
      <c r="A116" s="885"/>
      <c r="B116" s="3" t="s">
        <v>23</v>
      </c>
      <c r="C116" s="12"/>
      <c r="D116" s="1377">
        <v>2008</v>
      </c>
      <c r="E116" s="1378"/>
      <c r="F116" s="1372">
        <v>2009</v>
      </c>
      <c r="G116" s="1373"/>
      <c r="H116" s="1373"/>
      <c r="I116" s="1374"/>
      <c r="J116" s="1372">
        <v>2010</v>
      </c>
      <c r="K116" s="1373"/>
      <c r="L116" s="1373"/>
      <c r="M116" s="1374"/>
      <c r="N116" s="1372">
        <v>2011</v>
      </c>
      <c r="O116" s="1373"/>
      <c r="P116" s="1373"/>
      <c r="Q116" s="1374"/>
      <c r="R116" s="1372">
        <v>2012</v>
      </c>
      <c r="S116" s="1373"/>
      <c r="T116" s="1373"/>
      <c r="U116" s="1374"/>
      <c r="V116" s="1372">
        <v>2013</v>
      </c>
      <c r="W116" s="1373"/>
      <c r="X116" s="1373"/>
      <c r="Y116" s="1374"/>
      <c r="Z116" s="1372">
        <v>2014</v>
      </c>
      <c r="AA116" s="1373"/>
      <c r="AB116" s="1373"/>
      <c r="AC116" s="1374"/>
      <c r="AD116" s="1372">
        <v>2015</v>
      </c>
      <c r="AE116" s="1374"/>
      <c r="AG116" s="257" t="s">
        <v>663</v>
      </c>
    </row>
    <row r="117" spans="1:36" ht="13.5" thickBot="1">
      <c r="A117" s="885"/>
      <c r="B117" s="868" t="s">
        <v>56</v>
      </c>
      <c r="C117" s="194" t="s">
        <v>802</v>
      </c>
      <c r="D117" s="206"/>
      <c r="E117" s="207"/>
      <c r="F117" s="209"/>
      <c r="G117" s="206"/>
      <c r="H117" s="206"/>
      <c r="I117" s="207"/>
      <c r="J117" s="332" t="s">
        <v>721</v>
      </c>
      <c r="K117" s="206"/>
      <c r="L117" s="206"/>
      <c r="M117" s="207"/>
      <c r="N117" s="277"/>
      <c r="O117" s="278">
        <f>(O127-J127)/5/$C$666/Spend!O117*'State Efficiency Ratios'!$C$654</f>
        <v>358.27518282758501</v>
      </c>
      <c r="P117" s="278"/>
      <c r="Q117" s="279"/>
      <c r="R117" s="277"/>
      <c r="S117" s="278"/>
      <c r="T117" s="278"/>
      <c r="U117" s="278">
        <f>(U127-O127)/6/$C$666/Spend!U117*'State Efficiency Ratios'!$C$654</f>
        <v>-179.45266544089543</v>
      </c>
      <c r="V117" s="277"/>
      <c r="W117" s="278"/>
      <c r="X117" s="278"/>
      <c r="Y117" s="278">
        <f>(Y127-U127)/4/$C$666/Spend!Y117*'State Efficiency Ratios'!$C$654</f>
        <v>601.9725531729955</v>
      </c>
      <c r="Z117" s="277"/>
      <c r="AA117" s="278"/>
      <c r="AB117" s="278"/>
      <c r="AC117" s="278">
        <f>(AC127-Y127)/4/$C$666/Spend!AC117*'State Efficiency Ratios'!$C$654</f>
        <v>-2605.07371508094</v>
      </c>
      <c r="AD117" s="277"/>
      <c r="AE117" s="280"/>
      <c r="AG117" s="295"/>
      <c r="AH117" s="351">
        <f>SUM(AH104:AH111)/8</f>
        <v>0.32500000000000007</v>
      </c>
      <c r="AI117" s="356">
        <f>4/6*SUM(AI104:AI108)/5</f>
        <v>0.30666666666666664</v>
      </c>
      <c r="AJ117" s="351">
        <f>4/5*SUM(AJ104:AJ108)/5</f>
        <v>0.20799999999999996</v>
      </c>
    </row>
    <row r="118" spans="1:36" ht="24.75" thickBot="1">
      <c r="A118" s="885"/>
      <c r="B118" s="885"/>
      <c r="C118" s="194" t="s">
        <v>803</v>
      </c>
      <c r="D118" s="206"/>
      <c r="E118" s="207"/>
      <c r="F118" s="209"/>
      <c r="G118" s="206"/>
      <c r="H118" s="206"/>
      <c r="I118" s="207"/>
      <c r="J118" s="209"/>
      <c r="K118" s="206"/>
      <c r="L118" s="206"/>
      <c r="M118" s="207"/>
      <c r="N118" s="277"/>
      <c r="O118" s="278">
        <f>(O128-J128)/5/$C$666/Spend!O118*'State Efficiency Ratios'!$C$654</f>
        <v>77.287105343683251</v>
      </c>
      <c r="P118" s="278"/>
      <c r="Q118" s="279"/>
      <c r="R118" s="277"/>
      <c r="S118" s="278"/>
      <c r="T118" s="278"/>
      <c r="U118" s="278">
        <f>(U128-O128)/6/$C$666/Spend!U118*'State Efficiency Ratios'!$C$654</f>
        <v>0</v>
      </c>
      <c r="V118" s="277"/>
      <c r="W118" s="278"/>
      <c r="X118" s="278"/>
      <c r="Y118" s="278">
        <f>(Y128-U128)/4/$C$666/Spend!Y118*'State Efficiency Ratios'!$C$654</f>
        <v>1018.6604472012652</v>
      </c>
      <c r="Z118" s="277"/>
      <c r="AA118" s="278"/>
      <c r="AB118" s="278"/>
      <c r="AC118" s="278">
        <f>(AC128-Y128)/4/$C$666/Spend!AC118*'State Efficiency Ratios'!$C$654</f>
        <v>-3646.0937122491991</v>
      </c>
      <c r="AD118" s="277"/>
      <c r="AE118" s="280"/>
      <c r="AG118" s="295"/>
      <c r="AH118" s="378">
        <f>SUM(Y94:Y101)/8</f>
        <v>234.15194091479651</v>
      </c>
      <c r="AI118" s="378">
        <f>SUM(U94:U98)/5</f>
        <v>160.11669397367021</v>
      </c>
      <c r="AJ118" s="378">
        <f>SUM(O94:O98)/5</f>
        <v>46.82871513159747</v>
      </c>
    </row>
    <row r="119" spans="1:36" ht="24.75" thickBot="1">
      <c r="A119" s="885"/>
      <c r="B119" s="885"/>
      <c r="C119" s="194" t="s">
        <v>804</v>
      </c>
      <c r="D119" s="206"/>
      <c r="E119" s="207"/>
      <c r="F119" s="209"/>
      <c r="G119" s="206"/>
      <c r="H119" s="206"/>
      <c r="I119" s="207"/>
      <c r="J119" s="209"/>
      <c r="K119" s="206"/>
      <c r="L119" s="206"/>
      <c r="M119" s="207"/>
      <c r="N119" s="277"/>
      <c r="O119" s="278">
        <f>(O129-J129)/5/$C$666/Spend!O119*'State Efficiency Ratios'!$C$654</f>
        <v>148.99045676793327</v>
      </c>
      <c r="P119" s="278"/>
      <c r="Q119" s="279"/>
      <c r="R119" s="277"/>
      <c r="S119" s="278"/>
      <c r="T119" s="278"/>
      <c r="U119" s="278">
        <f>(U129-O129)/6/$C$666/Spend!U119*'State Efficiency Ratios'!$C$654</f>
        <v>32.51430052200881</v>
      </c>
      <c r="V119" s="277"/>
      <c r="W119" s="278"/>
      <c r="X119" s="278"/>
      <c r="Y119" s="278">
        <f>(Y129-U129)/4/$C$666/Spend!Y119*'State Efficiency Ratios'!$C$654</f>
        <v>144.54837161452323</v>
      </c>
      <c r="Z119" s="277"/>
      <c r="AA119" s="278"/>
      <c r="AB119" s="278"/>
      <c r="AC119" s="278">
        <f>(AC129-Y129)/4/$C$666/Spend!AC119*'State Efficiency Ratios'!$C$654</f>
        <v>-2948.8990819760957</v>
      </c>
      <c r="AD119" s="277"/>
      <c r="AE119" s="280"/>
      <c r="AG119" s="295"/>
    </row>
    <row r="120" spans="1:36" ht="13.5" thickBot="1">
      <c r="A120" s="885"/>
      <c r="B120" s="885"/>
      <c r="C120" s="194" t="s">
        <v>805</v>
      </c>
      <c r="D120" s="206"/>
      <c r="E120" s="207"/>
      <c r="F120" s="209"/>
      <c r="G120" s="206"/>
      <c r="H120" s="206"/>
      <c r="I120" s="207"/>
      <c r="J120" s="209"/>
      <c r="K120" s="206"/>
      <c r="L120" s="206"/>
      <c r="M120" s="207"/>
      <c r="N120" s="277"/>
      <c r="O120" s="278">
        <f>(O130-J130)/5/$C$666/Spend!O120*'State Efficiency Ratios'!$C$654</f>
        <v>0</v>
      </c>
      <c r="P120" s="278"/>
      <c r="Q120" s="279"/>
      <c r="R120" s="277"/>
      <c r="S120" s="278"/>
      <c r="T120" s="278"/>
      <c r="U120" s="278">
        <f>(U130-O130)/6/$C$666/Spend!U120*'State Efficiency Ratios'!$C$654</f>
        <v>480.69683210226066</v>
      </c>
      <c r="V120" s="277"/>
      <c r="W120" s="278"/>
      <c r="X120" s="278"/>
      <c r="Y120" s="278">
        <f>(Y130-U130)/4/$C$666/Spend!Y120*'State Efficiency Ratios'!$C$654</f>
        <v>0</v>
      </c>
      <c r="Z120" s="277"/>
      <c r="AA120" s="278"/>
      <c r="AB120" s="278"/>
      <c r="AC120" s="278">
        <f>(AC130-Y130)/4/$C$666/Spend!AC120*'State Efficiency Ratios'!$C$654</f>
        <v>-2756.9547713484344</v>
      </c>
      <c r="AD120" s="277"/>
      <c r="AE120" s="280"/>
      <c r="AG120" s="295"/>
    </row>
    <row r="121" spans="1:36" ht="13.5" thickBot="1">
      <c r="A121" s="885"/>
      <c r="B121" s="885"/>
      <c r="C121" s="194" t="s">
        <v>806</v>
      </c>
      <c r="D121" s="206"/>
      <c r="E121" s="207"/>
      <c r="F121" s="209"/>
      <c r="G121" s="206"/>
      <c r="H121" s="206"/>
      <c r="I121" s="207"/>
      <c r="J121" s="209"/>
      <c r="K121" s="206"/>
      <c r="L121" s="206"/>
      <c r="M121" s="207"/>
      <c r="N121" s="277"/>
      <c r="O121" s="278">
        <f>(O131-J131)/5/$C$666/Spend!O121*'State Efficiency Ratios'!$C$654</f>
        <v>117.46516859874311</v>
      </c>
      <c r="P121" s="278"/>
      <c r="Q121" s="279"/>
      <c r="R121" s="277"/>
      <c r="S121" s="278"/>
      <c r="T121" s="278"/>
      <c r="U121" s="278">
        <f>(U131-O131)/6/$C$666/Spend!U121*'State Efficiency Ratios'!$C$654</f>
        <v>-24.239907095767208</v>
      </c>
      <c r="V121" s="277"/>
      <c r="W121" s="278"/>
      <c r="X121" s="278"/>
      <c r="Y121" s="278">
        <f>(Y131-U131)/4/$C$666/Spend!Y121*'State Efficiency Ratios'!$C$654</f>
        <v>134.57193282126934</v>
      </c>
      <c r="Z121" s="277"/>
      <c r="AA121" s="278"/>
      <c r="AB121" s="278"/>
      <c r="AC121" s="278">
        <f>(AC131-Y131)/4/$C$666/Spend!AC121*'State Efficiency Ratios'!$C$654</f>
        <v>-2103.7648030545074</v>
      </c>
      <c r="AD121" s="277"/>
      <c r="AE121" s="280"/>
      <c r="AG121" s="295"/>
    </row>
    <row r="122" spans="1:36" ht="12.95" customHeight="1" thickBot="1">
      <c r="A122" s="885"/>
      <c r="B122" s="885"/>
      <c r="C122" s="194" t="s">
        <v>807</v>
      </c>
      <c r="D122" s="210"/>
      <c r="E122" s="211"/>
      <c r="F122" s="209"/>
      <c r="G122" s="210"/>
      <c r="H122" s="210"/>
      <c r="I122" s="211"/>
      <c r="J122" s="209"/>
      <c r="K122" s="210"/>
      <c r="L122" s="210"/>
      <c r="M122" s="211"/>
      <c r="N122" s="281"/>
      <c r="O122" s="282"/>
      <c r="P122" s="282"/>
      <c r="Q122" s="282"/>
      <c r="R122" s="277"/>
      <c r="S122" s="278"/>
      <c r="T122" s="278"/>
      <c r="U122" s="278">
        <f>(U132-R132)/3/$C$666/Spend!U122*'State Efficiency Ratios'!$C$654</f>
        <v>0</v>
      </c>
      <c r="V122" s="277"/>
      <c r="W122" s="278"/>
      <c r="X122" s="278"/>
      <c r="Y122" s="278">
        <f>(Y132-U132)/4/$C$666/Spend!Y122*'State Efficiency Ratios'!$C$654</f>
        <v>317.02249670214877</v>
      </c>
      <c r="Z122" s="277"/>
      <c r="AA122" s="278"/>
      <c r="AB122" s="278"/>
      <c r="AC122" s="278">
        <f>(AC132-Y132)/4/$C$666/Spend!AC122*'State Efficiency Ratios'!$C$654</f>
        <v>-1481.8543034891577</v>
      </c>
      <c r="AD122" s="277"/>
      <c r="AE122" s="280"/>
      <c r="AG122" s="295"/>
    </row>
    <row r="123" spans="1:36" ht="12.95" customHeight="1" thickBot="1">
      <c r="A123" s="885"/>
      <c r="B123" s="885"/>
      <c r="C123" s="194" t="s">
        <v>808</v>
      </c>
      <c r="D123" s="210"/>
      <c r="E123" s="211"/>
      <c r="F123" s="209"/>
      <c r="G123" s="210"/>
      <c r="H123" s="210"/>
      <c r="I123" s="211"/>
      <c r="J123" s="209"/>
      <c r="K123" s="210"/>
      <c r="L123" s="210"/>
      <c r="M123" s="211"/>
      <c r="N123" s="281"/>
      <c r="O123" s="282"/>
      <c r="P123" s="282"/>
      <c r="Q123" s="282"/>
      <c r="R123" s="277"/>
      <c r="S123" s="278"/>
      <c r="T123" s="278"/>
      <c r="U123" s="278">
        <f>(U133-R133)/3/$C$666/Spend!U123*'State Efficiency Ratios'!$C$654</f>
        <v>0</v>
      </c>
      <c r="V123" s="277"/>
      <c r="W123" s="278"/>
      <c r="X123" s="278"/>
      <c r="Y123" s="278">
        <f>(Y133-U133)/4/$C$666/Spend!Y123*'State Efficiency Ratios'!$C$654</f>
        <v>1034.9950917294318</v>
      </c>
      <c r="Z123" s="277"/>
      <c r="AA123" s="278"/>
      <c r="AB123" s="278"/>
      <c r="AC123" s="278">
        <f>(AC133-Y133)/4/$C$666/Spend!AC123*'State Efficiency Ratios'!$C$654</f>
        <v>-2413.7136310244778</v>
      </c>
      <c r="AD123" s="277"/>
      <c r="AE123" s="280"/>
      <c r="AG123" s="295"/>
    </row>
    <row r="124" spans="1:36" ht="12.95" customHeight="1" thickBot="1">
      <c r="A124" s="885"/>
      <c r="B124" s="885"/>
      <c r="C124" s="194" t="s">
        <v>809</v>
      </c>
      <c r="D124" s="210"/>
      <c r="E124" s="211"/>
      <c r="F124" s="209"/>
      <c r="G124" s="210"/>
      <c r="H124" s="210"/>
      <c r="I124" s="211"/>
      <c r="J124" s="209"/>
      <c r="K124" s="210"/>
      <c r="L124" s="210"/>
      <c r="M124" s="211"/>
      <c r="N124" s="281"/>
      <c r="O124" s="282"/>
      <c r="P124" s="282"/>
      <c r="Q124" s="282"/>
      <c r="R124" s="277"/>
      <c r="S124" s="278"/>
      <c r="T124" s="278"/>
      <c r="U124" s="278">
        <f>(U134-R134)/3/$C$666/Spend!U124*'State Efficiency Ratios'!$C$654</f>
        <v>0</v>
      </c>
      <c r="V124" s="277"/>
      <c r="W124" s="278"/>
      <c r="X124" s="278"/>
      <c r="Y124" s="278">
        <f>(Y134-U134)/4/$C$666/Spend!Y124*'State Efficiency Ratios'!$C$654</f>
        <v>668.45929129648323</v>
      </c>
      <c r="Z124" s="277"/>
      <c r="AA124" s="278"/>
      <c r="AB124" s="278"/>
      <c r="AC124" s="278">
        <f>(AC134-Y134)/4/$C$666/Spend!AC124*'State Efficiency Ratios'!$C$654</f>
        <v>-2035.3339753558325</v>
      </c>
      <c r="AD124" s="277"/>
      <c r="AE124" s="280"/>
      <c r="AG124" s="295"/>
    </row>
    <row r="125" spans="1:36" ht="12.95" customHeight="1" thickBot="1">
      <c r="A125" s="885"/>
      <c r="B125" s="885"/>
      <c r="C125" s="194" t="s">
        <v>810</v>
      </c>
      <c r="D125" s="210"/>
      <c r="E125" s="211"/>
      <c r="F125" s="209"/>
      <c r="G125" s="210"/>
      <c r="H125" s="210"/>
      <c r="I125" s="211"/>
      <c r="J125" s="209"/>
      <c r="K125" s="210"/>
      <c r="L125" s="210"/>
      <c r="M125" s="211"/>
      <c r="N125" s="281"/>
      <c r="O125" s="282"/>
      <c r="P125" s="282"/>
      <c r="Q125" s="283"/>
      <c r="R125" s="281"/>
      <c r="S125" s="282"/>
      <c r="T125" s="282"/>
      <c r="U125" s="283"/>
      <c r="V125" s="281"/>
      <c r="W125" s="282"/>
      <c r="X125" s="282"/>
      <c r="Y125" s="283"/>
      <c r="Z125" s="277"/>
      <c r="AA125" s="278"/>
      <c r="AB125" s="278"/>
      <c r="AC125" s="278">
        <f>(AC135-Y135)/4/$C$666/Spend!AC125*'State Efficiency Ratios'!$C$654</f>
        <v>-2599.7912988511562</v>
      </c>
      <c r="AD125" s="277"/>
      <c r="AE125" s="280"/>
      <c r="AG125" s="295"/>
    </row>
    <row r="126" spans="1:36" ht="12.95" customHeight="1" thickBot="1">
      <c r="A126" s="885"/>
      <c r="B126" s="885"/>
      <c r="C126" s="194" t="s">
        <v>811</v>
      </c>
      <c r="D126" s="210"/>
      <c r="E126" s="211"/>
      <c r="F126" s="209"/>
      <c r="G126" s="210"/>
      <c r="H126" s="210"/>
      <c r="I126" s="211"/>
      <c r="J126" s="209"/>
      <c r="K126" s="210"/>
      <c r="L126" s="210"/>
      <c r="M126" s="211"/>
      <c r="N126" s="281"/>
      <c r="O126" s="282"/>
      <c r="P126" s="282"/>
      <c r="Q126" s="283"/>
      <c r="R126" s="281"/>
      <c r="S126" s="282"/>
      <c r="T126" s="282"/>
      <c r="U126" s="283"/>
      <c r="V126" s="281"/>
      <c r="W126" s="282"/>
      <c r="X126" s="282"/>
      <c r="Y126" s="283"/>
      <c r="Z126" s="277"/>
      <c r="AA126" s="278"/>
      <c r="AB126" s="278"/>
      <c r="AC126" s="278">
        <f>(AC136-Y136)/4/$C$666/Spend!AC126*'State Efficiency Ratios'!$C$654</f>
        <v>-1996.2545775155654</v>
      </c>
      <c r="AD126" s="277"/>
      <c r="AE126" s="280"/>
      <c r="AG126" s="295"/>
    </row>
    <row r="127" spans="1:36" ht="12.95" customHeight="1" thickBot="1">
      <c r="A127" s="885"/>
      <c r="B127" s="885"/>
      <c r="C127" s="9" t="s">
        <v>295</v>
      </c>
      <c r="D127" s="241" t="s">
        <v>632</v>
      </c>
      <c r="E127" s="241" t="s">
        <v>632</v>
      </c>
      <c r="F127" s="243" t="s">
        <v>646</v>
      </c>
      <c r="G127" s="241" t="s">
        <v>646</v>
      </c>
      <c r="H127" s="241" t="s">
        <v>646</v>
      </c>
      <c r="I127" s="244" t="s">
        <v>646</v>
      </c>
      <c r="J127" s="195">
        <f>'State DisAgg LFx10 (2015)'!D117</f>
        <v>1</v>
      </c>
      <c r="K127" s="196"/>
      <c r="L127" s="196"/>
      <c r="M127" s="197"/>
      <c r="N127" s="195"/>
      <c r="O127" s="196">
        <f>'State DisAgg LFx10 (2015)'!H127</f>
        <v>3</v>
      </c>
      <c r="P127" s="196"/>
      <c r="Q127" s="197"/>
      <c r="R127" s="195"/>
      <c r="S127" s="196"/>
      <c r="T127" s="196"/>
      <c r="U127" s="197">
        <f>'State DisAgg LFx10 (2015)'!L127</f>
        <v>2.5</v>
      </c>
      <c r="V127" s="195"/>
      <c r="W127" s="196"/>
      <c r="X127" s="196"/>
      <c r="Y127" s="197">
        <f>'State DisAgg LFx10 (2015)'!P127</f>
        <v>3.3</v>
      </c>
      <c r="Z127" s="195"/>
      <c r="AA127" s="196"/>
      <c r="AB127" s="196"/>
      <c r="AC127" s="197">
        <f>'State DisAgg LFx10 (2015)'!T127</f>
        <v>0</v>
      </c>
      <c r="AD127" s="195"/>
      <c r="AE127" s="197"/>
      <c r="AH127" s="354">
        <f>Y127-U127</f>
        <v>0.79999999999999982</v>
      </c>
      <c r="AI127" s="354">
        <f>U127-O127</f>
        <v>-0.5</v>
      </c>
      <c r="AJ127" s="354">
        <f t="shared" ref="AJ127:AJ136" si="22">O127-J127</f>
        <v>2</v>
      </c>
    </row>
    <row r="128" spans="1:36" ht="12.95" customHeight="1" thickBot="1">
      <c r="A128" s="885"/>
      <c r="B128" s="885"/>
      <c r="C128" s="9" t="s">
        <v>296</v>
      </c>
      <c r="D128" s="241" t="s">
        <v>632</v>
      </c>
      <c r="E128" s="241" t="s">
        <v>632</v>
      </c>
      <c r="F128" s="243" t="s">
        <v>646</v>
      </c>
      <c r="G128" s="241" t="s">
        <v>646</v>
      </c>
      <c r="H128" s="241" t="s">
        <v>646</v>
      </c>
      <c r="I128" s="244" t="s">
        <v>646</v>
      </c>
      <c r="J128" s="195">
        <f>'State DisAgg LFx10 (2015)'!D118</f>
        <v>2.4</v>
      </c>
      <c r="K128" s="196"/>
      <c r="L128" s="196"/>
      <c r="M128" s="197"/>
      <c r="N128" s="195"/>
      <c r="O128" s="196">
        <f>'State DisAgg LFx10 (2015)'!H128</f>
        <v>2.8</v>
      </c>
      <c r="P128" s="196"/>
      <c r="Q128" s="197"/>
      <c r="R128" s="195"/>
      <c r="S128" s="196"/>
      <c r="T128" s="196"/>
      <c r="U128" s="197">
        <f>'State DisAgg LFx10 (2015)'!L128</f>
        <v>2.8</v>
      </c>
      <c r="V128" s="195"/>
      <c r="W128" s="196"/>
      <c r="X128" s="196"/>
      <c r="Y128" s="197">
        <f>'State DisAgg LFx10 (2015)'!P128</f>
        <v>4.0999999999999996</v>
      </c>
      <c r="Z128" s="195"/>
      <c r="AA128" s="196"/>
      <c r="AB128" s="196"/>
      <c r="AC128" s="197">
        <f>'State DisAgg LFx10 (2015)'!T128</f>
        <v>0</v>
      </c>
      <c r="AD128" s="195"/>
      <c r="AE128" s="197"/>
      <c r="AH128" s="354">
        <f t="shared" ref="AH128:AH136" si="23">Y128-U128</f>
        <v>1.2999999999999998</v>
      </c>
      <c r="AI128" s="354">
        <f>U128-O128</f>
        <v>0</v>
      </c>
      <c r="AJ128" s="354">
        <f t="shared" si="22"/>
        <v>0.39999999999999991</v>
      </c>
    </row>
    <row r="129" spans="1:36" ht="12.95" customHeight="1" thickBot="1">
      <c r="A129" s="885"/>
      <c r="B129" s="885"/>
      <c r="C129" s="9" t="s">
        <v>297</v>
      </c>
      <c r="D129" s="241" t="s">
        <v>632</v>
      </c>
      <c r="E129" s="241" t="s">
        <v>632</v>
      </c>
      <c r="F129" s="243" t="s">
        <v>646</v>
      </c>
      <c r="G129" s="241" t="s">
        <v>646</v>
      </c>
      <c r="H129" s="241" t="s">
        <v>646</v>
      </c>
      <c r="I129" s="244" t="s">
        <v>646</v>
      </c>
      <c r="J129" s="195">
        <f>'State DisAgg LFx10 (2015)'!D119</f>
        <v>2.2000000000000002</v>
      </c>
      <c r="K129" s="196"/>
      <c r="L129" s="196"/>
      <c r="M129" s="197"/>
      <c r="N129" s="195"/>
      <c r="O129" s="196">
        <f>'State DisAgg LFx10 (2015)'!H129</f>
        <v>3</v>
      </c>
      <c r="P129" s="196"/>
      <c r="Q129" s="197"/>
      <c r="R129" s="195"/>
      <c r="S129" s="196"/>
      <c r="T129" s="196"/>
      <c r="U129" s="197">
        <f>'State DisAgg LFx10 (2015)'!L129</f>
        <v>3.1</v>
      </c>
      <c r="V129" s="195"/>
      <c r="W129" s="196"/>
      <c r="X129" s="196"/>
      <c r="Y129" s="197">
        <f>'State DisAgg LFx10 (2015)'!P129</f>
        <v>3.3</v>
      </c>
      <c r="Z129" s="195"/>
      <c r="AA129" s="196"/>
      <c r="AB129" s="196"/>
      <c r="AC129" s="197">
        <f>'State DisAgg LFx10 (2015)'!T129</f>
        <v>0</v>
      </c>
      <c r="AD129" s="195"/>
      <c r="AE129" s="197"/>
      <c r="AH129" s="354">
        <f t="shared" si="23"/>
        <v>0.19999999999999973</v>
      </c>
      <c r="AI129" s="354">
        <f>U129-O129</f>
        <v>0.10000000000000009</v>
      </c>
      <c r="AJ129" s="354">
        <f t="shared" si="22"/>
        <v>0.79999999999999982</v>
      </c>
    </row>
    <row r="130" spans="1:36" ht="12.95" customHeight="1" thickBot="1">
      <c r="A130" s="885"/>
      <c r="B130" s="885"/>
      <c r="C130" s="9" t="s">
        <v>298</v>
      </c>
      <c r="D130" s="241" t="s">
        <v>632</v>
      </c>
      <c r="E130" s="241" t="s">
        <v>632</v>
      </c>
      <c r="F130" s="243" t="s">
        <v>646</v>
      </c>
      <c r="G130" s="241" t="s">
        <v>646</v>
      </c>
      <c r="H130" s="241" t="s">
        <v>646</v>
      </c>
      <c r="I130" s="244" t="s">
        <v>646</v>
      </c>
      <c r="J130" s="195">
        <f>'State DisAgg LFx10 (2015)'!D120</f>
        <v>2</v>
      </c>
      <c r="K130" s="196"/>
      <c r="L130" s="196"/>
      <c r="M130" s="197"/>
      <c r="N130" s="195"/>
      <c r="O130" s="196">
        <f>'State DisAgg LFx10 (2015)'!H130</f>
        <v>2</v>
      </c>
      <c r="P130" s="196"/>
      <c r="Q130" s="197"/>
      <c r="R130" s="195"/>
      <c r="S130" s="196"/>
      <c r="T130" s="196"/>
      <c r="U130" s="197">
        <f>'State DisAgg LFx10 (2015)'!L130</f>
        <v>3.5</v>
      </c>
      <c r="V130" s="195"/>
      <c r="W130" s="196"/>
      <c r="X130" s="196"/>
      <c r="Y130" s="197">
        <f>'State DisAgg LFx10 (2015)'!P130</f>
        <v>3.5</v>
      </c>
      <c r="Z130" s="195"/>
      <c r="AA130" s="196"/>
      <c r="AB130" s="196"/>
      <c r="AC130" s="197">
        <f>'State DisAgg LFx10 (2015)'!T130</f>
        <v>0</v>
      </c>
      <c r="AD130" s="195"/>
      <c r="AE130" s="197"/>
      <c r="AH130" s="354">
        <f t="shared" si="23"/>
        <v>0</v>
      </c>
      <c r="AI130" s="354">
        <f>U130-O130</f>
        <v>1.5</v>
      </c>
      <c r="AJ130" s="354">
        <f t="shared" si="22"/>
        <v>0</v>
      </c>
    </row>
    <row r="131" spans="1:36" ht="12.95" customHeight="1" thickBot="1">
      <c r="A131" s="885"/>
      <c r="B131" s="885"/>
      <c r="C131" s="9" t="s">
        <v>299</v>
      </c>
      <c r="D131" s="241" t="s">
        <v>632</v>
      </c>
      <c r="E131" s="241" t="s">
        <v>632</v>
      </c>
      <c r="F131" s="243" t="s">
        <v>646</v>
      </c>
      <c r="G131" s="241" t="s">
        <v>646</v>
      </c>
      <c r="H131" s="241" t="s">
        <v>646</v>
      </c>
      <c r="I131" s="244" t="s">
        <v>646</v>
      </c>
      <c r="J131" s="195">
        <f>'State DisAgg LFx10 (2015)'!D121</f>
        <v>2.2999999999999998</v>
      </c>
      <c r="K131" s="196"/>
      <c r="L131" s="196"/>
      <c r="M131" s="197"/>
      <c r="N131" s="195"/>
      <c r="O131" s="196">
        <f>'State DisAgg LFx10 (2015)'!H131</f>
        <v>3</v>
      </c>
      <c r="P131" s="196"/>
      <c r="Q131" s="197"/>
      <c r="R131" s="195"/>
      <c r="S131" s="196"/>
      <c r="T131" s="196"/>
      <c r="U131" s="197">
        <f>'State DisAgg LFx10 (2015)'!L131</f>
        <v>2.9</v>
      </c>
      <c r="V131" s="195"/>
      <c r="W131" s="196"/>
      <c r="X131" s="196"/>
      <c r="Y131" s="197">
        <f>'State DisAgg LFx10 (2015)'!P131</f>
        <v>3.1</v>
      </c>
      <c r="Z131" s="195"/>
      <c r="AA131" s="196"/>
      <c r="AB131" s="196"/>
      <c r="AC131" s="197">
        <f>'State DisAgg LFx10 (2015)'!T131</f>
        <v>0</v>
      </c>
      <c r="AD131" s="195"/>
      <c r="AE131" s="197"/>
      <c r="AH131" s="354">
        <f t="shared" si="23"/>
        <v>0.20000000000000018</v>
      </c>
      <c r="AI131" s="354">
        <f>U131-O131</f>
        <v>-0.10000000000000009</v>
      </c>
      <c r="AJ131" s="354">
        <f t="shared" si="22"/>
        <v>0.70000000000000018</v>
      </c>
    </row>
    <row r="132" spans="1:36" ht="13.5" thickBot="1">
      <c r="A132" s="885"/>
      <c r="B132" s="885"/>
      <c r="C132" s="9" t="s">
        <v>300</v>
      </c>
      <c r="D132" s="199"/>
      <c r="E132" s="200"/>
      <c r="F132" s="201"/>
      <c r="G132" s="199"/>
      <c r="H132" s="199"/>
      <c r="I132" s="200"/>
      <c r="J132" s="201"/>
      <c r="K132" s="199"/>
      <c r="L132" s="199"/>
      <c r="M132" s="200"/>
      <c r="N132" s="198"/>
      <c r="O132" s="217" t="s">
        <v>634</v>
      </c>
      <c r="P132" s="241" t="s">
        <v>632</v>
      </c>
      <c r="Q132" s="244" t="s">
        <v>646</v>
      </c>
      <c r="R132" s="195">
        <f>'State DisAgg LFx10 (2015)'!H122</f>
        <v>1.6</v>
      </c>
      <c r="S132" s="196"/>
      <c r="T132" s="196"/>
      <c r="U132" s="197">
        <f>'State DisAgg LFx10 (2015)'!L132</f>
        <v>1.6</v>
      </c>
      <c r="V132" s="195"/>
      <c r="W132" s="196"/>
      <c r="X132" s="196"/>
      <c r="Y132" s="197">
        <f>'State DisAgg LFx10 (2015)'!P132</f>
        <v>1.9</v>
      </c>
      <c r="Z132" s="195"/>
      <c r="AA132" s="196"/>
      <c r="AB132" s="196"/>
      <c r="AC132" s="197">
        <f>'State DisAgg LFx10 (2015)'!T132</f>
        <v>0</v>
      </c>
      <c r="AD132" s="195"/>
      <c r="AE132" s="197"/>
      <c r="AH132" s="354">
        <f t="shared" si="23"/>
        <v>0.29999999999999982</v>
      </c>
      <c r="AI132" s="354">
        <f>U132-R132</f>
        <v>0</v>
      </c>
      <c r="AJ132" s="354" t="e">
        <f t="shared" si="22"/>
        <v>#VALUE!</v>
      </c>
    </row>
    <row r="133" spans="1:36" ht="13.5" thickBot="1">
      <c r="A133" s="885"/>
      <c r="B133" s="885"/>
      <c r="C133" s="9" t="s">
        <v>301</v>
      </c>
      <c r="D133" s="199"/>
      <c r="E133" s="200"/>
      <c r="F133" s="201"/>
      <c r="G133" s="199"/>
      <c r="H133" s="199"/>
      <c r="I133" s="200"/>
      <c r="J133" s="201"/>
      <c r="K133" s="199"/>
      <c r="L133" s="199"/>
      <c r="M133" s="200"/>
      <c r="N133" s="198"/>
      <c r="O133" s="217" t="s">
        <v>634</v>
      </c>
      <c r="P133" s="241" t="s">
        <v>632</v>
      </c>
      <c r="Q133" s="244" t="s">
        <v>646</v>
      </c>
      <c r="R133" s="195">
        <f>'State DisAgg LFx10 (2015)'!H123</f>
        <v>1.7</v>
      </c>
      <c r="S133" s="196"/>
      <c r="T133" s="196"/>
      <c r="U133" s="197">
        <f>'State DisAgg LFx10 (2015)'!L133</f>
        <v>1.7</v>
      </c>
      <c r="V133" s="195"/>
      <c r="W133" s="196"/>
      <c r="X133" s="196"/>
      <c r="Y133" s="197">
        <f>'State DisAgg LFx10 (2015)'!P133</f>
        <v>2.5</v>
      </c>
      <c r="Z133" s="195"/>
      <c r="AA133" s="196"/>
      <c r="AB133" s="196"/>
      <c r="AC133" s="197">
        <f>'State DisAgg LFx10 (2015)'!T133</f>
        <v>0</v>
      </c>
      <c r="AD133" s="195"/>
      <c r="AE133" s="197"/>
      <c r="AH133" s="354">
        <f t="shared" si="23"/>
        <v>0.8</v>
      </c>
      <c r="AI133" s="354">
        <f t="shared" ref="AI133:AI134" si="24">U133-R133</f>
        <v>0</v>
      </c>
      <c r="AJ133" s="354" t="e">
        <f t="shared" si="22"/>
        <v>#VALUE!</v>
      </c>
    </row>
    <row r="134" spans="1:36" ht="13.5" thickBot="1">
      <c r="A134" s="885"/>
      <c r="B134" s="885"/>
      <c r="C134" s="9" t="s">
        <v>302</v>
      </c>
      <c r="D134" s="199"/>
      <c r="E134" s="200"/>
      <c r="F134" s="201"/>
      <c r="G134" s="199"/>
      <c r="H134" s="199"/>
      <c r="I134" s="200"/>
      <c r="J134" s="201"/>
      <c r="K134" s="199"/>
      <c r="L134" s="199"/>
      <c r="M134" s="200"/>
      <c r="N134" s="198"/>
      <c r="O134" s="217" t="s">
        <v>634</v>
      </c>
      <c r="P134" s="241" t="s">
        <v>632</v>
      </c>
      <c r="Q134" s="244" t="s">
        <v>646</v>
      </c>
      <c r="R134" s="195">
        <f>'State DisAgg LFx10 (2015)'!H124</f>
        <v>1.5</v>
      </c>
      <c r="S134" s="196"/>
      <c r="T134" s="196"/>
      <c r="U134" s="197">
        <f>'State DisAgg LFx10 (2015)'!L134</f>
        <v>1.5</v>
      </c>
      <c r="V134" s="195"/>
      <c r="W134" s="196"/>
      <c r="X134" s="196"/>
      <c r="Y134" s="197">
        <f>'State DisAgg LFx10 (2015)'!P134</f>
        <v>2.2000000000000002</v>
      </c>
      <c r="Z134" s="195"/>
      <c r="AA134" s="196"/>
      <c r="AB134" s="196"/>
      <c r="AC134" s="197">
        <f>'State DisAgg LFx10 (2015)'!T134</f>
        <v>0</v>
      </c>
      <c r="AD134" s="195"/>
      <c r="AE134" s="197"/>
      <c r="AH134" s="354">
        <f t="shared" si="23"/>
        <v>0.70000000000000018</v>
      </c>
      <c r="AI134" s="354">
        <f t="shared" si="24"/>
        <v>0</v>
      </c>
      <c r="AJ134" s="354" t="e">
        <f t="shared" si="22"/>
        <v>#VALUE!</v>
      </c>
    </row>
    <row r="135" spans="1:36" ht="13.5" thickBot="1">
      <c r="A135" s="885"/>
      <c r="B135" s="885"/>
      <c r="C135" s="9" t="s">
        <v>303</v>
      </c>
      <c r="D135" s="202"/>
      <c r="E135" s="203"/>
      <c r="F135" s="201"/>
      <c r="G135" s="202"/>
      <c r="H135" s="202"/>
      <c r="I135" s="203"/>
      <c r="J135" s="201"/>
      <c r="K135" s="202"/>
      <c r="L135" s="202"/>
      <c r="M135" s="203"/>
      <c r="N135" s="204"/>
      <c r="O135" s="214"/>
      <c r="P135" s="205"/>
      <c r="Q135" s="205"/>
      <c r="R135" s="201"/>
      <c r="S135" s="202"/>
      <c r="T135" s="202"/>
      <c r="U135" s="203"/>
      <c r="V135" s="242"/>
      <c r="W135" s="217" t="s">
        <v>633</v>
      </c>
      <c r="X135" s="241" t="s">
        <v>632</v>
      </c>
      <c r="Y135" s="197">
        <f>'State DisAgg LFx10 (2015)'!P125</f>
        <v>2.2000000000000002</v>
      </c>
      <c r="Z135" s="195"/>
      <c r="AA135" s="196"/>
      <c r="AB135" s="196"/>
      <c r="AC135" s="197">
        <f>'State DisAgg LFx10 (2015)'!T135</f>
        <v>0</v>
      </c>
      <c r="AD135" s="195"/>
      <c r="AE135" s="197"/>
      <c r="AH135" s="354">
        <f t="shared" si="23"/>
        <v>2.2000000000000002</v>
      </c>
      <c r="AI135" s="354">
        <f>U135-O135</f>
        <v>0</v>
      </c>
      <c r="AJ135" s="354">
        <f t="shared" si="22"/>
        <v>0</v>
      </c>
    </row>
    <row r="136" spans="1:36" ht="13.5" thickBot="1">
      <c r="A136" s="885"/>
      <c r="B136" s="885"/>
      <c r="C136" s="9" t="s">
        <v>304</v>
      </c>
      <c r="D136" s="202"/>
      <c r="E136" s="203"/>
      <c r="F136" s="201"/>
      <c r="G136" s="202"/>
      <c r="H136" s="202"/>
      <c r="I136" s="203"/>
      <c r="J136" s="201"/>
      <c r="K136" s="202"/>
      <c r="L136" s="202"/>
      <c r="M136" s="203"/>
      <c r="N136" s="204"/>
      <c r="O136" s="205"/>
      <c r="P136" s="205"/>
      <c r="Q136" s="205"/>
      <c r="R136" s="201"/>
      <c r="S136" s="202"/>
      <c r="T136" s="202"/>
      <c r="U136" s="203"/>
      <c r="V136" s="242"/>
      <c r="W136" s="217" t="s">
        <v>633</v>
      </c>
      <c r="X136" s="241" t="s">
        <v>632</v>
      </c>
      <c r="Y136" s="197">
        <f>'State DisAgg LFx10 (2015)'!P126</f>
        <v>2.2999999999999998</v>
      </c>
      <c r="Z136" s="195"/>
      <c r="AA136" s="196"/>
      <c r="AB136" s="196"/>
      <c r="AC136" s="197">
        <f>'State DisAgg LFx10 (2015)'!T136</f>
        <v>0</v>
      </c>
      <c r="AD136" s="195"/>
      <c r="AE136" s="197"/>
      <c r="AH136" s="354">
        <f t="shared" si="23"/>
        <v>2.2999999999999998</v>
      </c>
      <c r="AI136" s="354">
        <f>U136-O136</f>
        <v>0</v>
      </c>
      <c r="AJ136" s="354">
        <f t="shared" si="22"/>
        <v>0</v>
      </c>
    </row>
    <row r="137" spans="1:36" ht="12.95" hidden="1" customHeight="1" thickBot="1">
      <c r="A137" s="885"/>
      <c r="B137" s="273"/>
      <c r="C137" s="231"/>
      <c r="D137" s="232"/>
      <c r="E137" s="233"/>
      <c r="F137" s="234"/>
      <c r="G137" s="232"/>
      <c r="H137" s="232"/>
      <c r="I137" s="233"/>
      <c r="J137" s="234"/>
      <c r="K137" s="232"/>
      <c r="L137" s="232"/>
      <c r="M137" s="233"/>
      <c r="N137" s="234"/>
      <c r="O137" s="232"/>
      <c r="P137" s="232"/>
      <c r="Q137" s="233"/>
      <c r="R137" s="234"/>
      <c r="S137" s="232"/>
      <c r="T137" s="232"/>
      <c r="U137" s="233"/>
      <c r="V137" s="234"/>
      <c r="W137" s="232"/>
      <c r="X137" s="232"/>
      <c r="Y137" s="233"/>
      <c r="Z137" s="234"/>
      <c r="AA137" s="232"/>
      <c r="AB137" s="232"/>
      <c r="AC137" s="233"/>
      <c r="AD137" s="234"/>
      <c r="AE137" s="233"/>
      <c r="AH137" s="353">
        <v>18</v>
      </c>
      <c r="AI137" s="353">
        <v>18</v>
      </c>
      <c r="AJ137" s="353">
        <v>18</v>
      </c>
    </row>
    <row r="138" spans="1:36" ht="12.95" hidden="1" customHeight="1" thickBot="1">
      <c r="A138" s="885"/>
      <c r="B138" s="273"/>
      <c r="C138" s="231"/>
      <c r="D138" s="232"/>
      <c r="E138" s="233"/>
      <c r="F138" s="234"/>
      <c r="G138" s="232"/>
      <c r="H138" s="232"/>
      <c r="I138" s="233"/>
      <c r="J138" s="234"/>
      <c r="K138" s="232"/>
      <c r="L138" s="232"/>
      <c r="M138" s="233"/>
      <c r="N138" s="234"/>
      <c r="O138" s="232"/>
      <c r="P138" s="232"/>
      <c r="Q138" s="233"/>
      <c r="R138" s="234"/>
      <c r="S138" s="232"/>
      <c r="T138" s="232"/>
      <c r="U138" s="233"/>
      <c r="V138" s="234"/>
      <c r="W138" s="232"/>
      <c r="X138" s="232"/>
      <c r="Y138" s="233"/>
      <c r="Z138" s="234"/>
      <c r="AA138" s="232"/>
      <c r="AB138" s="232"/>
      <c r="AC138" s="233"/>
      <c r="AD138" s="234"/>
      <c r="AE138" s="233"/>
      <c r="AH138" s="353">
        <v>16</v>
      </c>
      <c r="AI138" s="353">
        <v>16</v>
      </c>
      <c r="AJ138" s="353">
        <v>16</v>
      </c>
    </row>
    <row r="139" spans="1:36" ht="12.95" customHeight="1" thickBot="1">
      <c r="A139" s="885"/>
      <c r="B139" s="3" t="s">
        <v>38</v>
      </c>
      <c r="C139" s="12"/>
      <c r="D139" s="1377">
        <v>2008</v>
      </c>
      <c r="E139" s="1378"/>
      <c r="F139" s="1372">
        <v>2009</v>
      </c>
      <c r="G139" s="1373"/>
      <c r="H139" s="1373"/>
      <c r="I139" s="1374"/>
      <c r="J139" s="1372">
        <v>2010</v>
      </c>
      <c r="K139" s="1373"/>
      <c r="L139" s="1373"/>
      <c r="M139" s="1374"/>
      <c r="N139" s="1372">
        <v>2011</v>
      </c>
      <c r="O139" s="1373"/>
      <c r="P139" s="1373"/>
      <c r="Q139" s="1374"/>
      <c r="R139" s="1372">
        <v>2012</v>
      </c>
      <c r="S139" s="1373"/>
      <c r="T139" s="1373"/>
      <c r="U139" s="1374"/>
      <c r="V139" s="1372">
        <v>2013</v>
      </c>
      <c r="W139" s="1373"/>
      <c r="X139" s="1373"/>
      <c r="Y139" s="1374"/>
      <c r="Z139" s="1372">
        <v>2014</v>
      </c>
      <c r="AA139" s="1373"/>
      <c r="AB139" s="1373"/>
      <c r="AC139" s="1374"/>
      <c r="AD139" s="1372">
        <v>2015</v>
      </c>
      <c r="AE139" s="1374"/>
      <c r="AG139" s="257" t="s">
        <v>663</v>
      </c>
    </row>
    <row r="140" spans="1:36" ht="12.95" customHeight="1" thickBot="1">
      <c r="A140" s="885"/>
      <c r="B140" s="868" t="s">
        <v>155</v>
      </c>
      <c r="C140" s="194" t="s">
        <v>802</v>
      </c>
      <c r="D140" s="206"/>
      <c r="E140" s="207"/>
      <c r="F140" s="209"/>
      <c r="G140" s="206"/>
      <c r="H140" s="206"/>
      <c r="I140" s="207"/>
      <c r="J140" s="332" t="s">
        <v>721</v>
      </c>
      <c r="K140" s="206"/>
      <c r="L140" s="206"/>
      <c r="M140" s="207"/>
      <c r="N140" s="209"/>
      <c r="O140" s="206"/>
      <c r="P140" s="206"/>
      <c r="Q140" s="207"/>
      <c r="R140" s="209"/>
      <c r="S140" s="206"/>
      <c r="T140" s="206"/>
      <c r="U140" s="207"/>
      <c r="V140" s="277"/>
      <c r="W140" s="278"/>
      <c r="X140" s="278"/>
      <c r="Y140" s="278">
        <f>(Y150-V150)/3/$C$667/Spend!Y140*'State Efficiency Ratios'!$C$654</f>
        <v>601.97255317299562</v>
      </c>
      <c r="Z140" s="277"/>
      <c r="AA140" s="278"/>
      <c r="AB140" s="278"/>
      <c r="AC140" s="278">
        <f>(AC150-Y150)/4/$C$667/Spend!AC140*'State Efficiency Ratios'!$C$65</f>
        <v>0</v>
      </c>
      <c r="AD140" s="208"/>
      <c r="AE140" s="213"/>
      <c r="AG140" s="295"/>
      <c r="AH140" s="351">
        <f>SUM(AH127:AH134)/8</f>
        <v>0.53749999999999998</v>
      </c>
      <c r="AI140" s="356">
        <f>4/6*SUM(AI127:AI131)/5</f>
        <v>0.13333333333333333</v>
      </c>
      <c r="AJ140" s="351">
        <f>4/5*SUM(AJ127:AJ131)/5</f>
        <v>0.624</v>
      </c>
    </row>
    <row r="141" spans="1:36" ht="12.95" customHeight="1" thickBot="1">
      <c r="A141" s="885"/>
      <c r="B141" s="885"/>
      <c r="C141" s="194" t="s">
        <v>803</v>
      </c>
      <c r="D141" s="206"/>
      <c r="E141" s="207"/>
      <c r="F141" s="209"/>
      <c r="G141" s="206"/>
      <c r="H141" s="206"/>
      <c r="I141" s="207"/>
      <c r="J141" s="209"/>
      <c r="K141" s="206"/>
      <c r="L141" s="206"/>
      <c r="M141" s="207"/>
      <c r="N141" s="209"/>
      <c r="O141" s="206"/>
      <c r="P141" s="206"/>
      <c r="Q141" s="207"/>
      <c r="R141" s="209"/>
      <c r="S141" s="206"/>
      <c r="T141" s="206"/>
      <c r="U141" s="207"/>
      <c r="V141" s="277"/>
      <c r="W141" s="278"/>
      <c r="X141" s="278"/>
      <c r="Y141" s="278">
        <f>(Y151-V151)/3/$C$667/Spend!Y141*'State Efficiency Ratios'!$C$654</f>
        <v>0</v>
      </c>
      <c r="Z141" s="277"/>
      <c r="AA141" s="278"/>
      <c r="AB141" s="278"/>
      <c r="AC141" s="278">
        <f>(AC151-Y151)/4/$C$667/Spend!AC141*'State Efficiency Ratios'!$C$65</f>
        <v>0</v>
      </c>
      <c r="AD141" s="208"/>
      <c r="AE141" s="213"/>
      <c r="AG141" s="295"/>
      <c r="AH141" s="378">
        <f>SUM(Y117:Y124)/8</f>
        <v>490.02877306726458</v>
      </c>
      <c r="AI141" s="378">
        <f>SUM(U117:U121)/5</f>
        <v>61.903712017521364</v>
      </c>
      <c r="AJ141" s="378">
        <f>SUM(O117:O121)/5</f>
        <v>140.40358270758892</v>
      </c>
    </row>
    <row r="142" spans="1:36" ht="12.95" customHeight="1" thickBot="1">
      <c r="A142" s="885"/>
      <c r="B142" s="885"/>
      <c r="C142" s="194" t="s">
        <v>804</v>
      </c>
      <c r="D142" s="206"/>
      <c r="E142" s="207"/>
      <c r="F142" s="209"/>
      <c r="G142" s="206"/>
      <c r="H142" s="206"/>
      <c r="I142" s="207"/>
      <c r="J142" s="209"/>
      <c r="K142" s="206"/>
      <c r="L142" s="206"/>
      <c r="M142" s="207"/>
      <c r="N142" s="209"/>
      <c r="O142" s="206"/>
      <c r="P142" s="206"/>
      <c r="Q142" s="207"/>
      <c r="R142" s="209"/>
      <c r="S142" s="206"/>
      <c r="T142" s="206"/>
      <c r="U142" s="207"/>
      <c r="V142" s="277"/>
      <c r="W142" s="278"/>
      <c r="X142" s="278"/>
      <c r="Y142" s="278">
        <f>(Y152-V152)/3/$C$667/Spend!Y142*'State Efficiency Ratios'!$C$654</f>
        <v>96.365581076349031</v>
      </c>
      <c r="Z142" s="277"/>
      <c r="AA142" s="278"/>
      <c r="AB142" s="278"/>
      <c r="AC142" s="278">
        <f>(AC152-Y152)/4/$C$667/Spend!AC142*'State Efficiency Ratios'!$C$65</f>
        <v>0</v>
      </c>
      <c r="AD142" s="208"/>
      <c r="AE142" s="213"/>
      <c r="AG142" s="295"/>
    </row>
    <row r="143" spans="1:36" ht="12.95" customHeight="1" thickBot="1">
      <c r="A143" s="885"/>
      <c r="B143" s="885"/>
      <c r="C143" s="194" t="s">
        <v>805</v>
      </c>
      <c r="D143" s="206"/>
      <c r="E143" s="207"/>
      <c r="F143" s="209"/>
      <c r="G143" s="206"/>
      <c r="H143" s="206"/>
      <c r="I143" s="207"/>
      <c r="J143" s="209"/>
      <c r="K143" s="206"/>
      <c r="L143" s="206"/>
      <c r="M143" s="207"/>
      <c r="N143" s="209"/>
      <c r="O143" s="206"/>
      <c r="P143" s="206"/>
      <c r="Q143" s="207"/>
      <c r="R143" s="209"/>
      <c r="S143" s="206"/>
      <c r="T143" s="206"/>
      <c r="U143" s="207"/>
      <c r="V143" s="277"/>
      <c r="W143" s="278"/>
      <c r="X143" s="278"/>
      <c r="Y143" s="278">
        <f>(Y153-V153)/3/$C$667/Spend!Y143*'State Efficiency Ratios'!$C$654</f>
        <v>933.48783708559517</v>
      </c>
      <c r="Z143" s="277"/>
      <c r="AA143" s="278"/>
      <c r="AB143" s="278"/>
      <c r="AC143" s="278">
        <f>(AC153-Y153)/4/$C$667/Spend!AC143*'State Efficiency Ratios'!$C$65</f>
        <v>0</v>
      </c>
      <c r="AD143" s="208"/>
      <c r="AE143" s="213"/>
      <c r="AG143" s="295"/>
    </row>
    <row r="144" spans="1:36" ht="12.95" customHeight="1" thickBot="1">
      <c r="A144" s="885"/>
      <c r="B144" s="885"/>
      <c r="C144" s="194" t="s">
        <v>806</v>
      </c>
      <c r="D144" s="206"/>
      <c r="E144" s="207"/>
      <c r="F144" s="209"/>
      <c r="G144" s="206"/>
      <c r="H144" s="206"/>
      <c r="I144" s="207"/>
      <c r="J144" s="209"/>
      <c r="K144" s="206"/>
      <c r="L144" s="206"/>
      <c r="M144" s="207"/>
      <c r="N144" s="209"/>
      <c r="O144" s="206"/>
      <c r="P144" s="206"/>
      <c r="Q144" s="207"/>
      <c r="R144" s="209"/>
      <c r="S144" s="206"/>
      <c r="T144" s="206"/>
      <c r="U144" s="207"/>
      <c r="V144" s="277"/>
      <c r="W144" s="278"/>
      <c r="X144" s="278"/>
      <c r="Y144" s="278">
        <f>(Y154-V154)/3/$C$667/Spend!Y144*'State Efficiency Ratios'!$C$654</f>
        <v>717.71697504676899</v>
      </c>
      <c r="Z144" s="277"/>
      <c r="AA144" s="278"/>
      <c r="AB144" s="278"/>
      <c r="AC144" s="278">
        <f>(AC154-Y154)/4/$C$667/Spend!AC144*'State Efficiency Ratios'!$C$65</f>
        <v>0</v>
      </c>
      <c r="AD144" s="208"/>
      <c r="AE144" s="213"/>
      <c r="AG144" s="295"/>
    </row>
    <row r="145" spans="1:36" ht="12.95" customHeight="1" thickBot="1">
      <c r="A145" s="885"/>
      <c r="B145" s="885"/>
      <c r="C145" s="194" t="s">
        <v>807</v>
      </c>
      <c r="D145" s="210"/>
      <c r="E145" s="211"/>
      <c r="F145" s="209"/>
      <c r="G145" s="210"/>
      <c r="H145" s="210"/>
      <c r="I145" s="211"/>
      <c r="J145" s="209"/>
      <c r="K145" s="210"/>
      <c r="L145" s="210"/>
      <c r="M145" s="211"/>
      <c r="N145" s="209"/>
      <c r="O145" s="206"/>
      <c r="P145" s="206"/>
      <c r="Q145" s="207"/>
      <c r="R145" s="209"/>
      <c r="S145" s="206"/>
      <c r="T145" s="206"/>
      <c r="U145" s="207"/>
      <c r="V145" s="277"/>
      <c r="W145" s="278"/>
      <c r="X145" s="278"/>
      <c r="Y145" s="278">
        <f>(Y155-V155)/3/$C$667/Spend!Y145*'State Efficiency Ratios'!$C$654</f>
        <v>-422.69666226953228</v>
      </c>
      <c r="Z145" s="277"/>
      <c r="AA145" s="278"/>
      <c r="AB145" s="278"/>
      <c r="AC145" s="278">
        <f>(AC155-Y155)/4/$C$667/Spend!AC145*'State Efficiency Ratios'!$C$65</f>
        <v>0</v>
      </c>
      <c r="AD145" s="208"/>
      <c r="AE145" s="213"/>
      <c r="AG145" s="295"/>
    </row>
    <row r="146" spans="1:36" ht="12.95" customHeight="1" thickBot="1">
      <c r="A146" s="885"/>
      <c r="B146" s="885"/>
      <c r="C146" s="194" t="s">
        <v>808</v>
      </c>
      <c r="D146" s="210"/>
      <c r="E146" s="211"/>
      <c r="F146" s="209"/>
      <c r="G146" s="210"/>
      <c r="H146" s="210"/>
      <c r="I146" s="211"/>
      <c r="J146" s="209"/>
      <c r="K146" s="210"/>
      <c r="L146" s="210"/>
      <c r="M146" s="211"/>
      <c r="N146" s="209"/>
      <c r="O146" s="206"/>
      <c r="P146" s="206"/>
      <c r="Q146" s="207"/>
      <c r="R146" s="209"/>
      <c r="S146" s="206"/>
      <c r="T146" s="206"/>
      <c r="U146" s="207"/>
      <c r="V146" s="277"/>
      <c r="W146" s="278"/>
      <c r="X146" s="278"/>
      <c r="Y146" s="278">
        <f>(Y156-V156)/3/$C$667/Spend!Y146*'State Efficiency Ratios'!$C$654</f>
        <v>689.99672781962113</v>
      </c>
      <c r="Z146" s="277"/>
      <c r="AA146" s="278"/>
      <c r="AB146" s="278"/>
      <c r="AC146" s="278">
        <f>(AC156-Y156)/4/$C$667/Spend!AC146*'State Efficiency Ratios'!$C$65</f>
        <v>0</v>
      </c>
      <c r="AD146" s="208"/>
      <c r="AE146" s="213"/>
      <c r="AG146" s="295"/>
    </row>
    <row r="147" spans="1:36" ht="12.95" customHeight="1" thickBot="1">
      <c r="A147" s="885"/>
      <c r="B147" s="885"/>
      <c r="C147" s="194" t="s">
        <v>809</v>
      </c>
      <c r="D147" s="210"/>
      <c r="E147" s="211"/>
      <c r="F147" s="209"/>
      <c r="G147" s="210"/>
      <c r="H147" s="210"/>
      <c r="I147" s="211"/>
      <c r="J147" s="209"/>
      <c r="K147" s="210"/>
      <c r="L147" s="210"/>
      <c r="M147" s="211"/>
      <c r="N147" s="209"/>
      <c r="O147" s="206"/>
      <c r="P147" s="206"/>
      <c r="Q147" s="207"/>
      <c r="R147" s="209"/>
      <c r="S147" s="206"/>
      <c r="T147" s="206"/>
      <c r="U147" s="207"/>
      <c r="V147" s="277"/>
      <c r="W147" s="278"/>
      <c r="X147" s="278"/>
      <c r="Y147" s="278">
        <f>(Y157-V157)/3/$C$667/Spend!Y147*'State Efficiency Ratios'!$C$654</f>
        <v>509.30231717827269</v>
      </c>
      <c r="Z147" s="277"/>
      <c r="AA147" s="278"/>
      <c r="AB147" s="278"/>
      <c r="AC147" s="278">
        <f>(AC157-Y157)/4/$C$667/Spend!AC147*'State Efficiency Ratios'!$C$65</f>
        <v>0</v>
      </c>
      <c r="AD147" s="208"/>
      <c r="AE147" s="213"/>
      <c r="AG147" s="295"/>
    </row>
    <row r="148" spans="1:36" ht="12.95" customHeight="1" thickBot="1">
      <c r="A148" s="885"/>
      <c r="B148" s="885"/>
      <c r="C148" s="194" t="s">
        <v>810</v>
      </c>
      <c r="D148" s="210"/>
      <c r="E148" s="211"/>
      <c r="F148" s="209"/>
      <c r="G148" s="210"/>
      <c r="H148" s="210"/>
      <c r="I148" s="211"/>
      <c r="J148" s="209"/>
      <c r="K148" s="210"/>
      <c r="L148" s="210"/>
      <c r="M148" s="211"/>
      <c r="N148" s="209"/>
      <c r="O148" s="210"/>
      <c r="P148" s="210"/>
      <c r="Q148" s="211"/>
      <c r="R148" s="209"/>
      <c r="S148" s="210"/>
      <c r="T148" s="210"/>
      <c r="U148" s="211"/>
      <c r="V148" s="281"/>
      <c r="W148" s="282"/>
      <c r="X148" s="282"/>
      <c r="Y148" s="283"/>
      <c r="Z148" s="277"/>
      <c r="AA148" s="278"/>
      <c r="AB148" s="278"/>
      <c r="AC148" s="278">
        <f>(AC158-Y158)/4/$C$667/Spend!AC148*'State Efficiency Ratios'!$C$65</f>
        <v>0</v>
      </c>
      <c r="AD148" s="208"/>
      <c r="AE148" s="213"/>
      <c r="AG148" s="295"/>
    </row>
    <row r="149" spans="1:36" ht="12.95" customHeight="1" thickBot="1">
      <c r="A149" s="885"/>
      <c r="B149" s="885"/>
      <c r="C149" s="194" t="s">
        <v>811</v>
      </c>
      <c r="D149" s="210"/>
      <c r="E149" s="211"/>
      <c r="F149" s="209"/>
      <c r="G149" s="210"/>
      <c r="H149" s="210"/>
      <c r="I149" s="211"/>
      <c r="J149" s="209"/>
      <c r="K149" s="210"/>
      <c r="L149" s="210"/>
      <c r="M149" s="211"/>
      <c r="N149" s="209"/>
      <c r="O149" s="210"/>
      <c r="P149" s="210"/>
      <c r="Q149" s="211"/>
      <c r="R149" s="209"/>
      <c r="S149" s="210"/>
      <c r="T149" s="210"/>
      <c r="U149" s="211"/>
      <c r="V149" s="281"/>
      <c r="W149" s="282"/>
      <c r="X149" s="282"/>
      <c r="Y149" s="283"/>
      <c r="Z149" s="277"/>
      <c r="AA149" s="278"/>
      <c r="AB149" s="278"/>
      <c r="AC149" s="278">
        <f>(AC159-Y159)/4/$C$667/Spend!AC149*'State Efficiency Ratios'!$C$65</f>
        <v>0</v>
      </c>
      <c r="AD149" s="208"/>
      <c r="AE149" s="213"/>
      <c r="AG149" s="295"/>
    </row>
    <row r="150" spans="1:36" ht="13.5" thickBot="1">
      <c r="A150" s="885"/>
      <c r="B150" s="885"/>
      <c r="C150" s="9" t="s">
        <v>295</v>
      </c>
      <c r="D150" s="202"/>
      <c r="E150" s="203"/>
      <c r="F150" s="201"/>
      <c r="G150" s="202"/>
      <c r="H150" s="202"/>
      <c r="I150" s="203"/>
      <c r="J150" s="201"/>
      <c r="K150" s="202"/>
      <c r="L150" s="202"/>
      <c r="M150" s="203"/>
      <c r="N150" s="204"/>
      <c r="O150" s="214"/>
      <c r="P150" s="205"/>
      <c r="Q150" s="205"/>
      <c r="R150" s="201"/>
      <c r="S150" s="202"/>
      <c r="T150" s="202"/>
      <c r="U150" s="203"/>
      <c r="V150" s="195">
        <f>'State DisAgg LFx10 (2015)'!L140</f>
        <v>2.9</v>
      </c>
      <c r="W150" s="196"/>
      <c r="X150" s="196"/>
      <c r="Y150" s="197">
        <f>'State DisAgg LFx10 (2015)'!P150</f>
        <v>3.5</v>
      </c>
      <c r="Z150" s="195"/>
      <c r="AA150" s="196"/>
      <c r="AB150" s="196"/>
      <c r="AC150" s="197">
        <f>'State DisAgg LFx10 (2015)'!T150</f>
        <v>0</v>
      </c>
      <c r="AD150" s="195"/>
      <c r="AE150" s="197"/>
      <c r="AH150" s="354">
        <f>Y150-V150</f>
        <v>0.60000000000000009</v>
      </c>
    </row>
    <row r="151" spans="1:36" ht="13.5" thickBot="1">
      <c r="A151" s="885"/>
      <c r="B151" s="885"/>
      <c r="C151" s="9" t="s">
        <v>296</v>
      </c>
      <c r="D151" s="202"/>
      <c r="E151" s="203"/>
      <c r="F151" s="201"/>
      <c r="G151" s="202"/>
      <c r="H151" s="202"/>
      <c r="I151" s="203"/>
      <c r="J151" s="201"/>
      <c r="K151" s="202"/>
      <c r="L151" s="202"/>
      <c r="M151" s="203"/>
      <c r="N151" s="204"/>
      <c r="O151" s="214"/>
      <c r="P151" s="205"/>
      <c r="Q151" s="205"/>
      <c r="R151" s="201"/>
      <c r="S151" s="202"/>
      <c r="T151" s="202"/>
      <c r="U151" s="203"/>
      <c r="V151" s="195">
        <f>'State DisAgg LFx10 (2015)'!L141</f>
        <v>3.4</v>
      </c>
      <c r="W151" s="196"/>
      <c r="X151" s="196"/>
      <c r="Y151" s="197">
        <f>'State DisAgg LFx10 (2015)'!P151</f>
        <v>3.4</v>
      </c>
      <c r="Z151" s="195"/>
      <c r="AA151" s="196"/>
      <c r="AB151" s="196"/>
      <c r="AC151" s="197">
        <f>'State DisAgg LFx10 (2015)'!T151</f>
        <v>0</v>
      </c>
      <c r="AD151" s="195"/>
      <c r="AE151" s="197"/>
      <c r="AH151" s="354">
        <f t="shared" ref="AH151:AH159" si="25">Y151-V151</f>
        <v>0</v>
      </c>
    </row>
    <row r="152" spans="1:36" ht="13.5" thickBot="1">
      <c r="A152" s="885"/>
      <c r="B152" s="885"/>
      <c r="C152" s="9" t="s">
        <v>297</v>
      </c>
      <c r="D152" s="202"/>
      <c r="E152" s="203"/>
      <c r="F152" s="201"/>
      <c r="G152" s="202"/>
      <c r="H152" s="202"/>
      <c r="I152" s="203"/>
      <c r="J152" s="201"/>
      <c r="K152" s="202"/>
      <c r="L152" s="202"/>
      <c r="M152" s="203"/>
      <c r="N152" s="204"/>
      <c r="O152" s="214"/>
      <c r="P152" s="205"/>
      <c r="Q152" s="205"/>
      <c r="R152" s="201"/>
      <c r="S152" s="202"/>
      <c r="T152" s="202"/>
      <c r="U152" s="203"/>
      <c r="V152" s="195">
        <f>'State DisAgg LFx10 (2015)'!L142</f>
        <v>3.3</v>
      </c>
      <c r="W152" s="196"/>
      <c r="X152" s="196"/>
      <c r="Y152" s="197">
        <f>'State DisAgg LFx10 (2015)'!P152</f>
        <v>3.4</v>
      </c>
      <c r="Z152" s="195"/>
      <c r="AA152" s="196"/>
      <c r="AB152" s="196"/>
      <c r="AC152" s="197">
        <f>'State DisAgg LFx10 (2015)'!T152</f>
        <v>0</v>
      </c>
      <c r="AD152" s="195"/>
      <c r="AE152" s="197"/>
      <c r="AH152" s="354">
        <f t="shared" si="25"/>
        <v>0.10000000000000009</v>
      </c>
    </row>
    <row r="153" spans="1:36" ht="13.5" thickBot="1">
      <c r="A153" s="885"/>
      <c r="B153" s="885"/>
      <c r="C153" s="9" t="s">
        <v>298</v>
      </c>
      <c r="D153" s="202"/>
      <c r="E153" s="203"/>
      <c r="F153" s="201"/>
      <c r="G153" s="202"/>
      <c r="H153" s="202"/>
      <c r="I153" s="203"/>
      <c r="J153" s="201"/>
      <c r="K153" s="202"/>
      <c r="L153" s="202"/>
      <c r="M153" s="203"/>
      <c r="N153" s="204"/>
      <c r="O153" s="214"/>
      <c r="P153" s="205"/>
      <c r="Q153" s="205"/>
      <c r="R153" s="201"/>
      <c r="S153" s="202"/>
      <c r="T153" s="202"/>
      <c r="U153" s="203"/>
      <c r="V153" s="195">
        <f>'State DisAgg LFx10 (2015)'!L143</f>
        <v>2.8</v>
      </c>
      <c r="W153" s="196"/>
      <c r="X153" s="196"/>
      <c r="Y153" s="197">
        <f>'State DisAgg LFx10 (2015)'!P153</f>
        <v>3.7</v>
      </c>
      <c r="Z153" s="195"/>
      <c r="AA153" s="196"/>
      <c r="AB153" s="196"/>
      <c r="AC153" s="197">
        <f>'State DisAgg LFx10 (2015)'!T153</f>
        <v>0</v>
      </c>
      <c r="AD153" s="195"/>
      <c r="AE153" s="197"/>
      <c r="AH153" s="354">
        <f t="shared" si="25"/>
        <v>0.90000000000000036</v>
      </c>
    </row>
    <row r="154" spans="1:36" ht="13.5" thickBot="1">
      <c r="A154" s="885"/>
      <c r="B154" s="885"/>
      <c r="C154" s="9" t="s">
        <v>299</v>
      </c>
      <c r="D154" s="202"/>
      <c r="E154" s="203"/>
      <c r="F154" s="201"/>
      <c r="G154" s="202"/>
      <c r="H154" s="202"/>
      <c r="I154" s="203"/>
      <c r="J154" s="201"/>
      <c r="K154" s="202"/>
      <c r="L154" s="202"/>
      <c r="M154" s="203"/>
      <c r="N154" s="204"/>
      <c r="O154" s="214"/>
      <c r="P154" s="205"/>
      <c r="Q154" s="205"/>
      <c r="R154" s="201"/>
      <c r="S154" s="202"/>
      <c r="T154" s="202"/>
      <c r="U154" s="203"/>
      <c r="V154" s="195">
        <f>'State DisAgg LFx10 (2015)'!L144</f>
        <v>2.5</v>
      </c>
      <c r="W154" s="196"/>
      <c r="X154" s="196"/>
      <c r="Y154" s="197">
        <f>'State DisAgg LFx10 (2015)'!P154</f>
        <v>3.3</v>
      </c>
      <c r="Z154" s="195"/>
      <c r="AA154" s="196"/>
      <c r="AB154" s="196"/>
      <c r="AC154" s="197">
        <f>'State DisAgg LFx10 (2015)'!T154</f>
        <v>0</v>
      </c>
      <c r="AD154" s="195"/>
      <c r="AE154" s="197"/>
      <c r="AH154" s="354">
        <f t="shared" si="25"/>
        <v>0.79999999999999982</v>
      </c>
    </row>
    <row r="155" spans="1:36" ht="13.5" thickBot="1">
      <c r="A155" s="885"/>
      <c r="B155" s="885"/>
      <c r="C155" s="9" t="s">
        <v>300</v>
      </c>
      <c r="D155" s="202"/>
      <c r="E155" s="203"/>
      <c r="F155" s="201"/>
      <c r="G155" s="202"/>
      <c r="H155" s="202"/>
      <c r="I155" s="203"/>
      <c r="J155" s="201"/>
      <c r="K155" s="202"/>
      <c r="L155" s="202"/>
      <c r="M155" s="203"/>
      <c r="N155" s="204"/>
      <c r="O155" s="214"/>
      <c r="P155" s="205"/>
      <c r="Q155" s="205"/>
      <c r="R155" s="201"/>
      <c r="S155" s="202"/>
      <c r="T155" s="202"/>
      <c r="U155" s="203"/>
      <c r="V155" s="195">
        <f>'State DisAgg LFx10 (2015)'!L145</f>
        <v>2.6</v>
      </c>
      <c r="W155" s="196"/>
      <c r="X155" s="196"/>
      <c r="Y155" s="197">
        <f>'State DisAgg LFx10 (2015)'!P155</f>
        <v>2.2999999999999998</v>
      </c>
      <c r="Z155" s="195"/>
      <c r="AA155" s="196"/>
      <c r="AB155" s="196"/>
      <c r="AC155" s="197">
        <f>'State DisAgg LFx10 (2015)'!T155</f>
        <v>0</v>
      </c>
      <c r="AD155" s="195"/>
      <c r="AE155" s="197"/>
      <c r="AH155" s="354">
        <f t="shared" si="25"/>
        <v>-0.30000000000000027</v>
      </c>
    </row>
    <row r="156" spans="1:36" ht="13.5" thickBot="1">
      <c r="A156" s="885"/>
      <c r="B156" s="885"/>
      <c r="C156" s="9" t="s">
        <v>301</v>
      </c>
      <c r="D156" s="202"/>
      <c r="E156" s="203"/>
      <c r="F156" s="201"/>
      <c r="G156" s="202"/>
      <c r="H156" s="202"/>
      <c r="I156" s="203"/>
      <c r="J156" s="201"/>
      <c r="K156" s="202"/>
      <c r="L156" s="202"/>
      <c r="M156" s="203"/>
      <c r="N156" s="204"/>
      <c r="O156" s="214"/>
      <c r="P156" s="205"/>
      <c r="Q156" s="205"/>
      <c r="R156" s="201"/>
      <c r="S156" s="202"/>
      <c r="T156" s="202"/>
      <c r="U156" s="203"/>
      <c r="V156" s="195">
        <f>'State DisAgg LFx10 (2015)'!L146</f>
        <v>2.7</v>
      </c>
      <c r="W156" s="196"/>
      <c r="X156" s="196"/>
      <c r="Y156" s="197">
        <f>'State DisAgg LFx10 (2015)'!P156</f>
        <v>3.1</v>
      </c>
      <c r="Z156" s="195"/>
      <c r="AA156" s="196"/>
      <c r="AB156" s="196"/>
      <c r="AC156" s="197">
        <f>'State DisAgg LFx10 (2015)'!T156</f>
        <v>0</v>
      </c>
      <c r="AD156" s="195"/>
      <c r="AE156" s="197"/>
      <c r="AH156" s="354">
        <f t="shared" si="25"/>
        <v>0.39999999999999991</v>
      </c>
    </row>
    <row r="157" spans="1:36" ht="13.5" thickBot="1">
      <c r="A157" s="885"/>
      <c r="B157" s="885"/>
      <c r="C157" s="9" t="s">
        <v>302</v>
      </c>
      <c r="D157" s="202"/>
      <c r="E157" s="203"/>
      <c r="F157" s="201"/>
      <c r="G157" s="202"/>
      <c r="H157" s="202"/>
      <c r="I157" s="203"/>
      <c r="J157" s="201"/>
      <c r="K157" s="202"/>
      <c r="L157" s="202"/>
      <c r="M157" s="203"/>
      <c r="N157" s="204"/>
      <c r="O157" s="214"/>
      <c r="P157" s="205"/>
      <c r="Q157" s="205"/>
      <c r="R157" s="201"/>
      <c r="S157" s="202"/>
      <c r="T157" s="202"/>
      <c r="U157" s="203"/>
      <c r="V157" s="195">
        <f>'State DisAgg LFx10 (2015)'!L147</f>
        <v>2.5</v>
      </c>
      <c r="W157" s="196"/>
      <c r="X157" s="196"/>
      <c r="Y157" s="197">
        <f>'State DisAgg LFx10 (2015)'!P157</f>
        <v>2.9</v>
      </c>
      <c r="Z157" s="195"/>
      <c r="AA157" s="196"/>
      <c r="AB157" s="196"/>
      <c r="AC157" s="197">
        <f>'State DisAgg LFx10 (2015)'!T157</f>
        <v>0</v>
      </c>
      <c r="AD157" s="195"/>
      <c r="AE157" s="197"/>
      <c r="AH157" s="354">
        <f t="shared" si="25"/>
        <v>0.39999999999999991</v>
      </c>
    </row>
    <row r="158" spans="1:36" ht="13.5" thickBot="1">
      <c r="A158" s="885"/>
      <c r="B158" s="885"/>
      <c r="C158" s="9" t="s">
        <v>303</v>
      </c>
      <c r="D158" s="202"/>
      <c r="E158" s="203"/>
      <c r="F158" s="201"/>
      <c r="G158" s="202"/>
      <c r="H158" s="202"/>
      <c r="I158" s="203"/>
      <c r="J158" s="201"/>
      <c r="K158" s="202"/>
      <c r="L158" s="202"/>
      <c r="M158" s="203"/>
      <c r="N158" s="204"/>
      <c r="O158" s="214"/>
      <c r="P158" s="205"/>
      <c r="Q158" s="205"/>
      <c r="R158" s="201"/>
      <c r="S158" s="202"/>
      <c r="T158" s="202"/>
      <c r="U158" s="203"/>
      <c r="V158" s="242"/>
      <c r="W158" s="217" t="s">
        <v>633</v>
      </c>
      <c r="X158" s="241" t="s">
        <v>632</v>
      </c>
      <c r="Y158" s="197">
        <f>'State DisAgg LFx10 (2015)'!P148</f>
        <v>3.1</v>
      </c>
      <c r="Z158" s="195"/>
      <c r="AA158" s="196"/>
      <c r="AB158" s="196"/>
      <c r="AC158" s="197">
        <f>'State DisAgg LFx10 (2015)'!T158</f>
        <v>0</v>
      </c>
      <c r="AD158" s="195"/>
      <c r="AE158" s="197"/>
      <c r="AH158" s="354">
        <f t="shared" si="25"/>
        <v>3.1</v>
      </c>
    </row>
    <row r="159" spans="1:36" ht="13.5" thickBot="1">
      <c r="A159" s="885"/>
      <c r="B159" s="885"/>
      <c r="C159" s="9" t="s">
        <v>304</v>
      </c>
      <c r="D159" s="202"/>
      <c r="E159" s="203"/>
      <c r="F159" s="201"/>
      <c r="G159" s="202"/>
      <c r="H159" s="202"/>
      <c r="I159" s="203"/>
      <c r="J159" s="201"/>
      <c r="K159" s="202"/>
      <c r="L159" s="202"/>
      <c r="M159" s="203"/>
      <c r="N159" s="204"/>
      <c r="O159" s="205"/>
      <c r="P159" s="205"/>
      <c r="Q159" s="205"/>
      <c r="R159" s="201"/>
      <c r="S159" s="202"/>
      <c r="T159" s="202"/>
      <c r="U159" s="203"/>
      <c r="V159" s="242"/>
      <c r="W159" s="217" t="s">
        <v>633</v>
      </c>
      <c r="X159" s="241" t="s">
        <v>632</v>
      </c>
      <c r="Y159" s="197">
        <f>'State DisAgg LFx10 (2015)'!P149</f>
        <v>2.9</v>
      </c>
      <c r="Z159" s="195"/>
      <c r="AA159" s="196"/>
      <c r="AB159" s="196"/>
      <c r="AC159" s="197">
        <f>'State DisAgg LFx10 (2015)'!T159</f>
        <v>0</v>
      </c>
      <c r="AD159" s="195"/>
      <c r="AE159" s="197"/>
      <c r="AH159" s="354">
        <f t="shared" si="25"/>
        <v>2.9</v>
      </c>
    </row>
    <row r="160" spans="1:36" ht="12.95" hidden="1" customHeight="1" thickBot="1">
      <c r="A160" s="885"/>
      <c r="B160" s="273"/>
      <c r="C160" s="231"/>
      <c r="D160" s="232"/>
      <c r="E160" s="233"/>
      <c r="F160" s="234"/>
      <c r="G160" s="232"/>
      <c r="H160" s="232"/>
      <c r="I160" s="233"/>
      <c r="J160" s="234"/>
      <c r="K160" s="232"/>
      <c r="L160" s="232"/>
      <c r="M160" s="233"/>
      <c r="N160" s="234"/>
      <c r="O160" s="232"/>
      <c r="P160" s="232"/>
      <c r="Q160" s="233"/>
      <c r="R160" s="234"/>
      <c r="S160" s="232"/>
      <c r="T160" s="232"/>
      <c r="U160" s="233"/>
      <c r="V160" s="234"/>
      <c r="W160" s="232"/>
      <c r="X160" s="232"/>
      <c r="Y160" s="233"/>
      <c r="Z160" s="234"/>
      <c r="AA160" s="232"/>
      <c r="AB160" s="232"/>
      <c r="AC160" s="233"/>
      <c r="AD160" s="234"/>
      <c r="AE160" s="233"/>
      <c r="AH160" s="353">
        <v>18</v>
      </c>
      <c r="AI160" s="353">
        <v>18</v>
      </c>
      <c r="AJ160" s="353">
        <v>18</v>
      </c>
    </row>
    <row r="161" spans="1:36" ht="12.95" hidden="1" customHeight="1" thickBot="1">
      <c r="A161" s="885"/>
      <c r="B161" s="273"/>
      <c r="C161" s="231"/>
      <c r="D161" s="232"/>
      <c r="E161" s="233"/>
      <c r="F161" s="234"/>
      <c r="G161" s="232"/>
      <c r="H161" s="232"/>
      <c r="I161" s="233"/>
      <c r="J161" s="234"/>
      <c r="K161" s="232"/>
      <c r="L161" s="232"/>
      <c r="M161" s="233"/>
      <c r="N161" s="234"/>
      <c r="O161" s="232"/>
      <c r="P161" s="232"/>
      <c r="Q161" s="233"/>
      <c r="R161" s="234"/>
      <c r="S161" s="232"/>
      <c r="T161" s="232"/>
      <c r="U161" s="233"/>
      <c r="V161" s="234"/>
      <c r="W161" s="232"/>
      <c r="X161" s="232"/>
      <c r="Y161" s="233"/>
      <c r="Z161" s="234"/>
      <c r="AA161" s="232"/>
      <c r="AB161" s="232"/>
      <c r="AC161" s="233"/>
      <c r="AD161" s="234"/>
      <c r="AE161" s="233"/>
      <c r="AH161" s="353">
        <v>16</v>
      </c>
      <c r="AI161" s="353">
        <v>16</v>
      </c>
      <c r="AJ161" s="353">
        <v>16</v>
      </c>
    </row>
    <row r="162" spans="1:36" ht="12.95" customHeight="1" thickBot="1">
      <c r="A162" s="885"/>
      <c r="B162" s="3" t="s">
        <v>39</v>
      </c>
      <c r="C162" s="12"/>
      <c r="D162" s="1377">
        <v>2008</v>
      </c>
      <c r="E162" s="1378"/>
      <c r="F162" s="1372">
        <v>2009</v>
      </c>
      <c r="G162" s="1373"/>
      <c r="H162" s="1373"/>
      <c r="I162" s="1374"/>
      <c r="J162" s="1372">
        <v>2010</v>
      </c>
      <c r="K162" s="1373"/>
      <c r="L162" s="1373"/>
      <c r="M162" s="1374"/>
      <c r="N162" s="1372">
        <v>2011</v>
      </c>
      <c r="O162" s="1373"/>
      <c r="P162" s="1373"/>
      <c r="Q162" s="1374"/>
      <c r="R162" s="1372">
        <v>2012</v>
      </c>
      <c r="S162" s="1373"/>
      <c r="T162" s="1373"/>
      <c r="U162" s="1374"/>
      <c r="V162" s="1372">
        <v>2013</v>
      </c>
      <c r="W162" s="1373"/>
      <c r="X162" s="1373"/>
      <c r="Y162" s="1374"/>
      <c r="Z162" s="1372">
        <v>2014</v>
      </c>
      <c r="AA162" s="1373"/>
      <c r="AB162" s="1373"/>
      <c r="AC162" s="1374"/>
      <c r="AD162" s="1372">
        <v>2015</v>
      </c>
      <c r="AE162" s="1374"/>
    </row>
    <row r="163" spans="1:36" ht="12.95" customHeight="1" thickBot="1">
      <c r="A163" s="1382"/>
      <c r="B163" s="1253" t="s">
        <v>575</v>
      </c>
      <c r="C163" s="91"/>
      <c r="D163" s="1379" t="s">
        <v>715</v>
      </c>
      <c r="E163" s="1380"/>
      <c r="F163" s="1380"/>
      <c r="G163" s="1380"/>
      <c r="H163" s="1380"/>
      <c r="I163" s="1380"/>
      <c r="J163" s="1380"/>
      <c r="K163" s="1380"/>
      <c r="L163" s="1380"/>
      <c r="M163" s="1380"/>
      <c r="N163" s="1380"/>
      <c r="O163" s="1380"/>
      <c r="P163" s="1380"/>
      <c r="Q163" s="1380"/>
      <c r="R163" s="1380"/>
      <c r="S163" s="1380"/>
      <c r="T163" s="1380"/>
      <c r="U163" s="1380"/>
      <c r="V163" s="1380"/>
      <c r="W163" s="1380"/>
      <c r="X163" s="1380"/>
      <c r="Y163" s="1380"/>
      <c r="Z163" s="1380"/>
      <c r="AA163" s="1380"/>
      <c r="AB163" s="1380"/>
      <c r="AC163" s="1380"/>
      <c r="AD163" s="1380"/>
      <c r="AE163" s="1381"/>
      <c r="AG163" s="257" t="s">
        <v>663</v>
      </c>
      <c r="AH163" s="351">
        <f>SUM(AH150:AH157)/8</f>
        <v>0.36249999999999999</v>
      </c>
      <c r="AI163" s="356">
        <f>4/6*SUM(AI150:AI154)/5</f>
        <v>0</v>
      </c>
      <c r="AJ163" s="351">
        <f>4/5*SUM(AJ150:AJ154)/5</f>
        <v>0</v>
      </c>
    </row>
    <row r="164" spans="1:36" ht="12.95" customHeight="1" thickBot="1">
      <c r="A164" s="1382"/>
      <c r="B164" s="1254"/>
      <c r="C164" s="194" t="s">
        <v>802</v>
      </c>
      <c r="D164" s="206"/>
      <c r="E164" s="207"/>
      <c r="F164" s="209"/>
      <c r="G164" s="206"/>
      <c r="H164" s="206"/>
      <c r="I164" s="207"/>
      <c r="J164" s="332" t="s">
        <v>720</v>
      </c>
      <c r="K164" s="206"/>
      <c r="L164" s="206"/>
      <c r="M164" s="207"/>
      <c r="N164" s="277"/>
      <c r="O164" s="278">
        <f>(O174-J174)/5/(SUM($C$668:$C$671))/Spend!O164*'State Efficiency Ratios'!$C$654</f>
        <v>0</v>
      </c>
      <c r="P164" s="278"/>
      <c r="Q164" s="279"/>
      <c r="R164" s="277"/>
      <c r="S164" s="278"/>
      <c r="T164" s="278"/>
      <c r="U164" s="278">
        <f>(U174-O174)/6/(SUM($C$668:$C$671))/Spend!U164*'State Efficiency Ratios'!$C$654</f>
        <v>213.18976654378375</v>
      </c>
      <c r="V164" s="277"/>
      <c r="W164" s="278"/>
      <c r="X164" s="278"/>
      <c r="Y164" s="278">
        <f>(Y174-U174)/4/(SUM($C$668:$C$671))/Spend!Y164*'State Efficiency Ratios'!$C$654</f>
        <v>248.3136781838607</v>
      </c>
      <c r="Z164" s="277"/>
      <c r="AA164" s="278"/>
      <c r="AB164" s="278"/>
      <c r="AC164" s="278">
        <f>(AC174-Y174)/4/(SUM($C$668:$C$671))/Spend!AC164*'State Efficiency Ratios'!$C$654</f>
        <v>-729.42064022266322</v>
      </c>
      <c r="AD164" s="277"/>
      <c r="AE164" s="280"/>
      <c r="AG164" s="295"/>
      <c r="AH164" s="378">
        <f>SUM(Y140:Y147)/8</f>
        <v>390.76816613875883</v>
      </c>
      <c r="AI164" s="378">
        <f>SUM(U140:U144)/5</f>
        <v>0</v>
      </c>
      <c r="AJ164" s="378">
        <f>SUM(O140:O144)/5</f>
        <v>0</v>
      </c>
    </row>
    <row r="165" spans="1:36" ht="12.95" customHeight="1" thickBot="1">
      <c r="A165" s="1382"/>
      <c r="B165" s="1254"/>
      <c r="C165" s="194" t="s">
        <v>803</v>
      </c>
      <c r="D165" s="206"/>
      <c r="E165" s="207"/>
      <c r="F165" s="209"/>
      <c r="G165" s="206"/>
      <c r="H165" s="206"/>
      <c r="I165" s="207"/>
      <c r="J165" s="209"/>
      <c r="K165" s="206"/>
      <c r="L165" s="206"/>
      <c r="M165" s="207"/>
      <c r="N165" s="277"/>
      <c r="O165" s="278">
        <f>(O175-J175)/5/(SUM($C$668:$C$671))/Spend!O165*'State Efficiency Ratios'!$C$654</f>
        <v>12.752372381707742</v>
      </c>
      <c r="P165" s="278"/>
      <c r="Q165" s="279"/>
      <c r="R165" s="277"/>
      <c r="S165" s="278"/>
      <c r="T165" s="278"/>
      <c r="U165" s="278">
        <f>(U175-O175)/6/(SUM($C$668:$C$671))/Spend!U165*'State Efficiency Ratios'!$C$654</f>
        <v>225.26668041994623</v>
      </c>
      <c r="V165" s="277"/>
      <c r="W165" s="278"/>
      <c r="X165" s="278"/>
      <c r="Y165" s="278">
        <f>(Y175-U175)/4/(SUM($C$668:$C$671))/Spend!Y165*'State Efficiency Ratios'!$C$654</f>
        <v>1603.2148269029149</v>
      </c>
      <c r="Z165" s="277"/>
      <c r="AA165" s="278"/>
      <c r="AB165" s="278"/>
      <c r="AC165" s="278">
        <f>(AC175-Y175)/4/(SUM($C$668:$C$671))/Spend!AC165*'State Efficiency Ratios'!$C$654</f>
        <v>-2406.4218500844713</v>
      </c>
      <c r="AD165" s="277"/>
      <c r="AE165" s="280"/>
      <c r="AG165" s="295"/>
    </row>
    <row r="166" spans="1:36" ht="12.95" customHeight="1" thickBot="1">
      <c r="A166" s="1382"/>
      <c r="B166" s="1254"/>
      <c r="C166" s="194" t="s">
        <v>804</v>
      </c>
      <c r="D166" s="206"/>
      <c r="E166" s="207"/>
      <c r="F166" s="209"/>
      <c r="G166" s="206"/>
      <c r="H166" s="206"/>
      <c r="I166" s="207"/>
      <c r="J166" s="209"/>
      <c r="K166" s="206"/>
      <c r="L166" s="206"/>
      <c r="M166" s="207"/>
      <c r="N166" s="277"/>
      <c r="O166" s="278">
        <f>(O176-J176)/5/(SUM($C$668:$C$671))/Spend!O166*'State Efficiency Ratios'!$C$654</f>
        <v>36.875138050063491</v>
      </c>
      <c r="P166" s="278"/>
      <c r="Q166" s="279"/>
      <c r="R166" s="277"/>
      <c r="S166" s="278"/>
      <c r="T166" s="278"/>
      <c r="U166" s="278">
        <f>(U176-O176)/6/(SUM($C$668:$C$671))/Spend!U166*'State Efficiency Ratios'!$C$654</f>
        <v>171.67550675620637</v>
      </c>
      <c r="V166" s="277"/>
      <c r="W166" s="278"/>
      <c r="X166" s="278"/>
      <c r="Y166" s="278">
        <f>(Y176-U176)/4/(SUM($C$668:$C$671))/Spend!Y166*'State Efficiency Ratios'!$C$654</f>
        <v>286.20577579675637</v>
      </c>
      <c r="Z166" s="277"/>
      <c r="AA166" s="278"/>
      <c r="AB166" s="278"/>
      <c r="AC166" s="278">
        <f>(AC176-Y176)/4/(SUM($C$668:$C$671))/Spend!AC166*'State Efficiency Ratios'!$C$654</f>
        <v>-1002.6256878718726</v>
      </c>
      <c r="AD166" s="277"/>
      <c r="AE166" s="280"/>
      <c r="AG166" s="295"/>
    </row>
    <row r="167" spans="1:36" ht="12.95" customHeight="1" thickBot="1">
      <c r="A167" s="1382"/>
      <c r="B167" s="1254"/>
      <c r="C167" s="194" t="s">
        <v>805</v>
      </c>
      <c r="D167" s="206"/>
      <c r="E167" s="207"/>
      <c r="F167" s="209"/>
      <c r="G167" s="206"/>
      <c r="H167" s="206"/>
      <c r="I167" s="207"/>
      <c r="J167" s="209"/>
      <c r="K167" s="206"/>
      <c r="L167" s="206"/>
      <c r="M167" s="207"/>
      <c r="N167" s="277"/>
      <c r="O167" s="278">
        <f>(O177-J177)/5/(SUM($C$668:$C$671))/Spend!O167*'State Efficiency Ratios'!$C$654</f>
        <v>37.08170659707465</v>
      </c>
      <c r="P167" s="278"/>
      <c r="Q167" s="279"/>
      <c r="R167" s="277"/>
      <c r="S167" s="278"/>
      <c r="T167" s="278"/>
      <c r="U167" s="278">
        <f>(U177-O177)/6/(SUM($C$668:$C$671))/Spend!U167*'State Efficiency Ratios'!$C$654</f>
        <v>211.50660612499465</v>
      </c>
      <c r="V167" s="277"/>
      <c r="W167" s="278"/>
      <c r="X167" s="278"/>
      <c r="Y167" s="278">
        <f>(Y177-U177)/4/(SUM($C$668:$C$671))/Spend!Y167*'State Efficiency Ratios'!$C$654</f>
        <v>667.44380351620043</v>
      </c>
      <c r="Z167" s="277"/>
      <c r="AA167" s="278"/>
      <c r="AB167" s="278"/>
      <c r="AC167" s="278">
        <f>(AC177-Y177)/4/(SUM($C$668:$C$671))/Spend!AC167*'State Efficiency Ratios'!$C$654</f>
        <v>-1351.6955393239755</v>
      </c>
      <c r="AD167" s="277"/>
      <c r="AE167" s="280"/>
      <c r="AG167" s="295"/>
    </row>
    <row r="168" spans="1:36" ht="13.5" thickBot="1">
      <c r="A168" s="1382"/>
      <c r="B168" s="1254"/>
      <c r="C168" s="194" t="s">
        <v>806</v>
      </c>
      <c r="D168" s="206"/>
      <c r="E168" s="207"/>
      <c r="F168" s="209"/>
      <c r="G168" s="206"/>
      <c r="H168" s="206"/>
      <c r="I168" s="207"/>
      <c r="J168" s="209"/>
      <c r="K168" s="206"/>
      <c r="L168" s="206"/>
      <c r="M168" s="207"/>
      <c r="N168" s="277"/>
      <c r="O168" s="278">
        <f>(O178-J178)/5/(SUM($C$668:$C$671))/Spend!O168*'State Efficiency Ratios'!$C$654</f>
        <v>55.376436625121741</v>
      </c>
      <c r="P168" s="278"/>
      <c r="Q168" s="279"/>
      <c r="R168" s="277"/>
      <c r="S168" s="278"/>
      <c r="T168" s="278"/>
      <c r="U168" s="278">
        <f>(U178-O178)/6/(SUM($C$668:$C$671))/Spend!U168*'State Efficiency Ratios'!$C$654</f>
        <v>47.995016049619032</v>
      </c>
      <c r="V168" s="277"/>
      <c r="W168" s="278"/>
      <c r="X168" s="278"/>
      <c r="Y168" s="278">
        <f>(Y178-U178)/4/(SUM($C$668:$C$671))/Spend!Y168*'State Efficiency Ratios'!$C$654</f>
        <v>621.72232963426393</v>
      </c>
      <c r="Z168" s="277"/>
      <c r="AA168" s="278"/>
      <c r="AB168" s="278"/>
      <c r="AC168" s="278">
        <f>(AC178-Y178)/4/(SUM($C$668:$C$671))/Spend!AC168*'State Efficiency Ratios'!$C$654</f>
        <v>-985.37628839843399</v>
      </c>
      <c r="AD168" s="277"/>
      <c r="AE168" s="280"/>
      <c r="AG168" s="295"/>
    </row>
    <row r="169" spans="1:36" ht="12.95" customHeight="1" thickBot="1">
      <c r="A169" s="1382"/>
      <c r="B169" s="1254"/>
      <c r="C169" s="194" t="s">
        <v>807</v>
      </c>
      <c r="D169" s="210"/>
      <c r="E169" s="211"/>
      <c r="F169" s="209"/>
      <c r="G169" s="210"/>
      <c r="H169" s="210"/>
      <c r="I169" s="211"/>
      <c r="J169" s="209"/>
      <c r="K169" s="210"/>
      <c r="L169" s="210"/>
      <c r="M169" s="211"/>
      <c r="N169" s="281"/>
      <c r="O169" s="282"/>
      <c r="P169" s="282"/>
      <c r="Q169" s="282"/>
      <c r="R169" s="277"/>
      <c r="S169" s="278"/>
      <c r="T169" s="278"/>
      <c r="U169" s="278">
        <f>(U179-R179)/3/(SUM($C$668:$C$671))/Spend!U169*'State Efficiency Ratios'!$C$654</f>
        <v>0</v>
      </c>
      <c r="V169" s="277"/>
      <c r="W169" s="278"/>
      <c r="X169" s="278"/>
      <c r="Y169" s="278">
        <f>(Y179-U179)/4/(SUM($C$668:$C$671))/Spend!Y169*'State Efficiency Ratios'!$C$654</f>
        <v>139.48989854894555</v>
      </c>
      <c r="Z169" s="277"/>
      <c r="AA169" s="278"/>
      <c r="AB169" s="278"/>
      <c r="AC169" s="278">
        <f>(AC179-Y179)/4/(SUM($C$668:$C$671))/Spend!AC169*'State Efficiency Ratios'!$C$654</f>
        <v>-102.94987792661517</v>
      </c>
      <c r="AD169" s="277"/>
      <c r="AE169" s="280"/>
      <c r="AG169" s="295"/>
    </row>
    <row r="170" spans="1:36" ht="12.95" customHeight="1" thickBot="1">
      <c r="A170" s="1382"/>
      <c r="B170" s="1254"/>
      <c r="C170" s="194" t="s">
        <v>808</v>
      </c>
      <c r="D170" s="210"/>
      <c r="E170" s="211"/>
      <c r="F170" s="209"/>
      <c r="G170" s="210"/>
      <c r="H170" s="210"/>
      <c r="I170" s="211"/>
      <c r="J170" s="209"/>
      <c r="K170" s="210"/>
      <c r="L170" s="210"/>
      <c r="M170" s="211"/>
      <c r="N170" s="281"/>
      <c r="O170" s="282"/>
      <c r="P170" s="282"/>
      <c r="Q170" s="282"/>
      <c r="R170" s="277"/>
      <c r="S170" s="278"/>
      <c r="T170" s="278"/>
      <c r="U170" s="278">
        <f>(U180-R180)/3/(SUM($C$668:$C$671))/Spend!U170*'State Efficiency Ratios'!$C$654</f>
        <v>0</v>
      </c>
      <c r="V170" s="277"/>
      <c r="W170" s="278"/>
      <c r="X170" s="278"/>
      <c r="Y170" s="278">
        <f>(Y180-U180)/4/(SUM($C$668:$C$671))/Spend!Y170*'State Efficiency Ratios'!$C$654</f>
        <v>256.16128520303437</v>
      </c>
      <c r="Z170" s="277"/>
      <c r="AA170" s="278"/>
      <c r="AB170" s="278"/>
      <c r="AC170" s="278">
        <f>(AC180-Y180)/4/(SUM($C$668:$C$671))/Spend!AC170*'State Efficiency Ratios'!$C$654</f>
        <v>-191.16611957713863</v>
      </c>
      <c r="AD170" s="277"/>
      <c r="AE170" s="280"/>
      <c r="AG170" s="295"/>
    </row>
    <row r="171" spans="1:36" ht="12.95" customHeight="1" thickBot="1">
      <c r="A171" s="1382"/>
      <c r="B171" s="1254"/>
      <c r="C171" s="194" t="s">
        <v>809</v>
      </c>
      <c r="D171" s="210"/>
      <c r="E171" s="211"/>
      <c r="F171" s="209"/>
      <c r="G171" s="210"/>
      <c r="H171" s="210"/>
      <c r="I171" s="211"/>
      <c r="J171" s="209"/>
      <c r="K171" s="210"/>
      <c r="L171" s="210"/>
      <c r="M171" s="211"/>
      <c r="N171" s="281"/>
      <c r="O171" s="282"/>
      <c r="P171" s="282"/>
      <c r="Q171" s="282"/>
      <c r="R171" s="277"/>
      <c r="S171" s="278"/>
      <c r="T171" s="278"/>
      <c r="U171" s="278">
        <f>(U181-R181)/3/(SUM($C$668:$C$671))/Spend!U171*'State Efficiency Ratios'!$C$654</f>
        <v>0</v>
      </c>
      <c r="V171" s="277"/>
      <c r="W171" s="278"/>
      <c r="X171" s="278"/>
      <c r="Y171" s="278">
        <f>(Y181-U181)/4/(SUM($C$668:$C$671))/Spend!Y171*'State Efficiency Ratios'!$C$654</f>
        <v>945.39242626216878</v>
      </c>
      <c r="Z171" s="277"/>
      <c r="AA171" s="278"/>
      <c r="AB171" s="278"/>
      <c r="AC171" s="278">
        <f>(AC181-Y181)/4/(SUM($C$668:$C$671))/Spend!AC171*'State Efficiency Ratios'!$C$654</f>
        <v>-915.90028891012457</v>
      </c>
      <c r="AD171" s="277"/>
      <c r="AE171" s="280"/>
      <c r="AG171" s="295"/>
    </row>
    <row r="172" spans="1:36" ht="12.95" customHeight="1" thickBot="1">
      <c r="A172" s="1382"/>
      <c r="B172" s="1254"/>
      <c r="C172" s="194" t="s">
        <v>810</v>
      </c>
      <c r="D172" s="210"/>
      <c r="E172" s="211"/>
      <c r="F172" s="209"/>
      <c r="G172" s="210"/>
      <c r="H172" s="210"/>
      <c r="I172" s="211"/>
      <c r="J172" s="209"/>
      <c r="K172" s="210"/>
      <c r="L172" s="210"/>
      <c r="M172" s="211"/>
      <c r="N172" s="281"/>
      <c r="O172" s="282"/>
      <c r="P172" s="282"/>
      <c r="Q172" s="283"/>
      <c r="R172" s="281"/>
      <c r="S172" s="282"/>
      <c r="T172" s="282"/>
      <c r="U172" s="283"/>
      <c r="V172" s="281"/>
      <c r="W172" s="282"/>
      <c r="X172" s="282"/>
      <c r="Y172" s="283"/>
      <c r="Z172" s="277"/>
      <c r="AA172" s="278"/>
      <c r="AB172" s="278"/>
      <c r="AC172" s="278">
        <f>(AC182-Y182)/4/(SUM($C$668:$C$671))/Spend!AC172*'State Efficiency Ratios'!$C$654</f>
        <v>0</v>
      </c>
      <c r="AD172" s="277"/>
      <c r="AE172" s="280"/>
      <c r="AG172" s="295"/>
    </row>
    <row r="173" spans="1:36" ht="12.95" customHeight="1" thickBot="1">
      <c r="A173" s="1382"/>
      <c r="B173" s="1254" t="s">
        <v>159</v>
      </c>
      <c r="C173" s="194" t="s">
        <v>811</v>
      </c>
      <c r="D173" s="210"/>
      <c r="E173" s="211"/>
      <c r="F173" s="209"/>
      <c r="G173" s="210"/>
      <c r="H173" s="210"/>
      <c r="I173" s="211"/>
      <c r="J173" s="209"/>
      <c r="K173" s="210"/>
      <c r="L173" s="210"/>
      <c r="M173" s="211"/>
      <c r="N173" s="281"/>
      <c r="O173" s="282"/>
      <c r="P173" s="282"/>
      <c r="Q173" s="283"/>
      <c r="R173" s="281"/>
      <c r="S173" s="282"/>
      <c r="T173" s="282"/>
      <c r="U173" s="283"/>
      <c r="V173" s="281"/>
      <c r="W173" s="282"/>
      <c r="X173" s="282"/>
      <c r="Y173" s="283"/>
      <c r="Z173" s="277"/>
      <c r="AA173" s="278"/>
      <c r="AB173" s="278"/>
      <c r="AC173" s="278">
        <f>(AC183-Y183)/4/(SUM($C$668:$C$671))/Spend!AC173*'State Efficiency Ratios'!$C$654</f>
        <v>0</v>
      </c>
      <c r="AD173" s="277"/>
      <c r="AE173" s="280"/>
      <c r="AG173" s="295"/>
    </row>
    <row r="174" spans="1:36" ht="12.95" customHeight="1" thickBot="1">
      <c r="A174" s="1382"/>
      <c r="B174" s="1254"/>
      <c r="C174" s="9" t="s">
        <v>295</v>
      </c>
      <c r="D174" s="241" t="s">
        <v>632</v>
      </c>
      <c r="E174" s="241" t="s">
        <v>632</v>
      </c>
      <c r="F174" s="243" t="s">
        <v>646</v>
      </c>
      <c r="G174" s="241" t="s">
        <v>646</v>
      </c>
      <c r="H174" s="241" t="s">
        <v>646</v>
      </c>
      <c r="I174" s="244" t="s">
        <v>646</v>
      </c>
      <c r="J174" s="195">
        <f>SUM('State DisAgg LFx10 (2015)'!D164:G164)</f>
        <v>0</v>
      </c>
      <c r="K174" s="196"/>
      <c r="L174" s="196"/>
      <c r="M174" s="197"/>
      <c r="N174" s="195"/>
      <c r="O174" s="196">
        <f>SUM('State DisAgg LFx10 (2015)'!H174:K174)</f>
        <v>0</v>
      </c>
      <c r="P174" s="196"/>
      <c r="Q174" s="197"/>
      <c r="R174" s="195"/>
      <c r="S174" s="196"/>
      <c r="T174" s="196"/>
      <c r="U174" s="197">
        <f>SUM('State DisAgg LFx10 (2015)'!L174:O174)</f>
        <v>9</v>
      </c>
      <c r="V174" s="195"/>
      <c r="W174" s="196"/>
      <c r="X174" s="196"/>
      <c r="Y174" s="197">
        <f>SUM('State DisAgg LFx10 (2015)'!P174:S174)</f>
        <v>14</v>
      </c>
      <c r="Z174" s="195"/>
      <c r="AA174" s="196"/>
      <c r="AB174" s="196"/>
      <c r="AC174" s="197">
        <f>SUM('State DisAgg LFx10 (2015)'!T174:W174)</f>
        <v>0</v>
      </c>
      <c r="AD174" s="195"/>
      <c r="AE174" s="197"/>
      <c r="AH174" s="354">
        <f>Y174-U174</f>
        <v>5</v>
      </c>
      <c r="AI174" s="354">
        <f>U174-O174</f>
        <v>9</v>
      </c>
      <c r="AJ174" s="354">
        <f t="shared" ref="AJ174:AJ183" si="26">O174-J174</f>
        <v>0</v>
      </c>
    </row>
    <row r="175" spans="1:36" ht="12.95" customHeight="1" thickBot="1">
      <c r="A175" s="1382"/>
      <c r="B175" s="1254"/>
      <c r="C175" s="9" t="s">
        <v>296</v>
      </c>
      <c r="D175" s="241" t="s">
        <v>632</v>
      </c>
      <c r="E175" s="241" t="s">
        <v>632</v>
      </c>
      <c r="F175" s="243" t="s">
        <v>646</v>
      </c>
      <c r="G175" s="241" t="s">
        <v>646</v>
      </c>
      <c r="H175" s="241" t="s">
        <v>646</v>
      </c>
      <c r="I175" s="244" t="s">
        <v>646</v>
      </c>
      <c r="J175" s="195">
        <f>SUM('State DisAgg LFx10 (2015)'!D165:G165)</f>
        <v>0</v>
      </c>
      <c r="K175" s="196"/>
      <c r="L175" s="196"/>
      <c r="M175" s="197"/>
      <c r="N175" s="195"/>
      <c r="O175" s="196">
        <f>SUM('State DisAgg LFx10 (2015)'!H175:K175)</f>
        <v>1</v>
      </c>
      <c r="P175" s="196"/>
      <c r="Q175" s="197"/>
      <c r="R175" s="195"/>
      <c r="S175" s="196"/>
      <c r="T175" s="196"/>
      <c r="U175" s="197">
        <f>SUM('State DisAgg LFx10 (2015)'!L175:O175)</f>
        <v>10</v>
      </c>
      <c r="V175" s="195"/>
      <c r="W175" s="196"/>
      <c r="X175" s="196"/>
      <c r="Y175" s="197">
        <f>SUM('State DisAgg LFx10 (2015)'!P175:S175)</f>
        <v>41</v>
      </c>
      <c r="Z175" s="195"/>
      <c r="AA175" s="196"/>
      <c r="AB175" s="196"/>
      <c r="AC175" s="197">
        <f>SUM('State DisAgg LFx10 (2015)'!T175:W175)</f>
        <v>0</v>
      </c>
      <c r="AD175" s="195"/>
      <c r="AE175" s="197"/>
      <c r="AH175" s="354">
        <f t="shared" ref="AH175:AH183" si="27">Y175-U175</f>
        <v>31</v>
      </c>
      <c r="AI175" s="354">
        <f>U175-O175</f>
        <v>9</v>
      </c>
      <c r="AJ175" s="354">
        <f t="shared" si="26"/>
        <v>1</v>
      </c>
    </row>
    <row r="176" spans="1:36" ht="12.95" customHeight="1" thickBot="1">
      <c r="A176" s="1382"/>
      <c r="B176" s="1254" t="s">
        <v>576</v>
      </c>
      <c r="C176" s="9" t="s">
        <v>297</v>
      </c>
      <c r="D176" s="241" t="s">
        <v>632</v>
      </c>
      <c r="E176" s="241" t="s">
        <v>632</v>
      </c>
      <c r="F176" s="243" t="s">
        <v>646</v>
      </c>
      <c r="G176" s="241" t="s">
        <v>646</v>
      </c>
      <c r="H176" s="241" t="s">
        <v>646</v>
      </c>
      <c r="I176" s="244" t="s">
        <v>646</v>
      </c>
      <c r="J176" s="195">
        <f>SUM('State DisAgg LFx10 (2015)'!D166:G166)</f>
        <v>0</v>
      </c>
      <c r="K176" s="196"/>
      <c r="L176" s="196"/>
      <c r="M176" s="197"/>
      <c r="N176" s="195"/>
      <c r="O176" s="196">
        <f>SUM('State DisAgg LFx10 (2015)'!H176:K176)</f>
        <v>3</v>
      </c>
      <c r="P176" s="196"/>
      <c r="Q176" s="197"/>
      <c r="R176" s="195"/>
      <c r="S176" s="196"/>
      <c r="T176" s="196"/>
      <c r="U176" s="197">
        <f>SUM('State DisAgg LFx10 (2015)'!L176:O176)</f>
        <v>11</v>
      </c>
      <c r="V176" s="195"/>
      <c r="W176" s="196"/>
      <c r="X176" s="196"/>
      <c r="Y176" s="197">
        <f>SUM('State DisAgg LFx10 (2015)'!P176:S176)</f>
        <v>17</v>
      </c>
      <c r="Z176" s="195"/>
      <c r="AA176" s="196"/>
      <c r="AB176" s="196"/>
      <c r="AC176" s="197">
        <f>SUM('State DisAgg LFx10 (2015)'!T176:W176)</f>
        <v>0</v>
      </c>
      <c r="AD176" s="195"/>
      <c r="AE176" s="197"/>
      <c r="AH176" s="354">
        <f t="shared" si="27"/>
        <v>6</v>
      </c>
      <c r="AI176" s="354">
        <f>U176-O176</f>
        <v>8</v>
      </c>
      <c r="AJ176" s="354">
        <f t="shared" si="26"/>
        <v>3</v>
      </c>
    </row>
    <row r="177" spans="1:41" ht="12.95" customHeight="1" thickBot="1">
      <c r="A177" s="1382"/>
      <c r="B177" s="1254"/>
      <c r="C177" s="9" t="s">
        <v>298</v>
      </c>
      <c r="D177" s="241" t="s">
        <v>632</v>
      </c>
      <c r="E177" s="241" t="s">
        <v>632</v>
      </c>
      <c r="F177" s="243" t="s">
        <v>646</v>
      </c>
      <c r="G177" s="241" t="s">
        <v>646</v>
      </c>
      <c r="H177" s="241" t="s">
        <v>646</v>
      </c>
      <c r="I177" s="244" t="s">
        <v>646</v>
      </c>
      <c r="J177" s="195">
        <f>SUM('State DisAgg LFx10 (2015)'!D167:G167)</f>
        <v>0</v>
      </c>
      <c r="K177" s="196"/>
      <c r="L177" s="196"/>
      <c r="M177" s="197"/>
      <c r="N177" s="195"/>
      <c r="O177" s="196">
        <f>SUM('State DisAgg LFx10 (2015)'!H177:K177)</f>
        <v>3</v>
      </c>
      <c r="P177" s="196"/>
      <c r="Q177" s="197"/>
      <c r="R177" s="195"/>
      <c r="S177" s="196"/>
      <c r="T177" s="196"/>
      <c r="U177" s="197">
        <f>SUM('State DisAgg LFx10 (2015)'!L177:O177)</f>
        <v>13</v>
      </c>
      <c r="V177" s="195"/>
      <c r="W177" s="196"/>
      <c r="X177" s="196"/>
      <c r="Y177" s="197">
        <f>SUM('State DisAgg LFx10 (2015)'!P177:S177)</f>
        <v>26</v>
      </c>
      <c r="Z177" s="195"/>
      <c r="AA177" s="196"/>
      <c r="AB177" s="196"/>
      <c r="AC177" s="197">
        <f>SUM('State DisAgg LFx10 (2015)'!T177:W177)</f>
        <v>0</v>
      </c>
      <c r="AD177" s="195"/>
      <c r="AE177" s="197"/>
      <c r="AH177" s="354">
        <f t="shared" si="27"/>
        <v>13</v>
      </c>
      <c r="AI177" s="354">
        <f>U177-O177</f>
        <v>10</v>
      </c>
      <c r="AJ177" s="354">
        <f t="shared" si="26"/>
        <v>3</v>
      </c>
    </row>
    <row r="178" spans="1:41" ht="12.95" customHeight="1" thickBot="1">
      <c r="A178" s="1382"/>
      <c r="B178" s="1254"/>
      <c r="C178" s="9" t="s">
        <v>299</v>
      </c>
      <c r="D178" s="241" t="s">
        <v>632</v>
      </c>
      <c r="E178" s="241" t="s">
        <v>632</v>
      </c>
      <c r="F178" s="243" t="s">
        <v>646</v>
      </c>
      <c r="G178" s="241" t="s">
        <v>646</v>
      </c>
      <c r="H178" s="241" t="s">
        <v>646</v>
      </c>
      <c r="I178" s="244" t="s">
        <v>646</v>
      </c>
      <c r="J178" s="195">
        <f>SUM('State DisAgg LFx10 (2015)'!D168:G168)</f>
        <v>0</v>
      </c>
      <c r="K178" s="196"/>
      <c r="L178" s="196"/>
      <c r="M178" s="197"/>
      <c r="N178" s="195"/>
      <c r="O178" s="196">
        <f>SUM('State DisAgg LFx10 (2015)'!H178:K178)</f>
        <v>5</v>
      </c>
      <c r="P178" s="196"/>
      <c r="Q178" s="197"/>
      <c r="R178" s="195"/>
      <c r="S178" s="196"/>
      <c r="T178" s="196"/>
      <c r="U178" s="197">
        <f>SUM('State DisAgg LFx10 (2015)'!L178:O178)</f>
        <v>8</v>
      </c>
      <c r="V178" s="195"/>
      <c r="W178" s="196"/>
      <c r="X178" s="196"/>
      <c r="Y178" s="197">
        <f>SUM('State DisAgg LFx10 (2015)'!P178:S178)</f>
        <v>22</v>
      </c>
      <c r="Z178" s="195"/>
      <c r="AA178" s="196"/>
      <c r="AB178" s="196"/>
      <c r="AC178" s="197">
        <f>SUM('State DisAgg LFx10 (2015)'!T178:W178)</f>
        <v>0</v>
      </c>
      <c r="AD178" s="195"/>
      <c r="AE178" s="197"/>
      <c r="AH178" s="354">
        <f t="shared" si="27"/>
        <v>14</v>
      </c>
      <c r="AI178" s="354">
        <f>U178-O178</f>
        <v>3</v>
      </c>
      <c r="AJ178" s="354">
        <f t="shared" si="26"/>
        <v>5</v>
      </c>
    </row>
    <row r="179" spans="1:41" ht="13.5" thickBot="1">
      <c r="A179" s="1382"/>
      <c r="B179" s="1254"/>
      <c r="C179" s="9" t="s">
        <v>300</v>
      </c>
      <c r="D179" s="199"/>
      <c r="E179" s="200"/>
      <c r="F179" s="201"/>
      <c r="G179" s="199"/>
      <c r="H179" s="199"/>
      <c r="I179" s="200"/>
      <c r="J179" s="201"/>
      <c r="K179" s="199"/>
      <c r="L179" s="199"/>
      <c r="M179" s="200"/>
      <c r="N179" s="198"/>
      <c r="O179" s="217" t="s">
        <v>634</v>
      </c>
      <c r="P179" s="241" t="s">
        <v>632</v>
      </c>
      <c r="Q179" s="244" t="s">
        <v>646</v>
      </c>
      <c r="R179" s="195">
        <f>SUM('State DisAgg LFx10 (2015)'!H169:K169)</f>
        <v>0</v>
      </c>
      <c r="S179" s="196"/>
      <c r="T179" s="196"/>
      <c r="U179" s="197">
        <f>SUM('State DisAgg LFx10 (2015)'!L179:O179)</f>
        <v>0</v>
      </c>
      <c r="V179" s="195"/>
      <c r="W179" s="196"/>
      <c r="X179" s="196"/>
      <c r="Y179" s="197">
        <f>SUM('State DisAgg LFx10 (2015)'!P179:S179)</f>
        <v>2</v>
      </c>
      <c r="Z179" s="195"/>
      <c r="AA179" s="196"/>
      <c r="AB179" s="196"/>
      <c r="AC179" s="197">
        <f>SUM('State DisAgg LFx10 (2015)'!T179:W179)</f>
        <v>0</v>
      </c>
      <c r="AD179" s="195"/>
      <c r="AE179" s="197"/>
      <c r="AH179" s="354">
        <f t="shared" si="27"/>
        <v>2</v>
      </c>
      <c r="AI179" s="354">
        <f>U179-R179</f>
        <v>0</v>
      </c>
      <c r="AJ179" s="354" t="e">
        <f t="shared" si="26"/>
        <v>#VALUE!</v>
      </c>
    </row>
    <row r="180" spans="1:41" ht="13.5" thickBot="1">
      <c r="A180" s="1382"/>
      <c r="B180" s="1254"/>
      <c r="C180" s="9" t="s">
        <v>301</v>
      </c>
      <c r="D180" s="199"/>
      <c r="E180" s="200"/>
      <c r="F180" s="201"/>
      <c r="G180" s="199"/>
      <c r="H180" s="199"/>
      <c r="I180" s="200"/>
      <c r="J180" s="201"/>
      <c r="K180" s="199"/>
      <c r="L180" s="199"/>
      <c r="M180" s="200"/>
      <c r="N180" s="198"/>
      <c r="O180" s="217" t="s">
        <v>634</v>
      </c>
      <c r="P180" s="241" t="s">
        <v>632</v>
      </c>
      <c r="Q180" s="244" t="s">
        <v>646</v>
      </c>
      <c r="R180" s="195">
        <f>SUM('State DisAgg LFx10 (2015)'!H170:K170)</f>
        <v>0</v>
      </c>
      <c r="S180" s="196"/>
      <c r="T180" s="196"/>
      <c r="U180" s="197">
        <f>SUM('State DisAgg LFx10 (2015)'!L180:O180)</f>
        <v>0</v>
      </c>
      <c r="V180" s="195"/>
      <c r="W180" s="196"/>
      <c r="X180" s="196"/>
      <c r="Y180" s="197">
        <f>SUM('State DisAgg LFx10 (2015)'!P180:S180)</f>
        <v>3</v>
      </c>
      <c r="Z180" s="195"/>
      <c r="AA180" s="196"/>
      <c r="AB180" s="196"/>
      <c r="AC180" s="197">
        <f>SUM('State DisAgg LFx10 (2015)'!T180:W180)</f>
        <v>0</v>
      </c>
      <c r="AD180" s="195"/>
      <c r="AE180" s="197"/>
      <c r="AH180" s="354">
        <f t="shared" si="27"/>
        <v>3</v>
      </c>
      <c r="AI180" s="354">
        <f t="shared" ref="AI180:AI181" si="28">U180-R180</f>
        <v>0</v>
      </c>
      <c r="AJ180" s="354" t="e">
        <f t="shared" si="26"/>
        <v>#VALUE!</v>
      </c>
    </row>
    <row r="181" spans="1:41" ht="13.5" thickBot="1">
      <c r="A181" s="1382"/>
      <c r="B181" s="1254" t="s">
        <v>577</v>
      </c>
      <c r="C181" s="9" t="s">
        <v>302</v>
      </c>
      <c r="D181" s="199"/>
      <c r="E181" s="200"/>
      <c r="F181" s="201"/>
      <c r="G181" s="199"/>
      <c r="H181" s="199"/>
      <c r="I181" s="200"/>
      <c r="J181" s="201"/>
      <c r="K181" s="199"/>
      <c r="L181" s="199"/>
      <c r="M181" s="200"/>
      <c r="N181" s="198"/>
      <c r="O181" s="217" t="s">
        <v>634</v>
      </c>
      <c r="P181" s="241" t="s">
        <v>632</v>
      </c>
      <c r="Q181" s="244" t="s">
        <v>646</v>
      </c>
      <c r="R181" s="195">
        <f>SUM('State DisAgg LFx10 (2015)'!H171:K171)</f>
        <v>0</v>
      </c>
      <c r="S181" s="196"/>
      <c r="T181" s="196"/>
      <c r="U181" s="197">
        <f>SUM('State DisAgg LFx10 (2015)'!L181:O181)</f>
        <v>0</v>
      </c>
      <c r="V181" s="195"/>
      <c r="W181" s="196"/>
      <c r="X181" s="196"/>
      <c r="Y181" s="197">
        <f>SUM('State DisAgg LFx10 (2015)'!P181:S181)</f>
        <v>15</v>
      </c>
      <c r="Z181" s="195"/>
      <c r="AA181" s="196"/>
      <c r="AB181" s="196"/>
      <c r="AC181" s="197">
        <f>SUM('State DisAgg LFx10 (2015)'!T181:W181)</f>
        <v>0</v>
      </c>
      <c r="AD181" s="195"/>
      <c r="AE181" s="197"/>
      <c r="AH181" s="354">
        <f t="shared" si="27"/>
        <v>15</v>
      </c>
      <c r="AI181" s="354">
        <f t="shared" si="28"/>
        <v>0</v>
      </c>
      <c r="AJ181" s="354" t="e">
        <f t="shared" si="26"/>
        <v>#VALUE!</v>
      </c>
    </row>
    <row r="182" spans="1:41" ht="13.5" thickBot="1">
      <c r="A182" s="1382"/>
      <c r="B182" s="1254"/>
      <c r="C182" s="9" t="s">
        <v>303</v>
      </c>
      <c r="D182" s="202"/>
      <c r="E182" s="203"/>
      <c r="F182" s="201"/>
      <c r="G182" s="202"/>
      <c r="H182" s="202"/>
      <c r="I182" s="203"/>
      <c r="J182" s="201"/>
      <c r="K182" s="202"/>
      <c r="L182" s="202"/>
      <c r="M182" s="203"/>
      <c r="N182" s="204"/>
      <c r="O182" s="214"/>
      <c r="P182" s="205"/>
      <c r="Q182" s="205"/>
      <c r="R182" s="201"/>
      <c r="S182" s="202"/>
      <c r="T182" s="202"/>
      <c r="U182" s="203"/>
      <c r="V182" s="242"/>
      <c r="W182" s="217" t="s">
        <v>633</v>
      </c>
      <c r="X182" s="241" t="s">
        <v>632</v>
      </c>
      <c r="Y182" s="197">
        <f>SUM('State DisAgg LFx10 (2015)'!P172:S172)</f>
        <v>0</v>
      </c>
      <c r="Z182" s="195"/>
      <c r="AA182" s="196"/>
      <c r="AB182" s="196"/>
      <c r="AC182" s="197">
        <f>SUM('State DisAgg LFx10 (2015)'!T182:W182)</f>
        <v>0</v>
      </c>
      <c r="AD182" s="195"/>
      <c r="AE182" s="197"/>
      <c r="AH182" s="354">
        <f t="shared" si="27"/>
        <v>0</v>
      </c>
      <c r="AI182" s="354">
        <f>U182-O182</f>
        <v>0</v>
      </c>
      <c r="AJ182" s="354">
        <f t="shared" si="26"/>
        <v>0</v>
      </c>
    </row>
    <row r="183" spans="1:41" ht="13.5" thickBot="1">
      <c r="A183" s="1383"/>
      <c r="B183" s="1384"/>
      <c r="C183" s="9" t="s">
        <v>304</v>
      </c>
      <c r="D183" s="202"/>
      <c r="E183" s="203"/>
      <c r="F183" s="201"/>
      <c r="G183" s="202"/>
      <c r="H183" s="202"/>
      <c r="I183" s="203"/>
      <c r="J183" s="201"/>
      <c r="K183" s="202"/>
      <c r="L183" s="202"/>
      <c r="M183" s="203"/>
      <c r="N183" s="204"/>
      <c r="O183" s="205"/>
      <c r="P183" s="205"/>
      <c r="Q183" s="205"/>
      <c r="R183" s="201"/>
      <c r="S183" s="202"/>
      <c r="T183" s="202"/>
      <c r="U183" s="203"/>
      <c r="V183" s="242"/>
      <c r="W183" s="217" t="s">
        <v>633</v>
      </c>
      <c r="X183" s="241" t="s">
        <v>632</v>
      </c>
      <c r="Y183" s="197">
        <f>SUM('State DisAgg LFx10 (2015)'!P173:S173)</f>
        <v>0</v>
      </c>
      <c r="Z183" s="195"/>
      <c r="AA183" s="196"/>
      <c r="AB183" s="196"/>
      <c r="AC183" s="197">
        <f>SUM('State DisAgg LFx10 (2015)'!T183:W183)</f>
        <v>0</v>
      </c>
      <c r="AD183" s="195"/>
      <c r="AE183" s="197"/>
      <c r="AH183" s="354">
        <f t="shared" si="27"/>
        <v>0</v>
      </c>
      <c r="AI183" s="354">
        <f>U183-O183</f>
        <v>0</v>
      </c>
      <c r="AJ183" s="354">
        <f t="shared" si="26"/>
        <v>0</v>
      </c>
    </row>
    <row r="184" spans="1:41" ht="12.95" hidden="1" customHeight="1" thickBot="1">
      <c r="A184" s="231"/>
      <c r="B184" s="231"/>
      <c r="C184" s="231"/>
      <c r="D184" s="232"/>
      <c r="E184" s="233"/>
      <c r="F184" s="234"/>
      <c r="G184" s="232"/>
      <c r="H184" s="232"/>
      <c r="I184" s="233"/>
      <c r="J184" s="234"/>
      <c r="K184" s="232"/>
      <c r="L184" s="232"/>
      <c r="M184" s="233"/>
      <c r="N184" s="234"/>
      <c r="O184" s="232"/>
      <c r="P184" s="232"/>
      <c r="Q184" s="233"/>
      <c r="R184" s="234"/>
      <c r="S184" s="232"/>
      <c r="T184" s="232"/>
      <c r="U184" s="233"/>
      <c r="V184" s="234"/>
      <c r="W184" s="232"/>
      <c r="X184" s="232"/>
      <c r="Y184" s="233"/>
      <c r="Z184" s="234"/>
      <c r="AA184" s="232"/>
      <c r="AB184" s="232"/>
      <c r="AC184" s="233"/>
      <c r="AD184" s="234"/>
      <c r="AE184" s="233"/>
      <c r="AH184" s="353">
        <v>18</v>
      </c>
      <c r="AI184" s="353">
        <v>18</v>
      </c>
      <c r="AJ184" s="353">
        <v>18</v>
      </c>
    </row>
    <row r="185" spans="1:41" ht="12.95" hidden="1" customHeight="1" thickBot="1">
      <c r="A185" s="231"/>
      <c r="B185" s="231"/>
      <c r="C185" s="231"/>
      <c r="D185" s="232"/>
      <c r="E185" s="233"/>
      <c r="F185" s="234"/>
      <c r="G185" s="232"/>
      <c r="H185" s="232"/>
      <c r="I185" s="233"/>
      <c r="J185" s="234"/>
      <c r="K185" s="232"/>
      <c r="L185" s="232"/>
      <c r="M185" s="233"/>
      <c r="N185" s="234"/>
      <c r="O185" s="232"/>
      <c r="P185" s="232"/>
      <c r="Q185" s="233"/>
      <c r="R185" s="234"/>
      <c r="S185" s="232"/>
      <c r="T185" s="232"/>
      <c r="U185" s="233"/>
      <c r="V185" s="234"/>
      <c r="W185" s="232"/>
      <c r="X185" s="232"/>
      <c r="Y185" s="233"/>
      <c r="Z185" s="234"/>
      <c r="AA185" s="232"/>
      <c r="AB185" s="232"/>
      <c r="AC185" s="233"/>
      <c r="AD185" s="234"/>
      <c r="AE185" s="233"/>
      <c r="AH185" s="353">
        <v>16</v>
      </c>
      <c r="AI185" s="353">
        <v>16</v>
      </c>
      <c r="AJ185" s="353">
        <v>16</v>
      </c>
    </row>
    <row r="186" spans="1:41" ht="12.95" hidden="1" customHeight="1" thickBot="1">
      <c r="A186" s="231"/>
      <c r="B186" s="231"/>
      <c r="C186" s="231"/>
      <c r="D186" s="232"/>
      <c r="E186" s="233"/>
      <c r="F186" s="234"/>
      <c r="G186" s="232"/>
      <c r="H186" s="232"/>
      <c r="I186" s="233"/>
      <c r="J186" s="234"/>
      <c r="K186" s="232"/>
      <c r="L186" s="232"/>
      <c r="M186" s="233"/>
      <c r="N186" s="234"/>
      <c r="O186" s="232"/>
      <c r="P186" s="232"/>
      <c r="Q186" s="233"/>
      <c r="R186" s="234"/>
      <c r="S186" s="232"/>
      <c r="T186" s="232"/>
      <c r="U186" s="233"/>
      <c r="V186" s="234"/>
      <c r="W186" s="232"/>
      <c r="X186" s="232"/>
      <c r="Y186" s="233"/>
      <c r="Z186" s="234"/>
      <c r="AA186" s="232"/>
      <c r="AB186" s="232"/>
      <c r="AC186" s="233"/>
      <c r="AD186" s="234"/>
      <c r="AE186" s="233"/>
    </row>
    <row r="187" spans="1:41" ht="12.95" hidden="1" customHeight="1" thickBot="1">
      <c r="A187" s="231"/>
      <c r="B187" s="231"/>
      <c r="C187" s="231"/>
      <c r="D187" s="232"/>
      <c r="E187" s="233"/>
      <c r="F187" s="234"/>
      <c r="G187" s="232"/>
      <c r="H187" s="232"/>
      <c r="I187" s="233"/>
      <c r="J187" s="234"/>
      <c r="K187" s="232"/>
      <c r="L187" s="232"/>
      <c r="M187" s="233"/>
      <c r="N187" s="234"/>
      <c r="O187" s="232"/>
      <c r="P187" s="232"/>
      <c r="Q187" s="233"/>
      <c r="R187" s="234"/>
      <c r="S187" s="232"/>
      <c r="T187" s="232"/>
      <c r="U187" s="233"/>
      <c r="V187" s="234"/>
      <c r="W187" s="232"/>
      <c r="X187" s="232"/>
      <c r="Y187" s="233"/>
      <c r="Z187" s="234"/>
      <c r="AA187" s="232"/>
      <c r="AB187" s="232"/>
      <c r="AC187" s="233"/>
      <c r="AD187" s="234"/>
      <c r="AE187" s="233"/>
    </row>
    <row r="188" spans="1:41" ht="12.95" hidden="1" customHeight="1" thickBot="1">
      <c r="A188" s="231"/>
      <c r="B188" s="231"/>
      <c r="C188" s="231"/>
      <c r="D188" s="232"/>
      <c r="E188" s="233"/>
      <c r="F188" s="234"/>
      <c r="G188" s="232"/>
      <c r="H188" s="232"/>
      <c r="I188" s="233"/>
      <c r="J188" s="234"/>
      <c r="K188" s="232"/>
      <c r="L188" s="232"/>
      <c r="M188" s="233"/>
      <c r="N188" s="234"/>
      <c r="O188" s="232"/>
      <c r="P188" s="232"/>
      <c r="Q188" s="233"/>
      <c r="R188" s="234"/>
      <c r="S188" s="232"/>
      <c r="T188" s="232"/>
      <c r="U188" s="233"/>
      <c r="V188" s="234"/>
      <c r="W188" s="232"/>
      <c r="X188" s="232"/>
      <c r="Y188" s="233"/>
      <c r="Z188" s="234"/>
      <c r="AA188" s="232"/>
      <c r="AB188" s="232"/>
      <c r="AC188" s="233"/>
      <c r="AD188" s="234"/>
      <c r="AE188" s="233"/>
    </row>
    <row r="189" spans="1:41" ht="12.95" hidden="1" customHeight="1" thickBot="1">
      <c r="A189" s="231"/>
      <c r="B189" s="231"/>
      <c r="C189" s="231"/>
      <c r="D189" s="232"/>
      <c r="E189" s="233"/>
      <c r="F189" s="234"/>
      <c r="G189" s="232"/>
      <c r="H189" s="232"/>
      <c r="I189" s="233"/>
      <c r="J189" s="234"/>
      <c r="K189" s="232"/>
      <c r="L189" s="232"/>
      <c r="M189" s="233"/>
      <c r="N189" s="234"/>
      <c r="O189" s="232"/>
      <c r="P189" s="232"/>
      <c r="Q189" s="233"/>
      <c r="R189" s="234"/>
      <c r="S189" s="232"/>
      <c r="T189" s="232"/>
      <c r="U189" s="233"/>
      <c r="V189" s="234"/>
      <c r="W189" s="232"/>
      <c r="X189" s="232"/>
      <c r="Y189" s="233"/>
      <c r="Z189" s="234"/>
      <c r="AA189" s="232"/>
      <c r="AB189" s="232"/>
      <c r="AC189" s="233"/>
      <c r="AD189" s="234"/>
      <c r="AE189" s="233"/>
    </row>
    <row r="190" spans="1:41">
      <c r="A190" s="5"/>
      <c r="B190" s="5"/>
      <c r="C190" s="6"/>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row>
    <row r="191" spans="1:41" ht="13.5" thickBot="1">
      <c r="A191" s="21"/>
      <c r="B191" s="21"/>
      <c r="C191" s="22"/>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H191" s="354"/>
    </row>
    <row r="192" spans="1:41" ht="12.95" customHeight="1" thickBot="1">
      <c r="A192" s="275" t="s">
        <v>11</v>
      </c>
      <c r="B192" s="274" t="s">
        <v>16</v>
      </c>
      <c r="C192" s="8"/>
      <c r="D192" s="1377">
        <v>2008</v>
      </c>
      <c r="E192" s="1378"/>
      <c r="F192" s="1372">
        <v>2009</v>
      </c>
      <c r="G192" s="1373"/>
      <c r="H192" s="1373"/>
      <c r="I192" s="1374"/>
      <c r="J192" s="1372">
        <v>2010</v>
      </c>
      <c r="K192" s="1373"/>
      <c r="L192" s="1373"/>
      <c r="M192" s="1374"/>
      <c r="N192" s="1372">
        <v>2011</v>
      </c>
      <c r="O192" s="1373"/>
      <c r="P192" s="1373"/>
      <c r="Q192" s="1374"/>
      <c r="R192" s="1372">
        <v>2012</v>
      </c>
      <c r="S192" s="1373"/>
      <c r="T192" s="1373"/>
      <c r="U192" s="1374"/>
      <c r="V192" s="1372">
        <v>2013</v>
      </c>
      <c r="W192" s="1373"/>
      <c r="X192" s="1373"/>
      <c r="Y192" s="1374"/>
      <c r="Z192" s="1372">
        <v>2014</v>
      </c>
      <c r="AA192" s="1373"/>
      <c r="AB192" s="1373"/>
      <c r="AC192" s="1374"/>
      <c r="AD192" s="1372">
        <v>2015</v>
      </c>
      <c r="AE192" s="1374"/>
      <c r="AG192" s="257" t="s">
        <v>663</v>
      </c>
      <c r="AO192" s="382" t="s">
        <v>745</v>
      </c>
    </row>
    <row r="193" spans="1:41" ht="12.95" customHeight="1" thickBot="1">
      <c r="A193" s="868" t="s">
        <v>57</v>
      </c>
      <c r="B193" s="868" t="s">
        <v>58</v>
      </c>
      <c r="C193" s="194" t="s">
        <v>610</v>
      </c>
      <c r="D193" s="206"/>
      <c r="E193" s="207"/>
      <c r="F193" s="209"/>
      <c r="G193" s="206"/>
      <c r="H193" s="206"/>
      <c r="I193" s="207"/>
      <c r="J193" s="209"/>
      <c r="K193" s="206"/>
      <c r="L193" s="206"/>
      <c r="M193" s="207"/>
      <c r="N193" s="277"/>
      <c r="O193" s="278">
        <f>(O203-J203)/5/$C$673/Spend!O193*'State Efficiency Ratios'!$C$655</f>
        <v>40.26131578186763</v>
      </c>
      <c r="P193" s="278"/>
      <c r="Q193" s="279"/>
      <c r="R193" s="277"/>
      <c r="S193" s="278"/>
      <c r="T193" s="278"/>
      <c r="U193" s="278">
        <f>(U203-O203)/6/$C$673/Spend!U193*'State Efficiency Ratios'!$C$655</f>
        <v>0</v>
      </c>
      <c r="V193" s="277"/>
      <c r="W193" s="278"/>
      <c r="X193" s="278"/>
      <c r="Y193" s="278">
        <f>(Y203-U203)/4/$C$673/Spend!Y193*'State Efficiency Ratios'!$C$655</f>
        <v>70.976109696764226</v>
      </c>
      <c r="Z193" s="277"/>
      <c r="AA193" s="278"/>
      <c r="AB193" s="278"/>
      <c r="AC193" s="278">
        <f>(AC203-Y203)/4/$C$673/Spend!AC193*'State Efficiency Ratios'!$C$655</f>
        <v>-440.74928624512984</v>
      </c>
      <c r="AD193" s="277"/>
      <c r="AE193" s="280"/>
      <c r="AG193" s="410" t="s">
        <v>765</v>
      </c>
      <c r="AN193" s="383">
        <f>(O203-J203)/7/$C$673/Spend!O193*'State Efficiency Ratios'!$C$655</f>
        <v>28.758082701334015</v>
      </c>
      <c r="AO193" s="379">
        <f>(AN193+AN216+AN239)/3</f>
        <v>-4.7930137835556712</v>
      </c>
    </row>
    <row r="194" spans="1:41" ht="13.5" thickBot="1">
      <c r="A194" s="885"/>
      <c r="B194" s="885"/>
      <c r="C194" s="194" t="s">
        <v>611</v>
      </c>
      <c r="D194" s="206"/>
      <c r="E194" s="207"/>
      <c r="F194" s="209"/>
      <c r="G194" s="206"/>
      <c r="H194" s="206"/>
      <c r="I194" s="207"/>
      <c r="J194" s="209"/>
      <c r="K194" s="206"/>
      <c r="L194" s="206"/>
      <c r="M194" s="207"/>
      <c r="N194" s="277"/>
      <c r="O194" s="278">
        <f>(O204-J204)/5/$C$673/Spend!O194*'State Efficiency Ratios'!$C$655</f>
        <v>45.084782997799337</v>
      </c>
      <c r="P194" s="278"/>
      <c r="Q194" s="279"/>
      <c r="R194" s="277"/>
      <c r="S194" s="278"/>
      <c r="T194" s="278"/>
      <c r="U194" s="278">
        <f>(U204-O204)/6/$C$673/Spend!U194*'State Efficiency Ratios'!$C$655</f>
        <v>66.244369050313296</v>
      </c>
      <c r="V194" s="277"/>
      <c r="W194" s="278"/>
      <c r="X194" s="278"/>
      <c r="Y194" s="278">
        <f>(Y204-U204)/4/$C$673/Spend!Y194*'State Efficiency Ratios'!$C$655</f>
        <v>168.86137833383756</v>
      </c>
      <c r="Z194" s="277"/>
      <c r="AA194" s="278"/>
      <c r="AB194" s="278"/>
      <c r="AC194" s="278">
        <f>(AC204-Y204)/4/$C$673/Spend!AC194*'State Efficiency Ratios'!$C$655</f>
        <v>-588.49954845066316</v>
      </c>
      <c r="AD194" s="277"/>
      <c r="AE194" s="280"/>
      <c r="AG194" s="410" t="s">
        <v>765</v>
      </c>
      <c r="AN194" s="383">
        <f>(O204-J204)/7/$C$673/Spend!O194*'State Efficiency Ratios'!$C$655</f>
        <v>32.203416426999524</v>
      </c>
      <c r="AO194" s="380">
        <f t="shared" ref="AO194:AO200" si="29">(AN194+AN217+AN240)/3</f>
        <v>85.875777138665399</v>
      </c>
    </row>
    <row r="195" spans="1:41" ht="13.5" thickBot="1">
      <c r="A195" s="885"/>
      <c r="B195" s="885"/>
      <c r="C195" s="194" t="s">
        <v>612</v>
      </c>
      <c r="D195" s="206"/>
      <c r="E195" s="207"/>
      <c r="F195" s="209"/>
      <c r="G195" s="206"/>
      <c r="H195" s="206"/>
      <c r="I195" s="207"/>
      <c r="J195" s="209"/>
      <c r="K195" s="206"/>
      <c r="L195" s="206"/>
      <c r="M195" s="207"/>
      <c r="N195" s="277"/>
      <c r="O195" s="278">
        <f>(O205-J205)/5/$C$673/Spend!O195*'State Efficiency Ratios'!$C$655</f>
        <v>17.715185739035551</v>
      </c>
      <c r="P195" s="278"/>
      <c r="Q195" s="279"/>
      <c r="R195" s="277"/>
      <c r="S195" s="278"/>
      <c r="T195" s="278"/>
      <c r="U195" s="278">
        <f>(U205-O205)/6/$C$673/Spend!U195*'State Efficiency Ratios'!$C$655</f>
        <v>92.106206363911426</v>
      </c>
      <c r="V195" s="277"/>
      <c r="W195" s="278"/>
      <c r="X195" s="278"/>
      <c r="Y195" s="278">
        <f>(Y205-U205)/4/$C$673/Spend!Y195*'State Efficiency Ratios'!$C$655</f>
        <v>24.329467374513676</v>
      </c>
      <c r="Z195" s="277"/>
      <c r="AA195" s="278"/>
      <c r="AB195" s="278"/>
      <c r="AC195" s="278">
        <f>(AC205-Y205)/4/$C$673/Spend!AC195*'State Efficiency Ratios'!$C$655</f>
        <v>-693.17439161386665</v>
      </c>
      <c r="AD195" s="277"/>
      <c r="AE195" s="280"/>
      <c r="AG195" s="410" t="s">
        <v>764</v>
      </c>
      <c r="AN195" s="383">
        <f>(O205-J205)/7/$C$673/Spend!O195*'State Efficiency Ratios'!$C$655</f>
        <v>12.653704099311106</v>
      </c>
      <c r="AO195" s="380">
        <f t="shared" si="29"/>
        <v>29.525309565059256</v>
      </c>
    </row>
    <row r="196" spans="1:41" ht="13.5" thickBot="1">
      <c r="A196" s="885"/>
      <c r="B196" s="885"/>
      <c r="C196" s="194" t="s">
        <v>613</v>
      </c>
      <c r="D196" s="206"/>
      <c r="E196" s="207"/>
      <c r="F196" s="209"/>
      <c r="G196" s="206"/>
      <c r="H196" s="206"/>
      <c r="I196" s="207"/>
      <c r="J196" s="209"/>
      <c r="K196" s="206"/>
      <c r="L196" s="206"/>
      <c r="M196" s="207"/>
      <c r="N196" s="277"/>
      <c r="O196" s="278">
        <f>(O206-J206)/5/$C$673/Spend!O196*'State Efficiency Ratios'!$C$655</f>
        <v>46.858831247844883</v>
      </c>
      <c r="P196" s="278"/>
      <c r="Q196" s="279"/>
      <c r="R196" s="277"/>
      <c r="S196" s="278"/>
      <c r="T196" s="278"/>
      <c r="U196" s="278">
        <f>(U206-O206)/6/$C$673/Spend!U196*'State Efficiency Ratios'!$C$655</f>
        <v>49.050091759598345</v>
      </c>
      <c r="V196" s="277"/>
      <c r="W196" s="278"/>
      <c r="X196" s="278"/>
      <c r="Y196" s="278">
        <f>(Y206-U206)/4/$C$673/Spend!Y196*'State Efficiency Ratios'!$C$655</f>
        <v>161.86530280667455</v>
      </c>
      <c r="Z196" s="277"/>
      <c r="AA196" s="278"/>
      <c r="AB196" s="278"/>
      <c r="AC196" s="278">
        <f>(AC206-Y206)/4/$C$673/Spend!AC196*'State Efficiency Ratios'!$C$655</f>
        <v>-621.66519131044959</v>
      </c>
      <c r="AD196" s="277"/>
      <c r="AE196" s="280"/>
      <c r="AG196" s="410"/>
      <c r="AN196" s="383">
        <f>(O206-J206)/7/$C$673/Spend!O196*'State Efficiency Ratios'!$C$655</f>
        <v>33.470593748460637</v>
      </c>
      <c r="AO196" s="380">
        <f t="shared" si="29"/>
        <v>11.156864582820212</v>
      </c>
    </row>
    <row r="197" spans="1:41" ht="13.5" thickBot="1">
      <c r="A197" s="885"/>
      <c r="B197" s="885"/>
      <c r="C197" s="194" t="s">
        <v>614</v>
      </c>
      <c r="D197" s="206"/>
      <c r="E197" s="207"/>
      <c r="F197" s="209"/>
      <c r="G197" s="206"/>
      <c r="H197" s="206"/>
      <c r="I197" s="207"/>
      <c r="J197" s="209"/>
      <c r="K197" s="206"/>
      <c r="L197" s="206"/>
      <c r="M197" s="207"/>
      <c r="N197" s="277"/>
      <c r="O197" s="278">
        <f>(O207-J207)/5/$C$673/Spend!O197*'State Efficiency Ratios'!$C$655</f>
        <v>80.464013033214982</v>
      </c>
      <c r="P197" s="278"/>
      <c r="Q197" s="279"/>
      <c r="R197" s="277"/>
      <c r="S197" s="278"/>
      <c r="T197" s="278"/>
      <c r="U197" s="278">
        <f>(U207-O207)/6/$C$673/Spend!U197*'State Efficiency Ratios'!$C$655</f>
        <v>4.8545573327287617</v>
      </c>
      <c r="V197" s="277"/>
      <c r="W197" s="278"/>
      <c r="X197" s="278"/>
      <c r="Y197" s="278">
        <f>(Y207-U207)/4/$C$673/Spend!Y197*'State Efficiency Ratios'!$C$655</f>
        <v>58.254687992745083</v>
      </c>
      <c r="Z197" s="277"/>
      <c r="AA197" s="278"/>
      <c r="AB197" s="278"/>
      <c r="AC197" s="278">
        <f>(AC207-Y207)/4/$C$673/Spend!AC197*'State Efficiency Ratios'!$C$655</f>
        <v>-450.8658786188081</v>
      </c>
      <c r="AD197" s="277"/>
      <c r="AE197" s="280"/>
      <c r="AG197" s="410" t="s">
        <v>767</v>
      </c>
      <c r="AN197" s="383">
        <f>(O207-J207)/7/$C$673/Spend!O197*'State Efficiency Ratios'!$C$655</f>
        <v>57.474295023724984</v>
      </c>
      <c r="AO197" s="380">
        <f t="shared" si="29"/>
        <v>28.737147511862492</v>
      </c>
    </row>
    <row r="198" spans="1:41" ht="12.95" customHeight="1" thickBot="1">
      <c r="A198" s="885"/>
      <c r="B198" s="885"/>
      <c r="C198" s="194" t="s">
        <v>615</v>
      </c>
      <c r="D198" s="210"/>
      <c r="E198" s="211"/>
      <c r="F198" s="209"/>
      <c r="G198" s="210"/>
      <c r="H198" s="210"/>
      <c r="I198" s="211"/>
      <c r="J198" s="209"/>
      <c r="K198" s="210"/>
      <c r="L198" s="210"/>
      <c r="M198" s="211"/>
      <c r="N198" s="281"/>
      <c r="O198" s="282"/>
      <c r="P198" s="282"/>
      <c r="Q198" s="282"/>
      <c r="R198" s="277"/>
      <c r="S198" s="278"/>
      <c r="T198" s="278"/>
      <c r="U198" s="278">
        <f>(U208-R208)/3/$C$673/Spend!U198*'State Efficiency Ratios'!$C$655</f>
        <v>0</v>
      </c>
      <c r="V198" s="277"/>
      <c r="W198" s="278"/>
      <c r="X198" s="278"/>
      <c r="Y198" s="278">
        <f>(Y208-U208)/4/$C$673/Spend!Y198*'State Efficiency Ratios'!$C$655</f>
        <v>75.757344647651749</v>
      </c>
      <c r="Z198" s="277"/>
      <c r="AA198" s="278"/>
      <c r="AB198" s="278"/>
      <c r="AC198" s="278">
        <f>(AC208-Y208)/4/$C$673/Spend!AC198*'State Efficiency Ratios'!$C$655</f>
        <v>-347.24820791135346</v>
      </c>
      <c r="AD198" s="277"/>
      <c r="AE198" s="280"/>
      <c r="AG198" s="410"/>
      <c r="AN198" s="383">
        <f>(Y208-R208)/7/$C$673/(Spend!U198+Spend!Y198)*'State Efficiency Ratios'!$C$655</f>
        <v>27.116745890932751</v>
      </c>
      <c r="AO198" s="380">
        <f t="shared" si="29"/>
        <v>34.372872558391059</v>
      </c>
    </row>
    <row r="199" spans="1:41" ht="12.95" customHeight="1" thickBot="1">
      <c r="A199" s="885"/>
      <c r="B199" s="885"/>
      <c r="C199" s="194" t="s">
        <v>616</v>
      </c>
      <c r="D199" s="210"/>
      <c r="E199" s="211"/>
      <c r="F199" s="209"/>
      <c r="G199" s="210"/>
      <c r="H199" s="210"/>
      <c r="I199" s="211"/>
      <c r="J199" s="209"/>
      <c r="K199" s="210"/>
      <c r="L199" s="210"/>
      <c r="M199" s="211"/>
      <c r="N199" s="281"/>
      <c r="O199" s="282"/>
      <c r="P199" s="282"/>
      <c r="Q199" s="282"/>
      <c r="R199" s="277"/>
      <c r="S199" s="278"/>
      <c r="T199" s="278"/>
      <c r="U199" s="278">
        <f>(U209-R209)/3/$C$673/Spend!U199*'State Efficiency Ratios'!$C$655</f>
        <v>141.40735606156983</v>
      </c>
      <c r="V199" s="277"/>
      <c r="W199" s="278"/>
      <c r="X199" s="278"/>
      <c r="Y199" s="278">
        <f>(Y209-U209)/4/$C$673/Spend!Y199*'State Efficiency Ratios'!$C$655</f>
        <v>-119.46426325631516</v>
      </c>
      <c r="Z199" s="277"/>
      <c r="AA199" s="278"/>
      <c r="AB199" s="278"/>
      <c r="AC199" s="278">
        <f>(AC209-Y209)/4/$C$673/Spend!AC199*'State Efficiency Ratios'!$C$655</f>
        <v>-231.19285384233893</v>
      </c>
      <c r="AD199" s="277"/>
      <c r="AE199" s="280"/>
      <c r="AG199" s="410" t="s">
        <v>764</v>
      </c>
      <c r="AN199" s="383">
        <f>(Y209-R209)/7/$C$673/(Spend!U199+Spend!Y199)*'State Efficiency Ratios'!$C$655</f>
        <v>0</v>
      </c>
      <c r="AO199" s="380">
        <f t="shared" si="29"/>
        <v>0</v>
      </c>
    </row>
    <row r="200" spans="1:41" ht="12.95" customHeight="1" thickBot="1">
      <c r="A200" s="885"/>
      <c r="B200" s="885"/>
      <c r="C200" s="194" t="s">
        <v>617</v>
      </c>
      <c r="D200" s="210"/>
      <c r="E200" s="211"/>
      <c r="F200" s="209"/>
      <c r="G200" s="210"/>
      <c r="H200" s="210"/>
      <c r="I200" s="211"/>
      <c r="J200" s="209"/>
      <c r="K200" s="210"/>
      <c r="L200" s="210"/>
      <c r="M200" s="211"/>
      <c r="N200" s="281"/>
      <c r="O200" s="282"/>
      <c r="P200" s="282"/>
      <c r="Q200" s="282"/>
      <c r="R200" s="277"/>
      <c r="S200" s="278"/>
      <c r="T200" s="278"/>
      <c r="U200" s="278">
        <f>(U210-R210)/3/$C$673/Spend!U200*'State Efficiency Ratios'!$C$655</f>
        <v>0</v>
      </c>
      <c r="V200" s="277"/>
      <c r="W200" s="278"/>
      <c r="X200" s="278"/>
      <c r="Y200" s="278">
        <f>(Y210-U210)/4/$C$673/Spend!Y200*'State Efficiency Ratios'!$C$655</f>
        <v>172.38330375525072</v>
      </c>
      <c r="Z200" s="277"/>
      <c r="AA200" s="278"/>
      <c r="AB200" s="278"/>
      <c r="AC200" s="278">
        <f>(AC210-Y210)/4/$C$673/Spend!AC200*'State Efficiency Ratios'!$C$655</f>
        <v>-519.10310541148533</v>
      </c>
      <c r="AD200" s="277"/>
      <c r="AE200" s="280"/>
      <c r="AG200" s="410" t="s">
        <v>768</v>
      </c>
      <c r="AN200" s="383">
        <f>(Y210-R210)/7/$C$673/(Spend!U200+Spend!Y200)*'State Efficiency Ratios'!$C$655</f>
        <v>47.955752228654497</v>
      </c>
      <c r="AO200" s="381">
        <f t="shared" si="29"/>
        <v>91.852929733145402</v>
      </c>
    </row>
    <row r="201" spans="1:41" ht="12.95" customHeight="1" thickBot="1">
      <c r="A201" s="885"/>
      <c r="B201" s="885"/>
      <c r="C201" s="194" t="s">
        <v>618</v>
      </c>
      <c r="D201" s="210"/>
      <c r="E201" s="211"/>
      <c r="F201" s="209"/>
      <c r="G201" s="210"/>
      <c r="H201" s="210"/>
      <c r="I201" s="211"/>
      <c r="J201" s="209"/>
      <c r="K201" s="210"/>
      <c r="L201" s="210"/>
      <c r="M201" s="211"/>
      <c r="N201" s="281"/>
      <c r="O201" s="282"/>
      <c r="P201" s="282"/>
      <c r="Q201" s="283"/>
      <c r="R201" s="281"/>
      <c r="S201" s="282"/>
      <c r="T201" s="282"/>
      <c r="U201" s="283"/>
      <c r="V201" s="281"/>
      <c r="W201" s="282"/>
      <c r="X201" s="282"/>
      <c r="Y201" s="283"/>
      <c r="Z201" s="277"/>
      <c r="AA201" s="278"/>
      <c r="AB201" s="278"/>
      <c r="AC201" s="278">
        <f>(AC211-Y211)/4/$C$673/Spend!AC201*'State Efficiency Ratios'!$C$655</f>
        <v>-398.58238062051754</v>
      </c>
      <c r="AD201" s="277"/>
      <c r="AE201" s="280"/>
      <c r="AG201" s="410"/>
    </row>
    <row r="202" spans="1:41" ht="12.95" customHeight="1" thickBot="1">
      <c r="A202" s="885"/>
      <c r="B202" s="885"/>
      <c r="C202" s="194" t="s">
        <v>619</v>
      </c>
      <c r="D202" s="210"/>
      <c r="E202" s="211"/>
      <c r="F202" s="209"/>
      <c r="G202" s="210"/>
      <c r="H202" s="210"/>
      <c r="I202" s="211"/>
      <c r="J202" s="209"/>
      <c r="K202" s="210"/>
      <c r="L202" s="210"/>
      <c r="M202" s="211"/>
      <c r="N202" s="281"/>
      <c r="O202" s="282"/>
      <c r="P202" s="282"/>
      <c r="Q202" s="283"/>
      <c r="R202" s="281"/>
      <c r="S202" s="282"/>
      <c r="T202" s="282"/>
      <c r="U202" s="283"/>
      <c r="V202" s="281"/>
      <c r="W202" s="282"/>
      <c r="X202" s="282"/>
      <c r="Y202" s="283"/>
      <c r="Z202" s="277"/>
      <c r="AA202" s="278"/>
      <c r="AB202" s="278"/>
      <c r="AC202" s="278">
        <f>(AC212-Y212)/4/$C$673/Spend!AC202*'State Efficiency Ratios'!$C$655</f>
        <v>-313.95963236840055</v>
      </c>
      <c r="AD202" s="277"/>
      <c r="AE202" s="280"/>
      <c r="AG202" s="410"/>
      <c r="AK202" s="357" t="s">
        <v>745</v>
      </c>
      <c r="AL202" s="357" t="s">
        <v>745</v>
      </c>
      <c r="AM202" s="357" t="s">
        <v>745</v>
      </c>
      <c r="AO202" s="357" t="s">
        <v>745</v>
      </c>
    </row>
    <row r="203" spans="1:41" ht="13.5" thickBot="1">
      <c r="A203" s="885"/>
      <c r="B203" s="885"/>
      <c r="C203" s="9" t="s">
        <v>295</v>
      </c>
      <c r="D203" s="241" t="s">
        <v>632</v>
      </c>
      <c r="E203" s="241" t="s">
        <v>632</v>
      </c>
      <c r="F203" s="243" t="s">
        <v>646</v>
      </c>
      <c r="G203" s="241" t="s">
        <v>646</v>
      </c>
      <c r="H203" s="241" t="s">
        <v>646</v>
      </c>
      <c r="I203" s="244" t="s">
        <v>646</v>
      </c>
      <c r="J203" s="195">
        <f>'State DisAgg LFx10 (2015)'!D193</f>
        <v>1</v>
      </c>
      <c r="K203" s="196"/>
      <c r="L203" s="196"/>
      <c r="M203" s="197"/>
      <c r="N203" s="195"/>
      <c r="O203" s="196">
        <f>'State DisAgg LFx10 (2015)'!H203</f>
        <v>2</v>
      </c>
      <c r="P203" s="196"/>
      <c r="Q203" s="197"/>
      <c r="R203" s="195"/>
      <c r="S203" s="196"/>
      <c r="T203" s="196"/>
      <c r="U203" s="197">
        <f>'State DisAgg LFx10 (2015)'!L203</f>
        <v>2</v>
      </c>
      <c r="V203" s="195"/>
      <c r="W203" s="196"/>
      <c r="X203" s="196"/>
      <c r="Y203" s="197">
        <f>'State DisAgg LFx10 (2015)'!P203</f>
        <v>2.5</v>
      </c>
      <c r="Z203" s="195"/>
      <c r="AA203" s="196"/>
      <c r="AB203" s="196"/>
      <c r="AC203" s="197">
        <f>'State DisAgg LFx10 (2015)'!T203</f>
        <v>0</v>
      </c>
      <c r="AD203" s="195"/>
      <c r="AE203" s="197"/>
      <c r="AH203" s="354">
        <f>Y203-U203</f>
        <v>0.5</v>
      </c>
      <c r="AI203" s="354">
        <f>U203-O203</f>
        <v>0</v>
      </c>
      <c r="AJ203" s="354">
        <f t="shared" ref="AJ203:AJ214" si="30">O203-J203</f>
        <v>1</v>
      </c>
      <c r="AK203" s="361">
        <f>(AH203/$C$673)+(AH226/$C$674)+(AH249/$C$675)</f>
        <v>0.76</v>
      </c>
      <c r="AL203" s="362">
        <f t="shared" ref="AL203:AM212" si="31">(AI203/$C$673)+(AI226/$C$674)+(AI249/$C$675)</f>
        <v>0.55999999999999994</v>
      </c>
      <c r="AM203" s="363">
        <f t="shared" si="31"/>
        <v>-9.9999999999999978E-2</v>
      </c>
      <c r="AN203" s="384">
        <f>(O203-J203)</f>
        <v>1</v>
      </c>
      <c r="AO203" s="386">
        <f>(AN203/$C$673)+(AN226/$C$674)+(AN249/$C$675)</f>
        <v>-9.9999999999999978E-2</v>
      </c>
    </row>
    <row r="204" spans="1:41" ht="13.5" thickBot="1">
      <c r="A204" s="885"/>
      <c r="B204" s="885"/>
      <c r="C204" s="9" t="s">
        <v>296</v>
      </c>
      <c r="D204" s="241" t="s">
        <v>632</v>
      </c>
      <c r="E204" s="241" t="s">
        <v>632</v>
      </c>
      <c r="F204" s="243" t="s">
        <v>646</v>
      </c>
      <c r="G204" s="241" t="s">
        <v>646</v>
      </c>
      <c r="H204" s="241" t="s">
        <v>646</v>
      </c>
      <c r="I204" s="244" t="s">
        <v>646</v>
      </c>
      <c r="J204" s="195">
        <f>'State DisAgg LFx10 (2015)'!D194</f>
        <v>1</v>
      </c>
      <c r="K204" s="196"/>
      <c r="L204" s="196"/>
      <c r="M204" s="197"/>
      <c r="N204" s="195"/>
      <c r="O204" s="196">
        <f>'State DisAgg LFx10 (2015)'!H204</f>
        <v>2</v>
      </c>
      <c r="P204" s="196"/>
      <c r="Q204" s="197"/>
      <c r="R204" s="195"/>
      <c r="S204" s="196"/>
      <c r="T204" s="196"/>
      <c r="U204" s="197">
        <f>'State DisAgg LFx10 (2015)'!L204</f>
        <v>2.7</v>
      </c>
      <c r="V204" s="195"/>
      <c r="W204" s="196"/>
      <c r="X204" s="196"/>
      <c r="Y204" s="197">
        <f>'State DisAgg LFx10 (2015)'!P204</f>
        <v>3.8</v>
      </c>
      <c r="Z204" s="195"/>
      <c r="AA204" s="196"/>
      <c r="AB204" s="196"/>
      <c r="AC204" s="197">
        <f>'State DisAgg LFx10 (2015)'!T204</f>
        <v>0</v>
      </c>
      <c r="AD204" s="195"/>
      <c r="AE204" s="197"/>
      <c r="AH204" s="354">
        <f t="shared" ref="AH204:AH214" si="32">Y204-U204</f>
        <v>1.0999999999999996</v>
      </c>
      <c r="AI204" s="354">
        <f>U204-O204</f>
        <v>0.70000000000000018</v>
      </c>
      <c r="AJ204" s="354">
        <f t="shared" si="30"/>
        <v>1</v>
      </c>
      <c r="AK204" s="364">
        <f t="shared" ref="AK204:AK212" si="33">(AH204/$C$673)+(AH227/$C$674)+(AH250/$C$675)</f>
        <v>0.99999999999999978</v>
      </c>
      <c r="AL204" s="360">
        <f t="shared" si="31"/>
        <v>-0.21999999999999992</v>
      </c>
      <c r="AM204" s="365">
        <f t="shared" si="31"/>
        <v>1.1000000000000001</v>
      </c>
      <c r="AN204" s="384">
        <f t="shared" ref="AN204:AN207" si="34">(O204-J204)</f>
        <v>1</v>
      </c>
      <c r="AO204" s="387">
        <f t="shared" ref="AO204:AO210" si="35">(AN204/$C$673)+(AN227/$C$674)+(AN250/$C$675)</f>
        <v>1.1000000000000001</v>
      </c>
    </row>
    <row r="205" spans="1:41" ht="13.5" thickBot="1">
      <c r="A205" s="885"/>
      <c r="B205" s="885"/>
      <c r="C205" s="9" t="s">
        <v>297</v>
      </c>
      <c r="D205" s="241" t="s">
        <v>632</v>
      </c>
      <c r="E205" s="241" t="s">
        <v>632</v>
      </c>
      <c r="F205" s="243" t="s">
        <v>646</v>
      </c>
      <c r="G205" s="241" t="s">
        <v>646</v>
      </c>
      <c r="H205" s="241" t="s">
        <v>646</v>
      </c>
      <c r="I205" s="244" t="s">
        <v>646</v>
      </c>
      <c r="J205" s="195">
        <f>'State DisAgg LFx10 (2015)'!D195</f>
        <v>1</v>
      </c>
      <c r="K205" s="196"/>
      <c r="L205" s="196"/>
      <c r="M205" s="197"/>
      <c r="N205" s="195"/>
      <c r="O205" s="196">
        <f>'State DisAgg LFx10 (2015)'!H205</f>
        <v>1.4</v>
      </c>
      <c r="P205" s="196"/>
      <c r="Q205" s="197"/>
      <c r="R205" s="195"/>
      <c r="S205" s="196"/>
      <c r="T205" s="196"/>
      <c r="U205" s="197">
        <f>'State DisAgg LFx10 (2015)'!L205</f>
        <v>2.2999999999999998</v>
      </c>
      <c r="V205" s="195"/>
      <c r="W205" s="196"/>
      <c r="X205" s="196"/>
      <c r="Y205" s="197">
        <f>'State DisAgg LFx10 (2015)'!P205</f>
        <v>2.5</v>
      </c>
      <c r="Z205" s="195"/>
      <c r="AA205" s="196"/>
      <c r="AB205" s="196"/>
      <c r="AC205" s="197">
        <f>'State DisAgg LFx10 (2015)'!T205</f>
        <v>0</v>
      </c>
      <c r="AD205" s="195"/>
      <c r="AE205" s="197"/>
      <c r="AH205" s="354">
        <f t="shared" si="32"/>
        <v>0.20000000000000018</v>
      </c>
      <c r="AI205" s="354">
        <f>U205-O205</f>
        <v>0.89999999999999991</v>
      </c>
      <c r="AJ205" s="354">
        <f t="shared" si="30"/>
        <v>0.39999999999999991</v>
      </c>
      <c r="AK205" s="364">
        <f t="shared" si="33"/>
        <v>0.36000000000000004</v>
      </c>
      <c r="AL205" s="360">
        <f t="shared" si="31"/>
        <v>0.67999999999999994</v>
      </c>
      <c r="AM205" s="365">
        <f t="shared" si="31"/>
        <v>0.36</v>
      </c>
      <c r="AN205" s="384">
        <f t="shared" si="34"/>
        <v>0.39999999999999991</v>
      </c>
      <c r="AO205" s="387">
        <f t="shared" si="35"/>
        <v>0.36</v>
      </c>
    </row>
    <row r="206" spans="1:41" ht="13.5" thickBot="1">
      <c r="A206" s="885"/>
      <c r="B206" s="885"/>
      <c r="C206" s="9" t="s">
        <v>298</v>
      </c>
      <c r="D206" s="241" t="s">
        <v>632</v>
      </c>
      <c r="E206" s="241" t="s">
        <v>632</v>
      </c>
      <c r="F206" s="243" t="s">
        <v>646</v>
      </c>
      <c r="G206" s="241" t="s">
        <v>646</v>
      </c>
      <c r="H206" s="241" t="s">
        <v>646</v>
      </c>
      <c r="I206" s="244" t="s">
        <v>646</v>
      </c>
      <c r="J206" s="195">
        <f>'State DisAgg LFx10 (2015)'!D196</f>
        <v>1</v>
      </c>
      <c r="K206" s="196"/>
      <c r="L206" s="196"/>
      <c r="M206" s="197"/>
      <c r="N206" s="195"/>
      <c r="O206" s="196">
        <f>'State DisAgg LFx10 (2015)'!H206</f>
        <v>2</v>
      </c>
      <c r="P206" s="196"/>
      <c r="Q206" s="197"/>
      <c r="R206" s="195"/>
      <c r="S206" s="196"/>
      <c r="T206" s="196"/>
      <c r="U206" s="197">
        <f>'State DisAgg LFx10 (2015)'!L206</f>
        <v>2.5</v>
      </c>
      <c r="V206" s="195"/>
      <c r="W206" s="196"/>
      <c r="X206" s="196"/>
      <c r="Y206" s="197">
        <f>'State DisAgg LFx10 (2015)'!P206</f>
        <v>3.6</v>
      </c>
      <c r="Z206" s="195"/>
      <c r="AA206" s="196"/>
      <c r="AB206" s="196"/>
      <c r="AC206" s="197">
        <f>'State DisAgg LFx10 (2015)'!T206</f>
        <v>0</v>
      </c>
      <c r="AD206" s="195"/>
      <c r="AE206" s="197"/>
      <c r="AH206" s="354">
        <f t="shared" si="32"/>
        <v>1.1000000000000001</v>
      </c>
      <c r="AI206" s="354">
        <f>U206-O206</f>
        <v>0.5</v>
      </c>
      <c r="AJ206" s="354">
        <f t="shared" si="30"/>
        <v>1</v>
      </c>
      <c r="AK206" s="364">
        <f t="shared" si="33"/>
        <v>0.82000000000000006</v>
      </c>
      <c r="AL206" s="360">
        <f t="shared" si="31"/>
        <v>0.78</v>
      </c>
      <c r="AM206" s="365">
        <f t="shared" si="31"/>
        <v>0.2</v>
      </c>
      <c r="AN206" s="384">
        <f t="shared" si="34"/>
        <v>1</v>
      </c>
      <c r="AO206" s="387">
        <f t="shared" si="35"/>
        <v>0.2</v>
      </c>
    </row>
    <row r="207" spans="1:41" ht="13.5" thickBot="1">
      <c r="A207" s="885"/>
      <c r="B207" s="885"/>
      <c r="C207" s="9" t="s">
        <v>299</v>
      </c>
      <c r="D207" s="241" t="s">
        <v>632</v>
      </c>
      <c r="E207" s="241" t="s">
        <v>632</v>
      </c>
      <c r="F207" s="243" t="s">
        <v>646</v>
      </c>
      <c r="G207" s="241" t="s">
        <v>646</v>
      </c>
      <c r="H207" s="241" t="s">
        <v>646</v>
      </c>
      <c r="I207" s="244" t="s">
        <v>646</v>
      </c>
      <c r="J207" s="195">
        <f>'State DisAgg LFx10 (2015)'!D197</f>
        <v>1</v>
      </c>
      <c r="K207" s="196"/>
      <c r="L207" s="196"/>
      <c r="M207" s="197"/>
      <c r="N207" s="195"/>
      <c r="O207" s="196">
        <f>'State DisAgg LFx10 (2015)'!H207</f>
        <v>3</v>
      </c>
      <c r="P207" s="196"/>
      <c r="Q207" s="197"/>
      <c r="R207" s="195"/>
      <c r="S207" s="196"/>
      <c r="T207" s="196"/>
      <c r="U207" s="197">
        <f>'State DisAgg LFx10 (2015)'!L207</f>
        <v>3.1</v>
      </c>
      <c r="V207" s="195"/>
      <c r="W207" s="196"/>
      <c r="X207" s="196"/>
      <c r="Y207" s="197">
        <f>'State DisAgg LFx10 (2015)'!P207</f>
        <v>3.9</v>
      </c>
      <c r="Z207" s="195"/>
      <c r="AA207" s="196"/>
      <c r="AB207" s="196"/>
      <c r="AC207" s="197">
        <f>'State DisAgg LFx10 (2015)'!T207</f>
        <v>0</v>
      </c>
      <c r="AD207" s="195"/>
      <c r="AE207" s="197"/>
      <c r="AH207" s="354">
        <f t="shared" si="32"/>
        <v>0.79999999999999982</v>
      </c>
      <c r="AI207" s="354">
        <f>U207-O207</f>
        <v>0.10000000000000009</v>
      </c>
      <c r="AJ207" s="354">
        <f t="shared" si="30"/>
        <v>2</v>
      </c>
      <c r="AK207" s="364">
        <f t="shared" si="33"/>
        <v>0.62</v>
      </c>
      <c r="AL207" s="360">
        <f t="shared" si="31"/>
        <v>0.30000000000000004</v>
      </c>
      <c r="AM207" s="365">
        <f t="shared" si="31"/>
        <v>0.60000000000000009</v>
      </c>
      <c r="AN207" s="384">
        <f t="shared" si="34"/>
        <v>2</v>
      </c>
      <c r="AO207" s="387">
        <f t="shared" si="35"/>
        <v>0.60000000000000009</v>
      </c>
    </row>
    <row r="208" spans="1:41" ht="13.5" thickBot="1">
      <c r="A208" s="885"/>
      <c r="B208" s="885"/>
      <c r="C208" s="9" t="s">
        <v>300</v>
      </c>
      <c r="D208" s="199"/>
      <c r="E208" s="200"/>
      <c r="F208" s="201"/>
      <c r="G208" s="199"/>
      <c r="H208" s="199"/>
      <c r="I208" s="200"/>
      <c r="J208" s="201"/>
      <c r="K208" s="199"/>
      <c r="L208" s="199"/>
      <c r="M208" s="200"/>
      <c r="N208" s="198"/>
      <c r="O208" s="217" t="s">
        <v>634</v>
      </c>
      <c r="P208" s="241" t="s">
        <v>632</v>
      </c>
      <c r="Q208" s="244" t="s">
        <v>646</v>
      </c>
      <c r="R208" s="195">
        <f>'State DisAgg LFx10 (2015)'!H198</f>
        <v>1</v>
      </c>
      <c r="S208" s="196"/>
      <c r="T208" s="196"/>
      <c r="U208" s="197">
        <f>'State DisAgg LFx10 (2015)'!L208</f>
        <v>1</v>
      </c>
      <c r="V208" s="195"/>
      <c r="W208" s="196"/>
      <c r="X208" s="196"/>
      <c r="Y208" s="197">
        <f>'State DisAgg LFx10 (2015)'!P208</f>
        <v>1.6</v>
      </c>
      <c r="Z208" s="195"/>
      <c r="AA208" s="196"/>
      <c r="AB208" s="196"/>
      <c r="AC208" s="197">
        <f>'State DisAgg LFx10 (2015)'!T208</f>
        <v>0</v>
      </c>
      <c r="AD208" s="195"/>
      <c r="AE208" s="197"/>
      <c r="AH208" s="354">
        <f t="shared" si="32"/>
        <v>0.60000000000000009</v>
      </c>
      <c r="AI208" s="354">
        <f>U208-R208</f>
        <v>0</v>
      </c>
      <c r="AJ208" s="354" t="e">
        <f t="shared" si="30"/>
        <v>#VALUE!</v>
      </c>
      <c r="AK208" s="364">
        <f t="shared" si="33"/>
        <v>0.26</v>
      </c>
      <c r="AL208" s="360">
        <f t="shared" si="31"/>
        <v>0</v>
      </c>
      <c r="AM208" s="365" t="e">
        <f t="shared" si="31"/>
        <v>#VALUE!</v>
      </c>
      <c r="AN208" s="384">
        <f>(Y208-R208)</f>
        <v>0.60000000000000009</v>
      </c>
      <c r="AO208" s="387">
        <f t="shared" si="35"/>
        <v>0.26</v>
      </c>
    </row>
    <row r="209" spans="1:41" ht="13.5" thickBot="1">
      <c r="A209" s="885"/>
      <c r="B209" s="885"/>
      <c r="C209" s="9" t="s">
        <v>301</v>
      </c>
      <c r="D209" s="199"/>
      <c r="E209" s="200"/>
      <c r="F209" s="201"/>
      <c r="G209" s="199"/>
      <c r="H209" s="199"/>
      <c r="I209" s="200"/>
      <c r="J209" s="201"/>
      <c r="K209" s="199"/>
      <c r="L209" s="199"/>
      <c r="M209" s="200"/>
      <c r="N209" s="198"/>
      <c r="O209" s="217" t="s">
        <v>634</v>
      </c>
      <c r="P209" s="241" t="s">
        <v>632</v>
      </c>
      <c r="Q209" s="244" t="s">
        <v>646</v>
      </c>
      <c r="R209" s="195">
        <f>'State DisAgg LFx10 (2015)'!H199</f>
        <v>1</v>
      </c>
      <c r="S209" s="196"/>
      <c r="T209" s="196"/>
      <c r="U209" s="197">
        <f>'State DisAgg LFx10 (2015)'!L209</f>
        <v>1.5</v>
      </c>
      <c r="V209" s="195"/>
      <c r="W209" s="196"/>
      <c r="X209" s="196"/>
      <c r="Y209" s="197">
        <f>'State DisAgg LFx10 (2015)'!P209</f>
        <v>1</v>
      </c>
      <c r="Z209" s="195"/>
      <c r="AA209" s="196"/>
      <c r="AB209" s="196"/>
      <c r="AC209" s="197">
        <f>'State DisAgg LFx10 (2015)'!T209</f>
        <v>0</v>
      </c>
      <c r="AD209" s="195"/>
      <c r="AE209" s="197"/>
      <c r="AH209" s="354">
        <f t="shared" si="32"/>
        <v>-0.5</v>
      </c>
      <c r="AI209" s="354">
        <f t="shared" ref="AI209:AI210" si="36">U209-R209</f>
        <v>0.5</v>
      </c>
      <c r="AJ209" s="354" t="e">
        <f t="shared" si="30"/>
        <v>#VALUE!</v>
      </c>
      <c r="AK209" s="364">
        <f t="shared" si="33"/>
        <v>-0.1</v>
      </c>
      <c r="AL209" s="360">
        <f t="shared" si="31"/>
        <v>0.1</v>
      </c>
      <c r="AM209" s="365" t="e">
        <f t="shared" si="31"/>
        <v>#VALUE!</v>
      </c>
      <c r="AN209" s="384">
        <f t="shared" ref="AN209:AN210" si="37">(Y209-R209)</f>
        <v>0</v>
      </c>
      <c r="AO209" s="387">
        <f t="shared" si="35"/>
        <v>0</v>
      </c>
    </row>
    <row r="210" spans="1:41" ht="13.5" thickBot="1">
      <c r="A210" s="885"/>
      <c r="B210" s="885"/>
      <c r="C210" s="9" t="s">
        <v>302</v>
      </c>
      <c r="D210" s="199"/>
      <c r="E210" s="200"/>
      <c r="F210" s="201"/>
      <c r="G210" s="199"/>
      <c r="H210" s="199"/>
      <c r="I210" s="200"/>
      <c r="J210" s="201"/>
      <c r="K210" s="199"/>
      <c r="L210" s="199"/>
      <c r="M210" s="200"/>
      <c r="N210" s="198"/>
      <c r="O210" s="217" t="s">
        <v>634</v>
      </c>
      <c r="P210" s="241" t="s">
        <v>632</v>
      </c>
      <c r="Q210" s="244" t="s">
        <v>646</v>
      </c>
      <c r="R210" s="195">
        <f>'State DisAgg LFx10 (2015)'!H200</f>
        <v>1</v>
      </c>
      <c r="S210" s="196"/>
      <c r="T210" s="196"/>
      <c r="U210" s="197">
        <f>'State DisAgg LFx10 (2015)'!L210</f>
        <v>1</v>
      </c>
      <c r="V210" s="195"/>
      <c r="W210" s="196"/>
      <c r="X210" s="196"/>
      <c r="Y210" s="197">
        <f>'State DisAgg LFx10 (2015)'!P210</f>
        <v>1.8</v>
      </c>
      <c r="Z210" s="195"/>
      <c r="AA210" s="196"/>
      <c r="AB210" s="196"/>
      <c r="AC210" s="197">
        <f>'State DisAgg LFx10 (2015)'!T210</f>
        <v>0</v>
      </c>
      <c r="AD210" s="195"/>
      <c r="AE210" s="197"/>
      <c r="AH210" s="354">
        <f t="shared" si="32"/>
        <v>0.8</v>
      </c>
      <c r="AI210" s="354">
        <f t="shared" si="36"/>
        <v>0</v>
      </c>
      <c r="AJ210" s="354" t="e">
        <f t="shared" si="30"/>
        <v>#VALUE!</v>
      </c>
      <c r="AK210" s="364">
        <f t="shared" si="33"/>
        <v>0.58000000000000007</v>
      </c>
      <c r="AL210" s="360">
        <f t="shared" si="31"/>
        <v>0</v>
      </c>
      <c r="AM210" s="365" t="e">
        <f t="shared" si="31"/>
        <v>#VALUE!</v>
      </c>
      <c r="AN210" s="384">
        <f t="shared" si="37"/>
        <v>0.8</v>
      </c>
      <c r="AO210" s="388">
        <f t="shared" si="35"/>
        <v>0.58000000000000007</v>
      </c>
    </row>
    <row r="211" spans="1:41" ht="13.5" thickBot="1">
      <c r="A211" s="885"/>
      <c r="B211" s="885"/>
      <c r="C211" s="9" t="s">
        <v>303</v>
      </c>
      <c r="D211" s="202"/>
      <c r="E211" s="203"/>
      <c r="F211" s="201"/>
      <c r="G211" s="202"/>
      <c r="H211" s="202"/>
      <c r="I211" s="203"/>
      <c r="J211" s="201"/>
      <c r="K211" s="202"/>
      <c r="L211" s="202"/>
      <c r="M211" s="203"/>
      <c r="N211" s="204"/>
      <c r="O211" s="214"/>
      <c r="P211" s="205"/>
      <c r="Q211" s="205"/>
      <c r="R211" s="201"/>
      <c r="S211" s="202"/>
      <c r="T211" s="202"/>
      <c r="U211" s="203"/>
      <c r="V211" s="242"/>
      <c r="W211" s="217" t="s">
        <v>633</v>
      </c>
      <c r="X211" s="241" t="s">
        <v>632</v>
      </c>
      <c r="Y211" s="197">
        <f>'State DisAgg LFx10 (2015)'!P201</f>
        <v>1.2</v>
      </c>
      <c r="Z211" s="195"/>
      <c r="AA211" s="196"/>
      <c r="AB211" s="196"/>
      <c r="AC211" s="197">
        <f>'State DisAgg LFx10 (2015)'!T211</f>
        <v>0</v>
      </c>
      <c r="AD211" s="195"/>
      <c r="AE211" s="197"/>
      <c r="AH211" s="354">
        <f t="shared" si="32"/>
        <v>1.2</v>
      </c>
      <c r="AI211" s="354">
        <f>U211-O211</f>
        <v>0</v>
      </c>
      <c r="AJ211" s="354">
        <f t="shared" si="30"/>
        <v>0</v>
      </c>
      <c r="AK211" s="364">
        <f t="shared" si="33"/>
        <v>0.64</v>
      </c>
      <c r="AL211" s="360">
        <f t="shared" si="31"/>
        <v>0</v>
      </c>
      <c r="AM211" s="365">
        <f t="shared" si="31"/>
        <v>0</v>
      </c>
    </row>
    <row r="212" spans="1:41" ht="13.5" thickBot="1">
      <c r="A212" s="885"/>
      <c r="B212" s="885"/>
      <c r="C212" s="9" t="s">
        <v>304</v>
      </c>
      <c r="D212" s="202"/>
      <c r="E212" s="203"/>
      <c r="F212" s="201"/>
      <c r="G212" s="202"/>
      <c r="H212" s="202"/>
      <c r="I212" s="203"/>
      <c r="J212" s="201"/>
      <c r="K212" s="202"/>
      <c r="L212" s="202"/>
      <c r="M212" s="203"/>
      <c r="N212" s="204"/>
      <c r="O212" s="205"/>
      <c r="P212" s="205"/>
      <c r="Q212" s="205"/>
      <c r="R212" s="201"/>
      <c r="S212" s="202"/>
      <c r="T212" s="202"/>
      <c r="U212" s="203"/>
      <c r="V212" s="242"/>
      <c r="W212" s="217" t="s">
        <v>633</v>
      </c>
      <c r="X212" s="241" t="s">
        <v>632</v>
      </c>
      <c r="Y212" s="197">
        <f>'State DisAgg LFx10 (2015)'!P202</f>
        <v>1.1000000000000001</v>
      </c>
      <c r="Z212" s="195"/>
      <c r="AA212" s="196"/>
      <c r="AB212" s="196"/>
      <c r="AC212" s="197">
        <f>'State DisAgg LFx10 (2015)'!T212</f>
        <v>0</v>
      </c>
      <c r="AD212" s="195"/>
      <c r="AE212" s="197"/>
      <c r="AH212" s="354">
        <f t="shared" si="32"/>
        <v>1.1000000000000001</v>
      </c>
      <c r="AI212" s="354">
        <f>U212-O212</f>
        <v>0</v>
      </c>
      <c r="AJ212" s="354">
        <f t="shared" si="30"/>
        <v>0</v>
      </c>
      <c r="AK212" s="366">
        <f t="shared" si="33"/>
        <v>0.42000000000000004</v>
      </c>
      <c r="AL212" s="367">
        <f t="shared" si="31"/>
        <v>0</v>
      </c>
      <c r="AM212" s="368">
        <f t="shared" si="31"/>
        <v>0</v>
      </c>
    </row>
    <row r="213" spans="1:41" ht="12.95" hidden="1" customHeight="1" thickBot="1">
      <c r="A213" s="885"/>
      <c r="B213" s="273"/>
      <c r="C213" s="231"/>
      <c r="D213" s="232"/>
      <c r="E213" s="233"/>
      <c r="F213" s="234"/>
      <c r="G213" s="232"/>
      <c r="H213" s="232"/>
      <c r="I213" s="233"/>
      <c r="J213" s="234"/>
      <c r="K213" s="232"/>
      <c r="L213" s="232"/>
      <c r="M213" s="233"/>
      <c r="N213" s="234"/>
      <c r="O213" s="232"/>
      <c r="P213" s="232"/>
      <c r="Q213" s="233"/>
      <c r="R213" s="234"/>
      <c r="S213" s="232"/>
      <c r="T213" s="232"/>
      <c r="U213" s="233"/>
      <c r="V213" s="234"/>
      <c r="W213" s="232"/>
      <c r="X213" s="232"/>
      <c r="Y213" s="233"/>
      <c r="Z213" s="234"/>
      <c r="AA213" s="232"/>
      <c r="AB213" s="232"/>
      <c r="AC213" s="233"/>
      <c r="AD213" s="234"/>
      <c r="AE213" s="233"/>
      <c r="AH213" s="354">
        <f t="shared" si="32"/>
        <v>0</v>
      </c>
      <c r="AI213" s="354">
        <f>U213-O213</f>
        <v>0</v>
      </c>
      <c r="AJ213" s="354">
        <f t="shared" si="30"/>
        <v>0</v>
      </c>
    </row>
    <row r="214" spans="1:41" ht="12.95" hidden="1" customHeight="1" thickBot="1">
      <c r="A214" s="885"/>
      <c r="B214" s="273"/>
      <c r="C214" s="231"/>
      <c r="D214" s="232"/>
      <c r="E214" s="233"/>
      <c r="F214" s="234"/>
      <c r="G214" s="232"/>
      <c r="H214" s="232"/>
      <c r="I214" s="233"/>
      <c r="J214" s="234"/>
      <c r="K214" s="232"/>
      <c r="L214" s="232"/>
      <c r="M214" s="233"/>
      <c r="N214" s="234"/>
      <c r="O214" s="232"/>
      <c r="P214" s="232"/>
      <c r="Q214" s="233"/>
      <c r="R214" s="234"/>
      <c r="S214" s="232"/>
      <c r="T214" s="232"/>
      <c r="U214" s="233"/>
      <c r="V214" s="234"/>
      <c r="W214" s="232"/>
      <c r="X214" s="232"/>
      <c r="Y214" s="233"/>
      <c r="Z214" s="234"/>
      <c r="AA214" s="232"/>
      <c r="AB214" s="232"/>
      <c r="AC214" s="233"/>
      <c r="AD214" s="234"/>
      <c r="AE214" s="233"/>
      <c r="AH214" s="354">
        <f t="shared" si="32"/>
        <v>0</v>
      </c>
      <c r="AI214" s="354">
        <f>U214-O214</f>
        <v>0</v>
      </c>
      <c r="AJ214" s="354">
        <f t="shared" si="30"/>
        <v>0</v>
      </c>
    </row>
    <row r="215" spans="1:41" ht="12.95" customHeight="1" thickBot="1">
      <c r="A215" s="885"/>
      <c r="B215" s="3" t="s">
        <v>17</v>
      </c>
      <c r="C215" s="12"/>
      <c r="D215" s="1377">
        <v>2008</v>
      </c>
      <c r="E215" s="1378"/>
      <c r="F215" s="1372">
        <v>2009</v>
      </c>
      <c r="G215" s="1373"/>
      <c r="H215" s="1373"/>
      <c r="I215" s="1374"/>
      <c r="J215" s="1372">
        <v>2010</v>
      </c>
      <c r="K215" s="1373"/>
      <c r="L215" s="1373"/>
      <c r="M215" s="1374"/>
      <c r="N215" s="1372">
        <v>2011</v>
      </c>
      <c r="O215" s="1373"/>
      <c r="P215" s="1373"/>
      <c r="Q215" s="1374"/>
      <c r="R215" s="1372">
        <v>2012</v>
      </c>
      <c r="S215" s="1373"/>
      <c r="T215" s="1373"/>
      <c r="U215" s="1374"/>
      <c r="V215" s="1372">
        <v>2013</v>
      </c>
      <c r="W215" s="1373"/>
      <c r="X215" s="1373"/>
      <c r="Y215" s="1374"/>
      <c r="Z215" s="1372">
        <v>2014</v>
      </c>
      <c r="AA215" s="1373"/>
      <c r="AB215" s="1373"/>
      <c r="AC215" s="1374"/>
      <c r="AD215" s="1372">
        <v>2015</v>
      </c>
      <c r="AE215" s="1374"/>
      <c r="AG215" s="257" t="s">
        <v>663</v>
      </c>
    </row>
    <row r="216" spans="1:41" ht="13.5" thickBot="1">
      <c r="A216" s="885"/>
      <c r="B216" s="868" t="s">
        <v>59</v>
      </c>
      <c r="C216" s="194" t="s">
        <v>610</v>
      </c>
      <c r="D216" s="206"/>
      <c r="E216" s="207"/>
      <c r="F216" s="209"/>
      <c r="G216" s="206"/>
      <c r="H216" s="206"/>
      <c r="I216" s="207"/>
      <c r="J216" s="209"/>
      <c r="K216" s="206"/>
      <c r="L216" s="206"/>
      <c r="M216" s="207"/>
      <c r="N216" s="277"/>
      <c r="O216" s="278">
        <f>(O226-J226)/5/$C$674/Spend!O216*'State Efficiency Ratios'!$C$655</f>
        <v>-60.391973672801441</v>
      </c>
      <c r="P216" s="278"/>
      <c r="Q216" s="279"/>
      <c r="R216" s="277"/>
      <c r="S216" s="278"/>
      <c r="T216" s="278"/>
      <c r="U216" s="278">
        <f>(U226-O226)/6/$C$674/Spend!U216*'State Efficiency Ratios'!$C$655</f>
        <v>201.61128082720995</v>
      </c>
      <c r="V216" s="277"/>
      <c r="W216" s="278"/>
      <c r="X216" s="278"/>
      <c r="Y216" s="278">
        <f>(Y226-U226)/4/$C$674/Spend!Y216*'State Efficiency Ratios'!$C$655</f>
        <v>138.57766826646744</v>
      </c>
      <c r="Z216" s="277"/>
      <c r="AA216" s="278"/>
      <c r="AB216" s="278"/>
      <c r="AC216" s="278">
        <f>(AC226-Y226)/4/$C$674/Spend!AC216*'State Efficiency Ratios'!$C$655</f>
        <v>-786.91928336680837</v>
      </c>
      <c r="AD216" s="277"/>
      <c r="AE216" s="280"/>
      <c r="AG216" s="295"/>
      <c r="AN216" s="385">
        <f>(O226-J226)/7/$C$673/Spend!O216*'State Efficiency Ratios'!$C$655</f>
        <v>-43.137124052001028</v>
      </c>
    </row>
    <row r="217" spans="1:41" ht="13.5" thickBot="1">
      <c r="A217" s="885"/>
      <c r="B217" s="885"/>
      <c r="C217" s="194" t="s">
        <v>611</v>
      </c>
      <c r="D217" s="206"/>
      <c r="E217" s="207"/>
      <c r="F217" s="209"/>
      <c r="G217" s="206"/>
      <c r="H217" s="206"/>
      <c r="I217" s="207"/>
      <c r="J217" s="209"/>
      <c r="K217" s="206"/>
      <c r="L217" s="206"/>
      <c r="M217" s="207"/>
      <c r="N217" s="277"/>
      <c r="O217" s="278">
        <f>(O227-J227)/5/$C$674/Spend!O217*'State Efficiency Ratios'!$C$655</f>
        <v>90.169565995598674</v>
      </c>
      <c r="P217" s="278"/>
      <c r="Q217" s="279"/>
      <c r="R217" s="277"/>
      <c r="S217" s="278"/>
      <c r="T217" s="278"/>
      <c r="U217" s="278">
        <f>(U227-O227)/6/$C$674/Spend!U217*'State Efficiency Ratios'!$C$655</f>
        <v>-27.082363709889151</v>
      </c>
      <c r="V217" s="277"/>
      <c r="W217" s="278"/>
      <c r="X217" s="278"/>
      <c r="Y217" s="278">
        <f>(Y227-U227)/4/$C$674/Spend!Y217*'State Efficiency Ratios'!$C$655</f>
        <v>223.99026393956973</v>
      </c>
      <c r="Z217" s="277"/>
      <c r="AA217" s="278"/>
      <c r="AB217" s="278"/>
      <c r="AC217" s="278">
        <f>(AC227-Y227)/4/$C$674/Spend!AC217*'State Efficiency Ratios'!$C$655</f>
        <v>-992.25046049144794</v>
      </c>
      <c r="AD217" s="277"/>
      <c r="AE217" s="280"/>
      <c r="AG217" s="295"/>
      <c r="AN217" s="385">
        <f>(O227-J227)/7/$C$673/Spend!O217*'State Efficiency Ratios'!$C$655</f>
        <v>64.406832853999049</v>
      </c>
    </row>
    <row r="218" spans="1:41" ht="13.5" thickBot="1">
      <c r="A218" s="885"/>
      <c r="B218" s="885"/>
      <c r="C218" s="194" t="s">
        <v>612</v>
      </c>
      <c r="D218" s="206"/>
      <c r="E218" s="207"/>
      <c r="F218" s="209"/>
      <c r="G218" s="206"/>
      <c r="H218" s="206"/>
      <c r="I218" s="207"/>
      <c r="J218" s="209"/>
      <c r="K218" s="206"/>
      <c r="L218" s="206"/>
      <c r="M218" s="207"/>
      <c r="N218" s="277"/>
      <c r="O218" s="278">
        <f>(O228-J228)/5/$C$674/Spend!O218*'State Efficiency Ratios'!$C$655</f>
        <v>17.715185739035551</v>
      </c>
      <c r="P218" s="278"/>
      <c r="Q218" s="279"/>
      <c r="R218" s="277"/>
      <c r="S218" s="278"/>
      <c r="T218" s="278"/>
      <c r="U218" s="278">
        <f>(U228-O228)/6/$C$674/Spend!U218*'State Efficiency Ratios'!$C$655</f>
        <v>136.52075429453947</v>
      </c>
      <c r="V218" s="277"/>
      <c r="W218" s="278"/>
      <c r="X218" s="278"/>
      <c r="Y218" s="278">
        <f>(Y228-U228)/4/$C$674/Spend!Y218*'State Efficiency Ratios'!$C$655</f>
        <v>15.134348851756995</v>
      </c>
      <c r="Z218" s="277"/>
      <c r="AA218" s="278"/>
      <c r="AB218" s="278"/>
      <c r="AC218" s="278">
        <f>(AC228-Y228)/4/$C$674/Spend!AC218*'State Efficiency Ratios'!$C$655</f>
        <v>-843.73707620115408</v>
      </c>
      <c r="AD218" s="277"/>
      <c r="AE218" s="280"/>
      <c r="AG218" s="295"/>
      <c r="AN218" s="385">
        <f>(O228-J228)/7/$C$673/Spend!O218*'State Efficiency Ratios'!$C$655</f>
        <v>12.653704099311106</v>
      </c>
    </row>
    <row r="219" spans="1:41" ht="13.5" thickBot="1">
      <c r="A219" s="885"/>
      <c r="B219" s="885"/>
      <c r="C219" s="194" t="s">
        <v>613</v>
      </c>
      <c r="D219" s="206"/>
      <c r="E219" s="207"/>
      <c r="F219" s="209"/>
      <c r="G219" s="206"/>
      <c r="H219" s="206"/>
      <c r="I219" s="207"/>
      <c r="J219" s="209"/>
      <c r="K219" s="206"/>
      <c r="L219" s="206"/>
      <c r="M219" s="207"/>
      <c r="N219" s="277"/>
      <c r="O219" s="278">
        <f>(O229-J229)/5/$C$674/Spend!O219*'State Efficiency Ratios'!$C$655</f>
        <v>0</v>
      </c>
      <c r="P219" s="278"/>
      <c r="Q219" s="279"/>
      <c r="R219" s="277"/>
      <c r="S219" s="278"/>
      <c r="T219" s="278"/>
      <c r="U219" s="278">
        <f>(U229-O229)/6/$C$674/Spend!U219*'State Efficiency Ratios'!$C$655</f>
        <v>241.96666951210193</v>
      </c>
      <c r="V219" s="277"/>
      <c r="W219" s="278"/>
      <c r="X219" s="278"/>
      <c r="Y219" s="278">
        <f>(Y229-U229)/4/$C$674/Spend!Y219*'State Efficiency Ratios'!$C$655</f>
        <v>86.703138839552381</v>
      </c>
      <c r="Z219" s="277"/>
      <c r="AA219" s="278"/>
      <c r="AB219" s="278"/>
      <c r="AC219" s="278">
        <f>(AC229-Y229)/4/$C$674/Spend!AC219*'State Efficiency Ratios'!$C$655</f>
        <v>-945.67268942121996</v>
      </c>
      <c r="AD219" s="277"/>
      <c r="AE219" s="280"/>
      <c r="AG219" s="295"/>
      <c r="AN219" s="385">
        <f>(O229-J229)/7/$C$673/Spend!O219*'State Efficiency Ratios'!$C$655</f>
        <v>0</v>
      </c>
    </row>
    <row r="220" spans="1:41" ht="13.5" thickBot="1">
      <c r="A220" s="885"/>
      <c r="B220" s="885"/>
      <c r="C220" s="194" t="s">
        <v>614</v>
      </c>
      <c r="D220" s="206"/>
      <c r="E220" s="207"/>
      <c r="F220" s="209"/>
      <c r="G220" s="206"/>
      <c r="H220" s="206"/>
      <c r="I220" s="207"/>
      <c r="J220" s="209"/>
      <c r="K220" s="206"/>
      <c r="L220" s="206"/>
      <c r="M220" s="207"/>
      <c r="N220" s="277"/>
      <c r="O220" s="278">
        <f>(O230-J230)/5/$C$674/Spend!O220*'State Efficiency Ratios'!$C$655</f>
        <v>40.232006516607491</v>
      </c>
      <c r="P220" s="278"/>
      <c r="Q220" s="279"/>
      <c r="R220" s="277"/>
      <c r="S220" s="278"/>
      <c r="T220" s="278"/>
      <c r="U220" s="278">
        <f>(U230-O230)/6/$C$674/Spend!U220*'State Efficiency Ratios'!$C$655</f>
        <v>43.404970947054736</v>
      </c>
      <c r="V220" s="277"/>
      <c r="W220" s="278"/>
      <c r="X220" s="278"/>
      <c r="Y220" s="278">
        <f>(Y230-U230)/4/$C$674/Spend!Y220*'State Efficiency Ratios'!$C$655</f>
        <v>-22.334834417882476</v>
      </c>
      <c r="Z220" s="277"/>
      <c r="AA220" s="278"/>
      <c r="AB220" s="278"/>
      <c r="AC220" s="278">
        <f>(AC230-Y230)/4/$C$674/Spend!AC220*'State Efficiency Ratios'!$C$655</f>
        <v>-349.11015967695704</v>
      </c>
      <c r="AD220" s="277"/>
      <c r="AE220" s="280"/>
      <c r="AG220" s="295"/>
      <c r="AN220" s="385">
        <f>(O230-J230)/7/$C$673/Spend!O220*'State Efficiency Ratios'!$C$655</f>
        <v>28.737147511862492</v>
      </c>
    </row>
    <row r="221" spans="1:41" ht="12.95" customHeight="1" thickBot="1">
      <c r="A221" s="885"/>
      <c r="B221" s="885"/>
      <c r="C221" s="194" t="s">
        <v>615</v>
      </c>
      <c r="D221" s="210"/>
      <c r="E221" s="211"/>
      <c r="F221" s="209"/>
      <c r="G221" s="210"/>
      <c r="H221" s="210"/>
      <c r="I221" s="211"/>
      <c r="J221" s="209"/>
      <c r="K221" s="210"/>
      <c r="L221" s="210"/>
      <c r="M221" s="211"/>
      <c r="N221" s="281"/>
      <c r="O221" s="282"/>
      <c r="P221" s="282"/>
      <c r="Q221" s="282"/>
      <c r="R221" s="277"/>
      <c r="S221" s="278"/>
      <c r="T221" s="278"/>
      <c r="U221" s="278">
        <f>(U231-R231)/3/$C$674/Spend!U221*'State Efficiency Ratios'!$C$655</f>
        <v>0</v>
      </c>
      <c r="V221" s="277"/>
      <c r="W221" s="278"/>
      <c r="X221" s="278"/>
      <c r="Y221" s="278">
        <f>(Y231-U231)/4/$C$674/Spend!Y221*'State Efficiency Ratios'!$C$655</f>
        <v>38.908385017495647</v>
      </c>
      <c r="Z221" s="277"/>
      <c r="AA221" s="278"/>
      <c r="AB221" s="278"/>
      <c r="AC221" s="278">
        <f>(AC231-Y231)/4/$C$674/Spend!AC221*'State Efficiency Ratios'!$C$655</f>
        <v>-272.55771898777783</v>
      </c>
      <c r="AD221" s="277"/>
      <c r="AE221" s="280"/>
      <c r="AG221" s="295"/>
      <c r="AN221" s="385">
        <f>(Y231-R231)/7/$C$673/(Spend!U221+Spend!Y221)*'State Efficiency Ratios'!$C$655</f>
        <v>11.586145140090483</v>
      </c>
    </row>
    <row r="222" spans="1:41" ht="12.95" customHeight="1" thickBot="1">
      <c r="A222" s="885"/>
      <c r="B222" s="885"/>
      <c r="C222" s="194" t="s">
        <v>616</v>
      </c>
      <c r="D222" s="210"/>
      <c r="E222" s="211"/>
      <c r="F222" s="209"/>
      <c r="G222" s="210"/>
      <c r="H222" s="210"/>
      <c r="I222" s="211"/>
      <c r="J222" s="209"/>
      <c r="K222" s="210"/>
      <c r="L222" s="210"/>
      <c r="M222" s="211"/>
      <c r="N222" s="281"/>
      <c r="O222" s="282"/>
      <c r="P222" s="282"/>
      <c r="Q222" s="282"/>
      <c r="R222" s="277"/>
      <c r="S222" s="278"/>
      <c r="T222" s="278"/>
      <c r="U222" s="278">
        <f>(U232-R232)/3/$C$674/Spend!U222*'State Efficiency Ratios'!$C$655</f>
        <v>0</v>
      </c>
      <c r="V222" s="277"/>
      <c r="W222" s="278"/>
      <c r="X222" s="278"/>
      <c r="Y222" s="278">
        <f>(Y232-U232)/4/$C$674/Spend!Y222*'State Efficiency Ratios'!$C$655</f>
        <v>0</v>
      </c>
      <c r="Z222" s="277"/>
      <c r="AA222" s="278"/>
      <c r="AB222" s="278"/>
      <c r="AC222" s="278">
        <f>(AC232-Y232)/4/$C$674/Spend!AC222*'State Efficiency Ratios'!$C$655</f>
        <v>-213.60943250939391</v>
      </c>
      <c r="AD222" s="277"/>
      <c r="AE222" s="280"/>
      <c r="AG222" s="295"/>
      <c r="AN222" s="385">
        <f>(Y232-R232)/7/$C$673/(Spend!U222+Spend!Y222)*'State Efficiency Ratios'!$C$655</f>
        <v>0</v>
      </c>
    </row>
    <row r="223" spans="1:41" ht="12.95" customHeight="1" thickBot="1">
      <c r="A223" s="885"/>
      <c r="B223" s="885"/>
      <c r="C223" s="194" t="s">
        <v>617</v>
      </c>
      <c r="D223" s="210"/>
      <c r="E223" s="211"/>
      <c r="F223" s="209"/>
      <c r="G223" s="210"/>
      <c r="H223" s="210"/>
      <c r="I223" s="211"/>
      <c r="J223" s="209"/>
      <c r="K223" s="210"/>
      <c r="L223" s="210"/>
      <c r="M223" s="211"/>
      <c r="N223" s="281"/>
      <c r="O223" s="282"/>
      <c r="P223" s="282"/>
      <c r="Q223" s="282"/>
      <c r="R223" s="277"/>
      <c r="S223" s="278"/>
      <c r="T223" s="278"/>
      <c r="U223" s="278">
        <f>(U233-R233)/3/$C$674/Spend!U223*'State Efficiency Ratios'!$C$655</f>
        <v>0</v>
      </c>
      <c r="V223" s="277"/>
      <c r="W223" s="278"/>
      <c r="X223" s="278"/>
      <c r="Y223" s="278">
        <f>(Y233-U233)/4/$C$674/Spend!Y223*'State Efficiency Ratios'!$C$655</f>
        <v>145.43632855959819</v>
      </c>
      <c r="Z223" s="277"/>
      <c r="AA223" s="278"/>
      <c r="AB223" s="278"/>
      <c r="AC223" s="278">
        <f>(AC233-Y233)/4/$C$674/Spend!AC223*'State Efficiency Ratios'!$C$655</f>
        <v>-539.44356941388571</v>
      </c>
      <c r="AD223" s="277"/>
      <c r="AE223" s="280"/>
      <c r="AG223" s="295"/>
      <c r="AN223" s="385">
        <f>(Y233-R233)/7/$C$673/(Spend!U223+Spend!Y223)*'State Efficiency Ratios'!$C$655</f>
        <v>38.022180781478149</v>
      </c>
    </row>
    <row r="224" spans="1:41" ht="12.95" customHeight="1" thickBot="1">
      <c r="A224" s="885"/>
      <c r="B224" s="885"/>
      <c r="C224" s="194" t="s">
        <v>618</v>
      </c>
      <c r="D224" s="210"/>
      <c r="E224" s="211"/>
      <c r="F224" s="209"/>
      <c r="G224" s="210"/>
      <c r="H224" s="210"/>
      <c r="I224" s="211"/>
      <c r="J224" s="209"/>
      <c r="K224" s="210"/>
      <c r="L224" s="210"/>
      <c r="M224" s="211"/>
      <c r="N224" s="281"/>
      <c r="O224" s="282"/>
      <c r="P224" s="282"/>
      <c r="Q224" s="283"/>
      <c r="R224" s="281"/>
      <c r="S224" s="282"/>
      <c r="T224" s="282"/>
      <c r="U224" s="283"/>
      <c r="V224" s="281"/>
      <c r="W224" s="282"/>
      <c r="X224" s="282"/>
      <c r="Y224" s="283"/>
      <c r="Z224" s="277"/>
      <c r="AA224" s="278"/>
      <c r="AB224" s="278"/>
      <c r="AC224" s="278">
        <f>(AC234-Y234)/4/$C$674/Spend!AC224*'State Efficiency Ratios'!$C$655</f>
        <v>-684.39946590757052</v>
      </c>
      <c r="AD224" s="277"/>
      <c r="AE224" s="280"/>
      <c r="AG224" s="295"/>
    </row>
    <row r="225" spans="1:40" ht="12.95" customHeight="1" thickBot="1">
      <c r="A225" s="885"/>
      <c r="B225" s="885"/>
      <c r="C225" s="194" t="s">
        <v>619</v>
      </c>
      <c r="D225" s="210"/>
      <c r="E225" s="211"/>
      <c r="F225" s="209"/>
      <c r="G225" s="210"/>
      <c r="H225" s="210"/>
      <c r="I225" s="211"/>
      <c r="J225" s="209"/>
      <c r="K225" s="210"/>
      <c r="L225" s="210"/>
      <c r="M225" s="211"/>
      <c r="N225" s="281"/>
      <c r="O225" s="282"/>
      <c r="P225" s="282"/>
      <c r="Q225" s="283"/>
      <c r="R225" s="281"/>
      <c r="S225" s="282"/>
      <c r="T225" s="282"/>
      <c r="U225" s="283"/>
      <c r="V225" s="281"/>
      <c r="W225" s="282"/>
      <c r="X225" s="282"/>
      <c r="Y225" s="283"/>
      <c r="Z225" s="277"/>
      <c r="AA225" s="278"/>
      <c r="AB225" s="278"/>
      <c r="AC225" s="278">
        <f>(AC235-Y235)/4/$C$674/Spend!AC225*'State Efficiency Ratios'!$C$655</f>
        <v>-343.28762887259893</v>
      </c>
      <c r="AD225" s="277"/>
      <c r="AE225" s="280"/>
      <c r="AG225" s="295"/>
    </row>
    <row r="226" spans="1:40" ht="13.5" thickBot="1">
      <c r="A226" s="885"/>
      <c r="B226" s="885"/>
      <c r="C226" s="9" t="s">
        <v>295</v>
      </c>
      <c r="D226" s="241" t="s">
        <v>632</v>
      </c>
      <c r="E226" s="241" t="s">
        <v>632</v>
      </c>
      <c r="F226" s="243" t="s">
        <v>646</v>
      </c>
      <c r="G226" s="241" t="s">
        <v>646</v>
      </c>
      <c r="H226" s="241" t="s">
        <v>646</v>
      </c>
      <c r="I226" s="244" t="s">
        <v>646</v>
      </c>
      <c r="J226" s="195">
        <f>'State DisAgg LFx10 (2015)'!D216</f>
        <v>1.5</v>
      </c>
      <c r="K226" s="196"/>
      <c r="L226" s="196"/>
      <c r="M226" s="197"/>
      <c r="N226" s="195"/>
      <c r="O226" s="196">
        <f>'State DisAgg LFx10 (2015)'!H226</f>
        <v>0</v>
      </c>
      <c r="P226" s="196"/>
      <c r="Q226" s="197"/>
      <c r="R226" s="195"/>
      <c r="S226" s="196"/>
      <c r="T226" s="196"/>
      <c r="U226" s="197">
        <f>'State DisAgg LFx10 (2015)'!L226</f>
        <v>2.2999999999999998</v>
      </c>
      <c r="V226" s="195"/>
      <c r="W226" s="196"/>
      <c r="X226" s="196"/>
      <c r="Y226" s="197">
        <f>'State DisAgg LFx10 (2015)'!P226</f>
        <v>3.1</v>
      </c>
      <c r="Z226" s="195"/>
      <c r="AA226" s="196"/>
      <c r="AB226" s="196"/>
      <c r="AC226" s="197">
        <f>'State DisAgg LFx10 (2015)'!T226</f>
        <v>0</v>
      </c>
      <c r="AD226" s="195"/>
      <c r="AE226" s="197"/>
      <c r="AH226" s="354">
        <f>Y226-U226</f>
        <v>0.80000000000000027</v>
      </c>
      <c r="AI226" s="354">
        <f>U226-O226</f>
        <v>2.2999999999999998</v>
      </c>
      <c r="AJ226" s="354">
        <f t="shared" ref="AJ226:AJ237" si="38">O226-J226</f>
        <v>-1.5</v>
      </c>
      <c r="AN226" s="384">
        <f>(O226-J226)</f>
        <v>-1.5</v>
      </c>
    </row>
    <row r="227" spans="1:40" ht="13.5" thickBot="1">
      <c r="A227" s="885"/>
      <c r="B227" s="885"/>
      <c r="C227" s="9" t="s">
        <v>296</v>
      </c>
      <c r="D227" s="241" t="s">
        <v>632</v>
      </c>
      <c r="E227" s="241" t="s">
        <v>632</v>
      </c>
      <c r="F227" s="243" t="s">
        <v>646</v>
      </c>
      <c r="G227" s="241" t="s">
        <v>646</v>
      </c>
      <c r="H227" s="241" t="s">
        <v>646</v>
      </c>
      <c r="I227" s="244" t="s">
        <v>646</v>
      </c>
      <c r="J227" s="195">
        <f>'State DisAgg LFx10 (2015)'!D217</f>
        <v>1</v>
      </c>
      <c r="K227" s="196"/>
      <c r="L227" s="196"/>
      <c r="M227" s="197"/>
      <c r="N227" s="195"/>
      <c r="O227" s="196">
        <f>'State DisAgg LFx10 (2015)'!H227</f>
        <v>3</v>
      </c>
      <c r="P227" s="196"/>
      <c r="Q227" s="197"/>
      <c r="R227" s="195"/>
      <c r="S227" s="196"/>
      <c r="T227" s="196"/>
      <c r="U227" s="197">
        <f>'State DisAgg LFx10 (2015)'!L227</f>
        <v>2.7</v>
      </c>
      <c r="V227" s="195"/>
      <c r="W227" s="196"/>
      <c r="X227" s="196"/>
      <c r="Y227" s="197">
        <f>'State DisAgg LFx10 (2015)'!P227</f>
        <v>4.0999999999999996</v>
      </c>
      <c r="Z227" s="195"/>
      <c r="AA227" s="196"/>
      <c r="AB227" s="196"/>
      <c r="AC227" s="197">
        <f>'State DisAgg LFx10 (2015)'!T227</f>
        <v>0</v>
      </c>
      <c r="AD227" s="195"/>
      <c r="AE227" s="197"/>
      <c r="AH227" s="354">
        <f t="shared" ref="AH227:AH237" si="39">Y227-U227</f>
        <v>1.3999999999999995</v>
      </c>
      <c r="AI227" s="354">
        <f>U227-O227</f>
        <v>-0.29999999999999982</v>
      </c>
      <c r="AJ227" s="354">
        <f t="shared" si="38"/>
        <v>2</v>
      </c>
      <c r="AN227" s="384">
        <f t="shared" ref="AN227:AN230" si="40">(O227-J227)</f>
        <v>2</v>
      </c>
    </row>
    <row r="228" spans="1:40" ht="13.5" thickBot="1">
      <c r="A228" s="885"/>
      <c r="B228" s="885"/>
      <c r="C228" s="9" t="s">
        <v>297</v>
      </c>
      <c r="D228" s="241" t="s">
        <v>632</v>
      </c>
      <c r="E228" s="241" t="s">
        <v>632</v>
      </c>
      <c r="F228" s="243" t="s">
        <v>646</v>
      </c>
      <c r="G228" s="241" t="s">
        <v>646</v>
      </c>
      <c r="H228" s="241" t="s">
        <v>646</v>
      </c>
      <c r="I228" s="244" t="s">
        <v>646</v>
      </c>
      <c r="J228" s="195">
        <f>'State DisAgg LFx10 (2015)'!D218</f>
        <v>1</v>
      </c>
      <c r="K228" s="196"/>
      <c r="L228" s="196"/>
      <c r="M228" s="197"/>
      <c r="N228" s="195"/>
      <c r="O228" s="196">
        <f>'State DisAgg LFx10 (2015)'!H228</f>
        <v>1.4</v>
      </c>
      <c r="P228" s="196"/>
      <c r="Q228" s="197"/>
      <c r="R228" s="195"/>
      <c r="S228" s="196"/>
      <c r="T228" s="196"/>
      <c r="U228" s="197">
        <f>'State DisAgg LFx10 (2015)'!L228</f>
        <v>2.9</v>
      </c>
      <c r="V228" s="195"/>
      <c r="W228" s="196"/>
      <c r="X228" s="196"/>
      <c r="Y228" s="197">
        <f>'State DisAgg LFx10 (2015)'!P228</f>
        <v>3</v>
      </c>
      <c r="Z228" s="195"/>
      <c r="AA228" s="196"/>
      <c r="AB228" s="196"/>
      <c r="AC228" s="197">
        <f>'State DisAgg LFx10 (2015)'!T228</f>
        <v>0</v>
      </c>
      <c r="AD228" s="195"/>
      <c r="AE228" s="197"/>
      <c r="AH228" s="354">
        <f t="shared" si="39"/>
        <v>0.10000000000000009</v>
      </c>
      <c r="AI228" s="354">
        <f>U228-O228</f>
        <v>1.5</v>
      </c>
      <c r="AJ228" s="354">
        <f t="shared" si="38"/>
        <v>0.39999999999999991</v>
      </c>
      <c r="AN228" s="384">
        <f t="shared" si="40"/>
        <v>0.39999999999999991</v>
      </c>
    </row>
    <row r="229" spans="1:40" ht="13.5" thickBot="1">
      <c r="A229" s="885"/>
      <c r="B229" s="885"/>
      <c r="C229" s="9" t="s">
        <v>298</v>
      </c>
      <c r="D229" s="241" t="s">
        <v>632</v>
      </c>
      <c r="E229" s="241" t="s">
        <v>632</v>
      </c>
      <c r="F229" s="243" t="s">
        <v>646</v>
      </c>
      <c r="G229" s="241" t="s">
        <v>646</v>
      </c>
      <c r="H229" s="241" t="s">
        <v>646</v>
      </c>
      <c r="I229" s="244" t="s">
        <v>646</v>
      </c>
      <c r="J229" s="195">
        <f>'State DisAgg LFx10 (2015)'!D219</f>
        <v>1</v>
      </c>
      <c r="K229" s="196"/>
      <c r="L229" s="196"/>
      <c r="M229" s="197"/>
      <c r="N229" s="195"/>
      <c r="O229" s="196">
        <f>'State DisAgg LFx10 (2015)'!H229</f>
        <v>1</v>
      </c>
      <c r="P229" s="196"/>
      <c r="Q229" s="197"/>
      <c r="R229" s="195"/>
      <c r="S229" s="196"/>
      <c r="T229" s="196"/>
      <c r="U229" s="197">
        <f>'State DisAgg LFx10 (2015)'!L229</f>
        <v>3.4</v>
      </c>
      <c r="V229" s="195"/>
      <c r="W229" s="196"/>
      <c r="X229" s="196"/>
      <c r="Y229" s="197">
        <f>'State DisAgg LFx10 (2015)'!P229</f>
        <v>3.9</v>
      </c>
      <c r="Z229" s="195"/>
      <c r="AA229" s="196"/>
      <c r="AB229" s="196"/>
      <c r="AC229" s="197">
        <f>'State DisAgg LFx10 (2015)'!T229</f>
        <v>0</v>
      </c>
      <c r="AD229" s="195"/>
      <c r="AE229" s="197"/>
      <c r="AH229" s="354">
        <f t="shared" si="39"/>
        <v>0.5</v>
      </c>
      <c r="AI229" s="354">
        <f>U229-O229</f>
        <v>2.4</v>
      </c>
      <c r="AJ229" s="354">
        <f t="shared" si="38"/>
        <v>0</v>
      </c>
      <c r="AN229" s="384">
        <f t="shared" si="40"/>
        <v>0</v>
      </c>
    </row>
    <row r="230" spans="1:40" ht="13.5" thickBot="1">
      <c r="A230" s="885"/>
      <c r="B230" s="885"/>
      <c r="C230" s="9" t="s">
        <v>299</v>
      </c>
      <c r="D230" s="241" t="s">
        <v>632</v>
      </c>
      <c r="E230" s="241" t="s">
        <v>632</v>
      </c>
      <c r="F230" s="243" t="s">
        <v>646</v>
      </c>
      <c r="G230" s="241" t="s">
        <v>646</v>
      </c>
      <c r="H230" s="241" t="s">
        <v>646</v>
      </c>
      <c r="I230" s="244" t="s">
        <v>646</v>
      </c>
      <c r="J230" s="195">
        <f>'State DisAgg LFx10 (2015)'!D220</f>
        <v>1</v>
      </c>
      <c r="K230" s="196"/>
      <c r="L230" s="196"/>
      <c r="M230" s="197"/>
      <c r="N230" s="195"/>
      <c r="O230" s="196">
        <f>'State DisAgg LFx10 (2015)'!H230</f>
        <v>2</v>
      </c>
      <c r="P230" s="196"/>
      <c r="Q230" s="197"/>
      <c r="R230" s="195"/>
      <c r="S230" s="196"/>
      <c r="T230" s="196"/>
      <c r="U230" s="197">
        <f>'State DisAgg LFx10 (2015)'!L230</f>
        <v>2.9</v>
      </c>
      <c r="V230" s="195"/>
      <c r="W230" s="196"/>
      <c r="X230" s="196"/>
      <c r="Y230" s="197">
        <f>'State DisAgg LFx10 (2015)'!P230</f>
        <v>2.7</v>
      </c>
      <c r="Z230" s="195"/>
      <c r="AA230" s="196"/>
      <c r="AB230" s="196"/>
      <c r="AC230" s="197">
        <f>'State DisAgg LFx10 (2015)'!T230</f>
        <v>0</v>
      </c>
      <c r="AD230" s="195"/>
      <c r="AE230" s="197"/>
      <c r="AH230" s="354">
        <f t="shared" si="39"/>
        <v>-0.19999999999999973</v>
      </c>
      <c r="AI230" s="354">
        <f>U230-O230</f>
        <v>0.89999999999999991</v>
      </c>
      <c r="AJ230" s="354">
        <f t="shared" si="38"/>
        <v>1</v>
      </c>
      <c r="AN230" s="384">
        <f t="shared" si="40"/>
        <v>1</v>
      </c>
    </row>
    <row r="231" spans="1:40" ht="13.5" thickBot="1">
      <c r="A231" s="885"/>
      <c r="B231" s="885"/>
      <c r="C231" s="9" t="s">
        <v>300</v>
      </c>
      <c r="D231" s="199"/>
      <c r="E231" s="200"/>
      <c r="F231" s="201"/>
      <c r="G231" s="199"/>
      <c r="H231" s="199"/>
      <c r="I231" s="200"/>
      <c r="J231" s="201"/>
      <c r="K231" s="199"/>
      <c r="L231" s="199"/>
      <c r="M231" s="200"/>
      <c r="N231" s="198"/>
      <c r="O231" s="217" t="s">
        <v>634</v>
      </c>
      <c r="P231" s="241" t="s">
        <v>632</v>
      </c>
      <c r="Q231" s="244" t="s">
        <v>646</v>
      </c>
      <c r="R231" s="195">
        <f>'State DisAgg LFx10 (2015)'!H221</f>
        <v>1</v>
      </c>
      <c r="S231" s="196"/>
      <c r="T231" s="196"/>
      <c r="U231" s="197">
        <f>'State DisAgg LFx10 (2015)'!L231</f>
        <v>1</v>
      </c>
      <c r="V231" s="195"/>
      <c r="W231" s="196"/>
      <c r="X231" s="196"/>
      <c r="Y231" s="197">
        <f>'State DisAgg LFx10 (2015)'!P231</f>
        <v>1.2</v>
      </c>
      <c r="Z231" s="195"/>
      <c r="AA231" s="196"/>
      <c r="AB231" s="196"/>
      <c r="AC231" s="197">
        <f>'State DisAgg LFx10 (2015)'!T231</f>
        <v>0</v>
      </c>
      <c r="AD231" s="195"/>
      <c r="AE231" s="197"/>
      <c r="AH231" s="354">
        <f t="shared" si="39"/>
        <v>0.19999999999999996</v>
      </c>
      <c r="AI231" s="354">
        <f>U231-R231</f>
        <v>0</v>
      </c>
      <c r="AJ231" s="354" t="e">
        <f t="shared" si="38"/>
        <v>#VALUE!</v>
      </c>
      <c r="AN231" s="384">
        <f>(Y231-R231)</f>
        <v>0.19999999999999996</v>
      </c>
    </row>
    <row r="232" spans="1:40" ht="13.5" thickBot="1">
      <c r="A232" s="885"/>
      <c r="B232" s="885"/>
      <c r="C232" s="9" t="s">
        <v>301</v>
      </c>
      <c r="D232" s="199"/>
      <c r="E232" s="200"/>
      <c r="F232" s="201"/>
      <c r="G232" s="199"/>
      <c r="H232" s="199"/>
      <c r="I232" s="200"/>
      <c r="J232" s="201"/>
      <c r="K232" s="199"/>
      <c r="L232" s="199"/>
      <c r="M232" s="200"/>
      <c r="N232" s="198"/>
      <c r="O232" s="217" t="s">
        <v>634</v>
      </c>
      <c r="P232" s="241" t="s">
        <v>632</v>
      </c>
      <c r="Q232" s="244" t="s">
        <v>646</v>
      </c>
      <c r="R232" s="195">
        <f>'State DisAgg LFx10 (2015)'!H222</f>
        <v>1</v>
      </c>
      <c r="S232" s="196"/>
      <c r="T232" s="196"/>
      <c r="U232" s="197">
        <f>'State DisAgg LFx10 (2015)'!L232</f>
        <v>1</v>
      </c>
      <c r="V232" s="195"/>
      <c r="W232" s="196"/>
      <c r="X232" s="196"/>
      <c r="Y232" s="197">
        <f>'State DisAgg LFx10 (2015)'!P232</f>
        <v>1</v>
      </c>
      <c r="Z232" s="195"/>
      <c r="AA232" s="196"/>
      <c r="AB232" s="196"/>
      <c r="AC232" s="197">
        <f>'State DisAgg LFx10 (2015)'!T232</f>
        <v>0</v>
      </c>
      <c r="AD232" s="195"/>
      <c r="AE232" s="197"/>
      <c r="AH232" s="354">
        <f t="shared" si="39"/>
        <v>0</v>
      </c>
      <c r="AI232" s="354">
        <f t="shared" ref="AI232:AI233" si="41">U232-R232</f>
        <v>0</v>
      </c>
      <c r="AJ232" s="354" t="e">
        <f t="shared" si="38"/>
        <v>#VALUE!</v>
      </c>
      <c r="AN232" s="384">
        <f t="shared" ref="AN232:AN233" si="42">(Y232-R232)</f>
        <v>0</v>
      </c>
    </row>
    <row r="233" spans="1:40" ht="13.5" thickBot="1">
      <c r="A233" s="885"/>
      <c r="B233" s="885"/>
      <c r="C233" s="9" t="s">
        <v>302</v>
      </c>
      <c r="D233" s="199"/>
      <c r="E233" s="200"/>
      <c r="F233" s="201"/>
      <c r="G233" s="199"/>
      <c r="H233" s="199"/>
      <c r="I233" s="200"/>
      <c r="J233" s="201"/>
      <c r="K233" s="199"/>
      <c r="L233" s="199"/>
      <c r="M233" s="200"/>
      <c r="N233" s="198"/>
      <c r="O233" s="217" t="s">
        <v>634</v>
      </c>
      <c r="P233" s="241" t="s">
        <v>632</v>
      </c>
      <c r="Q233" s="244" t="s">
        <v>646</v>
      </c>
      <c r="R233" s="195">
        <f>'State DisAgg LFx10 (2015)'!H223</f>
        <v>1</v>
      </c>
      <c r="S233" s="196"/>
      <c r="T233" s="196"/>
      <c r="U233" s="197">
        <f>'State DisAgg LFx10 (2015)'!L233</f>
        <v>1</v>
      </c>
      <c r="V233" s="195"/>
      <c r="W233" s="196"/>
      <c r="X233" s="196"/>
      <c r="Y233" s="197">
        <f>'State DisAgg LFx10 (2015)'!P233</f>
        <v>1.6</v>
      </c>
      <c r="Z233" s="195"/>
      <c r="AA233" s="196"/>
      <c r="AB233" s="196"/>
      <c r="AC233" s="197">
        <f>'State DisAgg LFx10 (2015)'!T233</f>
        <v>0</v>
      </c>
      <c r="AD233" s="195"/>
      <c r="AE233" s="197"/>
      <c r="AH233" s="354">
        <f t="shared" si="39"/>
        <v>0.60000000000000009</v>
      </c>
      <c r="AI233" s="354">
        <f t="shared" si="41"/>
        <v>0</v>
      </c>
      <c r="AJ233" s="354" t="e">
        <f t="shared" si="38"/>
        <v>#VALUE!</v>
      </c>
      <c r="AN233" s="384">
        <f t="shared" si="42"/>
        <v>0.60000000000000009</v>
      </c>
    </row>
    <row r="234" spans="1:40" ht="13.5" thickBot="1">
      <c r="A234" s="885"/>
      <c r="B234" s="885"/>
      <c r="C234" s="9" t="s">
        <v>303</v>
      </c>
      <c r="D234" s="202"/>
      <c r="E234" s="203"/>
      <c r="F234" s="201"/>
      <c r="G234" s="202"/>
      <c r="H234" s="202"/>
      <c r="I234" s="203"/>
      <c r="J234" s="201"/>
      <c r="K234" s="202"/>
      <c r="L234" s="202"/>
      <c r="M234" s="203"/>
      <c r="N234" s="204"/>
      <c r="O234" s="214"/>
      <c r="P234" s="205"/>
      <c r="Q234" s="205"/>
      <c r="R234" s="201"/>
      <c r="S234" s="202"/>
      <c r="T234" s="202"/>
      <c r="U234" s="203"/>
      <c r="V234" s="242"/>
      <c r="W234" s="217" t="s">
        <v>633</v>
      </c>
      <c r="X234" s="241" t="s">
        <v>632</v>
      </c>
      <c r="Y234" s="197">
        <f>'State DisAgg LFx10 (2015)'!P224</f>
        <v>2</v>
      </c>
      <c r="Z234" s="195"/>
      <c r="AA234" s="196"/>
      <c r="AB234" s="196"/>
      <c r="AC234" s="197">
        <f>'State DisAgg LFx10 (2015)'!T234</f>
        <v>0</v>
      </c>
      <c r="AD234" s="195"/>
      <c r="AE234" s="197"/>
      <c r="AH234" s="354">
        <f t="shared" si="39"/>
        <v>2</v>
      </c>
      <c r="AI234" s="354">
        <f>U234-O234</f>
        <v>0</v>
      </c>
      <c r="AJ234" s="354">
        <f t="shared" si="38"/>
        <v>0</v>
      </c>
    </row>
    <row r="235" spans="1:40" ht="13.5" thickBot="1">
      <c r="A235" s="885"/>
      <c r="B235" s="885"/>
      <c r="C235" s="9" t="s">
        <v>304</v>
      </c>
      <c r="D235" s="202"/>
      <c r="E235" s="203"/>
      <c r="F235" s="201"/>
      <c r="G235" s="202"/>
      <c r="H235" s="202"/>
      <c r="I235" s="203"/>
      <c r="J235" s="201"/>
      <c r="K235" s="202"/>
      <c r="L235" s="202"/>
      <c r="M235" s="203"/>
      <c r="N235" s="204"/>
      <c r="O235" s="205"/>
      <c r="P235" s="205"/>
      <c r="Q235" s="205"/>
      <c r="R235" s="201"/>
      <c r="S235" s="202"/>
      <c r="T235" s="202"/>
      <c r="U235" s="203"/>
      <c r="V235" s="242"/>
      <c r="W235" s="217" t="s">
        <v>633</v>
      </c>
      <c r="X235" s="241" t="s">
        <v>632</v>
      </c>
      <c r="Y235" s="197">
        <f>'State DisAgg LFx10 (2015)'!P225</f>
        <v>1</v>
      </c>
      <c r="Z235" s="195"/>
      <c r="AA235" s="196"/>
      <c r="AB235" s="196"/>
      <c r="AC235" s="197">
        <f>'State DisAgg LFx10 (2015)'!T235</f>
        <v>0</v>
      </c>
      <c r="AD235" s="195"/>
      <c r="AE235" s="197"/>
      <c r="AH235" s="354">
        <f t="shared" si="39"/>
        <v>1</v>
      </c>
      <c r="AI235" s="354">
        <f>U235-O235</f>
        <v>0</v>
      </c>
      <c r="AJ235" s="354">
        <f t="shared" si="38"/>
        <v>0</v>
      </c>
    </row>
    <row r="236" spans="1:40" ht="12.95" hidden="1" customHeight="1" thickBot="1">
      <c r="A236" s="885"/>
      <c r="B236" s="273"/>
      <c r="C236" s="231"/>
      <c r="D236" s="232"/>
      <c r="E236" s="233"/>
      <c r="F236" s="234"/>
      <c r="G236" s="232"/>
      <c r="H236" s="232"/>
      <c r="I236" s="233"/>
      <c r="J236" s="234"/>
      <c r="K236" s="232"/>
      <c r="L236" s="232"/>
      <c r="M236" s="233"/>
      <c r="N236" s="234"/>
      <c r="O236" s="232"/>
      <c r="P236" s="232"/>
      <c r="Q236" s="233"/>
      <c r="R236" s="234"/>
      <c r="S236" s="232"/>
      <c r="T236" s="232"/>
      <c r="U236" s="233"/>
      <c r="V236" s="234"/>
      <c r="W236" s="232"/>
      <c r="X236" s="232"/>
      <c r="Y236" s="233"/>
      <c r="Z236" s="234"/>
      <c r="AA236" s="232"/>
      <c r="AB236" s="232"/>
      <c r="AC236" s="233"/>
      <c r="AD236" s="234"/>
      <c r="AE236" s="233"/>
      <c r="AH236" s="354">
        <f t="shared" si="39"/>
        <v>0</v>
      </c>
      <c r="AI236" s="354">
        <f>U236-O236</f>
        <v>0</v>
      </c>
      <c r="AJ236" s="354">
        <f t="shared" si="38"/>
        <v>0</v>
      </c>
    </row>
    <row r="237" spans="1:40" ht="12.95" hidden="1" customHeight="1" thickBot="1">
      <c r="A237" s="885"/>
      <c r="B237" s="273"/>
      <c r="C237" s="231"/>
      <c r="D237" s="232"/>
      <c r="E237" s="233"/>
      <c r="F237" s="234"/>
      <c r="G237" s="232"/>
      <c r="H237" s="232"/>
      <c r="I237" s="233"/>
      <c r="J237" s="234"/>
      <c r="K237" s="232"/>
      <c r="L237" s="232"/>
      <c r="M237" s="233"/>
      <c r="N237" s="234"/>
      <c r="O237" s="232"/>
      <c r="P237" s="232"/>
      <c r="Q237" s="233"/>
      <c r="R237" s="234"/>
      <c r="S237" s="232"/>
      <c r="T237" s="232"/>
      <c r="U237" s="233"/>
      <c r="V237" s="234"/>
      <c r="W237" s="232"/>
      <c r="X237" s="232"/>
      <c r="Y237" s="233"/>
      <c r="Z237" s="234"/>
      <c r="AA237" s="232"/>
      <c r="AB237" s="232"/>
      <c r="AC237" s="233"/>
      <c r="AD237" s="234"/>
      <c r="AE237" s="233"/>
      <c r="AH237" s="354">
        <f t="shared" si="39"/>
        <v>0</v>
      </c>
      <c r="AI237" s="354">
        <f>U237-O237</f>
        <v>0</v>
      </c>
      <c r="AJ237" s="354">
        <f t="shared" si="38"/>
        <v>0</v>
      </c>
    </row>
    <row r="238" spans="1:40" ht="12.95" customHeight="1" thickBot="1">
      <c r="A238" s="885"/>
      <c r="B238" s="3" t="s">
        <v>18</v>
      </c>
      <c r="C238" s="12"/>
      <c r="D238" s="1377">
        <v>2008</v>
      </c>
      <c r="E238" s="1378"/>
      <c r="F238" s="1372">
        <v>2009</v>
      </c>
      <c r="G238" s="1373"/>
      <c r="H238" s="1373"/>
      <c r="I238" s="1374"/>
      <c r="J238" s="1372">
        <v>2010</v>
      </c>
      <c r="K238" s="1373"/>
      <c r="L238" s="1373"/>
      <c r="M238" s="1374"/>
      <c r="N238" s="1372">
        <v>2011</v>
      </c>
      <c r="O238" s="1373"/>
      <c r="P238" s="1373"/>
      <c r="Q238" s="1374"/>
      <c r="R238" s="1372">
        <v>2012</v>
      </c>
      <c r="S238" s="1373"/>
      <c r="T238" s="1373"/>
      <c r="U238" s="1374"/>
      <c r="V238" s="1372">
        <v>2013</v>
      </c>
      <c r="W238" s="1373"/>
      <c r="X238" s="1373"/>
      <c r="Y238" s="1374"/>
      <c r="Z238" s="1372">
        <v>2014</v>
      </c>
      <c r="AA238" s="1373"/>
      <c r="AB238" s="1373"/>
      <c r="AC238" s="1374"/>
      <c r="AD238" s="1372">
        <v>2015</v>
      </c>
      <c r="AE238" s="1374"/>
      <c r="AG238" s="257" t="s">
        <v>663</v>
      </c>
    </row>
    <row r="239" spans="1:40" ht="13.5" thickBot="1">
      <c r="A239" s="885"/>
      <c r="B239" s="868" t="s">
        <v>60</v>
      </c>
      <c r="C239" s="194" t="s">
        <v>610</v>
      </c>
      <c r="D239" s="206"/>
      <c r="E239" s="207"/>
      <c r="F239" s="209"/>
      <c r="G239" s="206"/>
      <c r="H239" s="206"/>
      <c r="I239" s="207"/>
      <c r="J239" s="209"/>
      <c r="K239" s="206"/>
      <c r="L239" s="206"/>
      <c r="M239" s="207"/>
      <c r="N239" s="277"/>
      <c r="O239" s="278">
        <f>(O249-J249)/5/$C$675/Spend!O239*'State Efficiency Ratios'!$C$655</f>
        <v>0</v>
      </c>
      <c r="P239" s="278"/>
      <c r="Q239" s="279"/>
      <c r="R239" s="277"/>
      <c r="S239" s="278"/>
      <c r="T239" s="278"/>
      <c r="U239" s="278">
        <f>(U249-O249)/6/$C$675/Spend!U239*'State Efficiency Ratios'!$C$655</f>
        <v>43.828539310263039</v>
      </c>
      <c r="V239" s="277"/>
      <c r="W239" s="278"/>
      <c r="X239" s="278"/>
      <c r="Y239" s="278">
        <f>(Y249-U249)/4/$C$675/Spend!Y239*'State Efficiency Ratios'!$C$655</f>
        <v>375.36501178793407</v>
      </c>
      <c r="Z239" s="277"/>
      <c r="AA239" s="278"/>
      <c r="AB239" s="278"/>
      <c r="AC239" s="278">
        <f>(AC249-Y249)/4/$C$675/Spend!AC239*'State Efficiency Ratios'!$C$655</f>
        <v>-458.04957105856926</v>
      </c>
      <c r="AD239" s="277"/>
      <c r="AE239" s="280"/>
      <c r="AG239" s="295"/>
      <c r="AN239" s="385">
        <f>(O249-J249)/7/$C$673/Spend!O239*'State Efficiency Ratios'!$C$655</f>
        <v>0</v>
      </c>
    </row>
    <row r="240" spans="1:40" ht="13.5" thickBot="1">
      <c r="A240" s="885"/>
      <c r="B240" s="885"/>
      <c r="C240" s="194" t="s">
        <v>611</v>
      </c>
      <c r="D240" s="206"/>
      <c r="E240" s="207"/>
      <c r="F240" s="209"/>
      <c r="G240" s="206"/>
      <c r="H240" s="206"/>
      <c r="I240" s="207"/>
      <c r="J240" s="209"/>
      <c r="K240" s="206"/>
      <c r="L240" s="206"/>
      <c r="M240" s="207"/>
      <c r="N240" s="277"/>
      <c r="O240" s="278">
        <f>(O250-J250)/5/$C$675/Spend!O240*'State Efficiency Ratios'!$C$655</f>
        <v>112.71195749449835</v>
      </c>
      <c r="P240" s="278"/>
      <c r="Q240" s="279"/>
      <c r="R240" s="277"/>
      <c r="S240" s="278"/>
      <c r="T240" s="278"/>
      <c r="U240" s="278">
        <f>(U250-O250)/6/$C$675/Spend!U240*'State Efficiency Ratios'!$C$655</f>
        <v>-135.41181854944585</v>
      </c>
      <c r="V240" s="277"/>
      <c r="W240" s="278"/>
      <c r="X240" s="278"/>
      <c r="Y240" s="278">
        <f>(Y250-U250)/4/$C$675/Spend!Y240*'State Efficiency Ratios'!$C$655</f>
        <v>394.91981373777054</v>
      </c>
      <c r="Z240" s="277"/>
      <c r="AA240" s="278"/>
      <c r="AB240" s="278"/>
      <c r="AC240" s="278">
        <f>(AC250-Y250)/4/$C$675/Spend!AC240*'State Efficiency Ratios'!$C$655</f>
        <v>-570.30724172402608</v>
      </c>
      <c r="AD240" s="277"/>
      <c r="AE240" s="280"/>
      <c r="AG240" s="295"/>
      <c r="AN240" s="385">
        <f>(O250-J250)/7/$C$673/Spend!O240*'State Efficiency Ratios'!$C$655</f>
        <v>161.01708213499762</v>
      </c>
    </row>
    <row r="241" spans="1:40" ht="13.5" thickBot="1">
      <c r="A241" s="885"/>
      <c r="B241" s="885"/>
      <c r="C241" s="194" t="s">
        <v>612</v>
      </c>
      <c r="D241" s="206"/>
      <c r="E241" s="207"/>
      <c r="F241" s="209"/>
      <c r="G241" s="206"/>
      <c r="H241" s="206"/>
      <c r="I241" s="207"/>
      <c r="J241" s="209"/>
      <c r="K241" s="206"/>
      <c r="L241" s="206"/>
      <c r="M241" s="207"/>
      <c r="N241" s="277"/>
      <c r="O241" s="278">
        <f>(O251-J251)/5/$C$675/Spend!O241*'State Efficiency Ratios'!$C$655</f>
        <v>44.28796434758889</v>
      </c>
      <c r="P241" s="278"/>
      <c r="Q241" s="279"/>
      <c r="R241" s="277"/>
      <c r="S241" s="278"/>
      <c r="T241" s="278"/>
      <c r="U241" s="278">
        <f>(U251-O251)/6/$C$675/Spend!U241*'State Efficiency Ratios'!$C$655</f>
        <v>91.013836196359648</v>
      </c>
      <c r="V241" s="277"/>
      <c r="W241" s="278"/>
      <c r="X241" s="278"/>
      <c r="Y241" s="278">
        <f>(Y251-U251)/4/$C$675/Spend!Y241*'State Efficiency Ratios'!$C$655</f>
        <v>292.80415507561014</v>
      </c>
      <c r="Z241" s="277"/>
      <c r="AA241" s="278"/>
      <c r="AB241" s="278"/>
      <c r="AC241" s="278">
        <f>(AC251-Y251)/4/$C$675/Spend!AC241*'State Efficiency Ratios'!$C$655</f>
        <v>-434.99107145988881</v>
      </c>
      <c r="AD241" s="277"/>
      <c r="AE241" s="280"/>
      <c r="AG241" s="295"/>
      <c r="AN241" s="385">
        <f>(O251-J251)/7/$C$673/Spend!O241*'State Efficiency Ratios'!$C$655</f>
        <v>63.268520496555553</v>
      </c>
    </row>
    <row r="242" spans="1:40" ht="13.5" thickBot="1">
      <c r="A242" s="885"/>
      <c r="B242" s="885"/>
      <c r="C242" s="194" t="s">
        <v>613</v>
      </c>
      <c r="D242" s="206"/>
      <c r="E242" s="207"/>
      <c r="F242" s="209"/>
      <c r="G242" s="206"/>
      <c r="H242" s="206"/>
      <c r="I242" s="207"/>
      <c r="J242" s="209"/>
      <c r="K242" s="206"/>
      <c r="L242" s="206"/>
      <c r="M242" s="207"/>
      <c r="N242" s="277"/>
      <c r="O242" s="278">
        <f>(O252-J252)/5/$C$675/Spend!O242*'State Efficiency Ratios'!$C$655</f>
        <v>0</v>
      </c>
      <c r="P242" s="278"/>
      <c r="Q242" s="279"/>
      <c r="R242" s="277"/>
      <c r="S242" s="278"/>
      <c r="T242" s="278"/>
      <c r="U242" s="278">
        <f>(U252-O252)/6/$C$675/Spend!U242*'State Efficiency Ratios'!$C$655</f>
        <v>100.81944563004248</v>
      </c>
      <c r="V242" s="277"/>
      <c r="W242" s="278"/>
      <c r="X242" s="278"/>
      <c r="Y242" s="278">
        <f>(Y252-U252)/4/$C$675/Spend!Y242*'State Efficiency Ratios'!$C$655</f>
        <v>477.00311603444203</v>
      </c>
      <c r="Z242" s="277"/>
      <c r="AA242" s="278"/>
      <c r="AB242" s="278"/>
      <c r="AC242" s="278">
        <f>(AC252-Y252)/4/$C$675/Spend!AC242*'State Efficiency Ratios'!$C$655</f>
        <v>-899.7118550096352</v>
      </c>
      <c r="AD242" s="277"/>
      <c r="AE242" s="280"/>
      <c r="AG242" s="295"/>
      <c r="AN242" s="385">
        <f>(O252-J252)/7/$C$673/Spend!O242*'State Efficiency Ratios'!$C$655</f>
        <v>0</v>
      </c>
    </row>
    <row r="243" spans="1:40" ht="13.5" thickBot="1">
      <c r="A243" s="885"/>
      <c r="B243" s="885"/>
      <c r="C243" s="194" t="s">
        <v>614</v>
      </c>
      <c r="D243" s="206"/>
      <c r="E243" s="207"/>
      <c r="F243" s="209"/>
      <c r="G243" s="206"/>
      <c r="H243" s="206"/>
      <c r="I243" s="207"/>
      <c r="J243" s="209"/>
      <c r="K243" s="206"/>
      <c r="L243" s="206"/>
      <c r="M243" s="207"/>
      <c r="N243" s="277"/>
      <c r="O243" s="278">
        <f>(O253-J253)/5/$C$675/Spend!O243*'State Efficiency Ratios'!$C$655</f>
        <v>0</v>
      </c>
      <c r="P243" s="278"/>
      <c r="Q243" s="279"/>
      <c r="R243" s="277"/>
      <c r="S243" s="278"/>
      <c r="T243" s="278"/>
      <c r="U243" s="278">
        <f>(U253-O253)/6/$C$675/Spend!U243*'State Efficiency Ratios'!$C$655</f>
        <v>24.113872748363743</v>
      </c>
      <c r="V243" s="277"/>
      <c r="W243" s="278"/>
      <c r="X243" s="278"/>
      <c r="Y243" s="278">
        <f>(Y253-U253)/4/$C$675/Spend!Y243*'State Efficiency Ratios'!$C$655</f>
        <v>457.60740001706222</v>
      </c>
      <c r="Z243" s="277"/>
      <c r="AA243" s="278"/>
      <c r="AB243" s="278"/>
      <c r="AC243" s="278">
        <f>(AC253-Y253)/4/$C$675/Spend!AC243*'State Efficiency Ratios'!$C$655</f>
        <v>-458.02684410513507</v>
      </c>
      <c r="AD243" s="277"/>
      <c r="AE243" s="280"/>
      <c r="AG243" s="295"/>
      <c r="AN243" s="385">
        <f>(O253-J253)/7/$C$673/Spend!O243*'State Efficiency Ratios'!$C$655</f>
        <v>0</v>
      </c>
    </row>
    <row r="244" spans="1:40" ht="12.95" customHeight="1" thickBot="1">
      <c r="A244" s="885"/>
      <c r="B244" s="885"/>
      <c r="C244" s="194" t="s">
        <v>615</v>
      </c>
      <c r="D244" s="210"/>
      <c r="E244" s="211"/>
      <c r="F244" s="209"/>
      <c r="G244" s="210"/>
      <c r="H244" s="210"/>
      <c r="I244" s="211"/>
      <c r="J244" s="209"/>
      <c r="K244" s="210"/>
      <c r="L244" s="210"/>
      <c r="M244" s="211"/>
      <c r="N244" s="281"/>
      <c r="O244" s="282"/>
      <c r="P244" s="282"/>
      <c r="Q244" s="282"/>
      <c r="R244" s="277"/>
      <c r="S244" s="278"/>
      <c r="T244" s="278"/>
      <c r="U244" s="278">
        <f>(U254-R254)/3/$C$675/Spend!U244*'State Efficiency Ratios'!$C$655</f>
        <v>0</v>
      </c>
      <c r="V244" s="277"/>
      <c r="W244" s="278"/>
      <c r="X244" s="278"/>
      <c r="Y244" s="278">
        <f>(Y254-U254)/4/$C$675/Spend!Y244*'State Efficiency Ratios'!$C$655</f>
        <v>120.56239450335494</v>
      </c>
      <c r="Z244" s="277"/>
      <c r="AA244" s="278"/>
      <c r="AB244" s="278"/>
      <c r="AC244" s="278">
        <f>(AC254-Y254)/4/$C$675/Spend!AC244*'State Efficiency Ratios'!$C$655</f>
        <v>-109.28631084704124</v>
      </c>
      <c r="AD244" s="277"/>
      <c r="AE244" s="280"/>
      <c r="AG244" s="295"/>
      <c r="AN244" s="385">
        <f>(Y254-R254)/7/$C$673/(Spend!U244+Spend!Y244)*'State Efficiency Ratios'!$C$655</f>
        <v>64.415726644149942</v>
      </c>
    </row>
    <row r="245" spans="1:40" ht="12.95" customHeight="1" thickBot="1">
      <c r="A245" s="885"/>
      <c r="B245" s="885"/>
      <c r="C245" s="194" t="s">
        <v>616</v>
      </c>
      <c r="D245" s="210"/>
      <c r="E245" s="211"/>
      <c r="F245" s="209"/>
      <c r="G245" s="210"/>
      <c r="H245" s="210"/>
      <c r="I245" s="211"/>
      <c r="J245" s="209"/>
      <c r="K245" s="210"/>
      <c r="L245" s="210"/>
      <c r="M245" s="211"/>
      <c r="N245" s="281"/>
      <c r="O245" s="282"/>
      <c r="P245" s="282"/>
      <c r="Q245" s="282"/>
      <c r="R245" s="277"/>
      <c r="S245" s="278"/>
      <c r="T245" s="278"/>
      <c r="U245" s="278">
        <f>(U255-R255)/3/$C$675/Spend!U245*'State Efficiency Ratios'!$C$655</f>
        <v>0</v>
      </c>
      <c r="V245" s="277"/>
      <c r="W245" s="278"/>
      <c r="X245" s="278"/>
      <c r="Y245" s="278">
        <f>(Y255-U255)/4/$C$675/Spend!Y245*'State Efficiency Ratios'!$C$655</f>
        <v>0</v>
      </c>
      <c r="Z245" s="277"/>
      <c r="AA245" s="278"/>
      <c r="AB245" s="278"/>
      <c r="AC245" s="278">
        <f>(AC255-Y255)/4/$C$675/Spend!AC245*'State Efficiency Ratios'!$C$655</f>
        <v>0</v>
      </c>
      <c r="AD245" s="277"/>
      <c r="AE245" s="280"/>
      <c r="AG245" s="295"/>
      <c r="AN245" s="385">
        <f>(Y255-R255)/7/$C$673/(Spend!U245+Spend!Y245)*'State Efficiency Ratios'!$C$655</f>
        <v>0</v>
      </c>
    </row>
    <row r="246" spans="1:40" ht="12.95" customHeight="1" thickBot="1">
      <c r="A246" s="885"/>
      <c r="B246" s="885"/>
      <c r="C246" s="194" t="s">
        <v>617</v>
      </c>
      <c r="D246" s="210"/>
      <c r="E246" s="211"/>
      <c r="F246" s="209"/>
      <c r="G246" s="210"/>
      <c r="H246" s="210"/>
      <c r="I246" s="211"/>
      <c r="J246" s="209"/>
      <c r="K246" s="210"/>
      <c r="L246" s="210"/>
      <c r="M246" s="211"/>
      <c r="N246" s="281"/>
      <c r="O246" s="282"/>
      <c r="P246" s="282"/>
      <c r="Q246" s="282"/>
      <c r="R246" s="277"/>
      <c r="S246" s="278"/>
      <c r="T246" s="278"/>
      <c r="U246" s="278">
        <f>(U256-R256)/3/$C$675/Spend!U246*'State Efficiency Ratios'!$C$655</f>
        <v>0</v>
      </c>
      <c r="V246" s="277"/>
      <c r="W246" s="278"/>
      <c r="X246" s="278"/>
      <c r="Y246" s="278">
        <f>(Y256-U256)/4/$C$675/Spend!Y246*'State Efficiency Ratios'!$C$655</f>
        <v>361.38238296022985</v>
      </c>
      <c r="Z246" s="277"/>
      <c r="AA246" s="278"/>
      <c r="AB246" s="278"/>
      <c r="AC246" s="278">
        <f>(AC256-Y256)/4/$C$675/Spend!AC246*'State Efficiency Ratios'!$C$655</f>
        <v>-285.93102775984386</v>
      </c>
      <c r="AD246" s="277"/>
      <c r="AE246" s="280"/>
      <c r="AG246" s="295"/>
      <c r="AN246" s="385">
        <f>(Y256-R256)/7/$C$673/(Spend!U246+Spend!Y246)*'State Efficiency Ratios'!$C$655</f>
        <v>189.58085618930357</v>
      </c>
    </row>
    <row r="247" spans="1:40" ht="12.95" customHeight="1" thickBot="1">
      <c r="A247" s="885"/>
      <c r="B247" s="885"/>
      <c r="C247" s="194" t="s">
        <v>618</v>
      </c>
      <c r="D247" s="210"/>
      <c r="E247" s="211"/>
      <c r="F247" s="209"/>
      <c r="G247" s="210"/>
      <c r="H247" s="210"/>
      <c r="I247" s="211"/>
      <c r="J247" s="209"/>
      <c r="K247" s="210"/>
      <c r="L247" s="210"/>
      <c r="M247" s="211"/>
      <c r="N247" s="281"/>
      <c r="O247" s="282"/>
      <c r="P247" s="282"/>
      <c r="Q247" s="283"/>
      <c r="R247" s="281"/>
      <c r="S247" s="282"/>
      <c r="T247" s="282"/>
      <c r="U247" s="283"/>
      <c r="V247" s="281"/>
      <c r="W247" s="282"/>
      <c r="X247" s="282"/>
      <c r="Y247" s="283"/>
      <c r="Z247" s="277"/>
      <c r="AA247" s="278"/>
      <c r="AB247" s="278"/>
      <c r="AC247" s="278">
        <f>(AC257-Y257)/4/$C$675/Spend!AC247*'State Efficiency Ratios'!$C$655</f>
        <v>0</v>
      </c>
      <c r="AD247" s="277"/>
      <c r="AE247" s="280"/>
      <c r="AG247" s="295"/>
    </row>
    <row r="248" spans="1:40" ht="12.95" customHeight="1" thickBot="1">
      <c r="A248" s="885"/>
      <c r="B248" s="885"/>
      <c r="C248" s="194" t="s">
        <v>619</v>
      </c>
      <c r="D248" s="210"/>
      <c r="E248" s="211"/>
      <c r="F248" s="209"/>
      <c r="G248" s="210"/>
      <c r="H248" s="210"/>
      <c r="I248" s="211"/>
      <c r="J248" s="209"/>
      <c r="K248" s="210"/>
      <c r="L248" s="210"/>
      <c r="M248" s="211"/>
      <c r="N248" s="281"/>
      <c r="O248" s="282"/>
      <c r="P248" s="282"/>
      <c r="Q248" s="283"/>
      <c r="R248" s="281"/>
      <c r="S248" s="282"/>
      <c r="T248" s="282"/>
      <c r="U248" s="283"/>
      <c r="V248" s="281"/>
      <c r="W248" s="282"/>
      <c r="X248" s="282"/>
      <c r="Y248" s="283"/>
      <c r="Z248" s="277"/>
      <c r="AA248" s="278"/>
      <c r="AB248" s="278"/>
      <c r="AC248" s="278">
        <f>(AC258-Y258)/4/$C$675/Spend!AC248*'State Efficiency Ratios'!$C$655</f>
        <v>0</v>
      </c>
      <c r="AD248" s="277"/>
      <c r="AE248" s="280"/>
      <c r="AG248" s="295"/>
    </row>
    <row r="249" spans="1:40" ht="12.95" customHeight="1" thickBot="1">
      <c r="A249" s="885"/>
      <c r="B249" s="885"/>
      <c r="C249" s="9" t="s">
        <v>295</v>
      </c>
      <c r="D249" s="241" t="s">
        <v>632</v>
      </c>
      <c r="E249" s="241" t="s">
        <v>632</v>
      </c>
      <c r="F249" s="243" t="s">
        <v>646</v>
      </c>
      <c r="G249" s="241" t="s">
        <v>646</v>
      </c>
      <c r="H249" s="241" t="s">
        <v>646</v>
      </c>
      <c r="I249" s="244" t="s">
        <v>646</v>
      </c>
      <c r="J249" s="195">
        <f>'State DisAgg LFx10 (2015)'!D239</f>
        <v>0</v>
      </c>
      <c r="K249" s="196"/>
      <c r="L249" s="196"/>
      <c r="M249" s="197"/>
      <c r="N249" s="195"/>
      <c r="O249" s="196">
        <f>'State DisAgg LFx10 (2015)'!H239</f>
        <v>0</v>
      </c>
      <c r="P249" s="196"/>
      <c r="Q249" s="197"/>
      <c r="R249" s="195"/>
      <c r="S249" s="196"/>
      <c r="T249" s="196"/>
      <c r="U249" s="197">
        <f>'State DisAgg LFx10 (2015)'!L249</f>
        <v>1</v>
      </c>
      <c r="V249" s="195"/>
      <c r="W249" s="196"/>
      <c r="X249" s="196"/>
      <c r="Y249" s="197">
        <f>'State DisAgg LFx10 (2015)'!P249</f>
        <v>6</v>
      </c>
      <c r="Z249" s="195"/>
      <c r="AA249" s="196"/>
      <c r="AB249" s="196"/>
      <c r="AC249" s="197">
        <f>'State DisAgg LFx10 (2015)'!T249</f>
        <v>0</v>
      </c>
      <c r="AD249" s="195"/>
      <c r="AE249" s="197"/>
      <c r="AH249" s="354">
        <f>Y249-U249</f>
        <v>5</v>
      </c>
      <c r="AI249" s="354">
        <f>U249-O249</f>
        <v>1</v>
      </c>
      <c r="AJ249" s="354">
        <f t="shared" ref="AJ249:AJ260" si="43">O249-J249</f>
        <v>0</v>
      </c>
      <c r="AN249" s="384">
        <f>(O249-J249)</f>
        <v>0</v>
      </c>
    </row>
    <row r="250" spans="1:40" ht="12.95" customHeight="1" thickBot="1">
      <c r="A250" s="885"/>
      <c r="B250" s="885"/>
      <c r="C250" s="9" t="s">
        <v>296</v>
      </c>
      <c r="D250" s="241" t="s">
        <v>632</v>
      </c>
      <c r="E250" s="241" t="s">
        <v>632</v>
      </c>
      <c r="F250" s="243" t="s">
        <v>646</v>
      </c>
      <c r="G250" s="241" t="s">
        <v>646</v>
      </c>
      <c r="H250" s="241" t="s">
        <v>646</v>
      </c>
      <c r="I250" s="244" t="s">
        <v>646</v>
      </c>
      <c r="J250" s="195">
        <f>'State DisAgg LFx10 (2015)'!D240</f>
        <v>0</v>
      </c>
      <c r="K250" s="196"/>
      <c r="L250" s="196"/>
      <c r="M250" s="197"/>
      <c r="N250" s="195"/>
      <c r="O250" s="196">
        <f>'State DisAgg LFx10 (2015)'!H240</f>
        <v>5</v>
      </c>
      <c r="P250" s="196"/>
      <c r="Q250" s="197"/>
      <c r="R250" s="195"/>
      <c r="S250" s="196"/>
      <c r="T250" s="196"/>
      <c r="U250" s="197">
        <f>'State DisAgg LFx10 (2015)'!L250</f>
        <v>2</v>
      </c>
      <c r="V250" s="195"/>
      <c r="W250" s="196"/>
      <c r="X250" s="196"/>
      <c r="Y250" s="197">
        <f>'State DisAgg LFx10 (2015)'!P250</f>
        <v>7</v>
      </c>
      <c r="Z250" s="195"/>
      <c r="AA250" s="196"/>
      <c r="AB250" s="196"/>
      <c r="AC250" s="197">
        <f>'State DisAgg LFx10 (2015)'!T250</f>
        <v>0</v>
      </c>
      <c r="AD250" s="195"/>
      <c r="AE250" s="197"/>
      <c r="AH250" s="354">
        <f t="shared" ref="AH250:AH260" si="44">Y250-U250</f>
        <v>5</v>
      </c>
      <c r="AI250" s="354">
        <f>U250-O250</f>
        <v>-3</v>
      </c>
      <c r="AJ250" s="354">
        <f t="shared" si="43"/>
        <v>5</v>
      </c>
      <c r="AN250" s="384">
        <f t="shared" ref="AN250:AN253" si="45">(O250-J250)</f>
        <v>5</v>
      </c>
    </row>
    <row r="251" spans="1:40" ht="13.5" thickBot="1">
      <c r="A251" s="885"/>
      <c r="B251" s="885"/>
      <c r="C251" s="9" t="s">
        <v>297</v>
      </c>
      <c r="D251" s="241" t="s">
        <v>632</v>
      </c>
      <c r="E251" s="241" t="s">
        <v>632</v>
      </c>
      <c r="F251" s="243" t="s">
        <v>646</v>
      </c>
      <c r="G251" s="241" t="s">
        <v>646</v>
      </c>
      <c r="H251" s="241" t="s">
        <v>646</v>
      </c>
      <c r="I251" s="244" t="s">
        <v>646</v>
      </c>
      <c r="J251" s="195">
        <f>'State DisAgg LFx10 (2015)'!D241</f>
        <v>0</v>
      </c>
      <c r="K251" s="196"/>
      <c r="L251" s="196"/>
      <c r="M251" s="197"/>
      <c r="N251" s="195"/>
      <c r="O251" s="196">
        <f>'State DisAgg LFx10 (2015)'!H241</f>
        <v>2</v>
      </c>
      <c r="P251" s="196"/>
      <c r="Q251" s="197"/>
      <c r="R251" s="195"/>
      <c r="S251" s="196"/>
      <c r="T251" s="196"/>
      <c r="U251" s="197">
        <f>'State DisAgg LFx10 (2015)'!L251</f>
        <v>4</v>
      </c>
      <c r="V251" s="195"/>
      <c r="W251" s="196"/>
      <c r="X251" s="196"/>
      <c r="Y251" s="197">
        <f>'State DisAgg LFx10 (2015)'!P251</f>
        <v>7</v>
      </c>
      <c r="Z251" s="195"/>
      <c r="AA251" s="196"/>
      <c r="AB251" s="196"/>
      <c r="AC251" s="197">
        <f>'State DisAgg LFx10 (2015)'!T251</f>
        <v>0</v>
      </c>
      <c r="AD251" s="195"/>
      <c r="AE251" s="197"/>
      <c r="AH251" s="354">
        <f t="shared" si="44"/>
        <v>3</v>
      </c>
      <c r="AI251" s="354">
        <f>U251-O251</f>
        <v>2</v>
      </c>
      <c r="AJ251" s="354">
        <f t="shared" si="43"/>
        <v>2</v>
      </c>
      <c r="AN251" s="384">
        <f t="shared" si="45"/>
        <v>2</v>
      </c>
    </row>
    <row r="252" spans="1:40" ht="13.5" thickBot="1">
      <c r="A252" s="885"/>
      <c r="B252" s="885"/>
      <c r="C252" s="9" t="s">
        <v>298</v>
      </c>
      <c r="D252" s="241" t="s">
        <v>632</v>
      </c>
      <c r="E252" s="241" t="s">
        <v>632</v>
      </c>
      <c r="F252" s="243" t="s">
        <v>646</v>
      </c>
      <c r="G252" s="241" t="s">
        <v>646</v>
      </c>
      <c r="H252" s="241" t="s">
        <v>646</v>
      </c>
      <c r="I252" s="244" t="s">
        <v>646</v>
      </c>
      <c r="J252" s="195">
        <f>'State DisAgg LFx10 (2015)'!D242</f>
        <v>1</v>
      </c>
      <c r="K252" s="196"/>
      <c r="L252" s="196"/>
      <c r="M252" s="197"/>
      <c r="N252" s="195"/>
      <c r="O252" s="196">
        <f>'State DisAgg LFx10 (2015)'!H242</f>
        <v>1</v>
      </c>
      <c r="P252" s="196"/>
      <c r="Q252" s="197"/>
      <c r="R252" s="195"/>
      <c r="S252" s="196"/>
      <c r="T252" s="196"/>
      <c r="U252" s="197">
        <f>'State DisAgg LFx10 (2015)'!L252</f>
        <v>3</v>
      </c>
      <c r="V252" s="195"/>
      <c r="W252" s="196"/>
      <c r="X252" s="196"/>
      <c r="Y252" s="197">
        <f>'State DisAgg LFx10 (2015)'!P252</f>
        <v>8</v>
      </c>
      <c r="Z252" s="195"/>
      <c r="AA252" s="196"/>
      <c r="AB252" s="196"/>
      <c r="AC252" s="197">
        <f>'State DisAgg LFx10 (2015)'!T252</f>
        <v>0</v>
      </c>
      <c r="AD252" s="195"/>
      <c r="AE252" s="197"/>
      <c r="AH252" s="354">
        <f t="shared" si="44"/>
        <v>5</v>
      </c>
      <c r="AI252" s="354">
        <f>U252-O252</f>
        <v>2</v>
      </c>
      <c r="AJ252" s="354">
        <f t="shared" si="43"/>
        <v>0</v>
      </c>
      <c r="AN252" s="384">
        <f t="shared" si="45"/>
        <v>0</v>
      </c>
    </row>
    <row r="253" spans="1:40" ht="13.5" thickBot="1">
      <c r="A253" s="885"/>
      <c r="B253" s="885"/>
      <c r="C253" s="9" t="s">
        <v>299</v>
      </c>
      <c r="D253" s="241" t="s">
        <v>632</v>
      </c>
      <c r="E253" s="241" t="s">
        <v>632</v>
      </c>
      <c r="F253" s="243" t="s">
        <v>646</v>
      </c>
      <c r="G253" s="241" t="s">
        <v>646</v>
      </c>
      <c r="H253" s="241" t="s">
        <v>646</v>
      </c>
      <c r="I253" s="244" t="s">
        <v>646</v>
      </c>
      <c r="J253" s="195">
        <f>'State DisAgg LFx10 (2015)'!D243</f>
        <v>0</v>
      </c>
      <c r="K253" s="196"/>
      <c r="L253" s="196"/>
      <c r="M253" s="197"/>
      <c r="N253" s="195"/>
      <c r="O253" s="196">
        <f>'State DisAgg LFx10 (2015)'!H243</f>
        <v>0</v>
      </c>
      <c r="P253" s="196"/>
      <c r="Q253" s="197"/>
      <c r="R253" s="195"/>
      <c r="S253" s="196"/>
      <c r="T253" s="196"/>
      <c r="U253" s="197">
        <f>'State DisAgg LFx10 (2015)'!L253</f>
        <v>1</v>
      </c>
      <c r="V253" s="195"/>
      <c r="W253" s="196"/>
      <c r="X253" s="196"/>
      <c r="Y253" s="197">
        <f>'State DisAgg LFx10 (2015)'!P253</f>
        <v>6</v>
      </c>
      <c r="Z253" s="195"/>
      <c r="AA253" s="196"/>
      <c r="AB253" s="196"/>
      <c r="AC253" s="197">
        <f>'State DisAgg LFx10 (2015)'!T253</f>
        <v>0</v>
      </c>
      <c r="AD253" s="195"/>
      <c r="AE253" s="197"/>
      <c r="AH253" s="354">
        <f t="shared" si="44"/>
        <v>5</v>
      </c>
      <c r="AI253" s="354">
        <f>U253-O253</f>
        <v>1</v>
      </c>
      <c r="AJ253" s="354">
        <f t="shared" si="43"/>
        <v>0</v>
      </c>
      <c r="AN253" s="384">
        <f t="shared" si="45"/>
        <v>0</v>
      </c>
    </row>
    <row r="254" spans="1:40" ht="13.5" thickBot="1">
      <c r="A254" s="885"/>
      <c r="B254" s="885"/>
      <c r="C254" s="9" t="s">
        <v>300</v>
      </c>
      <c r="D254" s="199"/>
      <c r="E254" s="200"/>
      <c r="F254" s="201"/>
      <c r="G254" s="199"/>
      <c r="H254" s="199"/>
      <c r="I254" s="200"/>
      <c r="J254" s="201"/>
      <c r="K254" s="199"/>
      <c r="L254" s="199"/>
      <c r="M254" s="200"/>
      <c r="N254" s="198"/>
      <c r="O254" s="217" t="s">
        <v>634</v>
      </c>
      <c r="P254" s="241" t="s">
        <v>632</v>
      </c>
      <c r="Q254" s="244" t="s">
        <v>646</v>
      </c>
      <c r="R254" s="195">
        <f>'State DisAgg LFx10 (2015)'!H244</f>
        <v>0</v>
      </c>
      <c r="S254" s="196"/>
      <c r="T254" s="196"/>
      <c r="U254" s="197">
        <f>'State DisAgg LFx10 (2015)'!L254</f>
        <v>0</v>
      </c>
      <c r="V254" s="195"/>
      <c r="W254" s="196"/>
      <c r="X254" s="196"/>
      <c r="Y254" s="197">
        <f>'State DisAgg LFx10 (2015)'!P254</f>
        <v>1</v>
      </c>
      <c r="Z254" s="195"/>
      <c r="AA254" s="196"/>
      <c r="AB254" s="196"/>
      <c r="AC254" s="197">
        <f>'State DisAgg LFx10 (2015)'!T254</f>
        <v>0</v>
      </c>
      <c r="AD254" s="195"/>
      <c r="AE254" s="197"/>
      <c r="AH254" s="354">
        <f t="shared" si="44"/>
        <v>1</v>
      </c>
      <c r="AI254" s="354">
        <f>U254-R254</f>
        <v>0</v>
      </c>
      <c r="AJ254" s="354" t="e">
        <f t="shared" si="43"/>
        <v>#VALUE!</v>
      </c>
      <c r="AN254" s="384">
        <f>(Y254-R254)</f>
        <v>1</v>
      </c>
    </row>
    <row r="255" spans="1:40" ht="13.5" thickBot="1">
      <c r="A255" s="885"/>
      <c r="B255" s="885"/>
      <c r="C255" s="9" t="s">
        <v>301</v>
      </c>
      <c r="D255" s="199"/>
      <c r="E255" s="200"/>
      <c r="F255" s="201"/>
      <c r="G255" s="199"/>
      <c r="H255" s="199"/>
      <c r="I255" s="200"/>
      <c r="J255" s="201"/>
      <c r="K255" s="199"/>
      <c r="L255" s="199"/>
      <c r="M255" s="200"/>
      <c r="N255" s="198"/>
      <c r="O255" s="217" t="s">
        <v>634</v>
      </c>
      <c r="P255" s="241" t="s">
        <v>632</v>
      </c>
      <c r="Q255" s="244" t="s">
        <v>646</v>
      </c>
      <c r="R255" s="195">
        <f>'State DisAgg LFx10 (2015)'!H245</f>
        <v>0</v>
      </c>
      <c r="S255" s="196"/>
      <c r="T255" s="196"/>
      <c r="U255" s="197">
        <f>'State DisAgg LFx10 (2015)'!L255</f>
        <v>0</v>
      </c>
      <c r="V255" s="195"/>
      <c r="W255" s="196"/>
      <c r="X255" s="196"/>
      <c r="Y255" s="197">
        <f>'State DisAgg LFx10 (2015)'!P255</f>
        <v>0</v>
      </c>
      <c r="Z255" s="195"/>
      <c r="AA255" s="196"/>
      <c r="AB255" s="196"/>
      <c r="AC255" s="197">
        <f>'State DisAgg LFx10 (2015)'!T255</f>
        <v>0</v>
      </c>
      <c r="AD255" s="195"/>
      <c r="AE255" s="197"/>
      <c r="AH255" s="354">
        <f t="shared" si="44"/>
        <v>0</v>
      </c>
      <c r="AI255" s="354">
        <f t="shared" ref="AI255:AI256" si="46">U255-R255</f>
        <v>0</v>
      </c>
      <c r="AJ255" s="354" t="e">
        <f t="shared" si="43"/>
        <v>#VALUE!</v>
      </c>
      <c r="AN255" s="384">
        <f t="shared" ref="AN255:AN256" si="47">(Y255-R255)</f>
        <v>0</v>
      </c>
    </row>
    <row r="256" spans="1:40" ht="13.5" thickBot="1">
      <c r="A256" s="885"/>
      <c r="B256" s="885"/>
      <c r="C256" s="9" t="s">
        <v>302</v>
      </c>
      <c r="D256" s="199"/>
      <c r="E256" s="200"/>
      <c r="F256" s="201"/>
      <c r="G256" s="199"/>
      <c r="H256" s="199"/>
      <c r="I256" s="200"/>
      <c r="J256" s="201"/>
      <c r="K256" s="199"/>
      <c r="L256" s="199"/>
      <c r="M256" s="200"/>
      <c r="N256" s="198"/>
      <c r="O256" s="217" t="s">
        <v>634</v>
      </c>
      <c r="P256" s="241" t="s">
        <v>632</v>
      </c>
      <c r="Q256" s="244" t="s">
        <v>646</v>
      </c>
      <c r="R256" s="195">
        <f>'State DisAgg LFx10 (2015)'!H246</f>
        <v>0</v>
      </c>
      <c r="S256" s="196"/>
      <c r="T256" s="196"/>
      <c r="U256" s="197">
        <f>'State DisAgg LFx10 (2015)'!L256</f>
        <v>0</v>
      </c>
      <c r="V256" s="195"/>
      <c r="W256" s="196"/>
      <c r="X256" s="196"/>
      <c r="Y256" s="197">
        <f>'State DisAgg LFx10 (2015)'!P256</f>
        <v>3</v>
      </c>
      <c r="Z256" s="195"/>
      <c r="AA256" s="196"/>
      <c r="AB256" s="196"/>
      <c r="AC256" s="197">
        <f>'State DisAgg LFx10 (2015)'!T256</f>
        <v>0</v>
      </c>
      <c r="AD256" s="195"/>
      <c r="AE256" s="197"/>
      <c r="AH256" s="354">
        <f t="shared" si="44"/>
        <v>3</v>
      </c>
      <c r="AI256" s="354">
        <f t="shared" si="46"/>
        <v>0</v>
      </c>
      <c r="AJ256" s="354" t="e">
        <f t="shared" si="43"/>
        <v>#VALUE!</v>
      </c>
      <c r="AN256" s="384">
        <f t="shared" si="47"/>
        <v>3</v>
      </c>
    </row>
    <row r="257" spans="1:41" ht="13.5" thickBot="1">
      <c r="A257" s="885"/>
      <c r="B257" s="885"/>
      <c r="C257" s="9" t="s">
        <v>303</v>
      </c>
      <c r="D257" s="202"/>
      <c r="E257" s="203"/>
      <c r="F257" s="201"/>
      <c r="G257" s="202"/>
      <c r="H257" s="202"/>
      <c r="I257" s="203"/>
      <c r="J257" s="201"/>
      <c r="K257" s="202"/>
      <c r="L257" s="202"/>
      <c r="M257" s="203"/>
      <c r="N257" s="204"/>
      <c r="O257" s="214"/>
      <c r="P257" s="205"/>
      <c r="Q257" s="205"/>
      <c r="R257" s="201"/>
      <c r="S257" s="202"/>
      <c r="T257" s="202"/>
      <c r="U257" s="203"/>
      <c r="V257" s="242"/>
      <c r="W257" s="217" t="s">
        <v>633</v>
      </c>
      <c r="X257" s="241" t="s">
        <v>632</v>
      </c>
      <c r="Y257" s="197">
        <f>'State DisAgg LFx10 (2015)'!P247</f>
        <v>0</v>
      </c>
      <c r="Z257" s="195"/>
      <c r="AA257" s="196"/>
      <c r="AB257" s="196"/>
      <c r="AC257" s="197">
        <f>'State DisAgg LFx10 (2015)'!T257</f>
        <v>0</v>
      </c>
      <c r="AD257" s="195"/>
      <c r="AE257" s="197"/>
      <c r="AH257" s="354">
        <f t="shared" si="44"/>
        <v>0</v>
      </c>
      <c r="AI257" s="354">
        <f>U257-O257</f>
        <v>0</v>
      </c>
      <c r="AJ257" s="354">
        <f t="shared" si="43"/>
        <v>0</v>
      </c>
    </row>
    <row r="258" spans="1:41" ht="13.5" thickBot="1">
      <c r="A258" s="869"/>
      <c r="B258" s="869"/>
      <c r="C258" s="9" t="s">
        <v>304</v>
      </c>
      <c r="D258" s="202"/>
      <c r="E258" s="203"/>
      <c r="F258" s="201"/>
      <c r="G258" s="202"/>
      <c r="H258" s="202"/>
      <c r="I258" s="203"/>
      <c r="J258" s="201"/>
      <c r="K258" s="202"/>
      <c r="L258" s="202"/>
      <c r="M258" s="203"/>
      <c r="N258" s="204"/>
      <c r="O258" s="205"/>
      <c r="P258" s="205"/>
      <c r="Q258" s="205"/>
      <c r="R258" s="201"/>
      <c r="S258" s="202"/>
      <c r="T258" s="202"/>
      <c r="U258" s="203"/>
      <c r="V258" s="242"/>
      <c r="W258" s="217" t="s">
        <v>633</v>
      </c>
      <c r="X258" s="241" t="s">
        <v>632</v>
      </c>
      <c r="Y258" s="197">
        <f>'State DisAgg LFx10 (2015)'!P248</f>
        <v>0</v>
      </c>
      <c r="Z258" s="195"/>
      <c r="AA258" s="196"/>
      <c r="AB258" s="196"/>
      <c r="AC258" s="197">
        <f>'State DisAgg LFx10 (2015)'!T258</f>
        <v>0</v>
      </c>
      <c r="AD258" s="195"/>
      <c r="AE258" s="197"/>
      <c r="AH258" s="354">
        <f t="shared" si="44"/>
        <v>0</v>
      </c>
      <c r="AI258" s="354">
        <f>U258-O258</f>
        <v>0</v>
      </c>
      <c r="AJ258" s="354">
        <f t="shared" si="43"/>
        <v>0</v>
      </c>
    </row>
    <row r="259" spans="1:41" ht="12.95" hidden="1" customHeight="1" thickBot="1">
      <c r="A259" s="231"/>
      <c r="B259" s="231"/>
      <c r="C259" s="231"/>
      <c r="D259" s="232"/>
      <c r="E259" s="233"/>
      <c r="F259" s="234"/>
      <c r="G259" s="232"/>
      <c r="H259" s="232"/>
      <c r="I259" s="233"/>
      <c r="J259" s="234"/>
      <c r="K259" s="232"/>
      <c r="L259" s="232"/>
      <c r="M259" s="233"/>
      <c r="N259" s="234"/>
      <c r="O259" s="232"/>
      <c r="P259" s="232"/>
      <c r="Q259" s="233"/>
      <c r="R259" s="234"/>
      <c r="S259" s="232"/>
      <c r="T259" s="232"/>
      <c r="U259" s="233"/>
      <c r="V259" s="234"/>
      <c r="W259" s="232"/>
      <c r="X259" s="232"/>
      <c r="Y259" s="233"/>
      <c r="Z259" s="234"/>
      <c r="AA259" s="232"/>
      <c r="AB259" s="232"/>
      <c r="AC259" s="233"/>
      <c r="AD259" s="234"/>
      <c r="AE259" s="233"/>
      <c r="AH259" s="354">
        <f t="shared" si="44"/>
        <v>0</v>
      </c>
      <c r="AI259" s="354">
        <f>U259-O259</f>
        <v>0</v>
      </c>
      <c r="AJ259" s="354">
        <f t="shared" si="43"/>
        <v>0</v>
      </c>
    </row>
    <row r="260" spans="1:41" ht="12.95" hidden="1" customHeight="1" thickBot="1">
      <c r="A260" s="231"/>
      <c r="B260" s="231"/>
      <c r="C260" s="231"/>
      <c r="D260" s="232"/>
      <c r="E260" s="233"/>
      <c r="F260" s="234"/>
      <c r="G260" s="232"/>
      <c r="H260" s="232"/>
      <c r="I260" s="233"/>
      <c r="J260" s="234"/>
      <c r="K260" s="232"/>
      <c r="L260" s="232"/>
      <c r="M260" s="233"/>
      <c r="N260" s="234"/>
      <c r="O260" s="232"/>
      <c r="P260" s="232"/>
      <c r="Q260" s="233"/>
      <c r="R260" s="234"/>
      <c r="S260" s="232"/>
      <c r="T260" s="232"/>
      <c r="U260" s="233"/>
      <c r="V260" s="234"/>
      <c r="W260" s="232"/>
      <c r="X260" s="232"/>
      <c r="Y260" s="233"/>
      <c r="Z260" s="234"/>
      <c r="AA260" s="232"/>
      <c r="AB260" s="232"/>
      <c r="AC260" s="233"/>
      <c r="AD260" s="234"/>
      <c r="AE260" s="233"/>
      <c r="AH260" s="354">
        <f t="shared" si="44"/>
        <v>0</v>
      </c>
      <c r="AI260" s="354">
        <f>U260-O260</f>
        <v>0</v>
      </c>
      <c r="AJ260" s="354">
        <f t="shared" si="43"/>
        <v>0</v>
      </c>
    </row>
    <row r="261" spans="1:41" ht="12.95" hidden="1" customHeight="1" thickBot="1">
      <c r="A261" s="231"/>
      <c r="B261" s="231"/>
      <c r="C261" s="231"/>
      <c r="D261" s="232"/>
      <c r="E261" s="233"/>
      <c r="F261" s="234"/>
      <c r="G261" s="232"/>
      <c r="H261" s="232"/>
      <c r="I261" s="233"/>
      <c r="J261" s="234"/>
      <c r="K261" s="232"/>
      <c r="L261" s="232"/>
      <c r="M261" s="233"/>
      <c r="N261" s="234"/>
      <c r="O261" s="232"/>
      <c r="P261" s="232"/>
      <c r="Q261" s="233"/>
      <c r="R261" s="234"/>
      <c r="S261" s="232"/>
      <c r="T261" s="232"/>
      <c r="U261" s="233"/>
      <c r="V261" s="234"/>
      <c r="W261" s="232"/>
      <c r="X261" s="232"/>
      <c r="Y261" s="233"/>
      <c r="Z261" s="234"/>
      <c r="AA261" s="232"/>
      <c r="AB261" s="232"/>
      <c r="AC261" s="233"/>
      <c r="AD261" s="234"/>
      <c r="AE261" s="233"/>
    </row>
    <row r="262" spans="1:41" ht="12.95" hidden="1" customHeight="1" thickBot="1">
      <c r="A262" s="231"/>
      <c r="B262" s="231"/>
      <c r="C262" s="231"/>
      <c r="D262" s="232"/>
      <c r="E262" s="233"/>
      <c r="F262" s="234"/>
      <c r="G262" s="232"/>
      <c r="H262" s="232"/>
      <c r="I262" s="233"/>
      <c r="J262" s="234"/>
      <c r="K262" s="232"/>
      <c r="L262" s="232"/>
      <c r="M262" s="233"/>
      <c r="N262" s="234"/>
      <c r="O262" s="232"/>
      <c r="P262" s="232"/>
      <c r="Q262" s="233"/>
      <c r="R262" s="234"/>
      <c r="S262" s="232"/>
      <c r="T262" s="232"/>
      <c r="U262" s="233"/>
      <c r="V262" s="234"/>
      <c r="W262" s="232"/>
      <c r="X262" s="232"/>
      <c r="Y262" s="233"/>
      <c r="Z262" s="234"/>
      <c r="AA262" s="232"/>
      <c r="AB262" s="232"/>
      <c r="AC262" s="233"/>
      <c r="AD262" s="234"/>
      <c r="AE262" s="233"/>
    </row>
    <row r="263" spans="1:41" ht="12.95" hidden="1" customHeight="1" thickBot="1">
      <c r="A263" s="231"/>
      <c r="B263" s="231"/>
      <c r="C263" s="231"/>
      <c r="D263" s="232"/>
      <c r="E263" s="233"/>
      <c r="F263" s="234"/>
      <c r="G263" s="232"/>
      <c r="H263" s="232"/>
      <c r="I263" s="233"/>
      <c r="J263" s="234"/>
      <c r="K263" s="232"/>
      <c r="L263" s="232"/>
      <c r="M263" s="233"/>
      <c r="N263" s="234"/>
      <c r="O263" s="232"/>
      <c r="P263" s="232"/>
      <c r="Q263" s="233"/>
      <c r="R263" s="234"/>
      <c r="S263" s="232"/>
      <c r="T263" s="232"/>
      <c r="U263" s="233"/>
      <c r="V263" s="234"/>
      <c r="W263" s="232"/>
      <c r="X263" s="232"/>
      <c r="Y263" s="233"/>
      <c r="Z263" s="234"/>
      <c r="AA263" s="232"/>
      <c r="AB263" s="232"/>
      <c r="AC263" s="233"/>
      <c r="AD263" s="234"/>
      <c r="AE263" s="233"/>
    </row>
    <row r="264" spans="1:41" ht="12.95" hidden="1" customHeight="1" thickBot="1">
      <c r="A264" s="231"/>
      <c r="B264" s="231"/>
      <c r="C264" s="231"/>
      <c r="D264" s="232"/>
      <c r="E264" s="233"/>
      <c r="F264" s="234"/>
      <c r="G264" s="232"/>
      <c r="H264" s="232"/>
      <c r="I264" s="233"/>
      <c r="J264" s="234"/>
      <c r="K264" s="232"/>
      <c r="L264" s="232"/>
      <c r="M264" s="233"/>
      <c r="N264" s="234"/>
      <c r="O264" s="232"/>
      <c r="P264" s="232"/>
      <c r="Q264" s="233"/>
      <c r="R264" s="234"/>
      <c r="S264" s="232"/>
      <c r="T264" s="232"/>
      <c r="U264" s="233"/>
      <c r="V264" s="234"/>
      <c r="W264" s="232"/>
      <c r="X264" s="232"/>
      <c r="Y264" s="233"/>
      <c r="Z264" s="234"/>
      <c r="AA264" s="232"/>
      <c r="AB264" s="232"/>
      <c r="AC264" s="233"/>
      <c r="AD264" s="234"/>
      <c r="AE264" s="233"/>
    </row>
    <row r="265" spans="1:41">
      <c r="A265" s="5"/>
      <c r="B265" s="5"/>
      <c r="C265" s="6"/>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row>
    <row r="266" spans="1:41" ht="13.5" thickBot="1">
      <c r="A266" s="5"/>
      <c r="B266" s="5"/>
      <c r="C266" s="6"/>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row>
    <row r="267" spans="1:41" ht="12.95" customHeight="1" thickBot="1">
      <c r="A267" s="275" t="s">
        <v>15</v>
      </c>
      <c r="B267" s="274" t="s">
        <v>19</v>
      </c>
      <c r="C267" s="8"/>
      <c r="D267" s="1377">
        <v>2008</v>
      </c>
      <c r="E267" s="1378"/>
      <c r="F267" s="1372">
        <v>2009</v>
      </c>
      <c r="G267" s="1373"/>
      <c r="H267" s="1373"/>
      <c r="I267" s="1374"/>
      <c r="J267" s="1372">
        <v>2010</v>
      </c>
      <c r="K267" s="1373"/>
      <c r="L267" s="1373"/>
      <c r="M267" s="1374"/>
      <c r="N267" s="1372">
        <v>2011</v>
      </c>
      <c r="O267" s="1373"/>
      <c r="P267" s="1373"/>
      <c r="Q267" s="1374"/>
      <c r="R267" s="1372">
        <v>2012</v>
      </c>
      <c r="S267" s="1373"/>
      <c r="T267" s="1373"/>
      <c r="U267" s="1374"/>
      <c r="V267" s="1372">
        <v>2013</v>
      </c>
      <c r="W267" s="1373"/>
      <c r="X267" s="1373"/>
      <c r="Y267" s="1374"/>
      <c r="Z267" s="1372">
        <v>2014</v>
      </c>
      <c r="AA267" s="1373"/>
      <c r="AB267" s="1373"/>
      <c r="AC267" s="1374"/>
      <c r="AD267" s="1372">
        <v>2015</v>
      </c>
      <c r="AE267" s="1374"/>
      <c r="AG267" s="257" t="s">
        <v>663</v>
      </c>
      <c r="AO267" s="382" t="s">
        <v>744</v>
      </c>
    </row>
    <row r="268" spans="1:41" ht="12.95" customHeight="1" thickBot="1">
      <c r="A268" s="868" t="s">
        <v>61</v>
      </c>
      <c r="B268" s="868" t="s">
        <v>62</v>
      </c>
      <c r="C268" s="194" t="s">
        <v>610</v>
      </c>
      <c r="D268" s="206"/>
      <c r="E268" s="207"/>
      <c r="F268" s="209"/>
      <c r="G268" s="206"/>
      <c r="H268" s="206"/>
      <c r="I268" s="207"/>
      <c r="J268" s="209"/>
      <c r="K268" s="206"/>
      <c r="L268" s="206"/>
      <c r="M268" s="207"/>
      <c r="N268" s="277"/>
      <c r="O268" s="278">
        <f>(O278-J278)/5/$C$677/Spend!O268*'State Efficiency Ratios'!$C$655</f>
        <v>-66.256468701000685</v>
      </c>
      <c r="P268" s="278"/>
      <c r="Q268" s="279"/>
      <c r="R268" s="277"/>
      <c r="S268" s="278"/>
      <c r="T268" s="278"/>
      <c r="U268" s="278">
        <f>(U278-O278)/6/$C$677/Spend!U268*'State Efficiency Ratios'!$C$655</f>
        <v>153.95025440666052</v>
      </c>
      <c r="V268" s="277"/>
      <c r="W268" s="278"/>
      <c r="X268" s="278"/>
      <c r="Y268" s="278">
        <f>(Y278-U278)/4/$C$677/Spend!Y268*'State Efficiency Ratios'!$C$655</f>
        <v>412.11125614931694</v>
      </c>
      <c r="Z268" s="277"/>
      <c r="AA268" s="278"/>
      <c r="AB268" s="278"/>
      <c r="AC268" s="278">
        <f>(AC278-Y278)/4/$C$677/Spend!AC268*'State Efficiency Ratios'!$C$655</f>
        <v>-383.52064839172294</v>
      </c>
      <c r="AD268" s="277"/>
      <c r="AE268" s="280"/>
      <c r="AG268" s="410" t="s">
        <v>765</v>
      </c>
      <c r="AN268" s="383">
        <f>(O278-J278)/7/$C$673/Spend!O268*'State Efficiency Ratios'!$C$655</f>
        <v>-47.326049072143341</v>
      </c>
      <c r="AO268" s="379">
        <f>(AN268+AN291+AN314)/3</f>
        <v>-31.550699381428895</v>
      </c>
    </row>
    <row r="269" spans="1:41" ht="13.5" thickBot="1">
      <c r="A269" s="885"/>
      <c r="B269" s="885"/>
      <c r="C269" s="194" t="s">
        <v>611</v>
      </c>
      <c r="D269" s="206"/>
      <c r="E269" s="207"/>
      <c r="F269" s="209"/>
      <c r="G269" s="206"/>
      <c r="H269" s="206"/>
      <c r="I269" s="207"/>
      <c r="J269" s="209"/>
      <c r="K269" s="206"/>
      <c r="L269" s="206"/>
      <c r="M269" s="207"/>
      <c r="N269" s="277"/>
      <c r="O269" s="278">
        <f>(O279-J279)/5/$C$677/Spend!O269*'State Efficiency Ratios'!$C$655</f>
        <v>72.197785895434222</v>
      </c>
      <c r="P269" s="278"/>
      <c r="Q269" s="279"/>
      <c r="R269" s="277"/>
      <c r="S269" s="278"/>
      <c r="T269" s="278"/>
      <c r="U269" s="278">
        <f>(U279-O279)/6/$C$677/Spend!U269*'State Efficiency Ratios'!$C$655</f>
        <v>100.75037906269476</v>
      </c>
      <c r="V269" s="277"/>
      <c r="W269" s="278"/>
      <c r="X269" s="278"/>
      <c r="Y269" s="278">
        <f>(Y279-U279)/4/$C$677/Spend!Y269*'State Efficiency Ratios'!$C$655</f>
        <v>202.58153924681869</v>
      </c>
      <c r="Z269" s="277"/>
      <c r="AA269" s="278"/>
      <c r="AB269" s="278"/>
      <c r="AC269" s="278">
        <f>(AC279-Y279)/4/$C$677/Spend!AC269*'State Efficiency Ratios'!$C$655</f>
        <v>-658.55294508120278</v>
      </c>
      <c r="AD269" s="277"/>
      <c r="AE269" s="280"/>
      <c r="AG269" s="410" t="s">
        <v>765</v>
      </c>
      <c r="AN269" s="383">
        <f>(O279-J279)/7/$C$673/Spend!O269*'State Efficiency Ratios'!$C$655</f>
        <v>51.569847068167299</v>
      </c>
      <c r="AO269" s="380">
        <f t="shared" ref="AO269:AO275" si="48">(AN269+AN292+AN315)/3</f>
        <v>42.974872556806083</v>
      </c>
    </row>
    <row r="270" spans="1:41" ht="13.5" thickBot="1">
      <c r="A270" s="885"/>
      <c r="B270" s="885"/>
      <c r="C270" s="194" t="s">
        <v>612</v>
      </c>
      <c r="D270" s="206"/>
      <c r="E270" s="207"/>
      <c r="F270" s="209"/>
      <c r="G270" s="206"/>
      <c r="H270" s="206"/>
      <c r="I270" s="207"/>
      <c r="J270" s="209"/>
      <c r="K270" s="206"/>
      <c r="L270" s="206"/>
      <c r="M270" s="207"/>
      <c r="N270" s="277"/>
      <c r="O270" s="278">
        <f>(O280-J280)/5/$C$677/Spend!O270*'State Efficiency Ratios'!$C$655</f>
        <v>0</v>
      </c>
      <c r="P270" s="278"/>
      <c r="Q270" s="279"/>
      <c r="R270" s="277"/>
      <c r="S270" s="278"/>
      <c r="T270" s="278"/>
      <c r="U270" s="278">
        <f>(U280-O280)/6/$C$677/Spend!U270*'State Efficiency Ratios'!$C$655</f>
        <v>182.15187452631133</v>
      </c>
      <c r="V270" s="277"/>
      <c r="W270" s="278"/>
      <c r="X270" s="278"/>
      <c r="Y270" s="278">
        <f>(Y280-U280)/4/$C$677/Spend!Y270*'State Efficiency Ratios'!$C$655</f>
        <v>-42.286651653394181</v>
      </c>
      <c r="Z270" s="277"/>
      <c r="AA270" s="278"/>
      <c r="AB270" s="278"/>
      <c r="AC270" s="278">
        <f>(AC280-Y280)/4/$C$677/Spend!AC270*'State Efficiency Ratios'!$C$655</f>
        <v>-404.25518872060854</v>
      </c>
      <c r="AD270" s="277"/>
      <c r="AE270" s="280"/>
      <c r="AG270" s="410" t="s">
        <v>764</v>
      </c>
      <c r="AN270" s="383">
        <f>(O280-J280)/7/$C$673/Spend!O270*'State Efficiency Ratios'!$C$655</f>
        <v>0</v>
      </c>
      <c r="AO270" s="380">
        <f t="shared" si="48"/>
        <v>17.11544099253425</v>
      </c>
    </row>
    <row r="271" spans="1:41" ht="13.5" thickBot="1">
      <c r="A271" s="885"/>
      <c r="B271" s="885"/>
      <c r="C271" s="194" t="s">
        <v>613</v>
      </c>
      <c r="D271" s="206"/>
      <c r="E271" s="207"/>
      <c r="F271" s="209"/>
      <c r="G271" s="206"/>
      <c r="H271" s="206"/>
      <c r="I271" s="207"/>
      <c r="J271" s="209"/>
      <c r="K271" s="206"/>
      <c r="L271" s="206"/>
      <c r="M271" s="207"/>
      <c r="N271" s="277"/>
      <c r="O271" s="278">
        <f>(O281-J281)/5/$C$677/Spend!O271*'State Efficiency Ratios'!$C$655</f>
        <v>73.937168032500821</v>
      </c>
      <c r="P271" s="278"/>
      <c r="Q271" s="279"/>
      <c r="R271" s="277"/>
      <c r="S271" s="278"/>
      <c r="T271" s="278"/>
      <c r="U271" s="278">
        <f>(U281-O281)/6/$C$677/Spend!U271*'State Efficiency Ratios'!$C$655</f>
        <v>114.85065640495316</v>
      </c>
      <c r="V271" s="277"/>
      <c r="W271" s="278"/>
      <c r="X271" s="278"/>
      <c r="Y271" s="278">
        <f>(Y281-U281)/4/$C$677/Spend!Y271*'State Efficiency Ratios'!$C$655</f>
        <v>240.2567280488951</v>
      </c>
      <c r="Z271" s="277"/>
      <c r="AA271" s="278"/>
      <c r="AB271" s="278"/>
      <c r="AC271" s="278">
        <f>(AC281-Y281)/4/$C$677/Spend!AC271*'State Efficiency Ratios'!$C$655</f>
        <v>-817.14763466139721</v>
      </c>
      <c r="AD271" s="277"/>
      <c r="AE271" s="280"/>
      <c r="AG271" s="410"/>
      <c r="AN271" s="383">
        <f>(O281-J281)/7/$C$673/Spend!O271*'State Efficiency Ratios'!$C$655</f>
        <v>52.812262880357729</v>
      </c>
      <c r="AO271" s="380">
        <f t="shared" si="48"/>
        <v>35.208175253571817</v>
      </c>
    </row>
    <row r="272" spans="1:41" ht="13.5" thickBot="1">
      <c r="A272" s="885"/>
      <c r="B272" s="885"/>
      <c r="C272" s="194" t="s">
        <v>614</v>
      </c>
      <c r="D272" s="206"/>
      <c r="E272" s="207"/>
      <c r="F272" s="209"/>
      <c r="G272" s="206"/>
      <c r="H272" s="206"/>
      <c r="I272" s="207"/>
      <c r="J272" s="209"/>
      <c r="K272" s="206"/>
      <c r="L272" s="206"/>
      <c r="M272" s="207"/>
      <c r="N272" s="277"/>
      <c r="O272" s="278">
        <f>(O282-J282)/5/$C$677/Spend!O272*'State Efficiency Ratios'!$C$655</f>
        <v>0</v>
      </c>
      <c r="P272" s="278"/>
      <c r="Q272" s="279"/>
      <c r="R272" s="277"/>
      <c r="S272" s="278"/>
      <c r="T272" s="278"/>
      <c r="U272" s="278">
        <f>(U282-O282)/6/$C$677/Spend!U272*'State Efficiency Ratios'!$C$655</f>
        <v>148.63924251049474</v>
      </c>
      <c r="V272" s="277"/>
      <c r="W272" s="278"/>
      <c r="X272" s="278"/>
      <c r="Y272" s="278">
        <f>(Y282-U282)/4/$C$677/Spend!Y272*'State Efficiency Ratios'!$C$655</f>
        <v>48.614857190236613</v>
      </c>
      <c r="Z272" s="277"/>
      <c r="AA272" s="278"/>
      <c r="AB272" s="278"/>
      <c r="AC272" s="278">
        <f>(AC282-Y282)/4/$C$677/Spend!AC272*'State Efficiency Ratios'!$C$655</f>
        <v>-309.19015331727212</v>
      </c>
      <c r="AD272" s="277"/>
      <c r="AE272" s="280"/>
      <c r="AG272" s="410" t="s">
        <v>766</v>
      </c>
      <c r="AN272" s="383">
        <f>(O282-J282)/7/$C$673/Spend!O272*'State Efficiency Ratios'!$C$655</f>
        <v>0</v>
      </c>
      <c r="AO272" s="380">
        <f t="shared" si="48"/>
        <v>8.1146241008051394</v>
      </c>
    </row>
    <row r="273" spans="1:41" ht="12.95" customHeight="1" thickBot="1">
      <c r="A273" s="885"/>
      <c r="B273" s="885"/>
      <c r="C273" s="194" t="s">
        <v>615</v>
      </c>
      <c r="D273" s="210"/>
      <c r="E273" s="211"/>
      <c r="F273" s="209"/>
      <c r="G273" s="210"/>
      <c r="H273" s="210"/>
      <c r="I273" s="211"/>
      <c r="J273" s="209"/>
      <c r="K273" s="210"/>
      <c r="L273" s="210"/>
      <c r="M273" s="211"/>
      <c r="N273" s="281"/>
      <c r="O273" s="282"/>
      <c r="P273" s="282"/>
      <c r="Q273" s="282"/>
      <c r="R273" s="277"/>
      <c r="S273" s="278"/>
      <c r="T273" s="278"/>
      <c r="U273" s="278">
        <f>(U283-R283)/3/$C$677/Spend!U273*'State Efficiency Ratios'!$C$655</f>
        <v>0</v>
      </c>
      <c r="V273" s="277"/>
      <c r="W273" s="278"/>
      <c r="X273" s="278"/>
      <c r="Y273" s="278">
        <f>(Y283-U283)/4/$C$677/Spend!Y273*'State Efficiency Ratios'!$C$655</f>
        <v>126.43376979057045</v>
      </c>
      <c r="Z273" s="277"/>
      <c r="AA273" s="278"/>
      <c r="AB273" s="278"/>
      <c r="AC273" s="278">
        <f>(AC283-Y283)/4/$C$677/Spend!AC273*'State Efficiency Ratios'!$C$655</f>
        <v>-272.44363542644169</v>
      </c>
      <c r="AD273" s="277"/>
      <c r="AE273" s="280"/>
      <c r="AG273" s="410"/>
      <c r="AN273" s="383">
        <f>(Y283-R283)/7/$C$673/(Spend!U273+Spend!Y273)*'State Efficiency Ratios'!$C$655</f>
        <v>46.056601357472921</v>
      </c>
      <c r="AO273" s="380">
        <f t="shared" si="48"/>
        <v>77.063268585784797</v>
      </c>
    </row>
    <row r="274" spans="1:41" ht="12.95" customHeight="1" thickBot="1">
      <c r="A274" s="885"/>
      <c r="B274" s="885"/>
      <c r="C274" s="194" t="s">
        <v>616</v>
      </c>
      <c r="D274" s="210"/>
      <c r="E274" s="211"/>
      <c r="F274" s="209"/>
      <c r="G274" s="210"/>
      <c r="H274" s="210"/>
      <c r="I274" s="211"/>
      <c r="J274" s="209"/>
      <c r="K274" s="210"/>
      <c r="L274" s="210"/>
      <c r="M274" s="211"/>
      <c r="N274" s="281"/>
      <c r="O274" s="282"/>
      <c r="P274" s="282"/>
      <c r="Q274" s="282"/>
      <c r="R274" s="277"/>
      <c r="S274" s="278"/>
      <c r="T274" s="278"/>
      <c r="U274" s="278">
        <f>(U284-R284)/3/$C$677/Spend!U274*'State Efficiency Ratios'!$C$655</f>
        <v>0</v>
      </c>
      <c r="V274" s="277"/>
      <c r="W274" s="278"/>
      <c r="X274" s="278"/>
      <c r="Y274" s="278">
        <f>(Y284-U284)/4/$C$677/Spend!Y274*'State Efficiency Ratios'!$C$655</f>
        <v>28.139945953522371</v>
      </c>
      <c r="Z274" s="277"/>
      <c r="AA274" s="278"/>
      <c r="AB274" s="278"/>
      <c r="AC274" s="278">
        <f>(AC284-Y284)/4/$C$677/Spend!AC274*'State Efficiency Ratios'!$C$655</f>
        <v>-250.57363086724132</v>
      </c>
      <c r="AD274" s="277"/>
      <c r="AE274" s="280"/>
      <c r="AG274" s="410" t="s">
        <v>764</v>
      </c>
      <c r="AN274" s="383">
        <f>(Y284-R284)/7/$C$673/(Spend!U274+Spend!Y274)*'State Efficiency Ratios'!$C$655</f>
        <v>8.0006142736730901</v>
      </c>
      <c r="AO274" s="380">
        <f t="shared" si="48"/>
        <v>2.6668714245576965</v>
      </c>
    </row>
    <row r="275" spans="1:41" ht="12.95" customHeight="1" thickBot="1">
      <c r="A275" s="885"/>
      <c r="B275" s="885"/>
      <c r="C275" s="194" t="s">
        <v>617</v>
      </c>
      <c r="D275" s="210"/>
      <c r="E275" s="211"/>
      <c r="F275" s="209"/>
      <c r="G275" s="210"/>
      <c r="H275" s="210"/>
      <c r="I275" s="211"/>
      <c r="J275" s="209"/>
      <c r="K275" s="210"/>
      <c r="L275" s="210"/>
      <c r="M275" s="211"/>
      <c r="N275" s="281"/>
      <c r="O275" s="282"/>
      <c r="P275" s="282"/>
      <c r="Q275" s="282"/>
      <c r="R275" s="277"/>
      <c r="S275" s="278"/>
      <c r="T275" s="278"/>
      <c r="U275" s="278">
        <f>(U285-R285)/3/$C$677/Spend!U275*'State Efficiency Ratios'!$C$655</f>
        <v>0</v>
      </c>
      <c r="V275" s="277"/>
      <c r="W275" s="278"/>
      <c r="X275" s="278"/>
      <c r="Y275" s="278">
        <f>(Y285-U285)/4/$C$677/Spend!Y275*'State Efficiency Ratios'!$C$655</f>
        <v>461.36387180972395</v>
      </c>
      <c r="Z275" s="277"/>
      <c r="AA275" s="278"/>
      <c r="AB275" s="278"/>
      <c r="AC275" s="278">
        <f>(AC285-Y285)/4/$C$677/Spend!AC275*'State Efficiency Ratios'!$C$655</f>
        <v>-364.68240352949704</v>
      </c>
      <c r="AD275" s="277"/>
      <c r="AE275" s="280"/>
      <c r="AG275" s="410" t="s">
        <v>768</v>
      </c>
      <c r="AN275" s="383">
        <f>(Y285-R285)/7/$C$673/(Spend!U275+Spend!Y275)*'State Efficiency Ratios'!$C$655</f>
        <v>102.73901995479635</v>
      </c>
      <c r="AO275" s="381">
        <f t="shared" si="48"/>
        <v>160.23947587757834</v>
      </c>
    </row>
    <row r="276" spans="1:41" ht="12.95" customHeight="1" thickBot="1">
      <c r="A276" s="885"/>
      <c r="B276" s="885"/>
      <c r="C276" s="194" t="s">
        <v>618</v>
      </c>
      <c r="D276" s="210"/>
      <c r="E276" s="211"/>
      <c r="F276" s="209"/>
      <c r="G276" s="210"/>
      <c r="H276" s="210"/>
      <c r="I276" s="211"/>
      <c r="J276" s="209"/>
      <c r="K276" s="210"/>
      <c r="L276" s="210"/>
      <c r="M276" s="211"/>
      <c r="N276" s="281"/>
      <c r="O276" s="282"/>
      <c r="P276" s="282"/>
      <c r="Q276" s="283"/>
      <c r="R276" s="281"/>
      <c r="S276" s="282"/>
      <c r="T276" s="282"/>
      <c r="U276" s="283"/>
      <c r="V276" s="281"/>
      <c r="W276" s="282"/>
      <c r="X276" s="282"/>
      <c r="Y276" s="283"/>
      <c r="Z276" s="277"/>
      <c r="AA276" s="278"/>
      <c r="AB276" s="278"/>
      <c r="AC276" s="278">
        <f>(AC286-Y286)/4/$C$677/Spend!AC276*'State Efficiency Ratios'!$C$655</f>
        <v>-336.91860093896253</v>
      </c>
      <c r="AD276" s="277"/>
      <c r="AE276" s="280"/>
      <c r="AG276" s="295"/>
    </row>
    <row r="277" spans="1:41" ht="12.95" customHeight="1" thickBot="1">
      <c r="A277" s="885"/>
      <c r="B277" s="885"/>
      <c r="C277" s="194" t="s">
        <v>619</v>
      </c>
      <c r="D277" s="210"/>
      <c r="E277" s="211"/>
      <c r="F277" s="209"/>
      <c r="G277" s="210"/>
      <c r="H277" s="210"/>
      <c r="I277" s="211"/>
      <c r="J277" s="209"/>
      <c r="K277" s="210"/>
      <c r="L277" s="210"/>
      <c r="M277" s="211"/>
      <c r="N277" s="281"/>
      <c r="O277" s="282"/>
      <c r="P277" s="282"/>
      <c r="Q277" s="283"/>
      <c r="R277" s="281"/>
      <c r="S277" s="282"/>
      <c r="T277" s="282"/>
      <c r="U277" s="283"/>
      <c r="V277" s="281"/>
      <c r="W277" s="282"/>
      <c r="X277" s="282"/>
      <c r="Y277" s="283"/>
      <c r="Z277" s="277"/>
      <c r="AA277" s="278"/>
      <c r="AB277" s="278"/>
      <c r="AC277" s="278">
        <f>(AC287-Y287)/4/$C$677/Spend!AC277*'State Efficiency Ratios'!$C$655</f>
        <v>-377.61639175043103</v>
      </c>
      <c r="AD277" s="277"/>
      <c r="AE277" s="280"/>
      <c r="AG277" s="295"/>
      <c r="AK277" s="357" t="s">
        <v>744</v>
      </c>
      <c r="AL277" s="357" t="s">
        <v>744</v>
      </c>
      <c r="AM277" s="357" t="s">
        <v>744</v>
      </c>
      <c r="AO277" s="357" t="s">
        <v>744</v>
      </c>
    </row>
    <row r="278" spans="1:41" ht="13.5" thickBot="1">
      <c r="A278" s="885"/>
      <c r="B278" s="885"/>
      <c r="C278" s="9" t="s">
        <v>295</v>
      </c>
      <c r="D278" s="241" t="s">
        <v>632</v>
      </c>
      <c r="E278" s="241" t="s">
        <v>632</v>
      </c>
      <c r="F278" s="243" t="s">
        <v>646</v>
      </c>
      <c r="G278" s="241" t="s">
        <v>646</v>
      </c>
      <c r="H278" s="241" t="s">
        <v>646</v>
      </c>
      <c r="I278" s="244" t="s">
        <v>646</v>
      </c>
      <c r="J278" s="195">
        <f>'State DisAgg LFx10 (2015)'!D268</f>
        <v>1</v>
      </c>
      <c r="K278" s="196"/>
      <c r="L278" s="196"/>
      <c r="M278" s="197"/>
      <c r="N278" s="195"/>
      <c r="O278" s="196">
        <f>'State DisAgg LFx10 (2015)'!H278</f>
        <v>0</v>
      </c>
      <c r="P278" s="196"/>
      <c r="Q278" s="197"/>
      <c r="R278" s="195"/>
      <c r="S278" s="196"/>
      <c r="T278" s="196"/>
      <c r="U278" s="197">
        <f>'State DisAgg LFx10 (2015)'!L278</f>
        <v>1.3</v>
      </c>
      <c r="V278" s="195"/>
      <c r="W278" s="196"/>
      <c r="X278" s="196"/>
      <c r="Y278" s="197">
        <f>'State DisAgg LFx10 (2015)'!P278</f>
        <v>3.2</v>
      </c>
      <c r="Z278" s="195"/>
      <c r="AA278" s="196"/>
      <c r="AB278" s="196"/>
      <c r="AC278" s="197">
        <f>'State DisAgg LFx10 (2015)'!T278</f>
        <v>0</v>
      </c>
      <c r="AD278" s="195"/>
      <c r="AE278" s="197"/>
      <c r="AH278" s="354">
        <f>Y278-U278</f>
        <v>1.9000000000000001</v>
      </c>
      <c r="AI278" s="354">
        <f>U278-O278</f>
        <v>1.3</v>
      </c>
      <c r="AJ278" s="354">
        <f t="shared" ref="AJ278:AJ289" si="49">O278-J278</f>
        <v>-1</v>
      </c>
      <c r="AK278" s="361">
        <f>(AH278/$C$677)+(AH301/$C$678)+(AH324/$C$679)</f>
        <v>0.60000000000000009</v>
      </c>
      <c r="AL278" s="362">
        <f t="shared" ref="AL278:AM287" si="50">(AI278/$C$677)+(AI301/$C$678)+(AI324/$C$679)</f>
        <v>1.02</v>
      </c>
      <c r="AM278" s="363">
        <f t="shared" si="50"/>
        <v>-0.4</v>
      </c>
      <c r="AN278" s="384">
        <f>(O278-J278)</f>
        <v>-1</v>
      </c>
      <c r="AO278" s="386">
        <f>(AN278/$C$677)+(AN301/$C$678)+(AN324/$C$679)</f>
        <v>-0.4</v>
      </c>
    </row>
    <row r="279" spans="1:41" ht="13.5" thickBot="1">
      <c r="A279" s="885"/>
      <c r="B279" s="885"/>
      <c r="C279" s="9" t="s">
        <v>296</v>
      </c>
      <c r="D279" s="241" t="s">
        <v>632</v>
      </c>
      <c r="E279" s="241" t="s">
        <v>632</v>
      </c>
      <c r="F279" s="243" t="s">
        <v>646</v>
      </c>
      <c r="G279" s="241" t="s">
        <v>646</v>
      </c>
      <c r="H279" s="241" t="s">
        <v>646</v>
      </c>
      <c r="I279" s="244" t="s">
        <v>646</v>
      </c>
      <c r="J279" s="195">
        <f>'State DisAgg LFx10 (2015)'!D269</f>
        <v>1</v>
      </c>
      <c r="K279" s="196"/>
      <c r="L279" s="196"/>
      <c r="M279" s="197"/>
      <c r="N279" s="195"/>
      <c r="O279" s="196">
        <f>'State DisAgg LFx10 (2015)'!H279</f>
        <v>2</v>
      </c>
      <c r="P279" s="196"/>
      <c r="Q279" s="197"/>
      <c r="R279" s="195"/>
      <c r="S279" s="196"/>
      <c r="T279" s="196"/>
      <c r="U279" s="197">
        <f>'State DisAgg LFx10 (2015)'!L279</f>
        <v>2.8</v>
      </c>
      <c r="V279" s="195"/>
      <c r="W279" s="196"/>
      <c r="X279" s="196"/>
      <c r="Y279" s="197">
        <f>'State DisAgg LFx10 (2015)'!P279</f>
        <v>4.0999999999999996</v>
      </c>
      <c r="Z279" s="195"/>
      <c r="AA279" s="196"/>
      <c r="AB279" s="196"/>
      <c r="AC279" s="197">
        <f>'State DisAgg LFx10 (2015)'!T279</f>
        <v>0</v>
      </c>
      <c r="AD279" s="195"/>
      <c r="AE279" s="197"/>
      <c r="AH279" s="354">
        <f t="shared" ref="AH279:AH289" si="51">Y279-U279</f>
        <v>1.2999999999999998</v>
      </c>
      <c r="AI279" s="354">
        <f>U279-O279</f>
        <v>0.79999999999999982</v>
      </c>
      <c r="AJ279" s="354">
        <f t="shared" si="49"/>
        <v>1</v>
      </c>
      <c r="AK279" s="364">
        <f t="shared" ref="AK279:AK287" si="52">(AH279/$C$677)+(AH302/$C$678)+(AH325/$C$679)</f>
        <v>0.6466666666666665</v>
      </c>
      <c r="AL279" s="360">
        <f t="shared" si="50"/>
        <v>0.5</v>
      </c>
      <c r="AM279" s="365">
        <f t="shared" si="50"/>
        <v>0.43333333333333335</v>
      </c>
      <c r="AN279" s="384">
        <f t="shared" ref="AN279:AN282" si="53">(O279-J279)</f>
        <v>1</v>
      </c>
      <c r="AO279" s="387">
        <f t="shared" ref="AO279:AO285" si="54">(AN279/$C$677)+(AN302/$C$678)+(AN325/$C$679)</f>
        <v>0.43333333333333335</v>
      </c>
    </row>
    <row r="280" spans="1:41" ht="13.5" thickBot="1">
      <c r="A280" s="885"/>
      <c r="B280" s="885"/>
      <c r="C280" s="9" t="s">
        <v>297</v>
      </c>
      <c r="D280" s="241" t="s">
        <v>632</v>
      </c>
      <c r="E280" s="241" t="s">
        <v>632</v>
      </c>
      <c r="F280" s="243" t="s">
        <v>646</v>
      </c>
      <c r="G280" s="241" t="s">
        <v>646</v>
      </c>
      <c r="H280" s="241" t="s">
        <v>646</v>
      </c>
      <c r="I280" s="244" t="s">
        <v>646</v>
      </c>
      <c r="J280" s="195">
        <f>'State DisAgg LFx10 (2015)'!D270</f>
        <v>1</v>
      </c>
      <c r="K280" s="196"/>
      <c r="L280" s="196"/>
      <c r="M280" s="197"/>
      <c r="N280" s="195"/>
      <c r="O280" s="196">
        <f>'State DisAgg LFx10 (2015)'!H280</f>
        <v>1</v>
      </c>
      <c r="P280" s="196"/>
      <c r="Q280" s="197"/>
      <c r="R280" s="195"/>
      <c r="S280" s="196"/>
      <c r="T280" s="196"/>
      <c r="U280" s="197">
        <f>'State DisAgg LFx10 (2015)'!L280</f>
        <v>2.5</v>
      </c>
      <c r="V280" s="195"/>
      <c r="W280" s="196"/>
      <c r="X280" s="196"/>
      <c r="Y280" s="197">
        <f>'State DisAgg LFx10 (2015)'!P280</f>
        <v>2</v>
      </c>
      <c r="Z280" s="195"/>
      <c r="AA280" s="196"/>
      <c r="AB280" s="196"/>
      <c r="AC280" s="197">
        <f>'State DisAgg LFx10 (2015)'!T280</f>
        <v>0</v>
      </c>
      <c r="AD280" s="195"/>
      <c r="AE280" s="197"/>
      <c r="AH280" s="354">
        <f t="shared" si="51"/>
        <v>-0.5</v>
      </c>
      <c r="AI280" s="354">
        <f>U280-O280</f>
        <v>1.5</v>
      </c>
      <c r="AJ280" s="354">
        <f t="shared" si="49"/>
        <v>0</v>
      </c>
      <c r="AK280" s="364">
        <f t="shared" si="52"/>
        <v>0.28666666666666668</v>
      </c>
      <c r="AL280" s="360">
        <f t="shared" si="50"/>
        <v>0.7</v>
      </c>
      <c r="AM280" s="365">
        <f t="shared" si="50"/>
        <v>0.13333333333333333</v>
      </c>
      <c r="AN280" s="384">
        <f t="shared" si="53"/>
        <v>0</v>
      </c>
      <c r="AO280" s="387">
        <f t="shared" si="54"/>
        <v>0.13333333333333333</v>
      </c>
    </row>
    <row r="281" spans="1:41" ht="13.5" thickBot="1">
      <c r="A281" s="885"/>
      <c r="B281" s="885"/>
      <c r="C281" s="9" t="s">
        <v>298</v>
      </c>
      <c r="D281" s="241" t="s">
        <v>632</v>
      </c>
      <c r="E281" s="241" t="s">
        <v>632</v>
      </c>
      <c r="F281" s="243" t="s">
        <v>646</v>
      </c>
      <c r="G281" s="241" t="s">
        <v>646</v>
      </c>
      <c r="H281" s="241" t="s">
        <v>646</v>
      </c>
      <c r="I281" s="244" t="s">
        <v>646</v>
      </c>
      <c r="J281" s="195">
        <f>'State DisAgg LFx10 (2015)'!D271</f>
        <v>1</v>
      </c>
      <c r="K281" s="196"/>
      <c r="L281" s="196"/>
      <c r="M281" s="197"/>
      <c r="N281" s="195"/>
      <c r="O281" s="196">
        <f>'State DisAgg LFx10 (2015)'!H281</f>
        <v>2</v>
      </c>
      <c r="P281" s="196"/>
      <c r="Q281" s="197"/>
      <c r="R281" s="195"/>
      <c r="S281" s="196"/>
      <c r="T281" s="196"/>
      <c r="U281" s="197">
        <f>'State DisAgg LFx10 (2015)'!L281</f>
        <v>3</v>
      </c>
      <c r="V281" s="195"/>
      <c r="W281" s="196"/>
      <c r="X281" s="196"/>
      <c r="Y281" s="197">
        <f>'State DisAgg LFx10 (2015)'!P281</f>
        <v>3.8</v>
      </c>
      <c r="Z281" s="195"/>
      <c r="AA281" s="196"/>
      <c r="AB281" s="196"/>
      <c r="AC281" s="197">
        <f>'State DisAgg LFx10 (2015)'!T281</f>
        <v>0</v>
      </c>
      <c r="AD281" s="195"/>
      <c r="AE281" s="197"/>
      <c r="AH281" s="354">
        <f t="shared" si="51"/>
        <v>0.79999999999999982</v>
      </c>
      <c r="AI281" s="354">
        <f>U281-O281</f>
        <v>1</v>
      </c>
      <c r="AJ281" s="354">
        <f t="shared" si="49"/>
        <v>1</v>
      </c>
      <c r="AK281" s="364">
        <f t="shared" si="52"/>
        <v>0.5066666666666666</v>
      </c>
      <c r="AL281" s="360">
        <f t="shared" si="50"/>
        <v>0.85333333333333328</v>
      </c>
      <c r="AM281" s="365">
        <f t="shared" si="50"/>
        <v>0.33333333333333337</v>
      </c>
      <c r="AN281" s="384">
        <f t="shared" si="53"/>
        <v>1</v>
      </c>
      <c r="AO281" s="387">
        <f t="shared" si="54"/>
        <v>0.33333333333333337</v>
      </c>
    </row>
    <row r="282" spans="1:41" ht="13.5" thickBot="1">
      <c r="A282" s="885"/>
      <c r="B282" s="885"/>
      <c r="C282" s="9" t="s">
        <v>299</v>
      </c>
      <c r="D282" s="241" t="s">
        <v>632</v>
      </c>
      <c r="E282" s="241" t="s">
        <v>632</v>
      </c>
      <c r="F282" s="243" t="s">
        <v>646</v>
      </c>
      <c r="G282" s="241" t="s">
        <v>646</v>
      </c>
      <c r="H282" s="241" t="s">
        <v>646</v>
      </c>
      <c r="I282" s="244" t="s">
        <v>646</v>
      </c>
      <c r="J282" s="195">
        <f>'State DisAgg LFx10 (2015)'!D272</f>
        <v>1</v>
      </c>
      <c r="K282" s="196"/>
      <c r="L282" s="196"/>
      <c r="M282" s="197"/>
      <c r="N282" s="195"/>
      <c r="O282" s="196">
        <f>'State DisAgg LFx10 (2015)'!H282</f>
        <v>1</v>
      </c>
      <c r="P282" s="196"/>
      <c r="Q282" s="197"/>
      <c r="R282" s="195"/>
      <c r="S282" s="196"/>
      <c r="T282" s="196"/>
      <c r="U282" s="197">
        <f>'State DisAgg LFx10 (2015)'!L282</f>
        <v>2.9</v>
      </c>
      <c r="V282" s="195"/>
      <c r="W282" s="196"/>
      <c r="X282" s="196"/>
      <c r="Y282" s="197">
        <f>'State DisAgg LFx10 (2015)'!P282</f>
        <v>3.1</v>
      </c>
      <c r="Z282" s="195"/>
      <c r="AA282" s="196"/>
      <c r="AB282" s="196"/>
      <c r="AC282" s="197">
        <f>'State DisAgg LFx10 (2015)'!T282</f>
        <v>0</v>
      </c>
      <c r="AD282" s="195"/>
      <c r="AE282" s="197"/>
      <c r="AH282" s="354">
        <f t="shared" si="51"/>
        <v>0.20000000000000018</v>
      </c>
      <c r="AI282" s="354">
        <f>U282-O282</f>
        <v>1.9</v>
      </c>
      <c r="AJ282" s="354">
        <f t="shared" si="49"/>
        <v>0</v>
      </c>
      <c r="AK282" s="364">
        <f t="shared" si="52"/>
        <v>0.4933333333333334</v>
      </c>
      <c r="AL282" s="360">
        <f t="shared" si="50"/>
        <v>0.82666666666666666</v>
      </c>
      <c r="AM282" s="365">
        <f t="shared" si="50"/>
        <v>6.6666666666666666E-2</v>
      </c>
      <c r="AN282" s="384">
        <f t="shared" si="53"/>
        <v>0</v>
      </c>
      <c r="AO282" s="387">
        <f t="shared" si="54"/>
        <v>6.6666666666666666E-2</v>
      </c>
    </row>
    <row r="283" spans="1:41" ht="13.5" thickBot="1">
      <c r="A283" s="885"/>
      <c r="B283" s="885"/>
      <c r="C283" s="9" t="s">
        <v>300</v>
      </c>
      <c r="D283" s="199"/>
      <c r="E283" s="200"/>
      <c r="F283" s="201"/>
      <c r="G283" s="199"/>
      <c r="H283" s="199"/>
      <c r="I283" s="200"/>
      <c r="J283" s="201"/>
      <c r="K283" s="199"/>
      <c r="L283" s="199"/>
      <c r="M283" s="200"/>
      <c r="N283" s="198"/>
      <c r="O283" s="217" t="s">
        <v>634</v>
      </c>
      <c r="P283" s="241" t="s">
        <v>632</v>
      </c>
      <c r="Q283" s="244" t="s">
        <v>646</v>
      </c>
      <c r="R283" s="195">
        <f>'State DisAgg LFx10 (2015)'!H273</f>
        <v>1</v>
      </c>
      <c r="S283" s="196"/>
      <c r="T283" s="196"/>
      <c r="U283" s="197">
        <f>'State DisAgg LFx10 (2015)'!L283</f>
        <v>1</v>
      </c>
      <c r="V283" s="195"/>
      <c r="W283" s="196"/>
      <c r="X283" s="196"/>
      <c r="Y283" s="197">
        <f>'State DisAgg LFx10 (2015)'!P283</f>
        <v>1.8</v>
      </c>
      <c r="Z283" s="195"/>
      <c r="AA283" s="196"/>
      <c r="AB283" s="196"/>
      <c r="AC283" s="197">
        <f>'State DisAgg LFx10 (2015)'!T283</f>
        <v>0</v>
      </c>
      <c r="AD283" s="195"/>
      <c r="AE283" s="197"/>
      <c r="AH283" s="354">
        <f t="shared" si="51"/>
        <v>0.8</v>
      </c>
      <c r="AI283" s="354">
        <f>U283-R283</f>
        <v>0</v>
      </c>
      <c r="AJ283" s="354" t="e">
        <f t="shared" si="49"/>
        <v>#VALUE!</v>
      </c>
      <c r="AK283" s="364">
        <f t="shared" si="52"/>
        <v>0.60000000000000009</v>
      </c>
      <c r="AL283" s="360">
        <f t="shared" si="50"/>
        <v>0</v>
      </c>
      <c r="AM283" s="365" t="e">
        <f t="shared" si="50"/>
        <v>#VALUE!</v>
      </c>
      <c r="AN283" s="384">
        <f>(Y283-R283)</f>
        <v>0.8</v>
      </c>
      <c r="AO283" s="387">
        <f t="shared" si="54"/>
        <v>0.60000000000000009</v>
      </c>
    </row>
    <row r="284" spans="1:41" ht="13.5" thickBot="1">
      <c r="A284" s="885"/>
      <c r="B284" s="885"/>
      <c r="C284" s="9" t="s">
        <v>301</v>
      </c>
      <c r="D284" s="199"/>
      <c r="E284" s="200"/>
      <c r="F284" s="201"/>
      <c r="G284" s="199"/>
      <c r="H284" s="199"/>
      <c r="I284" s="200"/>
      <c r="J284" s="201"/>
      <c r="K284" s="199"/>
      <c r="L284" s="199"/>
      <c r="M284" s="200"/>
      <c r="N284" s="198"/>
      <c r="O284" s="217" t="s">
        <v>634</v>
      </c>
      <c r="P284" s="241" t="s">
        <v>632</v>
      </c>
      <c r="Q284" s="244" t="s">
        <v>646</v>
      </c>
      <c r="R284" s="195">
        <f>'State DisAgg LFx10 (2015)'!H274</f>
        <v>1</v>
      </c>
      <c r="S284" s="196"/>
      <c r="T284" s="196"/>
      <c r="U284" s="197">
        <f>'State DisAgg LFx10 (2015)'!L284</f>
        <v>1</v>
      </c>
      <c r="V284" s="195"/>
      <c r="W284" s="196"/>
      <c r="X284" s="196"/>
      <c r="Y284" s="197">
        <f>'State DisAgg LFx10 (2015)'!P284</f>
        <v>1.1000000000000001</v>
      </c>
      <c r="Z284" s="195"/>
      <c r="AA284" s="196"/>
      <c r="AB284" s="196"/>
      <c r="AC284" s="197">
        <f>'State DisAgg LFx10 (2015)'!T284</f>
        <v>0</v>
      </c>
      <c r="AD284" s="195"/>
      <c r="AE284" s="197"/>
      <c r="AH284" s="354">
        <f t="shared" si="51"/>
        <v>0.10000000000000009</v>
      </c>
      <c r="AI284" s="354">
        <f t="shared" ref="AI284:AI285" si="55">U284-R284</f>
        <v>0</v>
      </c>
      <c r="AJ284" s="354" t="e">
        <f t="shared" si="49"/>
        <v>#VALUE!</v>
      </c>
      <c r="AK284" s="364">
        <f t="shared" si="52"/>
        <v>2.0000000000000018E-2</v>
      </c>
      <c r="AL284" s="360">
        <f t="shared" si="50"/>
        <v>0</v>
      </c>
      <c r="AM284" s="365" t="e">
        <f t="shared" si="50"/>
        <v>#VALUE!</v>
      </c>
      <c r="AN284" s="384">
        <f t="shared" ref="AN284:AN285" si="56">(Y284-R284)</f>
        <v>0.10000000000000009</v>
      </c>
      <c r="AO284" s="387">
        <f t="shared" si="54"/>
        <v>2.0000000000000018E-2</v>
      </c>
    </row>
    <row r="285" spans="1:41" ht="13.5" thickBot="1">
      <c r="A285" s="885"/>
      <c r="B285" s="885"/>
      <c r="C285" s="9" t="s">
        <v>302</v>
      </c>
      <c r="D285" s="199"/>
      <c r="E285" s="200"/>
      <c r="F285" s="201"/>
      <c r="G285" s="199"/>
      <c r="H285" s="199"/>
      <c r="I285" s="200"/>
      <c r="J285" s="201"/>
      <c r="K285" s="199"/>
      <c r="L285" s="199"/>
      <c r="M285" s="200"/>
      <c r="N285" s="198"/>
      <c r="O285" s="217" t="s">
        <v>634</v>
      </c>
      <c r="P285" s="241" t="s">
        <v>632</v>
      </c>
      <c r="Q285" s="244" t="s">
        <v>646</v>
      </c>
      <c r="R285" s="195">
        <f>'State DisAgg LFx10 (2015)'!H275</f>
        <v>1</v>
      </c>
      <c r="S285" s="196"/>
      <c r="T285" s="196"/>
      <c r="U285" s="197">
        <f>'State DisAgg LFx10 (2015)'!L285</f>
        <v>1</v>
      </c>
      <c r="V285" s="195"/>
      <c r="W285" s="196"/>
      <c r="X285" s="196"/>
      <c r="Y285" s="197">
        <f>'State DisAgg LFx10 (2015)'!P285</f>
        <v>2.1</v>
      </c>
      <c r="Z285" s="195"/>
      <c r="AA285" s="196"/>
      <c r="AB285" s="196"/>
      <c r="AC285" s="197">
        <f>'State DisAgg LFx10 (2015)'!T285</f>
        <v>0</v>
      </c>
      <c r="AD285" s="195"/>
      <c r="AE285" s="197"/>
      <c r="AH285" s="354">
        <f t="shared" si="51"/>
        <v>1.1000000000000001</v>
      </c>
      <c r="AI285" s="354">
        <f t="shared" si="55"/>
        <v>0</v>
      </c>
      <c r="AJ285" s="354" t="e">
        <f t="shared" si="49"/>
        <v>#VALUE!</v>
      </c>
      <c r="AK285" s="364">
        <f t="shared" si="52"/>
        <v>0.98</v>
      </c>
      <c r="AL285" s="360">
        <f t="shared" si="50"/>
        <v>0</v>
      </c>
      <c r="AM285" s="365" t="e">
        <f t="shared" si="50"/>
        <v>#VALUE!</v>
      </c>
      <c r="AN285" s="384">
        <f t="shared" si="56"/>
        <v>1.1000000000000001</v>
      </c>
      <c r="AO285" s="388">
        <f t="shared" si="54"/>
        <v>0.98</v>
      </c>
    </row>
    <row r="286" spans="1:41" ht="13.5" thickBot="1">
      <c r="A286" s="885"/>
      <c r="B286" s="885"/>
      <c r="C286" s="9" t="s">
        <v>303</v>
      </c>
      <c r="D286" s="202"/>
      <c r="E286" s="203"/>
      <c r="F286" s="201"/>
      <c r="G286" s="202"/>
      <c r="H286" s="202"/>
      <c r="I286" s="203"/>
      <c r="J286" s="201"/>
      <c r="K286" s="202"/>
      <c r="L286" s="202"/>
      <c r="M286" s="203"/>
      <c r="N286" s="204"/>
      <c r="O286" s="214"/>
      <c r="P286" s="205"/>
      <c r="Q286" s="205"/>
      <c r="R286" s="201"/>
      <c r="S286" s="202"/>
      <c r="T286" s="202"/>
      <c r="U286" s="203"/>
      <c r="V286" s="242"/>
      <c r="W286" s="217" t="s">
        <v>633</v>
      </c>
      <c r="X286" s="241" t="s">
        <v>632</v>
      </c>
      <c r="Y286" s="197">
        <f>'State DisAgg LFx10 (2015)'!P276</f>
        <v>1</v>
      </c>
      <c r="Z286" s="195"/>
      <c r="AA286" s="196"/>
      <c r="AB286" s="196"/>
      <c r="AC286" s="197">
        <f>'State DisAgg LFx10 (2015)'!T286</f>
        <v>0</v>
      </c>
      <c r="AD286" s="195"/>
      <c r="AE286" s="197"/>
      <c r="AH286" s="354">
        <f t="shared" si="51"/>
        <v>1</v>
      </c>
      <c r="AI286" s="354">
        <f>U286-O286</f>
        <v>0</v>
      </c>
      <c r="AJ286" s="354">
        <f t="shared" si="49"/>
        <v>0</v>
      </c>
      <c r="AK286" s="364">
        <f t="shared" si="52"/>
        <v>0.4</v>
      </c>
      <c r="AL286" s="360">
        <f t="shared" si="50"/>
        <v>0</v>
      </c>
      <c r="AM286" s="365">
        <f t="shared" si="50"/>
        <v>0</v>
      </c>
    </row>
    <row r="287" spans="1:41" ht="13.5" thickBot="1">
      <c r="A287" s="885"/>
      <c r="B287" s="885"/>
      <c r="C287" s="9" t="s">
        <v>304</v>
      </c>
      <c r="D287" s="202"/>
      <c r="E287" s="203"/>
      <c r="F287" s="201"/>
      <c r="G287" s="202"/>
      <c r="H287" s="202"/>
      <c r="I287" s="203"/>
      <c r="J287" s="201"/>
      <c r="K287" s="202"/>
      <c r="L287" s="202"/>
      <c r="M287" s="203"/>
      <c r="N287" s="204"/>
      <c r="O287" s="205"/>
      <c r="P287" s="205"/>
      <c r="Q287" s="205"/>
      <c r="R287" s="201"/>
      <c r="S287" s="202"/>
      <c r="T287" s="202"/>
      <c r="U287" s="203"/>
      <c r="V287" s="242"/>
      <c r="W287" s="217" t="s">
        <v>633</v>
      </c>
      <c r="X287" s="241" t="s">
        <v>632</v>
      </c>
      <c r="Y287" s="197">
        <f>'State DisAgg LFx10 (2015)'!P277</f>
        <v>1.1000000000000001</v>
      </c>
      <c r="Z287" s="195"/>
      <c r="AA287" s="196"/>
      <c r="AB287" s="196"/>
      <c r="AC287" s="197">
        <f>'State DisAgg LFx10 (2015)'!T287</f>
        <v>0</v>
      </c>
      <c r="AD287" s="195"/>
      <c r="AE287" s="197"/>
      <c r="AH287" s="354">
        <f t="shared" si="51"/>
        <v>1.1000000000000001</v>
      </c>
      <c r="AI287" s="354">
        <f>U287-O287</f>
        <v>0</v>
      </c>
      <c r="AJ287" s="354">
        <f t="shared" si="49"/>
        <v>0</v>
      </c>
      <c r="AK287" s="366">
        <f t="shared" si="52"/>
        <v>0.42000000000000004</v>
      </c>
      <c r="AL287" s="367">
        <f t="shared" si="50"/>
        <v>0</v>
      </c>
      <c r="AM287" s="368">
        <f t="shared" si="50"/>
        <v>0</v>
      </c>
    </row>
    <row r="288" spans="1:41" ht="12.95" hidden="1" customHeight="1" thickBot="1">
      <c r="A288" s="885"/>
      <c r="B288" s="273"/>
      <c r="C288" s="231"/>
      <c r="D288" s="232"/>
      <c r="E288" s="233"/>
      <c r="F288" s="234"/>
      <c r="G288" s="232"/>
      <c r="H288" s="232"/>
      <c r="I288" s="233"/>
      <c r="J288" s="234"/>
      <c r="K288" s="232"/>
      <c r="L288" s="232"/>
      <c r="M288" s="233"/>
      <c r="N288" s="234"/>
      <c r="O288" s="232"/>
      <c r="P288" s="232"/>
      <c r="Q288" s="233"/>
      <c r="R288" s="234"/>
      <c r="S288" s="232"/>
      <c r="T288" s="232"/>
      <c r="U288" s="233"/>
      <c r="V288" s="234"/>
      <c r="W288" s="232"/>
      <c r="X288" s="232"/>
      <c r="Y288" s="233"/>
      <c r="Z288" s="234"/>
      <c r="AA288" s="232"/>
      <c r="AB288" s="232"/>
      <c r="AC288" s="233"/>
      <c r="AD288" s="234"/>
      <c r="AE288" s="233"/>
      <c r="AH288" s="354">
        <f t="shared" si="51"/>
        <v>0</v>
      </c>
      <c r="AI288" s="354">
        <f>U288-O288</f>
        <v>0</v>
      </c>
      <c r="AJ288" s="354">
        <f t="shared" si="49"/>
        <v>0</v>
      </c>
    </row>
    <row r="289" spans="1:40" ht="12.95" hidden="1" customHeight="1" thickBot="1">
      <c r="A289" s="885"/>
      <c r="B289" s="273"/>
      <c r="C289" s="231"/>
      <c r="D289" s="232"/>
      <c r="E289" s="233"/>
      <c r="F289" s="234"/>
      <c r="G289" s="232"/>
      <c r="H289" s="232"/>
      <c r="I289" s="233"/>
      <c r="J289" s="234"/>
      <c r="K289" s="232"/>
      <c r="L289" s="232"/>
      <c r="M289" s="233"/>
      <c r="N289" s="234"/>
      <c r="O289" s="232"/>
      <c r="P289" s="232"/>
      <c r="Q289" s="233"/>
      <c r="R289" s="234"/>
      <c r="S289" s="232"/>
      <c r="T289" s="232"/>
      <c r="U289" s="233"/>
      <c r="V289" s="234"/>
      <c r="W289" s="232"/>
      <c r="X289" s="232"/>
      <c r="Y289" s="233"/>
      <c r="Z289" s="234"/>
      <c r="AA289" s="232"/>
      <c r="AB289" s="232"/>
      <c r="AC289" s="233"/>
      <c r="AD289" s="234"/>
      <c r="AE289" s="233"/>
      <c r="AH289" s="354">
        <f t="shared" si="51"/>
        <v>0</v>
      </c>
      <c r="AI289" s="354">
        <f>U289-O289</f>
        <v>0</v>
      </c>
      <c r="AJ289" s="354">
        <f t="shared" si="49"/>
        <v>0</v>
      </c>
    </row>
    <row r="290" spans="1:40" ht="12.95" customHeight="1" thickBot="1">
      <c r="A290" s="885"/>
      <c r="B290" s="3" t="s">
        <v>20</v>
      </c>
      <c r="C290" s="12"/>
      <c r="D290" s="1377">
        <v>2008</v>
      </c>
      <c r="E290" s="1378"/>
      <c r="F290" s="1372">
        <v>2009</v>
      </c>
      <c r="G290" s="1373"/>
      <c r="H290" s="1373"/>
      <c r="I290" s="1374"/>
      <c r="J290" s="1372">
        <v>2010</v>
      </c>
      <c r="K290" s="1373"/>
      <c r="L290" s="1373"/>
      <c r="M290" s="1374"/>
      <c r="N290" s="1372">
        <v>2011</v>
      </c>
      <c r="O290" s="1373"/>
      <c r="P290" s="1373"/>
      <c r="Q290" s="1374"/>
      <c r="R290" s="1372">
        <v>2012</v>
      </c>
      <c r="S290" s="1373"/>
      <c r="T290" s="1373"/>
      <c r="U290" s="1374"/>
      <c r="V290" s="1372">
        <v>2013</v>
      </c>
      <c r="W290" s="1373"/>
      <c r="X290" s="1373"/>
      <c r="Y290" s="1374"/>
      <c r="Z290" s="1372">
        <v>2014</v>
      </c>
      <c r="AA290" s="1373"/>
      <c r="AB290" s="1373"/>
      <c r="AC290" s="1374"/>
      <c r="AD290" s="1372">
        <v>2015</v>
      </c>
      <c r="AE290" s="1374"/>
      <c r="AG290" s="257" t="s">
        <v>663</v>
      </c>
    </row>
    <row r="291" spans="1:40" ht="13.5" thickBot="1">
      <c r="A291" s="885"/>
      <c r="B291" s="868" t="s">
        <v>59</v>
      </c>
      <c r="C291" s="194" t="s">
        <v>610</v>
      </c>
      <c r="D291" s="206"/>
      <c r="E291" s="207"/>
      <c r="F291" s="209"/>
      <c r="G291" s="206"/>
      <c r="H291" s="206"/>
      <c r="I291" s="207"/>
      <c r="J291" s="209"/>
      <c r="K291" s="206"/>
      <c r="L291" s="206"/>
      <c r="M291" s="207"/>
      <c r="N291" s="277"/>
      <c r="O291" s="278">
        <f>(O301-J301)/5/$C$678/Spend!O291*'State Efficiency Ratios'!$C$655</f>
        <v>-66.256468701000685</v>
      </c>
      <c r="P291" s="278"/>
      <c r="Q291" s="279"/>
      <c r="R291" s="277"/>
      <c r="S291" s="278"/>
      <c r="T291" s="278"/>
      <c r="U291" s="278">
        <f>(U301-O301)/6/$C$678/Spend!U291*'State Efficiency Ratios'!$C$655</f>
        <v>331.58516333742261</v>
      </c>
      <c r="V291" s="277"/>
      <c r="W291" s="278"/>
      <c r="X291" s="278"/>
      <c r="Y291" s="278">
        <f>(Y301-U301)/4/$C$678/Spend!Y291*'State Efficiency Ratios'!$C$655</f>
        <v>28.902891679581781</v>
      </c>
      <c r="Z291" s="277"/>
      <c r="AA291" s="278"/>
      <c r="AB291" s="278"/>
      <c r="AC291" s="278">
        <f>(AC301-Y301)/4/$C$678/Spend!AC291*'State Efficiency Ratios'!$C$655</f>
        <v>-848.05018910097283</v>
      </c>
      <c r="AD291" s="277"/>
      <c r="AE291" s="280"/>
      <c r="AG291" s="295"/>
      <c r="AN291" s="385">
        <f>(O301-J301)/7/$C$673/Spend!O291*'State Efficiency Ratios'!$C$655</f>
        <v>-47.326049072143341</v>
      </c>
    </row>
    <row r="292" spans="1:40" ht="13.5" thickBot="1">
      <c r="A292" s="885"/>
      <c r="B292" s="885"/>
      <c r="C292" s="194" t="s">
        <v>611</v>
      </c>
      <c r="D292" s="206"/>
      <c r="E292" s="207"/>
      <c r="F292" s="209"/>
      <c r="G292" s="206"/>
      <c r="H292" s="206"/>
      <c r="I292" s="207"/>
      <c r="J292" s="209"/>
      <c r="K292" s="206"/>
      <c r="L292" s="206"/>
      <c r="M292" s="207"/>
      <c r="N292" s="277"/>
      <c r="O292" s="278">
        <f>(O302-J302)/5/$C$678/Spend!O292*'State Efficiency Ratios'!$C$655</f>
        <v>36.098892947717111</v>
      </c>
      <c r="P292" s="278"/>
      <c r="Q292" s="279"/>
      <c r="R292" s="277"/>
      <c r="S292" s="278"/>
      <c r="T292" s="278"/>
      <c r="U292" s="278">
        <f>(U302-O302)/6/$C$678/Spend!U292*'State Efficiency Ratios'!$C$655</f>
        <v>214.09455550822645</v>
      </c>
      <c r="V292" s="277"/>
      <c r="W292" s="278"/>
      <c r="X292" s="278"/>
      <c r="Y292" s="278">
        <f>(Y302-U302)/4/$C$678/Spend!Y292*'State Efficiency Ratios'!$C$655</f>
        <v>173.25905281741478</v>
      </c>
      <c r="Z292" s="277"/>
      <c r="AA292" s="278"/>
      <c r="AB292" s="278"/>
      <c r="AC292" s="278">
        <f>(AC302-Y302)/4/$C$678/Spend!AC292*'State Efficiency Ratios'!$C$655</f>
        <v>-1091.2079684865678</v>
      </c>
      <c r="AD292" s="277"/>
      <c r="AE292" s="280"/>
      <c r="AG292" s="295"/>
      <c r="AN292" s="385">
        <f>(O302-J302)/7/$C$673/Spend!O292*'State Efficiency Ratios'!$C$655</f>
        <v>25.784923534083649</v>
      </c>
    </row>
    <row r="293" spans="1:40" ht="13.5" thickBot="1">
      <c r="A293" s="885"/>
      <c r="B293" s="885"/>
      <c r="C293" s="194" t="s">
        <v>612</v>
      </c>
      <c r="D293" s="206"/>
      <c r="E293" s="207"/>
      <c r="F293" s="209"/>
      <c r="G293" s="206"/>
      <c r="H293" s="206"/>
      <c r="I293" s="207"/>
      <c r="J293" s="209"/>
      <c r="K293" s="206"/>
      <c r="L293" s="206"/>
      <c r="M293" s="207"/>
      <c r="N293" s="277"/>
      <c r="O293" s="278">
        <f>(O303-J303)/5/$C$678/Spend!O293*'State Efficiency Ratios'!$C$655</f>
        <v>0</v>
      </c>
      <c r="P293" s="278"/>
      <c r="Q293" s="279"/>
      <c r="R293" s="277"/>
      <c r="S293" s="278"/>
      <c r="T293" s="278"/>
      <c r="U293" s="278">
        <f>(U303-O303)/6/$C$678/Spend!U293*'State Efficiency Ratios'!$C$655</f>
        <v>121.43458301754086</v>
      </c>
      <c r="V293" s="277"/>
      <c r="W293" s="278"/>
      <c r="X293" s="278"/>
      <c r="Y293" s="278">
        <f>(Y303-U303)/4/$C$678/Spend!Y293*'State Efficiency Ratios'!$C$655</f>
        <v>159.8633660738009</v>
      </c>
      <c r="Z293" s="277"/>
      <c r="AA293" s="278"/>
      <c r="AB293" s="278"/>
      <c r="AC293" s="278">
        <f>(AC303-Y303)/4/$C$678/Spend!AC293*'State Efficiency Ratios'!$C$655</f>
        <v>-808.31343723003238</v>
      </c>
      <c r="AD293" s="277"/>
      <c r="AE293" s="280"/>
      <c r="AG293" s="295"/>
      <c r="AN293" s="385">
        <f>(O303-J303)/7/$C$673/Spend!O293*'State Efficiency Ratios'!$C$655</f>
        <v>0</v>
      </c>
    </row>
    <row r="294" spans="1:40" ht="13.5" thickBot="1">
      <c r="A294" s="885"/>
      <c r="B294" s="885"/>
      <c r="C294" s="194" t="s">
        <v>613</v>
      </c>
      <c r="D294" s="206"/>
      <c r="E294" s="207"/>
      <c r="F294" s="209"/>
      <c r="G294" s="206"/>
      <c r="H294" s="206"/>
      <c r="I294" s="207"/>
      <c r="J294" s="209"/>
      <c r="K294" s="206"/>
      <c r="L294" s="206"/>
      <c r="M294" s="207"/>
      <c r="N294" s="277"/>
      <c r="O294" s="278">
        <f>(O304-J304)/5/$C$678/Spend!O294*'State Efficiency Ratios'!$C$655</f>
        <v>0</v>
      </c>
      <c r="P294" s="278"/>
      <c r="Q294" s="279"/>
      <c r="R294" s="277"/>
      <c r="S294" s="278"/>
      <c r="T294" s="278"/>
      <c r="U294" s="278">
        <f>(U304-O304)/6/$C$678/Spend!U294*'State Efficiency Ratios'!$C$655</f>
        <v>298.61170665287824</v>
      </c>
      <c r="V294" s="277"/>
      <c r="W294" s="278"/>
      <c r="X294" s="278"/>
      <c r="Y294" s="278">
        <f>(Y304-U304)/4/$C$678/Spend!Y294*'State Efficiency Ratios'!$C$655</f>
        <v>86.284901522353806</v>
      </c>
      <c r="Z294" s="277"/>
      <c r="AA294" s="278"/>
      <c r="AB294" s="278"/>
      <c r="AC294" s="278">
        <f>(AC304-Y304)/4/$C$678/Spend!AC294*'State Efficiency Ratios'!$C$655</f>
        <v>-477.03548425632749</v>
      </c>
      <c r="AD294" s="277"/>
      <c r="AE294" s="280"/>
      <c r="AG294" s="295"/>
      <c r="AN294" s="385">
        <f>(O304-J304)/7/$C$673/Spend!O294*'State Efficiency Ratios'!$C$655</f>
        <v>0</v>
      </c>
    </row>
    <row r="295" spans="1:40" ht="13.5" thickBot="1">
      <c r="A295" s="885"/>
      <c r="B295" s="885"/>
      <c r="C295" s="194" t="s">
        <v>614</v>
      </c>
      <c r="D295" s="206"/>
      <c r="E295" s="207"/>
      <c r="F295" s="209"/>
      <c r="G295" s="206"/>
      <c r="H295" s="206"/>
      <c r="I295" s="207"/>
      <c r="J295" s="209"/>
      <c r="K295" s="206"/>
      <c r="L295" s="206"/>
      <c r="M295" s="207"/>
      <c r="N295" s="277"/>
      <c r="O295" s="278">
        <f>(O305-J305)/5/$C$678/Spend!O295*'State Efficiency Ratios'!$C$655</f>
        <v>0</v>
      </c>
      <c r="P295" s="278"/>
      <c r="Q295" s="279"/>
      <c r="R295" s="277"/>
      <c r="S295" s="278"/>
      <c r="T295" s="278"/>
      <c r="U295" s="278">
        <f>(U305-O305)/6/$C$678/Spend!U295*'State Efficiency Ratios'!$C$655</f>
        <v>148.63924251049474</v>
      </c>
      <c r="V295" s="277"/>
      <c r="W295" s="278"/>
      <c r="X295" s="278"/>
      <c r="Y295" s="278">
        <f>(Y305-U305)/4/$C$678/Spend!Y295*'State Efficiency Ratios'!$C$655</f>
        <v>179.11201567148277</v>
      </c>
      <c r="Z295" s="277"/>
      <c r="AA295" s="278"/>
      <c r="AB295" s="278"/>
      <c r="AC295" s="278">
        <f>(AC305-Y305)/4/$C$678/Spend!AC295*'State Efficiency Ratios'!$C$655</f>
        <v>-740.77766014534996</v>
      </c>
      <c r="AD295" s="277"/>
      <c r="AE295" s="280"/>
      <c r="AG295" s="295"/>
      <c r="AN295" s="385">
        <f>(O305-J305)/7/$C$673/Spend!O295*'State Efficiency Ratios'!$C$655</f>
        <v>0</v>
      </c>
    </row>
    <row r="296" spans="1:40" ht="12.95" customHeight="1" thickBot="1">
      <c r="A296" s="885"/>
      <c r="B296" s="885"/>
      <c r="C296" s="194" t="s">
        <v>615</v>
      </c>
      <c r="D296" s="210"/>
      <c r="E296" s="211"/>
      <c r="F296" s="209"/>
      <c r="G296" s="210"/>
      <c r="H296" s="210"/>
      <c r="I296" s="211"/>
      <c r="J296" s="209"/>
      <c r="K296" s="210"/>
      <c r="L296" s="210"/>
      <c r="M296" s="211"/>
      <c r="N296" s="281"/>
      <c r="O296" s="282"/>
      <c r="P296" s="282"/>
      <c r="Q296" s="282"/>
      <c r="R296" s="277"/>
      <c r="S296" s="278"/>
      <c r="T296" s="278"/>
      <c r="U296" s="278">
        <f>(U306-R306)/3/$C$678/Spend!U296*'State Efficiency Ratios'!$C$655</f>
        <v>0</v>
      </c>
      <c r="V296" s="277"/>
      <c r="W296" s="278"/>
      <c r="X296" s="278"/>
      <c r="Y296" s="278">
        <f>(Y306-U306)/4/$C$678/Spend!Y296*'State Efficiency Ratios'!$C$655</f>
        <v>689.17427757182281</v>
      </c>
      <c r="Z296" s="277"/>
      <c r="AA296" s="278"/>
      <c r="AB296" s="278"/>
      <c r="AC296" s="278">
        <f>(AC306-Y306)/4/$C$678/Spend!AC296*'State Efficiency Ratios'!$C$655</f>
        <v>-938.88361498150687</v>
      </c>
      <c r="AD296" s="277"/>
      <c r="AE296" s="280"/>
      <c r="AG296" s="295"/>
      <c r="AN296" s="385">
        <f>(Y306-R306)/7/$C$673/(Spend!U296+Spend!Y296)*'State Efficiency Ratios'!$C$655</f>
        <v>185.13320439988149</v>
      </c>
    </row>
    <row r="297" spans="1:40" ht="12.95" customHeight="1" thickBot="1">
      <c r="A297" s="885"/>
      <c r="B297" s="885"/>
      <c r="C297" s="194" t="s">
        <v>616</v>
      </c>
      <c r="D297" s="210"/>
      <c r="E297" s="211"/>
      <c r="F297" s="209"/>
      <c r="G297" s="210"/>
      <c r="H297" s="210"/>
      <c r="I297" s="211"/>
      <c r="J297" s="209"/>
      <c r="K297" s="210"/>
      <c r="L297" s="210"/>
      <c r="M297" s="211"/>
      <c r="N297" s="281"/>
      <c r="O297" s="282"/>
      <c r="P297" s="282"/>
      <c r="Q297" s="282"/>
      <c r="R297" s="277"/>
      <c r="S297" s="278"/>
      <c r="T297" s="278"/>
      <c r="U297" s="278">
        <f>(U307-R307)/3/$C$678/Spend!U297*'State Efficiency Ratios'!$C$655</f>
        <v>0</v>
      </c>
      <c r="V297" s="277"/>
      <c r="W297" s="278"/>
      <c r="X297" s="278"/>
      <c r="Y297" s="278">
        <f>(Y307-U307)/4/$C$678/Spend!Y297*'State Efficiency Ratios'!$C$655</f>
        <v>0</v>
      </c>
      <c r="Z297" s="277"/>
      <c r="AA297" s="278"/>
      <c r="AB297" s="278"/>
      <c r="AC297" s="278">
        <f>(AC307-Y307)/4/$C$678/Spend!AC297*'State Efficiency Ratios'!$C$655</f>
        <v>-301.60333457714768</v>
      </c>
      <c r="AD297" s="277"/>
      <c r="AE297" s="280"/>
      <c r="AG297" s="295"/>
      <c r="AN297" s="385">
        <f>(Y307-R307)/7/$C$673/(Spend!U297+Spend!Y297)*'State Efficiency Ratios'!$C$655</f>
        <v>0</v>
      </c>
    </row>
    <row r="298" spans="1:40" ht="12.95" customHeight="1" thickBot="1">
      <c r="A298" s="885"/>
      <c r="B298" s="885"/>
      <c r="C298" s="194" t="s">
        <v>617</v>
      </c>
      <c r="D298" s="210"/>
      <c r="E298" s="211"/>
      <c r="F298" s="209"/>
      <c r="G298" s="210"/>
      <c r="H298" s="210"/>
      <c r="I298" s="211"/>
      <c r="J298" s="209"/>
      <c r="K298" s="210"/>
      <c r="L298" s="210"/>
      <c r="M298" s="211"/>
      <c r="N298" s="281"/>
      <c r="O298" s="282"/>
      <c r="P298" s="282"/>
      <c r="Q298" s="282"/>
      <c r="R298" s="277"/>
      <c r="S298" s="278"/>
      <c r="T298" s="278"/>
      <c r="U298" s="278">
        <f>(U308-R308)/3/$C$678/Spend!U298*'State Efficiency Ratios'!$C$655</f>
        <v>0</v>
      </c>
      <c r="V298" s="277"/>
      <c r="W298" s="278"/>
      <c r="X298" s="278"/>
      <c r="Y298" s="278">
        <f>(Y308-U308)/4/$C$678/Spend!Y298*'State Efficiency Ratios'!$C$655</f>
        <v>1174.6258745924426</v>
      </c>
      <c r="Z298" s="277"/>
      <c r="AA298" s="278"/>
      <c r="AB298" s="278"/>
      <c r="AC298" s="278">
        <f>(AC308-Y308)/4/$C$678/Spend!AC298*'State Efficiency Ratios'!$C$655</f>
        <v>-1315.5702593521855</v>
      </c>
      <c r="AD298" s="277"/>
      <c r="AE298" s="280"/>
      <c r="AG298" s="295"/>
      <c r="AN298" s="385">
        <f>(Y308-R308)/7/$C$673/(Spend!U298+Spend!Y298)*'State Efficiency Ratios'!$C$655</f>
        <v>261.53877337654524</v>
      </c>
    </row>
    <row r="299" spans="1:40" ht="12.95" customHeight="1" thickBot="1">
      <c r="A299" s="885"/>
      <c r="B299" s="885"/>
      <c r="C299" s="194" t="s">
        <v>618</v>
      </c>
      <c r="D299" s="210"/>
      <c r="E299" s="211"/>
      <c r="F299" s="209"/>
      <c r="G299" s="210"/>
      <c r="H299" s="210"/>
      <c r="I299" s="211"/>
      <c r="J299" s="209"/>
      <c r="K299" s="210"/>
      <c r="L299" s="210"/>
      <c r="M299" s="211"/>
      <c r="N299" s="281"/>
      <c r="O299" s="282"/>
      <c r="P299" s="282"/>
      <c r="Q299" s="283"/>
      <c r="R299" s="281"/>
      <c r="S299" s="282"/>
      <c r="T299" s="282"/>
      <c r="U299" s="283"/>
      <c r="V299" s="281"/>
      <c r="W299" s="282"/>
      <c r="X299" s="282"/>
      <c r="Y299" s="283"/>
      <c r="Z299" s="277"/>
      <c r="AA299" s="278"/>
      <c r="AB299" s="278"/>
      <c r="AC299" s="278">
        <f>(AC309-Y309)/4/$C$678/Spend!AC299*'State Efficiency Ratios'!$C$655</f>
        <v>-330.85523203186438</v>
      </c>
      <c r="AD299" s="277"/>
      <c r="AE299" s="280"/>
      <c r="AG299" s="295"/>
    </row>
    <row r="300" spans="1:40" ht="12.95" customHeight="1" thickBot="1">
      <c r="A300" s="885"/>
      <c r="B300" s="885"/>
      <c r="C300" s="194" t="s">
        <v>619</v>
      </c>
      <c r="D300" s="210"/>
      <c r="E300" s="211"/>
      <c r="F300" s="209"/>
      <c r="G300" s="210"/>
      <c r="H300" s="210"/>
      <c r="I300" s="211"/>
      <c r="J300" s="209"/>
      <c r="K300" s="210"/>
      <c r="L300" s="210"/>
      <c r="M300" s="211"/>
      <c r="N300" s="281"/>
      <c r="O300" s="282"/>
      <c r="P300" s="282"/>
      <c r="Q300" s="283"/>
      <c r="R300" s="281"/>
      <c r="S300" s="282"/>
      <c r="T300" s="282"/>
      <c r="U300" s="283"/>
      <c r="V300" s="281"/>
      <c r="W300" s="282"/>
      <c r="X300" s="282"/>
      <c r="Y300" s="283"/>
      <c r="Z300" s="277"/>
      <c r="AA300" s="278"/>
      <c r="AB300" s="278"/>
      <c r="AC300" s="278">
        <f>(AC310-Y310)/4/$C$678/Spend!AC300*'State Efficiency Ratios'!$C$655</f>
        <v>-301.84039892684109</v>
      </c>
      <c r="AD300" s="277"/>
      <c r="AE300" s="280"/>
      <c r="AG300" s="295"/>
    </row>
    <row r="301" spans="1:40" ht="13.5" thickBot="1">
      <c r="A301" s="885"/>
      <c r="B301" s="885"/>
      <c r="C301" s="9" t="s">
        <v>295</v>
      </c>
      <c r="D301" s="241" t="s">
        <v>632</v>
      </c>
      <c r="E301" s="241" t="s">
        <v>632</v>
      </c>
      <c r="F301" s="243" t="s">
        <v>646</v>
      </c>
      <c r="G301" s="241" t="s">
        <v>646</v>
      </c>
      <c r="H301" s="241" t="s">
        <v>646</v>
      </c>
      <c r="I301" s="244" t="s">
        <v>646</v>
      </c>
      <c r="J301" s="195">
        <f>'State DisAgg LFx10 (2015)'!D291</f>
        <v>1</v>
      </c>
      <c r="K301" s="196"/>
      <c r="L301" s="196"/>
      <c r="M301" s="197"/>
      <c r="N301" s="195"/>
      <c r="O301" s="196">
        <f>'State DisAgg LFx10 (2015)'!H301</f>
        <v>0</v>
      </c>
      <c r="P301" s="196"/>
      <c r="Q301" s="197"/>
      <c r="R301" s="195"/>
      <c r="S301" s="196"/>
      <c r="T301" s="196"/>
      <c r="U301" s="197">
        <f>'State DisAgg LFx10 (2015)'!L301</f>
        <v>2.8</v>
      </c>
      <c r="V301" s="195"/>
      <c r="W301" s="196"/>
      <c r="X301" s="196"/>
      <c r="Y301" s="197">
        <f>'State DisAgg LFx10 (2015)'!P301</f>
        <v>2.9</v>
      </c>
      <c r="Z301" s="195"/>
      <c r="AA301" s="196"/>
      <c r="AB301" s="196"/>
      <c r="AC301" s="197">
        <f>'State DisAgg LFx10 (2015)'!T301</f>
        <v>0</v>
      </c>
      <c r="AD301" s="195"/>
      <c r="AE301" s="197"/>
      <c r="AH301" s="354">
        <f>Y301-U301</f>
        <v>0.10000000000000009</v>
      </c>
      <c r="AI301" s="354">
        <f>U301-O301</f>
        <v>2.8</v>
      </c>
      <c r="AJ301" s="354">
        <f t="shared" ref="AJ301:AJ312" si="57">O301-J301</f>
        <v>-1</v>
      </c>
      <c r="AN301" s="384">
        <f>(O301-J301)</f>
        <v>-1</v>
      </c>
    </row>
    <row r="302" spans="1:40" ht="13.5" thickBot="1">
      <c r="A302" s="885"/>
      <c r="B302" s="885"/>
      <c r="C302" s="9" t="s">
        <v>296</v>
      </c>
      <c r="D302" s="241" t="s">
        <v>632</v>
      </c>
      <c r="E302" s="241" t="s">
        <v>632</v>
      </c>
      <c r="F302" s="243" t="s">
        <v>646</v>
      </c>
      <c r="G302" s="241" t="s">
        <v>646</v>
      </c>
      <c r="H302" s="241" t="s">
        <v>646</v>
      </c>
      <c r="I302" s="244" t="s">
        <v>646</v>
      </c>
      <c r="J302" s="195">
        <f>'State DisAgg LFx10 (2015)'!D292</f>
        <v>1</v>
      </c>
      <c r="K302" s="196"/>
      <c r="L302" s="196"/>
      <c r="M302" s="197"/>
      <c r="N302" s="195"/>
      <c r="O302" s="196">
        <f>'State DisAgg LFx10 (2015)'!H302</f>
        <v>1.5</v>
      </c>
      <c r="P302" s="196"/>
      <c r="Q302" s="197"/>
      <c r="R302" s="195"/>
      <c r="S302" s="196"/>
      <c r="T302" s="196"/>
      <c r="U302" s="197">
        <f>'State DisAgg LFx10 (2015)'!L302</f>
        <v>3.2</v>
      </c>
      <c r="V302" s="195"/>
      <c r="W302" s="196"/>
      <c r="X302" s="196"/>
      <c r="Y302" s="197">
        <f>'State DisAgg LFx10 (2015)'!P302</f>
        <v>3.8</v>
      </c>
      <c r="Z302" s="195"/>
      <c r="AA302" s="196"/>
      <c r="AB302" s="196"/>
      <c r="AC302" s="197">
        <f>'State DisAgg LFx10 (2015)'!T302</f>
        <v>0</v>
      </c>
      <c r="AD302" s="195"/>
      <c r="AE302" s="197"/>
      <c r="AH302" s="354">
        <f t="shared" ref="AH302:AH312" si="58">Y302-U302</f>
        <v>0.59999999999999964</v>
      </c>
      <c r="AI302" s="354">
        <f>U302-O302</f>
        <v>1.7000000000000002</v>
      </c>
      <c r="AJ302" s="354">
        <f t="shared" si="57"/>
        <v>0.5</v>
      </c>
      <c r="AN302" s="384">
        <f t="shared" ref="AN302:AN305" si="59">(O302-J302)</f>
        <v>0.5</v>
      </c>
    </row>
    <row r="303" spans="1:40" ht="13.5" thickBot="1">
      <c r="A303" s="885"/>
      <c r="B303" s="885"/>
      <c r="C303" s="9" t="s">
        <v>297</v>
      </c>
      <c r="D303" s="241" t="s">
        <v>632</v>
      </c>
      <c r="E303" s="241" t="s">
        <v>632</v>
      </c>
      <c r="F303" s="243" t="s">
        <v>646</v>
      </c>
      <c r="G303" s="241" t="s">
        <v>646</v>
      </c>
      <c r="H303" s="241" t="s">
        <v>646</v>
      </c>
      <c r="I303" s="244" t="s">
        <v>646</v>
      </c>
      <c r="J303" s="195">
        <f>'State DisAgg LFx10 (2015)'!D293</f>
        <v>1</v>
      </c>
      <c r="K303" s="196"/>
      <c r="L303" s="196"/>
      <c r="M303" s="197"/>
      <c r="N303" s="195"/>
      <c r="O303" s="196">
        <f>'State DisAgg LFx10 (2015)'!H303</f>
        <v>1</v>
      </c>
      <c r="P303" s="196"/>
      <c r="Q303" s="197"/>
      <c r="R303" s="195"/>
      <c r="S303" s="196"/>
      <c r="T303" s="196"/>
      <c r="U303" s="197">
        <f>'State DisAgg LFx10 (2015)'!L303</f>
        <v>2</v>
      </c>
      <c r="V303" s="195"/>
      <c r="W303" s="196"/>
      <c r="X303" s="196"/>
      <c r="Y303" s="197">
        <f>'State DisAgg LFx10 (2015)'!P303</f>
        <v>2.6</v>
      </c>
      <c r="Z303" s="195"/>
      <c r="AA303" s="196"/>
      <c r="AB303" s="196"/>
      <c r="AC303" s="197">
        <f>'State DisAgg LFx10 (2015)'!T303</f>
        <v>0</v>
      </c>
      <c r="AD303" s="195"/>
      <c r="AE303" s="197"/>
      <c r="AH303" s="354">
        <f t="shared" si="58"/>
        <v>0.60000000000000009</v>
      </c>
      <c r="AI303" s="354">
        <f>U303-O303</f>
        <v>1</v>
      </c>
      <c r="AJ303" s="354">
        <f t="shared" si="57"/>
        <v>0</v>
      </c>
      <c r="AN303" s="384">
        <f t="shared" si="59"/>
        <v>0</v>
      </c>
    </row>
    <row r="304" spans="1:40" ht="13.5" thickBot="1">
      <c r="A304" s="885"/>
      <c r="B304" s="885"/>
      <c r="C304" s="9" t="s">
        <v>298</v>
      </c>
      <c r="D304" s="241" t="s">
        <v>632</v>
      </c>
      <c r="E304" s="241" t="s">
        <v>632</v>
      </c>
      <c r="F304" s="243" t="s">
        <v>646</v>
      </c>
      <c r="G304" s="241" t="s">
        <v>646</v>
      </c>
      <c r="H304" s="241" t="s">
        <v>646</v>
      </c>
      <c r="I304" s="244" t="s">
        <v>646</v>
      </c>
      <c r="J304" s="195">
        <f>'State DisAgg LFx10 (2015)'!D294</f>
        <v>1</v>
      </c>
      <c r="K304" s="196"/>
      <c r="L304" s="196"/>
      <c r="M304" s="197"/>
      <c r="N304" s="195"/>
      <c r="O304" s="196">
        <f>'State DisAgg LFx10 (2015)'!H304</f>
        <v>1</v>
      </c>
      <c r="P304" s="196"/>
      <c r="Q304" s="197"/>
      <c r="R304" s="195"/>
      <c r="S304" s="196"/>
      <c r="T304" s="196"/>
      <c r="U304" s="197">
        <f>'State DisAgg LFx10 (2015)'!L304</f>
        <v>3.6</v>
      </c>
      <c r="V304" s="195"/>
      <c r="W304" s="196"/>
      <c r="X304" s="196"/>
      <c r="Y304" s="197">
        <f>'State DisAgg LFx10 (2015)'!P304</f>
        <v>4</v>
      </c>
      <c r="Z304" s="195"/>
      <c r="AA304" s="196"/>
      <c r="AB304" s="196"/>
      <c r="AC304" s="197">
        <f>'State DisAgg LFx10 (2015)'!T304</f>
        <v>0</v>
      </c>
      <c r="AD304" s="195"/>
      <c r="AE304" s="197"/>
      <c r="AH304" s="354">
        <f t="shared" si="58"/>
        <v>0.39999999999999991</v>
      </c>
      <c r="AI304" s="354">
        <f>U304-O304</f>
        <v>2.6</v>
      </c>
      <c r="AJ304" s="354">
        <f t="shared" si="57"/>
        <v>0</v>
      </c>
      <c r="AN304" s="384">
        <f t="shared" si="59"/>
        <v>0</v>
      </c>
    </row>
    <row r="305" spans="1:40" ht="13.5" thickBot="1">
      <c r="A305" s="885"/>
      <c r="B305" s="885"/>
      <c r="C305" s="9" t="s">
        <v>299</v>
      </c>
      <c r="D305" s="241" t="s">
        <v>632</v>
      </c>
      <c r="E305" s="241" t="s">
        <v>632</v>
      </c>
      <c r="F305" s="243" t="s">
        <v>646</v>
      </c>
      <c r="G305" s="241" t="s">
        <v>646</v>
      </c>
      <c r="H305" s="241" t="s">
        <v>646</v>
      </c>
      <c r="I305" s="244" t="s">
        <v>646</v>
      </c>
      <c r="J305" s="195">
        <f>'State DisAgg LFx10 (2015)'!D295</f>
        <v>1</v>
      </c>
      <c r="K305" s="196"/>
      <c r="L305" s="196"/>
      <c r="M305" s="197"/>
      <c r="N305" s="195"/>
      <c r="O305" s="196">
        <f>'State DisAgg LFx10 (2015)'!H305</f>
        <v>1</v>
      </c>
      <c r="P305" s="196"/>
      <c r="Q305" s="197"/>
      <c r="R305" s="195"/>
      <c r="S305" s="196"/>
      <c r="T305" s="196"/>
      <c r="U305" s="197">
        <f>'State DisAgg LFx10 (2015)'!L305</f>
        <v>2.9</v>
      </c>
      <c r="V305" s="195"/>
      <c r="W305" s="196"/>
      <c r="X305" s="196"/>
      <c r="Y305" s="197">
        <f>'State DisAgg LFx10 (2015)'!P305</f>
        <v>3.5</v>
      </c>
      <c r="Z305" s="195"/>
      <c r="AA305" s="196"/>
      <c r="AB305" s="196"/>
      <c r="AC305" s="197">
        <f>'State DisAgg LFx10 (2015)'!T305</f>
        <v>0</v>
      </c>
      <c r="AD305" s="195"/>
      <c r="AE305" s="197"/>
      <c r="AH305" s="354">
        <f t="shared" si="58"/>
        <v>0.60000000000000009</v>
      </c>
      <c r="AI305" s="354">
        <f>U305-O305</f>
        <v>1.9</v>
      </c>
      <c r="AJ305" s="354">
        <f t="shared" si="57"/>
        <v>0</v>
      </c>
      <c r="AN305" s="384">
        <f t="shared" si="59"/>
        <v>0</v>
      </c>
    </row>
    <row r="306" spans="1:40" ht="13.5" thickBot="1">
      <c r="A306" s="885"/>
      <c r="B306" s="885"/>
      <c r="C306" s="9" t="s">
        <v>300</v>
      </c>
      <c r="D306" s="199"/>
      <c r="E306" s="200"/>
      <c r="F306" s="201"/>
      <c r="G306" s="199"/>
      <c r="H306" s="199"/>
      <c r="I306" s="200"/>
      <c r="J306" s="201"/>
      <c r="K306" s="199"/>
      <c r="L306" s="199"/>
      <c r="M306" s="200"/>
      <c r="N306" s="198"/>
      <c r="O306" s="217" t="s">
        <v>634</v>
      </c>
      <c r="P306" s="241" t="s">
        <v>632</v>
      </c>
      <c r="Q306" s="244" t="s">
        <v>646</v>
      </c>
      <c r="R306" s="195">
        <f>'State DisAgg LFx10 (2015)'!H296</f>
        <v>1</v>
      </c>
      <c r="S306" s="196"/>
      <c r="T306" s="196"/>
      <c r="U306" s="197">
        <f>'State DisAgg LFx10 (2015)'!L306</f>
        <v>1</v>
      </c>
      <c r="V306" s="195"/>
      <c r="W306" s="196"/>
      <c r="X306" s="196"/>
      <c r="Y306" s="197">
        <f>'State DisAgg LFx10 (2015)'!P306</f>
        <v>3.2</v>
      </c>
      <c r="Z306" s="195"/>
      <c r="AA306" s="196"/>
      <c r="AB306" s="196"/>
      <c r="AC306" s="197">
        <f>'State DisAgg LFx10 (2015)'!T306</f>
        <v>0</v>
      </c>
      <c r="AD306" s="195"/>
      <c r="AE306" s="197"/>
      <c r="AH306" s="354">
        <f t="shared" si="58"/>
        <v>2.2000000000000002</v>
      </c>
      <c r="AI306" s="354">
        <f>U306-R306</f>
        <v>0</v>
      </c>
      <c r="AJ306" s="354" t="e">
        <f t="shared" si="57"/>
        <v>#VALUE!</v>
      </c>
      <c r="AN306" s="384">
        <f>(Y306-R306)</f>
        <v>2.2000000000000002</v>
      </c>
    </row>
    <row r="307" spans="1:40" ht="13.5" thickBot="1">
      <c r="A307" s="885"/>
      <c r="B307" s="885"/>
      <c r="C307" s="9" t="s">
        <v>301</v>
      </c>
      <c r="D307" s="199"/>
      <c r="E307" s="200"/>
      <c r="F307" s="201"/>
      <c r="G307" s="199"/>
      <c r="H307" s="199"/>
      <c r="I307" s="200"/>
      <c r="J307" s="201"/>
      <c r="K307" s="199"/>
      <c r="L307" s="199"/>
      <c r="M307" s="200"/>
      <c r="N307" s="198"/>
      <c r="O307" s="217" t="s">
        <v>634</v>
      </c>
      <c r="P307" s="241" t="s">
        <v>632</v>
      </c>
      <c r="Q307" s="244" t="s">
        <v>646</v>
      </c>
      <c r="R307" s="195">
        <f>'State DisAgg LFx10 (2015)'!H297</f>
        <v>1</v>
      </c>
      <c r="S307" s="196"/>
      <c r="T307" s="196"/>
      <c r="U307" s="197">
        <f>'State DisAgg LFx10 (2015)'!L307</f>
        <v>1</v>
      </c>
      <c r="V307" s="195"/>
      <c r="W307" s="196"/>
      <c r="X307" s="196"/>
      <c r="Y307" s="197">
        <f>'State DisAgg LFx10 (2015)'!P307</f>
        <v>1</v>
      </c>
      <c r="Z307" s="195"/>
      <c r="AA307" s="196"/>
      <c r="AB307" s="196"/>
      <c r="AC307" s="197">
        <f>'State DisAgg LFx10 (2015)'!T307</f>
        <v>0</v>
      </c>
      <c r="AD307" s="195"/>
      <c r="AE307" s="197"/>
      <c r="AH307" s="354">
        <f t="shared" si="58"/>
        <v>0</v>
      </c>
      <c r="AI307" s="354">
        <f t="shared" ref="AI307:AI308" si="60">U307-R307</f>
        <v>0</v>
      </c>
      <c r="AJ307" s="354" t="e">
        <f t="shared" si="57"/>
        <v>#VALUE!</v>
      </c>
      <c r="AN307" s="384">
        <f t="shared" ref="AN307:AN308" si="61">(Y307-R307)</f>
        <v>0</v>
      </c>
    </row>
    <row r="308" spans="1:40" ht="13.5" thickBot="1">
      <c r="A308" s="885"/>
      <c r="B308" s="885"/>
      <c r="C308" s="9" t="s">
        <v>302</v>
      </c>
      <c r="D308" s="199"/>
      <c r="E308" s="200"/>
      <c r="F308" s="201"/>
      <c r="G308" s="199"/>
      <c r="H308" s="199"/>
      <c r="I308" s="200"/>
      <c r="J308" s="201"/>
      <c r="K308" s="199"/>
      <c r="L308" s="199"/>
      <c r="M308" s="200"/>
      <c r="N308" s="198"/>
      <c r="O308" s="217" t="s">
        <v>634</v>
      </c>
      <c r="P308" s="241" t="s">
        <v>632</v>
      </c>
      <c r="Q308" s="244" t="s">
        <v>646</v>
      </c>
      <c r="R308" s="195">
        <f>'State DisAgg LFx10 (2015)'!H298</f>
        <v>1</v>
      </c>
      <c r="S308" s="196"/>
      <c r="T308" s="196"/>
      <c r="U308" s="197">
        <f>'State DisAgg LFx10 (2015)'!L308</f>
        <v>1</v>
      </c>
      <c r="V308" s="195"/>
      <c r="W308" s="196"/>
      <c r="X308" s="196"/>
      <c r="Y308" s="197">
        <f>'State DisAgg LFx10 (2015)'!P308</f>
        <v>3.8</v>
      </c>
      <c r="Z308" s="195"/>
      <c r="AA308" s="196"/>
      <c r="AB308" s="196"/>
      <c r="AC308" s="197">
        <f>'State DisAgg LFx10 (2015)'!T308</f>
        <v>0</v>
      </c>
      <c r="AD308" s="195"/>
      <c r="AE308" s="197"/>
      <c r="AH308" s="354">
        <f t="shared" si="58"/>
        <v>2.8</v>
      </c>
      <c r="AI308" s="354">
        <f t="shared" si="60"/>
        <v>0</v>
      </c>
      <c r="AJ308" s="354" t="e">
        <f t="shared" si="57"/>
        <v>#VALUE!</v>
      </c>
      <c r="AN308" s="384">
        <f t="shared" si="61"/>
        <v>2.8</v>
      </c>
    </row>
    <row r="309" spans="1:40" ht="13.5" thickBot="1">
      <c r="A309" s="885"/>
      <c r="B309" s="885"/>
      <c r="C309" s="9" t="s">
        <v>303</v>
      </c>
      <c r="D309" s="202"/>
      <c r="E309" s="203"/>
      <c r="F309" s="201"/>
      <c r="G309" s="202"/>
      <c r="H309" s="202"/>
      <c r="I309" s="203"/>
      <c r="J309" s="201"/>
      <c r="K309" s="202"/>
      <c r="L309" s="202"/>
      <c r="M309" s="203"/>
      <c r="N309" s="204"/>
      <c r="O309" s="214"/>
      <c r="P309" s="205"/>
      <c r="Q309" s="205"/>
      <c r="R309" s="201"/>
      <c r="S309" s="202"/>
      <c r="T309" s="202"/>
      <c r="U309" s="203"/>
      <c r="V309" s="242"/>
      <c r="W309" s="217" t="s">
        <v>633</v>
      </c>
      <c r="X309" s="241" t="s">
        <v>632</v>
      </c>
      <c r="Y309" s="197">
        <f>'State DisAgg LFx10 (2015)'!P299</f>
        <v>1</v>
      </c>
      <c r="Z309" s="195"/>
      <c r="AA309" s="196"/>
      <c r="AB309" s="196"/>
      <c r="AC309" s="197">
        <f>'State DisAgg LFx10 (2015)'!T309</f>
        <v>0</v>
      </c>
      <c r="AD309" s="195"/>
      <c r="AE309" s="197"/>
      <c r="AH309" s="354">
        <f t="shared" si="58"/>
        <v>1</v>
      </c>
      <c r="AI309" s="354">
        <f>U309-O309</f>
        <v>0</v>
      </c>
      <c r="AJ309" s="354">
        <f t="shared" si="57"/>
        <v>0</v>
      </c>
    </row>
    <row r="310" spans="1:40" ht="13.5" thickBot="1">
      <c r="A310" s="885"/>
      <c r="B310" s="885"/>
      <c r="C310" s="9" t="s">
        <v>304</v>
      </c>
      <c r="D310" s="202"/>
      <c r="E310" s="203"/>
      <c r="F310" s="201"/>
      <c r="G310" s="202"/>
      <c r="H310" s="202"/>
      <c r="I310" s="203"/>
      <c r="J310" s="201"/>
      <c r="K310" s="202"/>
      <c r="L310" s="202"/>
      <c r="M310" s="203"/>
      <c r="N310" s="204"/>
      <c r="O310" s="205"/>
      <c r="P310" s="205"/>
      <c r="Q310" s="205"/>
      <c r="R310" s="201"/>
      <c r="S310" s="202"/>
      <c r="T310" s="202"/>
      <c r="U310" s="203"/>
      <c r="V310" s="242"/>
      <c r="W310" s="217" t="s">
        <v>633</v>
      </c>
      <c r="X310" s="241" t="s">
        <v>632</v>
      </c>
      <c r="Y310" s="197">
        <f>'State DisAgg LFx10 (2015)'!P300</f>
        <v>1</v>
      </c>
      <c r="Z310" s="195"/>
      <c r="AA310" s="196"/>
      <c r="AB310" s="196"/>
      <c r="AC310" s="197">
        <f>'State DisAgg LFx10 (2015)'!T310</f>
        <v>0</v>
      </c>
      <c r="AD310" s="195"/>
      <c r="AE310" s="197"/>
      <c r="AH310" s="354">
        <f t="shared" si="58"/>
        <v>1</v>
      </c>
      <c r="AI310" s="354">
        <f>U310-O310</f>
        <v>0</v>
      </c>
      <c r="AJ310" s="354">
        <f t="shared" si="57"/>
        <v>0</v>
      </c>
    </row>
    <row r="311" spans="1:40" ht="12.95" hidden="1" customHeight="1" thickBot="1">
      <c r="A311" s="885"/>
      <c r="B311" s="273"/>
      <c r="C311" s="231"/>
      <c r="D311" s="232"/>
      <c r="E311" s="233"/>
      <c r="F311" s="234"/>
      <c r="G311" s="232"/>
      <c r="H311" s="232"/>
      <c r="I311" s="233"/>
      <c r="J311" s="234"/>
      <c r="K311" s="232"/>
      <c r="L311" s="232"/>
      <c r="M311" s="233"/>
      <c r="N311" s="234"/>
      <c r="O311" s="232"/>
      <c r="P311" s="232"/>
      <c r="Q311" s="233"/>
      <c r="R311" s="234"/>
      <c r="S311" s="232"/>
      <c r="T311" s="232"/>
      <c r="U311" s="233"/>
      <c r="V311" s="234"/>
      <c r="W311" s="232"/>
      <c r="X311" s="232"/>
      <c r="Y311" s="233"/>
      <c r="Z311" s="234"/>
      <c r="AA311" s="232"/>
      <c r="AB311" s="232"/>
      <c r="AC311" s="233"/>
      <c r="AD311" s="234"/>
      <c r="AE311" s="233"/>
      <c r="AH311" s="354">
        <f t="shared" si="58"/>
        <v>0</v>
      </c>
      <c r="AI311" s="354">
        <f>U311-O311</f>
        <v>0</v>
      </c>
      <c r="AJ311" s="354">
        <f t="shared" si="57"/>
        <v>0</v>
      </c>
    </row>
    <row r="312" spans="1:40" ht="12.95" hidden="1" customHeight="1" thickBot="1">
      <c r="A312" s="885"/>
      <c r="B312" s="273"/>
      <c r="C312" s="231"/>
      <c r="D312" s="232"/>
      <c r="E312" s="233"/>
      <c r="F312" s="234"/>
      <c r="G312" s="232"/>
      <c r="H312" s="232"/>
      <c r="I312" s="233"/>
      <c r="J312" s="234"/>
      <c r="K312" s="232"/>
      <c r="L312" s="232"/>
      <c r="M312" s="233"/>
      <c r="N312" s="234"/>
      <c r="O312" s="232"/>
      <c r="P312" s="232"/>
      <c r="Q312" s="233"/>
      <c r="R312" s="234"/>
      <c r="S312" s="232"/>
      <c r="T312" s="232"/>
      <c r="U312" s="233"/>
      <c r="V312" s="234"/>
      <c r="W312" s="232"/>
      <c r="X312" s="232"/>
      <c r="Y312" s="233"/>
      <c r="Z312" s="234"/>
      <c r="AA312" s="232"/>
      <c r="AB312" s="232"/>
      <c r="AC312" s="233"/>
      <c r="AD312" s="234"/>
      <c r="AE312" s="233"/>
      <c r="AH312" s="354">
        <f t="shared" si="58"/>
        <v>0</v>
      </c>
      <c r="AI312" s="354">
        <f>U312-O312</f>
        <v>0</v>
      </c>
      <c r="AJ312" s="354">
        <f t="shared" si="57"/>
        <v>0</v>
      </c>
    </row>
    <row r="313" spans="1:40" ht="12.95" customHeight="1" thickBot="1">
      <c r="A313" s="885"/>
      <c r="B313" s="3" t="s">
        <v>21</v>
      </c>
      <c r="C313" s="12"/>
      <c r="D313" s="1377">
        <v>2008</v>
      </c>
      <c r="E313" s="1378"/>
      <c r="F313" s="1372">
        <v>2009</v>
      </c>
      <c r="G313" s="1373"/>
      <c r="H313" s="1373"/>
      <c r="I313" s="1374"/>
      <c r="J313" s="1372">
        <v>2010</v>
      </c>
      <c r="K313" s="1373"/>
      <c r="L313" s="1373"/>
      <c r="M313" s="1374"/>
      <c r="N313" s="1372">
        <v>2011</v>
      </c>
      <c r="O313" s="1373"/>
      <c r="P313" s="1373"/>
      <c r="Q313" s="1374"/>
      <c r="R313" s="1372">
        <v>2012</v>
      </c>
      <c r="S313" s="1373"/>
      <c r="T313" s="1373"/>
      <c r="U313" s="1374"/>
      <c r="V313" s="1372">
        <v>2013</v>
      </c>
      <c r="W313" s="1373"/>
      <c r="X313" s="1373"/>
      <c r="Y313" s="1374"/>
      <c r="Z313" s="1372">
        <v>2014</v>
      </c>
      <c r="AA313" s="1373"/>
      <c r="AB313" s="1373"/>
      <c r="AC313" s="1374"/>
      <c r="AD313" s="1372">
        <v>2015</v>
      </c>
      <c r="AE313" s="1374"/>
      <c r="AG313" s="257" t="s">
        <v>663</v>
      </c>
    </row>
    <row r="314" spans="1:40" ht="13.5" thickBot="1">
      <c r="A314" s="885"/>
      <c r="B314" s="868" t="s">
        <v>63</v>
      </c>
      <c r="C314" s="194" t="s">
        <v>610</v>
      </c>
      <c r="D314" s="206"/>
      <c r="E314" s="207"/>
      <c r="F314" s="209"/>
      <c r="G314" s="206"/>
      <c r="H314" s="206"/>
      <c r="I314" s="207"/>
      <c r="J314" s="209"/>
      <c r="K314" s="206"/>
      <c r="L314" s="206"/>
      <c r="M314" s="207"/>
      <c r="N314" s="277"/>
      <c r="O314" s="278">
        <f>(O324-J324)/5/$C$679/Spend!O314*'State Efficiency Ratios'!$C$655</f>
        <v>0</v>
      </c>
      <c r="P314" s="278"/>
      <c r="Q314" s="279"/>
      <c r="R314" s="277"/>
      <c r="S314" s="278"/>
      <c r="T314" s="278"/>
      <c r="U314" s="278">
        <f>(U324-O324)/6/$C$679/Spend!U314*'State Efficiency Ratios'!$C$655</f>
        <v>59.211636310254043</v>
      </c>
      <c r="V314" s="277"/>
      <c r="W314" s="278"/>
      <c r="X314" s="278"/>
      <c r="Y314" s="278">
        <f>(Y324-U324)/4/$C$679/Spend!Y314*'State Efficiency Ratios'!$C$655</f>
        <v>121.47902829998176</v>
      </c>
      <c r="Z314" s="277"/>
      <c r="AA314" s="278"/>
      <c r="AB314" s="278"/>
      <c r="AC314" s="278">
        <f>(AC324-Y324)/4/$C$679/Spend!AC314*'State Efficiency Ratios'!$C$655</f>
        <v>-327.81663023301002</v>
      </c>
      <c r="AD314" s="277"/>
      <c r="AE314" s="280"/>
      <c r="AG314" s="295"/>
      <c r="AN314" s="385">
        <f>(O324-J324)/7/$C$673/Spend!O314*'State Efficiency Ratios'!$C$655</f>
        <v>0</v>
      </c>
    </row>
    <row r="315" spans="1:40" ht="13.5" thickBot="1">
      <c r="A315" s="885"/>
      <c r="B315" s="885"/>
      <c r="C315" s="194" t="s">
        <v>611</v>
      </c>
      <c r="D315" s="206"/>
      <c r="E315" s="207"/>
      <c r="F315" s="209"/>
      <c r="G315" s="206"/>
      <c r="H315" s="206"/>
      <c r="I315" s="207"/>
      <c r="J315" s="209"/>
      <c r="K315" s="206"/>
      <c r="L315" s="206"/>
      <c r="M315" s="207"/>
      <c r="N315" s="277"/>
      <c r="O315" s="278">
        <f>(O325-J325)/5/$C$679/Spend!O315*'State Efficiency Ratios'!$C$655</f>
        <v>24.065928631811413</v>
      </c>
      <c r="P315" s="278"/>
      <c r="Q315" s="279"/>
      <c r="R315" s="277"/>
      <c r="S315" s="278"/>
      <c r="T315" s="278"/>
      <c r="U315" s="278">
        <f>(U325-O325)/6/$C$679/Spend!U315*'State Efficiency Ratios'!$C$655</f>
        <v>0</v>
      </c>
      <c r="V315" s="277"/>
      <c r="W315" s="278"/>
      <c r="X315" s="278"/>
      <c r="Y315" s="278">
        <f>(Y325-U325)/4/$C$679/Spend!Y315*'State Efficiency Ratios'!$C$655</f>
        <v>190.42677417416283</v>
      </c>
      <c r="Z315" s="277"/>
      <c r="AA315" s="278"/>
      <c r="AB315" s="278"/>
      <c r="AC315" s="278">
        <f>(AC325-Y325)/4/$C$679/Spend!AC315*'State Efficiency Ratios'!$C$655</f>
        <v>-344.40188495213488</v>
      </c>
      <c r="AD315" s="277"/>
      <c r="AE315" s="280"/>
      <c r="AG315" s="295"/>
      <c r="AN315" s="385">
        <f>(O325-J325)/7/$C$673/Spend!O315*'State Efficiency Ratios'!$C$655</f>
        <v>51.569847068167299</v>
      </c>
    </row>
    <row r="316" spans="1:40" ht="13.5" thickBot="1">
      <c r="A316" s="885"/>
      <c r="B316" s="885"/>
      <c r="C316" s="194" t="s">
        <v>612</v>
      </c>
      <c r="D316" s="206"/>
      <c r="E316" s="207"/>
      <c r="F316" s="209"/>
      <c r="G316" s="206"/>
      <c r="H316" s="206"/>
      <c r="I316" s="207"/>
      <c r="J316" s="209"/>
      <c r="K316" s="206"/>
      <c r="L316" s="206"/>
      <c r="M316" s="207"/>
      <c r="N316" s="277"/>
      <c r="O316" s="278">
        <f>(O326-J326)/5/$C$679/Spend!O316*'State Efficiency Ratios'!$C$655</f>
        <v>23.961617389547953</v>
      </c>
      <c r="P316" s="278"/>
      <c r="Q316" s="279"/>
      <c r="R316" s="277"/>
      <c r="S316" s="278"/>
      <c r="T316" s="278"/>
      <c r="U316" s="278">
        <f>(U326-O326)/6/$C$679/Spend!U316*'State Efficiency Ratios'!$C$655</f>
        <v>60.71729150877043</v>
      </c>
      <c r="V316" s="277"/>
      <c r="W316" s="278"/>
      <c r="X316" s="278"/>
      <c r="Y316" s="278">
        <f>(Y326-U326)/4/$C$679/Spend!Y316*'State Efficiency Ratios'!$C$655</f>
        <v>180.63421674898586</v>
      </c>
      <c r="Z316" s="277"/>
      <c r="AA316" s="278"/>
      <c r="AB316" s="278"/>
      <c r="AC316" s="278">
        <f>(AC326-Y326)/4/$C$679/Spend!AC316*'State Efficiency Ratios'!$C$655</f>
        <v>-511.79959982864904</v>
      </c>
      <c r="AD316" s="277"/>
      <c r="AE316" s="280"/>
      <c r="AG316" s="295"/>
      <c r="AN316" s="385">
        <f>(O326-J326)/7/$C$673/Spend!O316*'State Efficiency Ratios'!$C$655</f>
        <v>51.346322977602753</v>
      </c>
    </row>
    <row r="317" spans="1:40" ht="13.5" thickBot="1">
      <c r="A317" s="885"/>
      <c r="B317" s="885"/>
      <c r="C317" s="194" t="s">
        <v>613</v>
      </c>
      <c r="D317" s="206"/>
      <c r="E317" s="207"/>
      <c r="F317" s="209"/>
      <c r="G317" s="206"/>
      <c r="H317" s="206"/>
      <c r="I317" s="207"/>
      <c r="J317" s="209"/>
      <c r="K317" s="206"/>
      <c r="L317" s="206"/>
      <c r="M317" s="207"/>
      <c r="N317" s="277"/>
      <c r="O317" s="278">
        <f>(O327-J327)/5/$C$679/Spend!O317*'State Efficiency Ratios'!$C$655</f>
        <v>24.645722677500274</v>
      </c>
      <c r="P317" s="278"/>
      <c r="Q317" s="279"/>
      <c r="R317" s="277"/>
      <c r="S317" s="278"/>
      <c r="T317" s="278"/>
      <c r="U317" s="278">
        <f>(U327-O327)/6/$C$679/Spend!U317*'State Efficiency Ratios'!$C$655</f>
        <v>38.283552134984383</v>
      </c>
      <c r="V317" s="277"/>
      <c r="W317" s="278"/>
      <c r="X317" s="278"/>
      <c r="Y317" s="278">
        <f>(Y327-U327)/4/$C$679/Spend!Y317*'State Efficiency Ratios'!$C$655</f>
        <v>195.27650793995087</v>
      </c>
      <c r="Z317" s="277"/>
      <c r="AA317" s="278"/>
      <c r="AB317" s="278"/>
      <c r="AC317" s="278">
        <f>(AC327-Y327)/4/$C$679/Spend!AC317*'State Efficiency Ratios'!$C$655</f>
        <v>-463.12838021517575</v>
      </c>
      <c r="AD317" s="277"/>
      <c r="AE317" s="280"/>
      <c r="AG317" s="295"/>
      <c r="AN317" s="385">
        <f>(O327-J327)/7/$C$673/Spend!O317*'State Efficiency Ratios'!$C$655</f>
        <v>52.812262880357729</v>
      </c>
    </row>
    <row r="318" spans="1:40" ht="13.5" thickBot="1">
      <c r="A318" s="885"/>
      <c r="B318" s="885"/>
      <c r="C318" s="194" t="s">
        <v>614</v>
      </c>
      <c r="D318" s="206"/>
      <c r="E318" s="207"/>
      <c r="F318" s="209"/>
      <c r="G318" s="206"/>
      <c r="H318" s="206"/>
      <c r="I318" s="207"/>
      <c r="J318" s="209"/>
      <c r="K318" s="206"/>
      <c r="L318" s="206"/>
      <c r="M318" s="207"/>
      <c r="N318" s="277"/>
      <c r="O318" s="278">
        <f>(O328-J328)/5/$C$679/Spend!O318*'State Efficiency Ratios'!$C$655</f>
        <v>11.360473741127196</v>
      </c>
      <c r="P318" s="278"/>
      <c r="Q318" s="279"/>
      <c r="R318" s="277"/>
      <c r="S318" s="278"/>
      <c r="T318" s="278"/>
      <c r="U318" s="278">
        <f>(U328-O328)/6/$C$679/Spend!U318*'State Efficiency Ratios'!$C$655</f>
        <v>13.038530044780241</v>
      </c>
      <c r="V318" s="277"/>
      <c r="W318" s="278"/>
      <c r="X318" s="278"/>
      <c r="Y318" s="278">
        <f>(Y328-U328)/4/$C$679/Spend!Y318*'State Efficiency Ratios'!$C$655</f>
        <v>224.13950329633576</v>
      </c>
      <c r="Z318" s="277"/>
      <c r="AA318" s="278"/>
      <c r="AB318" s="278"/>
      <c r="AC318" s="278">
        <f>(AC328-Y328)/4/$C$679/Spend!AC318*'State Efficiency Ratios'!$C$655</f>
        <v>-328.54364660167778</v>
      </c>
      <c r="AD318" s="277"/>
      <c r="AE318" s="280"/>
      <c r="AG318" s="295"/>
      <c r="AN318" s="385">
        <f>(O328-J328)/7/$C$673/Spend!O318*'State Efficiency Ratios'!$C$655</f>
        <v>24.34387230241542</v>
      </c>
    </row>
    <row r="319" spans="1:40" ht="12.95" customHeight="1" thickBot="1">
      <c r="A319" s="885"/>
      <c r="B319" s="885"/>
      <c r="C319" s="194" t="s">
        <v>615</v>
      </c>
      <c r="D319" s="210"/>
      <c r="E319" s="211"/>
      <c r="F319" s="209"/>
      <c r="G319" s="210"/>
      <c r="H319" s="210"/>
      <c r="I319" s="211"/>
      <c r="J319" s="209"/>
      <c r="K319" s="210"/>
      <c r="L319" s="210"/>
      <c r="M319" s="211"/>
      <c r="N319" s="281"/>
      <c r="O319" s="282"/>
      <c r="P319" s="282"/>
      <c r="Q319" s="282"/>
      <c r="R319" s="277"/>
      <c r="S319" s="278"/>
      <c r="T319" s="278"/>
      <c r="U319" s="278">
        <f>(U329-R329)/3/$C$679/Spend!U319*'State Efficiency Ratios'!$C$655</f>
        <v>0</v>
      </c>
      <c r="V319" s="277"/>
      <c r="W319" s="278"/>
      <c r="X319" s="278"/>
      <c r="Y319" s="278">
        <f>(Y329-U329)/4/$C$679/Spend!Y319*'State Efficiency Ratios'!$C$655</f>
        <v>0</v>
      </c>
      <c r="Z319" s="277"/>
      <c r="AA319" s="278"/>
      <c r="AB319" s="278"/>
      <c r="AC319" s="278">
        <f>(AC329-Y329)/4/$C$679/Spend!AC319*'State Efficiency Ratios'!$C$655</f>
        <v>0</v>
      </c>
      <c r="AD319" s="277"/>
      <c r="AE319" s="280"/>
      <c r="AG319" s="295"/>
      <c r="AN319" s="385">
        <f>(Y329-R329)/7/$C$673/(Spend!U319+Spend!Y319)*'State Efficiency Ratios'!$C$655</f>
        <v>0</v>
      </c>
    </row>
    <row r="320" spans="1:40" ht="12.95" customHeight="1" thickBot="1">
      <c r="A320" s="885"/>
      <c r="B320" s="885"/>
      <c r="C320" s="194" t="s">
        <v>616</v>
      </c>
      <c r="D320" s="210"/>
      <c r="E320" s="211"/>
      <c r="F320" s="209"/>
      <c r="G320" s="210"/>
      <c r="H320" s="210"/>
      <c r="I320" s="211"/>
      <c r="J320" s="209"/>
      <c r="K320" s="210"/>
      <c r="L320" s="210"/>
      <c r="M320" s="211"/>
      <c r="N320" s="281"/>
      <c r="O320" s="282"/>
      <c r="P320" s="282"/>
      <c r="Q320" s="282"/>
      <c r="R320" s="277"/>
      <c r="S320" s="278"/>
      <c r="T320" s="278"/>
      <c r="U320" s="278">
        <f>(U330-R330)/3/$C$679/Spend!U320*'State Efficiency Ratios'!$C$655</f>
        <v>0</v>
      </c>
      <c r="V320" s="277"/>
      <c r="W320" s="278"/>
      <c r="X320" s="278"/>
      <c r="Y320" s="278">
        <f>(Y330-U330)/4/$C$679/Spend!Y320*'State Efficiency Ratios'!$C$655</f>
        <v>0</v>
      </c>
      <c r="Z320" s="277"/>
      <c r="AA320" s="278"/>
      <c r="AB320" s="278"/>
      <c r="AC320" s="278">
        <f>(AC330-Y330)/4/$C$679/Spend!AC320*'State Efficiency Ratios'!$C$655</f>
        <v>0</v>
      </c>
      <c r="AD320" s="277"/>
      <c r="AE320" s="280"/>
      <c r="AG320" s="295"/>
      <c r="AN320" s="385">
        <f>(Y330-R330)/7/$C$673/(Spend!U320+Spend!Y320)*'State Efficiency Ratios'!$C$655</f>
        <v>0</v>
      </c>
    </row>
    <row r="321" spans="1:40" ht="12.95" customHeight="1" thickBot="1">
      <c r="A321" s="885"/>
      <c r="B321" s="885"/>
      <c r="C321" s="194" t="s">
        <v>617</v>
      </c>
      <c r="D321" s="210"/>
      <c r="E321" s="211"/>
      <c r="F321" s="209"/>
      <c r="G321" s="210"/>
      <c r="H321" s="210"/>
      <c r="I321" s="211"/>
      <c r="J321" s="209"/>
      <c r="K321" s="210"/>
      <c r="L321" s="210"/>
      <c r="M321" s="211"/>
      <c r="N321" s="281"/>
      <c r="O321" s="282"/>
      <c r="P321" s="282"/>
      <c r="Q321" s="282"/>
      <c r="R321" s="277"/>
      <c r="S321" s="278"/>
      <c r="T321" s="278"/>
      <c r="U321" s="278">
        <f>(U331-R331)/3/$C$679/Spend!U321*'State Efficiency Ratios'!$C$655</f>
        <v>0</v>
      </c>
      <c r="V321" s="277"/>
      <c r="W321" s="278"/>
      <c r="X321" s="278"/>
      <c r="Y321" s="278">
        <f>(Y331-U331)/4/$C$679/Spend!Y321*'State Efficiency Ratios'!$C$655</f>
        <v>137.8436333879842</v>
      </c>
      <c r="Z321" s="277"/>
      <c r="AA321" s="278"/>
      <c r="AB321" s="278"/>
      <c r="AC321" s="278">
        <f>(AC331-Y331)/4/$C$679/Spend!AC321*'State Efficiency Ratios'!$C$655</f>
        <v>-187.53849607681579</v>
      </c>
      <c r="AD321" s="277"/>
      <c r="AE321" s="280"/>
      <c r="AG321" s="295"/>
      <c r="AN321" s="385">
        <f>(Y331-R331)/7/$C$673/(Spend!U321+Spend!Y321)*'State Efficiency Ratios'!$C$655</f>
        <v>116.44063430139344</v>
      </c>
    </row>
    <row r="322" spans="1:40" ht="12.95" customHeight="1" thickBot="1">
      <c r="A322" s="885"/>
      <c r="B322" s="885"/>
      <c r="C322" s="194" t="s">
        <v>618</v>
      </c>
      <c r="D322" s="210"/>
      <c r="E322" s="211"/>
      <c r="F322" s="209"/>
      <c r="G322" s="210"/>
      <c r="H322" s="210"/>
      <c r="I322" s="211"/>
      <c r="J322" s="209"/>
      <c r="K322" s="210"/>
      <c r="L322" s="210"/>
      <c r="M322" s="211"/>
      <c r="N322" s="281"/>
      <c r="O322" s="282"/>
      <c r="P322" s="282"/>
      <c r="Q322" s="283"/>
      <c r="R322" s="281"/>
      <c r="S322" s="282"/>
      <c r="T322" s="282"/>
      <c r="U322" s="283"/>
      <c r="V322" s="281"/>
      <c r="W322" s="282"/>
      <c r="X322" s="282"/>
      <c r="Y322" s="283"/>
      <c r="Z322" s="277"/>
      <c r="AA322" s="278"/>
      <c r="AB322" s="278"/>
      <c r="AC322" s="278">
        <f>(AC332-Y332)/4/$C$679/Spend!AC322*'State Efficiency Ratios'!$C$655</f>
        <v>0</v>
      </c>
      <c r="AD322" s="277"/>
      <c r="AE322" s="280"/>
      <c r="AG322" s="295"/>
    </row>
    <row r="323" spans="1:40" ht="12.95" customHeight="1" thickBot="1">
      <c r="A323" s="885"/>
      <c r="B323" s="885"/>
      <c r="C323" s="194" t="s">
        <v>619</v>
      </c>
      <c r="D323" s="210"/>
      <c r="E323" s="211"/>
      <c r="F323" s="209"/>
      <c r="G323" s="210"/>
      <c r="H323" s="210"/>
      <c r="I323" s="211"/>
      <c r="J323" s="209"/>
      <c r="K323" s="210"/>
      <c r="L323" s="210"/>
      <c r="M323" s="211"/>
      <c r="N323" s="281"/>
      <c r="O323" s="282"/>
      <c r="P323" s="282"/>
      <c r="Q323" s="283"/>
      <c r="R323" s="281"/>
      <c r="S323" s="282"/>
      <c r="T323" s="282"/>
      <c r="U323" s="283"/>
      <c r="V323" s="281"/>
      <c r="W323" s="282"/>
      <c r="X323" s="282"/>
      <c r="Y323" s="283"/>
      <c r="Z323" s="277"/>
      <c r="AA323" s="278"/>
      <c r="AB323" s="278"/>
      <c r="AC323" s="278">
        <f>(AC333-Y333)/4/$C$679/Spend!AC323*'State Efficiency Ratios'!$C$655</f>
        <v>0</v>
      </c>
      <c r="AD323" s="277"/>
      <c r="AE323" s="280"/>
      <c r="AG323" s="295"/>
    </row>
    <row r="324" spans="1:40" ht="12.95" customHeight="1" thickBot="1">
      <c r="A324" s="885"/>
      <c r="B324" s="885"/>
      <c r="C324" s="9" t="s">
        <v>295</v>
      </c>
      <c r="D324" s="241" t="s">
        <v>632</v>
      </c>
      <c r="E324" s="241" t="s">
        <v>632</v>
      </c>
      <c r="F324" s="243" t="s">
        <v>646</v>
      </c>
      <c r="G324" s="241" t="s">
        <v>646</v>
      </c>
      <c r="H324" s="241" t="s">
        <v>646</v>
      </c>
      <c r="I324" s="244" t="s">
        <v>646</v>
      </c>
      <c r="J324" s="195">
        <f>'State DisAgg LFx10 (2015)'!D314</f>
        <v>0</v>
      </c>
      <c r="K324" s="196"/>
      <c r="L324" s="196"/>
      <c r="M324" s="197"/>
      <c r="N324" s="195"/>
      <c r="O324" s="196">
        <f>'State DisAgg LFx10 (2015)'!H314</f>
        <v>0</v>
      </c>
      <c r="P324" s="196"/>
      <c r="Q324" s="197"/>
      <c r="R324" s="195"/>
      <c r="S324" s="196"/>
      <c r="T324" s="196"/>
      <c r="U324" s="197">
        <f>'State DisAgg LFx10 (2015)'!L324</f>
        <v>3</v>
      </c>
      <c r="V324" s="195"/>
      <c r="W324" s="196"/>
      <c r="X324" s="196"/>
      <c r="Y324" s="197">
        <f>'State DisAgg LFx10 (2015)'!P324</f>
        <v>6</v>
      </c>
      <c r="Z324" s="195"/>
      <c r="AA324" s="196"/>
      <c r="AB324" s="196"/>
      <c r="AC324" s="197">
        <f>'State DisAgg LFx10 (2015)'!T324</f>
        <v>0</v>
      </c>
      <c r="AD324" s="195"/>
      <c r="AE324" s="197"/>
      <c r="AH324" s="354">
        <f>Y324-U324</f>
        <v>3</v>
      </c>
      <c r="AI324" s="354">
        <f>U324-O324</f>
        <v>3</v>
      </c>
      <c r="AJ324" s="354">
        <f t="shared" ref="AJ324:AJ335" si="62">O324-J324</f>
        <v>0</v>
      </c>
      <c r="AN324" s="384">
        <f>(O324-J324)</f>
        <v>0</v>
      </c>
    </row>
    <row r="325" spans="1:40" ht="12.95" customHeight="1" thickBot="1">
      <c r="A325" s="885"/>
      <c r="B325" s="885"/>
      <c r="C325" s="9" t="s">
        <v>296</v>
      </c>
      <c r="D325" s="241" t="s">
        <v>632</v>
      </c>
      <c r="E325" s="241" t="s">
        <v>632</v>
      </c>
      <c r="F325" s="243" t="s">
        <v>646</v>
      </c>
      <c r="G325" s="241" t="s">
        <v>646</v>
      </c>
      <c r="H325" s="241" t="s">
        <v>646</v>
      </c>
      <c r="I325" s="244" t="s">
        <v>646</v>
      </c>
      <c r="J325" s="195">
        <f>'State DisAgg LFx10 (2015)'!D315</f>
        <v>0</v>
      </c>
      <c r="K325" s="196"/>
      <c r="L325" s="196"/>
      <c r="M325" s="197"/>
      <c r="N325" s="195"/>
      <c r="O325" s="196">
        <f>'State DisAgg LFx10 (2015)'!H315</f>
        <v>2</v>
      </c>
      <c r="P325" s="196"/>
      <c r="Q325" s="197"/>
      <c r="R325" s="195"/>
      <c r="S325" s="196"/>
      <c r="T325" s="196"/>
      <c r="U325" s="197">
        <f>'State DisAgg LFx10 (2015)'!L325</f>
        <v>2</v>
      </c>
      <c r="V325" s="195"/>
      <c r="W325" s="196"/>
      <c r="X325" s="196"/>
      <c r="Y325" s="197">
        <f>'State DisAgg LFx10 (2015)'!P325</f>
        <v>6</v>
      </c>
      <c r="Z325" s="195"/>
      <c r="AA325" s="196"/>
      <c r="AB325" s="196"/>
      <c r="AC325" s="197">
        <f>'State DisAgg LFx10 (2015)'!T325</f>
        <v>0</v>
      </c>
      <c r="AD325" s="195"/>
      <c r="AE325" s="197"/>
      <c r="AH325" s="354">
        <f t="shared" ref="AH325:AH335" si="63">Y325-U325</f>
        <v>4</v>
      </c>
      <c r="AI325" s="354">
        <f>U325-O325</f>
        <v>0</v>
      </c>
      <c r="AJ325" s="354">
        <f t="shared" si="62"/>
        <v>2</v>
      </c>
      <c r="AN325" s="384">
        <f t="shared" ref="AN325:AN328" si="64">(O325-J325)</f>
        <v>2</v>
      </c>
    </row>
    <row r="326" spans="1:40" ht="13.5" thickBot="1">
      <c r="A326" s="885"/>
      <c r="B326" s="885"/>
      <c r="C326" s="9" t="s">
        <v>297</v>
      </c>
      <c r="D326" s="241" t="s">
        <v>632</v>
      </c>
      <c r="E326" s="241" t="s">
        <v>632</v>
      </c>
      <c r="F326" s="243" t="s">
        <v>646</v>
      </c>
      <c r="G326" s="241" t="s">
        <v>646</v>
      </c>
      <c r="H326" s="241" t="s">
        <v>646</v>
      </c>
      <c r="I326" s="244" t="s">
        <v>646</v>
      </c>
      <c r="J326" s="195">
        <f>'State DisAgg LFx10 (2015)'!D316</f>
        <v>0</v>
      </c>
      <c r="K326" s="196"/>
      <c r="L326" s="196"/>
      <c r="M326" s="197"/>
      <c r="N326" s="195"/>
      <c r="O326" s="196">
        <f>'State DisAgg LFx10 (2015)'!H316</f>
        <v>2</v>
      </c>
      <c r="P326" s="196"/>
      <c r="Q326" s="197"/>
      <c r="R326" s="195"/>
      <c r="S326" s="196"/>
      <c r="T326" s="196"/>
      <c r="U326" s="197">
        <f>'State DisAgg LFx10 (2015)'!L326</f>
        <v>5</v>
      </c>
      <c r="V326" s="195"/>
      <c r="W326" s="196"/>
      <c r="X326" s="196"/>
      <c r="Y326" s="197">
        <f>'State DisAgg LFx10 (2015)'!P326</f>
        <v>9</v>
      </c>
      <c r="Z326" s="195"/>
      <c r="AA326" s="196"/>
      <c r="AB326" s="196"/>
      <c r="AC326" s="197">
        <f>'State DisAgg LFx10 (2015)'!T326</f>
        <v>0</v>
      </c>
      <c r="AD326" s="195"/>
      <c r="AE326" s="197"/>
      <c r="AH326" s="354">
        <f t="shared" si="63"/>
        <v>4</v>
      </c>
      <c r="AI326" s="354">
        <f>U326-O326</f>
        <v>3</v>
      </c>
      <c r="AJ326" s="354">
        <f t="shared" si="62"/>
        <v>2</v>
      </c>
      <c r="AN326" s="384">
        <f t="shared" si="64"/>
        <v>2</v>
      </c>
    </row>
    <row r="327" spans="1:40" ht="13.5" thickBot="1">
      <c r="A327" s="885"/>
      <c r="B327" s="885"/>
      <c r="C327" s="9" t="s">
        <v>298</v>
      </c>
      <c r="D327" s="241" t="s">
        <v>632</v>
      </c>
      <c r="E327" s="241" t="s">
        <v>632</v>
      </c>
      <c r="F327" s="243" t="s">
        <v>646</v>
      </c>
      <c r="G327" s="241" t="s">
        <v>646</v>
      </c>
      <c r="H327" s="241" t="s">
        <v>646</v>
      </c>
      <c r="I327" s="244" t="s">
        <v>646</v>
      </c>
      <c r="J327" s="195">
        <f>'State DisAgg LFx10 (2015)'!D317</f>
        <v>0</v>
      </c>
      <c r="K327" s="196"/>
      <c r="L327" s="196"/>
      <c r="M327" s="197"/>
      <c r="N327" s="195"/>
      <c r="O327" s="196">
        <f>'State DisAgg LFx10 (2015)'!H317</f>
        <v>2</v>
      </c>
      <c r="P327" s="196"/>
      <c r="Q327" s="197"/>
      <c r="R327" s="195"/>
      <c r="S327" s="196"/>
      <c r="T327" s="196"/>
      <c r="U327" s="197">
        <f>'State DisAgg LFx10 (2015)'!L327</f>
        <v>4</v>
      </c>
      <c r="V327" s="195"/>
      <c r="W327" s="196"/>
      <c r="X327" s="196"/>
      <c r="Y327" s="197">
        <f>'State DisAgg LFx10 (2015)'!P327</f>
        <v>8</v>
      </c>
      <c r="Z327" s="195"/>
      <c r="AA327" s="196"/>
      <c r="AB327" s="196"/>
      <c r="AC327" s="197">
        <f>'State DisAgg LFx10 (2015)'!T327</f>
        <v>0</v>
      </c>
      <c r="AD327" s="195"/>
      <c r="AE327" s="197"/>
      <c r="AH327" s="354">
        <f t="shared" si="63"/>
        <v>4</v>
      </c>
      <c r="AI327" s="354">
        <f>U327-O327</f>
        <v>2</v>
      </c>
      <c r="AJ327" s="354">
        <f t="shared" si="62"/>
        <v>2</v>
      </c>
      <c r="AN327" s="384">
        <f t="shared" si="64"/>
        <v>2</v>
      </c>
    </row>
    <row r="328" spans="1:40" ht="13.5" thickBot="1">
      <c r="A328" s="885"/>
      <c r="B328" s="885"/>
      <c r="C328" s="9" t="s">
        <v>299</v>
      </c>
      <c r="D328" s="241" t="s">
        <v>632</v>
      </c>
      <c r="E328" s="241" t="s">
        <v>632</v>
      </c>
      <c r="F328" s="243" t="s">
        <v>646</v>
      </c>
      <c r="G328" s="241" t="s">
        <v>646</v>
      </c>
      <c r="H328" s="241" t="s">
        <v>646</v>
      </c>
      <c r="I328" s="244" t="s">
        <v>646</v>
      </c>
      <c r="J328" s="195">
        <f>'State DisAgg LFx10 (2015)'!D318</f>
        <v>0</v>
      </c>
      <c r="K328" s="196"/>
      <c r="L328" s="196"/>
      <c r="M328" s="197"/>
      <c r="N328" s="195"/>
      <c r="O328" s="196">
        <f>'State DisAgg LFx10 (2015)'!H318</f>
        <v>1</v>
      </c>
      <c r="P328" s="196"/>
      <c r="Q328" s="197"/>
      <c r="R328" s="195"/>
      <c r="S328" s="196"/>
      <c r="T328" s="196"/>
      <c r="U328" s="197">
        <f>'State DisAgg LFx10 (2015)'!L328</f>
        <v>2</v>
      </c>
      <c r="V328" s="195"/>
      <c r="W328" s="196"/>
      <c r="X328" s="196"/>
      <c r="Y328" s="197">
        <f>'State DisAgg LFx10 (2015)'!P328</f>
        <v>7</v>
      </c>
      <c r="Z328" s="195"/>
      <c r="AA328" s="196"/>
      <c r="AB328" s="196"/>
      <c r="AC328" s="197">
        <f>'State DisAgg LFx10 (2015)'!T328</f>
        <v>0</v>
      </c>
      <c r="AD328" s="195"/>
      <c r="AE328" s="197"/>
      <c r="AH328" s="354">
        <f t="shared" si="63"/>
        <v>5</v>
      </c>
      <c r="AI328" s="354">
        <f>U328-O328</f>
        <v>1</v>
      </c>
      <c r="AJ328" s="354">
        <f t="shared" si="62"/>
        <v>1</v>
      </c>
      <c r="AN328" s="384">
        <f t="shared" si="64"/>
        <v>1</v>
      </c>
    </row>
    <row r="329" spans="1:40" ht="13.5" thickBot="1">
      <c r="A329" s="885"/>
      <c r="B329" s="885"/>
      <c r="C329" s="9" t="s">
        <v>300</v>
      </c>
      <c r="D329" s="199"/>
      <c r="E329" s="200"/>
      <c r="F329" s="201"/>
      <c r="G329" s="199"/>
      <c r="H329" s="199"/>
      <c r="I329" s="200"/>
      <c r="J329" s="201"/>
      <c r="K329" s="199"/>
      <c r="L329" s="199"/>
      <c r="M329" s="200"/>
      <c r="N329" s="198"/>
      <c r="O329" s="217" t="s">
        <v>634</v>
      </c>
      <c r="P329" s="241" t="s">
        <v>632</v>
      </c>
      <c r="Q329" s="244" t="s">
        <v>646</v>
      </c>
      <c r="R329" s="195">
        <f>'State DisAgg LFx10 (2015)'!H319</f>
        <v>0</v>
      </c>
      <c r="S329" s="196"/>
      <c r="T329" s="196"/>
      <c r="U329" s="197">
        <f>'State DisAgg LFx10 (2015)'!L329</f>
        <v>0</v>
      </c>
      <c r="V329" s="195"/>
      <c r="W329" s="196"/>
      <c r="X329" s="196"/>
      <c r="Y329" s="197">
        <f>'State DisAgg LFx10 (2015)'!P329</f>
        <v>0</v>
      </c>
      <c r="Z329" s="195"/>
      <c r="AA329" s="196"/>
      <c r="AB329" s="196"/>
      <c r="AC329" s="197">
        <f>'State DisAgg LFx10 (2015)'!T329</f>
        <v>0</v>
      </c>
      <c r="AD329" s="195"/>
      <c r="AE329" s="197"/>
      <c r="AH329" s="354">
        <f t="shared" si="63"/>
        <v>0</v>
      </c>
      <c r="AI329" s="354">
        <f>U329-R329</f>
        <v>0</v>
      </c>
      <c r="AJ329" s="354" t="e">
        <f t="shared" si="62"/>
        <v>#VALUE!</v>
      </c>
      <c r="AN329" s="384">
        <f>(Y329-R329)</f>
        <v>0</v>
      </c>
    </row>
    <row r="330" spans="1:40" ht="13.5" thickBot="1">
      <c r="A330" s="885"/>
      <c r="B330" s="885"/>
      <c r="C330" s="9" t="s">
        <v>301</v>
      </c>
      <c r="D330" s="199"/>
      <c r="E330" s="200"/>
      <c r="F330" s="201"/>
      <c r="G330" s="199"/>
      <c r="H330" s="199"/>
      <c r="I330" s="200"/>
      <c r="J330" s="201"/>
      <c r="K330" s="199"/>
      <c r="L330" s="199"/>
      <c r="M330" s="200"/>
      <c r="N330" s="198"/>
      <c r="O330" s="217" t="s">
        <v>634</v>
      </c>
      <c r="P330" s="241" t="s">
        <v>632</v>
      </c>
      <c r="Q330" s="244" t="s">
        <v>646</v>
      </c>
      <c r="R330" s="195">
        <f>'State DisAgg LFx10 (2015)'!H320</f>
        <v>0</v>
      </c>
      <c r="S330" s="196"/>
      <c r="T330" s="196"/>
      <c r="U330" s="197">
        <f>'State DisAgg LFx10 (2015)'!L330</f>
        <v>0</v>
      </c>
      <c r="V330" s="195"/>
      <c r="W330" s="196"/>
      <c r="X330" s="196"/>
      <c r="Y330" s="197">
        <f>'State DisAgg LFx10 (2015)'!P330</f>
        <v>0</v>
      </c>
      <c r="Z330" s="195"/>
      <c r="AA330" s="196"/>
      <c r="AB330" s="196"/>
      <c r="AC330" s="197">
        <f>'State DisAgg LFx10 (2015)'!T330</f>
        <v>0</v>
      </c>
      <c r="AD330" s="195"/>
      <c r="AE330" s="197"/>
      <c r="AH330" s="354">
        <f t="shared" si="63"/>
        <v>0</v>
      </c>
      <c r="AI330" s="354">
        <f t="shared" ref="AI330:AI331" si="65">U330-R330</f>
        <v>0</v>
      </c>
      <c r="AJ330" s="354" t="e">
        <f t="shared" si="62"/>
        <v>#VALUE!</v>
      </c>
      <c r="AN330" s="384">
        <f t="shared" ref="AN330:AN331" si="66">(Y330-R330)</f>
        <v>0</v>
      </c>
    </row>
    <row r="331" spans="1:40" ht="13.5" thickBot="1">
      <c r="A331" s="885"/>
      <c r="B331" s="885"/>
      <c r="C331" s="9" t="s">
        <v>302</v>
      </c>
      <c r="D331" s="199"/>
      <c r="E331" s="200"/>
      <c r="F331" s="201"/>
      <c r="G331" s="199"/>
      <c r="H331" s="199"/>
      <c r="I331" s="200"/>
      <c r="J331" s="201"/>
      <c r="K331" s="199"/>
      <c r="L331" s="199"/>
      <c r="M331" s="200"/>
      <c r="N331" s="198"/>
      <c r="O331" s="217" t="s">
        <v>634</v>
      </c>
      <c r="P331" s="241" t="s">
        <v>632</v>
      </c>
      <c r="Q331" s="244" t="s">
        <v>646</v>
      </c>
      <c r="R331" s="195">
        <f>'State DisAgg LFx10 (2015)'!H321</f>
        <v>0</v>
      </c>
      <c r="S331" s="196"/>
      <c r="T331" s="196"/>
      <c r="U331" s="197">
        <f>'State DisAgg LFx10 (2015)'!L331</f>
        <v>0</v>
      </c>
      <c r="V331" s="195"/>
      <c r="W331" s="196"/>
      <c r="X331" s="196"/>
      <c r="Y331" s="197">
        <f>'State DisAgg LFx10 (2015)'!P331</f>
        <v>3</v>
      </c>
      <c r="Z331" s="195"/>
      <c r="AA331" s="196"/>
      <c r="AB331" s="196"/>
      <c r="AC331" s="197">
        <f>'State DisAgg LFx10 (2015)'!T331</f>
        <v>0</v>
      </c>
      <c r="AD331" s="195"/>
      <c r="AE331" s="197"/>
      <c r="AH331" s="354">
        <f t="shared" si="63"/>
        <v>3</v>
      </c>
      <c r="AI331" s="354">
        <f t="shared" si="65"/>
        <v>0</v>
      </c>
      <c r="AJ331" s="354" t="e">
        <f t="shared" si="62"/>
        <v>#VALUE!</v>
      </c>
      <c r="AN331" s="384">
        <f t="shared" si="66"/>
        <v>3</v>
      </c>
    </row>
    <row r="332" spans="1:40" ht="13.5" thickBot="1">
      <c r="A332" s="885"/>
      <c r="B332" s="885"/>
      <c r="C332" s="9" t="s">
        <v>303</v>
      </c>
      <c r="D332" s="202"/>
      <c r="E332" s="203"/>
      <c r="F332" s="201"/>
      <c r="G332" s="202"/>
      <c r="H332" s="202"/>
      <c r="I332" s="203"/>
      <c r="J332" s="201"/>
      <c r="K332" s="202"/>
      <c r="L332" s="202"/>
      <c r="M332" s="203"/>
      <c r="N332" s="204"/>
      <c r="O332" s="214"/>
      <c r="P332" s="205"/>
      <c r="Q332" s="205"/>
      <c r="R332" s="201"/>
      <c r="S332" s="202"/>
      <c r="T332" s="202"/>
      <c r="U332" s="203"/>
      <c r="V332" s="242"/>
      <c r="W332" s="217" t="s">
        <v>633</v>
      </c>
      <c r="X332" s="241" t="s">
        <v>632</v>
      </c>
      <c r="Y332" s="197">
        <f>'State DisAgg LFx10 (2015)'!P322</f>
        <v>0</v>
      </c>
      <c r="Z332" s="195"/>
      <c r="AA332" s="196"/>
      <c r="AB332" s="196"/>
      <c r="AC332" s="197">
        <f>'State DisAgg LFx10 (2015)'!T332</f>
        <v>0</v>
      </c>
      <c r="AD332" s="195"/>
      <c r="AE332" s="197"/>
      <c r="AH332" s="354">
        <f t="shared" si="63"/>
        <v>0</v>
      </c>
      <c r="AI332" s="354">
        <f>U332-O332</f>
        <v>0</v>
      </c>
      <c r="AJ332" s="354">
        <f t="shared" si="62"/>
        <v>0</v>
      </c>
    </row>
    <row r="333" spans="1:40" ht="13.5" thickBot="1">
      <c r="A333" s="869"/>
      <c r="B333" s="869"/>
      <c r="C333" s="9" t="s">
        <v>304</v>
      </c>
      <c r="D333" s="202"/>
      <c r="E333" s="203"/>
      <c r="F333" s="201"/>
      <c r="G333" s="202"/>
      <c r="H333" s="202"/>
      <c r="I333" s="203"/>
      <c r="J333" s="201"/>
      <c r="K333" s="202"/>
      <c r="L333" s="202"/>
      <c r="M333" s="203"/>
      <c r="N333" s="204"/>
      <c r="O333" s="205"/>
      <c r="P333" s="205"/>
      <c r="Q333" s="205"/>
      <c r="R333" s="201"/>
      <c r="S333" s="202"/>
      <c r="T333" s="202"/>
      <c r="U333" s="203"/>
      <c r="V333" s="242"/>
      <c r="W333" s="217" t="s">
        <v>633</v>
      </c>
      <c r="X333" s="241" t="s">
        <v>632</v>
      </c>
      <c r="Y333" s="197">
        <f>'State DisAgg LFx10 (2015)'!P323</f>
        <v>0</v>
      </c>
      <c r="Z333" s="195"/>
      <c r="AA333" s="196"/>
      <c r="AB333" s="196"/>
      <c r="AC333" s="197">
        <f>'State DisAgg LFx10 (2015)'!T333</f>
        <v>0</v>
      </c>
      <c r="AD333" s="195"/>
      <c r="AE333" s="197"/>
      <c r="AH333" s="354">
        <f t="shared" si="63"/>
        <v>0</v>
      </c>
      <c r="AI333" s="354">
        <f>U333-O333</f>
        <v>0</v>
      </c>
      <c r="AJ333" s="354">
        <f t="shared" si="62"/>
        <v>0</v>
      </c>
    </row>
    <row r="334" spans="1:40" ht="12.95" hidden="1" customHeight="1" thickBot="1">
      <c r="A334" s="231"/>
      <c r="B334" s="231"/>
      <c r="C334" s="231"/>
      <c r="D334" s="232"/>
      <c r="E334" s="233"/>
      <c r="F334" s="234"/>
      <c r="G334" s="232"/>
      <c r="H334" s="232"/>
      <c r="I334" s="233"/>
      <c r="J334" s="234"/>
      <c r="K334" s="232"/>
      <c r="L334" s="232"/>
      <c r="M334" s="233"/>
      <c r="N334" s="234"/>
      <c r="O334" s="232"/>
      <c r="P334" s="232"/>
      <c r="Q334" s="233"/>
      <c r="R334" s="234"/>
      <c r="S334" s="232"/>
      <c r="T334" s="232"/>
      <c r="U334" s="233"/>
      <c r="V334" s="234"/>
      <c r="W334" s="232"/>
      <c r="X334" s="232"/>
      <c r="Y334" s="233"/>
      <c r="Z334" s="234"/>
      <c r="AA334" s="232"/>
      <c r="AB334" s="232"/>
      <c r="AC334" s="233"/>
      <c r="AD334" s="234"/>
      <c r="AE334" s="233"/>
      <c r="AH334" s="354">
        <f t="shared" si="63"/>
        <v>0</v>
      </c>
      <c r="AI334" s="354">
        <f>U334-O334</f>
        <v>0</v>
      </c>
      <c r="AJ334" s="354">
        <f t="shared" si="62"/>
        <v>0</v>
      </c>
    </row>
    <row r="335" spans="1:40" ht="12.95" hidden="1" customHeight="1" thickBot="1">
      <c r="A335" s="231"/>
      <c r="B335" s="231"/>
      <c r="C335" s="231"/>
      <c r="D335" s="232"/>
      <c r="E335" s="233"/>
      <c r="F335" s="234"/>
      <c r="G335" s="232"/>
      <c r="H335" s="232"/>
      <c r="I335" s="233"/>
      <c r="J335" s="234"/>
      <c r="K335" s="232"/>
      <c r="L335" s="232"/>
      <c r="M335" s="233"/>
      <c r="N335" s="234"/>
      <c r="O335" s="232"/>
      <c r="P335" s="232"/>
      <c r="Q335" s="233"/>
      <c r="R335" s="234"/>
      <c r="S335" s="232"/>
      <c r="T335" s="232"/>
      <c r="U335" s="233"/>
      <c r="V335" s="234"/>
      <c r="W335" s="232"/>
      <c r="X335" s="232"/>
      <c r="Y335" s="233"/>
      <c r="Z335" s="234"/>
      <c r="AA335" s="232"/>
      <c r="AB335" s="232"/>
      <c r="AC335" s="233"/>
      <c r="AD335" s="234"/>
      <c r="AE335" s="233"/>
      <c r="AH335" s="354">
        <f t="shared" si="63"/>
        <v>0</v>
      </c>
      <c r="AI335" s="354">
        <f>U335-O335</f>
        <v>0</v>
      </c>
      <c r="AJ335" s="354">
        <f t="shared" si="62"/>
        <v>0</v>
      </c>
    </row>
    <row r="336" spans="1:40" ht="12.95" hidden="1" customHeight="1" thickBot="1">
      <c r="A336" s="231"/>
      <c r="B336" s="231"/>
      <c r="C336" s="231"/>
      <c r="D336" s="232"/>
      <c r="E336" s="233"/>
      <c r="F336" s="234"/>
      <c r="G336" s="232"/>
      <c r="H336" s="232"/>
      <c r="I336" s="233"/>
      <c r="J336" s="234"/>
      <c r="K336" s="232"/>
      <c r="L336" s="232"/>
      <c r="M336" s="233"/>
      <c r="N336" s="234"/>
      <c r="O336" s="232"/>
      <c r="P336" s="232"/>
      <c r="Q336" s="233"/>
      <c r="R336" s="234"/>
      <c r="S336" s="232"/>
      <c r="T336" s="232"/>
      <c r="U336" s="233"/>
      <c r="V336" s="234"/>
      <c r="W336" s="232"/>
      <c r="X336" s="232"/>
      <c r="Y336" s="233"/>
      <c r="Z336" s="234"/>
      <c r="AA336" s="232"/>
      <c r="AB336" s="232"/>
      <c r="AC336" s="233"/>
      <c r="AD336" s="234"/>
      <c r="AE336" s="233"/>
    </row>
    <row r="337" spans="1:41" ht="12.95" hidden="1" customHeight="1" thickBot="1">
      <c r="A337" s="231"/>
      <c r="B337" s="231"/>
      <c r="C337" s="231"/>
      <c r="D337" s="232"/>
      <c r="E337" s="233"/>
      <c r="F337" s="234"/>
      <c r="G337" s="232"/>
      <c r="H337" s="232"/>
      <c r="I337" s="233"/>
      <c r="J337" s="234"/>
      <c r="K337" s="232"/>
      <c r="L337" s="232"/>
      <c r="M337" s="233"/>
      <c r="N337" s="234"/>
      <c r="O337" s="232"/>
      <c r="P337" s="232"/>
      <c r="Q337" s="233"/>
      <c r="R337" s="234"/>
      <c r="S337" s="232"/>
      <c r="T337" s="232"/>
      <c r="U337" s="233"/>
      <c r="V337" s="234"/>
      <c r="W337" s="232"/>
      <c r="X337" s="232"/>
      <c r="Y337" s="233"/>
      <c r="Z337" s="234"/>
      <c r="AA337" s="232"/>
      <c r="AB337" s="232"/>
      <c r="AC337" s="233"/>
      <c r="AD337" s="234"/>
      <c r="AE337" s="233"/>
    </row>
    <row r="338" spans="1:41" ht="12.95" hidden="1" customHeight="1" thickBot="1">
      <c r="A338" s="231"/>
      <c r="B338" s="231"/>
      <c r="C338" s="231"/>
      <c r="D338" s="232"/>
      <c r="E338" s="233"/>
      <c r="F338" s="234"/>
      <c r="G338" s="232"/>
      <c r="H338" s="232"/>
      <c r="I338" s="233"/>
      <c r="J338" s="234"/>
      <c r="K338" s="232"/>
      <c r="L338" s="232"/>
      <c r="M338" s="233"/>
      <c r="N338" s="234"/>
      <c r="O338" s="232"/>
      <c r="P338" s="232"/>
      <c r="Q338" s="233"/>
      <c r="R338" s="234"/>
      <c r="S338" s="232"/>
      <c r="T338" s="232"/>
      <c r="U338" s="233"/>
      <c r="V338" s="234"/>
      <c r="W338" s="232"/>
      <c r="X338" s="232"/>
      <c r="Y338" s="233"/>
      <c r="Z338" s="234"/>
      <c r="AA338" s="232"/>
      <c r="AB338" s="232"/>
      <c r="AC338" s="233"/>
      <c r="AD338" s="234"/>
      <c r="AE338" s="233"/>
    </row>
    <row r="339" spans="1:41" ht="12.95" hidden="1" customHeight="1" thickBot="1">
      <c r="A339" s="231"/>
      <c r="B339" s="231"/>
      <c r="C339" s="231"/>
      <c r="D339" s="232"/>
      <c r="E339" s="233"/>
      <c r="F339" s="234"/>
      <c r="G339" s="232"/>
      <c r="H339" s="232"/>
      <c r="I339" s="233"/>
      <c r="J339" s="234"/>
      <c r="K339" s="232"/>
      <c r="L339" s="232"/>
      <c r="M339" s="233"/>
      <c r="N339" s="234"/>
      <c r="O339" s="232"/>
      <c r="P339" s="232"/>
      <c r="Q339" s="233"/>
      <c r="R339" s="234"/>
      <c r="S339" s="232"/>
      <c r="T339" s="232"/>
      <c r="U339" s="233"/>
      <c r="V339" s="234"/>
      <c r="W339" s="232"/>
      <c r="X339" s="232"/>
      <c r="Y339" s="233"/>
      <c r="Z339" s="234"/>
      <c r="AA339" s="232"/>
      <c r="AB339" s="232"/>
      <c r="AC339" s="233"/>
      <c r="AD339" s="234"/>
      <c r="AE339" s="233"/>
    </row>
    <row r="341" spans="1:41" ht="13.5" thickBot="1"/>
    <row r="342" spans="1:41" ht="12.95" customHeight="1" thickBot="1">
      <c r="A342" s="275" t="s">
        <v>26</v>
      </c>
      <c r="B342" s="274" t="s">
        <v>29</v>
      </c>
      <c r="C342" s="8"/>
      <c r="D342" s="1377">
        <v>2008</v>
      </c>
      <c r="E342" s="1378"/>
      <c r="F342" s="1372">
        <v>2009</v>
      </c>
      <c r="G342" s="1373"/>
      <c r="H342" s="1373"/>
      <c r="I342" s="1374"/>
      <c r="J342" s="1372">
        <v>2010</v>
      </c>
      <c r="K342" s="1373"/>
      <c r="L342" s="1373"/>
      <c r="M342" s="1374"/>
      <c r="N342" s="1372">
        <v>2011</v>
      </c>
      <c r="O342" s="1373"/>
      <c r="P342" s="1373"/>
      <c r="Q342" s="1374"/>
      <c r="R342" s="1372">
        <v>2012</v>
      </c>
      <c r="S342" s="1373"/>
      <c r="T342" s="1373"/>
      <c r="U342" s="1374"/>
      <c r="V342" s="1372">
        <v>2013</v>
      </c>
      <c r="W342" s="1373"/>
      <c r="X342" s="1373"/>
      <c r="Y342" s="1374"/>
      <c r="Z342" s="1372">
        <v>2014</v>
      </c>
      <c r="AA342" s="1373"/>
      <c r="AB342" s="1373"/>
      <c r="AC342" s="1374"/>
      <c r="AD342" s="1372">
        <v>2015</v>
      </c>
      <c r="AE342" s="1374"/>
    </row>
    <row r="343" spans="1:41" ht="12.95" customHeight="1" thickBot="1">
      <c r="A343" s="868" t="s">
        <v>64</v>
      </c>
      <c r="B343" s="868" t="s">
        <v>156</v>
      </c>
      <c r="C343" s="9"/>
      <c r="D343" s="1379" t="s">
        <v>714</v>
      </c>
      <c r="E343" s="1380"/>
      <c r="F343" s="1380"/>
      <c r="G343" s="1380"/>
      <c r="H343" s="1380"/>
      <c r="I343" s="1380"/>
      <c r="J343" s="1380"/>
      <c r="K343" s="1380"/>
      <c r="L343" s="1380"/>
      <c r="M343" s="1380"/>
      <c r="N343" s="1380"/>
      <c r="O343" s="1380"/>
      <c r="P343" s="1380"/>
      <c r="Q343" s="1380"/>
      <c r="R343" s="1380"/>
      <c r="S343" s="1380"/>
      <c r="T343" s="1380"/>
      <c r="U343" s="1380"/>
      <c r="V343" s="1380"/>
      <c r="W343" s="1380"/>
      <c r="X343" s="1380"/>
      <c r="Y343" s="1380"/>
      <c r="Z343" s="1380"/>
      <c r="AA343" s="1380"/>
      <c r="AB343" s="1380"/>
      <c r="AC343" s="1380"/>
      <c r="AD343" s="1380"/>
      <c r="AE343" s="1381"/>
      <c r="AG343" s="257" t="s">
        <v>663</v>
      </c>
      <c r="AO343" s="382" t="s">
        <v>743</v>
      </c>
    </row>
    <row r="344" spans="1:41" ht="13.5" thickBot="1">
      <c r="A344" s="885"/>
      <c r="B344" s="885"/>
      <c r="C344" s="194" t="s">
        <v>610</v>
      </c>
      <c r="D344" s="206"/>
      <c r="E344" s="207"/>
      <c r="F344" s="209"/>
      <c r="G344" s="206"/>
      <c r="H344" s="206"/>
      <c r="I344" s="207"/>
      <c r="J344" s="209"/>
      <c r="K344" s="206"/>
      <c r="L344" s="206"/>
      <c r="M344" s="207"/>
      <c r="N344" s="277"/>
      <c r="O344" s="278">
        <f>(O354-J354)/5/(SUM($C$681:$C$684))/Spend!O344*'State Efficiency Ratios'!$C$655</f>
        <v>0</v>
      </c>
      <c r="P344" s="278"/>
      <c r="Q344" s="279"/>
      <c r="R344" s="277"/>
      <c r="S344" s="278"/>
      <c r="T344" s="278"/>
      <c r="U344" s="278">
        <f>(U354-O354)/6/(SUM($C$681:$C$684))/Spend!U344*'State Efficiency Ratios'!$C$655</f>
        <v>85.193417942875229</v>
      </c>
      <c r="V344" s="277"/>
      <c r="W344" s="278"/>
      <c r="X344" s="278"/>
      <c r="Y344" s="278">
        <f>(Y354-U354)/4/(SUM($C$681:$C$684))/Spend!Y344*'State Efficiency Ratios'!$C$655</f>
        <v>275.47131537155781</v>
      </c>
      <c r="Z344" s="277"/>
      <c r="AA344" s="278"/>
      <c r="AB344" s="278"/>
      <c r="AC344" s="278">
        <f>(AC354-Y354)/4/(SUM($C$681:$C$684))/Spend!AC344*'State Efficiency Ratios'!$C$655</f>
        <v>-657.61051459315956</v>
      </c>
      <c r="AD344" s="277"/>
      <c r="AE344" s="280"/>
      <c r="AG344" s="410" t="s">
        <v>765</v>
      </c>
      <c r="AN344" s="383">
        <f>(O354-J354)/7/$C$673/Spend!O344*'State Efficiency Ratios'!$C$655</f>
        <v>0</v>
      </c>
      <c r="AO344" s="379">
        <f>(AN344+AN368)/2</f>
        <v>128.48824089706616</v>
      </c>
    </row>
    <row r="345" spans="1:41" ht="13.5" thickBot="1">
      <c r="A345" s="885"/>
      <c r="B345" s="885"/>
      <c r="C345" s="194" t="s">
        <v>611</v>
      </c>
      <c r="D345" s="206"/>
      <c r="E345" s="207"/>
      <c r="F345" s="209"/>
      <c r="G345" s="206"/>
      <c r="H345" s="206"/>
      <c r="I345" s="207"/>
      <c r="J345" s="209"/>
      <c r="K345" s="206"/>
      <c r="L345" s="206"/>
      <c r="M345" s="207"/>
      <c r="N345" s="277"/>
      <c r="O345" s="278">
        <f>(O355-J355)/5/(SUM($C$681:$C$684))/Spend!O345*'State Efficiency Ratios'!$C$655</f>
        <v>31.623898290081112</v>
      </c>
      <c r="P345" s="278"/>
      <c r="Q345" s="279"/>
      <c r="R345" s="277"/>
      <c r="S345" s="278"/>
      <c r="T345" s="278"/>
      <c r="U345" s="278">
        <f>(U355-O355)/6/(SUM($C$681:$C$684))/Spend!U345*'State Efficiency Ratios'!$C$655</f>
        <v>47.888203920818214</v>
      </c>
      <c r="V345" s="277"/>
      <c r="W345" s="278"/>
      <c r="X345" s="278"/>
      <c r="Y345" s="278">
        <f>(Y355-U355)/4/(SUM($C$681:$C$684))/Spend!Y345*'State Efficiency Ratios'!$C$655</f>
        <v>61.642546924900685</v>
      </c>
      <c r="Z345" s="277"/>
      <c r="AA345" s="278"/>
      <c r="AB345" s="278"/>
      <c r="AC345" s="278">
        <f>(AC355-Y355)/4/(SUM($C$681:$C$684))/Spend!AC345*'State Efficiency Ratios'!$C$655</f>
        <v>-359.9863422665324</v>
      </c>
      <c r="AD345" s="277"/>
      <c r="AE345" s="280"/>
      <c r="AG345" s="410" t="s">
        <v>765</v>
      </c>
      <c r="AN345" s="383">
        <f>(O355-J355)/7/$C$673/Spend!O345*'State Efficiency Ratios'!$C$655</f>
        <v>361.41598045806984</v>
      </c>
      <c r="AO345" s="380">
        <f t="shared" ref="AO345:AO351" si="67">(AN345+AN369)/2</f>
        <v>316.23898290081115</v>
      </c>
    </row>
    <row r="346" spans="1:41" ht="13.5" thickBot="1">
      <c r="A346" s="885"/>
      <c r="B346" s="885"/>
      <c r="C346" s="194" t="s">
        <v>612</v>
      </c>
      <c r="D346" s="206"/>
      <c r="E346" s="207"/>
      <c r="F346" s="209"/>
      <c r="G346" s="206"/>
      <c r="H346" s="206"/>
      <c r="I346" s="207"/>
      <c r="J346" s="209"/>
      <c r="K346" s="206"/>
      <c r="L346" s="206"/>
      <c r="M346" s="207"/>
      <c r="N346" s="277"/>
      <c r="O346" s="278">
        <f>(O356-J356)/5/(SUM($C$681:$C$684))/Spend!O346*'State Efficiency Ratios'!$C$655</f>
        <v>14.086292047817937</v>
      </c>
      <c r="P346" s="278"/>
      <c r="Q346" s="279"/>
      <c r="R346" s="277"/>
      <c r="S346" s="278"/>
      <c r="T346" s="278"/>
      <c r="U346" s="278">
        <f>(U356-O356)/6/(SUM($C$681:$C$684))/Spend!U346*'State Efficiency Ratios'!$C$655</f>
        <v>99.589306184257794</v>
      </c>
      <c r="V346" s="277"/>
      <c r="W346" s="278"/>
      <c r="X346" s="278"/>
      <c r="Y346" s="278">
        <f>(Y356-U356)/4/(SUM($C$681:$C$684))/Spend!Y346*'State Efficiency Ratios'!$C$655</f>
        <v>-86.032236926612157</v>
      </c>
      <c r="Z346" s="277"/>
      <c r="AA346" s="278"/>
      <c r="AB346" s="278"/>
      <c r="AC346" s="278">
        <f>(AC356-Y356)/4/(SUM($C$681:$C$684))/Spend!AC346*'State Efficiency Ratios'!$C$655</f>
        <v>-144.2775237664452</v>
      </c>
      <c r="AD346" s="277"/>
      <c r="AE346" s="280"/>
      <c r="AG346" s="410" t="s">
        <v>764</v>
      </c>
      <c r="AN346" s="383">
        <f>(O356-J356)/7/$C$673/Spend!O346*'State Efficiency Ratios'!$C$655</f>
        <v>160.98619483220497</v>
      </c>
      <c r="AO346" s="380">
        <f t="shared" si="67"/>
        <v>181.10946918623057</v>
      </c>
    </row>
    <row r="347" spans="1:41" ht="13.5" thickBot="1">
      <c r="A347" s="885"/>
      <c r="B347" s="885"/>
      <c r="C347" s="194" t="s">
        <v>613</v>
      </c>
      <c r="D347" s="206"/>
      <c r="E347" s="207"/>
      <c r="F347" s="209"/>
      <c r="G347" s="206"/>
      <c r="H347" s="206"/>
      <c r="I347" s="207"/>
      <c r="J347" s="209"/>
      <c r="K347" s="206"/>
      <c r="L347" s="206"/>
      <c r="M347" s="207"/>
      <c r="N347" s="277"/>
      <c r="O347" s="278">
        <f>(O357-J357)/5/(SUM($C$681:$C$684))/Spend!O347*'State Efficiency Ratios'!$C$655</f>
        <v>29.456566565542008</v>
      </c>
      <c r="P347" s="278"/>
      <c r="Q347" s="279"/>
      <c r="R347" s="277"/>
      <c r="S347" s="278"/>
      <c r="T347" s="278"/>
      <c r="U347" s="278">
        <f>(U357-O357)/6/(SUM($C$681:$C$684))/Spend!U347*'State Efficiency Ratios'!$C$655</f>
        <v>26.272730496496052</v>
      </c>
      <c r="V347" s="277"/>
      <c r="W347" s="278"/>
      <c r="X347" s="278"/>
      <c r="Y347" s="278">
        <f>(Y357-U357)/4/(SUM($C$681:$C$684))/Spend!Y347*'State Efficiency Ratios'!$C$655</f>
        <v>124.92101082498134</v>
      </c>
      <c r="Z347" s="277"/>
      <c r="AA347" s="278"/>
      <c r="AB347" s="278"/>
      <c r="AC347" s="278">
        <f>(AC357-Y357)/4/(SUM($C$681:$C$684))/Spend!AC347*'State Efficiency Ratios'!$C$655</f>
        <v>-434.35883610829046</v>
      </c>
      <c r="AD347" s="277"/>
      <c r="AE347" s="280"/>
      <c r="AG347" s="410"/>
      <c r="AN347" s="383">
        <f>(O357-J357)/7/$C$673/Spend!O347*'State Efficiency Ratios'!$C$655</f>
        <v>336.64647503476579</v>
      </c>
      <c r="AO347" s="380">
        <f t="shared" si="67"/>
        <v>315.60607034509292</v>
      </c>
    </row>
    <row r="348" spans="1:41" ht="13.5" thickBot="1">
      <c r="A348" s="885"/>
      <c r="B348" s="885"/>
      <c r="C348" s="194" t="s">
        <v>614</v>
      </c>
      <c r="D348" s="206"/>
      <c r="E348" s="207"/>
      <c r="F348" s="209"/>
      <c r="G348" s="206"/>
      <c r="H348" s="206"/>
      <c r="I348" s="207"/>
      <c r="J348" s="209"/>
      <c r="K348" s="206"/>
      <c r="L348" s="206"/>
      <c r="M348" s="207"/>
      <c r="N348" s="277"/>
      <c r="O348" s="278">
        <f>(O358-J358)/5/(SUM($C$681:$C$684))/Spend!O348*'State Efficiency Ratios'!$C$655</f>
        <v>20.834055354932868</v>
      </c>
      <c r="P348" s="278"/>
      <c r="Q348" s="279"/>
      <c r="R348" s="277"/>
      <c r="S348" s="278"/>
      <c r="T348" s="278"/>
      <c r="U348" s="278">
        <f>(U358-O358)/6/(SUM($C$681:$C$684))/Spend!U348*'State Efficiency Ratios'!$C$655</f>
        <v>43.831905685887904</v>
      </c>
      <c r="V348" s="277"/>
      <c r="W348" s="278"/>
      <c r="X348" s="278"/>
      <c r="Y348" s="278">
        <f>(Y358-U358)/4/(SUM($C$681:$C$684))/Spend!Y348*'State Efficiency Ratios'!$C$655</f>
        <v>0</v>
      </c>
      <c r="Z348" s="277"/>
      <c r="AA348" s="278"/>
      <c r="AB348" s="278"/>
      <c r="AC348" s="278">
        <f>(AC358-Y358)/4/(SUM($C$681:$C$684))/Spend!AC348*'State Efficiency Ratios'!$C$655</f>
        <v>-263.4739803810254</v>
      </c>
      <c r="AD348" s="277"/>
      <c r="AE348" s="280"/>
      <c r="AG348" s="410" t="s">
        <v>766</v>
      </c>
      <c r="AN348" s="383">
        <f>(O358-J358)/7/$C$673/Spend!O348*'State Efficiency Ratios'!$C$655</f>
        <v>238.10348977066135</v>
      </c>
      <c r="AO348" s="380">
        <f t="shared" si="67"/>
        <v>257.94544725154981</v>
      </c>
    </row>
    <row r="349" spans="1:41" ht="12.95" customHeight="1" thickBot="1">
      <c r="A349" s="885"/>
      <c r="B349" s="885"/>
      <c r="C349" s="194" t="s">
        <v>615</v>
      </c>
      <c r="D349" s="210"/>
      <c r="E349" s="211"/>
      <c r="F349" s="209"/>
      <c r="G349" s="210"/>
      <c r="H349" s="210"/>
      <c r="I349" s="211"/>
      <c r="J349" s="209"/>
      <c r="K349" s="210"/>
      <c r="L349" s="210"/>
      <c r="M349" s="211"/>
      <c r="N349" s="281"/>
      <c r="O349" s="282"/>
      <c r="P349" s="282"/>
      <c r="Q349" s="282"/>
      <c r="R349" s="277"/>
      <c r="S349" s="278"/>
      <c r="T349" s="278"/>
      <c r="U349" s="278">
        <f>(U359-R359)/3/(SUM($C$681:$C$684))/Spend!U349*'State Efficiency Ratios'!$C$655</f>
        <v>0</v>
      </c>
      <c r="V349" s="277"/>
      <c r="W349" s="278"/>
      <c r="X349" s="278"/>
      <c r="Y349" s="278">
        <f>(Y359-U359)/4/(SUM($C$681:$C$684))/Spend!Y349*'State Efficiency Ratios'!$C$655</f>
        <v>57.590664921473952</v>
      </c>
      <c r="Z349" s="277"/>
      <c r="AA349" s="278"/>
      <c r="AB349" s="278"/>
      <c r="AC349" s="278">
        <f>(AC359-Y359)/4/(SUM($C$681:$C$684))/Spend!AC349*'State Efficiency Ratios'!$C$655</f>
        <v>-111.21852724792184</v>
      </c>
      <c r="AD349" s="277"/>
      <c r="AE349" s="280"/>
      <c r="AG349" s="410"/>
      <c r="AN349" s="383">
        <f>(Y359-R359)/7/$C$673/(Spend!U349+Spend!Y349)*'State Efficiency Ratios'!$C$655</f>
        <v>368.29073606396298</v>
      </c>
      <c r="AO349" s="380">
        <f t="shared" si="67"/>
        <v>138.62054156123526</v>
      </c>
    </row>
    <row r="350" spans="1:41" ht="12.95" customHeight="1" thickBot="1">
      <c r="A350" s="885"/>
      <c r="B350" s="885"/>
      <c r="C350" s="194" t="s">
        <v>616</v>
      </c>
      <c r="D350" s="210"/>
      <c r="E350" s="211"/>
      <c r="F350" s="209"/>
      <c r="G350" s="210"/>
      <c r="H350" s="210"/>
      <c r="I350" s="211"/>
      <c r="J350" s="209"/>
      <c r="K350" s="210"/>
      <c r="L350" s="210"/>
      <c r="M350" s="211"/>
      <c r="N350" s="281"/>
      <c r="O350" s="282"/>
      <c r="P350" s="282"/>
      <c r="Q350" s="282"/>
      <c r="R350" s="277"/>
      <c r="S350" s="278"/>
      <c r="T350" s="278"/>
      <c r="U350" s="278">
        <f>(U360-R360)/3/(SUM($C$681:$C$684))/Spend!U350*'State Efficiency Ratios'!$C$655</f>
        <v>0</v>
      </c>
      <c r="V350" s="277"/>
      <c r="W350" s="278"/>
      <c r="X350" s="278"/>
      <c r="Y350" s="278">
        <f>(Y360-U360)/4/(SUM($C$681:$C$684))/Spend!Y350*'State Efficiency Ratios'!$C$655</f>
        <v>131.09289628070448</v>
      </c>
      <c r="Z350" s="277"/>
      <c r="AA350" s="278"/>
      <c r="AB350" s="278"/>
      <c r="AC350" s="278">
        <f>(AC360-Y360)/4/(SUM($C$681:$C$684))/Spend!AC350*'State Efficiency Ratios'!$C$655</f>
        <v>-231.61419343490894</v>
      </c>
      <c r="AD350" s="277"/>
      <c r="AE350" s="280"/>
      <c r="AG350" s="410" t="s">
        <v>764</v>
      </c>
      <c r="AN350" s="383">
        <f>(Y360-R360)/7/$C$673/(Spend!U350+Spend!Y350)*'State Efficiency Ratios'!$C$655</f>
        <v>749.43803134914401</v>
      </c>
      <c r="AO350" s="380">
        <f t="shared" si="67"/>
        <v>648.50894397012394</v>
      </c>
    </row>
    <row r="351" spans="1:41" ht="12.95" customHeight="1" thickBot="1">
      <c r="A351" s="885"/>
      <c r="B351" s="885"/>
      <c r="C351" s="194" t="s">
        <v>617</v>
      </c>
      <c r="D351" s="210"/>
      <c r="E351" s="211"/>
      <c r="F351" s="209"/>
      <c r="G351" s="210"/>
      <c r="H351" s="210"/>
      <c r="I351" s="211"/>
      <c r="J351" s="209"/>
      <c r="K351" s="210"/>
      <c r="L351" s="210"/>
      <c r="M351" s="211"/>
      <c r="N351" s="281"/>
      <c r="O351" s="282"/>
      <c r="P351" s="282"/>
      <c r="Q351" s="282"/>
      <c r="R351" s="277"/>
      <c r="S351" s="278"/>
      <c r="T351" s="278"/>
      <c r="U351" s="278">
        <f>(U361-R361)/3/(SUM($C$681:$C$684))/Spend!U351*'State Efficiency Ratios'!$C$655</f>
        <v>0</v>
      </c>
      <c r="V351" s="277"/>
      <c r="W351" s="278"/>
      <c r="X351" s="278"/>
      <c r="Y351" s="278">
        <f>(Y361-U361)/4/(SUM($C$681:$C$684))/Spend!Y351*'State Efficiency Ratios'!$C$655</f>
        <v>212.30570334260813</v>
      </c>
      <c r="Z351" s="277"/>
      <c r="AA351" s="278"/>
      <c r="AB351" s="278"/>
      <c r="AC351" s="278">
        <f>(AC361-Y361)/4/(SUM($C$681:$C$684))/Spend!AC351*'State Efficiency Ratios'!$C$655</f>
        <v>-439.8614229294169</v>
      </c>
      <c r="AD351" s="277"/>
      <c r="AE351" s="280"/>
      <c r="AG351" s="410" t="s">
        <v>768</v>
      </c>
      <c r="AK351" s="4" t="s">
        <v>748</v>
      </c>
      <c r="AN351" s="383">
        <f>(Y361-R361)/7/$C$673/(Spend!U351+Spend!Y351)*'State Efficiency Ratios'!$C$655</f>
        <v>1216.7961669376843</v>
      </c>
      <c r="AO351" s="381">
        <f t="shared" si="67"/>
        <v>801.97929184529198</v>
      </c>
    </row>
    <row r="352" spans="1:41" ht="12.95" customHeight="1" thickBot="1">
      <c r="A352" s="885"/>
      <c r="B352" s="885"/>
      <c r="C352" s="194" t="s">
        <v>618</v>
      </c>
      <c r="D352" s="210"/>
      <c r="E352" s="211"/>
      <c r="F352" s="209"/>
      <c r="G352" s="210"/>
      <c r="H352" s="210"/>
      <c r="I352" s="211"/>
      <c r="J352" s="209"/>
      <c r="K352" s="210"/>
      <c r="L352" s="210"/>
      <c r="M352" s="211"/>
      <c r="N352" s="281"/>
      <c r="O352" s="282"/>
      <c r="P352" s="282"/>
      <c r="Q352" s="283"/>
      <c r="R352" s="281"/>
      <c r="S352" s="282"/>
      <c r="T352" s="282"/>
      <c r="U352" s="283"/>
      <c r="V352" s="281"/>
      <c r="W352" s="282"/>
      <c r="X352" s="282"/>
      <c r="Y352" s="283"/>
      <c r="Z352" s="277"/>
      <c r="AA352" s="278"/>
      <c r="AB352" s="278"/>
      <c r="AC352" s="278">
        <f>(AC362-Y362)/4/(SUM($C$681:$C$684))/Spend!AC352*'State Efficiency Ratios'!$C$655</f>
        <v>0</v>
      </c>
      <c r="AD352" s="277"/>
      <c r="AE352" s="280"/>
      <c r="AG352" s="295"/>
    </row>
    <row r="353" spans="1:41" ht="12.95" customHeight="1" thickBot="1">
      <c r="A353" s="885"/>
      <c r="B353" s="273" t="s">
        <v>151</v>
      </c>
      <c r="C353" s="194" t="s">
        <v>619</v>
      </c>
      <c r="D353" s="210"/>
      <c r="E353" s="211"/>
      <c r="F353" s="209"/>
      <c r="G353" s="210"/>
      <c r="H353" s="210"/>
      <c r="I353" s="211"/>
      <c r="J353" s="209"/>
      <c r="K353" s="210"/>
      <c r="L353" s="210"/>
      <c r="M353" s="211"/>
      <c r="N353" s="281"/>
      <c r="O353" s="282"/>
      <c r="P353" s="282"/>
      <c r="Q353" s="283"/>
      <c r="R353" s="281"/>
      <c r="S353" s="282"/>
      <c r="T353" s="282"/>
      <c r="U353" s="283"/>
      <c r="V353" s="281"/>
      <c r="W353" s="282"/>
      <c r="X353" s="282"/>
      <c r="Y353" s="283"/>
      <c r="Z353" s="277"/>
      <c r="AA353" s="278"/>
      <c r="AB353" s="278"/>
      <c r="AC353" s="278">
        <f>(AC363-Y363)/4/(SUM($C$681:$C$684))/Spend!AC353*'State Efficiency Ratios'!$C$655</f>
        <v>-68.702653051379741</v>
      </c>
      <c r="AD353" s="277"/>
      <c r="AE353" s="280"/>
      <c r="AG353" s="295"/>
      <c r="AK353" s="359" t="s">
        <v>743</v>
      </c>
      <c r="AL353" s="359" t="s">
        <v>743</v>
      </c>
      <c r="AM353" s="359" t="s">
        <v>743</v>
      </c>
      <c r="AO353" s="359" t="s">
        <v>743</v>
      </c>
    </row>
    <row r="354" spans="1:41" ht="12.95" customHeight="1" thickBot="1">
      <c r="A354" s="885"/>
      <c r="B354" s="273" t="s">
        <v>150</v>
      </c>
      <c r="C354" s="9" t="s">
        <v>295</v>
      </c>
      <c r="D354" s="241" t="s">
        <v>632</v>
      </c>
      <c r="E354" s="241" t="s">
        <v>632</v>
      </c>
      <c r="F354" s="243" t="s">
        <v>646</v>
      </c>
      <c r="G354" s="241" t="s">
        <v>646</v>
      </c>
      <c r="H354" s="241" t="s">
        <v>646</v>
      </c>
      <c r="I354" s="244" t="s">
        <v>646</v>
      </c>
      <c r="J354" s="195">
        <f>SUM('State DisAgg LFx10 (2015)'!D344:G344)</f>
        <v>0</v>
      </c>
      <c r="K354" s="196"/>
      <c r="L354" s="196"/>
      <c r="M354" s="197"/>
      <c r="N354" s="195"/>
      <c r="O354" s="196">
        <f>SUM('State DisAgg LFx10 (2015)'!H354:K354)</f>
        <v>0</v>
      </c>
      <c r="P354" s="196"/>
      <c r="Q354" s="197"/>
      <c r="R354" s="195"/>
      <c r="S354" s="196"/>
      <c r="T354" s="196"/>
      <c r="U354" s="197">
        <f>SUM('State DisAgg LFx10 (2015)'!L354:O354)</f>
        <v>13</v>
      </c>
      <c r="V354" s="195"/>
      <c r="W354" s="196"/>
      <c r="X354" s="196"/>
      <c r="Y354" s="197">
        <f>SUM('State DisAgg LFx10 (2015)'!P354:S354)</f>
        <v>38</v>
      </c>
      <c r="Z354" s="195"/>
      <c r="AA354" s="196"/>
      <c r="AB354" s="196"/>
      <c r="AC354" s="197">
        <f>SUM('State DisAgg LFx10 (2015)'!T354:W354)</f>
        <v>0</v>
      </c>
      <c r="AD354" s="195"/>
      <c r="AE354" s="197"/>
      <c r="AH354" s="354">
        <f>Y354-U354</f>
        <v>25</v>
      </c>
      <c r="AI354" s="354">
        <f>U354-O354</f>
        <v>13</v>
      </c>
      <c r="AJ354" s="354">
        <f t="shared" ref="AJ354:AJ365" si="68">O354-J354</f>
        <v>0</v>
      </c>
      <c r="AK354" s="370">
        <f>(AH354/($C$681*4))+(AH378/($C$686*4))+(AH402/$C$691)+(AH425/$C$694)</f>
        <v>0.44499999999999995</v>
      </c>
      <c r="AL354" s="371">
        <f t="shared" ref="AL354:AM363" si="69">(AI354/($C$681*4))+(AI378/($C$686*4))+(AI402/$C$691)+(AI425/$C$694)</f>
        <v>1.5675000000000001</v>
      </c>
      <c r="AM354" s="372">
        <f t="shared" si="69"/>
        <v>7.4999999999999997E-2</v>
      </c>
      <c r="AN354" s="384">
        <f>(O354-J354)</f>
        <v>0</v>
      </c>
      <c r="AO354" s="389">
        <f>(AN354/($C$681*4))+(AN378/($C$686*4))</f>
        <v>7.4999999999999997E-2</v>
      </c>
    </row>
    <row r="355" spans="1:41" ht="12.95" customHeight="1" thickBot="1">
      <c r="A355" s="885"/>
      <c r="B355" s="885" t="s">
        <v>149</v>
      </c>
      <c r="C355" s="9" t="s">
        <v>296</v>
      </c>
      <c r="D355" s="241" t="s">
        <v>632</v>
      </c>
      <c r="E355" s="241" t="s">
        <v>632</v>
      </c>
      <c r="F355" s="243" t="s">
        <v>646</v>
      </c>
      <c r="G355" s="241" t="s">
        <v>646</v>
      </c>
      <c r="H355" s="241" t="s">
        <v>646</v>
      </c>
      <c r="I355" s="244" t="s">
        <v>646</v>
      </c>
      <c r="J355" s="195">
        <f>SUM('State DisAgg LFx10 (2015)'!D345:G345)</f>
        <v>0</v>
      </c>
      <c r="K355" s="196"/>
      <c r="L355" s="196"/>
      <c r="M355" s="197"/>
      <c r="N355" s="195"/>
      <c r="O355" s="196">
        <f>SUM('State DisAgg LFx10 (2015)'!H355:K355)</f>
        <v>8</v>
      </c>
      <c r="P355" s="196"/>
      <c r="Q355" s="197"/>
      <c r="R355" s="195"/>
      <c r="S355" s="196"/>
      <c r="T355" s="196"/>
      <c r="U355" s="197">
        <f>SUM('State DisAgg LFx10 (2015)'!L355:O355)</f>
        <v>14</v>
      </c>
      <c r="V355" s="195"/>
      <c r="W355" s="196"/>
      <c r="X355" s="196"/>
      <c r="Y355" s="197">
        <f>SUM('State DisAgg LFx10 (2015)'!P355:S355)</f>
        <v>21</v>
      </c>
      <c r="Z355" s="195"/>
      <c r="AA355" s="196"/>
      <c r="AB355" s="196"/>
      <c r="AC355" s="197">
        <f>SUM('State DisAgg LFx10 (2015)'!T355:W355)</f>
        <v>0</v>
      </c>
      <c r="AD355" s="195"/>
      <c r="AE355" s="197"/>
      <c r="AH355" s="354">
        <f t="shared" ref="AH355:AH365" si="70">Y355-U355</f>
        <v>7</v>
      </c>
      <c r="AI355" s="354">
        <f>U355-O355</f>
        <v>6</v>
      </c>
      <c r="AJ355" s="354">
        <f t="shared" si="68"/>
        <v>8</v>
      </c>
      <c r="AK355" s="373">
        <f t="shared" ref="AK355:AK363" si="71">(AH355/($C$681*4))+(AH379/($C$686*4))+(AH403/$C$691)+(AH426/$C$694)</f>
        <v>0.26250000000000001</v>
      </c>
      <c r="AL355" s="369">
        <f t="shared" si="69"/>
        <v>1.5175000000000001</v>
      </c>
      <c r="AM355" s="374">
        <f t="shared" si="69"/>
        <v>0.17499999999999999</v>
      </c>
      <c r="AN355" s="384">
        <f t="shared" ref="AN355:AN358" si="72">(O355-J355)</f>
        <v>8</v>
      </c>
      <c r="AO355" s="390">
        <f t="shared" ref="AO355:AO361" si="73">(AN355/($C$681*4))+(AN379/($C$686*4))</f>
        <v>0.17499999999999999</v>
      </c>
    </row>
    <row r="356" spans="1:41" ht="12.95" customHeight="1" thickBot="1">
      <c r="A356" s="885"/>
      <c r="B356" s="885"/>
      <c r="C356" s="9" t="s">
        <v>297</v>
      </c>
      <c r="D356" s="241" t="s">
        <v>632</v>
      </c>
      <c r="E356" s="241" t="s">
        <v>632</v>
      </c>
      <c r="F356" s="243" t="s">
        <v>646</v>
      </c>
      <c r="G356" s="241" t="s">
        <v>646</v>
      </c>
      <c r="H356" s="241" t="s">
        <v>646</v>
      </c>
      <c r="I356" s="244" t="s">
        <v>646</v>
      </c>
      <c r="J356" s="195">
        <f>SUM('State DisAgg LFx10 (2015)'!D346:G346)</f>
        <v>2</v>
      </c>
      <c r="K356" s="196"/>
      <c r="L356" s="196"/>
      <c r="M356" s="197"/>
      <c r="N356" s="195"/>
      <c r="O356" s="196">
        <f>SUM('State DisAgg LFx10 (2015)'!H356:K356)</f>
        <v>6</v>
      </c>
      <c r="P356" s="196"/>
      <c r="Q356" s="197"/>
      <c r="R356" s="195"/>
      <c r="S356" s="196"/>
      <c r="T356" s="196"/>
      <c r="U356" s="197">
        <f>SUM('State DisAgg LFx10 (2015)'!L356:O356)</f>
        <v>20</v>
      </c>
      <c r="V356" s="195"/>
      <c r="W356" s="196"/>
      <c r="X356" s="196"/>
      <c r="Y356" s="197">
        <f>SUM('State DisAgg LFx10 (2015)'!P356:S356)</f>
        <v>8</v>
      </c>
      <c r="Z356" s="195"/>
      <c r="AA356" s="196"/>
      <c r="AB356" s="196"/>
      <c r="AC356" s="197">
        <f>SUM('State DisAgg LFx10 (2015)'!T356:W356)</f>
        <v>0</v>
      </c>
      <c r="AD356" s="195"/>
      <c r="AE356" s="197"/>
      <c r="AH356" s="354">
        <f t="shared" si="70"/>
        <v>-12</v>
      </c>
      <c r="AI356" s="354">
        <f>U356-O356</f>
        <v>14</v>
      </c>
      <c r="AJ356" s="354">
        <f t="shared" si="68"/>
        <v>4</v>
      </c>
      <c r="AK356" s="373">
        <f t="shared" si="71"/>
        <v>0.16250000000000003</v>
      </c>
      <c r="AL356" s="369">
        <f t="shared" si="69"/>
        <v>1.2874999999999999</v>
      </c>
      <c r="AM356" s="374">
        <f t="shared" si="69"/>
        <v>0.1125</v>
      </c>
      <c r="AN356" s="384">
        <f t="shared" si="72"/>
        <v>4</v>
      </c>
      <c r="AO356" s="390">
        <f t="shared" si="73"/>
        <v>0.1125</v>
      </c>
    </row>
    <row r="357" spans="1:41" ht="12.95" customHeight="1" thickBot="1">
      <c r="A357" s="885"/>
      <c r="B357" s="885"/>
      <c r="C357" s="9" t="s">
        <v>298</v>
      </c>
      <c r="D357" s="241" t="s">
        <v>632</v>
      </c>
      <c r="E357" s="241" t="s">
        <v>632</v>
      </c>
      <c r="F357" s="243" t="s">
        <v>646</v>
      </c>
      <c r="G357" s="241" t="s">
        <v>646</v>
      </c>
      <c r="H357" s="241" t="s">
        <v>646</v>
      </c>
      <c r="I357" s="244" t="s">
        <v>646</v>
      </c>
      <c r="J357" s="195">
        <f>SUM('State DisAgg LFx10 (2015)'!D347:G347)</f>
        <v>0</v>
      </c>
      <c r="K357" s="196"/>
      <c r="L357" s="196"/>
      <c r="M357" s="197"/>
      <c r="N357" s="195"/>
      <c r="O357" s="196">
        <f>SUM('State DisAgg LFx10 (2015)'!H357:K357)</f>
        <v>8</v>
      </c>
      <c r="P357" s="196"/>
      <c r="Q357" s="197"/>
      <c r="R357" s="195"/>
      <c r="S357" s="196"/>
      <c r="T357" s="196"/>
      <c r="U357" s="197">
        <f>SUM('State DisAgg LFx10 (2015)'!L357:O357)</f>
        <v>12</v>
      </c>
      <c r="V357" s="195"/>
      <c r="W357" s="196"/>
      <c r="X357" s="196"/>
      <c r="Y357" s="197">
        <f>SUM('State DisAgg LFx10 (2015)'!P357:S357)</f>
        <v>24</v>
      </c>
      <c r="Z357" s="195"/>
      <c r="AA357" s="196"/>
      <c r="AB357" s="196"/>
      <c r="AC357" s="197">
        <f>SUM('State DisAgg LFx10 (2015)'!T357:W357)</f>
        <v>0</v>
      </c>
      <c r="AD357" s="195"/>
      <c r="AE357" s="197"/>
      <c r="AH357" s="354">
        <f t="shared" si="70"/>
        <v>12</v>
      </c>
      <c r="AI357" s="354">
        <f>U357-O357</f>
        <v>4</v>
      </c>
      <c r="AJ357" s="354">
        <f t="shared" si="68"/>
        <v>8</v>
      </c>
      <c r="AK357" s="373">
        <f t="shared" si="71"/>
        <v>0.63</v>
      </c>
      <c r="AL357" s="369">
        <f t="shared" si="69"/>
        <v>1.2000000000000002</v>
      </c>
      <c r="AM357" s="374">
        <f t="shared" si="69"/>
        <v>0.1875</v>
      </c>
      <c r="AN357" s="384">
        <f t="shared" si="72"/>
        <v>8</v>
      </c>
      <c r="AO357" s="390">
        <f t="shared" si="73"/>
        <v>0.1875</v>
      </c>
    </row>
    <row r="358" spans="1:41" ht="12.95" customHeight="1" thickBot="1">
      <c r="A358" s="885"/>
      <c r="B358" s="885"/>
      <c r="C358" s="9" t="s">
        <v>299</v>
      </c>
      <c r="D358" s="241" t="s">
        <v>632</v>
      </c>
      <c r="E358" s="241" t="s">
        <v>632</v>
      </c>
      <c r="F358" s="243" t="s">
        <v>646</v>
      </c>
      <c r="G358" s="241" t="s">
        <v>646</v>
      </c>
      <c r="H358" s="241" t="s">
        <v>646</v>
      </c>
      <c r="I358" s="244" t="s">
        <v>646</v>
      </c>
      <c r="J358" s="195">
        <f>SUM('State DisAgg LFx10 (2015)'!D348:G348)</f>
        <v>0</v>
      </c>
      <c r="K358" s="196"/>
      <c r="L358" s="196"/>
      <c r="M358" s="197"/>
      <c r="N358" s="195"/>
      <c r="O358" s="196">
        <f>SUM('State DisAgg LFx10 (2015)'!H358:K358)</f>
        <v>6</v>
      </c>
      <c r="P358" s="196"/>
      <c r="Q358" s="197"/>
      <c r="R358" s="195"/>
      <c r="S358" s="196"/>
      <c r="T358" s="196"/>
      <c r="U358" s="197">
        <f>SUM('State DisAgg LFx10 (2015)'!L358:O358)</f>
        <v>16</v>
      </c>
      <c r="V358" s="195"/>
      <c r="W358" s="196"/>
      <c r="X358" s="196"/>
      <c r="Y358" s="197">
        <f>SUM('State DisAgg LFx10 (2015)'!P358:S358)</f>
        <v>16</v>
      </c>
      <c r="Z358" s="195"/>
      <c r="AA358" s="196"/>
      <c r="AB358" s="196"/>
      <c r="AC358" s="197">
        <f>SUM('State DisAgg LFx10 (2015)'!T358:W358)</f>
        <v>0</v>
      </c>
      <c r="AD358" s="195"/>
      <c r="AE358" s="197"/>
      <c r="AH358" s="354">
        <f t="shared" si="70"/>
        <v>0</v>
      </c>
      <c r="AI358" s="354">
        <f>U358-O358</f>
        <v>10</v>
      </c>
      <c r="AJ358" s="354">
        <f t="shared" si="68"/>
        <v>6</v>
      </c>
      <c r="AK358" s="373">
        <f t="shared" si="71"/>
        <v>0.6</v>
      </c>
      <c r="AL358" s="369">
        <f t="shared" si="69"/>
        <v>1.0924999999999998</v>
      </c>
      <c r="AM358" s="374">
        <f t="shared" si="69"/>
        <v>0.16249999999999998</v>
      </c>
      <c r="AN358" s="384">
        <f t="shared" si="72"/>
        <v>6</v>
      </c>
      <c r="AO358" s="390">
        <f t="shared" si="73"/>
        <v>0.16249999999999998</v>
      </c>
    </row>
    <row r="359" spans="1:41" ht="13.5" thickBot="1">
      <c r="A359" s="885"/>
      <c r="B359" s="885"/>
      <c r="C359" s="9" t="s">
        <v>300</v>
      </c>
      <c r="D359" s="199"/>
      <c r="E359" s="200"/>
      <c r="F359" s="201"/>
      <c r="G359" s="199"/>
      <c r="H359" s="199"/>
      <c r="I359" s="200"/>
      <c r="J359" s="201"/>
      <c r="K359" s="199"/>
      <c r="L359" s="199"/>
      <c r="M359" s="200"/>
      <c r="N359" s="198"/>
      <c r="O359" s="217" t="s">
        <v>634</v>
      </c>
      <c r="P359" s="241" t="s">
        <v>632</v>
      </c>
      <c r="Q359" s="244" t="s">
        <v>646</v>
      </c>
      <c r="R359" s="195">
        <f>SUM('State DisAgg LFx10 (2015)'!H349:K349)</f>
        <v>2</v>
      </c>
      <c r="S359" s="196"/>
      <c r="T359" s="196"/>
      <c r="U359" s="197">
        <f>SUM('State DisAgg LFx10 (2015)'!L359:O359)</f>
        <v>2</v>
      </c>
      <c r="V359" s="195"/>
      <c r="W359" s="196"/>
      <c r="X359" s="196"/>
      <c r="Y359" s="197">
        <f>SUM('State DisAgg LFx10 (2015)'!P359:S359)</f>
        <v>10</v>
      </c>
      <c r="Z359" s="195"/>
      <c r="AA359" s="196"/>
      <c r="AB359" s="196"/>
      <c r="AC359" s="197">
        <f>SUM('State DisAgg LFx10 (2015)'!T359:W359)</f>
        <v>0</v>
      </c>
      <c r="AD359" s="195"/>
      <c r="AE359" s="197"/>
      <c r="AH359" s="354">
        <f t="shared" si="70"/>
        <v>8</v>
      </c>
      <c r="AI359" s="354">
        <f>U359-R359</f>
        <v>0</v>
      </c>
      <c r="AJ359" s="354" t="e">
        <f t="shared" si="68"/>
        <v>#VALUE!</v>
      </c>
      <c r="AK359" s="373">
        <f t="shared" si="71"/>
        <v>0.32250000000000001</v>
      </c>
      <c r="AL359" s="369">
        <f t="shared" si="69"/>
        <v>0</v>
      </c>
      <c r="AM359" s="374" t="e">
        <f t="shared" si="69"/>
        <v>#VALUE!</v>
      </c>
      <c r="AN359" s="384">
        <f>(Y359-R359)</f>
        <v>8</v>
      </c>
      <c r="AO359" s="390">
        <f t="shared" si="73"/>
        <v>8.7500000000000008E-2</v>
      </c>
    </row>
    <row r="360" spans="1:41" ht="13.5" thickBot="1">
      <c r="A360" s="885"/>
      <c r="B360" s="885"/>
      <c r="C360" s="9" t="s">
        <v>301</v>
      </c>
      <c r="D360" s="199"/>
      <c r="E360" s="200"/>
      <c r="F360" s="201"/>
      <c r="G360" s="199"/>
      <c r="H360" s="199"/>
      <c r="I360" s="200"/>
      <c r="J360" s="201"/>
      <c r="K360" s="199"/>
      <c r="L360" s="199"/>
      <c r="M360" s="200"/>
      <c r="N360" s="198"/>
      <c r="O360" s="217" t="s">
        <v>634</v>
      </c>
      <c r="P360" s="241" t="s">
        <v>632</v>
      </c>
      <c r="Q360" s="244" t="s">
        <v>646</v>
      </c>
      <c r="R360" s="195">
        <f>SUM('State DisAgg LFx10 (2015)'!H350:K350)</f>
        <v>0</v>
      </c>
      <c r="S360" s="196"/>
      <c r="T360" s="196"/>
      <c r="U360" s="197">
        <f>SUM('State DisAgg LFx10 (2015)'!L360:O360)</f>
        <v>0</v>
      </c>
      <c r="V360" s="195"/>
      <c r="W360" s="196"/>
      <c r="X360" s="196"/>
      <c r="Y360" s="197">
        <f>SUM('State DisAgg LFx10 (2015)'!P360:S360)</f>
        <v>13</v>
      </c>
      <c r="Z360" s="195"/>
      <c r="AA360" s="196"/>
      <c r="AB360" s="196"/>
      <c r="AC360" s="197">
        <f>SUM('State DisAgg LFx10 (2015)'!T360:W360)</f>
        <v>0</v>
      </c>
      <c r="AD360" s="195"/>
      <c r="AE360" s="197"/>
      <c r="AH360" s="354">
        <f t="shared" si="70"/>
        <v>13</v>
      </c>
      <c r="AI360" s="354">
        <f t="shared" ref="AI360:AI361" si="74">U360-R360</f>
        <v>0</v>
      </c>
      <c r="AJ360" s="354" t="e">
        <f t="shared" si="68"/>
        <v>#VALUE!</v>
      </c>
      <c r="AK360" s="373">
        <f t="shared" si="71"/>
        <v>0.37249999999999989</v>
      </c>
      <c r="AL360" s="369">
        <f t="shared" si="69"/>
        <v>0</v>
      </c>
      <c r="AM360" s="374" t="e">
        <f t="shared" si="69"/>
        <v>#VALUE!</v>
      </c>
      <c r="AN360" s="384">
        <f t="shared" ref="AN360:AN361" si="75">(Y360-R360)</f>
        <v>13</v>
      </c>
      <c r="AO360" s="390">
        <f t="shared" si="73"/>
        <v>0.23749999999999999</v>
      </c>
    </row>
    <row r="361" spans="1:41" ht="13.5" thickBot="1">
      <c r="A361" s="885"/>
      <c r="B361" s="885"/>
      <c r="C361" s="9" t="s">
        <v>302</v>
      </c>
      <c r="D361" s="199"/>
      <c r="E361" s="200"/>
      <c r="F361" s="201"/>
      <c r="G361" s="199"/>
      <c r="H361" s="199"/>
      <c r="I361" s="200"/>
      <c r="J361" s="201"/>
      <c r="K361" s="199"/>
      <c r="L361" s="199"/>
      <c r="M361" s="200"/>
      <c r="N361" s="198"/>
      <c r="O361" s="217" t="s">
        <v>634</v>
      </c>
      <c r="P361" s="241" t="s">
        <v>632</v>
      </c>
      <c r="Q361" s="244" t="s">
        <v>646</v>
      </c>
      <c r="R361" s="195">
        <f>SUM('State DisAgg LFx10 (2015)'!H351:K351)</f>
        <v>0</v>
      </c>
      <c r="S361" s="196"/>
      <c r="T361" s="196"/>
      <c r="U361" s="197">
        <f>SUM('State DisAgg LFx10 (2015)'!L361:O361)</f>
        <v>0</v>
      </c>
      <c r="V361" s="195"/>
      <c r="W361" s="196"/>
      <c r="X361" s="196"/>
      <c r="Y361" s="197">
        <f>SUM('State DisAgg LFx10 (2015)'!P361:S361)</f>
        <v>22</v>
      </c>
      <c r="Z361" s="195"/>
      <c r="AA361" s="196"/>
      <c r="AB361" s="196"/>
      <c r="AC361" s="197">
        <f>SUM('State DisAgg LFx10 (2015)'!T361:W361)</f>
        <v>0</v>
      </c>
      <c r="AD361" s="195"/>
      <c r="AE361" s="197"/>
      <c r="AH361" s="354">
        <f t="shared" si="70"/>
        <v>22</v>
      </c>
      <c r="AI361" s="354">
        <f t="shared" si="74"/>
        <v>0</v>
      </c>
      <c r="AJ361" s="354" t="e">
        <f t="shared" si="68"/>
        <v>#VALUE!</v>
      </c>
      <c r="AK361" s="373">
        <f t="shared" si="71"/>
        <v>0.58750000000000002</v>
      </c>
      <c r="AL361" s="369">
        <f t="shared" si="69"/>
        <v>0</v>
      </c>
      <c r="AM361" s="374" t="e">
        <f t="shared" si="69"/>
        <v>#VALUE!</v>
      </c>
      <c r="AN361" s="384">
        <f t="shared" si="75"/>
        <v>22</v>
      </c>
      <c r="AO361" s="391">
        <f t="shared" si="73"/>
        <v>0.36250000000000004</v>
      </c>
    </row>
    <row r="362" spans="1:41" ht="13.5" thickBot="1">
      <c r="A362" s="885"/>
      <c r="B362" s="885"/>
      <c r="C362" s="9" t="s">
        <v>303</v>
      </c>
      <c r="D362" s="202"/>
      <c r="E362" s="203"/>
      <c r="F362" s="201"/>
      <c r="G362" s="202"/>
      <c r="H362" s="202"/>
      <c r="I362" s="203"/>
      <c r="J362" s="201"/>
      <c r="K362" s="202"/>
      <c r="L362" s="202"/>
      <c r="M362" s="203"/>
      <c r="N362" s="204"/>
      <c r="O362" s="214"/>
      <c r="P362" s="205"/>
      <c r="Q362" s="205"/>
      <c r="R362" s="201"/>
      <c r="S362" s="202"/>
      <c r="T362" s="202"/>
      <c r="U362" s="203"/>
      <c r="V362" s="242"/>
      <c r="W362" s="217" t="s">
        <v>633</v>
      </c>
      <c r="X362" s="241" t="s">
        <v>632</v>
      </c>
      <c r="Y362" s="197">
        <f>SUM('State DisAgg LFx10 (2015)'!P352:S352)</f>
        <v>0</v>
      </c>
      <c r="Z362" s="195"/>
      <c r="AA362" s="196"/>
      <c r="AB362" s="196"/>
      <c r="AC362" s="197">
        <f>SUM('State DisAgg LFx10 (2015)'!T362:W362)</f>
        <v>0</v>
      </c>
      <c r="AD362" s="195"/>
      <c r="AE362" s="197"/>
      <c r="AH362" s="354">
        <f t="shared" si="70"/>
        <v>0</v>
      </c>
      <c r="AI362" s="354">
        <f>U362-O362</f>
        <v>0</v>
      </c>
      <c r="AJ362" s="354">
        <f t="shared" si="68"/>
        <v>0</v>
      </c>
      <c r="AK362" s="373">
        <f t="shared" si="71"/>
        <v>1.2825</v>
      </c>
      <c r="AL362" s="369">
        <f t="shared" si="69"/>
        <v>0</v>
      </c>
      <c r="AM362" s="374">
        <f t="shared" si="69"/>
        <v>0</v>
      </c>
    </row>
    <row r="363" spans="1:41" ht="13.5" thickBot="1">
      <c r="A363" s="885"/>
      <c r="B363" s="885"/>
      <c r="C363" s="9" t="s">
        <v>304</v>
      </c>
      <c r="D363" s="202"/>
      <c r="E363" s="203"/>
      <c r="F363" s="201"/>
      <c r="G363" s="202"/>
      <c r="H363" s="202"/>
      <c r="I363" s="203"/>
      <c r="J363" s="201"/>
      <c r="K363" s="202"/>
      <c r="L363" s="202"/>
      <c r="M363" s="203"/>
      <c r="N363" s="204"/>
      <c r="O363" s="205"/>
      <c r="P363" s="205"/>
      <c r="Q363" s="205"/>
      <c r="R363" s="201"/>
      <c r="S363" s="202"/>
      <c r="T363" s="202"/>
      <c r="U363" s="203"/>
      <c r="V363" s="242"/>
      <c r="W363" s="217" t="s">
        <v>633</v>
      </c>
      <c r="X363" s="241" t="s">
        <v>632</v>
      </c>
      <c r="Y363" s="197">
        <f>SUM('State DisAgg LFx10 (2015)'!P353:S353)</f>
        <v>4</v>
      </c>
      <c r="Z363" s="195"/>
      <c r="AA363" s="196"/>
      <c r="AB363" s="196"/>
      <c r="AC363" s="197">
        <f>SUM('State DisAgg LFx10 (2015)'!T363:W363)</f>
        <v>0</v>
      </c>
      <c r="AD363" s="195"/>
      <c r="AE363" s="197"/>
      <c r="AH363" s="354">
        <f t="shared" si="70"/>
        <v>4</v>
      </c>
      <c r="AI363" s="354">
        <f>U363-O363</f>
        <v>0</v>
      </c>
      <c r="AJ363" s="354">
        <f t="shared" si="68"/>
        <v>0</v>
      </c>
      <c r="AK363" s="375">
        <f t="shared" si="71"/>
        <v>1.1924999999999999</v>
      </c>
      <c r="AL363" s="376">
        <f t="shared" si="69"/>
        <v>0</v>
      </c>
      <c r="AM363" s="377">
        <f t="shared" si="69"/>
        <v>0</v>
      </c>
    </row>
    <row r="364" spans="1:41" ht="12.95" hidden="1" customHeight="1" thickBot="1">
      <c r="A364" s="885"/>
      <c r="B364" s="273"/>
      <c r="C364" s="231"/>
      <c r="D364" s="232"/>
      <c r="E364" s="233"/>
      <c r="F364" s="234"/>
      <c r="G364" s="232"/>
      <c r="H364" s="232"/>
      <c r="I364" s="233"/>
      <c r="J364" s="234"/>
      <c r="K364" s="232"/>
      <c r="L364" s="232"/>
      <c r="M364" s="233"/>
      <c r="N364" s="234"/>
      <c r="O364" s="232"/>
      <c r="P364" s="232"/>
      <c r="Q364" s="233"/>
      <c r="R364" s="234"/>
      <c r="S364" s="232"/>
      <c r="T364" s="232"/>
      <c r="U364" s="233"/>
      <c r="V364" s="234"/>
      <c r="W364" s="232"/>
      <c r="X364" s="232"/>
      <c r="Y364" s="233"/>
      <c r="Z364" s="234"/>
      <c r="AA364" s="232"/>
      <c r="AB364" s="232"/>
      <c r="AC364" s="233"/>
      <c r="AD364" s="234"/>
      <c r="AE364" s="233"/>
      <c r="AH364" s="354">
        <f t="shared" si="70"/>
        <v>0</v>
      </c>
      <c r="AI364" s="354">
        <f>U364-O364</f>
        <v>0</v>
      </c>
      <c r="AJ364" s="354">
        <f t="shared" si="68"/>
        <v>0</v>
      </c>
      <c r="AK364" s="354">
        <f t="shared" ref="AK364:AM365" si="76">(AH364+AH388+AH412+AH435)/4</f>
        <v>0</v>
      </c>
      <c r="AL364" s="354">
        <f t="shared" si="76"/>
        <v>0</v>
      </c>
      <c r="AM364" s="354">
        <f t="shared" si="76"/>
        <v>0</v>
      </c>
    </row>
    <row r="365" spans="1:41" ht="12.95" hidden="1" customHeight="1" thickBot="1">
      <c r="A365" s="885"/>
      <c r="B365" s="273"/>
      <c r="C365" s="231"/>
      <c r="D365" s="232"/>
      <c r="E365" s="233"/>
      <c r="F365" s="234"/>
      <c r="G365" s="232"/>
      <c r="H365" s="232"/>
      <c r="I365" s="233"/>
      <c r="J365" s="234"/>
      <c r="K365" s="232"/>
      <c r="L365" s="232"/>
      <c r="M365" s="233"/>
      <c r="N365" s="234"/>
      <c r="O365" s="232"/>
      <c r="P365" s="232"/>
      <c r="Q365" s="233"/>
      <c r="R365" s="234"/>
      <c r="S365" s="232"/>
      <c r="T365" s="232"/>
      <c r="U365" s="233"/>
      <c r="V365" s="234"/>
      <c r="W365" s="232"/>
      <c r="X365" s="232"/>
      <c r="Y365" s="233"/>
      <c r="Z365" s="234"/>
      <c r="AA365" s="232"/>
      <c r="AB365" s="232"/>
      <c r="AC365" s="233"/>
      <c r="AD365" s="234"/>
      <c r="AE365" s="233"/>
      <c r="AH365" s="354">
        <f t="shared" si="70"/>
        <v>0</v>
      </c>
      <c r="AI365" s="354">
        <f>U365-O365</f>
        <v>0</v>
      </c>
      <c r="AJ365" s="354">
        <f t="shared" si="68"/>
        <v>0</v>
      </c>
      <c r="AK365" s="354">
        <f t="shared" si="76"/>
        <v>0</v>
      </c>
      <c r="AL365" s="354">
        <f t="shared" si="76"/>
        <v>0</v>
      </c>
      <c r="AM365" s="354">
        <f t="shared" si="76"/>
        <v>0</v>
      </c>
    </row>
    <row r="366" spans="1:41" ht="12.95" customHeight="1" thickBot="1">
      <c r="A366" s="885"/>
      <c r="B366" s="3" t="s">
        <v>30</v>
      </c>
      <c r="C366" s="12"/>
      <c r="D366" s="1377">
        <v>2008</v>
      </c>
      <c r="E366" s="1378"/>
      <c r="F366" s="1372">
        <v>2009</v>
      </c>
      <c r="G366" s="1373"/>
      <c r="H366" s="1373"/>
      <c r="I366" s="1374"/>
      <c r="J366" s="1372">
        <v>2010</v>
      </c>
      <c r="K366" s="1373"/>
      <c r="L366" s="1373"/>
      <c r="M366" s="1374"/>
      <c r="N366" s="1372">
        <v>2011</v>
      </c>
      <c r="O366" s="1373"/>
      <c r="P366" s="1373"/>
      <c r="Q366" s="1374"/>
      <c r="R366" s="1372">
        <v>2012</v>
      </c>
      <c r="S366" s="1373"/>
      <c r="T366" s="1373"/>
      <c r="U366" s="1374"/>
      <c r="V366" s="1372">
        <v>2013</v>
      </c>
      <c r="W366" s="1373"/>
      <c r="X366" s="1373"/>
      <c r="Y366" s="1374"/>
      <c r="Z366" s="1372">
        <v>2014</v>
      </c>
      <c r="AA366" s="1373"/>
      <c r="AB366" s="1373"/>
      <c r="AC366" s="1374"/>
      <c r="AD366" s="1372">
        <v>2015</v>
      </c>
      <c r="AE366" s="1374"/>
    </row>
    <row r="367" spans="1:41" ht="12.95" customHeight="1" thickBot="1">
      <c r="A367" s="885"/>
      <c r="B367" s="868" t="s">
        <v>157</v>
      </c>
      <c r="C367" s="23"/>
      <c r="D367" s="1379" t="s">
        <v>714</v>
      </c>
      <c r="E367" s="1380"/>
      <c r="F367" s="1380"/>
      <c r="G367" s="1380"/>
      <c r="H367" s="1380"/>
      <c r="I367" s="1380"/>
      <c r="J367" s="1380"/>
      <c r="K367" s="1380"/>
      <c r="L367" s="1380"/>
      <c r="M367" s="1380"/>
      <c r="N367" s="1380"/>
      <c r="O367" s="1380"/>
      <c r="P367" s="1380"/>
      <c r="Q367" s="1380"/>
      <c r="R367" s="1380"/>
      <c r="S367" s="1380"/>
      <c r="T367" s="1380"/>
      <c r="U367" s="1380"/>
      <c r="V367" s="1380"/>
      <c r="W367" s="1380"/>
      <c r="X367" s="1380"/>
      <c r="Y367" s="1380"/>
      <c r="Z367" s="1380"/>
      <c r="AA367" s="1380"/>
      <c r="AB367" s="1380"/>
      <c r="AC367" s="1380"/>
      <c r="AD367" s="1380"/>
      <c r="AE367" s="1381"/>
      <c r="AG367" s="257" t="s">
        <v>663</v>
      </c>
    </row>
    <row r="368" spans="1:41" ht="13.5" thickBot="1">
      <c r="A368" s="885"/>
      <c r="B368" s="885"/>
      <c r="C368" s="194" t="s">
        <v>610</v>
      </c>
      <c r="D368" s="206"/>
      <c r="E368" s="207"/>
      <c r="F368" s="209"/>
      <c r="G368" s="206"/>
      <c r="H368" s="206"/>
      <c r="I368" s="207"/>
      <c r="J368" s="209"/>
      <c r="K368" s="206"/>
      <c r="L368" s="206"/>
      <c r="M368" s="207"/>
      <c r="N368" s="277"/>
      <c r="O368" s="278">
        <f>(O378-J378)/5/(SUM($C$686:$C$689))/Spend!O368*'State Efficiency Ratios'!$C$655</f>
        <v>22.485442156986579</v>
      </c>
      <c r="P368" s="278"/>
      <c r="Q368" s="279"/>
      <c r="R368" s="277"/>
      <c r="S368" s="278"/>
      <c r="T368" s="278"/>
      <c r="U368" s="278">
        <f>(U378-O378)/6/(SUM($C$686:$C$689))/Spend!U368*'State Efficiency Ratios'!$C$655</f>
        <v>39.320039050557803</v>
      </c>
      <c r="V368" s="277"/>
      <c r="W368" s="278"/>
      <c r="X368" s="278"/>
      <c r="Y368" s="278">
        <f>(Y378-U378)/4/(SUM($C$686:$C$689))/Spend!Y368*'State Efficiency Ratios'!$C$655</f>
        <v>-44.406040133297743</v>
      </c>
      <c r="Z368" s="277"/>
      <c r="AA368" s="278"/>
      <c r="AB368" s="278"/>
      <c r="AC368" s="278">
        <f>(AC378-Y378)/4/(SUM($C$686:$C$689))/Spend!AC368*'State Efficiency Ratios'!$C$655</f>
        <v>-169.71099230988065</v>
      </c>
      <c r="AD368" s="277"/>
      <c r="AE368" s="280"/>
      <c r="AG368" s="410" t="s">
        <v>765</v>
      </c>
      <c r="AN368" s="385">
        <f>(O378-J378)/7/$C$673/Spend!O368*'State Efficiency Ratios'!$C$655</f>
        <v>256.97648179413233</v>
      </c>
    </row>
    <row r="369" spans="1:40" ht="13.5" thickBot="1">
      <c r="A369" s="885"/>
      <c r="B369" s="885"/>
      <c r="C369" s="194" t="s">
        <v>611</v>
      </c>
      <c r="D369" s="206"/>
      <c r="E369" s="207"/>
      <c r="F369" s="209"/>
      <c r="G369" s="206"/>
      <c r="H369" s="206"/>
      <c r="I369" s="207"/>
      <c r="J369" s="209"/>
      <c r="K369" s="206"/>
      <c r="L369" s="206"/>
      <c r="M369" s="207"/>
      <c r="N369" s="277"/>
      <c r="O369" s="278">
        <f>(O379-J379)/5/(SUM($C$686:$C$689))/Spend!O369*'State Efficiency Ratios'!$C$655</f>
        <v>23.717923717560833</v>
      </c>
      <c r="P369" s="278"/>
      <c r="Q369" s="279"/>
      <c r="R369" s="277"/>
      <c r="S369" s="278"/>
      <c r="T369" s="278"/>
      <c r="U369" s="278">
        <f>(U379-O379)/6/(SUM($C$686:$C$689))/Spend!U369*'State Efficiency Ratios'!$C$655</f>
        <v>87.795040521500042</v>
      </c>
      <c r="V369" s="277"/>
      <c r="W369" s="278"/>
      <c r="X369" s="278"/>
      <c r="Y369" s="278">
        <f>(Y379-U379)/4/(SUM($C$686:$C$689))/Spend!Y369*'State Efficiency Ratios'!$C$655</f>
        <v>-36.190645154123807</v>
      </c>
      <c r="Z369" s="277"/>
      <c r="AA369" s="278"/>
      <c r="AB369" s="278"/>
      <c r="AC369" s="278">
        <f>(AC379-Y379)/4/(SUM($C$686:$C$689))/Spend!AC369*'State Efficiency Ratios'!$C$655</f>
        <v>-178.26349680462374</v>
      </c>
      <c r="AD369" s="277"/>
      <c r="AE369" s="280"/>
      <c r="AG369" s="410" t="s">
        <v>765</v>
      </c>
      <c r="AN369" s="385">
        <f>(O379-J379)/7/$C$673/Spend!O369*'State Efficiency Ratios'!$C$655</f>
        <v>271.06198534355241</v>
      </c>
    </row>
    <row r="370" spans="1:40" ht="13.5" thickBot="1">
      <c r="A370" s="885"/>
      <c r="B370" s="885"/>
      <c r="C370" s="194" t="s">
        <v>612</v>
      </c>
      <c r="D370" s="206"/>
      <c r="E370" s="207"/>
      <c r="F370" s="209"/>
      <c r="G370" s="206"/>
      <c r="H370" s="206"/>
      <c r="I370" s="207"/>
      <c r="J370" s="209"/>
      <c r="K370" s="206"/>
      <c r="L370" s="206"/>
      <c r="M370" s="207"/>
      <c r="N370" s="277"/>
      <c r="O370" s="278">
        <f>(O380-J380)/5/(SUM($C$686:$C$689))/Spend!O370*'State Efficiency Ratios'!$C$655</f>
        <v>17.607865059772422</v>
      </c>
      <c r="P370" s="278"/>
      <c r="Q370" s="279"/>
      <c r="R370" s="277"/>
      <c r="S370" s="278"/>
      <c r="T370" s="278"/>
      <c r="U370" s="278">
        <f>(U380-O380)/6/(SUM($C$686:$C$689))/Spend!U370*'State Efficiency Ratios'!$C$655</f>
        <v>64.021696832737149</v>
      </c>
      <c r="V370" s="277"/>
      <c r="W370" s="278"/>
      <c r="X370" s="278"/>
      <c r="Y370" s="278">
        <f>(Y380-U380)/4/(SUM($C$686:$C$689))/Spend!Y370*'State Efficiency Ratios'!$C$655</f>
        <v>99.676797772870231</v>
      </c>
      <c r="Z370" s="277"/>
      <c r="AA370" s="278"/>
      <c r="AB370" s="278"/>
      <c r="AC370" s="278">
        <f>(AC380-Y380)/4/(SUM($C$686:$C$689))/Spend!AC370*'State Efficiency Ratios'!$C$655</f>
        <v>-398.84323876095584</v>
      </c>
      <c r="AD370" s="277"/>
      <c r="AE370" s="280"/>
      <c r="AG370" s="410" t="s">
        <v>764</v>
      </c>
      <c r="AN370" s="385">
        <f>(O380-J380)/7/$C$673/Spend!O370*'State Efficiency Ratios'!$C$655</f>
        <v>201.23274354025619</v>
      </c>
    </row>
    <row r="371" spans="1:40" ht="13.5" thickBot="1">
      <c r="A371" s="885"/>
      <c r="B371" s="885"/>
      <c r="C371" s="194" t="s">
        <v>613</v>
      </c>
      <c r="D371" s="206"/>
      <c r="E371" s="207"/>
      <c r="F371" s="209"/>
      <c r="G371" s="206"/>
      <c r="H371" s="206"/>
      <c r="I371" s="207"/>
      <c r="J371" s="209"/>
      <c r="K371" s="206"/>
      <c r="L371" s="206"/>
      <c r="M371" s="207"/>
      <c r="N371" s="277"/>
      <c r="O371" s="278">
        <f>(O381-J381)/5/(SUM($C$686:$C$689))/Spend!O371*'State Efficiency Ratios'!$C$655</f>
        <v>25.774495744849258</v>
      </c>
      <c r="P371" s="278"/>
      <c r="Q371" s="279"/>
      <c r="R371" s="277"/>
      <c r="S371" s="278"/>
      <c r="T371" s="278"/>
      <c r="U371" s="278">
        <f>(U381-O381)/6/(SUM($C$686:$C$689))/Spend!U371*'State Efficiency Ratios'!$C$655</f>
        <v>13.136365248248026</v>
      </c>
      <c r="V371" s="277"/>
      <c r="W371" s="278"/>
      <c r="X371" s="278"/>
      <c r="Y371" s="278">
        <f>(Y381-U381)/4/(SUM($C$686:$C$689))/Spend!Y371*'State Efficiency Ratios'!$C$655</f>
        <v>101.31756165203738</v>
      </c>
      <c r="Z371" s="277"/>
      <c r="AA371" s="278"/>
      <c r="AB371" s="278"/>
      <c r="AC371" s="278">
        <f>(AC381-Y381)/4/(SUM($C$686:$C$689))/Spend!AC371*'State Efficiency Ratios'!$C$655</f>
        <v>-178.03908057868901</v>
      </c>
      <c r="AD371" s="277"/>
      <c r="AE371" s="280"/>
      <c r="AG371" s="410"/>
      <c r="AN371" s="385">
        <f>(O381-J381)/7/$C$673/Spend!O371*'State Efficiency Ratios'!$C$655</f>
        <v>294.5656656554201</v>
      </c>
    </row>
    <row r="372" spans="1:40" ht="13.5" thickBot="1">
      <c r="A372" s="885"/>
      <c r="B372" s="885"/>
      <c r="C372" s="194" t="s">
        <v>614</v>
      </c>
      <c r="D372" s="206"/>
      <c r="E372" s="207"/>
      <c r="F372" s="209"/>
      <c r="G372" s="206"/>
      <c r="H372" s="206"/>
      <c r="I372" s="207"/>
      <c r="J372" s="209"/>
      <c r="K372" s="206"/>
      <c r="L372" s="206"/>
      <c r="M372" s="207"/>
      <c r="N372" s="277"/>
      <c r="O372" s="278">
        <f>(O382-J382)/5/(SUM($C$686:$C$689))/Spend!O372*'State Efficiency Ratios'!$C$655</f>
        <v>24.306397914088343</v>
      </c>
      <c r="P372" s="278"/>
      <c r="Q372" s="279"/>
      <c r="R372" s="277"/>
      <c r="S372" s="278"/>
      <c r="T372" s="278"/>
      <c r="U372" s="278">
        <f>(U382-O382)/6/(SUM($C$686:$C$689))/Spend!U372*'State Efficiency Ratios'!$C$655</f>
        <v>30.682333980121527</v>
      </c>
      <c r="V372" s="277"/>
      <c r="W372" s="278"/>
      <c r="X372" s="278"/>
      <c r="Y372" s="278">
        <f>(Y382-U382)/4/(SUM($C$686:$C$689))/Spend!Y372*'State Efficiency Ratios'!$C$655</f>
        <v>46.621928163651503</v>
      </c>
      <c r="Z372" s="277"/>
      <c r="AA372" s="278"/>
      <c r="AB372" s="278"/>
      <c r="AC372" s="278">
        <f>(AC382-Y382)/4/(SUM($C$686:$C$689))/Spend!AC372*'State Efficiency Ratios'!$C$655</f>
        <v>-165.77771793728334</v>
      </c>
      <c r="AD372" s="277"/>
      <c r="AE372" s="280"/>
      <c r="AG372" s="410" t="s">
        <v>766</v>
      </c>
      <c r="AN372" s="385">
        <f>(O382-J382)/7/$C$673/Spend!O372*'State Efficiency Ratios'!$C$655</f>
        <v>277.78740473243823</v>
      </c>
    </row>
    <row r="373" spans="1:40" ht="13.5" thickBot="1">
      <c r="A373" s="885"/>
      <c r="B373" s="885"/>
      <c r="C373" s="194" t="s">
        <v>615</v>
      </c>
      <c r="D373" s="210"/>
      <c r="E373" s="211"/>
      <c r="F373" s="209"/>
      <c r="G373" s="210"/>
      <c r="H373" s="210"/>
      <c r="I373" s="211"/>
      <c r="J373" s="209"/>
      <c r="K373" s="210"/>
      <c r="L373" s="210"/>
      <c r="M373" s="211"/>
      <c r="N373" s="281"/>
      <c r="O373" s="282"/>
      <c r="P373" s="282"/>
      <c r="Q373" s="282"/>
      <c r="R373" s="277"/>
      <c r="S373" s="278"/>
      <c r="T373" s="278"/>
      <c r="U373" s="278">
        <f>(U383-R383)/3/(SUM($C$686:$C$689))/Spend!U373*'State Efficiency Ratios'!$C$655</f>
        <v>0</v>
      </c>
      <c r="V373" s="277"/>
      <c r="W373" s="278"/>
      <c r="X373" s="278"/>
      <c r="Y373" s="278">
        <f>(Y383-U383)/4/(SUM($C$686:$C$689))/Spend!Y373*'State Efficiency Ratios'!$C$655</f>
        <v>-24.553911816692256</v>
      </c>
      <c r="Z373" s="277"/>
      <c r="AA373" s="278"/>
      <c r="AB373" s="278"/>
      <c r="AC373" s="278">
        <f>(AC383-Y383)/4/(SUM($C$686:$C$689))/Spend!AC373*'State Efficiency Ratios'!$C$655</f>
        <v>0</v>
      </c>
      <c r="AD373" s="277"/>
      <c r="AE373" s="280"/>
      <c r="AG373" s="410"/>
      <c r="AN373" s="385">
        <f>(Y383-R383)/7/$C$673/(Spend!U373+Spend!Y373)*'State Efficiency Ratios'!$C$655</f>
        <v>-91.049652941492468</v>
      </c>
    </row>
    <row r="374" spans="1:40" ht="13.5" thickBot="1">
      <c r="A374" s="885"/>
      <c r="B374" s="885"/>
      <c r="C374" s="194" t="s">
        <v>616</v>
      </c>
      <c r="D374" s="210"/>
      <c r="E374" s="211"/>
      <c r="F374" s="209"/>
      <c r="G374" s="210"/>
      <c r="H374" s="210"/>
      <c r="I374" s="211"/>
      <c r="J374" s="209"/>
      <c r="K374" s="210"/>
      <c r="L374" s="210"/>
      <c r="M374" s="211"/>
      <c r="N374" s="281"/>
      <c r="O374" s="282"/>
      <c r="P374" s="282"/>
      <c r="Q374" s="282"/>
      <c r="R374" s="277"/>
      <c r="S374" s="278"/>
      <c r="T374" s="278"/>
      <c r="U374" s="278">
        <f>(U384-R384)/3/(SUM($C$686:$C$689))/Spend!U374*'State Efficiency Ratios'!$C$655</f>
        <v>0</v>
      </c>
      <c r="V374" s="277"/>
      <c r="W374" s="278"/>
      <c r="X374" s="278"/>
      <c r="Y374" s="278">
        <f>(Y384-U384)/4/(SUM($C$686:$C$689))/Spend!Y374*'State Efficiency Ratios'!$C$655</f>
        <v>147.23067398807999</v>
      </c>
      <c r="Z374" s="277"/>
      <c r="AA374" s="278"/>
      <c r="AB374" s="278"/>
      <c r="AC374" s="278">
        <f>(AC384-Y384)/4/(SUM($C$686:$C$689))/Spend!AC374*'State Efficiency Ratios'!$C$655</f>
        <v>-87.751795862839145</v>
      </c>
      <c r="AD374" s="277"/>
      <c r="AE374" s="280"/>
      <c r="AG374" s="410" t="s">
        <v>764</v>
      </c>
      <c r="AN374" s="385">
        <f>(Y384-R384)/7/$C$673/(Spend!U374+Spend!Y374)*'State Efficiency Ratios'!$C$655</f>
        <v>547.57985659110386</v>
      </c>
    </row>
    <row r="375" spans="1:40" ht="13.5" thickBot="1">
      <c r="A375" s="885"/>
      <c r="B375" s="885"/>
      <c r="C375" s="194" t="s">
        <v>617</v>
      </c>
      <c r="D375" s="210"/>
      <c r="E375" s="211"/>
      <c r="F375" s="209"/>
      <c r="G375" s="210"/>
      <c r="H375" s="210"/>
      <c r="I375" s="211"/>
      <c r="J375" s="209"/>
      <c r="K375" s="210"/>
      <c r="L375" s="210"/>
      <c r="M375" s="211"/>
      <c r="N375" s="281"/>
      <c r="O375" s="282"/>
      <c r="P375" s="282"/>
      <c r="Q375" s="282"/>
      <c r="R375" s="277"/>
      <c r="S375" s="278"/>
      <c r="T375" s="278"/>
      <c r="U375" s="278">
        <f>(U385-R385)/3/(SUM($C$686:$C$689))/Spend!U375*'State Efficiency Ratios'!$C$655</f>
        <v>0</v>
      </c>
      <c r="V375" s="277"/>
      <c r="W375" s="278"/>
      <c r="X375" s="278"/>
      <c r="Y375" s="278">
        <f>(Y385-U385)/4/(SUM($C$686:$C$689))/Spend!Y375*'State Efficiency Ratios'!$C$655</f>
        <v>67.551814699920754</v>
      </c>
      <c r="Z375" s="277"/>
      <c r="AA375" s="278"/>
      <c r="AB375" s="278"/>
      <c r="AC375" s="278">
        <f>(AC385-Y385)/4/(SUM($C$686:$C$689))/Spend!AC375*'State Efficiency Ratios'!$C$655</f>
        <v>-72.005407959992937</v>
      </c>
      <c r="AD375" s="277"/>
      <c r="AE375" s="280"/>
      <c r="AG375" s="410" t="s">
        <v>768</v>
      </c>
      <c r="AN375" s="385">
        <f>(Y385-R385)/7/$C$673/(Spend!U375+Spend!Y375)*'State Efficiency Ratios'!$C$655</f>
        <v>387.16241675289962</v>
      </c>
    </row>
    <row r="376" spans="1:40" ht="13.5" thickBot="1">
      <c r="A376" s="885"/>
      <c r="B376" s="273" t="s">
        <v>151</v>
      </c>
      <c r="C376" s="194" t="s">
        <v>618</v>
      </c>
      <c r="D376" s="210"/>
      <c r="E376" s="211"/>
      <c r="F376" s="209"/>
      <c r="G376" s="210"/>
      <c r="H376" s="210"/>
      <c r="I376" s="211"/>
      <c r="J376" s="209"/>
      <c r="K376" s="210"/>
      <c r="L376" s="210"/>
      <c r="M376" s="211"/>
      <c r="N376" s="281"/>
      <c r="O376" s="282"/>
      <c r="P376" s="282"/>
      <c r="Q376" s="283"/>
      <c r="R376" s="281"/>
      <c r="S376" s="282"/>
      <c r="T376" s="282"/>
      <c r="U376" s="283"/>
      <c r="V376" s="281"/>
      <c r="W376" s="282"/>
      <c r="X376" s="282"/>
      <c r="Y376" s="283"/>
      <c r="Z376" s="277"/>
      <c r="AA376" s="278"/>
      <c r="AB376" s="278"/>
      <c r="AC376" s="278">
        <f>(AC386-Y386)/4/(SUM($C$686:$C$689))/Spend!AC376*'State Efficiency Ratios'!$C$655</f>
        <v>-180.85560517160181</v>
      </c>
      <c r="AD376" s="277"/>
      <c r="AE376" s="280"/>
      <c r="AG376" s="295"/>
    </row>
    <row r="377" spans="1:40" ht="13.5" thickBot="1">
      <c r="A377" s="885"/>
      <c r="B377" s="273" t="s">
        <v>150</v>
      </c>
      <c r="C377" s="194" t="s">
        <v>619</v>
      </c>
      <c r="D377" s="210"/>
      <c r="E377" s="211"/>
      <c r="F377" s="209"/>
      <c r="G377" s="210"/>
      <c r="H377" s="210"/>
      <c r="I377" s="211"/>
      <c r="J377" s="209"/>
      <c r="K377" s="210"/>
      <c r="L377" s="210"/>
      <c r="M377" s="211"/>
      <c r="N377" s="281"/>
      <c r="O377" s="282"/>
      <c r="P377" s="282"/>
      <c r="Q377" s="283"/>
      <c r="R377" s="281"/>
      <c r="S377" s="282"/>
      <c r="T377" s="282"/>
      <c r="U377" s="283"/>
      <c r="V377" s="281"/>
      <c r="W377" s="282"/>
      <c r="X377" s="282"/>
      <c r="Y377" s="283"/>
      <c r="Z377" s="277"/>
      <c r="AA377" s="278"/>
      <c r="AB377" s="278"/>
      <c r="AC377" s="278">
        <f>(AC387-Y387)/4/(SUM($C$686:$C$689))/Spend!AC377*'State Efficiency Ratios'!$C$655</f>
        <v>-49.644286591419018</v>
      </c>
      <c r="AD377" s="277"/>
      <c r="AE377" s="280"/>
      <c r="AG377" s="295"/>
    </row>
    <row r="378" spans="1:40" ht="12.95" customHeight="1" thickBot="1">
      <c r="A378" s="885"/>
      <c r="B378" s="885" t="s">
        <v>152</v>
      </c>
      <c r="C378" s="9" t="s">
        <v>295</v>
      </c>
      <c r="D378" s="241" t="s">
        <v>632</v>
      </c>
      <c r="E378" s="241" t="s">
        <v>632</v>
      </c>
      <c r="F378" s="243" t="s">
        <v>646</v>
      </c>
      <c r="G378" s="241" t="s">
        <v>646</v>
      </c>
      <c r="H378" s="241" t="s">
        <v>646</v>
      </c>
      <c r="I378" s="244" t="s">
        <v>646</v>
      </c>
      <c r="J378" s="195">
        <f>SUM('State DisAgg LFx10 (2015)'!D368:G368)</f>
        <v>0</v>
      </c>
      <c r="K378" s="196"/>
      <c r="L378" s="196"/>
      <c r="M378" s="197"/>
      <c r="N378" s="195"/>
      <c r="O378" s="196">
        <f>SUM('State DisAgg LFx10 (2015)'!H368:K368)</f>
        <v>6</v>
      </c>
      <c r="P378" s="196"/>
      <c r="Q378" s="197"/>
      <c r="R378" s="195"/>
      <c r="S378" s="196"/>
      <c r="T378" s="196"/>
      <c r="U378" s="197">
        <f>SUM('State DisAgg LFx10 (2015)'!L378:O378)</f>
        <v>12</v>
      </c>
      <c r="V378" s="195"/>
      <c r="W378" s="196"/>
      <c r="X378" s="196"/>
      <c r="Y378" s="197">
        <f>SUM('State DisAgg LFx10 (2015)'!P378:S378)</f>
        <v>9</v>
      </c>
      <c r="Z378" s="195"/>
      <c r="AA378" s="196"/>
      <c r="AB378" s="196"/>
      <c r="AC378" s="197">
        <f>SUM('State DisAgg LFx10 (2015)'!T378:W378)</f>
        <v>0</v>
      </c>
      <c r="AD378" s="195"/>
      <c r="AE378" s="197"/>
      <c r="AH378" s="354">
        <f>Y378-U378</f>
        <v>-3</v>
      </c>
      <c r="AI378" s="354">
        <f>U378-O378</f>
        <v>6</v>
      </c>
      <c r="AJ378" s="354">
        <f t="shared" ref="AJ378:AJ389" si="77">O378-J378</f>
        <v>6</v>
      </c>
      <c r="AN378" s="384">
        <f>(O378-J378)</f>
        <v>6</v>
      </c>
    </row>
    <row r="379" spans="1:40" ht="13.5" thickBot="1">
      <c r="A379" s="885"/>
      <c r="B379" s="885"/>
      <c r="C379" s="9" t="s">
        <v>296</v>
      </c>
      <c r="D379" s="241" t="s">
        <v>632</v>
      </c>
      <c r="E379" s="241" t="s">
        <v>632</v>
      </c>
      <c r="F379" s="243" t="s">
        <v>646</v>
      </c>
      <c r="G379" s="241" t="s">
        <v>646</v>
      </c>
      <c r="H379" s="241" t="s">
        <v>646</v>
      </c>
      <c r="I379" s="244" t="s">
        <v>646</v>
      </c>
      <c r="J379" s="195">
        <f>SUM('State DisAgg LFx10 (2015)'!D369:G369)</f>
        <v>0</v>
      </c>
      <c r="K379" s="196"/>
      <c r="L379" s="196"/>
      <c r="M379" s="197"/>
      <c r="N379" s="195"/>
      <c r="O379" s="196">
        <f>SUM('State DisAgg LFx10 (2015)'!H369:K369)</f>
        <v>6</v>
      </c>
      <c r="P379" s="196"/>
      <c r="Q379" s="197"/>
      <c r="R379" s="195"/>
      <c r="S379" s="196"/>
      <c r="T379" s="196"/>
      <c r="U379" s="197">
        <f>SUM('State DisAgg LFx10 (2015)'!L379:O379)</f>
        <v>17</v>
      </c>
      <c r="V379" s="195"/>
      <c r="W379" s="196"/>
      <c r="X379" s="196"/>
      <c r="Y379" s="197">
        <f>SUM('State DisAgg LFx10 (2015)'!P379:S379)</f>
        <v>13</v>
      </c>
      <c r="Z379" s="195"/>
      <c r="AA379" s="196"/>
      <c r="AB379" s="196"/>
      <c r="AC379" s="197">
        <f>SUM('State DisAgg LFx10 (2015)'!T379:W379)</f>
        <v>0</v>
      </c>
      <c r="AD379" s="195"/>
      <c r="AE379" s="197"/>
      <c r="AH379" s="354">
        <f t="shared" ref="AH379:AH389" si="78">Y379-U379</f>
        <v>-4</v>
      </c>
      <c r="AI379" s="354">
        <f>U379-O379</f>
        <v>11</v>
      </c>
      <c r="AJ379" s="354">
        <f t="shared" si="77"/>
        <v>6</v>
      </c>
      <c r="AN379" s="384">
        <f t="shared" ref="AN379:AN382" si="79">(O379-J379)</f>
        <v>6</v>
      </c>
    </row>
    <row r="380" spans="1:40" ht="13.5" thickBot="1">
      <c r="A380" s="885"/>
      <c r="B380" s="885"/>
      <c r="C380" s="9" t="s">
        <v>297</v>
      </c>
      <c r="D380" s="241" t="s">
        <v>632</v>
      </c>
      <c r="E380" s="241" t="s">
        <v>632</v>
      </c>
      <c r="F380" s="243" t="s">
        <v>646</v>
      </c>
      <c r="G380" s="241" t="s">
        <v>646</v>
      </c>
      <c r="H380" s="241" t="s">
        <v>646</v>
      </c>
      <c r="I380" s="244" t="s">
        <v>646</v>
      </c>
      <c r="J380" s="195">
        <f>SUM('State DisAgg LFx10 (2015)'!D370:G370)</f>
        <v>2</v>
      </c>
      <c r="K380" s="196"/>
      <c r="L380" s="196"/>
      <c r="M380" s="197"/>
      <c r="N380" s="195"/>
      <c r="O380" s="196">
        <f>SUM('State DisAgg LFx10 (2015)'!H370:K370)</f>
        <v>7</v>
      </c>
      <c r="P380" s="196"/>
      <c r="Q380" s="197"/>
      <c r="R380" s="195"/>
      <c r="S380" s="196"/>
      <c r="T380" s="196"/>
      <c r="U380" s="197">
        <f>SUM('State DisAgg LFx10 (2015)'!L380:O380)</f>
        <v>16</v>
      </c>
      <c r="V380" s="195"/>
      <c r="W380" s="196"/>
      <c r="X380" s="196"/>
      <c r="Y380" s="197">
        <f>SUM('State DisAgg LFx10 (2015)'!P380:S380)</f>
        <v>25</v>
      </c>
      <c r="Z380" s="195"/>
      <c r="AA380" s="196"/>
      <c r="AB380" s="196"/>
      <c r="AC380" s="197">
        <f>SUM('State DisAgg LFx10 (2015)'!T380:W380)</f>
        <v>0</v>
      </c>
      <c r="AD380" s="195"/>
      <c r="AE380" s="197"/>
      <c r="AH380" s="354">
        <f t="shared" si="78"/>
        <v>9</v>
      </c>
      <c r="AI380" s="354">
        <f>U380-O380</f>
        <v>9</v>
      </c>
      <c r="AJ380" s="354">
        <f t="shared" si="77"/>
        <v>5</v>
      </c>
      <c r="AN380" s="384">
        <f t="shared" si="79"/>
        <v>5</v>
      </c>
    </row>
    <row r="381" spans="1:40" ht="13.5" thickBot="1">
      <c r="A381" s="885"/>
      <c r="B381" s="885"/>
      <c r="C381" s="9" t="s">
        <v>298</v>
      </c>
      <c r="D381" s="241" t="s">
        <v>632</v>
      </c>
      <c r="E381" s="241" t="s">
        <v>632</v>
      </c>
      <c r="F381" s="243" t="s">
        <v>646</v>
      </c>
      <c r="G381" s="241" t="s">
        <v>646</v>
      </c>
      <c r="H381" s="241" t="s">
        <v>646</v>
      </c>
      <c r="I381" s="244" t="s">
        <v>646</v>
      </c>
      <c r="J381" s="195">
        <f>SUM('State DisAgg LFx10 (2015)'!D371:G371)</f>
        <v>0</v>
      </c>
      <c r="K381" s="196"/>
      <c r="L381" s="196"/>
      <c r="M381" s="197"/>
      <c r="N381" s="195"/>
      <c r="O381" s="196">
        <f>SUM('State DisAgg LFx10 (2015)'!H371:K371)</f>
        <v>7</v>
      </c>
      <c r="P381" s="196"/>
      <c r="Q381" s="197"/>
      <c r="R381" s="195"/>
      <c r="S381" s="196"/>
      <c r="T381" s="196"/>
      <c r="U381" s="197">
        <f>SUM('State DisAgg LFx10 (2015)'!L381:O381)</f>
        <v>9</v>
      </c>
      <c r="V381" s="195"/>
      <c r="W381" s="196"/>
      <c r="X381" s="196"/>
      <c r="Y381" s="197">
        <f>SUM('State DisAgg LFx10 (2015)'!P381:S381)</f>
        <v>19</v>
      </c>
      <c r="Z381" s="195"/>
      <c r="AA381" s="196"/>
      <c r="AB381" s="196"/>
      <c r="AC381" s="197">
        <f>SUM('State DisAgg LFx10 (2015)'!T381:W381)</f>
        <v>0</v>
      </c>
      <c r="AD381" s="195"/>
      <c r="AE381" s="197"/>
      <c r="AH381" s="354">
        <f t="shared" si="78"/>
        <v>10</v>
      </c>
      <c r="AI381" s="354">
        <f>U381-O381</f>
        <v>2</v>
      </c>
      <c r="AJ381" s="354">
        <f t="shared" si="77"/>
        <v>7</v>
      </c>
      <c r="AN381" s="384">
        <f t="shared" si="79"/>
        <v>7</v>
      </c>
    </row>
    <row r="382" spans="1:40" ht="13.5" thickBot="1">
      <c r="A382" s="885"/>
      <c r="B382" s="885"/>
      <c r="C382" s="9" t="s">
        <v>299</v>
      </c>
      <c r="D382" s="241" t="s">
        <v>632</v>
      </c>
      <c r="E382" s="241" t="s">
        <v>632</v>
      </c>
      <c r="F382" s="243" t="s">
        <v>646</v>
      </c>
      <c r="G382" s="241" t="s">
        <v>646</v>
      </c>
      <c r="H382" s="241" t="s">
        <v>646</v>
      </c>
      <c r="I382" s="244" t="s">
        <v>646</v>
      </c>
      <c r="J382" s="195">
        <f>SUM('State DisAgg LFx10 (2015)'!D372:G372)</f>
        <v>0</v>
      </c>
      <c r="K382" s="196"/>
      <c r="L382" s="196"/>
      <c r="M382" s="197"/>
      <c r="N382" s="195"/>
      <c r="O382" s="196">
        <f>SUM('State DisAgg LFx10 (2015)'!H372:K372)</f>
        <v>7</v>
      </c>
      <c r="P382" s="196"/>
      <c r="Q382" s="197"/>
      <c r="R382" s="195"/>
      <c r="S382" s="196"/>
      <c r="T382" s="196"/>
      <c r="U382" s="197">
        <f>SUM('State DisAgg LFx10 (2015)'!L382:O382)</f>
        <v>14</v>
      </c>
      <c r="V382" s="195"/>
      <c r="W382" s="196"/>
      <c r="X382" s="196"/>
      <c r="Y382" s="197">
        <f>SUM('State DisAgg LFx10 (2015)'!P382:S382)</f>
        <v>20</v>
      </c>
      <c r="Z382" s="195"/>
      <c r="AA382" s="196"/>
      <c r="AB382" s="196"/>
      <c r="AC382" s="197">
        <f>SUM('State DisAgg LFx10 (2015)'!T382:W382)</f>
        <v>0</v>
      </c>
      <c r="AD382" s="195"/>
      <c r="AE382" s="197"/>
      <c r="AH382" s="354">
        <f t="shared" si="78"/>
        <v>6</v>
      </c>
      <c r="AI382" s="354">
        <f>U382-O382</f>
        <v>7</v>
      </c>
      <c r="AJ382" s="354">
        <f t="shared" si="77"/>
        <v>7</v>
      </c>
      <c r="AN382" s="384">
        <f t="shared" si="79"/>
        <v>7</v>
      </c>
    </row>
    <row r="383" spans="1:40" ht="13.5" thickBot="1">
      <c r="A383" s="885"/>
      <c r="B383" s="885"/>
      <c r="C383" s="9" t="s">
        <v>300</v>
      </c>
      <c r="D383" s="199"/>
      <c r="E383" s="200"/>
      <c r="F383" s="201"/>
      <c r="G383" s="199"/>
      <c r="H383" s="199"/>
      <c r="I383" s="200"/>
      <c r="J383" s="201"/>
      <c r="K383" s="199"/>
      <c r="L383" s="199"/>
      <c r="M383" s="200"/>
      <c r="N383" s="198"/>
      <c r="O383" s="217" t="s">
        <v>634</v>
      </c>
      <c r="P383" s="241" t="s">
        <v>632</v>
      </c>
      <c r="Q383" s="244" t="s">
        <v>646</v>
      </c>
      <c r="R383" s="195">
        <f>SUM('State DisAgg LFx10 (2015)'!H373:K373)</f>
        <v>1</v>
      </c>
      <c r="S383" s="196"/>
      <c r="T383" s="196"/>
      <c r="U383" s="197">
        <f>SUM('State DisAgg LFx10 (2015)'!L383:O383)</f>
        <v>1</v>
      </c>
      <c r="V383" s="195"/>
      <c r="W383" s="196"/>
      <c r="X383" s="196"/>
      <c r="Y383" s="197">
        <f>SUM('State DisAgg LFx10 (2015)'!P383:S383)</f>
        <v>0</v>
      </c>
      <c r="Z383" s="195"/>
      <c r="AA383" s="196"/>
      <c r="AB383" s="196"/>
      <c r="AC383" s="197">
        <f>SUM('State DisAgg LFx10 (2015)'!T383:W383)</f>
        <v>0</v>
      </c>
      <c r="AD383" s="195"/>
      <c r="AE383" s="197"/>
      <c r="AH383" s="354">
        <f t="shared" si="78"/>
        <v>-1</v>
      </c>
      <c r="AI383" s="354">
        <f>U383-R383</f>
        <v>0</v>
      </c>
      <c r="AJ383" s="354" t="e">
        <f t="shared" si="77"/>
        <v>#VALUE!</v>
      </c>
      <c r="AN383" s="384">
        <f>(Y383-R383)</f>
        <v>-1</v>
      </c>
    </row>
    <row r="384" spans="1:40" ht="13.5" thickBot="1">
      <c r="A384" s="885"/>
      <c r="B384" s="885"/>
      <c r="C384" s="9" t="s">
        <v>301</v>
      </c>
      <c r="D384" s="199"/>
      <c r="E384" s="200"/>
      <c r="F384" s="201"/>
      <c r="G384" s="199"/>
      <c r="H384" s="199"/>
      <c r="I384" s="200"/>
      <c r="J384" s="201"/>
      <c r="K384" s="199"/>
      <c r="L384" s="199"/>
      <c r="M384" s="200"/>
      <c r="N384" s="198"/>
      <c r="O384" s="217" t="s">
        <v>634</v>
      </c>
      <c r="P384" s="241" t="s">
        <v>632</v>
      </c>
      <c r="Q384" s="244" t="s">
        <v>646</v>
      </c>
      <c r="R384" s="195">
        <f>SUM('State DisAgg LFx10 (2015)'!H374:K374)</f>
        <v>0</v>
      </c>
      <c r="S384" s="196"/>
      <c r="T384" s="196"/>
      <c r="U384" s="197">
        <f>SUM('State DisAgg LFx10 (2015)'!L384:O384)</f>
        <v>0</v>
      </c>
      <c r="V384" s="195"/>
      <c r="W384" s="196"/>
      <c r="X384" s="196"/>
      <c r="Y384" s="197">
        <f>SUM('State DisAgg LFx10 (2015)'!P384:S384)</f>
        <v>6</v>
      </c>
      <c r="Z384" s="195"/>
      <c r="AA384" s="196"/>
      <c r="AB384" s="196"/>
      <c r="AC384" s="197">
        <f>SUM('State DisAgg LFx10 (2015)'!T384:W384)</f>
        <v>0</v>
      </c>
      <c r="AD384" s="195"/>
      <c r="AE384" s="197"/>
      <c r="AH384" s="354">
        <f t="shared" si="78"/>
        <v>6</v>
      </c>
      <c r="AI384" s="354">
        <f t="shared" ref="AI384:AI385" si="80">U384-R384</f>
        <v>0</v>
      </c>
      <c r="AJ384" s="354" t="e">
        <f t="shared" si="77"/>
        <v>#VALUE!</v>
      </c>
      <c r="AN384" s="384">
        <f t="shared" ref="AN384:AN385" si="81">(Y384-R384)</f>
        <v>6</v>
      </c>
    </row>
    <row r="385" spans="1:40" ht="13.5" thickBot="1">
      <c r="A385" s="885"/>
      <c r="B385" s="885"/>
      <c r="C385" s="9" t="s">
        <v>302</v>
      </c>
      <c r="D385" s="199"/>
      <c r="E385" s="200"/>
      <c r="F385" s="201"/>
      <c r="G385" s="199"/>
      <c r="H385" s="199"/>
      <c r="I385" s="200"/>
      <c r="J385" s="201"/>
      <c r="K385" s="199"/>
      <c r="L385" s="199"/>
      <c r="M385" s="200"/>
      <c r="N385" s="198"/>
      <c r="O385" s="217" t="s">
        <v>634</v>
      </c>
      <c r="P385" s="241" t="s">
        <v>632</v>
      </c>
      <c r="Q385" s="244" t="s">
        <v>646</v>
      </c>
      <c r="R385" s="195">
        <f>SUM('State DisAgg LFx10 (2015)'!H375:K375)</f>
        <v>0</v>
      </c>
      <c r="S385" s="196"/>
      <c r="T385" s="196"/>
      <c r="U385" s="197">
        <f>SUM('State DisAgg LFx10 (2015)'!L385:O385)</f>
        <v>0</v>
      </c>
      <c r="V385" s="195"/>
      <c r="W385" s="196"/>
      <c r="X385" s="196"/>
      <c r="Y385" s="197">
        <f>SUM('State DisAgg LFx10 (2015)'!P385:S385)</f>
        <v>7</v>
      </c>
      <c r="Z385" s="195"/>
      <c r="AA385" s="196"/>
      <c r="AB385" s="196"/>
      <c r="AC385" s="197">
        <f>SUM('State DisAgg LFx10 (2015)'!T385:W385)</f>
        <v>0</v>
      </c>
      <c r="AD385" s="195"/>
      <c r="AE385" s="197"/>
      <c r="AH385" s="354">
        <f t="shared" si="78"/>
        <v>7</v>
      </c>
      <c r="AI385" s="354">
        <f t="shared" si="80"/>
        <v>0</v>
      </c>
      <c r="AJ385" s="354" t="e">
        <f t="shared" si="77"/>
        <v>#VALUE!</v>
      </c>
      <c r="AN385" s="384">
        <f t="shared" si="81"/>
        <v>7</v>
      </c>
    </row>
    <row r="386" spans="1:40" ht="13.5" thickBot="1">
      <c r="A386" s="885"/>
      <c r="B386" s="885"/>
      <c r="C386" s="9" t="s">
        <v>303</v>
      </c>
      <c r="D386" s="202"/>
      <c r="E386" s="203"/>
      <c r="F386" s="201"/>
      <c r="G386" s="202"/>
      <c r="H386" s="202"/>
      <c r="I386" s="203"/>
      <c r="J386" s="201"/>
      <c r="K386" s="202"/>
      <c r="L386" s="202"/>
      <c r="M386" s="203"/>
      <c r="N386" s="204"/>
      <c r="O386" s="214"/>
      <c r="P386" s="205"/>
      <c r="Q386" s="205"/>
      <c r="R386" s="201"/>
      <c r="S386" s="202"/>
      <c r="T386" s="202"/>
      <c r="U386" s="203"/>
      <c r="V386" s="242"/>
      <c r="W386" s="217" t="s">
        <v>633</v>
      </c>
      <c r="X386" s="241" t="s">
        <v>632</v>
      </c>
      <c r="Y386" s="197">
        <f>SUM('State DisAgg LFx10 (2015)'!P376:S376)</f>
        <v>9</v>
      </c>
      <c r="Z386" s="195"/>
      <c r="AA386" s="196"/>
      <c r="AB386" s="196"/>
      <c r="AC386" s="197">
        <f>SUM('State DisAgg LFx10 (2015)'!T386:W386)</f>
        <v>0</v>
      </c>
      <c r="AD386" s="195"/>
      <c r="AE386" s="197"/>
      <c r="AH386" s="354">
        <f t="shared" si="78"/>
        <v>9</v>
      </c>
      <c r="AI386" s="354">
        <f>U386-O386</f>
        <v>0</v>
      </c>
      <c r="AJ386" s="354">
        <f t="shared" si="77"/>
        <v>0</v>
      </c>
    </row>
    <row r="387" spans="1:40" ht="13.5" thickBot="1">
      <c r="A387" s="885"/>
      <c r="B387" s="885"/>
      <c r="C387" s="9" t="s">
        <v>304</v>
      </c>
      <c r="D387" s="202"/>
      <c r="E387" s="203"/>
      <c r="F387" s="201"/>
      <c r="G387" s="202"/>
      <c r="H387" s="202"/>
      <c r="I387" s="203"/>
      <c r="J387" s="201"/>
      <c r="K387" s="202"/>
      <c r="L387" s="202"/>
      <c r="M387" s="203"/>
      <c r="N387" s="204"/>
      <c r="O387" s="205"/>
      <c r="P387" s="205"/>
      <c r="Q387" s="205"/>
      <c r="R387" s="201"/>
      <c r="S387" s="202"/>
      <c r="T387" s="202"/>
      <c r="U387" s="203"/>
      <c r="V387" s="242"/>
      <c r="W387" s="217" t="s">
        <v>633</v>
      </c>
      <c r="X387" s="241" t="s">
        <v>632</v>
      </c>
      <c r="Y387" s="197">
        <f>SUM('State DisAgg LFx10 (2015)'!P377:S377)</f>
        <v>3</v>
      </c>
      <c r="Z387" s="195"/>
      <c r="AA387" s="196"/>
      <c r="AB387" s="196"/>
      <c r="AC387" s="197">
        <f>SUM('State DisAgg LFx10 (2015)'!T387:W387)</f>
        <v>0</v>
      </c>
      <c r="AD387" s="195"/>
      <c r="AE387" s="197"/>
      <c r="AH387" s="354">
        <f t="shared" si="78"/>
        <v>3</v>
      </c>
      <c r="AI387" s="354">
        <f>U387-O387</f>
        <v>0</v>
      </c>
      <c r="AJ387" s="354">
        <f t="shared" si="77"/>
        <v>0</v>
      </c>
    </row>
    <row r="388" spans="1:40" ht="12.95" hidden="1" customHeight="1" thickBot="1">
      <c r="A388" s="885"/>
      <c r="B388" s="273"/>
      <c r="C388" s="231"/>
      <c r="D388" s="232"/>
      <c r="E388" s="233"/>
      <c r="F388" s="234"/>
      <c r="G388" s="232"/>
      <c r="H388" s="232"/>
      <c r="I388" s="233"/>
      <c r="J388" s="234"/>
      <c r="K388" s="232"/>
      <c r="L388" s="232"/>
      <c r="M388" s="233"/>
      <c r="N388" s="234"/>
      <c r="O388" s="232"/>
      <c r="P388" s="232"/>
      <c r="Q388" s="233"/>
      <c r="R388" s="234"/>
      <c r="S388" s="232"/>
      <c r="T388" s="232"/>
      <c r="U388" s="233"/>
      <c r="V388" s="234"/>
      <c r="W388" s="232"/>
      <c r="X388" s="232"/>
      <c r="Y388" s="233"/>
      <c r="Z388" s="234"/>
      <c r="AA388" s="232"/>
      <c r="AB388" s="232"/>
      <c r="AC388" s="233"/>
      <c r="AD388" s="234"/>
      <c r="AE388" s="233"/>
      <c r="AH388" s="354">
        <f t="shared" si="78"/>
        <v>0</v>
      </c>
      <c r="AI388" s="354">
        <f>U388-O388</f>
        <v>0</v>
      </c>
      <c r="AJ388" s="354">
        <f t="shared" si="77"/>
        <v>0</v>
      </c>
    </row>
    <row r="389" spans="1:40" ht="12.95" hidden="1" customHeight="1" thickBot="1">
      <c r="A389" s="885"/>
      <c r="B389" s="273"/>
      <c r="C389" s="231"/>
      <c r="D389" s="232"/>
      <c r="E389" s="233"/>
      <c r="F389" s="234"/>
      <c r="G389" s="232"/>
      <c r="H389" s="232"/>
      <c r="I389" s="233"/>
      <c r="J389" s="234"/>
      <c r="K389" s="232"/>
      <c r="L389" s="232"/>
      <c r="M389" s="233"/>
      <c r="N389" s="234"/>
      <c r="O389" s="232"/>
      <c r="P389" s="232"/>
      <c r="Q389" s="233"/>
      <c r="R389" s="234"/>
      <c r="S389" s="232"/>
      <c r="T389" s="232"/>
      <c r="U389" s="233"/>
      <c r="V389" s="234"/>
      <c r="W389" s="232"/>
      <c r="X389" s="232"/>
      <c r="Y389" s="233"/>
      <c r="Z389" s="234"/>
      <c r="AA389" s="232"/>
      <c r="AB389" s="232"/>
      <c r="AC389" s="233"/>
      <c r="AD389" s="234"/>
      <c r="AE389" s="233"/>
      <c r="AH389" s="354">
        <f t="shared" si="78"/>
        <v>0</v>
      </c>
      <c r="AI389" s="354">
        <f>U389-O389</f>
        <v>0</v>
      </c>
      <c r="AJ389" s="354">
        <f t="shared" si="77"/>
        <v>0</v>
      </c>
    </row>
    <row r="390" spans="1:40" ht="12.95" customHeight="1" thickBot="1">
      <c r="A390" s="885"/>
      <c r="B390" s="3" t="s">
        <v>31</v>
      </c>
      <c r="C390" s="12"/>
      <c r="D390" s="1377">
        <v>2008</v>
      </c>
      <c r="E390" s="1378"/>
      <c r="F390" s="1372">
        <v>2009</v>
      </c>
      <c r="G390" s="1373"/>
      <c r="H390" s="1373"/>
      <c r="I390" s="1374"/>
      <c r="J390" s="1372">
        <v>2010</v>
      </c>
      <c r="K390" s="1373"/>
      <c r="L390" s="1373"/>
      <c r="M390" s="1374"/>
      <c r="N390" s="1372">
        <v>2011</v>
      </c>
      <c r="O390" s="1373"/>
      <c r="P390" s="1373"/>
      <c r="Q390" s="1374"/>
      <c r="R390" s="1372">
        <v>2012</v>
      </c>
      <c r="S390" s="1373"/>
      <c r="T390" s="1373"/>
      <c r="U390" s="1374"/>
      <c r="V390" s="1372">
        <v>2013</v>
      </c>
      <c r="W390" s="1373"/>
      <c r="X390" s="1373"/>
      <c r="Y390" s="1374"/>
      <c r="Z390" s="1372">
        <v>2014</v>
      </c>
      <c r="AA390" s="1373"/>
      <c r="AB390" s="1373"/>
      <c r="AC390" s="1374"/>
      <c r="AD390" s="1372">
        <v>2015</v>
      </c>
      <c r="AE390" s="1374"/>
    </row>
    <row r="391" spans="1:40" ht="12.95" customHeight="1" thickBot="1">
      <c r="A391" s="1375"/>
      <c r="B391" s="868" t="s">
        <v>421</v>
      </c>
      <c r="C391" s="23"/>
      <c r="D391" s="1379" t="s">
        <v>717</v>
      </c>
      <c r="E391" s="1380"/>
      <c r="F391" s="1380"/>
      <c r="G391" s="1380"/>
      <c r="H391" s="1380"/>
      <c r="I391" s="1380"/>
      <c r="J391" s="1380"/>
      <c r="K391" s="1380"/>
      <c r="L391" s="1380"/>
      <c r="M391" s="1380"/>
      <c r="N391" s="1380"/>
      <c r="O391" s="1380"/>
      <c r="P391" s="1380"/>
      <c r="Q391" s="1380"/>
      <c r="R391" s="1380"/>
      <c r="S391" s="1380"/>
      <c r="T391" s="1380"/>
      <c r="U391" s="1380"/>
      <c r="V391" s="1380"/>
      <c r="W391" s="1380"/>
      <c r="X391" s="1380"/>
      <c r="Y391" s="1380"/>
      <c r="Z391" s="1380"/>
      <c r="AA391" s="1380"/>
      <c r="AB391" s="1380"/>
      <c r="AC391" s="1380"/>
      <c r="AD391" s="1380"/>
      <c r="AE391" s="1381"/>
      <c r="AG391" s="257" t="s">
        <v>663</v>
      </c>
    </row>
    <row r="392" spans="1:40" ht="12.95" customHeight="1" thickBot="1">
      <c r="A392" s="1375"/>
      <c r="B392" s="885"/>
      <c r="C392" s="194" t="s">
        <v>610</v>
      </c>
      <c r="D392" s="206"/>
      <c r="E392" s="207"/>
      <c r="F392" s="209"/>
      <c r="G392" s="206"/>
      <c r="H392" s="206"/>
      <c r="I392" s="207"/>
      <c r="J392" s="209"/>
      <c r="K392" s="206"/>
      <c r="L392" s="206"/>
      <c r="M392" s="207"/>
      <c r="N392" s="209"/>
      <c r="O392" s="210"/>
      <c r="P392" s="210"/>
      <c r="Q392" s="211"/>
      <c r="R392" s="209"/>
      <c r="S392" s="210"/>
      <c r="T392" s="210"/>
      <c r="U392" s="211"/>
      <c r="V392" s="281"/>
      <c r="W392" s="278"/>
      <c r="X392" s="278"/>
      <c r="Y392" s="278">
        <f>(Y402-U402)/4/$C$691/Spend!Y392*'State Efficiency Ratios'!$C$655</f>
        <v>153.47606540599426</v>
      </c>
      <c r="Z392" s="277"/>
      <c r="AA392" s="278"/>
      <c r="AB392" s="278"/>
      <c r="AC392" s="278">
        <f>(AC402-Y402)/4/$C$691/Spend!AC392*'State Efficiency Ratios'!$C$655</f>
        <v>-547.59094737285966</v>
      </c>
      <c r="AD392" s="208"/>
      <c r="AE392" s="213"/>
      <c r="AG392" s="410" t="s">
        <v>765</v>
      </c>
      <c r="AN392" s="385">
        <f>Y392</f>
        <v>153.47606540599426</v>
      </c>
    </row>
    <row r="393" spans="1:40" ht="12.95" customHeight="1" thickBot="1">
      <c r="A393" s="1375"/>
      <c r="B393" s="885"/>
      <c r="C393" s="194" t="s">
        <v>611</v>
      </c>
      <c r="D393" s="206"/>
      <c r="E393" s="207"/>
      <c r="F393" s="209"/>
      <c r="G393" s="206"/>
      <c r="H393" s="206"/>
      <c r="I393" s="207"/>
      <c r="J393" s="209"/>
      <c r="K393" s="206"/>
      <c r="L393" s="206"/>
      <c r="M393" s="207"/>
      <c r="N393" s="209"/>
      <c r="O393" s="210"/>
      <c r="P393" s="210"/>
      <c r="Q393" s="211"/>
      <c r="R393" s="209"/>
      <c r="S393" s="210"/>
      <c r="T393" s="210"/>
      <c r="U393" s="211"/>
      <c r="V393" s="281"/>
      <c r="W393" s="278"/>
      <c r="X393" s="278"/>
      <c r="Y393" s="278">
        <f>(Y403-U403)/4/$C$691/Spend!Y393*'State Efficiency Ratios'!$C$655</f>
        <v>238.36421201119023</v>
      </c>
      <c r="Z393" s="277"/>
      <c r="AA393" s="278"/>
      <c r="AB393" s="278"/>
      <c r="AC393" s="278">
        <f>(AC403-Y403)/4/$C$691/Spend!AC393*'State Efficiency Ratios'!$C$655</f>
        <v>-865.09557461490044</v>
      </c>
      <c r="AD393" s="208"/>
      <c r="AE393" s="213"/>
      <c r="AG393" s="410" t="s">
        <v>765</v>
      </c>
      <c r="AN393" s="385">
        <f t="shared" ref="AN393:AN399" si="82">Y393</f>
        <v>238.36421201119023</v>
      </c>
    </row>
    <row r="394" spans="1:40" ht="12.95" customHeight="1" thickBot="1">
      <c r="A394" s="1375"/>
      <c r="B394" s="885"/>
      <c r="C394" s="194" t="s">
        <v>612</v>
      </c>
      <c r="D394" s="206"/>
      <c r="E394" s="207"/>
      <c r="F394" s="209"/>
      <c r="G394" s="206"/>
      <c r="H394" s="206"/>
      <c r="I394" s="207"/>
      <c r="J394" s="209"/>
      <c r="K394" s="206"/>
      <c r="L394" s="206"/>
      <c r="M394" s="207"/>
      <c r="N394" s="209"/>
      <c r="O394" s="210"/>
      <c r="P394" s="210"/>
      <c r="Q394" s="211"/>
      <c r="R394" s="209"/>
      <c r="S394" s="210"/>
      <c r="T394" s="210"/>
      <c r="U394" s="211"/>
      <c r="V394" s="281"/>
      <c r="W394" s="278"/>
      <c r="X394" s="278"/>
      <c r="Y394" s="278">
        <f>(Y404-U404)/4/$C$691/Spend!Y394*'State Efficiency Ratios'!$C$655</f>
        <v>192.54198908691865</v>
      </c>
      <c r="Z394" s="277"/>
      <c r="AA394" s="278"/>
      <c r="AB394" s="278"/>
      <c r="AC394" s="278">
        <f>(AC404-Y404)/4/$C$691/Spend!AC394*'State Efficiency Ratios'!$C$655</f>
        <v>-660.5391078881629</v>
      </c>
      <c r="AD394" s="208"/>
      <c r="AE394" s="213"/>
      <c r="AG394" s="410" t="s">
        <v>764</v>
      </c>
      <c r="AN394" s="385">
        <f t="shared" si="82"/>
        <v>192.54198908691865</v>
      </c>
    </row>
    <row r="395" spans="1:40" ht="12.95" customHeight="1" thickBot="1">
      <c r="A395" s="1375"/>
      <c r="B395" s="885"/>
      <c r="C395" s="194" t="s">
        <v>613</v>
      </c>
      <c r="D395" s="206"/>
      <c r="E395" s="207"/>
      <c r="F395" s="209"/>
      <c r="G395" s="206"/>
      <c r="H395" s="206"/>
      <c r="I395" s="207"/>
      <c r="J395" s="209"/>
      <c r="K395" s="206"/>
      <c r="L395" s="206"/>
      <c r="M395" s="207"/>
      <c r="N395" s="209"/>
      <c r="O395" s="210"/>
      <c r="P395" s="210"/>
      <c r="Q395" s="211"/>
      <c r="R395" s="209"/>
      <c r="S395" s="210"/>
      <c r="T395" s="210"/>
      <c r="U395" s="211"/>
      <c r="V395" s="281"/>
      <c r="W395" s="278"/>
      <c r="X395" s="278"/>
      <c r="Y395" s="278">
        <f>(Y405-U405)/4/$C$691/Spend!Y395*'State Efficiency Ratios'!$C$655</f>
        <v>159.29902425469743</v>
      </c>
      <c r="Z395" s="277"/>
      <c r="AA395" s="278"/>
      <c r="AB395" s="278"/>
      <c r="AC395" s="278">
        <f>(AC405-Y405)/4/$C$691/Spend!AC395*'State Efficiency Ratios'!$C$655</f>
        <v>-614.02214090751568</v>
      </c>
      <c r="AD395" s="208"/>
      <c r="AE395" s="213"/>
      <c r="AG395" s="410"/>
      <c r="AN395" s="385">
        <f t="shared" si="82"/>
        <v>159.29902425469743</v>
      </c>
    </row>
    <row r="396" spans="1:40" ht="12.95" customHeight="1" thickBot="1">
      <c r="A396" s="1375"/>
      <c r="B396" s="885"/>
      <c r="C396" s="194" t="s">
        <v>614</v>
      </c>
      <c r="D396" s="206"/>
      <c r="E396" s="207"/>
      <c r="F396" s="209"/>
      <c r="G396" s="206"/>
      <c r="H396" s="206"/>
      <c r="I396" s="207"/>
      <c r="J396" s="209"/>
      <c r="K396" s="206"/>
      <c r="L396" s="206"/>
      <c r="M396" s="207"/>
      <c r="N396" s="209"/>
      <c r="O396" s="210"/>
      <c r="P396" s="210"/>
      <c r="Q396" s="211"/>
      <c r="R396" s="209"/>
      <c r="S396" s="210"/>
      <c r="T396" s="210"/>
      <c r="U396" s="211"/>
      <c r="V396" s="281"/>
      <c r="W396" s="278"/>
      <c r="X396" s="278"/>
      <c r="Y396" s="278">
        <f>(Y406-U406)/4/$C$691/Spend!Y396*'State Efficiency Ratios'!$C$655</f>
        <v>284.9159038076146</v>
      </c>
      <c r="Z396" s="277"/>
      <c r="AA396" s="278"/>
      <c r="AB396" s="278"/>
      <c r="AC396" s="278">
        <f>(AC406-Y406)/4/$C$691/Spend!AC396*'State Efficiency Ratios'!$C$655</f>
        <v>-284.44603568197965</v>
      </c>
      <c r="AD396" s="208"/>
      <c r="AE396" s="213"/>
      <c r="AG396" s="410" t="s">
        <v>766</v>
      </c>
      <c r="AN396" s="385">
        <f t="shared" si="82"/>
        <v>284.9159038076146</v>
      </c>
    </row>
    <row r="397" spans="1:40" ht="12.95" customHeight="1" thickBot="1">
      <c r="A397" s="1375"/>
      <c r="B397" s="885"/>
      <c r="C397" s="194" t="s">
        <v>615</v>
      </c>
      <c r="D397" s="210"/>
      <c r="E397" s="211"/>
      <c r="F397" s="209"/>
      <c r="G397" s="210"/>
      <c r="H397" s="210"/>
      <c r="I397" s="211"/>
      <c r="J397" s="209"/>
      <c r="K397" s="210"/>
      <c r="L397" s="210"/>
      <c r="M397" s="211"/>
      <c r="N397" s="209"/>
      <c r="O397" s="210"/>
      <c r="P397" s="210"/>
      <c r="Q397" s="211"/>
      <c r="R397" s="209"/>
      <c r="S397" s="210"/>
      <c r="T397" s="210"/>
      <c r="U397" s="211"/>
      <c r="V397" s="281"/>
      <c r="W397" s="278"/>
      <c r="X397" s="278"/>
      <c r="Y397" s="278">
        <f>(Y407-U407)/4/$C$691/Spend!Y397*'State Efficiency Ratios'!$C$655</f>
        <v>107.14164007186088</v>
      </c>
      <c r="Z397" s="277"/>
      <c r="AA397" s="278"/>
      <c r="AB397" s="278"/>
      <c r="AC397" s="278">
        <f>(AC407-Y407)/4/$C$691/Spend!AC397*'State Efficiency Ratios'!$C$655</f>
        <v>-115.26259693520804</v>
      </c>
      <c r="AD397" s="208"/>
      <c r="AE397" s="213"/>
      <c r="AG397" s="410"/>
      <c r="AN397" s="385">
        <f t="shared" si="82"/>
        <v>107.14164007186088</v>
      </c>
    </row>
    <row r="398" spans="1:40" ht="12.95" customHeight="1" thickBot="1">
      <c r="A398" s="1375"/>
      <c r="B398" s="885"/>
      <c r="C398" s="194" t="s">
        <v>616</v>
      </c>
      <c r="D398" s="210"/>
      <c r="E398" s="211"/>
      <c r="F398" s="209"/>
      <c r="G398" s="210"/>
      <c r="H398" s="210"/>
      <c r="I398" s="211"/>
      <c r="J398" s="209"/>
      <c r="K398" s="210"/>
      <c r="L398" s="210"/>
      <c r="M398" s="211"/>
      <c r="N398" s="209"/>
      <c r="O398" s="210"/>
      <c r="P398" s="210"/>
      <c r="Q398" s="211"/>
      <c r="R398" s="209"/>
      <c r="S398" s="210"/>
      <c r="T398" s="210"/>
      <c r="U398" s="211"/>
      <c r="V398" s="281"/>
      <c r="W398" s="278"/>
      <c r="X398" s="278"/>
      <c r="Y398" s="278">
        <f>(Y408-U408)/4/$C$691/Spend!Y398*'State Efficiency Ratios'!$C$655</f>
        <v>216.09239370208257</v>
      </c>
      <c r="Z398" s="277"/>
      <c r="AA398" s="278"/>
      <c r="AB398" s="278"/>
      <c r="AC398" s="278">
        <f>(AC408-Y408)/4/$C$691/Spend!AC398*'State Efficiency Ratios'!$C$655</f>
        <v>-490.66957274691953</v>
      </c>
      <c r="AD398" s="208"/>
      <c r="AE398" s="213"/>
      <c r="AG398" s="410" t="s">
        <v>764</v>
      </c>
      <c r="AN398" s="385">
        <f t="shared" si="82"/>
        <v>216.09239370208257</v>
      </c>
    </row>
    <row r="399" spans="1:40" ht="12.95" customHeight="1" thickBot="1">
      <c r="A399" s="1375"/>
      <c r="B399" s="885"/>
      <c r="C399" s="194" t="s">
        <v>617</v>
      </c>
      <c r="D399" s="210"/>
      <c r="E399" s="211"/>
      <c r="F399" s="209"/>
      <c r="G399" s="210"/>
      <c r="H399" s="210"/>
      <c r="I399" s="211"/>
      <c r="J399" s="209"/>
      <c r="K399" s="210"/>
      <c r="L399" s="210"/>
      <c r="M399" s="211"/>
      <c r="N399" s="209"/>
      <c r="O399" s="210"/>
      <c r="P399" s="210"/>
      <c r="Q399" s="211"/>
      <c r="R399" s="209"/>
      <c r="S399" s="210"/>
      <c r="T399" s="210"/>
      <c r="U399" s="211"/>
      <c r="V399" s="281"/>
      <c r="W399" s="278"/>
      <c r="X399" s="278"/>
      <c r="Y399" s="278">
        <f>(Y409-U409)/4/$C$691/Spend!Y399*'State Efficiency Ratios'!$C$655</f>
        <v>118.70577830201569</v>
      </c>
      <c r="Z399" s="277"/>
      <c r="AA399" s="278"/>
      <c r="AB399" s="278"/>
      <c r="AC399" s="278">
        <f>(AC409-Y409)/4/$C$691/Spend!AC399*'State Efficiency Ratios'!$C$655</f>
        <v>-629.67630468082996</v>
      </c>
      <c r="AD399" s="208"/>
      <c r="AE399" s="213"/>
      <c r="AG399" s="410" t="s">
        <v>768</v>
      </c>
      <c r="AN399" s="385">
        <f t="shared" si="82"/>
        <v>118.70577830201569</v>
      </c>
    </row>
    <row r="400" spans="1:40" ht="12.95" customHeight="1" thickBot="1">
      <c r="A400" s="1375"/>
      <c r="B400" s="885"/>
      <c r="C400" s="194" t="s">
        <v>618</v>
      </c>
      <c r="D400" s="210"/>
      <c r="E400" s="211"/>
      <c r="F400" s="209"/>
      <c r="G400" s="210"/>
      <c r="H400" s="210"/>
      <c r="I400" s="211"/>
      <c r="J400" s="209"/>
      <c r="K400" s="210"/>
      <c r="L400" s="210"/>
      <c r="M400" s="211"/>
      <c r="N400" s="209"/>
      <c r="O400" s="210"/>
      <c r="P400" s="210"/>
      <c r="Q400" s="211"/>
      <c r="R400" s="209"/>
      <c r="S400" s="210"/>
      <c r="T400" s="210"/>
      <c r="U400" s="211"/>
      <c r="V400" s="281"/>
      <c r="W400" s="282"/>
      <c r="X400" s="282"/>
      <c r="Y400" s="283"/>
      <c r="Z400" s="277"/>
      <c r="AA400" s="278"/>
      <c r="AB400" s="278"/>
      <c r="AC400" s="278">
        <f>(AC410-Y410)/4/$C$691/Spend!AC400*'State Efficiency Ratios'!$C$655</f>
        <v>-926.03500560017483</v>
      </c>
      <c r="AD400" s="208"/>
      <c r="AE400" s="213"/>
      <c r="AG400" s="295"/>
    </row>
    <row r="401" spans="1:40" ht="12.95" customHeight="1" thickBot="1">
      <c r="A401" s="1375"/>
      <c r="B401" s="885" t="s">
        <v>179</v>
      </c>
      <c r="C401" s="194" t="s">
        <v>619</v>
      </c>
      <c r="D401" s="210"/>
      <c r="E401" s="211"/>
      <c r="F401" s="209"/>
      <c r="G401" s="210"/>
      <c r="H401" s="210"/>
      <c r="I401" s="211"/>
      <c r="J401" s="209"/>
      <c r="K401" s="210"/>
      <c r="L401" s="210"/>
      <c r="M401" s="211"/>
      <c r="N401" s="209"/>
      <c r="O401" s="210"/>
      <c r="P401" s="210"/>
      <c r="Q401" s="211"/>
      <c r="R401" s="209"/>
      <c r="S401" s="210"/>
      <c r="T401" s="210"/>
      <c r="U401" s="211"/>
      <c r="V401" s="281"/>
      <c r="W401" s="282"/>
      <c r="X401" s="282"/>
      <c r="Y401" s="283"/>
      <c r="Z401" s="277"/>
      <c r="AA401" s="278"/>
      <c r="AB401" s="278"/>
      <c r="AC401" s="278">
        <f>(AC411-Y411)/4/$C$691/Spend!AC401*'State Efficiency Ratios'!$C$655</f>
        <v>-693.58587385357418</v>
      </c>
      <c r="AD401" s="208"/>
      <c r="AE401" s="213"/>
      <c r="AG401" s="295"/>
    </row>
    <row r="402" spans="1:40" ht="12.95" customHeight="1" thickBot="1">
      <c r="A402" s="1375"/>
      <c r="B402" s="885"/>
      <c r="C402" s="9" t="s">
        <v>295</v>
      </c>
      <c r="D402" s="202"/>
      <c r="E402" s="203"/>
      <c r="F402" s="201"/>
      <c r="G402" s="202"/>
      <c r="H402" s="202"/>
      <c r="I402" s="203"/>
      <c r="J402" s="201"/>
      <c r="K402" s="202"/>
      <c r="L402" s="202"/>
      <c r="M402" s="203"/>
      <c r="N402" s="204"/>
      <c r="O402" s="214"/>
      <c r="P402" s="205"/>
      <c r="Q402" s="205"/>
      <c r="R402" s="201"/>
      <c r="S402" s="202"/>
      <c r="T402" s="202"/>
      <c r="U402" s="197">
        <f>SUM('State DisAgg LFx10 (2015)'!L392:O392)/2</f>
        <v>55</v>
      </c>
      <c r="V402" s="195"/>
      <c r="W402" s="196"/>
      <c r="X402" s="196"/>
      <c r="Y402" s="197">
        <f>SUM('State DisAgg LFx10 (2015)'!P402:S402)/2</f>
        <v>68</v>
      </c>
      <c r="Z402" s="195"/>
      <c r="AA402" s="196"/>
      <c r="AB402" s="196"/>
      <c r="AC402" s="197">
        <f>SUM('State DisAgg LFx10 (2015)'!T402:W402)/2</f>
        <v>0</v>
      </c>
      <c r="AD402" s="195"/>
      <c r="AE402" s="197"/>
      <c r="AH402" s="354">
        <f>Y402-U402</f>
        <v>13</v>
      </c>
      <c r="AI402" s="354">
        <f>U402-O402</f>
        <v>55</v>
      </c>
      <c r="AJ402" s="354">
        <f t="shared" ref="AJ402:AJ413" si="83">O402-J402</f>
        <v>0</v>
      </c>
      <c r="AN402" s="384">
        <f>(O402-J402)</f>
        <v>0</v>
      </c>
    </row>
    <row r="403" spans="1:40" ht="13.5" thickBot="1">
      <c r="A403" s="1375"/>
      <c r="B403" s="885"/>
      <c r="C403" s="9" t="s">
        <v>296</v>
      </c>
      <c r="D403" s="202"/>
      <c r="E403" s="203"/>
      <c r="F403" s="201"/>
      <c r="G403" s="202"/>
      <c r="H403" s="202"/>
      <c r="I403" s="203"/>
      <c r="J403" s="201"/>
      <c r="K403" s="202"/>
      <c r="L403" s="202"/>
      <c r="M403" s="203"/>
      <c r="N403" s="204"/>
      <c r="O403" s="214"/>
      <c r="P403" s="205"/>
      <c r="Q403" s="205"/>
      <c r="R403" s="201"/>
      <c r="S403" s="202"/>
      <c r="T403" s="202"/>
      <c r="U403" s="197">
        <f>SUM('State DisAgg LFx10 (2015)'!L393:O393)/2</f>
        <v>58.5</v>
      </c>
      <c r="V403" s="195"/>
      <c r="W403" s="196"/>
      <c r="X403" s="196"/>
      <c r="Y403" s="197">
        <f>SUM('State DisAgg LFx10 (2015)'!P403:S403)/2</f>
        <v>81</v>
      </c>
      <c r="Z403" s="195"/>
      <c r="AA403" s="196"/>
      <c r="AB403" s="196"/>
      <c r="AC403" s="197">
        <f>SUM('State DisAgg LFx10 (2015)'!T403:W403)/2</f>
        <v>0</v>
      </c>
      <c r="AD403" s="195"/>
      <c r="AE403" s="197"/>
      <c r="AH403" s="354">
        <f t="shared" ref="AH403:AH413" si="84">Y403-U403</f>
        <v>22.5</v>
      </c>
      <c r="AI403" s="354">
        <f>U403-O403</f>
        <v>58.5</v>
      </c>
      <c r="AJ403" s="354">
        <f t="shared" si="83"/>
        <v>0</v>
      </c>
      <c r="AN403" s="384">
        <f t="shared" ref="AN403:AN406" si="85">(O403-J403)</f>
        <v>0</v>
      </c>
    </row>
    <row r="404" spans="1:40" ht="13.5" thickBot="1">
      <c r="A404" s="1375"/>
      <c r="B404" s="885"/>
      <c r="C404" s="9" t="s">
        <v>297</v>
      </c>
      <c r="D404" s="202"/>
      <c r="E404" s="203"/>
      <c r="F404" s="201"/>
      <c r="G404" s="202"/>
      <c r="H404" s="202"/>
      <c r="I404" s="203"/>
      <c r="J404" s="201"/>
      <c r="K404" s="202"/>
      <c r="L404" s="202"/>
      <c r="M404" s="203"/>
      <c r="N404" s="204"/>
      <c r="O404" s="214"/>
      <c r="P404" s="205"/>
      <c r="Q404" s="205"/>
      <c r="R404" s="201"/>
      <c r="S404" s="202"/>
      <c r="T404" s="202"/>
      <c r="U404" s="197">
        <f>SUM('State DisAgg LFx10 (2015)'!L394:O394)/2</f>
        <v>30</v>
      </c>
      <c r="V404" s="195"/>
      <c r="W404" s="196"/>
      <c r="X404" s="196"/>
      <c r="Y404" s="197">
        <f>SUM('State DisAgg LFx10 (2015)'!P404:S404)/2</f>
        <v>50</v>
      </c>
      <c r="Z404" s="195"/>
      <c r="AA404" s="196"/>
      <c r="AB404" s="196"/>
      <c r="AC404" s="197">
        <f>SUM('State DisAgg LFx10 (2015)'!T404:W404)/2</f>
        <v>0</v>
      </c>
      <c r="AD404" s="195"/>
      <c r="AE404" s="197"/>
      <c r="AH404" s="354">
        <f t="shared" si="84"/>
        <v>20</v>
      </c>
      <c r="AI404" s="354">
        <f>U404-O404</f>
        <v>30</v>
      </c>
      <c r="AJ404" s="354">
        <f t="shared" si="83"/>
        <v>0</v>
      </c>
      <c r="AN404" s="384">
        <f t="shared" si="85"/>
        <v>0</v>
      </c>
    </row>
    <row r="405" spans="1:40" ht="13.5" thickBot="1">
      <c r="A405" s="1375"/>
      <c r="B405" s="885"/>
      <c r="C405" s="9" t="s">
        <v>298</v>
      </c>
      <c r="D405" s="202"/>
      <c r="E405" s="203"/>
      <c r="F405" s="201"/>
      <c r="G405" s="202"/>
      <c r="H405" s="202"/>
      <c r="I405" s="203"/>
      <c r="J405" s="201"/>
      <c r="K405" s="202"/>
      <c r="L405" s="202"/>
      <c r="M405" s="203"/>
      <c r="N405" s="204"/>
      <c r="O405" s="214"/>
      <c r="P405" s="205"/>
      <c r="Q405" s="205"/>
      <c r="R405" s="201"/>
      <c r="S405" s="202"/>
      <c r="T405" s="202"/>
      <c r="U405" s="197">
        <f>SUM('State DisAgg LFx10 (2015)'!L395:O395)/2</f>
        <v>52.5</v>
      </c>
      <c r="V405" s="195"/>
      <c r="W405" s="196"/>
      <c r="X405" s="196"/>
      <c r="Y405" s="197">
        <f>SUM('State DisAgg LFx10 (2015)'!P405:S405)/2</f>
        <v>76</v>
      </c>
      <c r="Z405" s="195"/>
      <c r="AA405" s="196"/>
      <c r="AB405" s="196"/>
      <c r="AC405" s="197">
        <f>SUM('State DisAgg LFx10 (2015)'!T405:W405)/2</f>
        <v>0</v>
      </c>
      <c r="AD405" s="195"/>
      <c r="AE405" s="197"/>
      <c r="AH405" s="354">
        <f t="shared" si="84"/>
        <v>23.5</v>
      </c>
      <c r="AI405" s="354">
        <f>U405-O405</f>
        <v>52.5</v>
      </c>
      <c r="AJ405" s="354">
        <f t="shared" si="83"/>
        <v>0</v>
      </c>
      <c r="AN405" s="384">
        <f t="shared" si="85"/>
        <v>0</v>
      </c>
    </row>
    <row r="406" spans="1:40" ht="13.5" thickBot="1">
      <c r="A406" s="1375"/>
      <c r="B406" s="885"/>
      <c r="C406" s="9" t="s">
        <v>299</v>
      </c>
      <c r="D406" s="202"/>
      <c r="E406" s="203"/>
      <c r="F406" s="201"/>
      <c r="G406" s="202"/>
      <c r="H406" s="202"/>
      <c r="I406" s="203"/>
      <c r="J406" s="201"/>
      <c r="K406" s="202"/>
      <c r="L406" s="202"/>
      <c r="M406" s="203"/>
      <c r="N406" s="204"/>
      <c r="O406" s="214"/>
      <c r="P406" s="205"/>
      <c r="Q406" s="205"/>
      <c r="R406" s="201"/>
      <c r="S406" s="202"/>
      <c r="T406" s="202"/>
      <c r="U406" s="197">
        <f>SUM('State DisAgg LFx10 (2015)'!L396:O396)/2</f>
        <v>20</v>
      </c>
      <c r="V406" s="195"/>
      <c r="W406" s="196"/>
      <c r="X406" s="196"/>
      <c r="Y406" s="197">
        <f>SUM('State DisAgg LFx10 (2015)'!P406:S406)/2</f>
        <v>64.5</v>
      </c>
      <c r="Z406" s="195"/>
      <c r="AA406" s="196"/>
      <c r="AB406" s="196"/>
      <c r="AC406" s="197">
        <f>SUM('State DisAgg LFx10 (2015)'!T406:W406)/2</f>
        <v>0</v>
      </c>
      <c r="AD406" s="195"/>
      <c r="AE406" s="197"/>
      <c r="AH406" s="354">
        <f t="shared" si="84"/>
        <v>44.5</v>
      </c>
      <c r="AI406" s="354">
        <f>U406-O406</f>
        <v>20</v>
      </c>
      <c r="AJ406" s="354">
        <f t="shared" si="83"/>
        <v>0</v>
      </c>
      <c r="AN406" s="384">
        <f t="shared" si="85"/>
        <v>0</v>
      </c>
    </row>
    <row r="407" spans="1:40" ht="12.95" customHeight="1" thickBot="1">
      <c r="A407" s="1375"/>
      <c r="B407" s="885"/>
      <c r="C407" s="9" t="s">
        <v>300</v>
      </c>
      <c r="D407" s="202"/>
      <c r="E407" s="203"/>
      <c r="F407" s="201"/>
      <c r="G407" s="202"/>
      <c r="H407" s="202"/>
      <c r="I407" s="203"/>
      <c r="J407" s="201"/>
      <c r="K407" s="202"/>
      <c r="L407" s="202"/>
      <c r="M407" s="203"/>
      <c r="N407" s="204"/>
      <c r="O407" s="214"/>
      <c r="P407" s="205"/>
      <c r="Q407" s="205"/>
      <c r="R407" s="201"/>
      <c r="S407" s="202"/>
      <c r="T407" s="202"/>
      <c r="U407" s="197">
        <f>SUM('State DisAgg LFx10 (2015)'!L397:O397)/2</f>
        <v>12.5</v>
      </c>
      <c r="V407" s="195"/>
      <c r="W407" s="196"/>
      <c r="X407" s="196"/>
      <c r="Y407" s="197">
        <f>SUM('State DisAgg LFx10 (2015)'!P407:S407)/2</f>
        <v>20</v>
      </c>
      <c r="Z407" s="195"/>
      <c r="AA407" s="196"/>
      <c r="AB407" s="196"/>
      <c r="AC407" s="197">
        <f>SUM('State DisAgg LFx10 (2015)'!T407:W407)/2</f>
        <v>0</v>
      </c>
      <c r="AD407" s="195"/>
      <c r="AE407" s="197"/>
      <c r="AH407" s="354">
        <f t="shared" si="84"/>
        <v>7.5</v>
      </c>
      <c r="AI407" s="354">
        <v>0</v>
      </c>
      <c r="AJ407" s="354">
        <f t="shared" si="83"/>
        <v>0</v>
      </c>
      <c r="AN407" s="384">
        <f>(Y407-R407)</f>
        <v>20</v>
      </c>
    </row>
    <row r="408" spans="1:40" ht="12.95" customHeight="1" thickBot="1">
      <c r="A408" s="1375"/>
      <c r="B408" s="885"/>
      <c r="C408" s="9" t="s">
        <v>301</v>
      </c>
      <c r="D408" s="202"/>
      <c r="E408" s="203"/>
      <c r="F408" s="201"/>
      <c r="G408" s="202"/>
      <c r="H408" s="202"/>
      <c r="I408" s="203"/>
      <c r="J408" s="201"/>
      <c r="K408" s="202"/>
      <c r="L408" s="202"/>
      <c r="M408" s="203"/>
      <c r="N408" s="204"/>
      <c r="O408" s="214"/>
      <c r="P408" s="205"/>
      <c r="Q408" s="205"/>
      <c r="R408" s="201"/>
      <c r="S408" s="202"/>
      <c r="T408" s="202"/>
      <c r="U408" s="197">
        <f>SUM('State DisAgg LFx10 (2015)'!L398:O398)/2</f>
        <v>28.5</v>
      </c>
      <c r="V408" s="195"/>
      <c r="W408" s="196"/>
      <c r="X408" s="196"/>
      <c r="Y408" s="197">
        <f>SUM('State DisAgg LFx10 (2015)'!P408:S408)/2</f>
        <v>40</v>
      </c>
      <c r="Z408" s="195"/>
      <c r="AA408" s="196"/>
      <c r="AB408" s="196"/>
      <c r="AC408" s="197">
        <f>SUM('State DisAgg LFx10 (2015)'!T408:W408)/2</f>
        <v>0</v>
      </c>
      <c r="AD408" s="195"/>
      <c r="AE408" s="197"/>
      <c r="AH408" s="354">
        <f t="shared" si="84"/>
        <v>11.5</v>
      </c>
      <c r="AI408" s="354">
        <v>0</v>
      </c>
      <c r="AJ408" s="354">
        <f t="shared" si="83"/>
        <v>0</v>
      </c>
      <c r="AN408" s="384">
        <f t="shared" ref="AN408:AN409" si="86">(Y408-R408)</f>
        <v>40</v>
      </c>
    </row>
    <row r="409" spans="1:40" ht="12.95" customHeight="1" thickBot="1">
      <c r="A409" s="1375"/>
      <c r="B409" s="885"/>
      <c r="C409" s="9" t="s">
        <v>302</v>
      </c>
      <c r="D409" s="202"/>
      <c r="E409" s="203"/>
      <c r="F409" s="201"/>
      <c r="G409" s="202"/>
      <c r="H409" s="202"/>
      <c r="I409" s="203"/>
      <c r="J409" s="201"/>
      <c r="K409" s="202"/>
      <c r="L409" s="202"/>
      <c r="M409" s="203"/>
      <c r="N409" s="204"/>
      <c r="O409" s="214"/>
      <c r="P409" s="205"/>
      <c r="Q409" s="205"/>
      <c r="R409" s="201"/>
      <c r="S409" s="202"/>
      <c r="T409" s="202"/>
      <c r="U409" s="197">
        <f>SUM('State DisAgg LFx10 (2015)'!L399:O399)/2</f>
        <v>32.5</v>
      </c>
      <c r="V409" s="195"/>
      <c r="W409" s="196"/>
      <c r="X409" s="196"/>
      <c r="Y409" s="197">
        <f>SUM('State DisAgg LFx10 (2015)'!P409:S409)/2</f>
        <v>45</v>
      </c>
      <c r="Z409" s="195"/>
      <c r="AA409" s="196"/>
      <c r="AB409" s="196"/>
      <c r="AC409" s="197">
        <f>SUM('State DisAgg LFx10 (2015)'!T409:W409)/2</f>
        <v>0</v>
      </c>
      <c r="AD409" s="195"/>
      <c r="AE409" s="197"/>
      <c r="AH409" s="354">
        <f t="shared" si="84"/>
        <v>12.5</v>
      </c>
      <c r="AI409" s="354">
        <v>0</v>
      </c>
      <c r="AJ409" s="354">
        <f t="shared" si="83"/>
        <v>0</v>
      </c>
      <c r="AN409" s="384">
        <f t="shared" si="86"/>
        <v>45</v>
      </c>
    </row>
    <row r="410" spans="1:40" ht="13.5" thickBot="1">
      <c r="A410" s="1375"/>
      <c r="B410" s="885"/>
      <c r="C410" s="9" t="s">
        <v>303</v>
      </c>
      <c r="D410" s="202"/>
      <c r="E410" s="203"/>
      <c r="F410" s="201"/>
      <c r="G410" s="202"/>
      <c r="H410" s="202"/>
      <c r="I410" s="203"/>
      <c r="J410" s="201"/>
      <c r="K410" s="202"/>
      <c r="L410" s="202"/>
      <c r="M410" s="203"/>
      <c r="N410" s="204"/>
      <c r="O410" s="214"/>
      <c r="P410" s="205"/>
      <c r="Q410" s="205"/>
      <c r="R410" s="201"/>
      <c r="S410" s="202"/>
      <c r="T410" s="202"/>
      <c r="U410" s="203"/>
      <c r="V410" s="242"/>
      <c r="W410" s="217" t="s">
        <v>633</v>
      </c>
      <c r="X410" s="241" t="s">
        <v>632</v>
      </c>
      <c r="Y410" s="197">
        <f>SUM('State DisAgg LFx10 (2015)'!P400:S400)/2</f>
        <v>59</v>
      </c>
      <c r="Z410" s="195"/>
      <c r="AA410" s="196"/>
      <c r="AB410" s="196"/>
      <c r="AC410" s="197">
        <f>SUM('State DisAgg LFx10 (2015)'!T410:W410)/2</f>
        <v>0</v>
      </c>
      <c r="AD410" s="195"/>
      <c r="AE410" s="197"/>
      <c r="AH410" s="354">
        <f t="shared" si="84"/>
        <v>59</v>
      </c>
      <c r="AI410" s="354">
        <f>U410-O410</f>
        <v>0</v>
      </c>
      <c r="AJ410" s="354">
        <f t="shared" si="83"/>
        <v>0</v>
      </c>
    </row>
    <row r="411" spans="1:40" ht="13.5" thickBot="1">
      <c r="A411" s="1375"/>
      <c r="B411" s="885"/>
      <c r="C411" s="9" t="s">
        <v>304</v>
      </c>
      <c r="D411" s="202"/>
      <c r="E411" s="203"/>
      <c r="F411" s="201"/>
      <c r="G411" s="202"/>
      <c r="H411" s="202"/>
      <c r="I411" s="203"/>
      <c r="J411" s="201"/>
      <c r="K411" s="202"/>
      <c r="L411" s="202"/>
      <c r="M411" s="203"/>
      <c r="N411" s="204"/>
      <c r="O411" s="205"/>
      <c r="P411" s="205"/>
      <c r="Q411" s="205"/>
      <c r="R411" s="201"/>
      <c r="S411" s="202"/>
      <c r="T411" s="202"/>
      <c r="U411" s="203"/>
      <c r="V411" s="242"/>
      <c r="W411" s="217" t="s">
        <v>633</v>
      </c>
      <c r="X411" s="241" t="s">
        <v>632</v>
      </c>
      <c r="Y411" s="197">
        <f>SUM('State DisAgg LFx10 (2015)'!P401:S401)/2</f>
        <v>56.5</v>
      </c>
      <c r="Z411" s="195"/>
      <c r="AA411" s="196"/>
      <c r="AB411" s="196"/>
      <c r="AC411" s="197">
        <f>SUM('State DisAgg LFx10 (2015)'!T411:W411)/2</f>
        <v>0</v>
      </c>
      <c r="AD411" s="195"/>
      <c r="AE411" s="197"/>
      <c r="AH411" s="354">
        <f t="shared" si="84"/>
        <v>56.5</v>
      </c>
      <c r="AI411" s="354">
        <f>U411-O411</f>
        <v>0</v>
      </c>
      <c r="AJ411" s="354">
        <f t="shared" si="83"/>
        <v>0</v>
      </c>
    </row>
    <row r="412" spans="1:40" ht="12.95" hidden="1" customHeight="1" thickBot="1">
      <c r="A412" s="1375"/>
      <c r="B412" s="273"/>
      <c r="C412" s="231"/>
      <c r="D412" s="232"/>
      <c r="E412" s="233"/>
      <c r="F412" s="234"/>
      <c r="G412" s="232"/>
      <c r="H412" s="232"/>
      <c r="I412" s="233"/>
      <c r="J412" s="234"/>
      <c r="K412" s="232"/>
      <c r="L412" s="232"/>
      <c r="M412" s="233"/>
      <c r="N412" s="234"/>
      <c r="O412" s="232"/>
      <c r="P412" s="232"/>
      <c r="Q412" s="233"/>
      <c r="R412" s="234"/>
      <c r="S412" s="232"/>
      <c r="T412" s="232"/>
      <c r="U412" s="233"/>
      <c r="V412" s="234"/>
      <c r="W412" s="232"/>
      <c r="X412" s="232"/>
      <c r="Y412" s="233"/>
      <c r="Z412" s="234"/>
      <c r="AA412" s="232"/>
      <c r="AB412" s="232"/>
      <c r="AC412" s="233"/>
      <c r="AD412" s="234"/>
      <c r="AE412" s="233"/>
      <c r="AH412" s="354">
        <f t="shared" si="84"/>
        <v>0</v>
      </c>
      <c r="AI412" s="354">
        <f>U412-O412</f>
        <v>0</v>
      </c>
      <c r="AJ412" s="354">
        <f t="shared" si="83"/>
        <v>0</v>
      </c>
    </row>
    <row r="413" spans="1:40" ht="12.95" hidden="1" customHeight="1" thickBot="1">
      <c r="A413" s="1375"/>
      <c r="B413" s="273"/>
      <c r="C413" s="231"/>
      <c r="D413" s="232"/>
      <c r="E413" s="233"/>
      <c r="F413" s="234"/>
      <c r="G413" s="232"/>
      <c r="H413" s="232"/>
      <c r="I413" s="233"/>
      <c r="J413" s="234"/>
      <c r="K413" s="232"/>
      <c r="L413" s="232"/>
      <c r="M413" s="233"/>
      <c r="N413" s="234"/>
      <c r="O413" s="232"/>
      <c r="P413" s="232"/>
      <c r="Q413" s="233"/>
      <c r="R413" s="234"/>
      <c r="S413" s="232"/>
      <c r="T413" s="232"/>
      <c r="U413" s="233"/>
      <c r="V413" s="234"/>
      <c r="W413" s="232"/>
      <c r="X413" s="232"/>
      <c r="Y413" s="233"/>
      <c r="Z413" s="234"/>
      <c r="AA413" s="232"/>
      <c r="AB413" s="232"/>
      <c r="AC413" s="233"/>
      <c r="AD413" s="234"/>
      <c r="AE413" s="233"/>
      <c r="AH413" s="354">
        <f t="shared" si="84"/>
        <v>0</v>
      </c>
      <c r="AI413" s="354">
        <f>U413-O413</f>
        <v>0</v>
      </c>
      <c r="AJ413" s="354">
        <f t="shared" si="83"/>
        <v>0</v>
      </c>
    </row>
    <row r="414" spans="1:40" ht="12.95" customHeight="1" thickBot="1">
      <c r="A414" s="885"/>
      <c r="B414" s="3" t="s">
        <v>40</v>
      </c>
      <c r="C414" s="12"/>
      <c r="D414" s="1377">
        <v>2008</v>
      </c>
      <c r="E414" s="1378"/>
      <c r="F414" s="1372">
        <v>2009</v>
      </c>
      <c r="G414" s="1373"/>
      <c r="H414" s="1373"/>
      <c r="I414" s="1374"/>
      <c r="J414" s="1372">
        <v>2010</v>
      </c>
      <c r="K414" s="1373"/>
      <c r="L414" s="1373"/>
      <c r="M414" s="1374"/>
      <c r="N414" s="1372">
        <v>2011</v>
      </c>
      <c r="O414" s="1373"/>
      <c r="P414" s="1373"/>
      <c r="Q414" s="1374"/>
      <c r="R414" s="1372">
        <v>2012</v>
      </c>
      <c r="S414" s="1373"/>
      <c r="T414" s="1373"/>
      <c r="U414" s="1374"/>
      <c r="V414" s="1372">
        <v>2013</v>
      </c>
      <c r="W414" s="1373"/>
      <c r="X414" s="1373"/>
      <c r="Y414" s="1374"/>
      <c r="Z414" s="1372">
        <v>2014</v>
      </c>
      <c r="AA414" s="1373"/>
      <c r="AB414" s="1373"/>
      <c r="AC414" s="1374"/>
      <c r="AD414" s="1372">
        <v>2015</v>
      </c>
      <c r="AE414" s="1374"/>
      <c r="AG414" s="257" t="s">
        <v>663</v>
      </c>
    </row>
    <row r="415" spans="1:40" ht="12.95" customHeight="1" thickBot="1">
      <c r="A415" s="885"/>
      <c r="B415" s="868" t="s">
        <v>644</v>
      </c>
      <c r="C415" s="194" t="s">
        <v>610</v>
      </c>
      <c r="D415" s="206"/>
      <c r="E415" s="207"/>
      <c r="F415" s="209"/>
      <c r="G415" s="206"/>
      <c r="H415" s="206"/>
      <c r="I415" s="207"/>
      <c r="J415" s="209"/>
      <c r="K415" s="206"/>
      <c r="L415" s="206"/>
      <c r="M415" s="207"/>
      <c r="N415" s="209"/>
      <c r="O415" s="210"/>
      <c r="P415" s="210"/>
      <c r="Q415" s="211"/>
      <c r="R415" s="209"/>
      <c r="S415" s="210"/>
      <c r="T415" s="210"/>
      <c r="U415" s="211"/>
      <c r="V415" s="281"/>
      <c r="W415" s="278"/>
      <c r="X415" s="278"/>
      <c r="Y415" s="278">
        <f>(Y425-U425)/4/$C$694/Spend!Y415*'State Efficiency Ratios'!$C$655</f>
        <v>40.32135058437084</v>
      </c>
      <c r="Z415" s="277"/>
      <c r="AA415" s="278"/>
      <c r="AB415" s="278"/>
      <c r="AC415" s="278">
        <f>(AC425-Y425)/4/$C$694/Spend!AC415*'State Efficiency Ratios'!$C$655</f>
        <v>-537.94858361730076</v>
      </c>
      <c r="AD415" s="208"/>
      <c r="AE415" s="213"/>
      <c r="AG415" s="410" t="s">
        <v>765</v>
      </c>
      <c r="AN415" s="385">
        <f>Y415</f>
        <v>40.32135058437084</v>
      </c>
    </row>
    <row r="416" spans="1:40" ht="12.95" customHeight="1" thickBot="1">
      <c r="A416" s="885"/>
      <c r="B416" s="885"/>
      <c r="C416" s="194" t="s">
        <v>611</v>
      </c>
      <c r="D416" s="206"/>
      <c r="E416" s="207"/>
      <c r="F416" s="209"/>
      <c r="G416" s="206"/>
      <c r="H416" s="206"/>
      <c r="I416" s="207"/>
      <c r="J416" s="209"/>
      <c r="K416" s="206"/>
      <c r="L416" s="206"/>
      <c r="M416" s="207"/>
      <c r="N416" s="209"/>
      <c r="O416" s="210"/>
      <c r="P416" s="210"/>
      <c r="Q416" s="211"/>
      <c r="R416" s="209"/>
      <c r="S416" s="210"/>
      <c r="T416" s="210"/>
      <c r="U416" s="211"/>
      <c r="V416" s="281"/>
      <c r="W416" s="278"/>
      <c r="X416" s="278"/>
      <c r="Y416" s="278">
        <f>(Y426-U426)/4/$C$694/Spend!Y416*'State Efficiency Ratios'!$C$655</f>
        <v>0</v>
      </c>
      <c r="Z416" s="277"/>
      <c r="AA416" s="278"/>
      <c r="AB416" s="278"/>
      <c r="AC416" s="278">
        <f>(AC426-Y426)/4/$C$694/Spend!AC416*'State Efficiency Ratios'!$C$655</f>
        <v>-487.49343050488187</v>
      </c>
      <c r="AD416" s="208"/>
      <c r="AE416" s="213"/>
      <c r="AG416" s="410" t="s">
        <v>765</v>
      </c>
      <c r="AN416" s="385">
        <f t="shared" ref="AN416:AN422" si="87">Y416</f>
        <v>0</v>
      </c>
    </row>
    <row r="417" spans="1:40" ht="12.95" customHeight="1" thickBot="1">
      <c r="A417" s="885"/>
      <c r="B417" s="885"/>
      <c r="C417" s="194" t="s">
        <v>612</v>
      </c>
      <c r="D417" s="206"/>
      <c r="E417" s="207"/>
      <c r="F417" s="209"/>
      <c r="G417" s="206"/>
      <c r="H417" s="206"/>
      <c r="I417" s="207"/>
      <c r="J417" s="209"/>
      <c r="K417" s="206"/>
      <c r="L417" s="206"/>
      <c r="M417" s="207"/>
      <c r="N417" s="209"/>
      <c r="O417" s="210"/>
      <c r="P417" s="210"/>
      <c r="Q417" s="211"/>
      <c r="R417" s="209"/>
      <c r="S417" s="210"/>
      <c r="T417" s="210"/>
      <c r="U417" s="211"/>
      <c r="V417" s="281"/>
      <c r="W417" s="278"/>
      <c r="X417" s="278"/>
      <c r="Y417" s="278">
        <f>(Y427-U427)/4/$C$694/Spend!Y417*'State Efficiency Ratios'!$C$655</f>
        <v>0</v>
      </c>
      <c r="Z417" s="277"/>
      <c r="AA417" s="278"/>
      <c r="AB417" s="278"/>
      <c r="AC417" s="278">
        <f>(AC427-Y427)/4/$C$694/Spend!AC417*'State Efficiency Ratios'!$C$655</f>
        <v>-457.18198279767881</v>
      </c>
      <c r="AD417" s="208"/>
      <c r="AE417" s="213"/>
      <c r="AG417" s="410" t="s">
        <v>764</v>
      </c>
      <c r="AN417" s="385">
        <f t="shared" si="87"/>
        <v>0</v>
      </c>
    </row>
    <row r="418" spans="1:40" ht="12.95" customHeight="1" thickBot="1">
      <c r="A418" s="885"/>
      <c r="B418" s="885"/>
      <c r="C418" s="194" t="s">
        <v>613</v>
      </c>
      <c r="D418" s="206"/>
      <c r="E418" s="207"/>
      <c r="F418" s="209"/>
      <c r="G418" s="206"/>
      <c r="H418" s="206"/>
      <c r="I418" s="207"/>
      <c r="J418" s="209"/>
      <c r="K418" s="206"/>
      <c r="L418" s="206"/>
      <c r="M418" s="207"/>
      <c r="N418" s="209"/>
      <c r="O418" s="210"/>
      <c r="P418" s="210"/>
      <c r="Q418" s="211"/>
      <c r="R418" s="209"/>
      <c r="S418" s="210"/>
      <c r="T418" s="210"/>
      <c r="U418" s="211"/>
      <c r="V418" s="281"/>
      <c r="W418" s="278"/>
      <c r="X418" s="278"/>
      <c r="Y418" s="278">
        <f>(Y428-U428)/4/$C$694/Spend!Y418*'State Efficiency Ratios'!$C$655</f>
        <v>170.90334794886081</v>
      </c>
      <c r="Z418" s="277"/>
      <c r="AA418" s="278"/>
      <c r="AB418" s="278"/>
      <c r="AC418" s="278">
        <f>(AC428-Y428)/4/$C$694/Spend!AC418*'State Efficiency Ratios'!$C$655</f>
        <v>-595.84222399507757</v>
      </c>
      <c r="AD418" s="208"/>
      <c r="AE418" s="213"/>
      <c r="AG418" s="410"/>
      <c r="AN418" s="385">
        <f t="shared" si="87"/>
        <v>170.90334794886081</v>
      </c>
    </row>
    <row r="419" spans="1:40" ht="12.95" customHeight="1" thickBot="1">
      <c r="A419" s="885"/>
      <c r="B419" s="885"/>
      <c r="C419" s="194" t="s">
        <v>614</v>
      </c>
      <c r="D419" s="206"/>
      <c r="E419" s="207"/>
      <c r="F419" s="209"/>
      <c r="G419" s="206"/>
      <c r="H419" s="206"/>
      <c r="I419" s="207"/>
      <c r="J419" s="209"/>
      <c r="K419" s="206"/>
      <c r="L419" s="206"/>
      <c r="M419" s="207"/>
      <c r="N419" s="209"/>
      <c r="O419" s="210"/>
      <c r="P419" s="210"/>
      <c r="Q419" s="211"/>
      <c r="R419" s="209"/>
      <c r="S419" s="210"/>
      <c r="T419" s="210"/>
      <c r="U419" s="211"/>
      <c r="V419" s="281"/>
      <c r="W419" s="278"/>
      <c r="X419" s="278"/>
      <c r="Y419" s="278">
        <f>(Y429-U429)/4/$C$694/Spend!Y419*'State Efficiency Ratios'!$C$655</f>
        <v>110.16317612119759</v>
      </c>
      <c r="Z419" s="277"/>
      <c r="AA419" s="278"/>
      <c r="AB419" s="278"/>
      <c r="AC419" s="278">
        <f>(AC429-Y429)/4/$C$694/Spend!AC419*'State Efficiency Ratios'!$C$655</f>
        <v>-478.01960153810802</v>
      </c>
      <c r="AD419" s="208"/>
      <c r="AE419" s="213"/>
      <c r="AG419" s="410" t="s">
        <v>766</v>
      </c>
      <c r="AN419" s="385">
        <f t="shared" si="87"/>
        <v>110.16317612119759</v>
      </c>
    </row>
    <row r="420" spans="1:40" ht="12.95" customHeight="1" thickBot="1">
      <c r="A420" s="885"/>
      <c r="B420" s="885"/>
      <c r="C420" s="194" t="s">
        <v>615</v>
      </c>
      <c r="D420" s="210"/>
      <c r="E420" s="211"/>
      <c r="F420" s="209"/>
      <c r="G420" s="210"/>
      <c r="H420" s="210"/>
      <c r="I420" s="211"/>
      <c r="J420" s="209"/>
      <c r="K420" s="210"/>
      <c r="L420" s="210"/>
      <c r="M420" s="211"/>
      <c r="N420" s="209"/>
      <c r="O420" s="210"/>
      <c r="P420" s="210"/>
      <c r="Q420" s="211"/>
      <c r="R420" s="209"/>
      <c r="S420" s="210"/>
      <c r="T420" s="210"/>
      <c r="U420" s="211"/>
      <c r="V420" s="281"/>
      <c r="W420" s="278"/>
      <c r="X420" s="278"/>
      <c r="Y420" s="278">
        <f>(Y430-U430)/4/$C$694/Spend!Y420*'State Efficiency Ratios'!$C$655</f>
        <v>314.29007125366076</v>
      </c>
      <c r="Z420" s="277"/>
      <c r="AA420" s="278"/>
      <c r="AB420" s="278"/>
      <c r="AC420" s="278">
        <f>(AC430-Y430)/4/$C$694/Spend!AC420*'State Efficiency Ratios'!$C$655</f>
        <v>-395.56594153669238</v>
      </c>
      <c r="AD420" s="208"/>
      <c r="AE420" s="213"/>
      <c r="AG420" s="410"/>
      <c r="AN420" s="385">
        <f t="shared" si="87"/>
        <v>314.29007125366076</v>
      </c>
    </row>
    <row r="421" spans="1:40" ht="12.95" customHeight="1" thickBot="1">
      <c r="A421" s="885"/>
      <c r="B421" s="885"/>
      <c r="C421" s="194" t="s">
        <v>616</v>
      </c>
      <c r="D421" s="210"/>
      <c r="E421" s="211"/>
      <c r="F421" s="209"/>
      <c r="G421" s="210"/>
      <c r="H421" s="210"/>
      <c r="I421" s="211"/>
      <c r="J421" s="209"/>
      <c r="K421" s="210"/>
      <c r="L421" s="210"/>
      <c r="M421" s="211"/>
      <c r="N421" s="209"/>
      <c r="O421" s="210"/>
      <c r="P421" s="210"/>
      <c r="Q421" s="211"/>
      <c r="R421" s="209"/>
      <c r="S421" s="210"/>
      <c r="T421" s="210"/>
      <c r="U421" s="211"/>
      <c r="V421" s="281"/>
      <c r="W421" s="278"/>
      <c r="X421" s="278"/>
      <c r="Y421" s="278">
        <f>(Y431-U431)/4/$C$694/Spend!Y421*'State Efficiency Ratios'!$C$655</f>
        <v>39.261513063487854</v>
      </c>
      <c r="Z421" s="277"/>
      <c r="AA421" s="278"/>
      <c r="AB421" s="278"/>
      <c r="AC421" s="278">
        <f>(AC431-Y431)/4/$C$694/Spend!AC421*'State Efficiency Ratios'!$C$655</f>
        <v>-257.13913348943117</v>
      </c>
      <c r="AD421" s="208"/>
      <c r="AE421" s="213"/>
      <c r="AG421" s="410" t="s">
        <v>764</v>
      </c>
      <c r="AN421" s="385">
        <f t="shared" si="87"/>
        <v>39.261513063487854</v>
      </c>
    </row>
    <row r="422" spans="1:40" ht="12.95" customHeight="1" thickBot="1">
      <c r="A422" s="885"/>
      <c r="B422" s="885"/>
      <c r="C422" s="194" t="s">
        <v>617</v>
      </c>
      <c r="D422" s="210"/>
      <c r="E422" s="211"/>
      <c r="F422" s="209"/>
      <c r="G422" s="210"/>
      <c r="H422" s="210"/>
      <c r="I422" s="211"/>
      <c r="J422" s="209"/>
      <c r="K422" s="210"/>
      <c r="L422" s="210"/>
      <c r="M422" s="211"/>
      <c r="N422" s="209"/>
      <c r="O422" s="210"/>
      <c r="P422" s="210"/>
      <c r="Q422" s="211"/>
      <c r="R422" s="209"/>
      <c r="S422" s="210"/>
      <c r="T422" s="210"/>
      <c r="U422" s="211"/>
      <c r="V422" s="281"/>
      <c r="W422" s="278"/>
      <c r="X422" s="278"/>
      <c r="Y422" s="278">
        <f>(Y432-U432)/4/$C$694/Spend!Y422*'State Efficiency Ratios'!$C$655</f>
        <v>198.28140863304003</v>
      </c>
      <c r="Z422" s="277"/>
      <c r="AA422" s="278"/>
      <c r="AB422" s="278"/>
      <c r="AC422" s="278">
        <f>(AC432-Y432)/4/$C$694/Spend!AC422*'State Efficiency Ratios'!$C$655</f>
        <v>-235.56350310506701</v>
      </c>
      <c r="AD422" s="208"/>
      <c r="AE422" s="213"/>
      <c r="AG422" s="410" t="s">
        <v>768</v>
      </c>
      <c r="AN422" s="385">
        <f t="shared" si="87"/>
        <v>198.28140863304003</v>
      </c>
    </row>
    <row r="423" spans="1:40" ht="12.95" customHeight="1" thickBot="1">
      <c r="A423" s="885"/>
      <c r="B423" s="885"/>
      <c r="C423" s="194" t="s">
        <v>618</v>
      </c>
      <c r="D423" s="210"/>
      <c r="E423" s="211"/>
      <c r="F423" s="209"/>
      <c r="G423" s="210"/>
      <c r="H423" s="210"/>
      <c r="I423" s="211"/>
      <c r="J423" s="209"/>
      <c r="K423" s="210"/>
      <c r="L423" s="210"/>
      <c r="M423" s="211"/>
      <c r="N423" s="209"/>
      <c r="O423" s="210"/>
      <c r="P423" s="210"/>
      <c r="Q423" s="211"/>
      <c r="R423" s="209"/>
      <c r="S423" s="210"/>
      <c r="T423" s="210"/>
      <c r="U423" s="211"/>
      <c r="V423" s="281"/>
      <c r="W423" s="282"/>
      <c r="X423" s="282"/>
      <c r="Y423" s="283"/>
      <c r="Z423" s="277"/>
      <c r="AA423" s="278"/>
      <c r="AB423" s="278"/>
      <c r="AC423" s="278">
        <f>(AC433-Y433)/4/$C$694/Spend!AC423*'State Efficiency Ratios'!$C$655</f>
        <v>-267.79898932120415</v>
      </c>
      <c r="AD423" s="208"/>
      <c r="AE423" s="213"/>
      <c r="AG423" s="295"/>
    </row>
    <row r="424" spans="1:40" ht="12.95" customHeight="1" thickBot="1">
      <c r="A424" s="885"/>
      <c r="B424" s="885"/>
      <c r="C424" s="194" t="s">
        <v>619</v>
      </c>
      <c r="D424" s="210"/>
      <c r="E424" s="211"/>
      <c r="F424" s="209"/>
      <c r="G424" s="210"/>
      <c r="H424" s="210"/>
      <c r="I424" s="211"/>
      <c r="J424" s="209"/>
      <c r="K424" s="210"/>
      <c r="L424" s="210"/>
      <c r="M424" s="211"/>
      <c r="N424" s="209"/>
      <c r="O424" s="210"/>
      <c r="P424" s="210"/>
      <c r="Q424" s="211"/>
      <c r="R424" s="209"/>
      <c r="S424" s="210"/>
      <c r="T424" s="210"/>
      <c r="U424" s="211"/>
      <c r="V424" s="281"/>
      <c r="W424" s="282"/>
      <c r="X424" s="282"/>
      <c r="Y424" s="283"/>
      <c r="Z424" s="277"/>
      <c r="AA424" s="278"/>
      <c r="AB424" s="278"/>
      <c r="AC424" s="278">
        <f>(AC434-Y434)/4/$C$694/Spend!AC424*'State Efficiency Ratios'!$C$655</f>
        <v>-339.99534172038875</v>
      </c>
      <c r="AD424" s="208"/>
      <c r="AE424" s="213"/>
      <c r="AG424" s="295"/>
    </row>
    <row r="425" spans="1:40" ht="13.5" thickBot="1">
      <c r="A425" s="885"/>
      <c r="B425" s="885"/>
      <c r="C425" s="9" t="s">
        <v>295</v>
      </c>
      <c r="D425" s="202"/>
      <c r="E425" s="203"/>
      <c r="F425" s="201"/>
      <c r="G425" s="202"/>
      <c r="H425" s="202"/>
      <c r="I425" s="203"/>
      <c r="J425" s="201"/>
      <c r="K425" s="202"/>
      <c r="L425" s="202"/>
      <c r="M425" s="203"/>
      <c r="N425" s="204"/>
      <c r="O425" s="214"/>
      <c r="P425" s="205"/>
      <c r="Q425" s="205"/>
      <c r="R425" s="201"/>
      <c r="S425" s="202"/>
      <c r="T425" s="202"/>
      <c r="U425" s="197">
        <f>'State DisAgg LFx10 (2015)'!L415</f>
        <v>3.9</v>
      </c>
      <c r="V425" s="195"/>
      <c r="W425" s="196"/>
      <c r="X425" s="196"/>
      <c r="Y425" s="197">
        <f>'State DisAgg LFx10 (2015)'!P425</f>
        <v>4.0999999999999996</v>
      </c>
      <c r="Z425" s="195"/>
      <c r="AA425" s="196"/>
      <c r="AB425" s="196"/>
      <c r="AC425" s="197">
        <f>'State DisAgg LFx10 (2015)'!T425</f>
        <v>0</v>
      </c>
      <c r="AD425" s="195"/>
      <c r="AE425" s="197"/>
      <c r="AH425" s="354">
        <f>Y425-U425</f>
        <v>0.19999999999999973</v>
      </c>
      <c r="AI425" s="354">
        <f>U425-O425</f>
        <v>3.9</v>
      </c>
      <c r="AJ425" s="354">
        <f t="shared" ref="AJ425:AJ436" si="88">O425-J425</f>
        <v>0</v>
      </c>
      <c r="AN425" s="384">
        <f>(O425-J425)</f>
        <v>0</v>
      </c>
    </row>
    <row r="426" spans="1:40" ht="13.5" thickBot="1">
      <c r="A426" s="885"/>
      <c r="B426" s="885"/>
      <c r="C426" s="9" t="s">
        <v>296</v>
      </c>
      <c r="D426" s="202"/>
      <c r="E426" s="203"/>
      <c r="F426" s="201"/>
      <c r="G426" s="202"/>
      <c r="H426" s="202"/>
      <c r="I426" s="203"/>
      <c r="J426" s="201"/>
      <c r="K426" s="202"/>
      <c r="L426" s="202"/>
      <c r="M426" s="203"/>
      <c r="N426" s="204"/>
      <c r="O426" s="214"/>
      <c r="P426" s="205"/>
      <c r="Q426" s="205"/>
      <c r="R426" s="201"/>
      <c r="S426" s="202"/>
      <c r="T426" s="202"/>
      <c r="U426" s="197">
        <f>'State DisAgg LFx10 (2015)'!L416</f>
        <v>3.6</v>
      </c>
      <c r="V426" s="195"/>
      <c r="W426" s="196"/>
      <c r="X426" s="196"/>
      <c r="Y426" s="197">
        <f>'State DisAgg LFx10 (2015)'!P426</f>
        <v>3.6</v>
      </c>
      <c r="Z426" s="195"/>
      <c r="AA426" s="196"/>
      <c r="AB426" s="196"/>
      <c r="AC426" s="197">
        <f>'State DisAgg LFx10 (2015)'!T426</f>
        <v>0</v>
      </c>
      <c r="AD426" s="195"/>
      <c r="AE426" s="197"/>
      <c r="AH426" s="354">
        <f t="shared" ref="AH426:AH434" si="89">Y426-U426</f>
        <v>0</v>
      </c>
      <c r="AI426" s="354">
        <f>U426-O426</f>
        <v>3.6</v>
      </c>
      <c r="AJ426" s="354">
        <f t="shared" si="88"/>
        <v>0</v>
      </c>
      <c r="AN426" s="384">
        <f t="shared" ref="AN426:AN429" si="90">(O426-J426)</f>
        <v>0</v>
      </c>
    </row>
    <row r="427" spans="1:40" ht="13.5" thickBot="1">
      <c r="A427" s="885"/>
      <c r="B427" s="885"/>
      <c r="C427" s="9" t="s">
        <v>297</v>
      </c>
      <c r="D427" s="202"/>
      <c r="E427" s="203"/>
      <c r="F427" s="201"/>
      <c r="G427" s="202"/>
      <c r="H427" s="202"/>
      <c r="I427" s="203"/>
      <c r="J427" s="201"/>
      <c r="K427" s="202"/>
      <c r="L427" s="202"/>
      <c r="M427" s="203"/>
      <c r="N427" s="204"/>
      <c r="O427" s="214"/>
      <c r="P427" s="205"/>
      <c r="Q427" s="205"/>
      <c r="R427" s="201"/>
      <c r="S427" s="202"/>
      <c r="T427" s="202"/>
      <c r="U427" s="197">
        <f>'State DisAgg LFx10 (2015)'!L417</f>
        <v>3.5</v>
      </c>
      <c r="V427" s="195"/>
      <c r="W427" s="196"/>
      <c r="X427" s="196"/>
      <c r="Y427" s="197">
        <f>'State DisAgg LFx10 (2015)'!P427</f>
        <v>3.5</v>
      </c>
      <c r="Z427" s="195"/>
      <c r="AA427" s="196"/>
      <c r="AB427" s="196"/>
      <c r="AC427" s="197">
        <f>'State DisAgg LFx10 (2015)'!T427</f>
        <v>0</v>
      </c>
      <c r="AD427" s="195"/>
      <c r="AE427" s="197"/>
      <c r="AH427" s="354">
        <f t="shared" si="89"/>
        <v>0</v>
      </c>
      <c r="AI427" s="354">
        <f>U427-O427</f>
        <v>3.5</v>
      </c>
      <c r="AJ427" s="354">
        <f t="shared" si="88"/>
        <v>0</v>
      </c>
      <c r="AN427" s="384">
        <f t="shared" si="90"/>
        <v>0</v>
      </c>
    </row>
    <row r="428" spans="1:40" ht="13.5" thickBot="1">
      <c r="A428" s="885"/>
      <c r="B428" s="885"/>
      <c r="C428" s="9" t="s">
        <v>298</v>
      </c>
      <c r="D428" s="202"/>
      <c r="E428" s="203"/>
      <c r="F428" s="201"/>
      <c r="G428" s="202"/>
      <c r="H428" s="202"/>
      <c r="I428" s="203"/>
      <c r="J428" s="201"/>
      <c r="K428" s="202"/>
      <c r="L428" s="202"/>
      <c r="M428" s="203"/>
      <c r="N428" s="204"/>
      <c r="O428" s="214"/>
      <c r="P428" s="205"/>
      <c r="Q428" s="205"/>
      <c r="R428" s="201"/>
      <c r="S428" s="202"/>
      <c r="T428" s="202"/>
      <c r="U428" s="197">
        <f>'State DisAgg LFx10 (2015)'!L418</f>
        <v>3</v>
      </c>
      <c r="V428" s="195"/>
      <c r="W428" s="196"/>
      <c r="X428" s="196"/>
      <c r="Y428" s="197">
        <f>'State DisAgg LFx10 (2015)'!P428</f>
        <v>3.6</v>
      </c>
      <c r="Z428" s="195"/>
      <c r="AA428" s="196"/>
      <c r="AB428" s="196"/>
      <c r="AC428" s="197">
        <f>'State DisAgg LFx10 (2015)'!T428</f>
        <v>0</v>
      </c>
      <c r="AD428" s="195"/>
      <c r="AE428" s="197"/>
      <c r="AH428" s="354">
        <f t="shared" si="89"/>
        <v>0.60000000000000009</v>
      </c>
      <c r="AI428" s="354">
        <f>U428-O428</f>
        <v>3</v>
      </c>
      <c r="AJ428" s="354">
        <f t="shared" si="88"/>
        <v>0</v>
      </c>
      <c r="AN428" s="384">
        <f t="shared" si="90"/>
        <v>0</v>
      </c>
    </row>
    <row r="429" spans="1:40" ht="13.5" thickBot="1">
      <c r="A429" s="885"/>
      <c r="B429" s="885"/>
      <c r="C429" s="9" t="s">
        <v>299</v>
      </c>
      <c r="D429" s="202"/>
      <c r="E429" s="203"/>
      <c r="F429" s="201"/>
      <c r="G429" s="202"/>
      <c r="H429" s="202"/>
      <c r="I429" s="203"/>
      <c r="J429" s="201"/>
      <c r="K429" s="202"/>
      <c r="L429" s="202"/>
      <c r="M429" s="203"/>
      <c r="N429" s="204"/>
      <c r="O429" s="214"/>
      <c r="P429" s="205"/>
      <c r="Q429" s="205"/>
      <c r="R429" s="201"/>
      <c r="S429" s="202"/>
      <c r="T429" s="202"/>
      <c r="U429" s="197">
        <f>'State DisAgg LFx10 (2015)'!L419</f>
        <v>3.4</v>
      </c>
      <c r="V429" s="195"/>
      <c r="W429" s="196"/>
      <c r="X429" s="196"/>
      <c r="Y429" s="197">
        <f>'State DisAgg LFx10 (2015)'!P429</f>
        <v>3.8</v>
      </c>
      <c r="Z429" s="195"/>
      <c r="AA429" s="196"/>
      <c r="AB429" s="196"/>
      <c r="AC429" s="197">
        <f>'State DisAgg LFx10 (2015)'!T429</f>
        <v>0</v>
      </c>
      <c r="AD429" s="195"/>
      <c r="AE429" s="197"/>
      <c r="AH429" s="354">
        <f t="shared" si="89"/>
        <v>0.39999999999999991</v>
      </c>
      <c r="AI429" s="354">
        <f>U429-O429</f>
        <v>3.4</v>
      </c>
      <c r="AJ429" s="354">
        <f t="shared" si="88"/>
        <v>0</v>
      </c>
      <c r="AN429" s="384">
        <f t="shared" si="90"/>
        <v>0</v>
      </c>
    </row>
    <row r="430" spans="1:40" ht="13.5" thickBot="1">
      <c r="A430" s="885"/>
      <c r="B430" s="885"/>
      <c r="C430" s="9" t="s">
        <v>300</v>
      </c>
      <c r="D430" s="202"/>
      <c r="E430" s="203"/>
      <c r="F430" s="201"/>
      <c r="G430" s="202"/>
      <c r="H430" s="202"/>
      <c r="I430" s="203"/>
      <c r="J430" s="201"/>
      <c r="K430" s="202"/>
      <c r="L430" s="202"/>
      <c r="M430" s="203"/>
      <c r="N430" s="204"/>
      <c r="O430" s="214"/>
      <c r="P430" s="205"/>
      <c r="Q430" s="205"/>
      <c r="R430" s="201"/>
      <c r="S430" s="202"/>
      <c r="T430" s="202"/>
      <c r="U430" s="197">
        <f>'State DisAgg LFx10 (2015)'!L420</f>
        <v>2</v>
      </c>
      <c r="V430" s="195"/>
      <c r="W430" s="196"/>
      <c r="X430" s="196"/>
      <c r="Y430" s="197">
        <f>'State DisAgg LFx10 (2015)'!P430</f>
        <v>2.8</v>
      </c>
      <c r="Z430" s="195"/>
      <c r="AA430" s="196"/>
      <c r="AB430" s="196"/>
      <c r="AC430" s="197">
        <f>'State DisAgg LFx10 (2015)'!T430</f>
        <v>0</v>
      </c>
      <c r="AD430" s="195"/>
      <c r="AE430" s="197"/>
      <c r="AH430" s="354">
        <f t="shared" si="89"/>
        <v>0.79999999999999982</v>
      </c>
      <c r="AI430" s="354">
        <v>0</v>
      </c>
      <c r="AJ430" s="354">
        <f t="shared" si="88"/>
        <v>0</v>
      </c>
      <c r="AN430" s="384">
        <f>(Y430-R430)</f>
        <v>2.8</v>
      </c>
    </row>
    <row r="431" spans="1:40" ht="13.5" thickBot="1">
      <c r="A431" s="885"/>
      <c r="B431" s="885"/>
      <c r="C431" s="9" t="s">
        <v>301</v>
      </c>
      <c r="D431" s="202"/>
      <c r="E431" s="203"/>
      <c r="F431" s="201"/>
      <c r="G431" s="202"/>
      <c r="H431" s="202"/>
      <c r="I431" s="203"/>
      <c r="J431" s="201"/>
      <c r="K431" s="202"/>
      <c r="L431" s="202"/>
      <c r="M431" s="203"/>
      <c r="N431" s="204"/>
      <c r="O431" s="214"/>
      <c r="P431" s="205"/>
      <c r="Q431" s="205"/>
      <c r="R431" s="201"/>
      <c r="S431" s="202"/>
      <c r="T431" s="202"/>
      <c r="U431" s="197">
        <f>'State DisAgg LFx10 (2015)'!L421</f>
        <v>2.2000000000000002</v>
      </c>
      <c r="V431" s="195"/>
      <c r="W431" s="196"/>
      <c r="X431" s="196"/>
      <c r="Y431" s="197">
        <f>'State DisAgg LFx10 (2015)'!P431</f>
        <v>2.2999999999999998</v>
      </c>
      <c r="Z431" s="195"/>
      <c r="AA431" s="196"/>
      <c r="AB431" s="196"/>
      <c r="AC431" s="197">
        <f>'State DisAgg LFx10 (2015)'!T431</f>
        <v>0</v>
      </c>
      <c r="AD431" s="195"/>
      <c r="AE431" s="197"/>
      <c r="AH431" s="354">
        <f t="shared" si="89"/>
        <v>9.9999999999999645E-2</v>
      </c>
      <c r="AI431" s="354">
        <v>0</v>
      </c>
      <c r="AJ431" s="354">
        <f t="shared" si="88"/>
        <v>0</v>
      </c>
      <c r="AN431" s="384">
        <f t="shared" ref="AN431:AN432" si="91">(Y431-R431)</f>
        <v>2.2999999999999998</v>
      </c>
    </row>
    <row r="432" spans="1:40" ht="13.5" thickBot="1">
      <c r="A432" s="885"/>
      <c r="B432" s="885"/>
      <c r="C432" s="9" t="s">
        <v>302</v>
      </c>
      <c r="D432" s="202"/>
      <c r="E432" s="203"/>
      <c r="F432" s="201"/>
      <c r="G432" s="202"/>
      <c r="H432" s="202"/>
      <c r="I432" s="203"/>
      <c r="J432" s="201"/>
      <c r="K432" s="202"/>
      <c r="L432" s="202"/>
      <c r="M432" s="203"/>
      <c r="N432" s="204"/>
      <c r="O432" s="214"/>
      <c r="P432" s="205"/>
      <c r="Q432" s="205"/>
      <c r="R432" s="201"/>
      <c r="S432" s="202"/>
      <c r="T432" s="202"/>
      <c r="U432" s="197">
        <f>'State DisAgg LFx10 (2015)'!L422</f>
        <v>1.9</v>
      </c>
      <c r="V432" s="195"/>
      <c r="W432" s="196"/>
      <c r="X432" s="196"/>
      <c r="Y432" s="197">
        <f>'State DisAgg LFx10 (2015)'!P432</f>
        <v>2.4</v>
      </c>
      <c r="Z432" s="195"/>
      <c r="AA432" s="196"/>
      <c r="AB432" s="196"/>
      <c r="AC432" s="197">
        <f>'State DisAgg LFx10 (2015)'!T432</f>
        <v>0</v>
      </c>
      <c r="AD432" s="195"/>
      <c r="AE432" s="197"/>
      <c r="AH432" s="354">
        <f t="shared" si="89"/>
        <v>0.5</v>
      </c>
      <c r="AI432" s="354">
        <v>0</v>
      </c>
      <c r="AJ432" s="354">
        <f t="shared" si="88"/>
        <v>0</v>
      </c>
      <c r="AN432" s="384">
        <f t="shared" si="91"/>
        <v>2.4</v>
      </c>
    </row>
    <row r="433" spans="1:41" ht="13.5" thickBot="1">
      <c r="A433" s="885"/>
      <c r="B433" s="885"/>
      <c r="C433" s="9" t="s">
        <v>303</v>
      </c>
      <c r="D433" s="202"/>
      <c r="E433" s="203"/>
      <c r="F433" s="201"/>
      <c r="G433" s="202"/>
      <c r="H433" s="202"/>
      <c r="I433" s="203"/>
      <c r="J433" s="201"/>
      <c r="K433" s="202"/>
      <c r="L433" s="202"/>
      <c r="M433" s="203"/>
      <c r="N433" s="204"/>
      <c r="O433" s="214"/>
      <c r="P433" s="205"/>
      <c r="Q433" s="205"/>
      <c r="R433" s="201"/>
      <c r="S433" s="202"/>
      <c r="T433" s="202"/>
      <c r="U433" s="203"/>
      <c r="V433" s="242"/>
      <c r="W433" s="217" t="s">
        <v>633</v>
      </c>
      <c r="X433" s="241" t="s">
        <v>632</v>
      </c>
      <c r="Y433" s="197">
        <f>'State DisAgg LFx10 (2015)'!P423</f>
        <v>2.9</v>
      </c>
      <c r="Z433" s="195"/>
      <c r="AA433" s="196"/>
      <c r="AB433" s="196"/>
      <c r="AC433" s="197">
        <f>'State DisAgg LFx10 (2015)'!T433</f>
        <v>0</v>
      </c>
      <c r="AD433" s="195"/>
      <c r="AE433" s="197"/>
      <c r="AH433" s="354">
        <f t="shared" si="89"/>
        <v>2.9</v>
      </c>
      <c r="AI433" s="354">
        <f>U433-O433</f>
        <v>0</v>
      </c>
      <c r="AJ433" s="354">
        <f t="shared" si="88"/>
        <v>0</v>
      </c>
    </row>
    <row r="434" spans="1:41" ht="13.5" thickBot="1">
      <c r="A434" s="869"/>
      <c r="B434" s="869"/>
      <c r="C434" s="9" t="s">
        <v>304</v>
      </c>
      <c r="D434" s="202"/>
      <c r="E434" s="203"/>
      <c r="F434" s="201"/>
      <c r="G434" s="202"/>
      <c r="H434" s="202"/>
      <c r="I434" s="203"/>
      <c r="J434" s="201"/>
      <c r="K434" s="202"/>
      <c r="L434" s="202"/>
      <c r="M434" s="203"/>
      <c r="N434" s="204"/>
      <c r="O434" s="205"/>
      <c r="P434" s="205"/>
      <c r="Q434" s="205"/>
      <c r="R434" s="201"/>
      <c r="S434" s="202"/>
      <c r="T434" s="202"/>
      <c r="U434" s="203"/>
      <c r="V434" s="242"/>
      <c r="W434" s="217" t="s">
        <v>633</v>
      </c>
      <c r="X434" s="241" t="s">
        <v>632</v>
      </c>
      <c r="Y434" s="197">
        <f>'State DisAgg LFx10 (2015)'!P424</f>
        <v>2.7</v>
      </c>
      <c r="Z434" s="195"/>
      <c r="AA434" s="196"/>
      <c r="AB434" s="196"/>
      <c r="AC434" s="197">
        <f>'State DisAgg LFx10 (2015)'!T434</f>
        <v>0</v>
      </c>
      <c r="AD434" s="195"/>
      <c r="AE434" s="197"/>
      <c r="AH434" s="354">
        <f t="shared" si="89"/>
        <v>2.7</v>
      </c>
      <c r="AI434" s="354">
        <f>U434-O434</f>
        <v>0</v>
      </c>
      <c r="AJ434" s="354">
        <f t="shared" si="88"/>
        <v>0</v>
      </c>
    </row>
    <row r="435" spans="1:41" ht="12.95" hidden="1" customHeight="1" thickBot="1">
      <c r="A435" s="231"/>
      <c r="B435" s="231"/>
      <c r="C435" s="231"/>
      <c r="D435" s="232"/>
      <c r="E435" s="233"/>
      <c r="F435" s="234"/>
      <c r="G435" s="232"/>
      <c r="H435" s="232"/>
      <c r="I435" s="233"/>
      <c r="J435" s="234"/>
      <c r="K435" s="232"/>
      <c r="L435" s="232"/>
      <c r="M435" s="233"/>
      <c r="N435" s="234"/>
      <c r="O435" s="232"/>
      <c r="P435" s="232"/>
      <c r="Q435" s="233"/>
      <c r="R435" s="234"/>
      <c r="S435" s="232"/>
      <c r="T435" s="232"/>
      <c r="U435" s="233"/>
      <c r="V435" s="234"/>
      <c r="W435" s="232"/>
      <c r="X435" s="232"/>
      <c r="Y435" s="233"/>
      <c r="Z435" s="234"/>
      <c r="AA435" s="232"/>
      <c r="AB435" s="232"/>
      <c r="AC435" s="233"/>
      <c r="AD435" s="234"/>
      <c r="AE435" s="233"/>
      <c r="AH435" s="354">
        <f t="shared" ref="AH435:AH436" si="92">Y435-U435</f>
        <v>0</v>
      </c>
      <c r="AI435" s="354">
        <f>U435-O435</f>
        <v>0</v>
      </c>
      <c r="AJ435" s="354">
        <f t="shared" si="88"/>
        <v>0</v>
      </c>
    </row>
    <row r="436" spans="1:41" ht="12.95" hidden="1" customHeight="1" thickBot="1">
      <c r="A436" s="231"/>
      <c r="B436" s="231"/>
      <c r="C436" s="231"/>
      <c r="D436" s="232"/>
      <c r="E436" s="233"/>
      <c r="F436" s="234"/>
      <c r="G436" s="232"/>
      <c r="H436" s="232"/>
      <c r="I436" s="233"/>
      <c r="J436" s="234"/>
      <c r="K436" s="232"/>
      <c r="L436" s="232"/>
      <c r="M436" s="233"/>
      <c r="N436" s="234"/>
      <c r="O436" s="232"/>
      <c r="P436" s="232"/>
      <c r="Q436" s="233"/>
      <c r="R436" s="234"/>
      <c r="S436" s="232"/>
      <c r="T436" s="232"/>
      <c r="U436" s="233"/>
      <c r="V436" s="234"/>
      <c r="W436" s="232"/>
      <c r="X436" s="232"/>
      <c r="Y436" s="233"/>
      <c r="Z436" s="234"/>
      <c r="AA436" s="232"/>
      <c r="AB436" s="232"/>
      <c r="AC436" s="233"/>
      <c r="AD436" s="234"/>
      <c r="AE436" s="233"/>
      <c r="AH436" s="354">
        <f t="shared" si="92"/>
        <v>0</v>
      </c>
      <c r="AI436" s="354">
        <f>U436-O436</f>
        <v>0</v>
      </c>
      <c r="AJ436" s="354">
        <f t="shared" si="88"/>
        <v>0</v>
      </c>
    </row>
    <row r="437" spans="1:41" ht="12.95" hidden="1" customHeight="1" thickBot="1">
      <c r="A437" s="231"/>
      <c r="B437" s="231"/>
      <c r="C437" s="231"/>
      <c r="D437" s="232"/>
      <c r="E437" s="233"/>
      <c r="F437" s="234"/>
      <c r="G437" s="232"/>
      <c r="H437" s="232"/>
      <c r="I437" s="233"/>
      <c r="J437" s="234"/>
      <c r="K437" s="232"/>
      <c r="L437" s="232"/>
      <c r="M437" s="233"/>
      <c r="N437" s="234"/>
      <c r="O437" s="232"/>
      <c r="P437" s="232"/>
      <c r="Q437" s="233"/>
      <c r="R437" s="234"/>
      <c r="S437" s="232"/>
      <c r="T437" s="232"/>
      <c r="U437" s="233"/>
      <c r="V437" s="234"/>
      <c r="W437" s="232"/>
      <c r="X437" s="232"/>
      <c r="Y437" s="233"/>
      <c r="Z437" s="234"/>
      <c r="AA437" s="232"/>
      <c r="AB437" s="232"/>
      <c r="AC437" s="233"/>
      <c r="AD437" s="234"/>
      <c r="AE437" s="233"/>
    </row>
    <row r="438" spans="1:41" ht="12.95" hidden="1" customHeight="1" thickBot="1">
      <c r="A438" s="231"/>
      <c r="B438" s="231"/>
      <c r="C438" s="231"/>
      <c r="D438" s="232"/>
      <c r="E438" s="233"/>
      <c r="F438" s="234"/>
      <c r="G438" s="232"/>
      <c r="H438" s="232"/>
      <c r="I438" s="233"/>
      <c r="J438" s="234"/>
      <c r="K438" s="232"/>
      <c r="L438" s="232"/>
      <c r="M438" s="233"/>
      <c r="N438" s="234"/>
      <c r="O438" s="232"/>
      <c r="P438" s="232"/>
      <c r="Q438" s="233"/>
      <c r="R438" s="234"/>
      <c r="S438" s="232"/>
      <c r="T438" s="232"/>
      <c r="U438" s="233"/>
      <c r="V438" s="234"/>
      <c r="W438" s="232"/>
      <c r="X438" s="232"/>
      <c r="Y438" s="233"/>
      <c r="Z438" s="234"/>
      <c r="AA438" s="232"/>
      <c r="AB438" s="232"/>
      <c r="AC438" s="233"/>
      <c r="AD438" s="234"/>
      <c r="AE438" s="233"/>
    </row>
    <row r="439" spans="1:41" ht="12.95" hidden="1" customHeight="1" thickBot="1">
      <c r="A439" s="231"/>
      <c r="B439" s="231"/>
      <c r="C439" s="231"/>
      <c r="D439" s="232"/>
      <c r="E439" s="233"/>
      <c r="F439" s="234"/>
      <c r="G439" s="232"/>
      <c r="H439" s="232"/>
      <c r="I439" s="233"/>
      <c r="J439" s="234"/>
      <c r="K439" s="232"/>
      <c r="L439" s="232"/>
      <c r="M439" s="233"/>
      <c r="N439" s="234"/>
      <c r="O439" s="232"/>
      <c r="P439" s="232"/>
      <c r="Q439" s="233"/>
      <c r="R439" s="234"/>
      <c r="S439" s="232"/>
      <c r="T439" s="232"/>
      <c r="U439" s="233"/>
      <c r="V439" s="234"/>
      <c r="W439" s="232"/>
      <c r="X439" s="232"/>
      <c r="Y439" s="233"/>
      <c r="Z439" s="234"/>
      <c r="AA439" s="232"/>
      <c r="AB439" s="232"/>
      <c r="AC439" s="233"/>
      <c r="AD439" s="234"/>
      <c r="AE439" s="233"/>
    </row>
    <row r="440" spans="1:41" ht="12.95" hidden="1" customHeight="1" thickBot="1">
      <c r="A440" s="231"/>
      <c r="B440" s="231"/>
      <c r="C440" s="231"/>
      <c r="D440" s="232"/>
      <c r="E440" s="233"/>
      <c r="F440" s="234"/>
      <c r="G440" s="232"/>
      <c r="H440" s="232"/>
      <c r="I440" s="233"/>
      <c r="J440" s="234"/>
      <c r="K440" s="232"/>
      <c r="L440" s="232"/>
      <c r="M440" s="233"/>
      <c r="N440" s="234"/>
      <c r="O440" s="232"/>
      <c r="P440" s="232"/>
      <c r="Q440" s="233"/>
      <c r="R440" s="234"/>
      <c r="S440" s="232"/>
      <c r="T440" s="232"/>
      <c r="U440" s="233"/>
      <c r="V440" s="234"/>
      <c r="W440" s="232"/>
      <c r="X440" s="232"/>
      <c r="Y440" s="233"/>
      <c r="Z440" s="234"/>
      <c r="AA440" s="232"/>
      <c r="AB440" s="232"/>
      <c r="AC440" s="233"/>
      <c r="AD440" s="234"/>
      <c r="AE440" s="233"/>
    </row>
    <row r="441" spans="1:41">
      <c r="A441" s="5"/>
      <c r="B441" s="5"/>
      <c r="C441" s="6"/>
      <c r="D441" s="5"/>
      <c r="E441" s="5"/>
      <c r="F441" s="5"/>
      <c r="G441" s="5"/>
      <c r="H441" s="5"/>
      <c r="I441" s="5"/>
      <c r="J441" s="5"/>
      <c r="K441" s="5"/>
      <c r="L441" s="5"/>
      <c r="M441" s="5"/>
      <c r="N441" s="5"/>
      <c r="O441" s="5"/>
      <c r="P441" s="5"/>
      <c r="Q441" s="5"/>
      <c r="R441" s="5"/>
      <c r="S441" s="5"/>
      <c r="T441" s="5"/>
      <c r="U441" s="5"/>
      <c r="V441" s="5"/>
      <c r="W441" s="5"/>
      <c r="X441" s="5"/>
      <c r="Y441" s="5"/>
      <c r="Z441" s="5"/>
      <c r="AA441" s="5"/>
      <c r="AB441" s="5"/>
      <c r="AC441" s="5"/>
      <c r="AD441" s="5"/>
      <c r="AE441" s="5"/>
    </row>
    <row r="442" spans="1:41" ht="13.5" thickBot="1">
      <c r="A442" s="5"/>
      <c r="B442" s="5"/>
      <c r="C442" s="6"/>
      <c r="D442" s="5"/>
      <c r="E442" s="5"/>
      <c r="F442" s="5"/>
      <c r="G442" s="5"/>
      <c r="H442" s="5"/>
      <c r="I442" s="5"/>
      <c r="J442" s="5"/>
      <c r="K442" s="5"/>
      <c r="L442" s="5"/>
      <c r="M442" s="5"/>
      <c r="N442" s="5"/>
      <c r="O442" s="5"/>
      <c r="P442" s="5"/>
      <c r="Q442" s="5"/>
      <c r="R442" s="5"/>
      <c r="S442" s="5"/>
      <c r="T442" s="5"/>
      <c r="U442" s="5"/>
      <c r="V442" s="5"/>
      <c r="W442" s="5"/>
      <c r="X442" s="5"/>
      <c r="Y442" s="5"/>
      <c r="Z442" s="5"/>
      <c r="AA442" s="5"/>
      <c r="AB442" s="5"/>
      <c r="AC442" s="5"/>
      <c r="AD442" s="5"/>
      <c r="AE442" s="5"/>
    </row>
    <row r="443" spans="1:41" ht="12.95" customHeight="1" thickBot="1">
      <c r="A443" s="275" t="s">
        <v>28</v>
      </c>
      <c r="B443" s="274" t="s">
        <v>32</v>
      </c>
      <c r="C443" s="8"/>
      <c r="D443" s="1377">
        <v>2008</v>
      </c>
      <c r="E443" s="1378"/>
      <c r="F443" s="1372">
        <v>2009</v>
      </c>
      <c r="G443" s="1373"/>
      <c r="H443" s="1373"/>
      <c r="I443" s="1374"/>
      <c r="J443" s="1372">
        <v>2010</v>
      </c>
      <c r="K443" s="1373"/>
      <c r="L443" s="1373"/>
      <c r="M443" s="1374"/>
      <c r="N443" s="1372">
        <v>2011</v>
      </c>
      <c r="O443" s="1373"/>
      <c r="P443" s="1373"/>
      <c r="Q443" s="1374"/>
      <c r="R443" s="1372">
        <v>2012</v>
      </c>
      <c r="S443" s="1373"/>
      <c r="T443" s="1373"/>
      <c r="U443" s="1374"/>
      <c r="V443" s="1372">
        <v>2013</v>
      </c>
      <c r="W443" s="1373"/>
      <c r="X443" s="1373"/>
      <c r="Y443" s="1374"/>
      <c r="Z443" s="1372">
        <v>2014</v>
      </c>
      <c r="AA443" s="1373"/>
      <c r="AB443" s="1373"/>
      <c r="AC443" s="1374"/>
      <c r="AD443" s="1372">
        <v>2015</v>
      </c>
      <c r="AE443" s="1374"/>
      <c r="AG443" s="257" t="s">
        <v>663</v>
      </c>
      <c r="AO443" s="382" t="s">
        <v>742</v>
      </c>
    </row>
    <row r="444" spans="1:41" ht="12.95" customHeight="1" thickBot="1">
      <c r="A444" s="868" t="s">
        <v>65</v>
      </c>
      <c r="B444" s="868" t="s">
        <v>66</v>
      </c>
      <c r="C444" s="194" t="s">
        <v>610</v>
      </c>
      <c r="D444" s="206"/>
      <c r="E444" s="207"/>
      <c r="F444" s="209"/>
      <c r="G444" s="206"/>
      <c r="H444" s="206"/>
      <c r="I444" s="207"/>
      <c r="J444" s="209"/>
      <c r="K444" s="206"/>
      <c r="L444" s="206"/>
      <c r="M444" s="207"/>
      <c r="N444" s="277"/>
      <c r="O444" s="278">
        <f>(O454-H454)/7/$C$696/Spend!O444*'State Efficiency Ratios'!$C$655</f>
        <v>22.30075942078189</v>
      </c>
      <c r="P444" s="278"/>
      <c r="Q444" s="279"/>
      <c r="R444" s="277"/>
      <c r="S444" s="278"/>
      <c r="T444" s="278"/>
      <c r="U444" s="278">
        <f>(U454-O454)/6/$C$696/Spend!U444*'State Efficiency Ratios'!$C$655</f>
        <v>124.90208691137836</v>
      </c>
      <c r="V444" s="277"/>
      <c r="W444" s="278"/>
      <c r="X444" s="278"/>
      <c r="Y444" s="278">
        <f>(Y454-U454)/4/$C$696/Spend!Y444*'State Efficiency Ratios'!$C$655</f>
        <v>21.240980358389908</v>
      </c>
      <c r="Z444" s="277"/>
      <c r="AA444" s="278"/>
      <c r="AB444" s="278"/>
      <c r="AC444" s="278">
        <f>(AC454-Y454)/4/$C$696/Spend!AC444*'State Efficiency Ratios'!$C$655</f>
        <v>-840.06748811994419</v>
      </c>
      <c r="AD444" s="208"/>
      <c r="AE444" s="213"/>
      <c r="AG444" s="410" t="s">
        <v>765</v>
      </c>
      <c r="AN444" s="383">
        <f>(O454-H454)/7/$C$673/Spend!O444*'State Efficiency Ratios'!$C$655</f>
        <v>22.30075942078189</v>
      </c>
      <c r="AO444" s="379">
        <f>(AN444+AN467+AN490+AN513+AN537)/5</f>
        <v>40.141366957407399</v>
      </c>
    </row>
    <row r="445" spans="1:41" ht="13.5" thickBot="1">
      <c r="A445" s="885"/>
      <c r="B445" s="885"/>
      <c r="C445" s="194" t="s">
        <v>611</v>
      </c>
      <c r="D445" s="206"/>
      <c r="E445" s="207"/>
      <c r="F445" s="209"/>
      <c r="G445" s="206"/>
      <c r="H445" s="206"/>
      <c r="I445" s="207"/>
      <c r="J445" s="209"/>
      <c r="K445" s="206"/>
      <c r="L445" s="206"/>
      <c r="M445" s="207"/>
      <c r="N445" s="277"/>
      <c r="O445" s="278">
        <f>(O455-H455)/7/$C$696/Spend!O445*'State Efficiency Ratios'!$C$655</f>
        <v>29.797669864916994</v>
      </c>
      <c r="P445" s="278"/>
      <c r="Q445" s="279"/>
      <c r="R445" s="277"/>
      <c r="S445" s="278"/>
      <c r="T445" s="278"/>
      <c r="U445" s="278">
        <f>(U455-O455)/6/$C$696/Spend!U445*'State Efficiency Ratios'!$C$655</f>
        <v>79.067021352875827</v>
      </c>
      <c r="V445" s="277"/>
      <c r="W445" s="278"/>
      <c r="X445" s="278"/>
      <c r="Y445" s="278">
        <f>(Y455-U455)/4/$C$696/Spend!Y445*'State Efficiency Ratios'!$C$655</f>
        <v>128.96722767793275</v>
      </c>
      <c r="Z445" s="277"/>
      <c r="AA445" s="278"/>
      <c r="AB445" s="278"/>
      <c r="AC445" s="278">
        <f>(AC455-Y455)/4/$C$696/Spend!AC445*'State Efficiency Ratios'!$C$655</f>
        <v>-787.49092537516754</v>
      </c>
      <c r="AD445" s="208"/>
      <c r="AE445" s="213"/>
      <c r="AG445" s="410" t="s">
        <v>765</v>
      </c>
      <c r="AN445" s="383">
        <f>(O455-H455)/7/$C$673/Spend!O445*'State Efficiency Ratios'!$C$655</f>
        <v>29.797669864916994</v>
      </c>
      <c r="AO445" s="380">
        <f t="shared" ref="AO445:AO451" si="93">(AN445+AN468+AN491+AN514+AN538)/5</f>
        <v>70.521152013636851</v>
      </c>
    </row>
    <row r="446" spans="1:41" ht="13.5" thickBot="1">
      <c r="A446" s="885"/>
      <c r="B446" s="885"/>
      <c r="C446" s="194" t="s">
        <v>612</v>
      </c>
      <c r="D446" s="206"/>
      <c r="E446" s="207"/>
      <c r="F446" s="209"/>
      <c r="G446" s="206"/>
      <c r="H446" s="206"/>
      <c r="I446" s="207"/>
      <c r="J446" s="209"/>
      <c r="K446" s="206"/>
      <c r="L446" s="206"/>
      <c r="M446" s="207"/>
      <c r="N446" s="277"/>
      <c r="O446" s="278">
        <f>(O456-H456)/7/$C$696/Spend!O446*'State Efficiency Ratios'!$C$655</f>
        <v>22.687799876064375</v>
      </c>
      <c r="P446" s="278"/>
      <c r="Q446" s="279"/>
      <c r="R446" s="277"/>
      <c r="S446" s="278"/>
      <c r="T446" s="278"/>
      <c r="U446" s="278">
        <f>(U456-O456)/6/$C$696/Spend!U446*'State Efficiency Ratios'!$C$655</f>
        <v>48.963587024680841</v>
      </c>
      <c r="V446" s="277"/>
      <c r="W446" s="278"/>
      <c r="X446" s="278"/>
      <c r="Y446" s="278">
        <f>(Y456-U456)/4/$C$696/Spend!Y446*'State Efficiency Ratios'!$C$655</f>
        <v>181.21068747545564</v>
      </c>
      <c r="Z446" s="277"/>
      <c r="AA446" s="278"/>
      <c r="AB446" s="278"/>
      <c r="AC446" s="278">
        <f>(AC456-Y456)/4/$C$696/Spend!AC446*'State Efficiency Ratios'!$C$655</f>
        <v>-451.67388604396604</v>
      </c>
      <c r="AD446" s="208"/>
      <c r="AE446" s="213"/>
      <c r="AG446" s="410" t="s">
        <v>764</v>
      </c>
      <c r="AN446" s="383">
        <f>(O456-H456)/7/$C$673/Spend!O446*'State Efficiency Ratios'!$C$655</f>
        <v>22.687799876064375</v>
      </c>
      <c r="AO446" s="380">
        <f t="shared" si="93"/>
        <v>49.913159727341622</v>
      </c>
    </row>
    <row r="447" spans="1:41" ht="13.5" thickBot="1">
      <c r="A447" s="885"/>
      <c r="B447" s="885"/>
      <c r="C447" s="194" t="s">
        <v>613</v>
      </c>
      <c r="D447" s="206"/>
      <c r="E447" s="207"/>
      <c r="F447" s="209"/>
      <c r="G447" s="206"/>
      <c r="H447" s="206"/>
      <c r="I447" s="207"/>
      <c r="J447" s="209"/>
      <c r="K447" s="206"/>
      <c r="L447" s="206"/>
      <c r="M447" s="207"/>
      <c r="N447" s="277"/>
      <c r="O447" s="278">
        <f>(O457-H457)/7/$C$696/Spend!O447*'State Efficiency Ratios'!$C$655</f>
        <v>0</v>
      </c>
      <c r="P447" s="278"/>
      <c r="Q447" s="279"/>
      <c r="R447" s="277"/>
      <c r="S447" s="278"/>
      <c r="T447" s="278"/>
      <c r="U447" s="278">
        <f>(U457-O457)/6/$C$696/Spend!U447*'State Efficiency Ratios'!$C$655</f>
        <v>106.25062722043117</v>
      </c>
      <c r="V447" s="277"/>
      <c r="W447" s="278"/>
      <c r="X447" s="278"/>
      <c r="Y447" s="278">
        <f>(Y457-U457)/4/$C$696/Spend!Y447*'State Efficiency Ratios'!$C$655</f>
        <v>-120.83111299431212</v>
      </c>
      <c r="Z447" s="277"/>
      <c r="AA447" s="278"/>
      <c r="AB447" s="278"/>
      <c r="AC447" s="278">
        <f>(AC457-Y457)/4/$C$696/Spend!AC447*'State Efficiency Ratios'!$C$655</f>
        <v>-563.85831878567171</v>
      </c>
      <c r="AD447" s="208"/>
      <c r="AE447" s="213"/>
      <c r="AG447" s="410" t="s">
        <v>769</v>
      </c>
      <c r="AN447" s="383">
        <f>(O457-H457)/7/$C$673/Spend!O447*'State Efficiency Ratios'!$C$655</f>
        <v>0</v>
      </c>
      <c r="AO447" s="380">
        <f t="shared" si="93"/>
        <v>69.996000134201068</v>
      </c>
    </row>
    <row r="448" spans="1:41" ht="13.5" thickBot="1">
      <c r="A448" s="885"/>
      <c r="B448" s="885"/>
      <c r="C448" s="194" t="s">
        <v>614</v>
      </c>
      <c r="D448" s="206"/>
      <c r="E448" s="207"/>
      <c r="F448" s="209"/>
      <c r="G448" s="206"/>
      <c r="H448" s="206"/>
      <c r="I448" s="207"/>
      <c r="J448" s="209"/>
      <c r="K448" s="206"/>
      <c r="L448" s="206"/>
      <c r="M448" s="207"/>
      <c r="N448" s="277"/>
      <c r="O448" s="278">
        <f>(O458-H458)/7/$C$696/Spend!O448*'State Efficiency Ratios'!$C$655</f>
        <v>69.081392940770584</v>
      </c>
      <c r="P448" s="278"/>
      <c r="Q448" s="279"/>
      <c r="R448" s="277"/>
      <c r="S448" s="278"/>
      <c r="T448" s="278"/>
      <c r="U448" s="278">
        <f>(U458-O458)/6/$C$696/Spend!U448*'State Efficiency Ratios'!$C$655</f>
        <v>0</v>
      </c>
      <c r="V448" s="277"/>
      <c r="W448" s="278"/>
      <c r="X448" s="278"/>
      <c r="Y448" s="278">
        <f>(Y458-U458)/4/$C$696/Spend!Y448*'State Efficiency Ratios'!$C$655</f>
        <v>332.58092796418913</v>
      </c>
      <c r="Z448" s="277"/>
      <c r="AA448" s="278"/>
      <c r="AB448" s="278"/>
      <c r="AC448" s="278">
        <f>(AC458-Y458)/4/$C$696/Spend!AC448*'State Efficiency Ratios'!$C$655</f>
        <v>-803.16547845693117</v>
      </c>
      <c r="AD448" s="208"/>
      <c r="AE448" s="213"/>
      <c r="AG448" s="410" t="s">
        <v>770</v>
      </c>
      <c r="AN448" s="383">
        <f>(O458-H458)/7/$C$673/Spend!O448*'State Efficiency Ratios'!$C$655</f>
        <v>69.081392940770584</v>
      </c>
      <c r="AO448" s="380">
        <f t="shared" si="93"/>
        <v>69.081392940770584</v>
      </c>
    </row>
    <row r="449" spans="1:41" ht="12.95" customHeight="1" thickBot="1">
      <c r="A449" s="885"/>
      <c r="B449" s="885"/>
      <c r="C449" s="194" t="s">
        <v>615</v>
      </c>
      <c r="D449" s="210"/>
      <c r="E449" s="211"/>
      <c r="F449" s="209"/>
      <c r="G449" s="210"/>
      <c r="H449" s="210"/>
      <c r="I449" s="211"/>
      <c r="J449" s="209"/>
      <c r="K449" s="210"/>
      <c r="L449" s="210"/>
      <c r="M449" s="211"/>
      <c r="N449" s="281"/>
      <c r="O449" s="282"/>
      <c r="P449" s="282"/>
      <c r="Q449" s="282"/>
      <c r="R449" s="277"/>
      <c r="S449" s="278"/>
      <c r="T449" s="278"/>
      <c r="U449" s="278">
        <f>(U459-R459)/3/$C$696/Spend!U449*'State Efficiency Ratios'!$C$655</f>
        <v>0</v>
      </c>
      <c r="V449" s="277"/>
      <c r="W449" s="278"/>
      <c r="X449" s="278"/>
      <c r="Y449" s="278">
        <f>(Y459-U459)/4/$C$696/Spend!Y449*'State Efficiency Ratios'!$C$655</f>
        <v>1178.824881276448</v>
      </c>
      <c r="Z449" s="277"/>
      <c r="AA449" s="278"/>
      <c r="AB449" s="278"/>
      <c r="AC449" s="278">
        <f>(AC459-Y459)/4/$C$696/Spend!AC449*'State Efficiency Ratios'!$C$655</f>
        <v>-557.26739143984219</v>
      </c>
      <c r="AD449" s="208"/>
      <c r="AE449" s="213"/>
      <c r="AG449" s="410"/>
      <c r="AN449" s="383">
        <f>(Y459-R459)/7/$C$673/(Spend!U449+Spend!Y449)*'State Efficiency Ratios'!$C$655</f>
        <v>267.52943466549181</v>
      </c>
      <c r="AO449" s="380">
        <f t="shared" si="93"/>
        <v>331.70142531940343</v>
      </c>
    </row>
    <row r="450" spans="1:41" ht="12.95" customHeight="1" thickBot="1">
      <c r="A450" s="885"/>
      <c r="B450" s="885"/>
      <c r="C450" s="194" t="s">
        <v>616</v>
      </c>
      <c r="D450" s="210"/>
      <c r="E450" s="211"/>
      <c r="F450" s="209"/>
      <c r="G450" s="210"/>
      <c r="H450" s="210"/>
      <c r="I450" s="211"/>
      <c r="J450" s="209"/>
      <c r="K450" s="210"/>
      <c r="L450" s="210"/>
      <c r="M450" s="211"/>
      <c r="N450" s="281"/>
      <c r="O450" s="282"/>
      <c r="P450" s="282"/>
      <c r="Q450" s="282"/>
      <c r="R450" s="277"/>
      <c r="S450" s="278"/>
      <c r="T450" s="278"/>
      <c r="U450" s="278">
        <f>(U460-R460)/3/$C$696/Spend!U450*'State Efficiency Ratios'!$C$655</f>
        <v>0</v>
      </c>
      <c r="V450" s="277"/>
      <c r="W450" s="278"/>
      <c r="X450" s="278"/>
      <c r="Y450" s="278">
        <f>(Y460-U460)/4/$C$696/Spend!Y450*'State Efficiency Ratios'!$C$655</f>
        <v>175.6325463722311</v>
      </c>
      <c r="Z450" s="277"/>
      <c r="AA450" s="278"/>
      <c r="AB450" s="278"/>
      <c r="AC450" s="278">
        <f>(AC460-Y460)/4/$C$696/Spend!AC450*'State Efficiency Ratios'!$C$655</f>
        <v>-789.87586874758858</v>
      </c>
      <c r="AD450" s="208"/>
      <c r="AE450" s="213"/>
      <c r="AG450" s="410" t="s">
        <v>764</v>
      </c>
      <c r="AN450" s="383">
        <f>(Y460-R460)/7/$C$673/(Spend!U450+Spend!Y450)*'State Efficiency Ratios'!$C$655</f>
        <v>40.345987106746783</v>
      </c>
      <c r="AO450" s="380">
        <f t="shared" si="93"/>
        <v>108.82091284384137</v>
      </c>
    </row>
    <row r="451" spans="1:41" ht="12.95" customHeight="1" thickBot="1">
      <c r="A451" s="885"/>
      <c r="B451" s="885"/>
      <c r="C451" s="194" t="s">
        <v>617</v>
      </c>
      <c r="D451" s="210"/>
      <c r="E451" s="211"/>
      <c r="F451" s="209"/>
      <c r="G451" s="210"/>
      <c r="H451" s="210"/>
      <c r="I451" s="211"/>
      <c r="J451" s="209"/>
      <c r="K451" s="210"/>
      <c r="L451" s="210"/>
      <c r="M451" s="211"/>
      <c r="N451" s="281"/>
      <c r="O451" s="282"/>
      <c r="P451" s="282"/>
      <c r="Q451" s="282"/>
      <c r="R451" s="277"/>
      <c r="S451" s="278"/>
      <c r="T451" s="278"/>
      <c r="U451" s="278">
        <f>(U461-R461)/3/$C$696/Spend!U451*'State Efficiency Ratios'!$C$655</f>
        <v>0</v>
      </c>
      <c r="V451" s="277"/>
      <c r="W451" s="278"/>
      <c r="X451" s="278"/>
      <c r="Y451" s="278">
        <f>(Y461-U461)/4/$C$696/Spend!Y451*'State Efficiency Ratios'!$C$655</f>
        <v>783.41155167249599</v>
      </c>
      <c r="Z451" s="277"/>
      <c r="AA451" s="278"/>
      <c r="AB451" s="278"/>
      <c r="AC451" s="278">
        <f>(AC461-Y461)/4/$C$696/Spend!AC451*'State Efficiency Ratios'!$C$655</f>
        <v>-573.36713770000802</v>
      </c>
      <c r="AD451" s="208"/>
      <c r="AE451" s="213"/>
      <c r="AG451" s="410" t="s">
        <v>768</v>
      </c>
      <c r="AN451" s="383">
        <f>(Y461-R461)/7/$C$673/(Spend!U451+Spend!Y451)*'State Efficiency Ratios'!$C$655</f>
        <v>172.16677545437693</v>
      </c>
      <c r="AO451" s="381">
        <f t="shared" si="93"/>
        <v>152.43731178887657</v>
      </c>
    </row>
    <row r="452" spans="1:41" ht="12.95" customHeight="1" thickBot="1">
      <c r="A452" s="885"/>
      <c r="B452" s="885"/>
      <c r="C452" s="194" t="s">
        <v>618</v>
      </c>
      <c r="D452" s="210"/>
      <c r="E452" s="211"/>
      <c r="F452" s="209"/>
      <c r="G452" s="210"/>
      <c r="H452" s="210"/>
      <c r="I452" s="211"/>
      <c r="J452" s="209"/>
      <c r="K452" s="210"/>
      <c r="L452" s="210"/>
      <c r="M452" s="211"/>
      <c r="N452" s="281"/>
      <c r="O452" s="282"/>
      <c r="P452" s="282"/>
      <c r="Q452" s="283"/>
      <c r="R452" s="281"/>
      <c r="S452" s="282"/>
      <c r="T452" s="282"/>
      <c r="U452" s="283"/>
      <c r="V452" s="281"/>
      <c r="W452" s="282"/>
      <c r="X452" s="282"/>
      <c r="Y452" s="283"/>
      <c r="Z452" s="277"/>
      <c r="AA452" s="278"/>
      <c r="AB452" s="278"/>
      <c r="AC452" s="278">
        <f>(AC462-Y462)/4/$C$696/Spend!AC452*'State Efficiency Ratios'!$C$655</f>
        <v>-313.69678402642057</v>
      </c>
      <c r="AD452" s="208"/>
      <c r="AE452" s="213"/>
      <c r="AG452" s="410"/>
    </row>
    <row r="453" spans="1:41" ht="12.95" customHeight="1" thickBot="1">
      <c r="A453" s="885"/>
      <c r="B453" s="885"/>
      <c r="C453" s="194" t="s">
        <v>619</v>
      </c>
      <c r="D453" s="210"/>
      <c r="E453" s="211"/>
      <c r="F453" s="209"/>
      <c r="G453" s="210"/>
      <c r="H453" s="210"/>
      <c r="I453" s="211"/>
      <c r="J453" s="209"/>
      <c r="K453" s="210"/>
      <c r="L453" s="210"/>
      <c r="M453" s="211"/>
      <c r="N453" s="281"/>
      <c r="O453" s="282"/>
      <c r="P453" s="282"/>
      <c r="Q453" s="283"/>
      <c r="R453" s="281"/>
      <c r="S453" s="282"/>
      <c r="T453" s="282"/>
      <c r="U453" s="283"/>
      <c r="V453" s="281"/>
      <c r="W453" s="282"/>
      <c r="X453" s="282"/>
      <c r="Y453" s="283"/>
      <c r="Z453" s="277"/>
      <c r="AA453" s="278"/>
      <c r="AB453" s="278"/>
      <c r="AC453" s="278">
        <f>(AC463-Y463)/4/$C$696/Spend!AC453*'State Efficiency Ratios'!$C$655</f>
        <v>-373.1124985863716</v>
      </c>
      <c r="AD453" s="208"/>
      <c r="AE453" s="213"/>
      <c r="AG453" s="410"/>
      <c r="AK453" s="351" t="s">
        <v>742</v>
      </c>
      <c r="AL453" s="351" t="s">
        <v>742</v>
      </c>
      <c r="AM453" s="351" t="s">
        <v>742</v>
      </c>
      <c r="AN453" s="4">
        <f>SUM(AN454:AN458)/5</f>
        <v>1.92</v>
      </c>
      <c r="AO453" s="351" t="s">
        <v>742</v>
      </c>
    </row>
    <row r="454" spans="1:41" ht="13.5" thickBot="1">
      <c r="A454" s="885"/>
      <c r="B454" s="885"/>
      <c r="C454" s="9" t="s">
        <v>295</v>
      </c>
      <c r="D454" s="241" t="s">
        <v>632</v>
      </c>
      <c r="E454" s="241" t="s">
        <v>632</v>
      </c>
      <c r="F454" s="243" t="s">
        <v>646</v>
      </c>
      <c r="G454" s="241" t="s">
        <v>646</v>
      </c>
      <c r="H454" s="196">
        <f>'State DisAgg LFx10 (2015)'!D444</f>
        <v>1</v>
      </c>
      <c r="I454" s="244" t="s">
        <v>646</v>
      </c>
      <c r="J454" s="195"/>
      <c r="K454" s="196"/>
      <c r="L454" s="196"/>
      <c r="M454" s="197"/>
      <c r="N454" s="195"/>
      <c r="O454" s="196">
        <f>'State DisAgg LFx10 (2015)'!H454</f>
        <v>1.5</v>
      </c>
      <c r="P454" s="196"/>
      <c r="Q454" s="197"/>
      <c r="R454" s="195"/>
      <c r="S454" s="196"/>
      <c r="T454" s="196"/>
      <c r="U454" s="197">
        <f>'State DisAgg LFx10 (2015)'!L454</f>
        <v>2.7</v>
      </c>
      <c r="V454" s="195"/>
      <c r="W454" s="196"/>
      <c r="X454" s="196"/>
      <c r="Y454" s="197">
        <f>'State DisAgg LFx10 (2015)'!P454</f>
        <v>2.8</v>
      </c>
      <c r="Z454" s="195"/>
      <c r="AA454" s="196"/>
      <c r="AB454" s="196"/>
      <c r="AC454" s="197">
        <f>'State DisAgg LFx10 (2015)'!T454</f>
        <v>0</v>
      </c>
      <c r="AD454" s="195"/>
      <c r="AE454" s="197"/>
      <c r="AH454" s="354">
        <f>Y454-U454</f>
        <v>9.9999999999999645E-2</v>
      </c>
      <c r="AI454" s="354">
        <f>U454-O454</f>
        <v>1.2000000000000002</v>
      </c>
      <c r="AJ454" s="354">
        <f t="shared" ref="AJ454:AJ465" si="94">O454-J454</f>
        <v>1.5</v>
      </c>
      <c r="AK454" s="361">
        <f>(AH454/$C$696)+(AH477/$C$697)+(AH500/$C$698)+(AH523/$C$699)+(AH547/($C$700+$C$701))</f>
        <v>0.85333333333333328</v>
      </c>
      <c r="AL454" s="362">
        <f t="shared" ref="AL454:AM463" si="95">(AI454/$C$696)+(AI477/$C$697)+(AI500/$C$698)+(AI523/$C$699)+(AI547/($C$700+$C$701))</f>
        <v>0.64666666666666672</v>
      </c>
      <c r="AM454" s="363">
        <f t="shared" si="95"/>
        <v>1.5333333333333334</v>
      </c>
      <c r="AN454" s="384">
        <f>(O454-J454)</f>
        <v>1.5</v>
      </c>
      <c r="AO454" s="386">
        <f>(AN454/$C$696)+(AN477/$C$697)+(AN500/$C$698)+(AN523/$C$699)+(AN547/($C$700+$C$701))</f>
        <v>1.5333333333333334</v>
      </c>
    </row>
    <row r="455" spans="1:41" ht="13.5" thickBot="1">
      <c r="A455" s="885"/>
      <c r="B455" s="885"/>
      <c r="C455" s="9" t="s">
        <v>296</v>
      </c>
      <c r="D455" s="241" t="s">
        <v>632</v>
      </c>
      <c r="E455" s="241" t="s">
        <v>632</v>
      </c>
      <c r="F455" s="243" t="s">
        <v>646</v>
      </c>
      <c r="G455" s="241" t="s">
        <v>646</v>
      </c>
      <c r="H455" s="196">
        <f>'State DisAgg LFx10 (2015)'!D445</f>
        <v>1</v>
      </c>
      <c r="I455" s="244" t="s">
        <v>646</v>
      </c>
      <c r="J455" s="195"/>
      <c r="K455" s="196"/>
      <c r="L455" s="196"/>
      <c r="M455" s="197"/>
      <c r="N455" s="195"/>
      <c r="O455" s="196">
        <f>'State DisAgg LFx10 (2015)'!H455</f>
        <v>1.6</v>
      </c>
      <c r="P455" s="196"/>
      <c r="Q455" s="197"/>
      <c r="R455" s="195"/>
      <c r="S455" s="196"/>
      <c r="T455" s="196"/>
      <c r="U455" s="197">
        <f>'State DisAgg LFx10 (2015)'!L455</f>
        <v>2.2999999999999998</v>
      </c>
      <c r="V455" s="195"/>
      <c r="W455" s="196"/>
      <c r="X455" s="196"/>
      <c r="Y455" s="197">
        <f>'State DisAgg LFx10 (2015)'!P455</f>
        <v>2.8</v>
      </c>
      <c r="Z455" s="195"/>
      <c r="AA455" s="196"/>
      <c r="AB455" s="196"/>
      <c r="AC455" s="197">
        <f>'State DisAgg LFx10 (2015)'!T455</f>
        <v>0</v>
      </c>
      <c r="AD455" s="195"/>
      <c r="AE455" s="197"/>
      <c r="AH455" s="354">
        <f t="shared" ref="AH455:AH465" si="96">Y455-U455</f>
        <v>0.5</v>
      </c>
      <c r="AI455" s="354">
        <f>U455-O455</f>
        <v>0.69999999999999973</v>
      </c>
      <c r="AJ455" s="354">
        <f t="shared" si="94"/>
        <v>1.6</v>
      </c>
      <c r="AK455" s="364">
        <f t="shared" ref="AK455:AK463" si="97">(AH455/$C$696)+(AH478/$C$697)+(AH501/$C$698)+(AH524/$C$699)+(AH548/($C$700+$C$701))</f>
        <v>1.2466666666666668</v>
      </c>
      <c r="AL455" s="360">
        <f t="shared" si="95"/>
        <v>0.32666666666666666</v>
      </c>
      <c r="AM455" s="365">
        <f t="shared" si="95"/>
        <v>1.7199999999999998</v>
      </c>
      <c r="AN455" s="384">
        <f t="shared" ref="AN455:AN458" si="98">(O455-J455)</f>
        <v>1.6</v>
      </c>
      <c r="AO455" s="387">
        <f t="shared" ref="AO455:AO461" si="99">(AN455/$C$696)+(AN478/$C$697)+(AN501/$C$698)+(AN524/$C$699)+(AN548/($C$700+$C$701))</f>
        <v>1.7199999999999998</v>
      </c>
    </row>
    <row r="456" spans="1:41" ht="13.5" thickBot="1">
      <c r="A456" s="885"/>
      <c r="B456" s="885"/>
      <c r="C456" s="9" t="s">
        <v>297</v>
      </c>
      <c r="D456" s="241" t="s">
        <v>632</v>
      </c>
      <c r="E456" s="241" t="s">
        <v>632</v>
      </c>
      <c r="F456" s="243" t="s">
        <v>646</v>
      </c>
      <c r="G456" s="241" t="s">
        <v>646</v>
      </c>
      <c r="H456" s="196">
        <f>'State DisAgg LFx10 (2015)'!D446</f>
        <v>1</v>
      </c>
      <c r="I456" s="244" t="s">
        <v>646</v>
      </c>
      <c r="J456" s="195"/>
      <c r="K456" s="196"/>
      <c r="L456" s="196"/>
      <c r="M456" s="197"/>
      <c r="N456" s="195"/>
      <c r="O456" s="196">
        <f>'State DisAgg LFx10 (2015)'!H456</f>
        <v>1.5</v>
      </c>
      <c r="P456" s="196"/>
      <c r="Q456" s="197"/>
      <c r="R456" s="195"/>
      <c r="S456" s="196"/>
      <c r="T456" s="196"/>
      <c r="U456" s="197">
        <f>'State DisAgg LFx10 (2015)'!L456</f>
        <v>2</v>
      </c>
      <c r="V456" s="195"/>
      <c r="W456" s="196"/>
      <c r="X456" s="196"/>
      <c r="Y456" s="197">
        <f>'State DisAgg LFx10 (2015)'!P456</f>
        <v>2.8</v>
      </c>
      <c r="Z456" s="195"/>
      <c r="AA456" s="196"/>
      <c r="AB456" s="196"/>
      <c r="AC456" s="197">
        <f>'State DisAgg LFx10 (2015)'!T456</f>
        <v>0</v>
      </c>
      <c r="AD456" s="195"/>
      <c r="AE456" s="197"/>
      <c r="AH456" s="354">
        <f t="shared" si="96"/>
        <v>0.79999999999999982</v>
      </c>
      <c r="AI456" s="354">
        <f>U456-O456</f>
        <v>0.5</v>
      </c>
      <c r="AJ456" s="354">
        <f t="shared" si="94"/>
        <v>1.5</v>
      </c>
      <c r="AK456" s="364">
        <f t="shared" si="97"/>
        <v>0.83333333333333326</v>
      </c>
      <c r="AL456" s="360">
        <f t="shared" si="95"/>
        <v>0.86</v>
      </c>
      <c r="AM456" s="365">
        <f t="shared" si="95"/>
        <v>1.0666666666666667</v>
      </c>
      <c r="AN456" s="384">
        <f t="shared" si="98"/>
        <v>1.5</v>
      </c>
      <c r="AO456" s="387">
        <f t="shared" si="99"/>
        <v>1.0666666666666667</v>
      </c>
    </row>
    <row r="457" spans="1:41" ht="13.5" thickBot="1">
      <c r="A457" s="885"/>
      <c r="B457" s="885"/>
      <c r="C457" s="9" t="s">
        <v>298</v>
      </c>
      <c r="D457" s="241" t="s">
        <v>632</v>
      </c>
      <c r="E457" s="241" t="s">
        <v>632</v>
      </c>
      <c r="F457" s="243" t="s">
        <v>646</v>
      </c>
      <c r="G457" s="241" t="s">
        <v>646</v>
      </c>
      <c r="H457" s="196">
        <f>'State DisAgg LFx10 (2015)'!D447</f>
        <v>2</v>
      </c>
      <c r="I457" s="244" t="s">
        <v>646</v>
      </c>
      <c r="J457" s="195"/>
      <c r="K457" s="196"/>
      <c r="L457" s="196"/>
      <c r="M457" s="197"/>
      <c r="N457" s="195"/>
      <c r="O457" s="196">
        <f>'State DisAgg LFx10 (2015)'!H457</f>
        <v>2</v>
      </c>
      <c r="P457" s="196"/>
      <c r="Q457" s="197"/>
      <c r="R457" s="195"/>
      <c r="S457" s="196"/>
      <c r="T457" s="196"/>
      <c r="U457" s="197">
        <f>'State DisAgg LFx10 (2015)'!L457</f>
        <v>3.3</v>
      </c>
      <c r="V457" s="195"/>
      <c r="W457" s="196"/>
      <c r="X457" s="196"/>
      <c r="Y457" s="197">
        <f>'State DisAgg LFx10 (2015)'!P457</f>
        <v>2.8</v>
      </c>
      <c r="Z457" s="195"/>
      <c r="AA457" s="196"/>
      <c r="AB457" s="196"/>
      <c r="AC457" s="197">
        <f>'State DisAgg LFx10 (2015)'!T457</f>
        <v>0</v>
      </c>
      <c r="AD457" s="195"/>
      <c r="AE457" s="197"/>
      <c r="AH457" s="354">
        <f t="shared" si="96"/>
        <v>-0.5</v>
      </c>
      <c r="AI457" s="354">
        <f>U457-O457</f>
        <v>1.2999999999999998</v>
      </c>
      <c r="AJ457" s="354">
        <f t="shared" si="94"/>
        <v>2</v>
      </c>
      <c r="AK457" s="364">
        <f t="shared" si="97"/>
        <v>0.63333333333333319</v>
      </c>
      <c r="AL457" s="360">
        <f t="shared" si="95"/>
        <v>0.55333333333333334</v>
      </c>
      <c r="AM457" s="365">
        <f t="shared" si="95"/>
        <v>1.6333333333333333</v>
      </c>
      <c r="AN457" s="384">
        <f t="shared" si="98"/>
        <v>2</v>
      </c>
      <c r="AO457" s="387">
        <f t="shared" si="99"/>
        <v>1.6333333333333333</v>
      </c>
    </row>
    <row r="458" spans="1:41" ht="13.5" thickBot="1">
      <c r="A458" s="885"/>
      <c r="B458" s="885"/>
      <c r="C458" s="9" t="s">
        <v>299</v>
      </c>
      <c r="D458" s="241" t="s">
        <v>632</v>
      </c>
      <c r="E458" s="241" t="s">
        <v>632</v>
      </c>
      <c r="F458" s="243" t="s">
        <v>646</v>
      </c>
      <c r="G458" s="241" t="s">
        <v>646</v>
      </c>
      <c r="H458" s="196">
        <f>'State DisAgg LFx10 (2015)'!D448</f>
        <v>1</v>
      </c>
      <c r="I458" s="244" t="s">
        <v>646</v>
      </c>
      <c r="J458" s="195"/>
      <c r="K458" s="196"/>
      <c r="L458" s="196"/>
      <c r="M458" s="197"/>
      <c r="N458" s="195"/>
      <c r="O458" s="196">
        <f>'State DisAgg LFx10 (2015)'!H458</f>
        <v>3</v>
      </c>
      <c r="P458" s="196"/>
      <c r="Q458" s="197"/>
      <c r="R458" s="195"/>
      <c r="S458" s="196"/>
      <c r="T458" s="196"/>
      <c r="U458" s="197">
        <f>'State DisAgg LFx10 (2015)'!L458</f>
        <v>3</v>
      </c>
      <c r="V458" s="195"/>
      <c r="W458" s="196"/>
      <c r="X458" s="196"/>
      <c r="Y458" s="197">
        <f>'State DisAgg LFx10 (2015)'!P458</f>
        <v>4</v>
      </c>
      <c r="Z458" s="195"/>
      <c r="AA458" s="196"/>
      <c r="AB458" s="196"/>
      <c r="AC458" s="197">
        <f>'State DisAgg LFx10 (2015)'!T458</f>
        <v>0</v>
      </c>
      <c r="AD458" s="195"/>
      <c r="AE458" s="197"/>
      <c r="AH458" s="354">
        <f t="shared" si="96"/>
        <v>1</v>
      </c>
      <c r="AI458" s="354">
        <f>U458-O458</f>
        <v>0</v>
      </c>
      <c r="AJ458" s="354">
        <f t="shared" si="94"/>
        <v>3</v>
      </c>
      <c r="AK458" s="364">
        <f t="shared" si="97"/>
        <v>0.58666666666666656</v>
      </c>
      <c r="AL458" s="360">
        <f t="shared" si="95"/>
        <v>0.28666666666666668</v>
      </c>
      <c r="AM458" s="365">
        <f t="shared" si="95"/>
        <v>2.3666666666666663</v>
      </c>
      <c r="AN458" s="384">
        <f t="shared" si="98"/>
        <v>3</v>
      </c>
      <c r="AO458" s="387">
        <f t="shared" si="99"/>
        <v>2.3666666666666663</v>
      </c>
    </row>
    <row r="459" spans="1:41" ht="13.5" thickBot="1">
      <c r="A459" s="885"/>
      <c r="B459" s="885"/>
      <c r="C459" s="9" t="s">
        <v>300</v>
      </c>
      <c r="D459" s="199"/>
      <c r="E459" s="200"/>
      <c r="F459" s="201"/>
      <c r="G459" s="199"/>
      <c r="H459" s="199"/>
      <c r="I459" s="200"/>
      <c r="J459" s="201"/>
      <c r="K459" s="199"/>
      <c r="L459" s="199"/>
      <c r="M459" s="200"/>
      <c r="N459" s="198"/>
      <c r="O459" s="217" t="s">
        <v>634</v>
      </c>
      <c r="P459" s="241" t="s">
        <v>632</v>
      </c>
      <c r="Q459" s="244" t="s">
        <v>646</v>
      </c>
      <c r="R459" s="195">
        <f>'State DisAgg LFx10 (2015)'!H449</f>
        <v>1</v>
      </c>
      <c r="S459" s="196"/>
      <c r="T459" s="196"/>
      <c r="U459" s="197">
        <f>'State DisAgg LFx10 (2015)'!L459</f>
        <v>1</v>
      </c>
      <c r="V459" s="195"/>
      <c r="W459" s="196"/>
      <c r="X459" s="196"/>
      <c r="Y459" s="197">
        <f>'State DisAgg LFx10 (2015)'!P459</f>
        <v>3</v>
      </c>
      <c r="Z459" s="195"/>
      <c r="AA459" s="196"/>
      <c r="AB459" s="196"/>
      <c r="AC459" s="197">
        <f>'State DisAgg LFx10 (2015)'!T459</f>
        <v>0</v>
      </c>
      <c r="AD459" s="195"/>
      <c r="AE459" s="197"/>
      <c r="AH459" s="354">
        <f t="shared" si="96"/>
        <v>2</v>
      </c>
      <c r="AI459" s="354">
        <f>U459-R459</f>
        <v>0</v>
      </c>
      <c r="AJ459" s="354" t="e">
        <f t="shared" si="94"/>
        <v>#VALUE!</v>
      </c>
      <c r="AK459" s="364">
        <f t="shared" si="97"/>
        <v>1.3800000000000001</v>
      </c>
      <c r="AL459" s="360">
        <f t="shared" si="95"/>
        <v>0.1</v>
      </c>
      <c r="AM459" s="365" t="e">
        <f t="shared" si="95"/>
        <v>#VALUE!</v>
      </c>
      <c r="AN459" s="384">
        <f>(Y459-R459)</f>
        <v>2</v>
      </c>
      <c r="AO459" s="387">
        <f t="shared" si="99"/>
        <v>1.48</v>
      </c>
    </row>
    <row r="460" spans="1:41" ht="13.5" thickBot="1">
      <c r="A460" s="885"/>
      <c r="B460" s="885"/>
      <c r="C460" s="9" t="s">
        <v>301</v>
      </c>
      <c r="D460" s="199"/>
      <c r="E460" s="200"/>
      <c r="F460" s="201"/>
      <c r="G460" s="199"/>
      <c r="H460" s="199"/>
      <c r="I460" s="200"/>
      <c r="J460" s="201"/>
      <c r="K460" s="199"/>
      <c r="L460" s="199"/>
      <c r="M460" s="200"/>
      <c r="N460" s="198"/>
      <c r="O460" s="217" t="s">
        <v>634</v>
      </c>
      <c r="P460" s="241" t="s">
        <v>632</v>
      </c>
      <c r="Q460" s="244" t="s">
        <v>646</v>
      </c>
      <c r="R460" s="195">
        <f>'State DisAgg LFx10 (2015)'!H450</f>
        <v>2.5</v>
      </c>
      <c r="S460" s="196"/>
      <c r="T460" s="196"/>
      <c r="U460" s="197">
        <f>'State DisAgg LFx10 (2015)'!L460</f>
        <v>2.5</v>
      </c>
      <c r="V460" s="195"/>
      <c r="W460" s="196"/>
      <c r="X460" s="196"/>
      <c r="Y460" s="197">
        <f>'State DisAgg LFx10 (2015)'!P460</f>
        <v>2.8</v>
      </c>
      <c r="Z460" s="195"/>
      <c r="AA460" s="196"/>
      <c r="AB460" s="196"/>
      <c r="AC460" s="197">
        <f>'State DisAgg LFx10 (2015)'!T460</f>
        <v>0</v>
      </c>
      <c r="AD460" s="195"/>
      <c r="AE460" s="197"/>
      <c r="AH460" s="354">
        <f t="shared" si="96"/>
        <v>0.29999999999999982</v>
      </c>
      <c r="AI460" s="354">
        <f t="shared" ref="AI460:AI461" si="100">U460-R460</f>
        <v>0</v>
      </c>
      <c r="AJ460" s="354" t="e">
        <f t="shared" si="94"/>
        <v>#VALUE!</v>
      </c>
      <c r="AK460" s="364">
        <f t="shared" si="97"/>
        <v>0.1333333333333333</v>
      </c>
      <c r="AL460" s="360">
        <f t="shared" si="95"/>
        <v>0</v>
      </c>
      <c r="AM460" s="365" t="e">
        <f t="shared" si="95"/>
        <v>#VALUE!</v>
      </c>
      <c r="AN460" s="384">
        <f t="shared" ref="AN460:AN461" si="101">(Y460-R460)</f>
        <v>0.29999999999999982</v>
      </c>
      <c r="AO460" s="387">
        <f t="shared" si="99"/>
        <v>0.1333333333333333</v>
      </c>
    </row>
    <row r="461" spans="1:41" ht="13.5" thickBot="1">
      <c r="A461" s="885"/>
      <c r="B461" s="885"/>
      <c r="C461" s="9" t="s">
        <v>302</v>
      </c>
      <c r="D461" s="199"/>
      <c r="E461" s="200"/>
      <c r="F461" s="201"/>
      <c r="G461" s="199"/>
      <c r="H461" s="199"/>
      <c r="I461" s="200"/>
      <c r="J461" s="201"/>
      <c r="K461" s="199"/>
      <c r="L461" s="199"/>
      <c r="M461" s="200"/>
      <c r="N461" s="198"/>
      <c r="O461" s="217" t="s">
        <v>634</v>
      </c>
      <c r="P461" s="241" t="s">
        <v>632</v>
      </c>
      <c r="Q461" s="244" t="s">
        <v>646</v>
      </c>
      <c r="R461" s="195">
        <f>'State DisAgg LFx10 (2015)'!H451</f>
        <v>1</v>
      </c>
      <c r="S461" s="196"/>
      <c r="T461" s="196"/>
      <c r="U461" s="197">
        <f>'State DisAgg LFx10 (2015)'!L461</f>
        <v>1</v>
      </c>
      <c r="V461" s="195"/>
      <c r="W461" s="196"/>
      <c r="X461" s="196"/>
      <c r="Y461" s="197">
        <f>'State DisAgg LFx10 (2015)'!P461</f>
        <v>2.2999999999999998</v>
      </c>
      <c r="Z461" s="195"/>
      <c r="AA461" s="196"/>
      <c r="AB461" s="196"/>
      <c r="AC461" s="197">
        <f>'State DisAgg LFx10 (2015)'!T461</f>
        <v>0</v>
      </c>
      <c r="AD461" s="195"/>
      <c r="AE461" s="197"/>
      <c r="AH461" s="354">
        <f t="shared" si="96"/>
        <v>1.2999999999999998</v>
      </c>
      <c r="AI461" s="354">
        <f t="shared" si="100"/>
        <v>0</v>
      </c>
      <c r="AJ461" s="354" t="e">
        <f t="shared" si="94"/>
        <v>#VALUE!</v>
      </c>
      <c r="AK461" s="364">
        <f t="shared" si="97"/>
        <v>0.65333333333333321</v>
      </c>
      <c r="AL461" s="360">
        <f t="shared" si="95"/>
        <v>0</v>
      </c>
      <c r="AM461" s="365" t="e">
        <f t="shared" si="95"/>
        <v>#VALUE!</v>
      </c>
      <c r="AN461" s="384">
        <f t="shared" si="101"/>
        <v>1.2999999999999998</v>
      </c>
      <c r="AO461" s="388">
        <f t="shared" si="99"/>
        <v>0.65333333333333321</v>
      </c>
    </row>
    <row r="462" spans="1:41" ht="13.5" thickBot="1">
      <c r="A462" s="885"/>
      <c r="B462" s="885"/>
      <c r="C462" s="9" t="s">
        <v>303</v>
      </c>
      <c r="D462" s="202"/>
      <c r="E462" s="203"/>
      <c r="F462" s="201"/>
      <c r="G462" s="202"/>
      <c r="H462" s="202"/>
      <c r="I462" s="203"/>
      <c r="J462" s="201"/>
      <c r="K462" s="202"/>
      <c r="L462" s="202"/>
      <c r="M462" s="203"/>
      <c r="N462" s="204"/>
      <c r="O462" s="214"/>
      <c r="P462" s="205"/>
      <c r="Q462" s="205"/>
      <c r="R462" s="201"/>
      <c r="S462" s="202"/>
      <c r="T462" s="202"/>
      <c r="U462" s="203"/>
      <c r="V462" s="242"/>
      <c r="W462" s="217" t="s">
        <v>633</v>
      </c>
      <c r="X462" s="241" t="s">
        <v>632</v>
      </c>
      <c r="Y462" s="197">
        <f>'State DisAgg LFx10 (2015)'!P452</f>
        <v>1</v>
      </c>
      <c r="Z462" s="195"/>
      <c r="AA462" s="196"/>
      <c r="AB462" s="196"/>
      <c r="AC462" s="197">
        <f>'State DisAgg LFx10 (2015)'!T462</f>
        <v>0</v>
      </c>
      <c r="AD462" s="195"/>
      <c r="AE462" s="197"/>
      <c r="AH462" s="354">
        <f t="shared" si="96"/>
        <v>1</v>
      </c>
      <c r="AI462" s="354">
        <f>U462-O462</f>
        <v>0</v>
      </c>
      <c r="AJ462" s="354">
        <f t="shared" si="94"/>
        <v>0</v>
      </c>
      <c r="AK462" s="364">
        <f t="shared" si="97"/>
        <v>1.02</v>
      </c>
      <c r="AL462" s="360">
        <f t="shared" si="95"/>
        <v>0</v>
      </c>
      <c r="AM462" s="365">
        <f t="shared" si="95"/>
        <v>0</v>
      </c>
      <c r="AN462" s="4">
        <f>SUM(AN459:AN461)/3</f>
        <v>1.2</v>
      </c>
    </row>
    <row r="463" spans="1:41" ht="13.5" thickBot="1">
      <c r="A463" s="885"/>
      <c r="B463" s="885"/>
      <c r="C463" s="9" t="s">
        <v>304</v>
      </c>
      <c r="D463" s="202"/>
      <c r="E463" s="203"/>
      <c r="F463" s="201"/>
      <c r="G463" s="202"/>
      <c r="H463" s="202"/>
      <c r="I463" s="203"/>
      <c r="J463" s="201"/>
      <c r="K463" s="202"/>
      <c r="L463" s="202"/>
      <c r="M463" s="203"/>
      <c r="N463" s="204"/>
      <c r="O463" s="205"/>
      <c r="P463" s="205"/>
      <c r="Q463" s="205"/>
      <c r="R463" s="201"/>
      <c r="S463" s="202"/>
      <c r="T463" s="202"/>
      <c r="U463" s="203"/>
      <c r="V463" s="242"/>
      <c r="W463" s="217" t="s">
        <v>633</v>
      </c>
      <c r="X463" s="241" t="s">
        <v>632</v>
      </c>
      <c r="Y463" s="197">
        <f>'State DisAgg LFx10 (2015)'!P453</f>
        <v>1.5</v>
      </c>
      <c r="Z463" s="195"/>
      <c r="AA463" s="196"/>
      <c r="AB463" s="196"/>
      <c r="AC463" s="197">
        <f>'State DisAgg LFx10 (2015)'!T463</f>
        <v>0</v>
      </c>
      <c r="AD463" s="195"/>
      <c r="AE463" s="197"/>
      <c r="AH463" s="354">
        <f t="shared" si="96"/>
        <v>1.5</v>
      </c>
      <c r="AI463" s="354">
        <f>U463-O463</f>
        <v>0</v>
      </c>
      <c r="AJ463" s="354">
        <f t="shared" si="94"/>
        <v>0</v>
      </c>
      <c r="AK463" s="366">
        <f t="shared" si="97"/>
        <v>1.2066666666666666</v>
      </c>
      <c r="AL463" s="367">
        <f t="shared" si="95"/>
        <v>0</v>
      </c>
      <c r="AM463" s="368">
        <f t="shared" si="95"/>
        <v>0</v>
      </c>
    </row>
    <row r="464" spans="1:41" ht="12.95" hidden="1" customHeight="1" thickBot="1">
      <c r="A464" s="885"/>
      <c r="B464" s="273"/>
      <c r="C464" s="231"/>
      <c r="D464" s="232"/>
      <c r="E464" s="233"/>
      <c r="F464" s="234"/>
      <c r="G464" s="232"/>
      <c r="H464" s="232"/>
      <c r="I464" s="233"/>
      <c r="J464" s="234"/>
      <c r="K464" s="232"/>
      <c r="L464" s="232"/>
      <c r="M464" s="233"/>
      <c r="N464" s="234"/>
      <c r="O464" s="232"/>
      <c r="P464" s="232"/>
      <c r="Q464" s="233"/>
      <c r="R464" s="234"/>
      <c r="S464" s="232"/>
      <c r="T464" s="232"/>
      <c r="U464" s="233"/>
      <c r="V464" s="234"/>
      <c r="W464" s="232"/>
      <c r="X464" s="232"/>
      <c r="Y464" s="233"/>
      <c r="Z464" s="234"/>
      <c r="AA464" s="232"/>
      <c r="AB464" s="232"/>
      <c r="AC464" s="233"/>
      <c r="AD464" s="234"/>
      <c r="AE464" s="233"/>
      <c r="AH464" s="354">
        <f t="shared" si="96"/>
        <v>0</v>
      </c>
      <c r="AI464" s="354">
        <f>U464-O464</f>
        <v>0</v>
      </c>
      <c r="AJ464" s="354">
        <f t="shared" si="94"/>
        <v>0</v>
      </c>
      <c r="AK464" s="354">
        <f t="shared" ref="AK464:AM465" si="102">(AH464+AH487+AH510+AH533+AH557)/5</f>
        <v>0</v>
      </c>
      <c r="AL464" s="354">
        <f t="shared" si="102"/>
        <v>0</v>
      </c>
      <c r="AM464" s="354">
        <f t="shared" si="102"/>
        <v>0</v>
      </c>
    </row>
    <row r="465" spans="1:40" ht="12.95" hidden="1" customHeight="1" thickBot="1">
      <c r="A465" s="885"/>
      <c r="B465" s="273"/>
      <c r="C465" s="231"/>
      <c r="D465" s="232"/>
      <c r="E465" s="233"/>
      <c r="F465" s="234"/>
      <c r="G465" s="232"/>
      <c r="H465" s="232"/>
      <c r="I465" s="233"/>
      <c r="J465" s="234"/>
      <c r="K465" s="232"/>
      <c r="L465" s="232"/>
      <c r="M465" s="233"/>
      <c r="N465" s="234"/>
      <c r="O465" s="232"/>
      <c r="P465" s="232"/>
      <c r="Q465" s="233"/>
      <c r="R465" s="234"/>
      <c r="S465" s="232"/>
      <c r="T465" s="232"/>
      <c r="U465" s="233"/>
      <c r="V465" s="234"/>
      <c r="W465" s="232"/>
      <c r="X465" s="232"/>
      <c r="Y465" s="233"/>
      <c r="Z465" s="234"/>
      <c r="AA465" s="232"/>
      <c r="AB465" s="232"/>
      <c r="AC465" s="233"/>
      <c r="AD465" s="234"/>
      <c r="AE465" s="233"/>
      <c r="AH465" s="354">
        <f t="shared" si="96"/>
        <v>0</v>
      </c>
      <c r="AI465" s="354">
        <f>U465-O465</f>
        <v>0</v>
      </c>
      <c r="AJ465" s="354">
        <f t="shared" si="94"/>
        <v>0</v>
      </c>
      <c r="AK465" s="354">
        <f t="shared" si="102"/>
        <v>0</v>
      </c>
      <c r="AL465" s="354">
        <f t="shared" si="102"/>
        <v>0</v>
      </c>
      <c r="AM465" s="354">
        <f t="shared" si="102"/>
        <v>0</v>
      </c>
    </row>
    <row r="466" spans="1:40" ht="12.95" customHeight="1" thickBot="1">
      <c r="A466" s="885"/>
      <c r="B466" s="3" t="s">
        <v>33</v>
      </c>
      <c r="C466" s="12"/>
      <c r="D466" s="1377">
        <v>2008</v>
      </c>
      <c r="E466" s="1378"/>
      <c r="F466" s="1372">
        <v>2009</v>
      </c>
      <c r="G466" s="1373"/>
      <c r="H466" s="1373"/>
      <c r="I466" s="1374"/>
      <c r="J466" s="1372">
        <v>2010</v>
      </c>
      <c r="K466" s="1373"/>
      <c r="L466" s="1373"/>
      <c r="M466" s="1374"/>
      <c r="N466" s="1372">
        <v>2011</v>
      </c>
      <c r="O466" s="1373"/>
      <c r="P466" s="1373"/>
      <c r="Q466" s="1374"/>
      <c r="R466" s="1372">
        <v>2012</v>
      </c>
      <c r="S466" s="1373"/>
      <c r="T466" s="1373"/>
      <c r="U466" s="1374"/>
      <c r="V466" s="1372">
        <v>2013</v>
      </c>
      <c r="W466" s="1373"/>
      <c r="X466" s="1373"/>
      <c r="Y466" s="1374"/>
      <c r="Z466" s="1372">
        <v>2014</v>
      </c>
      <c r="AA466" s="1373"/>
      <c r="AB466" s="1373"/>
      <c r="AC466" s="1374"/>
      <c r="AD466" s="1372">
        <v>2015</v>
      </c>
      <c r="AE466" s="1374"/>
      <c r="AG466" s="257" t="s">
        <v>663</v>
      </c>
    </row>
    <row r="467" spans="1:40" ht="13.5" thickBot="1">
      <c r="A467" s="885"/>
      <c r="B467" s="868" t="s">
        <v>67</v>
      </c>
      <c r="C467" s="194" t="s">
        <v>610</v>
      </c>
      <c r="D467" s="206"/>
      <c r="E467" s="207"/>
      <c r="F467" s="209"/>
      <c r="G467" s="206"/>
      <c r="H467" s="206"/>
      <c r="I467" s="207"/>
      <c r="J467" s="209"/>
      <c r="K467" s="206"/>
      <c r="L467" s="206"/>
      <c r="M467" s="207"/>
      <c r="N467" s="277"/>
      <c r="O467" s="278">
        <f>(O477-H477)/7/$C$697/Spend!O467*'State Efficiency Ratios'!$C$655</f>
        <v>22.30075942078189</v>
      </c>
      <c r="P467" s="278"/>
      <c r="Q467" s="279"/>
      <c r="R467" s="277"/>
      <c r="S467" s="278"/>
      <c r="T467" s="278"/>
      <c r="U467" s="278">
        <f>(U477-O477)/6/$C$697/Spend!U467*'State Efficiency Ratios'!$C$655</f>
        <v>187.35313036706754</v>
      </c>
      <c r="V467" s="277"/>
      <c r="W467" s="278"/>
      <c r="X467" s="278"/>
      <c r="Y467" s="278">
        <f>(Y477-U477)/4/$C$697/Spend!Y467*'State Efficiency Ratios'!$C$655</f>
        <v>167.0731520144233</v>
      </c>
      <c r="Z467" s="277"/>
      <c r="AA467" s="278"/>
      <c r="AB467" s="278"/>
      <c r="AC467" s="278">
        <f>(AC477-Y477)/4/$C$697/Spend!AC467*'State Efficiency Ratios'!$C$655</f>
        <v>-1290.1036424699143</v>
      </c>
      <c r="AD467" s="208"/>
      <c r="AE467" s="213"/>
      <c r="AG467" s="295"/>
      <c r="AH467" s="356">
        <f>SUM(AH454:AH461)/8</f>
        <v>0.68749999999999989</v>
      </c>
      <c r="AI467" s="356">
        <f>SUM(AI454:AI461)/8</f>
        <v>0.46249999999999997</v>
      </c>
      <c r="AJ467" s="356" t="e">
        <f>SUM(AJ454:AJ461)/8</f>
        <v>#VALUE!</v>
      </c>
      <c r="AN467" s="385">
        <f>(O477-H477)/7/$C$673/Spend!O467*'State Efficiency Ratios'!$C$655</f>
        <v>22.30075942078189</v>
      </c>
    </row>
    <row r="468" spans="1:40" ht="13.5" thickBot="1">
      <c r="A468" s="885"/>
      <c r="B468" s="885"/>
      <c r="C468" s="194" t="s">
        <v>611</v>
      </c>
      <c r="D468" s="206"/>
      <c r="E468" s="207"/>
      <c r="F468" s="209"/>
      <c r="G468" s="206"/>
      <c r="H468" s="206"/>
      <c r="I468" s="207"/>
      <c r="J468" s="209"/>
      <c r="K468" s="206"/>
      <c r="L468" s="206"/>
      <c r="M468" s="207"/>
      <c r="N468" s="277"/>
      <c r="O468" s="278">
        <f>(O478-H478)/7/$C$697/Spend!O468*'State Efficiency Ratios'!$C$655</f>
        <v>89.393009594750936</v>
      </c>
      <c r="P468" s="278"/>
      <c r="Q468" s="279"/>
      <c r="R468" s="277"/>
      <c r="S468" s="278"/>
      <c r="T468" s="278"/>
      <c r="U468" s="278">
        <f>(U478-O478)/6/$C$697/Spend!U468*'State Efficiency Ratios'!$C$655</f>
        <v>-90.362310117572378</v>
      </c>
      <c r="V468" s="277"/>
      <c r="W468" s="278"/>
      <c r="X468" s="278"/>
      <c r="Y468" s="278">
        <f>(Y478-U478)/4/$C$697/Spend!Y468*'State Efficiency Ratios'!$C$655</f>
        <v>811.07883635904523</v>
      </c>
      <c r="Z468" s="277"/>
      <c r="AA468" s="278"/>
      <c r="AB468" s="278"/>
      <c r="AC468" s="278">
        <f>(AC478-Y478)/4/$C$697/Spend!AC468*'State Efficiency Ratios'!$C$655</f>
        <v>-1128.0416153484771</v>
      </c>
      <c r="AD468" s="208"/>
      <c r="AE468" s="213"/>
      <c r="AG468" s="295"/>
      <c r="AH468" s="378">
        <f>AH467/AI467*100</f>
        <v>148.64864864864865</v>
      </c>
      <c r="AN468" s="385">
        <f>(O478-H478)/7/$C$673/Spend!O468*'State Efficiency Ratios'!$C$655</f>
        <v>89.393009594750936</v>
      </c>
    </row>
    <row r="469" spans="1:40" ht="13.5" thickBot="1">
      <c r="A469" s="885"/>
      <c r="B469" s="885"/>
      <c r="C469" s="194" t="s">
        <v>612</v>
      </c>
      <c r="D469" s="206"/>
      <c r="E469" s="207"/>
      <c r="F469" s="209"/>
      <c r="G469" s="206"/>
      <c r="H469" s="206"/>
      <c r="I469" s="207"/>
      <c r="J469" s="209"/>
      <c r="K469" s="206"/>
      <c r="L469" s="206"/>
      <c r="M469" s="207"/>
      <c r="N469" s="277"/>
      <c r="O469" s="278">
        <f>(O479-H479)/7/$C$697/Spend!O469*'State Efficiency Ratios'!$C$655</f>
        <v>0</v>
      </c>
      <c r="P469" s="278"/>
      <c r="Q469" s="279"/>
      <c r="R469" s="277"/>
      <c r="S469" s="278"/>
      <c r="T469" s="278"/>
      <c r="U469" s="278">
        <f>(U479-O479)/6/$C$697/Spend!U469*'State Efficiency Ratios'!$C$655</f>
        <v>97.927174049361682</v>
      </c>
      <c r="V469" s="277"/>
      <c r="W469" s="278"/>
      <c r="X469" s="278"/>
      <c r="Y469" s="278">
        <f>(Y479-U479)/4/$C$697/Spend!Y469*'State Efficiency Ratios'!$C$655</f>
        <v>607.13210251364933</v>
      </c>
      <c r="Z469" s="277"/>
      <c r="AA469" s="278"/>
      <c r="AB469" s="278"/>
      <c r="AC469" s="278">
        <f>(AC479-Y479)/4/$C$697/Spend!AC469*'State Efficiency Ratios'!$C$655</f>
        <v>-1333.8822285337526</v>
      </c>
      <c r="AD469" s="208"/>
      <c r="AE469" s="213"/>
      <c r="AG469" s="295"/>
      <c r="AN469" s="385">
        <f>(O479-H479)/7/$C$673/Spend!O469*'State Efficiency Ratios'!$C$655</f>
        <v>0</v>
      </c>
    </row>
    <row r="470" spans="1:40" ht="13.5" thickBot="1">
      <c r="A470" s="885"/>
      <c r="B470" s="885"/>
      <c r="C470" s="194" t="s">
        <v>613</v>
      </c>
      <c r="D470" s="206"/>
      <c r="E470" s="207"/>
      <c r="F470" s="209"/>
      <c r="G470" s="206"/>
      <c r="H470" s="206"/>
      <c r="I470" s="207"/>
      <c r="J470" s="209"/>
      <c r="K470" s="206"/>
      <c r="L470" s="206"/>
      <c r="M470" s="207"/>
      <c r="N470" s="277"/>
      <c r="O470" s="278">
        <f>(O480-H480)/7/$C$697/Spend!O470*'State Efficiency Ratios'!$C$655</f>
        <v>-43.747500083875671</v>
      </c>
      <c r="P470" s="278"/>
      <c r="Q470" s="279"/>
      <c r="R470" s="277"/>
      <c r="S470" s="278"/>
      <c r="T470" s="278"/>
      <c r="U470" s="278">
        <f>(U480-O480)/6/$C$697/Spend!U470*'State Efficiency Ratios'!$C$655</f>
        <v>138.9431279036408</v>
      </c>
      <c r="V470" s="277"/>
      <c r="W470" s="278"/>
      <c r="X470" s="278"/>
      <c r="Y470" s="278">
        <f>(Y480-U480)/4/$C$697/Spend!Y470*'State Efficiency Ratios'!$C$655</f>
        <v>520.76661498095211</v>
      </c>
      <c r="Z470" s="277"/>
      <c r="AA470" s="278"/>
      <c r="AB470" s="278"/>
      <c r="AC470" s="278">
        <f>(AC480-Y480)/4/$C$697/Spend!AC470*'State Efficiency Ratios'!$C$655</f>
        <v>-1049.4028472934956</v>
      </c>
      <c r="AD470" s="208"/>
      <c r="AE470" s="213"/>
      <c r="AG470" s="295"/>
      <c r="AN470" s="385">
        <f>(O480-H480)/7/$C$673/Spend!O470*'State Efficiency Ratios'!$C$655</f>
        <v>-43.747500083875671</v>
      </c>
    </row>
    <row r="471" spans="1:40" ht="13.5" thickBot="1">
      <c r="A471" s="885"/>
      <c r="B471" s="885"/>
      <c r="C471" s="194" t="s">
        <v>614</v>
      </c>
      <c r="D471" s="206"/>
      <c r="E471" s="207"/>
      <c r="F471" s="209"/>
      <c r="G471" s="206"/>
      <c r="H471" s="206"/>
      <c r="I471" s="207"/>
      <c r="J471" s="209"/>
      <c r="K471" s="206"/>
      <c r="L471" s="206"/>
      <c r="M471" s="207"/>
      <c r="N471" s="277"/>
      <c r="O471" s="278">
        <f>(O481-H481)/7/$C$697/Spend!O471*'State Efficiency Ratios'!$C$655</f>
        <v>69.081392940770584</v>
      </c>
      <c r="P471" s="278"/>
      <c r="Q471" s="279"/>
      <c r="R471" s="277"/>
      <c r="S471" s="278"/>
      <c r="T471" s="278"/>
      <c r="U471" s="278">
        <f>(U481-O481)/6/$C$697/Spend!U471*'State Efficiency Ratios'!$C$655</f>
        <v>28.783509260571574</v>
      </c>
      <c r="V471" s="277"/>
      <c r="W471" s="278"/>
      <c r="X471" s="278"/>
      <c r="Y471" s="278">
        <f>(Y481-U481)/4/$C$697/Spend!Y471*'State Efficiency Ratios'!$C$655</f>
        <v>0</v>
      </c>
      <c r="Z471" s="277"/>
      <c r="AA471" s="278"/>
      <c r="AB471" s="278"/>
      <c r="AC471" s="278">
        <f>(AC481-Y481)/4/$C$697/Spend!AC471*'State Efficiency Ratios'!$C$655</f>
        <v>-723.70202782528759</v>
      </c>
      <c r="AD471" s="208"/>
      <c r="AE471" s="213"/>
      <c r="AG471" s="295"/>
      <c r="AN471" s="385">
        <f>(O481-H481)/7/$C$673/Spend!O471*'State Efficiency Ratios'!$C$655</f>
        <v>69.081392940770584</v>
      </c>
    </row>
    <row r="472" spans="1:40" ht="12.95" customHeight="1" thickBot="1">
      <c r="A472" s="885"/>
      <c r="B472" s="885"/>
      <c r="C472" s="194" t="s">
        <v>615</v>
      </c>
      <c r="D472" s="210"/>
      <c r="E472" s="211"/>
      <c r="F472" s="209"/>
      <c r="G472" s="210"/>
      <c r="H472" s="210"/>
      <c r="I472" s="211"/>
      <c r="J472" s="209"/>
      <c r="K472" s="210"/>
      <c r="L472" s="210"/>
      <c r="M472" s="211"/>
      <c r="N472" s="281"/>
      <c r="O472" s="282"/>
      <c r="P472" s="282"/>
      <c r="Q472" s="282"/>
      <c r="R472" s="277"/>
      <c r="S472" s="278"/>
      <c r="T472" s="278"/>
      <c r="U472" s="278">
        <f>(U482-R482)/3/$C$697/Spend!U472*'State Efficiency Ratios'!$C$655</f>
        <v>0</v>
      </c>
      <c r="V472" s="277"/>
      <c r="W472" s="278"/>
      <c r="X472" s="278"/>
      <c r="Y472" s="278">
        <f>(Y482-U482)/4/$C$697/Spend!Y472*'State Efficiency Ratios'!$C$655</f>
        <v>766.23617282969099</v>
      </c>
      <c r="Z472" s="277"/>
      <c r="AA472" s="278"/>
      <c r="AB472" s="278"/>
      <c r="AC472" s="278">
        <f>(AC482-Y482)/4/$C$697/Spend!AC472*'State Efficiency Ratios'!$C$655</f>
        <v>-379.25410764763694</v>
      </c>
      <c r="AD472" s="208"/>
      <c r="AE472" s="213"/>
      <c r="AG472" s="295"/>
      <c r="AN472" s="385">
        <f>(Y482-R482)/7/$C$673/(Spend!U472+Spend!Y472)*'State Efficiency Ratios'!$C$655</f>
        <v>173.89413253256964</v>
      </c>
    </row>
    <row r="473" spans="1:40" ht="12.95" customHeight="1" thickBot="1">
      <c r="A473" s="885"/>
      <c r="B473" s="885"/>
      <c r="C473" s="194" t="s">
        <v>616</v>
      </c>
      <c r="D473" s="210"/>
      <c r="E473" s="211"/>
      <c r="F473" s="209"/>
      <c r="G473" s="210"/>
      <c r="H473" s="210"/>
      <c r="I473" s="211"/>
      <c r="J473" s="209"/>
      <c r="K473" s="210"/>
      <c r="L473" s="210"/>
      <c r="M473" s="211"/>
      <c r="N473" s="281"/>
      <c r="O473" s="282"/>
      <c r="P473" s="282"/>
      <c r="Q473" s="282"/>
      <c r="R473" s="277"/>
      <c r="S473" s="278"/>
      <c r="T473" s="278"/>
      <c r="U473" s="278">
        <f>(U483-R483)/3/$C$697/Spend!U473*'State Efficiency Ratios'!$C$655</f>
        <v>0</v>
      </c>
      <c r="V473" s="277"/>
      <c r="W473" s="278"/>
      <c r="X473" s="278"/>
      <c r="Y473" s="278">
        <f>(Y483-U483)/4/$C$697/Spend!Y473*'State Efficiency Ratios'!$C$655</f>
        <v>-118.64425273392092</v>
      </c>
      <c r="Z473" s="277"/>
      <c r="AA473" s="278"/>
      <c r="AB473" s="278"/>
      <c r="AC473" s="278">
        <f>(AC483-Y483)/4/$C$697/Spend!AC473*'State Efficiency Ratios'!$C$655</f>
        <v>-998.79665123585596</v>
      </c>
      <c r="AD473" s="208"/>
      <c r="AE473" s="213"/>
      <c r="AG473" s="295"/>
      <c r="AN473" s="385">
        <f>(Y483-R483)/7/$C$673/(Spend!U473+Spend!Y473)*'State Efficiency Ratios'!$C$655</f>
        <v>-27.03987559954605</v>
      </c>
    </row>
    <row r="474" spans="1:40" ht="12.95" customHeight="1" thickBot="1">
      <c r="A474" s="885"/>
      <c r="B474" s="885"/>
      <c r="C474" s="194" t="s">
        <v>617</v>
      </c>
      <c r="D474" s="210"/>
      <c r="E474" s="211"/>
      <c r="F474" s="209"/>
      <c r="G474" s="210"/>
      <c r="H474" s="210"/>
      <c r="I474" s="211"/>
      <c r="J474" s="209"/>
      <c r="K474" s="210"/>
      <c r="L474" s="210"/>
      <c r="M474" s="211"/>
      <c r="N474" s="281"/>
      <c r="O474" s="282"/>
      <c r="P474" s="282"/>
      <c r="Q474" s="282"/>
      <c r="R474" s="277"/>
      <c r="S474" s="278"/>
      <c r="T474" s="278"/>
      <c r="U474" s="278">
        <f>(U484-R484)/3/$C$697/Spend!U474*'State Efficiency Ratios'!$C$655</f>
        <v>0</v>
      </c>
      <c r="V474" s="277"/>
      <c r="W474" s="278"/>
      <c r="X474" s="278"/>
      <c r="Y474" s="278">
        <f>(Y484-U484)/4/$C$697/Spend!Y474*'State Efficiency Ratios'!$C$655</f>
        <v>361.57456231038265</v>
      </c>
      <c r="Z474" s="277"/>
      <c r="AA474" s="278"/>
      <c r="AB474" s="278"/>
      <c r="AC474" s="278">
        <f>(AC484-Y484)/4/$C$697/Spend!AC474*'State Efficiency Ratios'!$C$655</f>
        <v>-684.74892258478485</v>
      </c>
      <c r="AD474" s="208"/>
      <c r="AE474" s="213"/>
      <c r="AG474" s="295"/>
      <c r="AN474" s="385">
        <f>(Y484-R484)/7/$C$673/(Spend!U474+Spend!Y474)*'State Efficiency Ratios'!$C$655</f>
        <v>79.461588671250894</v>
      </c>
    </row>
    <row r="475" spans="1:40" ht="12.95" customHeight="1" thickBot="1">
      <c r="A475" s="885"/>
      <c r="B475" s="885"/>
      <c r="C475" s="194" t="s">
        <v>618</v>
      </c>
      <c r="D475" s="210"/>
      <c r="E475" s="211"/>
      <c r="F475" s="209"/>
      <c r="G475" s="210"/>
      <c r="H475" s="210"/>
      <c r="I475" s="211"/>
      <c r="J475" s="209"/>
      <c r="K475" s="210"/>
      <c r="L475" s="210"/>
      <c r="M475" s="211"/>
      <c r="N475" s="281"/>
      <c r="O475" s="282"/>
      <c r="P475" s="282"/>
      <c r="Q475" s="283"/>
      <c r="R475" s="281"/>
      <c r="S475" s="282"/>
      <c r="T475" s="282"/>
      <c r="U475" s="283"/>
      <c r="V475" s="281"/>
      <c r="W475" s="282"/>
      <c r="X475" s="282"/>
      <c r="Y475" s="283"/>
      <c r="Z475" s="277"/>
      <c r="AA475" s="278"/>
      <c r="AB475" s="278"/>
      <c r="AC475" s="278">
        <f>(AC485-Y485)/4/$C$697/Spend!AC475*'State Efficiency Ratios'!$C$655</f>
        <v>-593.71891189532153</v>
      </c>
      <c r="AD475" s="208"/>
      <c r="AE475" s="213"/>
      <c r="AG475" s="295"/>
    </row>
    <row r="476" spans="1:40" ht="12.95" customHeight="1" thickBot="1">
      <c r="A476" s="885"/>
      <c r="B476" s="885"/>
      <c r="C476" s="194" t="s">
        <v>619</v>
      </c>
      <c r="D476" s="210"/>
      <c r="E476" s="211"/>
      <c r="F476" s="209"/>
      <c r="G476" s="210"/>
      <c r="H476" s="210"/>
      <c r="I476" s="211"/>
      <c r="J476" s="209"/>
      <c r="K476" s="210"/>
      <c r="L476" s="210"/>
      <c r="M476" s="211"/>
      <c r="N476" s="281"/>
      <c r="O476" s="282"/>
      <c r="P476" s="282"/>
      <c r="Q476" s="283"/>
      <c r="R476" s="281"/>
      <c r="S476" s="282"/>
      <c r="T476" s="282"/>
      <c r="U476" s="283"/>
      <c r="V476" s="281"/>
      <c r="W476" s="282"/>
      <c r="X476" s="282"/>
      <c r="Y476" s="283"/>
      <c r="Z476" s="277"/>
      <c r="AA476" s="278"/>
      <c r="AB476" s="278"/>
      <c r="AC476" s="278">
        <f>(AC486-Y486)/4/$C$697/Spend!AC476*'State Efficiency Ratios'!$C$655</f>
        <v>-325.01328226874443</v>
      </c>
      <c r="AD476" s="208"/>
      <c r="AE476" s="213"/>
      <c r="AG476" s="295"/>
      <c r="AN476" s="4">
        <f>SUM(AN477:AN481)/5</f>
        <v>1.86</v>
      </c>
    </row>
    <row r="477" spans="1:40" ht="13.5" thickBot="1">
      <c r="A477" s="885"/>
      <c r="B477" s="885"/>
      <c r="C477" s="9" t="s">
        <v>295</v>
      </c>
      <c r="D477" s="241" t="s">
        <v>632</v>
      </c>
      <c r="E477" s="241" t="s">
        <v>632</v>
      </c>
      <c r="F477" s="243" t="s">
        <v>646</v>
      </c>
      <c r="G477" s="241" t="s">
        <v>646</v>
      </c>
      <c r="H477" s="196">
        <f>'State DisAgg LFx10 (2015)'!D467</f>
        <v>1</v>
      </c>
      <c r="I477" s="244" t="s">
        <v>646</v>
      </c>
      <c r="J477" s="195"/>
      <c r="K477" s="196"/>
      <c r="L477" s="196"/>
      <c r="M477" s="197"/>
      <c r="N477" s="195"/>
      <c r="O477" s="196">
        <f>'State DisAgg LFx10 (2015)'!H477</f>
        <v>1.5</v>
      </c>
      <c r="P477" s="196"/>
      <c r="Q477" s="197"/>
      <c r="R477" s="195"/>
      <c r="S477" s="196"/>
      <c r="T477" s="196"/>
      <c r="U477" s="197">
        <f>'State DisAgg LFx10 (2015)'!L477</f>
        <v>3.3</v>
      </c>
      <c r="V477" s="195"/>
      <c r="W477" s="196"/>
      <c r="X477" s="196"/>
      <c r="Y477" s="197">
        <f>'State DisAgg LFx10 (2015)'!P477</f>
        <v>4.3</v>
      </c>
      <c r="Z477" s="195"/>
      <c r="AA477" s="196"/>
      <c r="AB477" s="196"/>
      <c r="AC477" s="197">
        <f>'State DisAgg LFx10 (2015)'!T477</f>
        <v>0</v>
      </c>
      <c r="AD477" s="195"/>
      <c r="AE477" s="197"/>
      <c r="AH477" s="354">
        <f>Y477-U477</f>
        <v>1</v>
      </c>
      <c r="AI477" s="354">
        <f>U477-O477</f>
        <v>1.7999999999999998</v>
      </c>
      <c r="AJ477" s="354">
        <f t="shared" ref="AJ477:AJ488" si="103">O477-J477</f>
        <v>1.5</v>
      </c>
      <c r="AN477" s="384">
        <f>(O477-J477)</f>
        <v>1.5</v>
      </c>
    </row>
    <row r="478" spans="1:40" ht="13.5" thickBot="1">
      <c r="A478" s="885"/>
      <c r="B478" s="885"/>
      <c r="C478" s="9" t="s">
        <v>296</v>
      </c>
      <c r="D478" s="241" t="s">
        <v>632</v>
      </c>
      <c r="E478" s="241" t="s">
        <v>632</v>
      </c>
      <c r="F478" s="243" t="s">
        <v>646</v>
      </c>
      <c r="G478" s="241" t="s">
        <v>646</v>
      </c>
      <c r="H478" s="196">
        <f>'State DisAgg LFx10 (2015)'!D468</f>
        <v>1</v>
      </c>
      <c r="I478" s="244" t="s">
        <v>646</v>
      </c>
      <c r="J478" s="195"/>
      <c r="K478" s="196"/>
      <c r="L478" s="196"/>
      <c r="M478" s="197"/>
      <c r="N478" s="195"/>
      <c r="O478" s="196">
        <f>'State DisAgg LFx10 (2015)'!H478</f>
        <v>2.8</v>
      </c>
      <c r="P478" s="196"/>
      <c r="Q478" s="197"/>
      <c r="R478" s="195"/>
      <c r="S478" s="196"/>
      <c r="T478" s="196"/>
      <c r="U478" s="197">
        <f>'State DisAgg LFx10 (2015)'!L478</f>
        <v>2</v>
      </c>
      <c r="V478" s="195"/>
      <c r="W478" s="196"/>
      <c r="X478" s="196"/>
      <c r="Y478" s="197">
        <f>'State DisAgg LFx10 (2015)'!P478</f>
        <v>4.5</v>
      </c>
      <c r="Z478" s="195"/>
      <c r="AA478" s="196"/>
      <c r="AB478" s="196"/>
      <c r="AC478" s="197">
        <f>'State DisAgg LFx10 (2015)'!T478</f>
        <v>0</v>
      </c>
      <c r="AD478" s="195"/>
      <c r="AE478" s="197"/>
      <c r="AH478" s="354">
        <f t="shared" ref="AH478:AH488" si="104">Y478-U478</f>
        <v>2.5</v>
      </c>
      <c r="AI478" s="354">
        <f>U478-O478</f>
        <v>-0.79999999999999982</v>
      </c>
      <c r="AJ478" s="354">
        <f t="shared" si="103"/>
        <v>2.8</v>
      </c>
      <c r="AN478" s="384">
        <f t="shared" ref="AN478:AN481" si="105">(O478-J478)</f>
        <v>2.8</v>
      </c>
    </row>
    <row r="479" spans="1:40" ht="13.5" thickBot="1">
      <c r="A479" s="885"/>
      <c r="B479" s="885"/>
      <c r="C479" s="9" t="s">
        <v>297</v>
      </c>
      <c r="D479" s="241" t="s">
        <v>632</v>
      </c>
      <c r="E479" s="241" t="s">
        <v>632</v>
      </c>
      <c r="F479" s="243" t="s">
        <v>646</v>
      </c>
      <c r="G479" s="241" t="s">
        <v>646</v>
      </c>
      <c r="H479" s="196">
        <f>'State DisAgg LFx10 (2015)'!D469</f>
        <v>1</v>
      </c>
      <c r="I479" s="244" t="s">
        <v>646</v>
      </c>
      <c r="J479" s="195"/>
      <c r="K479" s="196"/>
      <c r="L479" s="196"/>
      <c r="M479" s="197"/>
      <c r="N479" s="195"/>
      <c r="O479" s="196">
        <f>'State DisAgg LFx10 (2015)'!H479</f>
        <v>1</v>
      </c>
      <c r="P479" s="196"/>
      <c r="Q479" s="197"/>
      <c r="R479" s="195"/>
      <c r="S479" s="196"/>
      <c r="T479" s="196"/>
      <c r="U479" s="197">
        <f>'State DisAgg LFx10 (2015)'!L479</f>
        <v>2</v>
      </c>
      <c r="V479" s="195"/>
      <c r="W479" s="196"/>
      <c r="X479" s="196"/>
      <c r="Y479" s="197">
        <f>'State DisAgg LFx10 (2015)'!P479</f>
        <v>4.3</v>
      </c>
      <c r="Z479" s="195"/>
      <c r="AA479" s="196"/>
      <c r="AB479" s="196"/>
      <c r="AC479" s="197">
        <f>'State DisAgg LFx10 (2015)'!T479</f>
        <v>0</v>
      </c>
      <c r="AD479" s="195"/>
      <c r="AE479" s="197"/>
      <c r="AH479" s="354">
        <f t="shared" si="104"/>
        <v>2.2999999999999998</v>
      </c>
      <c r="AI479" s="354">
        <f>U479-O479</f>
        <v>1</v>
      </c>
      <c r="AJ479" s="354">
        <f t="shared" si="103"/>
        <v>1</v>
      </c>
      <c r="AN479" s="384">
        <f t="shared" si="105"/>
        <v>1</v>
      </c>
    </row>
    <row r="480" spans="1:40" ht="13.5" thickBot="1">
      <c r="A480" s="885"/>
      <c r="B480" s="885"/>
      <c r="C480" s="9" t="s">
        <v>298</v>
      </c>
      <c r="D480" s="241" t="s">
        <v>632</v>
      </c>
      <c r="E480" s="241" t="s">
        <v>632</v>
      </c>
      <c r="F480" s="243" t="s">
        <v>646</v>
      </c>
      <c r="G480" s="241" t="s">
        <v>646</v>
      </c>
      <c r="H480" s="196">
        <f>'State DisAgg LFx10 (2015)'!D470</f>
        <v>2</v>
      </c>
      <c r="I480" s="244" t="s">
        <v>646</v>
      </c>
      <c r="J480" s="195"/>
      <c r="K480" s="196"/>
      <c r="L480" s="196"/>
      <c r="M480" s="197"/>
      <c r="N480" s="195"/>
      <c r="O480" s="196">
        <f>'State DisAgg LFx10 (2015)'!H480</f>
        <v>1</v>
      </c>
      <c r="P480" s="196"/>
      <c r="Q480" s="197"/>
      <c r="R480" s="195"/>
      <c r="S480" s="196"/>
      <c r="T480" s="196"/>
      <c r="U480" s="197">
        <f>'State DisAgg LFx10 (2015)'!L480</f>
        <v>2.7</v>
      </c>
      <c r="V480" s="195"/>
      <c r="W480" s="196"/>
      <c r="X480" s="196"/>
      <c r="Y480" s="197">
        <f>'State DisAgg LFx10 (2015)'!P480</f>
        <v>4.3</v>
      </c>
      <c r="Z480" s="195"/>
      <c r="AA480" s="196"/>
      <c r="AB480" s="196"/>
      <c r="AC480" s="197">
        <f>'State DisAgg LFx10 (2015)'!T480</f>
        <v>0</v>
      </c>
      <c r="AD480" s="195"/>
      <c r="AE480" s="197"/>
      <c r="AH480" s="354">
        <f t="shared" si="104"/>
        <v>1.5999999999999996</v>
      </c>
      <c r="AI480" s="354">
        <f>U480-O480</f>
        <v>1.7000000000000002</v>
      </c>
      <c r="AJ480" s="354">
        <f t="shared" si="103"/>
        <v>1</v>
      </c>
      <c r="AN480" s="384">
        <f t="shared" si="105"/>
        <v>1</v>
      </c>
    </row>
    <row r="481" spans="1:40" ht="13.5" thickBot="1">
      <c r="A481" s="885"/>
      <c r="B481" s="885"/>
      <c r="C481" s="9" t="s">
        <v>299</v>
      </c>
      <c r="D481" s="241" t="s">
        <v>632</v>
      </c>
      <c r="E481" s="241" t="s">
        <v>632</v>
      </c>
      <c r="F481" s="243" t="s">
        <v>646</v>
      </c>
      <c r="G481" s="241" t="s">
        <v>646</v>
      </c>
      <c r="H481" s="196">
        <f>'State DisAgg LFx10 (2015)'!D471</f>
        <v>1</v>
      </c>
      <c r="I481" s="244" t="s">
        <v>646</v>
      </c>
      <c r="J481" s="195"/>
      <c r="K481" s="196"/>
      <c r="L481" s="196"/>
      <c r="M481" s="197"/>
      <c r="N481" s="195"/>
      <c r="O481" s="196">
        <f>'State DisAgg LFx10 (2015)'!H481</f>
        <v>3</v>
      </c>
      <c r="P481" s="196"/>
      <c r="Q481" s="197"/>
      <c r="R481" s="195"/>
      <c r="S481" s="196"/>
      <c r="T481" s="196"/>
      <c r="U481" s="197">
        <f>'State DisAgg LFx10 (2015)'!L481</f>
        <v>3.3</v>
      </c>
      <c r="V481" s="195"/>
      <c r="W481" s="196"/>
      <c r="X481" s="196"/>
      <c r="Y481" s="197">
        <f>'State DisAgg LFx10 (2015)'!P481</f>
        <v>3.3</v>
      </c>
      <c r="Z481" s="195"/>
      <c r="AA481" s="196"/>
      <c r="AB481" s="196"/>
      <c r="AC481" s="197">
        <f>'State DisAgg LFx10 (2015)'!T481</f>
        <v>0</v>
      </c>
      <c r="AD481" s="195"/>
      <c r="AE481" s="197"/>
      <c r="AH481" s="354">
        <f t="shared" si="104"/>
        <v>0</v>
      </c>
      <c r="AI481" s="354">
        <f>U481-O481</f>
        <v>0.29999999999999982</v>
      </c>
      <c r="AJ481" s="354">
        <f t="shared" si="103"/>
        <v>3</v>
      </c>
      <c r="AN481" s="384">
        <f t="shared" si="105"/>
        <v>3</v>
      </c>
    </row>
    <row r="482" spans="1:40" ht="13.5" thickBot="1">
      <c r="A482" s="885"/>
      <c r="B482" s="885"/>
      <c r="C482" s="9" t="s">
        <v>300</v>
      </c>
      <c r="D482" s="199"/>
      <c r="E482" s="200"/>
      <c r="F482" s="201"/>
      <c r="G482" s="199"/>
      <c r="H482" s="199"/>
      <c r="I482" s="200"/>
      <c r="J482" s="201"/>
      <c r="K482" s="199"/>
      <c r="L482" s="199"/>
      <c r="M482" s="200"/>
      <c r="N482" s="198"/>
      <c r="O482" s="217" t="s">
        <v>634</v>
      </c>
      <c r="P482" s="241" t="s">
        <v>632</v>
      </c>
      <c r="Q482" s="244" t="s">
        <v>646</v>
      </c>
      <c r="R482" s="195">
        <f>'State DisAgg LFx10 (2015)'!H472</f>
        <v>2</v>
      </c>
      <c r="S482" s="196"/>
      <c r="T482" s="196"/>
      <c r="U482" s="197">
        <f>'State DisAgg LFx10 (2015)'!L482</f>
        <v>2</v>
      </c>
      <c r="V482" s="195"/>
      <c r="W482" s="196"/>
      <c r="X482" s="196"/>
      <c r="Y482" s="197">
        <f>'State DisAgg LFx10 (2015)'!P482</f>
        <v>3.3</v>
      </c>
      <c r="Z482" s="195"/>
      <c r="AA482" s="196"/>
      <c r="AB482" s="196"/>
      <c r="AC482" s="197">
        <f>'State DisAgg LFx10 (2015)'!T482</f>
        <v>0</v>
      </c>
      <c r="AD482" s="195"/>
      <c r="AE482" s="197"/>
      <c r="AH482" s="354">
        <f t="shared" si="104"/>
        <v>1.2999999999999998</v>
      </c>
      <c r="AI482" s="354">
        <f>U482-R482</f>
        <v>0</v>
      </c>
      <c r="AJ482" s="354" t="e">
        <f t="shared" si="103"/>
        <v>#VALUE!</v>
      </c>
      <c r="AN482" s="384">
        <f>(Y482-R482)</f>
        <v>1.2999999999999998</v>
      </c>
    </row>
    <row r="483" spans="1:40" ht="13.5" thickBot="1">
      <c r="A483" s="885"/>
      <c r="B483" s="885"/>
      <c r="C483" s="9" t="s">
        <v>301</v>
      </c>
      <c r="D483" s="199"/>
      <c r="E483" s="200"/>
      <c r="F483" s="201"/>
      <c r="G483" s="199"/>
      <c r="H483" s="199"/>
      <c r="I483" s="200"/>
      <c r="J483" s="201"/>
      <c r="K483" s="199"/>
      <c r="L483" s="199"/>
      <c r="M483" s="200"/>
      <c r="N483" s="198"/>
      <c r="O483" s="217" t="s">
        <v>634</v>
      </c>
      <c r="P483" s="241" t="s">
        <v>632</v>
      </c>
      <c r="Q483" s="244" t="s">
        <v>646</v>
      </c>
      <c r="R483" s="195">
        <f>'State DisAgg LFx10 (2015)'!H473</f>
        <v>3.7</v>
      </c>
      <c r="S483" s="196"/>
      <c r="T483" s="196"/>
      <c r="U483" s="197">
        <f>'State DisAgg LFx10 (2015)'!L483</f>
        <v>3.7</v>
      </c>
      <c r="V483" s="195"/>
      <c r="W483" s="196"/>
      <c r="X483" s="196"/>
      <c r="Y483" s="197">
        <f>'State DisAgg LFx10 (2015)'!P483</f>
        <v>3.5</v>
      </c>
      <c r="Z483" s="195"/>
      <c r="AA483" s="196"/>
      <c r="AB483" s="196"/>
      <c r="AC483" s="197">
        <f>'State DisAgg LFx10 (2015)'!T483</f>
        <v>0</v>
      </c>
      <c r="AD483" s="195"/>
      <c r="AE483" s="197"/>
      <c r="AH483" s="354">
        <f t="shared" si="104"/>
        <v>-0.20000000000000018</v>
      </c>
      <c r="AI483" s="354">
        <f t="shared" ref="AI483:AI484" si="106">U483-R483</f>
        <v>0</v>
      </c>
      <c r="AJ483" s="354" t="e">
        <f t="shared" si="103"/>
        <v>#VALUE!</v>
      </c>
      <c r="AN483" s="384">
        <f t="shared" ref="AN483:AN484" si="107">(Y483-R483)</f>
        <v>-0.20000000000000018</v>
      </c>
    </row>
    <row r="484" spans="1:40" ht="13.5" thickBot="1">
      <c r="A484" s="885"/>
      <c r="B484" s="885"/>
      <c r="C484" s="9" t="s">
        <v>302</v>
      </c>
      <c r="D484" s="199"/>
      <c r="E484" s="200"/>
      <c r="F484" s="201"/>
      <c r="G484" s="199"/>
      <c r="H484" s="199"/>
      <c r="I484" s="200"/>
      <c r="J484" s="201"/>
      <c r="K484" s="199"/>
      <c r="L484" s="199"/>
      <c r="M484" s="200"/>
      <c r="N484" s="198"/>
      <c r="O484" s="217" t="s">
        <v>634</v>
      </c>
      <c r="P484" s="241" t="s">
        <v>632</v>
      </c>
      <c r="Q484" s="244" t="s">
        <v>646</v>
      </c>
      <c r="R484" s="195">
        <f>'State DisAgg LFx10 (2015)'!H474</f>
        <v>1.7</v>
      </c>
      <c r="S484" s="196"/>
      <c r="T484" s="196"/>
      <c r="U484" s="197">
        <f>'State DisAgg LFx10 (2015)'!L484</f>
        <v>1.7</v>
      </c>
      <c r="V484" s="195"/>
      <c r="W484" s="196"/>
      <c r="X484" s="196"/>
      <c r="Y484" s="197">
        <f>'State DisAgg LFx10 (2015)'!P484</f>
        <v>2.2999999999999998</v>
      </c>
      <c r="Z484" s="195"/>
      <c r="AA484" s="196"/>
      <c r="AB484" s="196"/>
      <c r="AC484" s="197">
        <f>'State DisAgg LFx10 (2015)'!T484</f>
        <v>0</v>
      </c>
      <c r="AD484" s="195"/>
      <c r="AE484" s="197"/>
      <c r="AH484" s="354">
        <f t="shared" si="104"/>
        <v>0.59999999999999987</v>
      </c>
      <c r="AI484" s="354">
        <f t="shared" si="106"/>
        <v>0</v>
      </c>
      <c r="AJ484" s="354" t="e">
        <f t="shared" si="103"/>
        <v>#VALUE!</v>
      </c>
      <c r="AN484" s="384">
        <f t="shared" si="107"/>
        <v>0.59999999999999987</v>
      </c>
    </row>
    <row r="485" spans="1:40" ht="13.5" thickBot="1">
      <c r="A485" s="885"/>
      <c r="B485" s="885"/>
      <c r="C485" s="9" t="s">
        <v>303</v>
      </c>
      <c r="D485" s="202"/>
      <c r="E485" s="203"/>
      <c r="F485" s="201"/>
      <c r="G485" s="202"/>
      <c r="H485" s="202"/>
      <c r="I485" s="203"/>
      <c r="J485" s="201"/>
      <c r="K485" s="202"/>
      <c r="L485" s="202"/>
      <c r="M485" s="203"/>
      <c r="N485" s="204"/>
      <c r="O485" s="214"/>
      <c r="P485" s="205"/>
      <c r="Q485" s="205"/>
      <c r="R485" s="201"/>
      <c r="S485" s="202"/>
      <c r="T485" s="202"/>
      <c r="U485" s="203"/>
      <c r="V485" s="242"/>
      <c r="W485" s="217" t="s">
        <v>633</v>
      </c>
      <c r="X485" s="241" t="s">
        <v>632</v>
      </c>
      <c r="Y485" s="197">
        <f>'State DisAgg LFx10 (2015)'!P475</f>
        <v>1.8</v>
      </c>
      <c r="Z485" s="195"/>
      <c r="AA485" s="196"/>
      <c r="AB485" s="196"/>
      <c r="AC485" s="197">
        <f>'State DisAgg LFx10 (2015)'!T485</f>
        <v>0</v>
      </c>
      <c r="AD485" s="195"/>
      <c r="AE485" s="197"/>
      <c r="AH485" s="354">
        <f t="shared" si="104"/>
        <v>1.8</v>
      </c>
      <c r="AI485" s="354">
        <f>U485-O485</f>
        <v>0</v>
      </c>
      <c r="AJ485" s="354">
        <f t="shared" si="103"/>
        <v>0</v>
      </c>
      <c r="AN485" s="415">
        <f>SUM(AN482:AN484)/3</f>
        <v>0.56666666666666654</v>
      </c>
    </row>
    <row r="486" spans="1:40" ht="13.5" thickBot="1">
      <c r="A486" s="885"/>
      <c r="B486" s="885"/>
      <c r="C486" s="9" t="s">
        <v>304</v>
      </c>
      <c r="D486" s="202"/>
      <c r="E486" s="203"/>
      <c r="F486" s="201"/>
      <c r="G486" s="202"/>
      <c r="H486" s="202"/>
      <c r="I486" s="203"/>
      <c r="J486" s="201"/>
      <c r="K486" s="202"/>
      <c r="L486" s="202"/>
      <c r="M486" s="203"/>
      <c r="N486" s="204"/>
      <c r="O486" s="205"/>
      <c r="P486" s="205"/>
      <c r="Q486" s="205"/>
      <c r="R486" s="201"/>
      <c r="S486" s="202"/>
      <c r="T486" s="202"/>
      <c r="U486" s="203"/>
      <c r="V486" s="242"/>
      <c r="W486" s="217" t="s">
        <v>633</v>
      </c>
      <c r="X486" s="241" t="s">
        <v>632</v>
      </c>
      <c r="Y486" s="197">
        <f>'State DisAgg LFx10 (2015)'!P476</f>
        <v>1.8</v>
      </c>
      <c r="Z486" s="195"/>
      <c r="AA486" s="196"/>
      <c r="AB486" s="196"/>
      <c r="AC486" s="197">
        <f>'State DisAgg LFx10 (2015)'!T486</f>
        <v>0</v>
      </c>
      <c r="AD486" s="195"/>
      <c r="AE486" s="197"/>
      <c r="AH486" s="354">
        <f t="shared" si="104"/>
        <v>1.8</v>
      </c>
      <c r="AI486" s="354">
        <f>U486-O486</f>
        <v>0</v>
      </c>
      <c r="AJ486" s="354">
        <f t="shared" si="103"/>
        <v>0</v>
      </c>
    </row>
    <row r="487" spans="1:40" ht="12.95" hidden="1" customHeight="1" thickBot="1">
      <c r="A487" s="885"/>
      <c r="B487" s="273"/>
      <c r="C487" s="231"/>
      <c r="D487" s="232"/>
      <c r="E487" s="233"/>
      <c r="F487" s="234"/>
      <c r="G487" s="232"/>
      <c r="H487" s="232"/>
      <c r="I487" s="233"/>
      <c r="J487" s="234"/>
      <c r="K487" s="232"/>
      <c r="L487" s="232"/>
      <c r="M487" s="233"/>
      <c r="N487" s="234"/>
      <c r="O487" s="232"/>
      <c r="P487" s="232"/>
      <c r="Q487" s="233"/>
      <c r="R487" s="234"/>
      <c r="S487" s="232"/>
      <c r="T487" s="232"/>
      <c r="U487" s="233"/>
      <c r="V487" s="234"/>
      <c r="W487" s="232"/>
      <c r="X487" s="232"/>
      <c r="Y487" s="233"/>
      <c r="Z487" s="234"/>
      <c r="AA487" s="232"/>
      <c r="AB487" s="232"/>
      <c r="AC487" s="233"/>
      <c r="AD487" s="234"/>
      <c r="AE487" s="233"/>
      <c r="AH487" s="354">
        <f t="shared" si="104"/>
        <v>0</v>
      </c>
      <c r="AI487" s="354">
        <f>U487-O487</f>
        <v>0</v>
      </c>
      <c r="AJ487" s="354">
        <f t="shared" si="103"/>
        <v>0</v>
      </c>
    </row>
    <row r="488" spans="1:40" ht="12.95" hidden="1" customHeight="1" thickBot="1">
      <c r="A488" s="885"/>
      <c r="B488" s="273"/>
      <c r="C488" s="231"/>
      <c r="D488" s="232"/>
      <c r="E488" s="233"/>
      <c r="F488" s="234"/>
      <c r="G488" s="232"/>
      <c r="H488" s="232"/>
      <c r="I488" s="233"/>
      <c r="J488" s="234"/>
      <c r="K488" s="232"/>
      <c r="L488" s="232"/>
      <c r="M488" s="233"/>
      <c r="N488" s="234"/>
      <c r="O488" s="232"/>
      <c r="P488" s="232"/>
      <c r="Q488" s="233"/>
      <c r="R488" s="234"/>
      <c r="S488" s="232"/>
      <c r="T488" s="232"/>
      <c r="U488" s="233"/>
      <c r="V488" s="234"/>
      <c r="W488" s="232"/>
      <c r="X488" s="232"/>
      <c r="Y488" s="233"/>
      <c r="Z488" s="234"/>
      <c r="AA488" s="232"/>
      <c r="AB488" s="232"/>
      <c r="AC488" s="233"/>
      <c r="AD488" s="234"/>
      <c r="AE488" s="233"/>
      <c r="AH488" s="354">
        <f t="shared" si="104"/>
        <v>0</v>
      </c>
      <c r="AI488" s="354">
        <f>U488-O488</f>
        <v>0</v>
      </c>
      <c r="AJ488" s="354">
        <f t="shared" si="103"/>
        <v>0</v>
      </c>
    </row>
    <row r="489" spans="1:40" ht="12.95" customHeight="1" thickBot="1">
      <c r="A489" s="885"/>
      <c r="B489" s="3" t="s">
        <v>34</v>
      </c>
      <c r="C489" s="12"/>
      <c r="D489" s="1377">
        <v>2008</v>
      </c>
      <c r="E489" s="1378"/>
      <c r="F489" s="1372">
        <v>2009</v>
      </c>
      <c r="G489" s="1373"/>
      <c r="H489" s="1373"/>
      <c r="I489" s="1374"/>
      <c r="J489" s="1372">
        <v>2010</v>
      </c>
      <c r="K489" s="1373"/>
      <c r="L489" s="1373"/>
      <c r="M489" s="1374"/>
      <c r="N489" s="1372">
        <v>2011</v>
      </c>
      <c r="O489" s="1373"/>
      <c r="P489" s="1373"/>
      <c r="Q489" s="1374"/>
      <c r="R489" s="1372">
        <v>2012</v>
      </c>
      <c r="S489" s="1373"/>
      <c r="T489" s="1373"/>
      <c r="U489" s="1374"/>
      <c r="V489" s="1372">
        <v>2013</v>
      </c>
      <c r="W489" s="1373"/>
      <c r="X489" s="1373"/>
      <c r="Y489" s="1374"/>
      <c r="Z489" s="1372">
        <v>2014</v>
      </c>
      <c r="AA489" s="1373"/>
      <c r="AB489" s="1373"/>
      <c r="AC489" s="1374"/>
      <c r="AD489" s="1372">
        <v>2015</v>
      </c>
      <c r="AE489" s="1374"/>
      <c r="AG489" s="257" t="s">
        <v>663</v>
      </c>
    </row>
    <row r="490" spans="1:40" ht="13.5" thickBot="1">
      <c r="A490" s="885"/>
      <c r="B490" s="868" t="s">
        <v>68</v>
      </c>
      <c r="C490" s="194" t="s">
        <v>610</v>
      </c>
      <c r="D490" s="206"/>
      <c r="E490" s="207"/>
      <c r="F490" s="209"/>
      <c r="G490" s="206"/>
      <c r="H490" s="206"/>
      <c r="I490" s="207"/>
      <c r="J490" s="209"/>
      <c r="K490" s="206"/>
      <c r="L490" s="206"/>
      <c r="M490" s="207"/>
      <c r="N490" s="277"/>
      <c r="O490" s="278">
        <f>(O500-H500)/7/$C$698/Spend!O490*'State Efficiency Ratios'!$C$655</f>
        <v>66.902278262345675</v>
      </c>
      <c r="P490" s="278"/>
      <c r="Q490" s="279"/>
      <c r="R490" s="277"/>
      <c r="S490" s="278"/>
      <c r="T490" s="278"/>
      <c r="U490" s="278">
        <f>(U500-O500)/6/$C$698/Spend!U490*'State Efficiency Ratios'!$C$655</f>
        <v>-20.817014485229741</v>
      </c>
      <c r="V490" s="277"/>
      <c r="W490" s="278"/>
      <c r="X490" s="278"/>
      <c r="Y490" s="278">
        <f>(Y500-U500)/4/$C$698/Spend!Y490*'State Efficiency Ratios'!$C$655</f>
        <v>214.90662137331904</v>
      </c>
      <c r="Z490" s="277"/>
      <c r="AA490" s="278"/>
      <c r="AB490" s="278"/>
      <c r="AC490" s="278">
        <f>(AC500-Y500)/4/$C$698/Spend!AC490*'State Efficiency Ratios'!$C$655</f>
        <v>-743.33091957165175</v>
      </c>
      <c r="AD490" s="208"/>
      <c r="AE490" s="213"/>
      <c r="AG490" s="295"/>
      <c r="AH490" s="356">
        <f>SUM(AH477:AH484)/8</f>
        <v>1.1375</v>
      </c>
      <c r="AI490" s="356">
        <f>SUM(AI477:AI484)/8</f>
        <v>0.5</v>
      </c>
      <c r="AJ490" s="356" t="e">
        <f>SUM(AJ477:AJ484)/8</f>
        <v>#VALUE!</v>
      </c>
      <c r="AN490" s="385">
        <f>(O500-H500)/7/$C$673/Spend!O490*'State Efficiency Ratios'!$C$655</f>
        <v>66.902278262345675</v>
      </c>
    </row>
    <row r="491" spans="1:40" ht="13.5" thickBot="1">
      <c r="A491" s="885"/>
      <c r="B491" s="885"/>
      <c r="C491" s="194" t="s">
        <v>611</v>
      </c>
      <c r="D491" s="206"/>
      <c r="E491" s="207"/>
      <c r="F491" s="209"/>
      <c r="G491" s="206"/>
      <c r="H491" s="206"/>
      <c r="I491" s="207"/>
      <c r="J491" s="209"/>
      <c r="K491" s="206"/>
      <c r="L491" s="206"/>
      <c r="M491" s="207"/>
      <c r="N491" s="277"/>
      <c r="O491" s="278">
        <f>(O501-H501)/7/$C$698/Spend!O491*'State Efficiency Ratios'!$C$655</f>
        <v>49.662783108194965</v>
      </c>
      <c r="P491" s="278"/>
      <c r="Q491" s="279"/>
      <c r="R491" s="277"/>
      <c r="S491" s="278"/>
      <c r="T491" s="278"/>
      <c r="U491" s="278">
        <f>(U501-O501)/6/$C$698/Spend!U491*'State Efficiency Ratios'!$C$655</f>
        <v>22.590577529393119</v>
      </c>
      <c r="V491" s="277"/>
      <c r="W491" s="278"/>
      <c r="X491" s="278"/>
      <c r="Y491" s="278">
        <f>(Y501-U501)/4/$C$698/Spend!Y491*'State Efficiency Ratios'!$C$655</f>
        <v>256.56171181551156</v>
      </c>
      <c r="Z491" s="277"/>
      <c r="AA491" s="278"/>
      <c r="AB491" s="278"/>
      <c r="AC491" s="278">
        <f>(AC501-Y501)/4/$C$698/Spend!AC491*'State Efficiency Ratios'!$C$655</f>
        <v>-881.58686089468029</v>
      </c>
      <c r="AD491" s="208"/>
      <c r="AE491" s="213"/>
      <c r="AG491" s="295"/>
      <c r="AH491" s="378">
        <f>AH490/AI490*100</f>
        <v>227.5</v>
      </c>
      <c r="AN491" s="385">
        <f>(O501-H501)/7/$C$673/Spend!O491*'State Efficiency Ratios'!$C$655</f>
        <v>49.662783108194965</v>
      </c>
    </row>
    <row r="492" spans="1:40" ht="13.5" thickBot="1">
      <c r="A492" s="885"/>
      <c r="B492" s="885"/>
      <c r="C492" s="194" t="s">
        <v>612</v>
      </c>
      <c r="D492" s="206"/>
      <c r="E492" s="207"/>
      <c r="F492" s="209"/>
      <c r="G492" s="206"/>
      <c r="H492" s="206"/>
      <c r="I492" s="207"/>
      <c r="J492" s="209"/>
      <c r="K492" s="206"/>
      <c r="L492" s="206"/>
      <c r="M492" s="207"/>
      <c r="N492" s="277"/>
      <c r="O492" s="278">
        <f>(O502-H502)/7/$C$698/Spend!O492*'State Efficiency Ratios'!$C$655</f>
        <v>0</v>
      </c>
      <c r="P492" s="278"/>
      <c r="Q492" s="279"/>
      <c r="R492" s="277"/>
      <c r="S492" s="278"/>
      <c r="T492" s="278"/>
      <c r="U492" s="278">
        <f>(U502-O502)/6/$C$698/Spend!U492*'State Efficiency Ratios'!$C$655</f>
        <v>127.30532626417016</v>
      </c>
      <c r="V492" s="277"/>
      <c r="W492" s="278"/>
      <c r="X492" s="278"/>
      <c r="Y492" s="278">
        <f>(Y502-U502)/4/$C$698/Spend!Y492*'State Efficiency Ratios'!$C$655</f>
        <v>99.031851473894847</v>
      </c>
      <c r="Z492" s="277"/>
      <c r="AA492" s="278"/>
      <c r="AB492" s="278"/>
      <c r="AC492" s="278">
        <f>(AC502-Y502)/4/$C$698/Spend!AC492*'State Efficiency Ratios'!$C$655</f>
        <v>-741.90773284541376</v>
      </c>
      <c r="AD492" s="208"/>
      <c r="AE492" s="213"/>
      <c r="AG492" s="295"/>
      <c r="AN492" s="385">
        <f>(O502-H502)/7/$C$673/Spend!O492*'State Efficiency Ratios'!$C$655</f>
        <v>0</v>
      </c>
    </row>
    <row r="493" spans="1:40" ht="13.5" thickBot="1">
      <c r="A493" s="885"/>
      <c r="B493" s="885"/>
      <c r="C493" s="194" t="s">
        <v>613</v>
      </c>
      <c r="D493" s="206"/>
      <c r="E493" s="207"/>
      <c r="F493" s="209"/>
      <c r="G493" s="206"/>
      <c r="H493" s="206"/>
      <c r="I493" s="207"/>
      <c r="J493" s="209"/>
      <c r="K493" s="206"/>
      <c r="L493" s="206"/>
      <c r="M493" s="207"/>
      <c r="N493" s="277"/>
      <c r="O493" s="278">
        <f>(O503-H503)/7/$C$698/Spend!O493*'State Efficiency Ratios'!$C$655</f>
        <v>43.747500083875671</v>
      </c>
      <c r="P493" s="278"/>
      <c r="Q493" s="279"/>
      <c r="R493" s="277"/>
      <c r="S493" s="278"/>
      <c r="T493" s="278"/>
      <c r="U493" s="278">
        <f>(U503-O503)/6/$C$698/Spend!U493*'State Efficiency Ratios'!$C$655</f>
        <v>-32.692500683209587</v>
      </c>
      <c r="V493" s="277"/>
      <c r="W493" s="278"/>
      <c r="X493" s="278"/>
      <c r="Y493" s="278">
        <f>(Y503-U503)/4/$C$698/Spend!Y493*'State Efficiency Ratios'!$C$655</f>
        <v>327.40232333394209</v>
      </c>
      <c r="Z493" s="277"/>
      <c r="AA493" s="278"/>
      <c r="AB493" s="278"/>
      <c r="AC493" s="278">
        <f>(AC503-Y503)/4/$C$698/Spend!AC493*'State Efficiency Ratios'!$C$655</f>
        <v>-734.23046946245233</v>
      </c>
      <c r="AD493" s="208"/>
      <c r="AE493" s="213"/>
      <c r="AG493" s="295"/>
      <c r="AN493" s="385">
        <f>(O503-H503)/7/$C$673/Spend!O493*'State Efficiency Ratios'!$C$655</f>
        <v>43.747500083875671</v>
      </c>
    </row>
    <row r="494" spans="1:40" ht="13.5" thickBot="1">
      <c r="A494" s="885"/>
      <c r="B494" s="885"/>
      <c r="C494" s="194" t="s">
        <v>614</v>
      </c>
      <c r="D494" s="206"/>
      <c r="E494" s="207"/>
      <c r="F494" s="209"/>
      <c r="G494" s="206"/>
      <c r="H494" s="206"/>
      <c r="I494" s="207"/>
      <c r="J494" s="209"/>
      <c r="K494" s="206"/>
      <c r="L494" s="206"/>
      <c r="M494" s="207"/>
      <c r="N494" s="277"/>
      <c r="O494" s="278">
        <f>(O504-H504)/7/$C$698/Spend!O494*'State Efficiency Ratios'!$C$655</f>
        <v>34.540696470385292</v>
      </c>
      <c r="P494" s="278"/>
      <c r="Q494" s="279"/>
      <c r="R494" s="277"/>
      <c r="S494" s="278"/>
      <c r="T494" s="278"/>
      <c r="U494" s="278">
        <f>(U504-O504)/6/$C$698/Spend!U494*'State Efficiency Ratios'!$C$655</f>
        <v>-28.783509260571574</v>
      </c>
      <c r="V494" s="277"/>
      <c r="W494" s="278"/>
      <c r="X494" s="278"/>
      <c r="Y494" s="278">
        <f>(Y504-U504)/4/$C$698/Spend!Y494*'State Efficiency Ratios'!$C$655</f>
        <v>99.706216696842176</v>
      </c>
      <c r="Z494" s="277"/>
      <c r="AA494" s="278"/>
      <c r="AB494" s="278"/>
      <c r="AC494" s="278">
        <f>(AC504-Y504)/4/$C$698/Spend!AC494*'State Efficiency Ratios'!$C$655</f>
        <v>-622.25020706512225</v>
      </c>
      <c r="AD494" s="208"/>
      <c r="AE494" s="213"/>
      <c r="AG494" s="295"/>
      <c r="AN494" s="385">
        <f>(O504-H504)/7/$C$673/Spend!O494*'State Efficiency Ratios'!$C$655</f>
        <v>34.540696470385292</v>
      </c>
    </row>
    <row r="495" spans="1:40" ht="12.95" customHeight="1" thickBot="1">
      <c r="A495" s="885"/>
      <c r="B495" s="885"/>
      <c r="C495" s="194" t="s">
        <v>615</v>
      </c>
      <c r="D495" s="210"/>
      <c r="E495" s="211"/>
      <c r="F495" s="209"/>
      <c r="G495" s="210"/>
      <c r="H495" s="210"/>
      <c r="I495" s="211"/>
      <c r="J495" s="209"/>
      <c r="K495" s="210"/>
      <c r="L495" s="210"/>
      <c r="M495" s="211"/>
      <c r="N495" s="281"/>
      <c r="O495" s="282"/>
      <c r="P495" s="282"/>
      <c r="Q495" s="282"/>
      <c r="R495" s="277"/>
      <c r="S495" s="278"/>
      <c r="T495" s="278"/>
      <c r="U495" s="278">
        <f>(U505-R505)/3/$C$698/Spend!U495*'State Efficiency Ratios'!$C$655</f>
        <v>0</v>
      </c>
      <c r="V495" s="277"/>
      <c r="W495" s="278"/>
      <c r="X495" s="278"/>
      <c r="Y495" s="278">
        <f>(Y505-U505)/4/$C$698/Spend!Y495*'State Efficiency Ratios'!$C$655</f>
        <v>943.05990502115844</v>
      </c>
      <c r="Z495" s="277"/>
      <c r="AA495" s="278"/>
      <c r="AB495" s="278"/>
      <c r="AC495" s="278">
        <f>(AC505-Y505)/4/$C$698/Spend!AC495*'State Efficiency Ratios'!$C$655</f>
        <v>-787.18557135014589</v>
      </c>
      <c r="AD495" s="208"/>
      <c r="AE495" s="213"/>
      <c r="AG495" s="295"/>
      <c r="AN495" s="385">
        <f>(Y505-R505)/7/$C$673/(Spend!U495+Spend!Y495)*'State Efficiency Ratios'!$C$655</f>
        <v>214.02354773239347</v>
      </c>
    </row>
    <row r="496" spans="1:40" ht="12.95" customHeight="1" thickBot="1">
      <c r="A496" s="885"/>
      <c r="B496" s="885"/>
      <c r="C496" s="194" t="s">
        <v>616</v>
      </c>
      <c r="D496" s="210"/>
      <c r="E496" s="211"/>
      <c r="F496" s="209"/>
      <c r="G496" s="210"/>
      <c r="H496" s="210"/>
      <c r="I496" s="211"/>
      <c r="J496" s="209"/>
      <c r="K496" s="210"/>
      <c r="L496" s="210"/>
      <c r="M496" s="211"/>
      <c r="N496" s="281"/>
      <c r="O496" s="282"/>
      <c r="P496" s="282"/>
      <c r="Q496" s="282"/>
      <c r="R496" s="277"/>
      <c r="S496" s="278"/>
      <c r="T496" s="278"/>
      <c r="U496" s="278">
        <f>(U506-R506)/3/$C$698/Spend!U496*'State Efficiency Ratios'!$C$655</f>
        <v>0</v>
      </c>
      <c r="V496" s="277"/>
      <c r="W496" s="278"/>
      <c r="X496" s="278"/>
      <c r="Y496" s="278">
        <f>(Y506-U506)/4/$C$698/Spend!Y496*'State Efficiency Ratios'!$C$655</f>
        <v>237.28850546784159</v>
      </c>
      <c r="Z496" s="277"/>
      <c r="AA496" s="278"/>
      <c r="AB496" s="278"/>
      <c r="AC496" s="278">
        <f>(AC506-Y506)/4/$C$698/Spend!AC496*'State Efficiency Ratios'!$C$655</f>
        <v>-652.78007700435001</v>
      </c>
      <c r="AD496" s="208"/>
      <c r="AE496" s="213"/>
      <c r="AG496" s="295"/>
      <c r="AN496" s="385">
        <f>(Y506-R506)/7/$C$673/(Spend!U496+Spend!Y496)*'State Efficiency Ratios'!$C$655</f>
        <v>54.079751199092037</v>
      </c>
    </row>
    <row r="497" spans="1:40" ht="12.95" customHeight="1" thickBot="1">
      <c r="A497" s="885"/>
      <c r="B497" s="885"/>
      <c r="C497" s="194" t="s">
        <v>617</v>
      </c>
      <c r="D497" s="210"/>
      <c r="E497" s="211"/>
      <c r="F497" s="209"/>
      <c r="G497" s="210"/>
      <c r="H497" s="210"/>
      <c r="I497" s="211"/>
      <c r="J497" s="209"/>
      <c r="K497" s="210"/>
      <c r="L497" s="210"/>
      <c r="M497" s="211"/>
      <c r="N497" s="281"/>
      <c r="O497" s="282"/>
      <c r="P497" s="282"/>
      <c r="Q497" s="282"/>
      <c r="R497" s="277"/>
      <c r="S497" s="278"/>
      <c r="T497" s="278"/>
      <c r="U497" s="278">
        <f>(U507-R507)/3/$C$698/Spend!U497*'State Efficiency Ratios'!$C$655</f>
        <v>0</v>
      </c>
      <c r="V497" s="277"/>
      <c r="W497" s="278"/>
      <c r="X497" s="278"/>
      <c r="Y497" s="278">
        <f>(Y507-U507)/4/$C$698/Spend!Y497*'State Efficiency Ratios'!$C$655</f>
        <v>36.171985538119024</v>
      </c>
      <c r="Z497" s="277"/>
      <c r="AA497" s="278"/>
      <c r="AB497" s="278"/>
      <c r="AC497" s="278">
        <f>(AC507-Y507)/4/$C$698/Spend!AC497*'State Efficiency Ratios'!$C$655</f>
        <v>-383.91964905178924</v>
      </c>
      <c r="AD497" s="208"/>
      <c r="AE497" s="213"/>
      <c r="AG497" s="295"/>
      <c r="AN497" s="385">
        <f>(Y507-R507)/7/$C$673/(Spend!U497+Spend!Y497)*'State Efficiency Ratios'!$C$655</f>
        <v>13.963702260211591</v>
      </c>
    </row>
    <row r="498" spans="1:40" ht="12.95" customHeight="1" thickBot="1">
      <c r="A498" s="885"/>
      <c r="B498" s="885"/>
      <c r="C498" s="194" t="s">
        <v>618</v>
      </c>
      <c r="D498" s="210"/>
      <c r="E498" s="211"/>
      <c r="F498" s="209"/>
      <c r="G498" s="210"/>
      <c r="H498" s="210"/>
      <c r="I498" s="211"/>
      <c r="J498" s="209"/>
      <c r="K498" s="210"/>
      <c r="L498" s="210"/>
      <c r="M498" s="211"/>
      <c r="N498" s="281"/>
      <c r="O498" s="282"/>
      <c r="P498" s="282"/>
      <c r="Q498" s="283"/>
      <c r="R498" s="281"/>
      <c r="S498" s="282"/>
      <c r="T498" s="282"/>
      <c r="U498" s="283"/>
      <c r="V498" s="281"/>
      <c r="W498" s="282"/>
      <c r="X498" s="282"/>
      <c r="Y498" s="283"/>
      <c r="Z498" s="277"/>
      <c r="AA498" s="278"/>
      <c r="AB498" s="278"/>
      <c r="AC498" s="278">
        <f>(AC508-Y508)/4/$C$698/Spend!AC498*'State Efficiency Ratios'!$C$655</f>
        <v>-354.32006672381107</v>
      </c>
      <c r="AD498" s="208"/>
      <c r="AE498" s="213"/>
      <c r="AG498" s="295"/>
    </row>
    <row r="499" spans="1:40" ht="12.95" customHeight="1" thickBot="1">
      <c r="A499" s="885"/>
      <c r="B499" s="885"/>
      <c r="C499" s="194" t="s">
        <v>619</v>
      </c>
      <c r="D499" s="210"/>
      <c r="E499" s="211"/>
      <c r="F499" s="209"/>
      <c r="G499" s="210"/>
      <c r="H499" s="210"/>
      <c r="I499" s="211"/>
      <c r="J499" s="209"/>
      <c r="K499" s="210"/>
      <c r="L499" s="210"/>
      <c r="M499" s="211"/>
      <c r="N499" s="281"/>
      <c r="O499" s="282"/>
      <c r="P499" s="282"/>
      <c r="Q499" s="283"/>
      <c r="R499" s="281"/>
      <c r="S499" s="282"/>
      <c r="T499" s="282"/>
      <c r="U499" s="283"/>
      <c r="V499" s="281"/>
      <c r="W499" s="282"/>
      <c r="X499" s="282"/>
      <c r="Y499" s="283"/>
      <c r="Z499" s="277"/>
      <c r="AA499" s="278"/>
      <c r="AB499" s="278"/>
      <c r="AC499" s="278">
        <f>(AC509-Y509)/4/$C$698/Spend!AC499*'State Efficiency Ratios'!$C$655</f>
        <v>-222.93221859898048</v>
      </c>
      <c r="AD499" s="208"/>
      <c r="AE499" s="213"/>
      <c r="AG499" s="295"/>
      <c r="AN499" s="4">
        <f>SUM(AN500:AN504)/5</f>
        <v>2.1</v>
      </c>
    </row>
    <row r="500" spans="1:40" ht="13.5" thickBot="1">
      <c r="A500" s="885"/>
      <c r="B500" s="885"/>
      <c r="C500" s="9" t="s">
        <v>295</v>
      </c>
      <c r="D500" s="241" t="s">
        <v>632</v>
      </c>
      <c r="E500" s="241" t="s">
        <v>632</v>
      </c>
      <c r="F500" s="243" t="s">
        <v>646</v>
      </c>
      <c r="G500" s="241" t="s">
        <v>646</v>
      </c>
      <c r="H500" s="196">
        <f>'State DisAgg LFx10 (2015)'!D490</f>
        <v>1</v>
      </c>
      <c r="I500" s="244" t="s">
        <v>646</v>
      </c>
      <c r="J500" s="195"/>
      <c r="K500" s="196"/>
      <c r="L500" s="196"/>
      <c r="M500" s="197"/>
      <c r="N500" s="195"/>
      <c r="O500" s="196">
        <f>'State DisAgg LFx10 (2015)'!H500</f>
        <v>2.5</v>
      </c>
      <c r="P500" s="196"/>
      <c r="Q500" s="197"/>
      <c r="R500" s="195"/>
      <c r="S500" s="196"/>
      <c r="T500" s="196"/>
      <c r="U500" s="197">
        <f>'State DisAgg LFx10 (2015)'!L500</f>
        <v>2.2999999999999998</v>
      </c>
      <c r="V500" s="195"/>
      <c r="W500" s="196"/>
      <c r="X500" s="196"/>
      <c r="Y500" s="197">
        <f>'State DisAgg LFx10 (2015)'!P500</f>
        <v>3</v>
      </c>
      <c r="Z500" s="195"/>
      <c r="AA500" s="196"/>
      <c r="AB500" s="196"/>
      <c r="AC500" s="197">
        <f>'State DisAgg LFx10 (2015)'!T500</f>
        <v>0</v>
      </c>
      <c r="AD500" s="195"/>
      <c r="AE500" s="197"/>
      <c r="AH500" s="354">
        <f>Y500-U500</f>
        <v>0.70000000000000018</v>
      </c>
      <c r="AI500" s="354">
        <f>U500-O500</f>
        <v>-0.20000000000000018</v>
      </c>
      <c r="AJ500" s="354">
        <f t="shared" ref="AJ500:AJ511" si="108">O500-J500</f>
        <v>2.5</v>
      </c>
      <c r="AN500" s="384">
        <f>(O500-J500)</f>
        <v>2.5</v>
      </c>
    </row>
    <row r="501" spans="1:40" ht="13.5" thickBot="1">
      <c r="A501" s="885"/>
      <c r="B501" s="885"/>
      <c r="C501" s="9" t="s">
        <v>296</v>
      </c>
      <c r="D501" s="241" t="s">
        <v>632</v>
      </c>
      <c r="E501" s="241" t="s">
        <v>632</v>
      </c>
      <c r="F501" s="243" t="s">
        <v>646</v>
      </c>
      <c r="G501" s="241" t="s">
        <v>646</v>
      </c>
      <c r="H501" s="196">
        <f>'State DisAgg LFx10 (2015)'!D491</f>
        <v>1</v>
      </c>
      <c r="I501" s="244" t="s">
        <v>646</v>
      </c>
      <c r="J501" s="195"/>
      <c r="K501" s="196"/>
      <c r="L501" s="196"/>
      <c r="M501" s="197"/>
      <c r="N501" s="195"/>
      <c r="O501" s="196">
        <f>'State DisAgg LFx10 (2015)'!H501</f>
        <v>2</v>
      </c>
      <c r="P501" s="196"/>
      <c r="Q501" s="197"/>
      <c r="R501" s="195"/>
      <c r="S501" s="196"/>
      <c r="T501" s="196"/>
      <c r="U501" s="197">
        <f>'State DisAgg LFx10 (2015)'!L501</f>
        <v>2.2000000000000002</v>
      </c>
      <c r="V501" s="195"/>
      <c r="W501" s="196"/>
      <c r="X501" s="196"/>
      <c r="Y501" s="197">
        <f>'State DisAgg LFx10 (2015)'!P501</f>
        <v>3</v>
      </c>
      <c r="Z501" s="195"/>
      <c r="AA501" s="196"/>
      <c r="AB501" s="196"/>
      <c r="AC501" s="197">
        <f>'State DisAgg LFx10 (2015)'!T501</f>
        <v>0</v>
      </c>
      <c r="AD501" s="195"/>
      <c r="AE501" s="197"/>
      <c r="AH501" s="354">
        <f t="shared" ref="AH501:AH511" si="109">Y501-U501</f>
        <v>0.79999999999999982</v>
      </c>
      <c r="AI501" s="354">
        <f>U501-O501</f>
        <v>0.20000000000000018</v>
      </c>
      <c r="AJ501" s="354">
        <f t="shared" si="108"/>
        <v>2</v>
      </c>
      <c r="AN501" s="384">
        <f t="shared" ref="AN501:AN504" si="110">(O501-J501)</f>
        <v>2</v>
      </c>
    </row>
    <row r="502" spans="1:40" ht="13.5" thickBot="1">
      <c r="A502" s="885"/>
      <c r="B502" s="885"/>
      <c r="C502" s="9" t="s">
        <v>297</v>
      </c>
      <c r="D502" s="241" t="s">
        <v>632</v>
      </c>
      <c r="E502" s="241" t="s">
        <v>632</v>
      </c>
      <c r="F502" s="243" t="s">
        <v>646</v>
      </c>
      <c r="G502" s="241" t="s">
        <v>646</v>
      </c>
      <c r="H502" s="196">
        <f>'State DisAgg LFx10 (2015)'!D492</f>
        <v>1</v>
      </c>
      <c r="I502" s="244" t="s">
        <v>646</v>
      </c>
      <c r="J502" s="195"/>
      <c r="K502" s="196"/>
      <c r="L502" s="196"/>
      <c r="M502" s="197"/>
      <c r="N502" s="195"/>
      <c r="O502" s="196">
        <f>'State DisAgg LFx10 (2015)'!H502</f>
        <v>1</v>
      </c>
      <c r="P502" s="196"/>
      <c r="Q502" s="197"/>
      <c r="R502" s="195"/>
      <c r="S502" s="196"/>
      <c r="T502" s="196"/>
      <c r="U502" s="197">
        <f>'State DisAgg LFx10 (2015)'!L502</f>
        <v>2.2999999999999998</v>
      </c>
      <c r="V502" s="195"/>
      <c r="W502" s="196"/>
      <c r="X502" s="196"/>
      <c r="Y502" s="197">
        <f>'State DisAgg LFx10 (2015)'!P502</f>
        <v>2.6</v>
      </c>
      <c r="Z502" s="195"/>
      <c r="AA502" s="196"/>
      <c r="AB502" s="196"/>
      <c r="AC502" s="197">
        <f>'State DisAgg LFx10 (2015)'!T502</f>
        <v>0</v>
      </c>
      <c r="AD502" s="195"/>
      <c r="AE502" s="197"/>
      <c r="AH502" s="354">
        <f t="shared" si="109"/>
        <v>0.30000000000000027</v>
      </c>
      <c r="AI502" s="354">
        <f>U502-O502</f>
        <v>1.2999999999999998</v>
      </c>
      <c r="AJ502" s="354">
        <f t="shared" si="108"/>
        <v>1</v>
      </c>
      <c r="AN502" s="384">
        <f t="shared" si="110"/>
        <v>1</v>
      </c>
    </row>
    <row r="503" spans="1:40" ht="13.5" thickBot="1">
      <c r="A503" s="885"/>
      <c r="B503" s="885"/>
      <c r="C503" s="9" t="s">
        <v>298</v>
      </c>
      <c r="D503" s="241" t="s">
        <v>632</v>
      </c>
      <c r="E503" s="241" t="s">
        <v>632</v>
      </c>
      <c r="F503" s="243" t="s">
        <v>646</v>
      </c>
      <c r="G503" s="241" t="s">
        <v>646</v>
      </c>
      <c r="H503" s="196">
        <f>'State DisAgg LFx10 (2015)'!D493</f>
        <v>1</v>
      </c>
      <c r="I503" s="244" t="s">
        <v>646</v>
      </c>
      <c r="J503" s="195"/>
      <c r="K503" s="196"/>
      <c r="L503" s="196"/>
      <c r="M503" s="197"/>
      <c r="N503" s="195"/>
      <c r="O503" s="196">
        <f>'State DisAgg LFx10 (2015)'!H503</f>
        <v>2</v>
      </c>
      <c r="P503" s="196"/>
      <c r="Q503" s="197"/>
      <c r="R503" s="195"/>
      <c r="S503" s="196"/>
      <c r="T503" s="196"/>
      <c r="U503" s="197">
        <f>'State DisAgg LFx10 (2015)'!L503</f>
        <v>1.6</v>
      </c>
      <c r="V503" s="195"/>
      <c r="W503" s="196"/>
      <c r="X503" s="196"/>
      <c r="Y503" s="197">
        <f>'State DisAgg LFx10 (2015)'!P503</f>
        <v>2.6</v>
      </c>
      <c r="Z503" s="195"/>
      <c r="AA503" s="196"/>
      <c r="AB503" s="196"/>
      <c r="AC503" s="197">
        <f>'State DisAgg LFx10 (2015)'!T503</f>
        <v>0</v>
      </c>
      <c r="AD503" s="195"/>
      <c r="AE503" s="197"/>
      <c r="AH503" s="354">
        <f t="shared" si="109"/>
        <v>1</v>
      </c>
      <c r="AI503" s="354">
        <f>U503-O503</f>
        <v>-0.39999999999999991</v>
      </c>
      <c r="AJ503" s="354">
        <f t="shared" si="108"/>
        <v>2</v>
      </c>
      <c r="AN503" s="384">
        <f t="shared" si="110"/>
        <v>2</v>
      </c>
    </row>
    <row r="504" spans="1:40" ht="13.5" thickBot="1">
      <c r="A504" s="885"/>
      <c r="B504" s="885"/>
      <c r="C504" s="9" t="s">
        <v>299</v>
      </c>
      <c r="D504" s="241" t="s">
        <v>632</v>
      </c>
      <c r="E504" s="241" t="s">
        <v>632</v>
      </c>
      <c r="F504" s="243" t="s">
        <v>646</v>
      </c>
      <c r="G504" s="241" t="s">
        <v>646</v>
      </c>
      <c r="H504" s="196">
        <f>'State DisAgg LFx10 (2015)'!D494</f>
        <v>2</v>
      </c>
      <c r="I504" s="244" t="s">
        <v>646</v>
      </c>
      <c r="J504" s="195"/>
      <c r="K504" s="196"/>
      <c r="L504" s="196"/>
      <c r="M504" s="197"/>
      <c r="N504" s="195"/>
      <c r="O504" s="196">
        <f>'State DisAgg LFx10 (2015)'!H504</f>
        <v>3</v>
      </c>
      <c r="P504" s="196"/>
      <c r="Q504" s="197"/>
      <c r="R504" s="195"/>
      <c r="S504" s="196"/>
      <c r="T504" s="196"/>
      <c r="U504" s="197">
        <f>'State DisAgg LFx10 (2015)'!L504</f>
        <v>2.7</v>
      </c>
      <c r="V504" s="195"/>
      <c r="W504" s="196"/>
      <c r="X504" s="196"/>
      <c r="Y504" s="197">
        <f>'State DisAgg LFx10 (2015)'!P504</f>
        <v>3</v>
      </c>
      <c r="Z504" s="195"/>
      <c r="AA504" s="196"/>
      <c r="AB504" s="196"/>
      <c r="AC504" s="197">
        <f>'State DisAgg LFx10 (2015)'!T504</f>
        <v>0</v>
      </c>
      <c r="AD504" s="195"/>
      <c r="AE504" s="197"/>
      <c r="AH504" s="354">
        <f t="shared" si="109"/>
        <v>0.29999999999999982</v>
      </c>
      <c r="AI504" s="354">
        <f>U504-O504</f>
        <v>-0.29999999999999982</v>
      </c>
      <c r="AJ504" s="354">
        <f t="shared" si="108"/>
        <v>3</v>
      </c>
      <c r="AN504" s="384">
        <f t="shared" si="110"/>
        <v>3</v>
      </c>
    </row>
    <row r="505" spans="1:40" ht="13.5" thickBot="1">
      <c r="A505" s="885"/>
      <c r="B505" s="885"/>
      <c r="C505" s="9" t="s">
        <v>300</v>
      </c>
      <c r="D505" s="199"/>
      <c r="E505" s="200"/>
      <c r="F505" s="201"/>
      <c r="G505" s="199"/>
      <c r="H505" s="199"/>
      <c r="I505" s="200"/>
      <c r="J505" s="201"/>
      <c r="K505" s="199"/>
      <c r="L505" s="199"/>
      <c r="M505" s="200"/>
      <c r="N505" s="198"/>
      <c r="O505" s="217" t="s">
        <v>634</v>
      </c>
      <c r="P505" s="241" t="s">
        <v>632</v>
      </c>
      <c r="Q505" s="244" t="s">
        <v>646</v>
      </c>
      <c r="R505" s="195">
        <f>'State DisAgg LFx10 (2015)'!H495</f>
        <v>1</v>
      </c>
      <c r="S505" s="196"/>
      <c r="T505" s="196"/>
      <c r="U505" s="197">
        <f>'State DisAgg LFx10 (2015)'!L505</f>
        <v>1</v>
      </c>
      <c r="V505" s="195"/>
      <c r="W505" s="196"/>
      <c r="X505" s="196"/>
      <c r="Y505" s="197">
        <f>'State DisAgg LFx10 (2015)'!P505</f>
        <v>2.6</v>
      </c>
      <c r="Z505" s="195"/>
      <c r="AA505" s="196"/>
      <c r="AB505" s="196"/>
      <c r="AC505" s="197">
        <f>'State DisAgg LFx10 (2015)'!T505</f>
        <v>0</v>
      </c>
      <c r="AD505" s="195"/>
      <c r="AE505" s="197"/>
      <c r="AH505" s="354">
        <f t="shared" si="109"/>
        <v>1.6</v>
      </c>
      <c r="AI505" s="354">
        <f>U505-R505</f>
        <v>0</v>
      </c>
      <c r="AJ505" s="354" t="e">
        <f t="shared" si="108"/>
        <v>#VALUE!</v>
      </c>
      <c r="AN505" s="384">
        <f>(Y505-R505)</f>
        <v>1.6</v>
      </c>
    </row>
    <row r="506" spans="1:40" ht="13.5" thickBot="1">
      <c r="A506" s="885"/>
      <c r="B506" s="885"/>
      <c r="C506" s="9" t="s">
        <v>301</v>
      </c>
      <c r="D506" s="199"/>
      <c r="E506" s="200"/>
      <c r="F506" s="201"/>
      <c r="G506" s="199"/>
      <c r="H506" s="199"/>
      <c r="I506" s="200"/>
      <c r="J506" s="201"/>
      <c r="K506" s="199"/>
      <c r="L506" s="199"/>
      <c r="M506" s="200"/>
      <c r="N506" s="198"/>
      <c r="O506" s="217" t="s">
        <v>634</v>
      </c>
      <c r="P506" s="241" t="s">
        <v>632</v>
      </c>
      <c r="Q506" s="244" t="s">
        <v>646</v>
      </c>
      <c r="R506" s="195">
        <f>'State DisAgg LFx10 (2015)'!H496</f>
        <v>2</v>
      </c>
      <c r="S506" s="196"/>
      <c r="T506" s="196"/>
      <c r="U506" s="197">
        <f>'State DisAgg LFx10 (2015)'!L506</f>
        <v>2</v>
      </c>
      <c r="V506" s="195"/>
      <c r="W506" s="196"/>
      <c r="X506" s="196"/>
      <c r="Y506" s="197">
        <f>'State DisAgg LFx10 (2015)'!P506</f>
        <v>2.4</v>
      </c>
      <c r="Z506" s="195"/>
      <c r="AA506" s="196"/>
      <c r="AB506" s="196"/>
      <c r="AC506" s="197">
        <f>'State DisAgg LFx10 (2015)'!T506</f>
        <v>0</v>
      </c>
      <c r="AD506" s="195"/>
      <c r="AE506" s="197"/>
      <c r="AH506" s="354">
        <f t="shared" si="109"/>
        <v>0.39999999999999991</v>
      </c>
      <c r="AI506" s="354">
        <f t="shared" ref="AI506:AI507" si="111">U506-R506</f>
        <v>0</v>
      </c>
      <c r="AJ506" s="354" t="e">
        <f t="shared" si="108"/>
        <v>#VALUE!</v>
      </c>
      <c r="AN506" s="384">
        <f t="shared" ref="AN506:AN507" si="112">(Y506-R506)</f>
        <v>0.39999999999999991</v>
      </c>
    </row>
    <row r="507" spans="1:40" ht="13.5" thickBot="1">
      <c r="A507" s="885"/>
      <c r="B507" s="885"/>
      <c r="C507" s="9" t="s">
        <v>302</v>
      </c>
      <c r="D507" s="199"/>
      <c r="E507" s="200"/>
      <c r="F507" s="201"/>
      <c r="G507" s="199"/>
      <c r="H507" s="199"/>
      <c r="I507" s="200"/>
      <c r="J507" s="201"/>
      <c r="K507" s="199"/>
      <c r="L507" s="199"/>
      <c r="M507" s="200"/>
      <c r="N507" s="198"/>
      <c r="O507" s="217" t="s">
        <v>634</v>
      </c>
      <c r="P507" s="241" t="s">
        <v>632</v>
      </c>
      <c r="Q507" s="244" t="s">
        <v>646</v>
      </c>
      <c r="R507" s="195">
        <f>'State DisAgg LFx10 (2015)'!H497</f>
        <v>1.8</v>
      </c>
      <c r="S507" s="196"/>
      <c r="T507" s="196"/>
      <c r="U507" s="197">
        <f>'State DisAgg LFx10 (2015)'!L507</f>
        <v>1.8</v>
      </c>
      <c r="V507" s="195"/>
      <c r="W507" s="196"/>
      <c r="X507" s="196"/>
      <c r="Y507" s="197">
        <f>'State DisAgg LFx10 (2015)'!P507</f>
        <v>2</v>
      </c>
      <c r="Z507" s="195"/>
      <c r="AA507" s="196"/>
      <c r="AB507" s="196"/>
      <c r="AC507" s="197">
        <f>'State DisAgg LFx10 (2015)'!T507</f>
        <v>0</v>
      </c>
      <c r="AD507" s="195"/>
      <c r="AE507" s="197"/>
      <c r="AH507" s="354">
        <f t="shared" si="109"/>
        <v>0.19999999999999996</v>
      </c>
      <c r="AI507" s="354">
        <f t="shared" si="111"/>
        <v>0</v>
      </c>
      <c r="AJ507" s="354" t="e">
        <f t="shared" si="108"/>
        <v>#VALUE!</v>
      </c>
      <c r="AN507" s="384">
        <f t="shared" si="112"/>
        <v>0.19999999999999996</v>
      </c>
    </row>
    <row r="508" spans="1:40" ht="13.5" thickBot="1">
      <c r="A508" s="885"/>
      <c r="B508" s="885"/>
      <c r="C508" s="9" t="s">
        <v>303</v>
      </c>
      <c r="D508" s="202"/>
      <c r="E508" s="203"/>
      <c r="F508" s="201"/>
      <c r="G508" s="202"/>
      <c r="H508" s="202"/>
      <c r="I508" s="203"/>
      <c r="J508" s="201"/>
      <c r="K508" s="202"/>
      <c r="L508" s="202"/>
      <c r="M508" s="203"/>
      <c r="N508" s="204"/>
      <c r="O508" s="214"/>
      <c r="P508" s="205"/>
      <c r="Q508" s="205"/>
      <c r="R508" s="201"/>
      <c r="S508" s="202"/>
      <c r="T508" s="202"/>
      <c r="U508" s="203"/>
      <c r="V508" s="242"/>
      <c r="W508" s="217" t="s">
        <v>633</v>
      </c>
      <c r="X508" s="241" t="s">
        <v>632</v>
      </c>
      <c r="Y508" s="197">
        <f>'State DisAgg LFx10 (2015)'!P498</f>
        <v>1.1000000000000001</v>
      </c>
      <c r="Z508" s="195"/>
      <c r="AA508" s="196"/>
      <c r="AB508" s="196"/>
      <c r="AC508" s="197">
        <f>'State DisAgg LFx10 (2015)'!T508</f>
        <v>0</v>
      </c>
      <c r="AD508" s="195"/>
      <c r="AE508" s="197"/>
      <c r="AH508" s="354">
        <f t="shared" si="109"/>
        <v>1.1000000000000001</v>
      </c>
      <c r="AI508" s="354">
        <f>U508-O508</f>
        <v>0</v>
      </c>
      <c r="AJ508" s="354">
        <f t="shared" si="108"/>
        <v>0</v>
      </c>
      <c r="AN508" s="415">
        <f>SUM(AN505:AN507)/3</f>
        <v>0.73333333333333339</v>
      </c>
    </row>
    <row r="509" spans="1:40" ht="13.5" thickBot="1">
      <c r="A509" s="885"/>
      <c r="B509" s="885"/>
      <c r="C509" s="9" t="s">
        <v>304</v>
      </c>
      <c r="D509" s="202"/>
      <c r="E509" s="203"/>
      <c r="F509" s="201"/>
      <c r="G509" s="202"/>
      <c r="H509" s="202"/>
      <c r="I509" s="203"/>
      <c r="J509" s="201"/>
      <c r="K509" s="202"/>
      <c r="L509" s="202"/>
      <c r="M509" s="203"/>
      <c r="N509" s="204"/>
      <c r="O509" s="205"/>
      <c r="P509" s="205"/>
      <c r="Q509" s="205"/>
      <c r="R509" s="201"/>
      <c r="S509" s="202"/>
      <c r="T509" s="202"/>
      <c r="U509" s="203"/>
      <c r="V509" s="242"/>
      <c r="W509" s="217" t="s">
        <v>633</v>
      </c>
      <c r="X509" s="241" t="s">
        <v>632</v>
      </c>
      <c r="Y509" s="197">
        <f>'State DisAgg LFx10 (2015)'!P499</f>
        <v>1.1000000000000001</v>
      </c>
      <c r="Z509" s="195"/>
      <c r="AA509" s="196"/>
      <c r="AB509" s="196"/>
      <c r="AC509" s="197">
        <f>'State DisAgg LFx10 (2015)'!T509</f>
        <v>0</v>
      </c>
      <c r="AD509" s="195"/>
      <c r="AE509" s="197"/>
      <c r="AH509" s="354">
        <f t="shared" si="109"/>
        <v>1.1000000000000001</v>
      </c>
      <c r="AI509" s="354">
        <f>U509-O509</f>
        <v>0</v>
      </c>
      <c r="AJ509" s="354">
        <f t="shared" si="108"/>
        <v>0</v>
      </c>
    </row>
    <row r="510" spans="1:40" ht="12.95" hidden="1" customHeight="1" thickBot="1">
      <c r="A510" s="885"/>
      <c r="B510" s="273"/>
      <c r="C510" s="231"/>
      <c r="D510" s="232"/>
      <c r="E510" s="233"/>
      <c r="F510" s="234"/>
      <c r="G510" s="232"/>
      <c r="H510" s="232"/>
      <c r="I510" s="233"/>
      <c r="J510" s="234"/>
      <c r="K510" s="232"/>
      <c r="L510" s="232"/>
      <c r="M510" s="233"/>
      <c r="N510" s="234"/>
      <c r="O510" s="232"/>
      <c r="P510" s="232"/>
      <c r="Q510" s="233"/>
      <c r="R510" s="234"/>
      <c r="S510" s="232"/>
      <c r="T510" s="232"/>
      <c r="U510" s="233"/>
      <c r="V510" s="234"/>
      <c r="W510" s="232"/>
      <c r="X510" s="232"/>
      <c r="Y510" s="233"/>
      <c r="Z510" s="234"/>
      <c r="AA510" s="232"/>
      <c r="AB510" s="232"/>
      <c r="AC510" s="233"/>
      <c r="AD510" s="234"/>
      <c r="AE510" s="233"/>
      <c r="AH510" s="354">
        <f t="shared" si="109"/>
        <v>0</v>
      </c>
      <c r="AI510" s="354">
        <f>U510-O510</f>
        <v>0</v>
      </c>
      <c r="AJ510" s="354">
        <f t="shared" si="108"/>
        <v>0</v>
      </c>
    </row>
    <row r="511" spans="1:40" ht="12.95" hidden="1" customHeight="1" thickBot="1">
      <c r="A511" s="885"/>
      <c r="B511" s="273"/>
      <c r="C511" s="231"/>
      <c r="D511" s="232"/>
      <c r="E511" s="233"/>
      <c r="F511" s="234"/>
      <c r="G511" s="232"/>
      <c r="H511" s="232"/>
      <c r="I511" s="233"/>
      <c r="J511" s="234"/>
      <c r="K511" s="232"/>
      <c r="L511" s="232"/>
      <c r="M511" s="233"/>
      <c r="N511" s="234"/>
      <c r="O511" s="232"/>
      <c r="P511" s="232"/>
      <c r="Q511" s="233"/>
      <c r="R511" s="234"/>
      <c r="S511" s="232"/>
      <c r="T511" s="232"/>
      <c r="U511" s="233"/>
      <c r="V511" s="234"/>
      <c r="W511" s="232"/>
      <c r="X511" s="232"/>
      <c r="Y511" s="233"/>
      <c r="Z511" s="234"/>
      <c r="AA511" s="232"/>
      <c r="AB511" s="232"/>
      <c r="AC511" s="233"/>
      <c r="AD511" s="234"/>
      <c r="AE511" s="233"/>
      <c r="AH511" s="354">
        <f t="shared" si="109"/>
        <v>0</v>
      </c>
      <c r="AI511" s="354">
        <f>U511-O511</f>
        <v>0</v>
      </c>
      <c r="AJ511" s="354">
        <f t="shared" si="108"/>
        <v>0</v>
      </c>
    </row>
    <row r="512" spans="1:40" ht="12.95" customHeight="1" thickBot="1">
      <c r="A512" s="885"/>
      <c r="B512" s="3" t="s">
        <v>41</v>
      </c>
      <c r="C512" s="12"/>
      <c r="D512" s="1377">
        <v>2008</v>
      </c>
      <c r="E512" s="1378"/>
      <c r="F512" s="1372">
        <v>2009</v>
      </c>
      <c r="G512" s="1373"/>
      <c r="H512" s="1373"/>
      <c r="I512" s="1374"/>
      <c r="J512" s="1372">
        <v>2010</v>
      </c>
      <c r="K512" s="1373"/>
      <c r="L512" s="1373"/>
      <c r="M512" s="1374"/>
      <c r="N512" s="1372">
        <v>2011</v>
      </c>
      <c r="O512" s="1373"/>
      <c r="P512" s="1373"/>
      <c r="Q512" s="1374"/>
      <c r="R512" s="1372">
        <v>2012</v>
      </c>
      <c r="S512" s="1373"/>
      <c r="T512" s="1373"/>
      <c r="U512" s="1374"/>
      <c r="V512" s="1372">
        <v>2013</v>
      </c>
      <c r="W512" s="1373"/>
      <c r="X512" s="1373"/>
      <c r="Y512" s="1374"/>
      <c r="Z512" s="1372">
        <v>2014</v>
      </c>
      <c r="AA512" s="1373"/>
      <c r="AB512" s="1373"/>
      <c r="AC512" s="1374"/>
      <c r="AD512" s="1372">
        <v>2015</v>
      </c>
      <c r="AE512" s="1374"/>
      <c r="AG512" s="257" t="s">
        <v>663</v>
      </c>
    </row>
    <row r="513" spans="1:40" ht="13.5" thickBot="1">
      <c r="A513" s="885"/>
      <c r="B513" s="868" t="s">
        <v>69</v>
      </c>
      <c r="C513" s="194" t="s">
        <v>610</v>
      </c>
      <c r="D513" s="206"/>
      <c r="E513" s="207"/>
      <c r="F513" s="209"/>
      <c r="G513" s="206"/>
      <c r="H513" s="206"/>
      <c r="I513" s="207"/>
      <c r="J513" s="209"/>
      <c r="K513" s="206"/>
      <c r="L513" s="206"/>
      <c r="M513" s="207"/>
      <c r="N513" s="277"/>
      <c r="O513" s="278">
        <f>(O523-H523)/7/$C$699/Spend!O513*'State Efficiency Ratios'!$C$655</f>
        <v>44.601518841563781</v>
      </c>
      <c r="P513" s="278"/>
      <c r="Q513" s="279"/>
      <c r="R513" s="277"/>
      <c r="S513" s="278"/>
      <c r="T513" s="278"/>
      <c r="U513" s="278">
        <f>(U523-O523)/6/$C$699/Spend!U513*'State Efficiency Ratios'!$C$655</f>
        <v>-41.63402897045944</v>
      </c>
      <c r="V513" s="277"/>
      <c r="W513" s="278"/>
      <c r="X513" s="278"/>
      <c r="Y513" s="278">
        <f>(Y523-U523)/4/$C$699/Spend!Y513*'State Efficiency Ratios'!$C$655</f>
        <v>134.8755859917139</v>
      </c>
      <c r="Z513" s="277"/>
      <c r="AA513" s="278"/>
      <c r="AB513" s="278"/>
      <c r="AC513" s="278">
        <f>(AC523-Y523)/4/$C$699/Spend!AC513*'State Efficiency Ratios'!$C$655</f>
        <v>-264.68755200051902</v>
      </c>
      <c r="AD513" s="208"/>
      <c r="AE513" s="213"/>
      <c r="AG513" s="295"/>
      <c r="AH513" s="356">
        <f>SUM(AH500:AH507)/8</f>
        <v>0.66249999999999998</v>
      </c>
      <c r="AI513" s="356">
        <f>SUM(AI500:AI507)/8</f>
        <v>7.5000000000000011E-2</v>
      </c>
      <c r="AJ513" s="356" t="e">
        <f>SUM(AJ500:AJ507)/8</f>
        <v>#VALUE!</v>
      </c>
      <c r="AN513" s="385">
        <f>(O523-H523)/7/$C$673/Spend!O513*'State Efficiency Ratios'!$C$655</f>
        <v>44.601518841563781</v>
      </c>
    </row>
    <row r="514" spans="1:40" ht="13.5" thickBot="1">
      <c r="A514" s="885"/>
      <c r="B514" s="885"/>
      <c r="C514" s="194" t="s">
        <v>611</v>
      </c>
      <c r="D514" s="206"/>
      <c r="E514" s="207"/>
      <c r="F514" s="209"/>
      <c r="G514" s="206"/>
      <c r="H514" s="206"/>
      <c r="I514" s="207"/>
      <c r="J514" s="209"/>
      <c r="K514" s="206"/>
      <c r="L514" s="206"/>
      <c r="M514" s="207"/>
      <c r="N514" s="277"/>
      <c r="O514" s="278">
        <f>(O524-H524)/7/$C$699/Spend!O514*'State Efficiency Ratios'!$C$655</f>
        <v>34.763948175736473</v>
      </c>
      <c r="P514" s="278"/>
      <c r="Q514" s="279"/>
      <c r="R514" s="277"/>
      <c r="S514" s="278"/>
      <c r="T514" s="278"/>
      <c r="U514" s="278">
        <f>(U524-O524)/6/$C$699/Spend!U514*'State Efficiency Ratios'!$C$655</f>
        <v>79.067021352875841</v>
      </c>
      <c r="V514" s="277"/>
      <c r="W514" s="278"/>
      <c r="X514" s="278"/>
      <c r="Y514" s="278">
        <f>(Y524-U524)/4/$C$699/Spend!Y514*'State Efficiency Ratios'!$C$655</f>
        <v>504.52664640996517</v>
      </c>
      <c r="Z514" s="277"/>
      <c r="AA514" s="278"/>
      <c r="AB514" s="278"/>
      <c r="AC514" s="278">
        <f>(AC524-Y524)/4/$C$699/Spend!AC514*'State Efficiency Ratios'!$C$655</f>
        <v>-1239.1989657140241</v>
      </c>
      <c r="AD514" s="208"/>
      <c r="AE514" s="213"/>
      <c r="AG514" s="295"/>
      <c r="AH514" s="378">
        <f>AH513/AI513*100</f>
        <v>883.33333333333326</v>
      </c>
      <c r="AN514" s="385">
        <f>(O524-H524)/7/$C$673/Spend!O514*'State Efficiency Ratios'!$C$655</f>
        <v>34.763948175736473</v>
      </c>
    </row>
    <row r="515" spans="1:40" ht="13.5" thickBot="1">
      <c r="A515" s="885"/>
      <c r="B515" s="885"/>
      <c r="C515" s="194" t="s">
        <v>612</v>
      </c>
      <c r="D515" s="206"/>
      <c r="E515" s="207"/>
      <c r="F515" s="209"/>
      <c r="G515" s="206"/>
      <c r="H515" s="206"/>
      <c r="I515" s="207"/>
      <c r="J515" s="209"/>
      <c r="K515" s="206"/>
      <c r="L515" s="206"/>
      <c r="M515" s="207"/>
      <c r="N515" s="277"/>
      <c r="O515" s="278">
        <f>(O525-H525)/7/$C$699/Spend!O515*'State Efficiency Ratios'!$C$655</f>
        <v>0</v>
      </c>
      <c r="P515" s="278"/>
      <c r="Q515" s="279"/>
      <c r="R515" s="277"/>
      <c r="S515" s="278"/>
      <c r="T515" s="278"/>
      <c r="U515" s="278">
        <f>(U525-O525)/6/$C$699/Spend!U515*'State Efficiency Ratios'!$C$655</f>
        <v>97.927174049361682</v>
      </c>
      <c r="V515" s="277"/>
      <c r="W515" s="278"/>
      <c r="X515" s="278"/>
      <c r="Y515" s="278">
        <f>(Y525-U525)/4/$C$699/Spend!Y515*'State Efficiency Ratios'!$C$655</f>
        <v>356.00492920124367</v>
      </c>
      <c r="Z515" s="277"/>
      <c r="AA515" s="278"/>
      <c r="AB515" s="278"/>
      <c r="AC515" s="278">
        <f>(AC525-Y525)/4/$C$699/Spend!AC515*'State Efficiency Ratios'!$C$655</f>
        <v>-490.28358679535955</v>
      </c>
      <c r="AD515" s="208"/>
      <c r="AE515" s="213"/>
      <c r="AG515" s="295"/>
      <c r="AN515" s="385">
        <f>(O525-H525)/7/$C$673/Spend!O515*'State Efficiency Ratios'!$C$655</f>
        <v>0</v>
      </c>
    </row>
    <row r="516" spans="1:40" ht="13.5" thickBot="1">
      <c r="A516" s="885"/>
      <c r="B516" s="885"/>
      <c r="C516" s="194" t="s">
        <v>613</v>
      </c>
      <c r="D516" s="206"/>
      <c r="E516" s="207"/>
      <c r="F516" s="209"/>
      <c r="G516" s="206"/>
      <c r="H516" s="206"/>
      <c r="I516" s="207"/>
      <c r="J516" s="209"/>
      <c r="K516" s="206"/>
      <c r="L516" s="206"/>
      <c r="M516" s="207"/>
      <c r="N516" s="277"/>
      <c r="O516" s="278">
        <f>(O526-H526)/7/$C$699/Spend!O516*'State Efficiency Ratios'!$C$655</f>
        <v>43.747500083875671</v>
      </c>
      <c r="P516" s="278"/>
      <c r="Q516" s="279"/>
      <c r="R516" s="277"/>
      <c r="S516" s="278"/>
      <c r="T516" s="278"/>
      <c r="U516" s="278">
        <f>(U526-O526)/6/$C$699/Spend!U516*'State Efficiency Ratios'!$C$655</f>
        <v>0</v>
      </c>
      <c r="V516" s="277"/>
      <c r="W516" s="278"/>
      <c r="X516" s="278"/>
      <c r="Y516" s="278">
        <f>(Y526-U526)/4/$C$699/Spend!Y516*'State Efficiency Ratios'!$C$655</f>
        <v>84.769199397118996</v>
      </c>
      <c r="Z516" s="277"/>
      <c r="AA516" s="278"/>
      <c r="AB516" s="278"/>
      <c r="AC516" s="278">
        <f>(AC526-Y526)/4/$C$699/Spend!AC516*'State Efficiency Ratios'!$C$655</f>
        <v>-685.18181797132956</v>
      </c>
      <c r="AD516" s="208"/>
      <c r="AE516" s="213"/>
      <c r="AG516" s="295"/>
      <c r="AN516" s="385">
        <f>(O526-H526)/7/$C$673/Spend!O516*'State Efficiency Ratios'!$C$655</f>
        <v>43.747500083875671</v>
      </c>
    </row>
    <row r="517" spans="1:40" ht="13.5" thickBot="1">
      <c r="A517" s="885"/>
      <c r="B517" s="885"/>
      <c r="C517" s="194" t="s">
        <v>614</v>
      </c>
      <c r="D517" s="206"/>
      <c r="E517" s="207"/>
      <c r="F517" s="209"/>
      <c r="G517" s="206"/>
      <c r="H517" s="206"/>
      <c r="I517" s="207"/>
      <c r="J517" s="209"/>
      <c r="K517" s="206"/>
      <c r="L517" s="206"/>
      <c r="M517" s="207"/>
      <c r="N517" s="277"/>
      <c r="O517" s="278">
        <f>(O527-H527)/7/$C$699/Spend!O517*'State Efficiency Ratios'!$C$655</f>
        <v>0</v>
      </c>
      <c r="P517" s="278"/>
      <c r="Q517" s="279"/>
      <c r="R517" s="277"/>
      <c r="S517" s="278"/>
      <c r="T517" s="278"/>
      <c r="U517" s="278">
        <f>(U527-O527)/6/$C$699/Spend!U517*'State Efficiency Ratios'!$C$655</f>
        <v>57.56701852114319</v>
      </c>
      <c r="V517" s="277"/>
      <c r="W517" s="278"/>
      <c r="X517" s="278"/>
      <c r="Y517" s="278">
        <f>(Y527-U527)/4/$C$699/Spend!Y517*'State Efficiency Ratios'!$C$655</f>
        <v>80.689449864478235</v>
      </c>
      <c r="Z517" s="277"/>
      <c r="AA517" s="278"/>
      <c r="AB517" s="278"/>
      <c r="AC517" s="278">
        <f>(AC527-Y527)/4/$C$699/Spend!AC517*'State Efficiency Ratios'!$C$655</f>
        <v>-711.13618687558426</v>
      </c>
      <c r="AD517" s="208"/>
      <c r="AE517" s="213"/>
      <c r="AG517" s="295"/>
      <c r="AN517" s="385">
        <f>(O527-H527)/7/$C$673/Spend!O517*'State Efficiency Ratios'!$C$655</f>
        <v>0</v>
      </c>
    </row>
    <row r="518" spans="1:40" ht="12.95" customHeight="1" thickBot="1">
      <c r="A518" s="885"/>
      <c r="B518" s="885"/>
      <c r="C518" s="194" t="s">
        <v>615</v>
      </c>
      <c r="D518" s="210"/>
      <c r="E518" s="211"/>
      <c r="F518" s="209"/>
      <c r="G518" s="210"/>
      <c r="H518" s="210"/>
      <c r="I518" s="211"/>
      <c r="J518" s="209"/>
      <c r="K518" s="210"/>
      <c r="L518" s="210"/>
      <c r="M518" s="211"/>
      <c r="N518" s="281"/>
      <c r="O518" s="282"/>
      <c r="P518" s="282"/>
      <c r="Q518" s="282"/>
      <c r="R518" s="277"/>
      <c r="S518" s="278"/>
      <c r="T518" s="278"/>
      <c r="U518" s="278">
        <f>(U528-R528)/3/$C$699/Spend!U518*'State Efficiency Ratios'!$C$655</f>
        <v>0</v>
      </c>
      <c r="V518" s="277"/>
      <c r="W518" s="278"/>
      <c r="X518" s="278"/>
      <c r="Y518" s="278">
        <f>(Y528-U528)/4/$C$699/Spend!Y518*'State Efficiency Ratios'!$C$655</f>
        <v>882.17557159157138</v>
      </c>
      <c r="Z518" s="277"/>
      <c r="AA518" s="278"/>
      <c r="AB518" s="278"/>
      <c r="AC518" s="278">
        <f>(AC528-Y528)/4/$C$699/Spend!AC518*'State Efficiency Ratios'!$C$655</f>
        <v>-795.36137354393486</v>
      </c>
      <c r="AD518" s="208"/>
      <c r="AE518" s="213"/>
      <c r="AG518" s="295"/>
      <c r="AN518" s="385">
        <f>(Y528-R528)/7/$C$673/(Spend!U518+Spend!Y518)*'State Efficiency Ratios'!$C$655</f>
        <v>200.4717076700866</v>
      </c>
    </row>
    <row r="519" spans="1:40" ht="12.95" customHeight="1" thickBot="1">
      <c r="A519" s="885"/>
      <c r="B519" s="885"/>
      <c r="C519" s="194" t="s">
        <v>616</v>
      </c>
      <c r="D519" s="210"/>
      <c r="E519" s="211"/>
      <c r="F519" s="209"/>
      <c r="G519" s="210"/>
      <c r="H519" s="210"/>
      <c r="I519" s="211"/>
      <c r="J519" s="209"/>
      <c r="K519" s="210"/>
      <c r="L519" s="210"/>
      <c r="M519" s="211"/>
      <c r="N519" s="281"/>
      <c r="O519" s="282"/>
      <c r="P519" s="282"/>
      <c r="Q519" s="282"/>
      <c r="R519" s="277"/>
      <c r="S519" s="278"/>
      <c r="T519" s="278"/>
      <c r="U519" s="278">
        <f>(U529-R529)/3/$C$699/Spend!U519*'State Efficiency Ratios'!$C$655</f>
        <v>0</v>
      </c>
      <c r="V519" s="277"/>
      <c r="W519" s="278"/>
      <c r="X519" s="278"/>
      <c r="Y519" s="278">
        <f>(Y529-U529)/4/$C$699/Spend!Y519*'State Efficiency Ratios'!$C$655</f>
        <v>-260.69574443479712</v>
      </c>
      <c r="Z519" s="277"/>
      <c r="AA519" s="278"/>
      <c r="AB519" s="278"/>
      <c r="AC519" s="278">
        <f>(AC529-Y529)/4/$C$699/Spend!AC519*'State Efficiency Ratios'!$C$655</f>
        <v>-528.20174536548257</v>
      </c>
      <c r="AD519" s="208"/>
      <c r="AE519" s="213"/>
      <c r="AG519" s="295"/>
      <c r="AN519" s="385">
        <f>(Y529-R529)/7/$C$673/(Spend!U519+Spend!Y519)*'State Efficiency Ratios'!$C$655</f>
        <v>-64.078810478006474</v>
      </c>
    </row>
    <row r="520" spans="1:40" ht="12.95" customHeight="1" thickBot="1">
      <c r="A520" s="885"/>
      <c r="B520" s="885"/>
      <c r="C520" s="194" t="s">
        <v>617</v>
      </c>
      <c r="D520" s="210"/>
      <c r="E520" s="211"/>
      <c r="F520" s="209"/>
      <c r="G520" s="210"/>
      <c r="H520" s="210"/>
      <c r="I520" s="211"/>
      <c r="J520" s="209"/>
      <c r="K520" s="210"/>
      <c r="L520" s="210"/>
      <c r="M520" s="211"/>
      <c r="N520" s="281"/>
      <c r="O520" s="282"/>
      <c r="P520" s="282"/>
      <c r="Q520" s="282"/>
      <c r="R520" s="277"/>
      <c r="S520" s="278"/>
      <c r="T520" s="278"/>
      <c r="U520" s="278">
        <f>(U530-R530)/3/$C$699/Spend!U520*'State Efficiency Ratios'!$C$655</f>
        <v>0</v>
      </c>
      <c r="V520" s="277"/>
      <c r="W520" s="278"/>
      <c r="X520" s="278"/>
      <c r="Y520" s="278">
        <f>(Y530-U530)/4/$C$699/Spend!Y520*'State Efficiency Ratios'!$C$655</f>
        <v>301.04804201475133</v>
      </c>
      <c r="Z520" s="277"/>
      <c r="AA520" s="278"/>
      <c r="AB520" s="278"/>
      <c r="AC520" s="278">
        <f>(AC530-Y530)/4/$C$699/Spend!AC520*'State Efficiency Ratios'!$C$655</f>
        <v>-492.99226670647909</v>
      </c>
      <c r="AD520" s="208"/>
      <c r="AE520" s="213"/>
      <c r="AG520" s="295"/>
      <c r="AN520" s="385">
        <f>(Y530-R530)/7/$C$673/(Spend!U520+Spend!Y520)*'State Efficiency Ratios'!$C$655</f>
        <v>66.195657490386878</v>
      </c>
    </row>
    <row r="521" spans="1:40" ht="12.95" customHeight="1" thickBot="1">
      <c r="A521" s="885"/>
      <c r="B521" s="885"/>
      <c r="C521" s="194" t="s">
        <v>618</v>
      </c>
      <c r="D521" s="210"/>
      <c r="E521" s="211"/>
      <c r="F521" s="209"/>
      <c r="G521" s="210"/>
      <c r="H521" s="210"/>
      <c r="I521" s="211"/>
      <c r="J521" s="209"/>
      <c r="K521" s="210"/>
      <c r="L521" s="210"/>
      <c r="M521" s="211"/>
      <c r="N521" s="281"/>
      <c r="O521" s="282"/>
      <c r="P521" s="282"/>
      <c r="Q521" s="283"/>
      <c r="R521" s="281"/>
      <c r="S521" s="282"/>
      <c r="T521" s="282"/>
      <c r="U521" s="283"/>
      <c r="V521" s="281"/>
      <c r="W521" s="282"/>
      <c r="X521" s="282"/>
      <c r="Y521" s="283"/>
      <c r="Z521" s="277"/>
      <c r="AA521" s="278"/>
      <c r="AB521" s="278"/>
      <c r="AC521" s="278">
        <f>(AC531-Y531)/4/$C$699/Spend!AC521*'State Efficiency Ratios'!$C$655</f>
        <v>-235.42872669104227</v>
      </c>
      <c r="AD521" s="208"/>
      <c r="AE521" s="213"/>
      <c r="AG521" s="295"/>
    </row>
    <row r="522" spans="1:40" ht="12.95" customHeight="1" thickBot="1">
      <c r="A522" s="885"/>
      <c r="B522" s="885"/>
      <c r="C522" s="194" t="s">
        <v>619</v>
      </c>
      <c r="D522" s="210"/>
      <c r="E522" s="211"/>
      <c r="F522" s="209"/>
      <c r="G522" s="210"/>
      <c r="H522" s="210"/>
      <c r="I522" s="211"/>
      <c r="J522" s="209"/>
      <c r="K522" s="210"/>
      <c r="L522" s="210"/>
      <c r="M522" s="211"/>
      <c r="N522" s="281"/>
      <c r="O522" s="282"/>
      <c r="P522" s="282"/>
      <c r="Q522" s="283"/>
      <c r="R522" s="281"/>
      <c r="S522" s="282"/>
      <c r="T522" s="282"/>
      <c r="U522" s="283"/>
      <c r="V522" s="281"/>
      <c r="W522" s="282"/>
      <c r="X522" s="282"/>
      <c r="Y522" s="283"/>
      <c r="Z522" s="277"/>
      <c r="AA522" s="278"/>
      <c r="AB522" s="278"/>
      <c r="AC522" s="278">
        <f>(AC532-Y532)/4/$C$699/Spend!AC522*'State Efficiency Ratios'!$C$655</f>
        <v>-225.40159206629775</v>
      </c>
      <c r="AD522" s="208"/>
      <c r="AE522" s="213"/>
      <c r="AG522" s="295"/>
      <c r="AN522" s="4">
        <f>SUM(AN523:AN527)/5</f>
        <v>1.7399999999999998</v>
      </c>
    </row>
    <row r="523" spans="1:40" ht="13.5" thickBot="1">
      <c r="A523" s="885"/>
      <c r="B523" s="885"/>
      <c r="C523" s="9" t="s">
        <v>295</v>
      </c>
      <c r="D523" s="241" t="s">
        <v>632</v>
      </c>
      <c r="E523" s="241" t="s">
        <v>632</v>
      </c>
      <c r="F523" s="243" t="s">
        <v>646</v>
      </c>
      <c r="G523" s="241" t="s">
        <v>646</v>
      </c>
      <c r="H523" s="196">
        <f>'State DisAgg LFx10 (2015)'!D513</f>
        <v>1</v>
      </c>
      <c r="I523" s="244" t="s">
        <v>646</v>
      </c>
      <c r="J523" s="195"/>
      <c r="K523" s="196"/>
      <c r="L523" s="196"/>
      <c r="M523" s="197"/>
      <c r="N523" s="195"/>
      <c r="O523" s="196">
        <f>'State DisAgg LFx10 (2015)'!H523</f>
        <v>2</v>
      </c>
      <c r="P523" s="196"/>
      <c r="Q523" s="197"/>
      <c r="R523" s="195"/>
      <c r="S523" s="196"/>
      <c r="T523" s="196"/>
      <c r="U523" s="197">
        <f>'State DisAgg LFx10 (2015)'!L523</f>
        <v>1.6</v>
      </c>
      <c r="V523" s="195"/>
      <c r="W523" s="196"/>
      <c r="X523" s="196"/>
      <c r="Y523" s="197">
        <f>'State DisAgg LFx10 (2015)'!P523</f>
        <v>2.9</v>
      </c>
      <c r="Z523" s="195"/>
      <c r="AA523" s="196"/>
      <c r="AB523" s="196"/>
      <c r="AC523" s="197">
        <f>'State DisAgg LFx10 (2015)'!T523</f>
        <v>0</v>
      </c>
      <c r="AD523" s="195"/>
      <c r="AE523" s="197"/>
      <c r="AH523" s="354">
        <f>Y523-U523</f>
        <v>1.2999999999999998</v>
      </c>
      <c r="AI523" s="354">
        <f>U523-O523</f>
        <v>-0.39999999999999991</v>
      </c>
      <c r="AJ523" s="354">
        <f t="shared" ref="AJ523:AJ534" si="113">O523-J523</f>
        <v>2</v>
      </c>
      <c r="AN523" s="384">
        <f>(O523-J523)</f>
        <v>2</v>
      </c>
    </row>
    <row r="524" spans="1:40" ht="13.5" thickBot="1">
      <c r="A524" s="885"/>
      <c r="B524" s="885"/>
      <c r="C524" s="9" t="s">
        <v>296</v>
      </c>
      <c r="D524" s="241" t="s">
        <v>632</v>
      </c>
      <c r="E524" s="241" t="s">
        <v>632</v>
      </c>
      <c r="F524" s="243" t="s">
        <v>646</v>
      </c>
      <c r="G524" s="241" t="s">
        <v>646</v>
      </c>
      <c r="H524" s="196">
        <f>'State DisAgg LFx10 (2015)'!D514</f>
        <v>1</v>
      </c>
      <c r="I524" s="244" t="s">
        <v>646</v>
      </c>
      <c r="J524" s="195"/>
      <c r="K524" s="196"/>
      <c r="L524" s="196"/>
      <c r="M524" s="197"/>
      <c r="N524" s="195"/>
      <c r="O524" s="196">
        <f>'State DisAgg LFx10 (2015)'!H524</f>
        <v>1.7</v>
      </c>
      <c r="P524" s="196"/>
      <c r="Q524" s="197"/>
      <c r="R524" s="195"/>
      <c r="S524" s="196"/>
      <c r="T524" s="196"/>
      <c r="U524" s="197">
        <f>'State DisAgg LFx10 (2015)'!L524</f>
        <v>2.4</v>
      </c>
      <c r="V524" s="195"/>
      <c r="W524" s="196"/>
      <c r="X524" s="196"/>
      <c r="Y524" s="197">
        <f>'State DisAgg LFx10 (2015)'!P524</f>
        <v>4</v>
      </c>
      <c r="Z524" s="195"/>
      <c r="AA524" s="196"/>
      <c r="AB524" s="196"/>
      <c r="AC524" s="197">
        <f>'State DisAgg LFx10 (2015)'!T524</f>
        <v>0</v>
      </c>
      <c r="AD524" s="195"/>
      <c r="AE524" s="197"/>
      <c r="AH524" s="354">
        <f t="shared" ref="AH524:AH534" si="114">Y524-U524</f>
        <v>1.6</v>
      </c>
      <c r="AI524" s="354">
        <f>U524-O524</f>
        <v>0.7</v>
      </c>
      <c r="AJ524" s="354">
        <f t="shared" si="113"/>
        <v>1.7</v>
      </c>
      <c r="AN524" s="384">
        <f t="shared" ref="AN524:AN527" si="115">(O524-J524)</f>
        <v>1.7</v>
      </c>
    </row>
    <row r="525" spans="1:40" ht="13.5" thickBot="1">
      <c r="A525" s="885"/>
      <c r="B525" s="885"/>
      <c r="C525" s="9" t="s">
        <v>297</v>
      </c>
      <c r="D525" s="241" t="s">
        <v>632</v>
      </c>
      <c r="E525" s="241" t="s">
        <v>632</v>
      </c>
      <c r="F525" s="243" t="s">
        <v>646</v>
      </c>
      <c r="G525" s="241" t="s">
        <v>646</v>
      </c>
      <c r="H525" s="196">
        <f>'State DisAgg LFx10 (2015)'!D515</f>
        <v>1</v>
      </c>
      <c r="I525" s="244" t="s">
        <v>646</v>
      </c>
      <c r="J525" s="195"/>
      <c r="K525" s="196"/>
      <c r="L525" s="196"/>
      <c r="M525" s="197"/>
      <c r="N525" s="195"/>
      <c r="O525" s="196">
        <f>'State DisAgg LFx10 (2015)'!H525</f>
        <v>1</v>
      </c>
      <c r="P525" s="196"/>
      <c r="Q525" s="197"/>
      <c r="R525" s="195"/>
      <c r="S525" s="196"/>
      <c r="T525" s="196"/>
      <c r="U525" s="197">
        <f>'State DisAgg LFx10 (2015)'!L525</f>
        <v>2</v>
      </c>
      <c r="V525" s="195"/>
      <c r="W525" s="196"/>
      <c r="X525" s="196"/>
      <c r="Y525" s="197">
        <f>'State DisAgg LFx10 (2015)'!P525</f>
        <v>3.1</v>
      </c>
      <c r="Z525" s="195"/>
      <c r="AA525" s="196"/>
      <c r="AB525" s="196"/>
      <c r="AC525" s="197">
        <f>'State DisAgg LFx10 (2015)'!T525</f>
        <v>0</v>
      </c>
      <c r="AD525" s="195"/>
      <c r="AE525" s="197"/>
      <c r="AH525" s="354">
        <f t="shared" si="114"/>
        <v>1.1000000000000001</v>
      </c>
      <c r="AI525" s="354">
        <f>U525-O525</f>
        <v>1</v>
      </c>
      <c r="AJ525" s="354">
        <f t="shared" si="113"/>
        <v>1</v>
      </c>
      <c r="AN525" s="384">
        <f t="shared" si="115"/>
        <v>1</v>
      </c>
    </row>
    <row r="526" spans="1:40" ht="13.5" thickBot="1">
      <c r="A526" s="885"/>
      <c r="B526" s="885"/>
      <c r="C526" s="9" t="s">
        <v>298</v>
      </c>
      <c r="D526" s="241" t="s">
        <v>632</v>
      </c>
      <c r="E526" s="241" t="s">
        <v>632</v>
      </c>
      <c r="F526" s="243" t="s">
        <v>646</v>
      </c>
      <c r="G526" s="241" t="s">
        <v>646</v>
      </c>
      <c r="H526" s="196">
        <f>'State DisAgg LFx10 (2015)'!D516</f>
        <v>1</v>
      </c>
      <c r="I526" s="244" t="s">
        <v>646</v>
      </c>
      <c r="J526" s="195"/>
      <c r="K526" s="196"/>
      <c r="L526" s="196"/>
      <c r="M526" s="197"/>
      <c r="N526" s="195"/>
      <c r="O526" s="196">
        <f>'State DisAgg LFx10 (2015)'!H526</f>
        <v>2</v>
      </c>
      <c r="P526" s="196"/>
      <c r="Q526" s="197"/>
      <c r="R526" s="195"/>
      <c r="S526" s="196"/>
      <c r="T526" s="196"/>
      <c r="U526" s="197">
        <f>'State DisAgg LFx10 (2015)'!L526</f>
        <v>2</v>
      </c>
      <c r="V526" s="195"/>
      <c r="W526" s="196"/>
      <c r="X526" s="196"/>
      <c r="Y526" s="197">
        <f>'State DisAgg LFx10 (2015)'!P526</f>
        <v>2.4</v>
      </c>
      <c r="Z526" s="195"/>
      <c r="AA526" s="196"/>
      <c r="AB526" s="196"/>
      <c r="AC526" s="197">
        <f>'State DisAgg LFx10 (2015)'!T526</f>
        <v>0</v>
      </c>
      <c r="AD526" s="195"/>
      <c r="AE526" s="197"/>
      <c r="AH526" s="354">
        <f t="shared" si="114"/>
        <v>0.39999999999999991</v>
      </c>
      <c r="AI526" s="354">
        <f>U526-O526</f>
        <v>0</v>
      </c>
      <c r="AJ526" s="354">
        <f t="shared" si="113"/>
        <v>2</v>
      </c>
      <c r="AN526" s="384">
        <f t="shared" si="115"/>
        <v>2</v>
      </c>
    </row>
    <row r="527" spans="1:40" ht="13.5" thickBot="1">
      <c r="A527" s="885"/>
      <c r="B527" s="885"/>
      <c r="C527" s="9" t="s">
        <v>299</v>
      </c>
      <c r="D527" s="241" t="s">
        <v>632</v>
      </c>
      <c r="E527" s="241" t="s">
        <v>632</v>
      </c>
      <c r="F527" s="243" t="s">
        <v>646</v>
      </c>
      <c r="G527" s="241" t="s">
        <v>646</v>
      </c>
      <c r="H527" s="196">
        <f>'State DisAgg LFx10 (2015)'!D517</f>
        <v>2</v>
      </c>
      <c r="I527" s="244" t="s">
        <v>646</v>
      </c>
      <c r="J527" s="195"/>
      <c r="K527" s="196"/>
      <c r="L527" s="196"/>
      <c r="M527" s="197"/>
      <c r="N527" s="195"/>
      <c r="O527" s="196">
        <f>'State DisAgg LFx10 (2015)'!H527</f>
        <v>2</v>
      </c>
      <c r="P527" s="196"/>
      <c r="Q527" s="197"/>
      <c r="R527" s="195"/>
      <c r="S527" s="196"/>
      <c r="T527" s="196"/>
      <c r="U527" s="197">
        <f>'State DisAgg LFx10 (2015)'!L527</f>
        <v>2.6</v>
      </c>
      <c r="V527" s="195"/>
      <c r="W527" s="196"/>
      <c r="X527" s="196"/>
      <c r="Y527" s="197">
        <f>'State DisAgg LFx10 (2015)'!P527</f>
        <v>2.9</v>
      </c>
      <c r="Z527" s="195"/>
      <c r="AA527" s="196"/>
      <c r="AB527" s="196"/>
      <c r="AC527" s="197">
        <f>'State DisAgg LFx10 (2015)'!T527</f>
        <v>0</v>
      </c>
      <c r="AD527" s="195"/>
      <c r="AE527" s="197"/>
      <c r="AH527" s="354">
        <f t="shared" si="114"/>
        <v>0.29999999999999982</v>
      </c>
      <c r="AI527" s="354">
        <f>U527-O527</f>
        <v>0.60000000000000009</v>
      </c>
      <c r="AJ527" s="354">
        <f t="shared" si="113"/>
        <v>2</v>
      </c>
      <c r="AN527" s="384">
        <f t="shared" si="115"/>
        <v>2</v>
      </c>
    </row>
    <row r="528" spans="1:40" ht="13.5" thickBot="1">
      <c r="A528" s="885"/>
      <c r="B528" s="885"/>
      <c r="C528" s="9" t="s">
        <v>300</v>
      </c>
      <c r="D528" s="199"/>
      <c r="E528" s="200"/>
      <c r="F528" s="201"/>
      <c r="G528" s="199"/>
      <c r="H528" s="199"/>
      <c r="I528" s="200"/>
      <c r="J528" s="201"/>
      <c r="K528" s="199"/>
      <c r="L528" s="199"/>
      <c r="M528" s="200"/>
      <c r="N528" s="198"/>
      <c r="O528" s="217" t="s">
        <v>634</v>
      </c>
      <c r="P528" s="241" t="s">
        <v>632</v>
      </c>
      <c r="Q528" s="244" t="s">
        <v>646</v>
      </c>
      <c r="R528" s="195">
        <f>'State DisAgg LFx10 (2015)'!H518</f>
        <v>1</v>
      </c>
      <c r="S528" s="196"/>
      <c r="T528" s="196"/>
      <c r="U528" s="197">
        <f>'State DisAgg LFx10 (2015)'!L528</f>
        <v>1</v>
      </c>
      <c r="V528" s="195"/>
      <c r="W528" s="196"/>
      <c r="X528" s="196"/>
      <c r="Y528" s="197">
        <f>'State DisAgg LFx10 (2015)'!P528</f>
        <v>2.5</v>
      </c>
      <c r="Z528" s="195"/>
      <c r="AA528" s="196"/>
      <c r="AB528" s="196"/>
      <c r="AC528" s="197">
        <f>'State DisAgg LFx10 (2015)'!T528</f>
        <v>0</v>
      </c>
      <c r="AD528" s="195"/>
      <c r="AE528" s="197"/>
      <c r="AH528" s="354">
        <f t="shared" si="114"/>
        <v>1.5</v>
      </c>
      <c r="AI528" s="354">
        <f>U528-R528</f>
        <v>0</v>
      </c>
      <c r="AJ528" s="354" t="e">
        <f t="shared" si="113"/>
        <v>#VALUE!</v>
      </c>
      <c r="AN528" s="384">
        <f>(Y528-R528)</f>
        <v>1.5</v>
      </c>
    </row>
    <row r="529" spans="1:40" ht="13.5" thickBot="1">
      <c r="A529" s="885"/>
      <c r="B529" s="885"/>
      <c r="C529" s="9" t="s">
        <v>301</v>
      </c>
      <c r="D529" s="199"/>
      <c r="E529" s="200"/>
      <c r="F529" s="201"/>
      <c r="G529" s="199"/>
      <c r="H529" s="199"/>
      <c r="I529" s="200"/>
      <c r="J529" s="201"/>
      <c r="K529" s="199"/>
      <c r="L529" s="199"/>
      <c r="M529" s="200"/>
      <c r="N529" s="198"/>
      <c r="O529" s="217" t="s">
        <v>634</v>
      </c>
      <c r="P529" s="241" t="s">
        <v>632</v>
      </c>
      <c r="Q529" s="244" t="s">
        <v>646</v>
      </c>
      <c r="R529" s="195">
        <f>'State DisAgg LFx10 (2015)'!H519</f>
        <v>2.2999999999999998</v>
      </c>
      <c r="S529" s="196"/>
      <c r="T529" s="196"/>
      <c r="U529" s="197">
        <f>'State DisAgg LFx10 (2015)'!L529</f>
        <v>2.2999999999999998</v>
      </c>
      <c r="V529" s="195"/>
      <c r="W529" s="196"/>
      <c r="X529" s="196"/>
      <c r="Y529" s="197">
        <f>'State DisAgg LFx10 (2015)'!P529</f>
        <v>1.8</v>
      </c>
      <c r="Z529" s="195"/>
      <c r="AA529" s="196"/>
      <c r="AB529" s="196"/>
      <c r="AC529" s="197">
        <f>'State DisAgg LFx10 (2015)'!T529</f>
        <v>0</v>
      </c>
      <c r="AD529" s="195"/>
      <c r="AE529" s="197"/>
      <c r="AH529" s="354">
        <f t="shared" si="114"/>
        <v>-0.49999999999999978</v>
      </c>
      <c r="AI529" s="354">
        <f t="shared" ref="AI529:AI530" si="116">U529-R529</f>
        <v>0</v>
      </c>
      <c r="AJ529" s="354" t="e">
        <f t="shared" si="113"/>
        <v>#VALUE!</v>
      </c>
      <c r="AN529" s="384">
        <f t="shared" ref="AN529:AN530" si="117">(Y529-R529)</f>
        <v>-0.49999999999999978</v>
      </c>
    </row>
    <row r="530" spans="1:40" ht="13.5" thickBot="1">
      <c r="A530" s="885"/>
      <c r="B530" s="885"/>
      <c r="C530" s="9" t="s">
        <v>302</v>
      </c>
      <c r="D530" s="199"/>
      <c r="E530" s="200"/>
      <c r="F530" s="201"/>
      <c r="G530" s="199"/>
      <c r="H530" s="199"/>
      <c r="I530" s="200"/>
      <c r="J530" s="201"/>
      <c r="K530" s="199"/>
      <c r="L530" s="199"/>
      <c r="M530" s="200"/>
      <c r="N530" s="198"/>
      <c r="O530" s="217" t="s">
        <v>634</v>
      </c>
      <c r="P530" s="241" t="s">
        <v>632</v>
      </c>
      <c r="Q530" s="244" t="s">
        <v>646</v>
      </c>
      <c r="R530" s="195">
        <f>'State DisAgg LFx10 (2015)'!H520</f>
        <v>1.9</v>
      </c>
      <c r="S530" s="196"/>
      <c r="T530" s="196"/>
      <c r="U530" s="197">
        <f>'State DisAgg LFx10 (2015)'!L530</f>
        <v>1.9</v>
      </c>
      <c r="V530" s="195"/>
      <c r="W530" s="196"/>
      <c r="X530" s="196"/>
      <c r="Y530" s="197">
        <f>'State DisAgg LFx10 (2015)'!P530</f>
        <v>2.4</v>
      </c>
      <c r="Z530" s="195"/>
      <c r="AA530" s="196"/>
      <c r="AB530" s="196"/>
      <c r="AC530" s="197">
        <f>'State DisAgg LFx10 (2015)'!T530</f>
        <v>0</v>
      </c>
      <c r="AD530" s="195"/>
      <c r="AE530" s="197"/>
      <c r="AH530" s="354">
        <f t="shared" si="114"/>
        <v>0.5</v>
      </c>
      <c r="AI530" s="354">
        <f t="shared" si="116"/>
        <v>0</v>
      </c>
      <c r="AJ530" s="354" t="e">
        <f t="shared" si="113"/>
        <v>#VALUE!</v>
      </c>
      <c r="AN530" s="384">
        <f t="shared" si="117"/>
        <v>0.5</v>
      </c>
    </row>
    <row r="531" spans="1:40" ht="13.5" thickBot="1">
      <c r="A531" s="885"/>
      <c r="B531" s="885"/>
      <c r="C531" s="9" t="s">
        <v>303</v>
      </c>
      <c r="D531" s="202"/>
      <c r="E531" s="203"/>
      <c r="F531" s="201"/>
      <c r="G531" s="202"/>
      <c r="H531" s="202"/>
      <c r="I531" s="203"/>
      <c r="J531" s="201"/>
      <c r="K531" s="202"/>
      <c r="L531" s="202"/>
      <c r="M531" s="203"/>
      <c r="N531" s="204"/>
      <c r="O531" s="214"/>
      <c r="P531" s="205"/>
      <c r="Q531" s="205"/>
      <c r="R531" s="201"/>
      <c r="S531" s="202"/>
      <c r="T531" s="202"/>
      <c r="U531" s="203"/>
      <c r="V531" s="242"/>
      <c r="W531" s="217" t="s">
        <v>633</v>
      </c>
      <c r="X531" s="241" t="s">
        <v>632</v>
      </c>
      <c r="Y531" s="197">
        <f>'State DisAgg LFx10 (2015)'!P521</f>
        <v>1.2</v>
      </c>
      <c r="Z531" s="195"/>
      <c r="AA531" s="196"/>
      <c r="AB531" s="196"/>
      <c r="AC531" s="197">
        <f>'State DisAgg LFx10 (2015)'!T531</f>
        <v>0</v>
      </c>
      <c r="AD531" s="195"/>
      <c r="AE531" s="197"/>
      <c r="AH531" s="354">
        <f t="shared" si="114"/>
        <v>1.2</v>
      </c>
      <c r="AI531" s="354">
        <f>U531-O531</f>
        <v>0</v>
      </c>
      <c r="AJ531" s="354">
        <f t="shared" si="113"/>
        <v>0</v>
      </c>
    </row>
    <row r="532" spans="1:40" ht="13.5" thickBot="1">
      <c r="A532" s="885"/>
      <c r="B532" s="885"/>
      <c r="C532" s="9" t="s">
        <v>304</v>
      </c>
      <c r="D532" s="202"/>
      <c r="E532" s="203"/>
      <c r="F532" s="201"/>
      <c r="G532" s="202"/>
      <c r="H532" s="202"/>
      <c r="I532" s="203"/>
      <c r="J532" s="201"/>
      <c r="K532" s="202"/>
      <c r="L532" s="202"/>
      <c r="M532" s="203"/>
      <c r="N532" s="204"/>
      <c r="O532" s="205"/>
      <c r="P532" s="205"/>
      <c r="Q532" s="205"/>
      <c r="R532" s="201"/>
      <c r="S532" s="202"/>
      <c r="T532" s="202"/>
      <c r="U532" s="203"/>
      <c r="V532" s="242"/>
      <c r="W532" s="217" t="s">
        <v>633</v>
      </c>
      <c r="X532" s="241" t="s">
        <v>632</v>
      </c>
      <c r="Y532" s="197">
        <f>'State DisAgg LFx10 (2015)'!P522</f>
        <v>1.3</v>
      </c>
      <c r="Z532" s="195"/>
      <c r="AA532" s="196"/>
      <c r="AB532" s="196"/>
      <c r="AC532" s="197">
        <f>'State DisAgg LFx10 (2015)'!T532</f>
        <v>0</v>
      </c>
      <c r="AD532" s="195"/>
      <c r="AE532" s="197"/>
      <c r="AH532" s="354">
        <f t="shared" si="114"/>
        <v>1.3</v>
      </c>
      <c r="AI532" s="354">
        <f>U532-O532</f>
        <v>0</v>
      </c>
      <c r="AJ532" s="354">
        <f t="shared" si="113"/>
        <v>0</v>
      </c>
      <c r="AN532" s="416">
        <v>1.2</v>
      </c>
    </row>
    <row r="533" spans="1:40" ht="12.95" hidden="1" customHeight="1" thickBot="1">
      <c r="A533" s="885"/>
      <c r="B533" s="273"/>
      <c r="C533" s="231"/>
      <c r="D533" s="232"/>
      <c r="E533" s="233"/>
      <c r="F533" s="234"/>
      <c r="G533" s="232"/>
      <c r="H533" s="232"/>
      <c r="I533" s="233"/>
      <c r="J533" s="234"/>
      <c r="K533" s="232"/>
      <c r="L533" s="232"/>
      <c r="M533" s="233"/>
      <c r="N533" s="234"/>
      <c r="O533" s="232"/>
      <c r="P533" s="232"/>
      <c r="Q533" s="233"/>
      <c r="R533" s="234"/>
      <c r="S533" s="232"/>
      <c r="T533" s="232"/>
      <c r="U533" s="233"/>
      <c r="V533" s="234"/>
      <c r="W533" s="232"/>
      <c r="X533" s="232"/>
      <c r="Y533" s="233"/>
      <c r="Z533" s="234"/>
      <c r="AA533" s="232"/>
      <c r="AB533" s="232"/>
      <c r="AC533" s="233"/>
      <c r="AD533" s="234"/>
      <c r="AE533" s="233"/>
      <c r="AH533" s="354">
        <f t="shared" si="114"/>
        <v>0</v>
      </c>
      <c r="AI533" s="354">
        <f>U533-O533</f>
        <v>0</v>
      </c>
      <c r="AJ533" s="354">
        <f t="shared" si="113"/>
        <v>0</v>
      </c>
    </row>
    <row r="534" spans="1:40" ht="12.95" hidden="1" customHeight="1" thickBot="1">
      <c r="A534" s="885"/>
      <c r="B534" s="273"/>
      <c r="C534" s="231"/>
      <c r="D534" s="232"/>
      <c r="E534" s="233"/>
      <c r="F534" s="234"/>
      <c r="G534" s="232"/>
      <c r="H534" s="232"/>
      <c r="I534" s="233"/>
      <c r="J534" s="234"/>
      <c r="K534" s="232"/>
      <c r="L534" s="232"/>
      <c r="M534" s="233"/>
      <c r="N534" s="234"/>
      <c r="O534" s="232"/>
      <c r="P534" s="232"/>
      <c r="Q534" s="233"/>
      <c r="R534" s="234"/>
      <c r="S534" s="232"/>
      <c r="T534" s="232"/>
      <c r="U534" s="233"/>
      <c r="V534" s="234"/>
      <c r="W534" s="232"/>
      <c r="X534" s="232"/>
      <c r="Y534" s="233"/>
      <c r="Z534" s="234"/>
      <c r="AA534" s="232"/>
      <c r="AB534" s="232"/>
      <c r="AC534" s="233"/>
      <c r="AD534" s="234"/>
      <c r="AE534" s="233"/>
      <c r="AH534" s="354">
        <f t="shared" si="114"/>
        <v>0</v>
      </c>
      <c r="AI534" s="354">
        <f>U534-O534</f>
        <v>0</v>
      </c>
      <c r="AJ534" s="354">
        <f t="shared" si="113"/>
        <v>0</v>
      </c>
    </row>
    <row r="535" spans="1:40" ht="12.95" customHeight="1" thickBot="1">
      <c r="A535" s="885"/>
      <c r="B535" s="136" t="s">
        <v>42</v>
      </c>
      <c r="C535" s="28"/>
      <c r="D535" s="1377">
        <v>2008</v>
      </c>
      <c r="E535" s="1378"/>
      <c r="F535" s="1372">
        <v>2009</v>
      </c>
      <c r="G535" s="1373"/>
      <c r="H535" s="1373"/>
      <c r="I535" s="1374"/>
      <c r="J535" s="1372">
        <v>2010</v>
      </c>
      <c r="K535" s="1373"/>
      <c r="L535" s="1373"/>
      <c r="M535" s="1374"/>
      <c r="N535" s="1372">
        <v>2011</v>
      </c>
      <c r="O535" s="1373"/>
      <c r="P535" s="1373"/>
      <c r="Q535" s="1374"/>
      <c r="R535" s="1372">
        <v>2012</v>
      </c>
      <c r="S535" s="1373"/>
      <c r="T535" s="1373"/>
      <c r="U535" s="1374"/>
      <c r="V535" s="1372">
        <v>2013</v>
      </c>
      <c r="W535" s="1373"/>
      <c r="X535" s="1373"/>
      <c r="Y535" s="1374"/>
      <c r="Z535" s="1372">
        <v>2014</v>
      </c>
      <c r="AA535" s="1373"/>
      <c r="AB535" s="1373"/>
      <c r="AC535" s="1374"/>
      <c r="AD535" s="1372">
        <v>2015</v>
      </c>
      <c r="AE535" s="1374"/>
    </row>
    <row r="536" spans="1:40" ht="12.95" customHeight="1" thickBot="1">
      <c r="A536" s="1382"/>
      <c r="B536" s="868" t="s">
        <v>180</v>
      </c>
      <c r="C536" s="193"/>
      <c r="D536" s="1379" t="s">
        <v>718</v>
      </c>
      <c r="E536" s="1380"/>
      <c r="F536" s="1380"/>
      <c r="G536" s="1380"/>
      <c r="H536" s="1380"/>
      <c r="I536" s="1380"/>
      <c r="J536" s="1380"/>
      <c r="K536" s="1380"/>
      <c r="L536" s="1380"/>
      <c r="M536" s="1380"/>
      <c r="N536" s="1380"/>
      <c r="O536" s="1380"/>
      <c r="P536" s="1380"/>
      <c r="Q536" s="1380"/>
      <c r="R536" s="1380"/>
      <c r="S536" s="1380"/>
      <c r="T536" s="1380"/>
      <c r="U536" s="1380"/>
      <c r="V536" s="1380"/>
      <c r="W536" s="1380"/>
      <c r="X536" s="1380"/>
      <c r="Y536" s="1380"/>
      <c r="Z536" s="1380"/>
      <c r="AA536" s="1380"/>
      <c r="AB536" s="1380"/>
      <c r="AC536" s="1380"/>
      <c r="AD536" s="1380"/>
      <c r="AE536" s="1381"/>
      <c r="AG536" s="257" t="s">
        <v>663</v>
      </c>
      <c r="AH536" s="356">
        <f>SUM(AH523:AH530)/8</f>
        <v>0.77500000000000002</v>
      </c>
      <c r="AI536" s="356">
        <f>SUM(AI523:AI530)/8</f>
        <v>0.23750000000000002</v>
      </c>
      <c r="AJ536" s="356" t="e">
        <f>SUM(AJ523:AJ530)/8</f>
        <v>#VALUE!</v>
      </c>
    </row>
    <row r="537" spans="1:40" ht="13.5" thickBot="1">
      <c r="A537" s="1382"/>
      <c r="B537" s="885"/>
      <c r="C537" s="194" t="s">
        <v>610</v>
      </c>
      <c r="D537" s="206"/>
      <c r="E537" s="207"/>
      <c r="F537" s="209"/>
      <c r="G537" s="206"/>
      <c r="H537" s="206"/>
      <c r="I537" s="207"/>
      <c r="J537" s="209"/>
      <c r="K537" s="206"/>
      <c r="L537" s="206"/>
      <c r="M537" s="207"/>
      <c r="N537" s="277"/>
      <c r="O537" s="278">
        <f>(O547-H547)/7/(SUM($C$700:$C$701))/Spend!O537*'State Efficiency Ratios'!$C$655</f>
        <v>7.4335864735939632</v>
      </c>
      <c r="P537" s="278"/>
      <c r="Q537" s="279"/>
      <c r="R537" s="277"/>
      <c r="S537" s="278"/>
      <c r="T537" s="278"/>
      <c r="U537" s="278">
        <f>(U547-O547)/6/(SUM($C$700:$C$701))/Spend!U537*'State Efficiency Ratios'!$C$655</f>
        <v>86.737560355123861</v>
      </c>
      <c r="V537" s="277"/>
      <c r="W537" s="278"/>
      <c r="X537" s="278"/>
      <c r="Y537" s="278">
        <f>(Y547-U547)/4/(SUM($C$700:$C$701))/Spend!Y537*'State Efficiency Ratios'!$C$655</f>
        <v>357.25621704846202</v>
      </c>
      <c r="Z537" s="277"/>
      <c r="AA537" s="278"/>
      <c r="AB537" s="278"/>
      <c r="AC537" s="278">
        <f>(AC547-Y547)/4/(SUM($C$700:$C$701))/Spend!AC537*'State Efficiency Ratios'!$C$655</f>
        <v>-278.64731329630496</v>
      </c>
      <c r="AD537" s="208"/>
      <c r="AE537" s="213"/>
      <c r="AG537" s="295"/>
      <c r="AH537" s="378">
        <f>AH536/AI536*100</f>
        <v>326.31578947368422</v>
      </c>
      <c r="AN537" s="385">
        <f>(O547-H547)/7/$C$673/Spend!O537*'State Efficiency Ratios'!$C$655</f>
        <v>44.601518841563781</v>
      </c>
    </row>
    <row r="538" spans="1:40" ht="13.5" thickBot="1">
      <c r="A538" s="1382"/>
      <c r="B538" s="885"/>
      <c r="C538" s="194" t="s">
        <v>611</v>
      </c>
      <c r="D538" s="206"/>
      <c r="E538" s="207"/>
      <c r="F538" s="209"/>
      <c r="G538" s="206"/>
      <c r="H538" s="206"/>
      <c r="I538" s="207"/>
      <c r="J538" s="209"/>
      <c r="K538" s="206"/>
      <c r="L538" s="206"/>
      <c r="M538" s="207"/>
      <c r="N538" s="277"/>
      <c r="O538" s="278">
        <f>(O548-H548)/7/(SUM($C$700:$C$701))/Spend!O538*'State Efficiency Ratios'!$C$655</f>
        <v>24.831391554097483</v>
      </c>
      <c r="P538" s="278"/>
      <c r="Q538" s="279"/>
      <c r="R538" s="277"/>
      <c r="S538" s="278"/>
      <c r="T538" s="278"/>
      <c r="U538" s="278">
        <f>(U548-O548)/6/(SUM($C$700:$C$701))/Spend!U538*'State Efficiency Ratios'!$C$655</f>
        <v>94.12740637247127</v>
      </c>
      <c r="V538" s="277"/>
      <c r="W538" s="278"/>
      <c r="X538" s="278"/>
      <c r="Y538" s="278">
        <f>(Y548-U548)/4/(SUM($C$700:$C$701))/Spend!Y538*'State Efficiency Ratios'!$C$655</f>
        <v>122.37147428112837</v>
      </c>
      <c r="Z538" s="277"/>
      <c r="AA538" s="278"/>
      <c r="AB538" s="278"/>
      <c r="AC538" s="278">
        <f>(AC548-Y548)/4/(SUM($C$700:$C$701))/Spend!AC538*'State Efficiency Ratios'!$C$655</f>
        <v>-365.36676439259321</v>
      </c>
      <c r="AD538" s="208"/>
      <c r="AE538" s="213"/>
      <c r="AG538" s="295"/>
      <c r="AN538" s="385">
        <f>(O548-H548)/7/$C$673/Spend!O538*'State Efficiency Ratios'!$C$655</f>
        <v>148.98834932458493</v>
      </c>
    </row>
    <row r="539" spans="1:40" ht="13.5" thickBot="1">
      <c r="A539" s="1382"/>
      <c r="B539" s="885"/>
      <c r="C539" s="194" t="s">
        <v>612</v>
      </c>
      <c r="D539" s="206"/>
      <c r="E539" s="207"/>
      <c r="F539" s="209"/>
      <c r="G539" s="206"/>
      <c r="H539" s="206"/>
      <c r="I539" s="207"/>
      <c r="J539" s="209"/>
      <c r="K539" s="206"/>
      <c r="L539" s="206"/>
      <c r="M539" s="207"/>
      <c r="N539" s="277"/>
      <c r="O539" s="278">
        <f>(O549-H549)/7/(SUM($C$700:$C$701))/Spend!O539*'State Efficiency Ratios'!$C$655</f>
        <v>37.812999793440625</v>
      </c>
      <c r="P539" s="278"/>
      <c r="Q539" s="279"/>
      <c r="R539" s="277"/>
      <c r="S539" s="278"/>
      <c r="T539" s="278"/>
      <c r="U539" s="278">
        <f>(U549-O549)/6/(SUM($C$700:$C$701))/Spend!U539*'State Efficiency Ratios'!$C$655</f>
        <v>48.963587024680841</v>
      </c>
      <c r="V539" s="277"/>
      <c r="W539" s="278"/>
      <c r="X539" s="278"/>
      <c r="Y539" s="278">
        <f>(Y549-U549)/4/(SUM($C$700:$C$701))/Spend!Y539*'State Efficiency Ratios'!$C$655</f>
        <v>-75.663818858325413</v>
      </c>
      <c r="Z539" s="277"/>
      <c r="AA539" s="278"/>
      <c r="AB539" s="278"/>
      <c r="AC539" s="278">
        <f>(AC549-Y549)/4/(SUM($C$700:$C$701))/Spend!AC539*'State Efficiency Ratios'!$C$655</f>
        <v>-190.82583517427739</v>
      </c>
      <c r="AD539" s="208"/>
      <c r="AE539" s="213"/>
      <c r="AG539" s="295"/>
      <c r="AN539" s="385">
        <f>(O549-H549)/7/$C$673/Spend!O539*'State Efficiency Ratios'!$C$655</f>
        <v>226.87799876064372</v>
      </c>
    </row>
    <row r="540" spans="1:40" ht="13.5" thickBot="1">
      <c r="A540" s="1382"/>
      <c r="B540" s="885"/>
      <c r="C540" s="194" t="s">
        <v>613</v>
      </c>
      <c r="D540" s="206"/>
      <c r="E540" s="207"/>
      <c r="F540" s="209"/>
      <c r="G540" s="206"/>
      <c r="H540" s="206"/>
      <c r="I540" s="207"/>
      <c r="J540" s="209"/>
      <c r="K540" s="206"/>
      <c r="L540" s="206"/>
      <c r="M540" s="207"/>
      <c r="N540" s="277"/>
      <c r="O540" s="278">
        <f>(O550-H550)/7/(SUM($C$700:$C$701))/Spend!O540*'State Efficiency Ratios'!$C$655</f>
        <v>51.038750097854951</v>
      </c>
      <c r="P540" s="278"/>
      <c r="Q540" s="279"/>
      <c r="R540" s="277"/>
      <c r="S540" s="278"/>
      <c r="T540" s="278"/>
      <c r="U540" s="278">
        <f>(U550-O550)/6/(SUM($C$700:$C$701))/Spend!U540*'State Efficiency Ratios'!$C$655</f>
        <v>13.621875284670661</v>
      </c>
      <c r="V540" s="277"/>
      <c r="W540" s="278"/>
      <c r="X540" s="278"/>
      <c r="Y540" s="278">
        <f>(Y550-U550)/4/(SUM($C$700:$C$701))/Spend!Y540*'State Efficiency Ratios'!$C$655</f>
        <v>125.48815115255249</v>
      </c>
      <c r="Z540" s="277"/>
      <c r="AA540" s="278"/>
      <c r="AB540" s="278"/>
      <c r="AC540" s="278">
        <f>(AC550-Y550)/4/(SUM($C$700:$C$701))/Spend!AC540*'State Efficiency Ratios'!$C$655</f>
        <v>-197.4252687850061</v>
      </c>
      <c r="AD540" s="208"/>
      <c r="AE540" s="213"/>
      <c r="AG540" s="295"/>
      <c r="AN540" s="385">
        <f>(O550-H550)/7/$C$673/Spend!O540*'State Efficiency Ratios'!$C$655</f>
        <v>306.23250058712966</v>
      </c>
    </row>
    <row r="541" spans="1:40" ht="13.5" thickBot="1">
      <c r="A541" s="1382"/>
      <c r="B541" s="885"/>
      <c r="C541" s="194" t="s">
        <v>614</v>
      </c>
      <c r="D541" s="206"/>
      <c r="E541" s="207"/>
      <c r="F541" s="209"/>
      <c r="G541" s="206"/>
      <c r="H541" s="206"/>
      <c r="I541" s="207"/>
      <c r="J541" s="209"/>
      <c r="K541" s="206"/>
      <c r="L541" s="206"/>
      <c r="M541" s="207"/>
      <c r="N541" s="277"/>
      <c r="O541" s="278">
        <f>(O551-H551)/7/(SUM($C$700:$C$701))/Spend!O541*'State Efficiency Ratios'!$C$655</f>
        <v>28.783913725321082</v>
      </c>
      <c r="P541" s="278"/>
      <c r="Q541" s="279"/>
      <c r="R541" s="277"/>
      <c r="S541" s="278"/>
      <c r="T541" s="278"/>
      <c r="U541" s="278">
        <f>(U551-O551)/6/(SUM($C$700:$C$701))/Spend!U541*'State Efficiency Ratios'!$C$655</f>
        <v>79.954192390476649</v>
      </c>
      <c r="V541" s="277"/>
      <c r="W541" s="278"/>
      <c r="X541" s="278"/>
      <c r="Y541" s="278">
        <f>(Y551-U551)/4/(SUM($C$700:$C$701))/Spend!Y541*'State Efficiency Ratios'!$C$655</f>
        <v>410.46331938803309</v>
      </c>
      <c r="Z541" s="277"/>
      <c r="AA541" s="278"/>
      <c r="AB541" s="278"/>
      <c r="AC541" s="278">
        <f>(AC551-Y551)/4/(SUM($C$700:$C$701))/Spend!AC541*'State Efficiency Ratios'!$C$655</f>
        <v>-424.26121562486179</v>
      </c>
      <c r="AD541" s="208"/>
      <c r="AE541" s="213"/>
      <c r="AG541" s="295"/>
      <c r="AN541" s="385">
        <f>(O551-H551)/7/$C$673/Spend!O541*'State Efficiency Ratios'!$C$655</f>
        <v>172.70348235192645</v>
      </c>
    </row>
    <row r="542" spans="1:40" ht="12.95" customHeight="1" thickBot="1">
      <c r="A542" s="1382"/>
      <c r="B542" s="885"/>
      <c r="C542" s="194" t="s">
        <v>615</v>
      </c>
      <c r="D542" s="210"/>
      <c r="E542" s="211"/>
      <c r="F542" s="209"/>
      <c r="G542" s="210"/>
      <c r="H542" s="210"/>
      <c r="I542" s="211"/>
      <c r="J542" s="209"/>
      <c r="K542" s="210"/>
      <c r="L542" s="210"/>
      <c r="M542" s="211"/>
      <c r="N542" s="281"/>
      <c r="O542" s="282"/>
      <c r="P542" s="282"/>
      <c r="Q542" s="282"/>
      <c r="R542" s="277"/>
      <c r="S542" s="278"/>
      <c r="T542" s="278"/>
      <c r="U542" s="278">
        <f>(U552-R552)/3/(SUM($C$700:$C$701))/Spend!U542*'State Efficiency Ratios'!$C$655</f>
        <v>258.87069818859976</v>
      </c>
      <c r="V542" s="277"/>
      <c r="W542" s="278"/>
      <c r="X542" s="278"/>
      <c r="Y542" s="278">
        <f>(Y552-U552)/4/(SUM($C$700:$C$701))/Spend!Y542*'State Efficiency Ratios'!$C$655</f>
        <v>294.70622031911199</v>
      </c>
      <c r="Z542" s="277"/>
      <c r="AA542" s="278"/>
      <c r="AB542" s="278"/>
      <c r="AC542" s="278">
        <f>(AC552-Y552)/4/(SUM($C$700:$C$701))/Spend!AC542*'State Efficiency Ratios'!$C$655</f>
        <v>-129.07098592108548</v>
      </c>
      <c r="AD542" s="208"/>
      <c r="AE542" s="213"/>
      <c r="AG542" s="295"/>
      <c r="AN542" s="385">
        <f>(Y552-R552)/7/$C$673/(Spend!U542+Spend!Y542)*'State Efficiency Ratios'!$C$655</f>
        <v>802.58830399647547</v>
      </c>
    </row>
    <row r="543" spans="1:40" ht="12.95" customHeight="1" thickBot="1">
      <c r="A543" s="1382"/>
      <c r="B543" s="885" t="s">
        <v>178</v>
      </c>
      <c r="C543" s="194" t="s">
        <v>616</v>
      </c>
      <c r="D543" s="210"/>
      <c r="E543" s="211"/>
      <c r="F543" s="209"/>
      <c r="G543" s="210"/>
      <c r="H543" s="210"/>
      <c r="I543" s="211"/>
      <c r="J543" s="209"/>
      <c r="K543" s="210"/>
      <c r="L543" s="210"/>
      <c r="M543" s="211"/>
      <c r="N543" s="281"/>
      <c r="O543" s="282"/>
      <c r="P543" s="282"/>
      <c r="Q543" s="282"/>
      <c r="R543" s="277"/>
      <c r="S543" s="278"/>
      <c r="T543" s="278"/>
      <c r="U543" s="278">
        <f>(U553-R553)/3/(SUM($C$700:$C$701))/Spend!U543*'State Efficiency Ratios'!$C$655</f>
        <v>0</v>
      </c>
      <c r="V543" s="277"/>
      <c r="W543" s="278"/>
      <c r="X543" s="278"/>
      <c r="Y543" s="278">
        <f>(Y553-U553)/4/(SUM($C$700:$C$701))/Spend!Y543*'State Efficiency Ratios'!$C$655</f>
        <v>395.48084244640268</v>
      </c>
      <c r="Z543" s="277"/>
      <c r="AA543" s="278"/>
      <c r="AB543" s="278"/>
      <c r="AC543" s="278">
        <f>(AC553-Y553)/4/(SUM($C$700:$C$701))/Spend!AC543*'State Efficiency Ratios'!$C$655</f>
        <v>-99.774948080631816</v>
      </c>
      <c r="AD543" s="208"/>
      <c r="AE543" s="213"/>
      <c r="AG543" s="295"/>
      <c r="AN543" s="385">
        <f>(Y553-R553)/7/$C$673/(Spend!U543+Spend!Y543)*'State Efficiency Ratios'!$C$655</f>
        <v>540.79751199092061</v>
      </c>
    </row>
    <row r="544" spans="1:40" ht="12.95" customHeight="1" thickBot="1">
      <c r="A544" s="1382"/>
      <c r="B544" s="885"/>
      <c r="C544" s="194" t="s">
        <v>617</v>
      </c>
      <c r="D544" s="210"/>
      <c r="E544" s="211"/>
      <c r="F544" s="209"/>
      <c r="G544" s="210"/>
      <c r="H544" s="210"/>
      <c r="I544" s="211"/>
      <c r="J544" s="209"/>
      <c r="K544" s="210"/>
      <c r="L544" s="210"/>
      <c r="M544" s="211"/>
      <c r="N544" s="281"/>
      <c r="O544" s="282"/>
      <c r="P544" s="282"/>
      <c r="Q544" s="282"/>
      <c r="R544" s="277"/>
      <c r="S544" s="278"/>
      <c r="T544" s="278"/>
      <c r="U544" s="278">
        <f>(U554-R554)/3/(SUM($C$700:$C$701))/Spend!U544*'State Efficiency Ratios'!$C$655</f>
        <v>0</v>
      </c>
      <c r="V544" s="277"/>
      <c r="W544" s="278"/>
      <c r="X544" s="278"/>
      <c r="Y544" s="278">
        <f>(Y554-U554)/4/(SUM($C$700:$C$701))/Spend!Y544*'State Efficiency Ratios'!$C$655</f>
        <v>251.06598712309133</v>
      </c>
      <c r="Z544" s="277"/>
      <c r="AA544" s="278"/>
      <c r="AB544" s="278"/>
      <c r="AC544" s="278">
        <f>(AC554-Y554)/4/(SUM($C$700:$C$701))/Spend!AC544*'State Efficiency Ratios'!$C$655</f>
        <v>-112.90016591397836</v>
      </c>
      <c r="AD544" s="208"/>
      <c r="AE544" s="213"/>
      <c r="AG544" s="295"/>
      <c r="AN544" s="385">
        <f>(Y554-R554)/7/$C$673/(Spend!U544+Spend!Y544)*'State Efficiency Ratios'!$C$655</f>
        <v>430.39883506815659</v>
      </c>
    </row>
    <row r="545" spans="1:40" ht="12.95" customHeight="1" thickBot="1">
      <c r="A545" s="1382"/>
      <c r="B545" s="885"/>
      <c r="C545" s="194" t="s">
        <v>618</v>
      </c>
      <c r="D545" s="210"/>
      <c r="E545" s="211"/>
      <c r="F545" s="209"/>
      <c r="G545" s="210"/>
      <c r="H545" s="210"/>
      <c r="I545" s="211"/>
      <c r="J545" s="209"/>
      <c r="K545" s="210"/>
      <c r="L545" s="210"/>
      <c r="M545" s="211"/>
      <c r="N545" s="281"/>
      <c r="O545" s="282"/>
      <c r="P545" s="282"/>
      <c r="Q545" s="283"/>
      <c r="R545" s="281"/>
      <c r="S545" s="282"/>
      <c r="T545" s="282"/>
      <c r="U545" s="283"/>
      <c r="V545" s="281"/>
      <c r="W545" s="282"/>
      <c r="X545" s="282"/>
      <c r="Y545" s="283"/>
      <c r="Z545" s="277"/>
      <c r="AA545" s="278"/>
      <c r="AB545" s="278"/>
      <c r="AC545" s="278">
        <f>(AC555-Y555)/4/(SUM($C$700:$C$701))/Spend!AC545*'State Efficiency Ratios'!$C$655</f>
        <v>0</v>
      </c>
      <c r="AD545" s="208"/>
      <c r="AE545" s="213"/>
      <c r="AG545" s="295"/>
    </row>
    <row r="546" spans="1:40" ht="12.95" customHeight="1" thickBot="1">
      <c r="A546" s="1382"/>
      <c r="B546" s="885"/>
      <c r="C546" s="194" t="s">
        <v>619</v>
      </c>
      <c r="D546" s="210"/>
      <c r="E546" s="211"/>
      <c r="F546" s="209"/>
      <c r="G546" s="210"/>
      <c r="H546" s="210"/>
      <c r="I546" s="211"/>
      <c r="J546" s="209"/>
      <c r="K546" s="210"/>
      <c r="L546" s="210"/>
      <c r="M546" s="211"/>
      <c r="N546" s="281"/>
      <c r="O546" s="282"/>
      <c r="P546" s="282"/>
      <c r="Q546" s="283"/>
      <c r="R546" s="281"/>
      <c r="S546" s="282"/>
      <c r="T546" s="282"/>
      <c r="U546" s="283"/>
      <c r="V546" s="281"/>
      <c r="W546" s="282"/>
      <c r="X546" s="282"/>
      <c r="Y546" s="283"/>
      <c r="Z546" s="277"/>
      <c r="AA546" s="278"/>
      <c r="AB546" s="278"/>
      <c r="AC546" s="278">
        <f>(AC556-Y556)/4/(SUM($C$700:$C$701))/Spend!AC546*'State Efficiency Ratios'!$C$655</f>
        <v>-24.038981332402294</v>
      </c>
      <c r="AD546" s="208"/>
      <c r="AE546" s="213"/>
      <c r="AG546" s="295"/>
    </row>
    <row r="547" spans="1:40" ht="12.95" customHeight="1" thickBot="1">
      <c r="A547" s="1382"/>
      <c r="B547" s="885"/>
      <c r="C547" s="9" t="s">
        <v>295</v>
      </c>
      <c r="D547" s="241" t="s">
        <v>632</v>
      </c>
      <c r="E547" s="241" t="s">
        <v>632</v>
      </c>
      <c r="F547" s="243" t="s">
        <v>646</v>
      </c>
      <c r="G547" s="241" t="s">
        <v>646</v>
      </c>
      <c r="H547" s="196">
        <f>'State DisAgg LFx10 (2015)'!D537</f>
        <v>0</v>
      </c>
      <c r="I547" s="244" t="s">
        <v>646</v>
      </c>
      <c r="J547" s="195"/>
      <c r="K547" s="196"/>
      <c r="L547" s="196"/>
      <c r="M547" s="197"/>
      <c r="N547" s="195"/>
      <c r="O547" s="196">
        <f>SUM('State DisAgg LFx10 (2015)'!H537:K537)</f>
        <v>1</v>
      </c>
      <c r="P547" s="196"/>
      <c r="Q547" s="197"/>
      <c r="R547" s="195"/>
      <c r="S547" s="196"/>
      <c r="T547" s="196"/>
      <c r="U547" s="197">
        <f>SUM('State DisAgg LFx10 (2015)'!L547:O547)</f>
        <v>6</v>
      </c>
      <c r="V547" s="195"/>
      <c r="W547" s="196"/>
      <c r="X547" s="196"/>
      <c r="Y547" s="197">
        <f>SUM('State DisAgg LFx10 (2015)'!P547:S547)</f>
        <v>13</v>
      </c>
      <c r="Z547" s="195"/>
      <c r="AA547" s="196"/>
      <c r="AB547" s="196"/>
      <c r="AC547" s="197">
        <f>SUM('State DisAgg LFx10 (2015)'!T547:W547)</f>
        <v>0</v>
      </c>
      <c r="AD547" s="195"/>
      <c r="AE547" s="197"/>
      <c r="AH547" s="354">
        <f>Y547-U547</f>
        <v>7</v>
      </c>
      <c r="AI547" s="354">
        <f>U547-O547</f>
        <v>5</v>
      </c>
      <c r="AJ547" s="354">
        <f t="shared" ref="AJ547:AJ558" si="118">O547-J547</f>
        <v>1</v>
      </c>
      <c r="AN547" s="384">
        <f>(O547-J547)</f>
        <v>1</v>
      </c>
    </row>
    <row r="548" spans="1:40" ht="12.95" customHeight="1" thickBot="1">
      <c r="A548" s="1382"/>
      <c r="B548" s="885"/>
      <c r="C548" s="9" t="s">
        <v>296</v>
      </c>
      <c r="D548" s="241" t="s">
        <v>632</v>
      </c>
      <c r="E548" s="241" t="s">
        <v>632</v>
      </c>
      <c r="F548" s="243" t="s">
        <v>646</v>
      </c>
      <c r="G548" s="241" t="s">
        <v>646</v>
      </c>
      <c r="H548" s="196">
        <f>'State DisAgg LFx10 (2015)'!D538</f>
        <v>0</v>
      </c>
      <c r="I548" s="244" t="s">
        <v>646</v>
      </c>
      <c r="J548" s="195"/>
      <c r="K548" s="196"/>
      <c r="L548" s="196"/>
      <c r="M548" s="197"/>
      <c r="N548" s="195"/>
      <c r="O548" s="196">
        <f>SUM('State DisAgg LFx10 (2015)'!H538:K538)</f>
        <v>3</v>
      </c>
      <c r="P548" s="196"/>
      <c r="Q548" s="197"/>
      <c r="R548" s="195"/>
      <c r="S548" s="196"/>
      <c r="T548" s="196"/>
      <c r="U548" s="197">
        <f>SUM('State DisAgg LFx10 (2015)'!L548:O548)</f>
        <v>8</v>
      </c>
      <c r="V548" s="195"/>
      <c r="W548" s="196"/>
      <c r="X548" s="196"/>
      <c r="Y548" s="197">
        <f>SUM('State DisAgg LFx10 (2015)'!P548:S548)</f>
        <v>13</v>
      </c>
      <c r="Z548" s="195"/>
      <c r="AA548" s="196"/>
      <c r="AB548" s="196"/>
      <c r="AC548" s="197">
        <f>SUM('State DisAgg LFx10 (2015)'!T548:W548)</f>
        <v>0</v>
      </c>
      <c r="AD548" s="195"/>
      <c r="AE548" s="197"/>
      <c r="AH548" s="354">
        <f t="shared" ref="AH548:AH558" si="119">Y548-U548</f>
        <v>5</v>
      </c>
      <c r="AI548" s="354">
        <f>U548-O548</f>
        <v>5</v>
      </c>
      <c r="AJ548" s="354">
        <f t="shared" si="118"/>
        <v>3</v>
      </c>
      <c r="AN548" s="384">
        <f t="shared" ref="AN548:AN551" si="120">(O548-J548)</f>
        <v>3</v>
      </c>
    </row>
    <row r="549" spans="1:40" ht="13.5" thickBot="1">
      <c r="A549" s="1382"/>
      <c r="B549" s="885"/>
      <c r="C549" s="9" t="s">
        <v>297</v>
      </c>
      <c r="D549" s="241" t="s">
        <v>632</v>
      </c>
      <c r="E549" s="241" t="s">
        <v>632</v>
      </c>
      <c r="F549" s="243" t="s">
        <v>646</v>
      </c>
      <c r="G549" s="241" t="s">
        <v>646</v>
      </c>
      <c r="H549" s="196">
        <f>'State DisAgg LFx10 (2015)'!D539</f>
        <v>0</v>
      </c>
      <c r="I549" s="244" t="s">
        <v>646</v>
      </c>
      <c r="J549" s="195"/>
      <c r="K549" s="196"/>
      <c r="L549" s="196"/>
      <c r="M549" s="197"/>
      <c r="N549" s="195"/>
      <c r="O549" s="196">
        <f>SUM('State DisAgg LFx10 (2015)'!H539:K539)</f>
        <v>5</v>
      </c>
      <c r="P549" s="196"/>
      <c r="Q549" s="197"/>
      <c r="R549" s="195"/>
      <c r="S549" s="196"/>
      <c r="T549" s="196"/>
      <c r="U549" s="197">
        <f>SUM('State DisAgg LFx10 (2015)'!L549:O549)</f>
        <v>8</v>
      </c>
      <c r="V549" s="195"/>
      <c r="W549" s="196"/>
      <c r="X549" s="196"/>
      <c r="Y549" s="197">
        <f>SUM('State DisAgg LFx10 (2015)'!P549:S549)</f>
        <v>6</v>
      </c>
      <c r="Z549" s="195"/>
      <c r="AA549" s="196"/>
      <c r="AB549" s="196"/>
      <c r="AC549" s="197">
        <f>SUM('State DisAgg LFx10 (2015)'!T549:W549)</f>
        <v>0</v>
      </c>
      <c r="AD549" s="195"/>
      <c r="AE549" s="197"/>
      <c r="AH549" s="354">
        <f t="shared" si="119"/>
        <v>-2</v>
      </c>
      <c r="AI549" s="354">
        <f>U549-O549</f>
        <v>3</v>
      </c>
      <c r="AJ549" s="354">
        <f t="shared" si="118"/>
        <v>5</v>
      </c>
      <c r="AN549" s="384">
        <f t="shared" si="120"/>
        <v>5</v>
      </c>
    </row>
    <row r="550" spans="1:40" ht="13.5" thickBot="1">
      <c r="A550" s="1382"/>
      <c r="B550" s="885"/>
      <c r="C550" s="9" t="s">
        <v>298</v>
      </c>
      <c r="D550" s="241" t="s">
        <v>632</v>
      </c>
      <c r="E550" s="241" t="s">
        <v>632</v>
      </c>
      <c r="F550" s="243" t="s">
        <v>646</v>
      </c>
      <c r="G550" s="241" t="s">
        <v>646</v>
      </c>
      <c r="H550" s="196">
        <f>'State DisAgg LFx10 (2015)'!D540</f>
        <v>0</v>
      </c>
      <c r="I550" s="244" t="s">
        <v>646</v>
      </c>
      <c r="J550" s="195"/>
      <c r="K550" s="196"/>
      <c r="L550" s="196"/>
      <c r="M550" s="197"/>
      <c r="N550" s="195"/>
      <c r="O550" s="196">
        <f>SUM('State DisAgg LFx10 (2015)'!H540:K540)</f>
        <v>7</v>
      </c>
      <c r="P550" s="196"/>
      <c r="Q550" s="197"/>
      <c r="R550" s="195"/>
      <c r="S550" s="196"/>
      <c r="T550" s="196"/>
      <c r="U550" s="197">
        <f>SUM('State DisAgg LFx10 (2015)'!L550:O550)</f>
        <v>8</v>
      </c>
      <c r="V550" s="195"/>
      <c r="W550" s="196"/>
      <c r="X550" s="196"/>
      <c r="Y550" s="197">
        <f>SUM('State DisAgg LFx10 (2015)'!P550:S550)</f>
        <v>12</v>
      </c>
      <c r="Z550" s="195"/>
      <c r="AA550" s="196"/>
      <c r="AB550" s="196"/>
      <c r="AC550" s="197">
        <f>SUM('State DisAgg LFx10 (2015)'!T550:W550)</f>
        <v>0</v>
      </c>
      <c r="AD550" s="195"/>
      <c r="AE550" s="197"/>
      <c r="AH550" s="354">
        <f t="shared" si="119"/>
        <v>4</v>
      </c>
      <c r="AI550" s="354">
        <f>U550-O550</f>
        <v>1</v>
      </c>
      <c r="AJ550" s="354">
        <f t="shared" si="118"/>
        <v>7</v>
      </c>
      <c r="AN550" s="384">
        <f t="shared" si="120"/>
        <v>7</v>
      </c>
    </row>
    <row r="551" spans="1:40" ht="13.5" thickBot="1">
      <c r="A551" s="1382"/>
      <c r="B551" s="885"/>
      <c r="C551" s="9" t="s">
        <v>299</v>
      </c>
      <c r="D551" s="241" t="s">
        <v>632</v>
      </c>
      <c r="E551" s="241" t="s">
        <v>632</v>
      </c>
      <c r="F551" s="243" t="s">
        <v>646</v>
      </c>
      <c r="G551" s="241" t="s">
        <v>646</v>
      </c>
      <c r="H551" s="196">
        <f>'State DisAgg LFx10 (2015)'!D541</f>
        <v>0</v>
      </c>
      <c r="I551" s="244" t="s">
        <v>646</v>
      </c>
      <c r="J551" s="195"/>
      <c r="K551" s="196"/>
      <c r="L551" s="196"/>
      <c r="M551" s="197"/>
      <c r="N551" s="195"/>
      <c r="O551" s="196">
        <f>SUM('State DisAgg LFx10 (2015)'!H541:K541)</f>
        <v>5</v>
      </c>
      <c r="P551" s="196"/>
      <c r="Q551" s="197"/>
      <c r="R551" s="195"/>
      <c r="S551" s="196"/>
      <c r="T551" s="196"/>
      <c r="U551" s="197">
        <f>SUM('State DisAgg LFx10 (2015)'!L551:O551)</f>
        <v>10</v>
      </c>
      <c r="V551" s="195"/>
      <c r="W551" s="196"/>
      <c r="X551" s="196"/>
      <c r="Y551" s="197">
        <f>SUM('State DisAgg LFx10 (2015)'!P551:S551)</f>
        <v>18</v>
      </c>
      <c r="Z551" s="195"/>
      <c r="AA551" s="196"/>
      <c r="AB551" s="196"/>
      <c r="AC551" s="197">
        <f>SUM('State DisAgg LFx10 (2015)'!T551:W551)</f>
        <v>0</v>
      </c>
      <c r="AD551" s="195"/>
      <c r="AE551" s="197"/>
      <c r="AH551" s="354">
        <f t="shared" si="119"/>
        <v>8</v>
      </c>
      <c r="AI551" s="354">
        <f>U551-O551</f>
        <v>5</v>
      </c>
      <c r="AJ551" s="354">
        <f t="shared" si="118"/>
        <v>5</v>
      </c>
      <c r="AN551" s="384">
        <f t="shared" si="120"/>
        <v>5</v>
      </c>
    </row>
    <row r="552" spans="1:40" ht="13.5" thickBot="1">
      <c r="A552" s="1382"/>
      <c r="B552" s="885"/>
      <c r="C552" s="9" t="s">
        <v>300</v>
      </c>
      <c r="D552" s="199"/>
      <c r="E552" s="200"/>
      <c r="F552" s="201"/>
      <c r="G552" s="199"/>
      <c r="H552" s="199"/>
      <c r="I552" s="200"/>
      <c r="J552" s="201"/>
      <c r="K552" s="199"/>
      <c r="L552" s="199"/>
      <c r="M552" s="200"/>
      <c r="N552" s="198"/>
      <c r="O552" s="217" t="s">
        <v>634</v>
      </c>
      <c r="P552" s="241" t="s">
        <v>632</v>
      </c>
      <c r="Q552" s="244" t="s">
        <v>646</v>
      </c>
      <c r="R552" s="195">
        <f>SUM('State DisAgg LFx10 (2015)'!H542:K542)</f>
        <v>0</v>
      </c>
      <c r="S552" s="196"/>
      <c r="T552" s="196"/>
      <c r="U552" s="197">
        <f>SUM('State DisAgg LFx10 (2015)'!L552:O552)</f>
        <v>3</v>
      </c>
      <c r="V552" s="195"/>
      <c r="W552" s="196"/>
      <c r="X552" s="196"/>
      <c r="Y552" s="197">
        <f>SUM('State DisAgg LFx10 (2015)'!P552:S552)</f>
        <v>6</v>
      </c>
      <c r="Z552" s="195"/>
      <c r="AA552" s="196"/>
      <c r="AB552" s="196"/>
      <c r="AC552" s="197">
        <f>SUM('State DisAgg LFx10 (2015)'!T552:W552)</f>
        <v>0</v>
      </c>
      <c r="AD552" s="195"/>
      <c r="AE552" s="197"/>
      <c r="AH552" s="354">
        <f t="shared" si="119"/>
        <v>3</v>
      </c>
      <c r="AI552" s="354">
        <f>U552-R552</f>
        <v>3</v>
      </c>
      <c r="AJ552" s="354" t="e">
        <f t="shared" si="118"/>
        <v>#VALUE!</v>
      </c>
      <c r="AN552" s="384">
        <f>(Y552-R552)</f>
        <v>6</v>
      </c>
    </row>
    <row r="553" spans="1:40" ht="13.5" thickBot="1">
      <c r="A553" s="1382"/>
      <c r="B553" s="885"/>
      <c r="C553" s="9" t="s">
        <v>301</v>
      </c>
      <c r="D553" s="199"/>
      <c r="E553" s="200"/>
      <c r="F553" s="201"/>
      <c r="G553" s="199"/>
      <c r="H553" s="199"/>
      <c r="I553" s="200"/>
      <c r="J553" s="201"/>
      <c r="K553" s="199"/>
      <c r="L553" s="199"/>
      <c r="M553" s="200"/>
      <c r="N553" s="198"/>
      <c r="O553" s="217" t="s">
        <v>634</v>
      </c>
      <c r="P553" s="241" t="s">
        <v>632</v>
      </c>
      <c r="Q553" s="244" t="s">
        <v>646</v>
      </c>
      <c r="R553" s="195">
        <f>SUM('State DisAgg LFx10 (2015)'!H543:K543)</f>
        <v>0</v>
      </c>
      <c r="S553" s="196"/>
      <c r="T553" s="196"/>
      <c r="U553" s="197">
        <f>SUM('State DisAgg LFx10 (2015)'!L553:O553)</f>
        <v>0</v>
      </c>
      <c r="V553" s="195"/>
      <c r="W553" s="196"/>
      <c r="X553" s="196"/>
      <c r="Y553" s="197">
        <f>SUM('State DisAgg LFx10 (2015)'!P553:S553)</f>
        <v>4</v>
      </c>
      <c r="Z553" s="195"/>
      <c r="AA553" s="196"/>
      <c r="AB553" s="196"/>
      <c r="AC553" s="197">
        <f>SUM('State DisAgg LFx10 (2015)'!T553:W553)</f>
        <v>0</v>
      </c>
      <c r="AD553" s="195"/>
      <c r="AE553" s="197"/>
      <c r="AH553" s="354">
        <f t="shared" si="119"/>
        <v>4</v>
      </c>
      <c r="AI553" s="354">
        <f t="shared" ref="AI553:AI554" si="121">U553-R553</f>
        <v>0</v>
      </c>
      <c r="AJ553" s="354" t="e">
        <f t="shared" si="118"/>
        <v>#VALUE!</v>
      </c>
      <c r="AN553" s="384">
        <f t="shared" ref="AN553:AN554" si="122">(Y553-R553)</f>
        <v>4</v>
      </c>
    </row>
    <row r="554" spans="1:40" ht="13.5" thickBot="1">
      <c r="A554" s="1382"/>
      <c r="B554" s="885"/>
      <c r="C554" s="9" t="s">
        <v>302</v>
      </c>
      <c r="D554" s="199"/>
      <c r="E554" s="200"/>
      <c r="F554" s="201"/>
      <c r="G554" s="199"/>
      <c r="H554" s="199"/>
      <c r="I554" s="200"/>
      <c r="J554" s="201"/>
      <c r="K554" s="199"/>
      <c r="L554" s="199"/>
      <c r="M554" s="200"/>
      <c r="N554" s="198"/>
      <c r="O554" s="217" t="s">
        <v>634</v>
      </c>
      <c r="P554" s="241" t="s">
        <v>632</v>
      </c>
      <c r="Q554" s="244" t="s">
        <v>646</v>
      </c>
      <c r="R554" s="195">
        <f>SUM('State DisAgg LFx10 (2015)'!H544:K544)</f>
        <v>0</v>
      </c>
      <c r="S554" s="196"/>
      <c r="T554" s="196"/>
      <c r="U554" s="197">
        <f>SUM('State DisAgg LFx10 (2015)'!L554:O554)</f>
        <v>0</v>
      </c>
      <c r="V554" s="195"/>
      <c r="W554" s="196"/>
      <c r="X554" s="196"/>
      <c r="Y554" s="197">
        <f>SUM('State DisAgg LFx10 (2015)'!P554:S554)</f>
        <v>4</v>
      </c>
      <c r="Z554" s="195"/>
      <c r="AA554" s="196"/>
      <c r="AB554" s="196"/>
      <c r="AC554" s="197">
        <f>SUM('State DisAgg LFx10 (2015)'!T554:W554)</f>
        <v>0</v>
      </c>
      <c r="AD554" s="195"/>
      <c r="AE554" s="197"/>
      <c r="AH554" s="354">
        <f t="shared" si="119"/>
        <v>4</v>
      </c>
      <c r="AI554" s="354">
        <f t="shared" si="121"/>
        <v>0</v>
      </c>
      <c r="AJ554" s="354" t="e">
        <f t="shared" si="118"/>
        <v>#VALUE!</v>
      </c>
      <c r="AN554" s="384">
        <f t="shared" si="122"/>
        <v>4</v>
      </c>
    </row>
    <row r="555" spans="1:40" ht="13.5" thickBot="1">
      <c r="A555" s="1382"/>
      <c r="B555" s="885"/>
      <c r="C555" s="9" t="s">
        <v>303</v>
      </c>
      <c r="D555" s="202"/>
      <c r="E555" s="203"/>
      <c r="F555" s="201"/>
      <c r="G555" s="202"/>
      <c r="H555" s="202"/>
      <c r="I555" s="203"/>
      <c r="J555" s="201"/>
      <c r="K555" s="202"/>
      <c r="L555" s="202"/>
      <c r="M555" s="203"/>
      <c r="N555" s="204"/>
      <c r="O555" s="214"/>
      <c r="P555" s="205"/>
      <c r="Q555" s="205"/>
      <c r="R555" s="201"/>
      <c r="S555" s="202"/>
      <c r="T555" s="202"/>
      <c r="U555" s="203"/>
      <c r="V555" s="242"/>
      <c r="W555" s="217" t="s">
        <v>633</v>
      </c>
      <c r="X555" s="241" t="s">
        <v>632</v>
      </c>
      <c r="Y555" s="197">
        <f>SUM('State DisAgg LFx10 (2015)'!P545:S545)</f>
        <v>0</v>
      </c>
      <c r="Z555" s="195"/>
      <c r="AA555" s="196"/>
      <c r="AB555" s="196"/>
      <c r="AC555" s="197">
        <f>SUM('State DisAgg LFx10 (2015)'!T555:W555)</f>
        <v>0</v>
      </c>
      <c r="AD555" s="195"/>
      <c r="AE555" s="197"/>
      <c r="AH555" s="354">
        <f t="shared" si="119"/>
        <v>0</v>
      </c>
      <c r="AI555" s="354">
        <f>U555-O555</f>
        <v>0</v>
      </c>
      <c r="AJ555" s="354">
        <f t="shared" si="118"/>
        <v>0</v>
      </c>
    </row>
    <row r="556" spans="1:40" ht="13.5" thickBot="1">
      <c r="A556" s="1383"/>
      <c r="B556" s="869"/>
      <c r="C556" s="9" t="s">
        <v>304</v>
      </c>
      <c r="D556" s="202"/>
      <c r="E556" s="203"/>
      <c r="F556" s="201"/>
      <c r="G556" s="202"/>
      <c r="H556" s="202"/>
      <c r="I556" s="203"/>
      <c r="J556" s="201"/>
      <c r="K556" s="202"/>
      <c r="L556" s="202"/>
      <c r="M556" s="203"/>
      <c r="N556" s="204"/>
      <c r="O556" s="205"/>
      <c r="P556" s="205"/>
      <c r="Q556" s="205"/>
      <c r="R556" s="201"/>
      <c r="S556" s="202"/>
      <c r="T556" s="202"/>
      <c r="U556" s="203"/>
      <c r="V556" s="242"/>
      <c r="W556" s="217" t="s">
        <v>633</v>
      </c>
      <c r="X556" s="241" t="s">
        <v>632</v>
      </c>
      <c r="Y556" s="197">
        <f>SUM('State DisAgg LFx10 (2015)'!P546:S546)</f>
        <v>2</v>
      </c>
      <c r="Z556" s="195"/>
      <c r="AA556" s="196"/>
      <c r="AB556" s="196"/>
      <c r="AC556" s="197">
        <f>SUM('State DisAgg LFx10 (2015)'!T556:W556)</f>
        <v>0</v>
      </c>
      <c r="AD556" s="195"/>
      <c r="AE556" s="197"/>
      <c r="AH556" s="354">
        <f t="shared" si="119"/>
        <v>2</v>
      </c>
      <c r="AI556" s="354">
        <f>U556-O556</f>
        <v>0</v>
      </c>
      <c r="AJ556" s="354">
        <f t="shared" si="118"/>
        <v>0</v>
      </c>
    </row>
    <row r="557" spans="1:40" ht="12.95" hidden="1" customHeight="1" thickBot="1">
      <c r="A557" s="231"/>
      <c r="B557" s="231"/>
      <c r="C557" s="231"/>
      <c r="D557" s="232"/>
      <c r="E557" s="233"/>
      <c r="F557" s="234"/>
      <c r="G557" s="232"/>
      <c r="H557" s="232"/>
      <c r="I557" s="233"/>
      <c r="J557" s="234"/>
      <c r="K557" s="232"/>
      <c r="L557" s="232"/>
      <c r="M557" s="233"/>
      <c r="N557" s="234"/>
      <c r="O557" s="232"/>
      <c r="P557" s="232"/>
      <c r="Q557" s="233"/>
      <c r="R557" s="234"/>
      <c r="S557" s="232"/>
      <c r="T557" s="232"/>
      <c r="U557" s="233"/>
      <c r="V557" s="234"/>
      <c r="W557" s="232"/>
      <c r="X557" s="232"/>
      <c r="Y557" s="233"/>
      <c r="Z557" s="234"/>
      <c r="AA557" s="232"/>
      <c r="AB557" s="232"/>
      <c r="AC557" s="233"/>
      <c r="AD557" s="234"/>
      <c r="AE557" s="233"/>
      <c r="AH557" s="354">
        <f t="shared" si="119"/>
        <v>0</v>
      </c>
      <c r="AI557" s="354">
        <f>U557-O557</f>
        <v>0</v>
      </c>
      <c r="AJ557" s="354">
        <f t="shared" si="118"/>
        <v>0</v>
      </c>
    </row>
    <row r="558" spans="1:40" ht="12.95" hidden="1" customHeight="1" thickBot="1">
      <c r="A558" s="231"/>
      <c r="B558" s="231"/>
      <c r="C558" s="231"/>
      <c r="D558" s="232"/>
      <c r="E558" s="233"/>
      <c r="F558" s="234"/>
      <c r="G558" s="232"/>
      <c r="H558" s="232"/>
      <c r="I558" s="233"/>
      <c r="J558" s="234"/>
      <c r="K558" s="232"/>
      <c r="L558" s="232"/>
      <c r="M558" s="233"/>
      <c r="N558" s="234"/>
      <c r="O558" s="232"/>
      <c r="P558" s="232"/>
      <c r="Q558" s="233"/>
      <c r="R558" s="234"/>
      <c r="S558" s="232"/>
      <c r="T558" s="232"/>
      <c r="U558" s="233"/>
      <c r="V558" s="234"/>
      <c r="W558" s="232"/>
      <c r="X558" s="232"/>
      <c r="Y558" s="233"/>
      <c r="Z558" s="234"/>
      <c r="AA558" s="232"/>
      <c r="AB558" s="232"/>
      <c r="AC558" s="233"/>
      <c r="AD558" s="234"/>
      <c r="AE558" s="233"/>
      <c r="AH558" s="354">
        <f t="shared" si="119"/>
        <v>0</v>
      </c>
      <c r="AI558" s="354">
        <f>U558-O558</f>
        <v>0</v>
      </c>
      <c r="AJ558" s="354">
        <f t="shared" si="118"/>
        <v>0</v>
      </c>
    </row>
    <row r="559" spans="1:40" ht="12.95" hidden="1" customHeight="1" thickBot="1">
      <c r="A559" s="231"/>
      <c r="B559" s="231"/>
      <c r="C559" s="231"/>
      <c r="D559" s="232"/>
      <c r="E559" s="233"/>
      <c r="F559" s="234"/>
      <c r="G559" s="232"/>
      <c r="H559" s="232"/>
      <c r="I559" s="233"/>
      <c r="J559" s="234"/>
      <c r="K559" s="232"/>
      <c r="L559" s="232"/>
      <c r="M559" s="233"/>
      <c r="N559" s="234"/>
      <c r="O559" s="232"/>
      <c r="P559" s="232"/>
      <c r="Q559" s="233"/>
      <c r="R559" s="234"/>
      <c r="S559" s="232"/>
      <c r="T559" s="232"/>
      <c r="U559" s="233"/>
      <c r="V559" s="234"/>
      <c r="W559" s="232"/>
      <c r="X559" s="232"/>
      <c r="Y559" s="233"/>
      <c r="Z559" s="234"/>
      <c r="AA559" s="232"/>
      <c r="AB559" s="232"/>
      <c r="AC559" s="233"/>
      <c r="AD559" s="234"/>
      <c r="AE559" s="233"/>
    </row>
    <row r="560" spans="1:40" ht="12.95" hidden="1" customHeight="1" thickBot="1">
      <c r="A560" s="231"/>
      <c r="B560" s="231"/>
      <c r="C560" s="231"/>
      <c r="D560" s="232"/>
      <c r="E560" s="233"/>
      <c r="F560" s="234"/>
      <c r="G560" s="232"/>
      <c r="H560" s="232"/>
      <c r="I560" s="233"/>
      <c r="J560" s="234"/>
      <c r="K560" s="232"/>
      <c r="L560" s="232"/>
      <c r="M560" s="233"/>
      <c r="N560" s="234"/>
      <c r="O560" s="232"/>
      <c r="P560" s="232"/>
      <c r="Q560" s="233"/>
      <c r="R560" s="234"/>
      <c r="S560" s="232"/>
      <c r="T560" s="232"/>
      <c r="U560" s="233"/>
      <c r="V560" s="234"/>
      <c r="W560" s="232"/>
      <c r="X560" s="232"/>
      <c r="Y560" s="233"/>
      <c r="Z560" s="234"/>
      <c r="AA560" s="232"/>
      <c r="AB560" s="232"/>
      <c r="AC560" s="233"/>
      <c r="AD560" s="234"/>
      <c r="AE560" s="233"/>
    </row>
    <row r="561" spans="1:41" ht="12.95" hidden="1" customHeight="1" thickBot="1">
      <c r="A561" s="231"/>
      <c r="B561" s="231"/>
      <c r="C561" s="231"/>
      <c r="D561" s="232"/>
      <c r="E561" s="233"/>
      <c r="F561" s="234"/>
      <c r="G561" s="232"/>
      <c r="H561" s="232"/>
      <c r="I561" s="233"/>
      <c r="J561" s="234"/>
      <c r="K561" s="232"/>
      <c r="L561" s="232"/>
      <c r="M561" s="233"/>
      <c r="N561" s="234"/>
      <c r="O561" s="232"/>
      <c r="P561" s="232"/>
      <c r="Q561" s="233"/>
      <c r="R561" s="234"/>
      <c r="S561" s="232"/>
      <c r="T561" s="232"/>
      <c r="U561" s="233"/>
      <c r="V561" s="234"/>
      <c r="W561" s="232"/>
      <c r="X561" s="232"/>
      <c r="Y561" s="233"/>
      <c r="Z561" s="234"/>
      <c r="AA561" s="232"/>
      <c r="AB561" s="232"/>
      <c r="AC561" s="233"/>
      <c r="AD561" s="234"/>
      <c r="AE561" s="233"/>
    </row>
    <row r="562" spans="1:41" ht="12.95" hidden="1" customHeight="1" thickBot="1">
      <c r="A562" s="231"/>
      <c r="B562" s="231"/>
      <c r="C562" s="231"/>
      <c r="D562" s="232"/>
      <c r="E562" s="233"/>
      <c r="F562" s="234"/>
      <c r="G562" s="232"/>
      <c r="H562" s="232"/>
      <c r="I562" s="233"/>
      <c r="J562" s="234"/>
      <c r="K562" s="232"/>
      <c r="L562" s="232"/>
      <c r="M562" s="233"/>
      <c r="N562" s="234"/>
      <c r="O562" s="232"/>
      <c r="P562" s="232"/>
      <c r="Q562" s="233"/>
      <c r="R562" s="234"/>
      <c r="S562" s="232"/>
      <c r="T562" s="232"/>
      <c r="U562" s="233"/>
      <c r="V562" s="234"/>
      <c r="W562" s="232"/>
      <c r="X562" s="232"/>
      <c r="Y562" s="233"/>
      <c r="Z562" s="234"/>
      <c r="AA562" s="232"/>
      <c r="AB562" s="232"/>
      <c r="AC562" s="233"/>
      <c r="AD562" s="234"/>
      <c r="AE562" s="233"/>
    </row>
    <row r="564" spans="1:41" ht="13.5" thickBot="1"/>
    <row r="565" spans="1:41" ht="12.95" customHeight="1" thickBot="1">
      <c r="A565" s="275" t="s">
        <v>27</v>
      </c>
      <c r="B565" s="274" t="s">
        <v>35</v>
      </c>
      <c r="C565" s="8"/>
      <c r="D565" s="1377">
        <v>2008</v>
      </c>
      <c r="E565" s="1378"/>
      <c r="F565" s="1372">
        <v>2009</v>
      </c>
      <c r="G565" s="1373"/>
      <c r="H565" s="1373"/>
      <c r="I565" s="1374"/>
      <c r="J565" s="1372">
        <v>2010</v>
      </c>
      <c r="K565" s="1373"/>
      <c r="L565" s="1373"/>
      <c r="M565" s="1374"/>
      <c r="N565" s="1372">
        <v>2011</v>
      </c>
      <c r="O565" s="1373"/>
      <c r="P565" s="1373"/>
      <c r="Q565" s="1374"/>
      <c r="R565" s="1372">
        <v>2012</v>
      </c>
      <c r="S565" s="1373"/>
      <c r="T565" s="1373"/>
      <c r="U565" s="1374"/>
      <c r="V565" s="1372">
        <v>2013</v>
      </c>
      <c r="W565" s="1373"/>
      <c r="X565" s="1373"/>
      <c r="Y565" s="1374"/>
      <c r="Z565" s="1372">
        <v>2014</v>
      </c>
      <c r="AA565" s="1373"/>
      <c r="AB565" s="1373"/>
      <c r="AC565" s="1374"/>
      <c r="AD565" s="1372">
        <v>2015</v>
      </c>
      <c r="AE565" s="1374"/>
      <c r="AG565" s="257" t="s">
        <v>663</v>
      </c>
      <c r="AO565" s="382" t="s">
        <v>741</v>
      </c>
    </row>
    <row r="566" spans="1:41" ht="12.95" customHeight="1" thickBot="1">
      <c r="A566" s="868" t="s">
        <v>70</v>
      </c>
      <c r="B566" s="868" t="s">
        <v>609</v>
      </c>
      <c r="C566" s="194" t="s">
        <v>610</v>
      </c>
      <c r="D566" s="206"/>
      <c r="E566" s="207"/>
      <c r="F566" s="209"/>
      <c r="G566" s="206"/>
      <c r="H566" s="206"/>
      <c r="I566" s="207"/>
      <c r="J566" s="209"/>
      <c r="K566" s="206"/>
      <c r="L566" s="206"/>
      <c r="M566" s="207"/>
      <c r="N566" s="277"/>
      <c r="O566" s="278">
        <f>(O579-J579)/5/$C$703/Spend!O566*'State Efficiency Ratios'!$C$655</f>
        <v>0</v>
      </c>
      <c r="P566" s="278"/>
      <c r="Q566" s="279"/>
      <c r="R566" s="277"/>
      <c r="S566" s="278"/>
      <c r="T566" s="278"/>
      <c r="U566" s="278">
        <f>(U579-O579)/6/$C$703/Spend!U566*'State Efficiency Ratios'!$C$655</f>
        <v>215.04739680219805</v>
      </c>
      <c r="V566" s="277"/>
      <c r="W566" s="278"/>
      <c r="X566" s="278"/>
      <c r="Y566" s="278">
        <f>(Y579-U579)/4/$C$703/Spend!Y566*'State Efficiency Ratios'!$C$655</f>
        <v>979.58176803165122</v>
      </c>
      <c r="Z566" s="277"/>
      <c r="AA566" s="278"/>
      <c r="AB566" s="278"/>
      <c r="AC566" s="278">
        <f>(AC579-Y579)/4/$C$703/Spend!AC566*'State Efficiency Ratios'!$C$655</f>
        <v>-910.38865948090506</v>
      </c>
      <c r="AD566" s="208"/>
      <c r="AE566" s="213"/>
      <c r="AG566" s="410" t="s">
        <v>771</v>
      </c>
      <c r="AN566" s="383">
        <f>(O579-J579)/7/$C$673/Spend!O566*'State Efficiency Ratios'!$C$655</f>
        <v>0</v>
      </c>
      <c r="AO566" s="379">
        <f>(AN566+AN595)/2</f>
        <v>7.9855361478625122</v>
      </c>
    </row>
    <row r="567" spans="1:41" ht="13.5" thickBot="1">
      <c r="A567" s="885"/>
      <c r="B567" s="885"/>
      <c r="C567" s="194" t="s">
        <v>611</v>
      </c>
      <c r="D567" s="206"/>
      <c r="E567" s="207"/>
      <c r="F567" s="209"/>
      <c r="G567" s="206"/>
      <c r="H567" s="206"/>
      <c r="I567" s="207"/>
      <c r="J567" s="209"/>
      <c r="K567" s="206"/>
      <c r="L567" s="206"/>
      <c r="M567" s="207"/>
      <c r="N567" s="277"/>
      <c r="O567" s="278">
        <f>(O580-J580)/5/$C$703/Spend!O567*'State Efficiency Ratios'!$C$655</f>
        <v>11.491565922971217</v>
      </c>
      <c r="P567" s="278"/>
      <c r="Q567" s="279"/>
      <c r="R567" s="277"/>
      <c r="S567" s="278"/>
      <c r="T567" s="278"/>
      <c r="U567" s="278">
        <f>(U580-O580)/6/$C$703/Spend!U567*'State Efficiency Ratios'!$C$655</f>
        <v>557.29468500513622</v>
      </c>
      <c r="V567" s="277"/>
      <c r="W567" s="278"/>
      <c r="X567" s="278"/>
      <c r="Y567" s="278">
        <f>(Y580-U580)/4/$C$703/Spend!Y567*'State Efficiency Ratios'!$C$655</f>
        <v>1446.895478178124</v>
      </c>
      <c r="Z567" s="277"/>
      <c r="AA567" s="278"/>
      <c r="AB567" s="278"/>
      <c r="AC567" s="278">
        <f>(AC580-Y580)/4/$C$703/Spend!AC567*'State Efficiency Ratios'!$C$655</f>
        <v>-1363.5599106644434</v>
      </c>
      <c r="AD567" s="208"/>
      <c r="AE567" s="213"/>
      <c r="AG567" s="410" t="s">
        <v>771</v>
      </c>
      <c r="AN567" s="383">
        <f>(O580-J580)/7/$C$673/Spend!O567*'State Efficiency Ratios'!$C$655</f>
        <v>32.833045494203475</v>
      </c>
      <c r="AO567" s="380">
        <f t="shared" ref="AO567:AO573" si="123">(AN567+AN596)/2</f>
        <v>24.624784120652606</v>
      </c>
    </row>
    <row r="568" spans="1:41" ht="13.5" thickBot="1">
      <c r="A568" s="885"/>
      <c r="B568" s="885"/>
      <c r="C568" s="194" t="s">
        <v>612</v>
      </c>
      <c r="D568" s="206"/>
      <c r="E568" s="207"/>
      <c r="F568" s="209"/>
      <c r="G568" s="206"/>
      <c r="H568" s="206"/>
      <c r="I568" s="207"/>
      <c r="J568" s="209"/>
      <c r="K568" s="206"/>
      <c r="L568" s="206"/>
      <c r="M568" s="207"/>
      <c r="N568" s="277"/>
      <c r="O568" s="278">
        <f>(O581-J581)/5/$C$703/Spend!O568*'State Efficiency Ratios'!$C$655</f>
        <v>46.21508819914925</v>
      </c>
      <c r="P568" s="278"/>
      <c r="Q568" s="279"/>
      <c r="R568" s="277"/>
      <c r="S568" s="278"/>
      <c r="T568" s="278"/>
      <c r="U568" s="278">
        <f>(U581-O581)/6/$C$703/Spend!U568*'State Efficiency Ratios'!$C$655</f>
        <v>25.172383848051044</v>
      </c>
      <c r="V568" s="277"/>
      <c r="W568" s="278"/>
      <c r="X568" s="278"/>
      <c r="Y568" s="278">
        <f>(Y581-U581)/4/$C$703/Spend!Y568*'State Efficiency Ratios'!$C$655</f>
        <v>572.60616500308151</v>
      </c>
      <c r="Z568" s="277"/>
      <c r="AA568" s="278"/>
      <c r="AB568" s="278"/>
      <c r="AC568" s="278">
        <f>(AC581-Y581)/4/$C$703/Spend!AC568*'State Efficiency Ratios'!$C$655</f>
        <v>-1094.3266856088999</v>
      </c>
      <c r="AD568" s="208"/>
      <c r="AE568" s="213"/>
      <c r="AG568" s="410" t="s">
        <v>764</v>
      </c>
      <c r="AN568" s="383">
        <f>(O581-J581)/7/$C$673/Spend!O568*'State Efficiency Ratios'!$C$655</f>
        <v>132.04310914042642</v>
      </c>
      <c r="AO568" s="380">
        <f t="shared" si="123"/>
        <v>82.526943212766511</v>
      </c>
    </row>
    <row r="569" spans="1:41" ht="13.5" thickBot="1">
      <c r="A569" s="885"/>
      <c r="B569" s="885"/>
      <c r="C569" s="194" t="s">
        <v>613</v>
      </c>
      <c r="D569" s="206"/>
      <c r="E569" s="207"/>
      <c r="F569" s="209"/>
      <c r="G569" s="206"/>
      <c r="H569" s="206"/>
      <c r="I569" s="207"/>
      <c r="J569" s="209"/>
      <c r="K569" s="206"/>
      <c r="L569" s="206"/>
      <c r="M569" s="207"/>
      <c r="N569" s="277"/>
      <c r="O569" s="278">
        <f>(O582-J582)/5/$C$703/Spend!O569*'State Efficiency Ratios'!$C$655</f>
        <v>33.592092628491123</v>
      </c>
      <c r="P569" s="278"/>
      <c r="Q569" s="279"/>
      <c r="R569" s="277"/>
      <c r="S569" s="278"/>
      <c r="T569" s="278"/>
      <c r="U569" s="278">
        <f>(U582-O582)/6/$C$703/Spend!U569*'State Efficiency Ratios'!$C$655</f>
        <v>180.58660794344124</v>
      </c>
      <c r="V569" s="277"/>
      <c r="W569" s="278"/>
      <c r="X569" s="278"/>
      <c r="Y569" s="278">
        <f>(Y582-U582)/4/$C$703/Spend!Y569*'State Efficiency Ratios'!$C$655</f>
        <v>183.96510093348746</v>
      </c>
      <c r="Z569" s="277"/>
      <c r="AA569" s="278"/>
      <c r="AB569" s="278"/>
      <c r="AC569" s="278">
        <f>(AC582-Y582)/4/$C$703/Spend!AC569*'State Efficiency Ratios'!$C$655</f>
        <v>-1030.184601080774</v>
      </c>
      <c r="AD569" s="208"/>
      <c r="AE569" s="213"/>
      <c r="AG569" s="410"/>
      <c r="AN569" s="383">
        <f>(O582-J582)/7/$C$673/Spend!O569*'State Efficiency Ratios'!$C$655</f>
        <v>95.97740750997464</v>
      </c>
      <c r="AO569" s="380">
        <f t="shared" si="123"/>
        <v>87.979290217476745</v>
      </c>
    </row>
    <row r="570" spans="1:41" ht="13.5" thickBot="1">
      <c r="A570" s="885"/>
      <c r="B570" s="885"/>
      <c r="C570" s="194" t="s">
        <v>614</v>
      </c>
      <c r="D570" s="206"/>
      <c r="E570" s="207"/>
      <c r="F570" s="209"/>
      <c r="G570" s="206"/>
      <c r="H570" s="206"/>
      <c r="I570" s="207"/>
      <c r="J570" s="209"/>
      <c r="K570" s="206"/>
      <c r="L570" s="206"/>
      <c r="M570" s="207"/>
      <c r="N570" s="277"/>
      <c r="O570" s="278">
        <f>(O583-J583)/5/$C$703/Spend!O570*'State Efficiency Ratios'!$C$655</f>
        <v>34.301121374442609</v>
      </c>
      <c r="P570" s="278"/>
      <c r="Q570" s="279"/>
      <c r="R570" s="277"/>
      <c r="S570" s="278"/>
      <c r="T570" s="278"/>
      <c r="U570" s="278">
        <f>(U583-O583)/6/$C$703/Spend!U570*'State Efficiency Ratios'!$C$655</f>
        <v>68.373270155703494</v>
      </c>
      <c r="V570" s="277"/>
      <c r="W570" s="278"/>
      <c r="X570" s="278"/>
      <c r="Y570" s="278">
        <f>(Y583-U583)/4/$C$703/Spend!Y570*'State Efficiency Ratios'!$C$655</f>
        <v>48.645169826278426</v>
      </c>
      <c r="Z570" s="277"/>
      <c r="AA570" s="278"/>
      <c r="AB570" s="278"/>
      <c r="AC570" s="278">
        <f>(AC583-Y583)/4/$C$703/Spend!AC570*'State Efficiency Ratios'!$C$655</f>
        <v>-580.63592507360738</v>
      </c>
      <c r="AD570" s="208"/>
      <c r="AE570" s="213"/>
      <c r="AG570" s="410" t="s">
        <v>772</v>
      </c>
      <c r="AN570" s="383">
        <f>(O583-J583)/7/$C$673/Spend!O570*'State Efficiency Ratios'!$C$655</f>
        <v>98.003203926978884</v>
      </c>
      <c r="AO570" s="380">
        <f t="shared" si="123"/>
        <v>73.502402945234167</v>
      </c>
    </row>
    <row r="571" spans="1:41" ht="12.95" customHeight="1" thickBot="1">
      <c r="A571" s="885"/>
      <c r="B571" s="885"/>
      <c r="C571" s="194" t="s">
        <v>615</v>
      </c>
      <c r="D571" s="210"/>
      <c r="E571" s="211"/>
      <c r="F571" s="209"/>
      <c r="G571" s="210"/>
      <c r="H571" s="210"/>
      <c r="I571" s="211"/>
      <c r="J571" s="209"/>
      <c r="K571" s="210"/>
      <c r="L571" s="210"/>
      <c r="M571" s="211"/>
      <c r="N571" s="281"/>
      <c r="O571" s="282"/>
      <c r="P571" s="282"/>
      <c r="Q571" s="282"/>
      <c r="R571" s="277"/>
      <c r="S571" s="278"/>
      <c r="T571" s="278"/>
      <c r="U571" s="278">
        <f>(U584-R584)/3/$C$703/Spend!U571*'State Efficiency Ratios'!$C$655</f>
        <v>461.80245231795629</v>
      </c>
      <c r="V571" s="277"/>
      <c r="W571" s="278"/>
      <c r="X571" s="278"/>
      <c r="Y571" s="278">
        <f>(Y584-U584)/4/$C$703/Spend!Y571*'State Efficiency Ratios'!$C$655</f>
        <v>0</v>
      </c>
      <c r="Z571" s="277"/>
      <c r="AA571" s="278"/>
      <c r="AB571" s="278"/>
      <c r="AC571" s="278">
        <f>(AC584-Y584)/4/$C$703/Spend!AC571*'State Efficiency Ratios'!$C$655</f>
        <v>-183.7052196823366</v>
      </c>
      <c r="AD571" s="208"/>
      <c r="AE571" s="213"/>
      <c r="AG571" s="410"/>
      <c r="AN571" s="383">
        <f>(Y584-R584)/7/$C$673/(Spend!U571+Spend!Y571)*'State Efficiency Ratios'!$C$655</f>
        <v>508.98342278086648</v>
      </c>
      <c r="AO571" s="380">
        <f t="shared" si="123"/>
        <v>348.27545563668485</v>
      </c>
    </row>
    <row r="572" spans="1:41" ht="12.95" customHeight="1" thickBot="1">
      <c r="A572" s="885"/>
      <c r="B572" s="885"/>
      <c r="C572" s="194" t="s">
        <v>616</v>
      </c>
      <c r="D572" s="210"/>
      <c r="E572" s="211"/>
      <c r="F572" s="209"/>
      <c r="G572" s="210"/>
      <c r="H572" s="210"/>
      <c r="I572" s="211"/>
      <c r="J572" s="209"/>
      <c r="K572" s="210"/>
      <c r="L572" s="210"/>
      <c r="M572" s="211"/>
      <c r="N572" s="281"/>
      <c r="O572" s="282"/>
      <c r="P572" s="282"/>
      <c r="Q572" s="282"/>
      <c r="R572" s="277"/>
      <c r="S572" s="278"/>
      <c r="T572" s="278"/>
      <c r="U572" s="278">
        <f>(U585-R585)/3/$C$703/Spend!U572*'State Efficiency Ratios'!$C$655</f>
        <v>232.74449407904845</v>
      </c>
      <c r="V572" s="277"/>
      <c r="W572" s="278"/>
      <c r="X572" s="278"/>
      <c r="Y572" s="278">
        <f>(Y585-U585)/4/$C$703/Spend!Y572*'State Efficiency Ratios'!$C$655</f>
        <v>705.67916667981126</v>
      </c>
      <c r="Z572" s="277"/>
      <c r="AA572" s="278"/>
      <c r="AB572" s="278"/>
      <c r="AC572" s="278">
        <f>(AC585-Y585)/4/$C$703/Spend!AC572*'State Efficiency Ratios'!$C$655</f>
        <v>-247.98221592582735</v>
      </c>
      <c r="AD572" s="208"/>
      <c r="AE572" s="213"/>
      <c r="AG572" s="410" t="s">
        <v>764</v>
      </c>
      <c r="AN572" s="383">
        <f>(Y585-R585)/7/$C$673/(Spend!U572+Spend!Y572)*'State Efficiency Ratios'!$C$655</f>
        <v>800.79755158619923</v>
      </c>
      <c r="AO572" s="380">
        <f t="shared" si="123"/>
        <v>494.0055184637061</v>
      </c>
    </row>
    <row r="573" spans="1:41" ht="12.95" customHeight="1" thickBot="1">
      <c r="A573" s="885"/>
      <c r="B573" s="885"/>
      <c r="C573" s="194" t="s">
        <v>617</v>
      </c>
      <c r="D573" s="210"/>
      <c r="E573" s="211"/>
      <c r="F573" s="209"/>
      <c r="G573" s="210"/>
      <c r="H573" s="210"/>
      <c r="I573" s="211"/>
      <c r="J573" s="209"/>
      <c r="K573" s="210"/>
      <c r="L573" s="210"/>
      <c r="M573" s="211"/>
      <c r="N573" s="281"/>
      <c r="O573" s="282"/>
      <c r="P573" s="282"/>
      <c r="Q573" s="282"/>
      <c r="R573" s="277"/>
      <c r="S573" s="278"/>
      <c r="T573" s="278"/>
      <c r="U573" s="278">
        <f>(U586-R586)/3/$C$703/Spend!U573*'State Efficiency Ratios'!$C$655</f>
        <v>195.99980644386886</v>
      </c>
      <c r="V573" s="277"/>
      <c r="W573" s="278"/>
      <c r="X573" s="278"/>
      <c r="Y573" s="278">
        <f>(Y586-U586)/4/$C$703/Spend!Y573*'State Efficiency Ratios'!$C$655</f>
        <v>0</v>
      </c>
      <c r="Z573" s="277"/>
      <c r="AA573" s="278"/>
      <c r="AB573" s="278"/>
      <c r="AC573" s="278">
        <f>(AC586-Y586)/4/$C$703/Spend!AC573*'State Efficiency Ratios'!$C$655</f>
        <v>-76.620693528715449</v>
      </c>
      <c r="AD573" s="208"/>
      <c r="AE573" s="213"/>
      <c r="AG573" s="410" t="s">
        <v>773</v>
      </c>
      <c r="AN573" s="383">
        <f>(Y586-R586)/7/$C$673/(Spend!U573+Spend!Y573)*'State Efficiency Ratios'!$C$655</f>
        <v>61.440494164892975</v>
      </c>
      <c r="AO573" s="381">
        <f t="shared" si="123"/>
        <v>73.99343498202586</v>
      </c>
    </row>
    <row r="574" spans="1:41" ht="12.95" customHeight="1" thickBot="1">
      <c r="A574" s="885"/>
      <c r="B574" s="885"/>
      <c r="C574" s="194" t="s">
        <v>618</v>
      </c>
      <c r="D574" s="210"/>
      <c r="E574" s="211"/>
      <c r="F574" s="209"/>
      <c r="G574" s="210"/>
      <c r="H574" s="210"/>
      <c r="I574" s="211"/>
      <c r="J574" s="209"/>
      <c r="K574" s="210"/>
      <c r="L574" s="210"/>
      <c r="M574" s="211"/>
      <c r="N574" s="281"/>
      <c r="O574" s="282"/>
      <c r="P574" s="282"/>
      <c r="Q574" s="283"/>
      <c r="R574" s="281"/>
      <c r="S574" s="282"/>
      <c r="T574" s="282"/>
      <c r="U574" s="283"/>
      <c r="V574" s="281"/>
      <c r="W574" s="282"/>
      <c r="X574" s="282"/>
      <c r="Y574" s="283"/>
      <c r="Z574" s="277"/>
      <c r="AA574" s="278"/>
      <c r="AB574" s="278"/>
      <c r="AC574" s="278">
        <f>(AC587-Y587)/4/$C$703/Spend!AC574*'State Efficiency Ratios'!$C$655</f>
        <v>0</v>
      </c>
      <c r="AD574" s="208"/>
      <c r="AE574" s="213"/>
      <c r="AG574" s="295"/>
    </row>
    <row r="575" spans="1:41" ht="12.95" customHeight="1" thickBot="1">
      <c r="A575" s="885"/>
      <c r="B575" s="885"/>
      <c r="C575" s="194" t="s">
        <v>619</v>
      </c>
      <c r="D575" s="210"/>
      <c r="E575" s="211"/>
      <c r="F575" s="209"/>
      <c r="G575" s="210"/>
      <c r="H575" s="210"/>
      <c r="I575" s="211"/>
      <c r="J575" s="209"/>
      <c r="K575" s="210"/>
      <c r="L575" s="210"/>
      <c r="M575" s="211"/>
      <c r="N575" s="281"/>
      <c r="O575" s="282"/>
      <c r="P575" s="282"/>
      <c r="Q575" s="283"/>
      <c r="R575" s="281"/>
      <c r="S575" s="282"/>
      <c r="T575" s="282"/>
      <c r="U575" s="283"/>
      <c r="V575" s="281"/>
      <c r="W575" s="282"/>
      <c r="X575" s="282"/>
      <c r="Y575" s="283"/>
      <c r="Z575" s="277"/>
      <c r="AA575" s="278"/>
      <c r="AB575" s="278"/>
      <c r="AC575" s="278">
        <f>(AC588-Y588)/4/$C$703/Spend!AC575*'State Efficiency Ratios'!$C$655</f>
        <v>0</v>
      </c>
      <c r="AD575" s="208"/>
      <c r="AE575" s="213"/>
      <c r="AG575" s="295"/>
    </row>
    <row r="576" spans="1:41" ht="13.5" thickBot="1">
      <c r="A576" s="885"/>
      <c r="B576" s="885"/>
      <c r="C576" s="194" t="s">
        <v>620</v>
      </c>
      <c r="D576" s="206"/>
      <c r="E576" s="207"/>
      <c r="F576" s="209"/>
      <c r="G576" s="206"/>
      <c r="H576" s="206"/>
      <c r="I576" s="207"/>
      <c r="J576" s="209"/>
      <c r="K576" s="206"/>
      <c r="L576" s="206"/>
      <c r="M576" s="207"/>
      <c r="N576" s="277"/>
      <c r="O576" s="278">
        <f>(O589-J589)/5/$C$703/Spend!O576*'State Efficiency Ratios'!$C$655</f>
        <v>60.54542121834853</v>
      </c>
      <c r="P576" s="278"/>
      <c r="Q576" s="279"/>
      <c r="R576" s="277"/>
      <c r="S576" s="278"/>
      <c r="T576" s="278"/>
      <c r="U576" s="278">
        <f>(U589-O589)/6/$C$703/Spend!U576*'State Efficiency Ratios'!$C$655</f>
        <v>17.82594013717307</v>
      </c>
      <c r="V576" s="277"/>
      <c r="W576" s="278"/>
      <c r="X576" s="278"/>
      <c r="Y576" s="278">
        <f>(Y589-U589)/4/$C$703/Spend!Y576*'State Efficiency Ratios'!$C$655</f>
        <v>820.625709865261</v>
      </c>
      <c r="Z576" s="277"/>
      <c r="AA576" s="278"/>
      <c r="AB576" s="278"/>
      <c r="AC576" s="278">
        <f>(AC589-Y589)/4/$C$703/Spend!AC576*'State Efficiency Ratios'!$C$655</f>
        <v>2176.2626785111993</v>
      </c>
      <c r="AD576" s="208"/>
      <c r="AE576" s="213"/>
    </row>
    <row r="577" spans="1:41" ht="13.5" thickBot="1">
      <c r="A577" s="885"/>
      <c r="B577" s="885"/>
      <c r="C577" s="194" t="s">
        <v>645</v>
      </c>
      <c r="D577" s="206"/>
      <c r="E577" s="207"/>
      <c r="F577" s="209"/>
      <c r="G577" s="206"/>
      <c r="H577" s="206"/>
      <c r="I577" s="207"/>
      <c r="J577" s="209"/>
      <c r="K577" s="206"/>
      <c r="L577" s="206"/>
      <c r="M577" s="207"/>
      <c r="N577" s="277"/>
      <c r="O577" s="278" t="e">
        <f>(O590-J590)/5/$C$703/Spend!O577*'State Efficiency Ratios'!$C$655</f>
        <v>#DIV/0!</v>
      </c>
      <c r="P577" s="278"/>
      <c r="Q577" s="279"/>
      <c r="R577" s="277"/>
      <c r="S577" s="278"/>
      <c r="T577" s="278"/>
      <c r="U577" s="278" t="e">
        <f>(U590-O590)/6/$C$703/Spend!U577*'State Efficiency Ratios'!$C$655</f>
        <v>#DIV/0!</v>
      </c>
      <c r="V577" s="277"/>
      <c r="W577" s="278"/>
      <c r="X577" s="278"/>
      <c r="Y577" s="278" t="e">
        <f>(Y590-U590)/4/$C$703/Spend!Y577*'State Efficiency Ratios'!$C$655</f>
        <v>#DIV/0!</v>
      </c>
      <c r="Z577" s="277"/>
      <c r="AA577" s="278"/>
      <c r="AB577" s="278"/>
      <c r="AC577" s="278">
        <f>(AC590-Y590)/4/$C$703/Spend!AC577*'State Efficiency Ratios'!$C$655</f>
        <v>2901.6835713482656</v>
      </c>
      <c r="AD577" s="208"/>
      <c r="AE577" s="213"/>
    </row>
    <row r="578" spans="1:41" ht="13.5" thickBot="1">
      <c r="A578" s="885"/>
      <c r="B578" s="885"/>
      <c r="C578" s="194" t="s">
        <v>621</v>
      </c>
      <c r="D578" s="206"/>
      <c r="E578" s="207"/>
      <c r="F578" s="209"/>
      <c r="G578" s="206"/>
      <c r="H578" s="206"/>
      <c r="I578" s="207"/>
      <c r="J578" s="209"/>
      <c r="K578" s="206"/>
      <c r="L578" s="206"/>
      <c r="M578" s="207"/>
      <c r="N578" s="277"/>
      <c r="O578" s="278" t="e">
        <f>(O591-J591)/5/$C$703/Spend!O578*'State Efficiency Ratios'!$C$655</f>
        <v>#REF!</v>
      </c>
      <c r="P578" s="278"/>
      <c r="Q578" s="279"/>
      <c r="R578" s="277"/>
      <c r="S578" s="278"/>
      <c r="T578" s="278"/>
      <c r="U578" s="278" t="e">
        <f>(U591-O591)/6/$C$703/Spend!U578*'State Efficiency Ratios'!$C$655</f>
        <v>#REF!</v>
      </c>
      <c r="V578" s="277"/>
      <c r="W578" s="278"/>
      <c r="X578" s="278"/>
      <c r="Y578" s="278" t="e">
        <f>(Y591-U591)/4/$C$703/Spend!Y578*'State Efficiency Ratios'!$C$655</f>
        <v>#REF!</v>
      </c>
      <c r="Z578" s="277"/>
      <c r="AA578" s="278"/>
      <c r="AB578" s="278"/>
      <c r="AC578" s="278" t="e">
        <f>(AC591-Y591)/4/$C$703/Spend!AC578*'State Efficiency Ratios'!$C$655</f>
        <v>#REF!</v>
      </c>
      <c r="AD578" s="208"/>
      <c r="AE578" s="213"/>
      <c r="AK578" s="351" t="s">
        <v>741</v>
      </c>
      <c r="AL578" s="351" t="s">
        <v>741</v>
      </c>
      <c r="AM578" s="351" t="s">
        <v>741</v>
      </c>
      <c r="AO578" s="351" t="s">
        <v>741</v>
      </c>
    </row>
    <row r="579" spans="1:41" ht="13.5" thickBot="1">
      <c r="A579" s="885"/>
      <c r="B579" s="885"/>
      <c r="C579" s="9" t="s">
        <v>295</v>
      </c>
      <c r="D579" s="241" t="s">
        <v>632</v>
      </c>
      <c r="E579" s="241" t="s">
        <v>632</v>
      </c>
      <c r="F579" s="243" t="s">
        <v>646</v>
      </c>
      <c r="G579" s="241" t="s">
        <v>646</v>
      </c>
      <c r="H579" s="241" t="s">
        <v>646</v>
      </c>
      <c r="I579" s="244" t="s">
        <v>646</v>
      </c>
      <c r="J579" s="195">
        <f>'State DisAgg LFx10 (2015)'!D566</f>
        <v>0</v>
      </c>
      <c r="K579" s="196"/>
      <c r="L579" s="196"/>
      <c r="M579" s="197"/>
      <c r="N579" s="195"/>
      <c r="O579" s="196">
        <f>'State DisAgg LFx10 (2015)'!H578</f>
        <v>0</v>
      </c>
      <c r="P579" s="196"/>
      <c r="Q579" s="197"/>
      <c r="R579" s="195"/>
      <c r="S579" s="196"/>
      <c r="T579" s="196"/>
      <c r="U579" s="197">
        <f>'State DisAgg LFx10 (2015)'!L578</f>
        <v>3</v>
      </c>
      <c r="V579" s="252"/>
      <c r="W579" s="253"/>
      <c r="X579" s="253"/>
      <c r="Y579" s="254">
        <f>'State DisAgg LFx10 (2015)'!P578</f>
        <v>10</v>
      </c>
      <c r="Z579" s="252"/>
      <c r="AA579" s="253"/>
      <c r="AB579" s="253"/>
      <c r="AC579" s="254">
        <f>'State DisAgg LFx10 (2015)'!T578</f>
        <v>0</v>
      </c>
      <c r="AD579" s="195"/>
      <c r="AE579" s="197"/>
      <c r="AH579" s="354">
        <f>Y579-U579</f>
        <v>7</v>
      </c>
      <c r="AI579" s="354">
        <f>U579-O579</f>
        <v>3</v>
      </c>
      <c r="AJ579" s="354">
        <f t="shared" ref="AJ579:AJ590" si="124">O579-J579</f>
        <v>0</v>
      </c>
      <c r="AK579" s="361">
        <f>(AH579/$C$703)+(AH608/$C$708)</f>
        <v>0.85</v>
      </c>
      <c r="AL579" s="362">
        <f t="shared" ref="AL579:AM590" si="125">(AI579/$C$703)+(AI608/$C$708)</f>
        <v>0.15</v>
      </c>
      <c r="AM579" s="363">
        <f t="shared" si="125"/>
        <v>0.1</v>
      </c>
      <c r="AN579" s="384">
        <f>(O579-J579)</f>
        <v>0</v>
      </c>
      <c r="AO579" s="386">
        <f>(AN579/$C$703)+(AN608/$C$708)</f>
        <v>0.1</v>
      </c>
    </row>
    <row r="580" spans="1:41" ht="13.5" thickBot="1">
      <c r="A580" s="885"/>
      <c r="B580" s="885"/>
      <c r="C580" s="9" t="s">
        <v>296</v>
      </c>
      <c r="D580" s="241" t="s">
        <v>632</v>
      </c>
      <c r="E580" s="241" t="s">
        <v>632</v>
      </c>
      <c r="F580" s="243" t="s">
        <v>646</v>
      </c>
      <c r="G580" s="241" t="s">
        <v>646</v>
      </c>
      <c r="H580" s="241" t="s">
        <v>646</v>
      </c>
      <c r="I580" s="244" t="s">
        <v>646</v>
      </c>
      <c r="J580" s="195">
        <f>'State DisAgg LFx10 (2015)'!D567</f>
        <v>0</v>
      </c>
      <c r="K580" s="196"/>
      <c r="L580" s="196"/>
      <c r="M580" s="197"/>
      <c r="N580" s="195"/>
      <c r="O580" s="196">
        <f>'State DisAgg LFx10 (2015)'!H579</f>
        <v>1</v>
      </c>
      <c r="P580" s="196"/>
      <c r="Q580" s="197"/>
      <c r="R580" s="195"/>
      <c r="S580" s="196"/>
      <c r="T580" s="196"/>
      <c r="U580" s="197">
        <f>'State DisAgg LFx10 (2015)'!L579</f>
        <v>10</v>
      </c>
      <c r="V580" s="252"/>
      <c r="W580" s="253"/>
      <c r="X580" s="253"/>
      <c r="Y580" s="254">
        <f>'State DisAgg LFx10 (2015)'!P579</f>
        <v>18</v>
      </c>
      <c r="Z580" s="252"/>
      <c r="AA580" s="253"/>
      <c r="AB580" s="253"/>
      <c r="AC580" s="254">
        <f>'State DisAgg LFx10 (2015)'!T579</f>
        <v>0</v>
      </c>
      <c r="AD580" s="195"/>
      <c r="AE580" s="197"/>
      <c r="AH580" s="354">
        <f t="shared" ref="AH580:AH593" si="126">Y580-U580</f>
        <v>8</v>
      </c>
      <c r="AI580" s="354">
        <f>U580-O580</f>
        <v>9</v>
      </c>
      <c r="AJ580" s="354">
        <f t="shared" si="124"/>
        <v>1</v>
      </c>
      <c r="AK580" s="364">
        <f t="shared" ref="AK580:AK590" si="127">(AH580/$C$703)+(AH609/$C$708)</f>
        <v>0.8</v>
      </c>
      <c r="AL580" s="360">
        <f t="shared" si="125"/>
        <v>0.35</v>
      </c>
      <c r="AM580" s="365">
        <f t="shared" si="125"/>
        <v>0.15000000000000002</v>
      </c>
      <c r="AN580" s="384">
        <f t="shared" ref="AN580:AN583" si="128">(O580-J580)</f>
        <v>1</v>
      </c>
      <c r="AO580" s="387">
        <f t="shared" ref="AO580:AO586" si="129">(AN580/$C$703)+(AN609/$C$708)</f>
        <v>0.15000000000000002</v>
      </c>
    </row>
    <row r="581" spans="1:41" ht="13.5" thickBot="1">
      <c r="A581" s="885"/>
      <c r="B581" s="885"/>
      <c r="C581" s="9" t="s">
        <v>297</v>
      </c>
      <c r="D581" s="241" t="s">
        <v>632</v>
      </c>
      <c r="E581" s="241" t="s">
        <v>632</v>
      </c>
      <c r="F581" s="243" t="s">
        <v>646</v>
      </c>
      <c r="G581" s="241" t="s">
        <v>646</v>
      </c>
      <c r="H581" s="241" t="s">
        <v>646</v>
      </c>
      <c r="I581" s="244" t="s">
        <v>646</v>
      </c>
      <c r="J581" s="195">
        <f>'State DisAgg LFx10 (2015)'!D568</f>
        <v>3</v>
      </c>
      <c r="K581" s="196"/>
      <c r="L581" s="196"/>
      <c r="M581" s="197"/>
      <c r="N581" s="195"/>
      <c r="O581" s="196">
        <f>'State DisAgg LFx10 (2015)'!H580</f>
        <v>7</v>
      </c>
      <c r="P581" s="196"/>
      <c r="Q581" s="197"/>
      <c r="R581" s="195"/>
      <c r="S581" s="196"/>
      <c r="T581" s="196"/>
      <c r="U581" s="197">
        <f>'State DisAgg LFx10 (2015)'!L580</f>
        <v>8</v>
      </c>
      <c r="V581" s="252"/>
      <c r="W581" s="253"/>
      <c r="X581" s="253"/>
      <c r="Y581" s="254">
        <f>'State DisAgg LFx10 (2015)'!P580</f>
        <v>12</v>
      </c>
      <c r="Z581" s="252"/>
      <c r="AA581" s="253"/>
      <c r="AB581" s="253"/>
      <c r="AC581" s="254">
        <f>'State DisAgg LFx10 (2015)'!T580</f>
        <v>0</v>
      </c>
      <c r="AD581" s="195"/>
      <c r="AE581" s="197"/>
      <c r="AH581" s="354">
        <f t="shared" si="126"/>
        <v>4</v>
      </c>
      <c r="AI581" s="354">
        <f>U581-O581</f>
        <v>1</v>
      </c>
      <c r="AJ581" s="354">
        <f t="shared" si="124"/>
        <v>4</v>
      </c>
      <c r="AK581" s="364">
        <f t="shared" si="127"/>
        <v>0.4</v>
      </c>
      <c r="AL581" s="360">
        <f t="shared" si="125"/>
        <v>0.25</v>
      </c>
      <c r="AM581" s="365">
        <f t="shared" si="125"/>
        <v>0.4</v>
      </c>
      <c r="AN581" s="384">
        <f t="shared" si="128"/>
        <v>4</v>
      </c>
      <c r="AO581" s="387">
        <f t="shared" si="129"/>
        <v>0.4</v>
      </c>
    </row>
    <row r="582" spans="1:41" ht="13.5" thickBot="1">
      <c r="A582" s="885"/>
      <c r="B582" s="885"/>
      <c r="C582" s="9" t="s">
        <v>298</v>
      </c>
      <c r="D582" s="241" t="s">
        <v>632</v>
      </c>
      <c r="E582" s="241" t="s">
        <v>632</v>
      </c>
      <c r="F582" s="243" t="s">
        <v>646</v>
      </c>
      <c r="G582" s="241" t="s">
        <v>646</v>
      </c>
      <c r="H582" s="241" t="s">
        <v>646</v>
      </c>
      <c r="I582" s="244" t="s">
        <v>646</v>
      </c>
      <c r="J582" s="195">
        <f>'State DisAgg LFx10 (2015)'!D569</f>
        <v>0</v>
      </c>
      <c r="K582" s="196"/>
      <c r="L582" s="196"/>
      <c r="M582" s="197"/>
      <c r="N582" s="195"/>
      <c r="O582" s="196">
        <f>'State DisAgg LFx10 (2015)'!H581</f>
        <v>3</v>
      </c>
      <c r="P582" s="196"/>
      <c r="Q582" s="197"/>
      <c r="R582" s="195"/>
      <c r="S582" s="196"/>
      <c r="T582" s="196"/>
      <c r="U582" s="197">
        <f>'State DisAgg LFx10 (2015)'!L581</f>
        <v>8</v>
      </c>
      <c r="V582" s="252"/>
      <c r="W582" s="253"/>
      <c r="X582" s="253"/>
      <c r="Y582" s="254">
        <f>'State DisAgg LFx10 (2015)'!P581</f>
        <v>13</v>
      </c>
      <c r="Z582" s="252"/>
      <c r="AA582" s="253"/>
      <c r="AB582" s="253"/>
      <c r="AC582" s="254">
        <f>'State DisAgg LFx10 (2015)'!T581</f>
        <v>0</v>
      </c>
      <c r="AD582" s="195"/>
      <c r="AE582" s="197"/>
      <c r="AH582" s="354">
        <f t="shared" si="126"/>
        <v>5</v>
      </c>
      <c r="AI582" s="354">
        <f>U582-O582</f>
        <v>5</v>
      </c>
      <c r="AJ582" s="354">
        <f t="shared" si="124"/>
        <v>3</v>
      </c>
      <c r="AK582" s="364">
        <f t="shared" si="127"/>
        <v>0.55000000000000004</v>
      </c>
      <c r="AL582" s="360">
        <f t="shared" si="125"/>
        <v>0.25</v>
      </c>
      <c r="AM582" s="365">
        <f t="shared" si="125"/>
        <v>0.65</v>
      </c>
      <c r="AN582" s="384">
        <f t="shared" si="128"/>
        <v>3</v>
      </c>
      <c r="AO582" s="387">
        <f t="shared" si="129"/>
        <v>0.65</v>
      </c>
    </row>
    <row r="583" spans="1:41" ht="13.5" thickBot="1">
      <c r="A583" s="885"/>
      <c r="B583" s="885"/>
      <c r="C583" s="9" t="s">
        <v>299</v>
      </c>
      <c r="D583" s="241" t="s">
        <v>632</v>
      </c>
      <c r="E583" s="241" t="s">
        <v>632</v>
      </c>
      <c r="F583" s="243" t="s">
        <v>646</v>
      </c>
      <c r="G583" s="241" t="s">
        <v>646</v>
      </c>
      <c r="H583" s="241" t="s">
        <v>646</v>
      </c>
      <c r="I583" s="244" t="s">
        <v>646</v>
      </c>
      <c r="J583" s="195">
        <f>'State DisAgg LFx10 (2015)'!D570</f>
        <v>2</v>
      </c>
      <c r="K583" s="196"/>
      <c r="L583" s="196"/>
      <c r="M583" s="197"/>
      <c r="N583" s="195"/>
      <c r="O583" s="196">
        <f>'State DisAgg LFx10 (2015)'!H582</f>
        <v>5</v>
      </c>
      <c r="P583" s="196"/>
      <c r="Q583" s="197"/>
      <c r="R583" s="195"/>
      <c r="S583" s="196"/>
      <c r="T583" s="196"/>
      <c r="U583" s="197">
        <f>'State DisAgg LFx10 (2015)'!L582</f>
        <v>8</v>
      </c>
      <c r="V583" s="252"/>
      <c r="W583" s="253"/>
      <c r="X583" s="253"/>
      <c r="Y583" s="254">
        <f>'State DisAgg LFx10 (2015)'!P582</f>
        <v>9</v>
      </c>
      <c r="Z583" s="252"/>
      <c r="AA583" s="253"/>
      <c r="AB583" s="253"/>
      <c r="AC583" s="254">
        <f>'State DisAgg LFx10 (2015)'!T582</f>
        <v>0</v>
      </c>
      <c r="AD583" s="195"/>
      <c r="AE583" s="197"/>
      <c r="AH583" s="354">
        <f t="shared" si="126"/>
        <v>1</v>
      </c>
      <c r="AI583" s="354">
        <f>U583-O583</f>
        <v>3</v>
      </c>
      <c r="AJ583" s="354">
        <f t="shared" si="124"/>
        <v>3</v>
      </c>
      <c r="AK583" s="364">
        <f t="shared" si="127"/>
        <v>0.45</v>
      </c>
      <c r="AL583" s="360">
        <f t="shared" si="125"/>
        <v>-0.15</v>
      </c>
      <c r="AM583" s="365">
        <f t="shared" si="125"/>
        <v>0.44999999999999996</v>
      </c>
      <c r="AN583" s="384">
        <f t="shared" si="128"/>
        <v>3</v>
      </c>
      <c r="AO583" s="387">
        <f t="shared" si="129"/>
        <v>0.44999999999999996</v>
      </c>
    </row>
    <row r="584" spans="1:41" ht="13.5" thickBot="1">
      <c r="A584" s="885"/>
      <c r="B584" s="885"/>
      <c r="C584" s="9" t="s">
        <v>300</v>
      </c>
      <c r="D584" s="199"/>
      <c r="E584" s="200"/>
      <c r="F584" s="201"/>
      <c r="G584" s="199"/>
      <c r="H584" s="199"/>
      <c r="I584" s="200"/>
      <c r="J584" s="201"/>
      <c r="K584" s="199"/>
      <c r="L584" s="199"/>
      <c r="M584" s="200"/>
      <c r="N584" s="198"/>
      <c r="O584" s="217" t="s">
        <v>634</v>
      </c>
      <c r="P584" s="241" t="s">
        <v>632</v>
      </c>
      <c r="Q584" s="244" t="s">
        <v>646</v>
      </c>
      <c r="R584" s="195">
        <f>'State DisAgg LFx10 (2015)'!H571</f>
        <v>0</v>
      </c>
      <c r="S584" s="196"/>
      <c r="T584" s="196"/>
      <c r="U584" s="197">
        <f>'State DisAgg LFx10 (2015)'!L583</f>
        <v>2</v>
      </c>
      <c r="V584" s="252"/>
      <c r="W584" s="253"/>
      <c r="X584" s="253"/>
      <c r="Y584" s="254">
        <f>'State DisAgg LFx10 (2015)'!P583</f>
        <v>2</v>
      </c>
      <c r="Z584" s="252"/>
      <c r="AA584" s="253"/>
      <c r="AB584" s="253"/>
      <c r="AC584" s="254">
        <f>'State DisAgg LFx10 (2015)'!T583</f>
        <v>0</v>
      </c>
      <c r="AD584" s="195"/>
      <c r="AE584" s="197"/>
      <c r="AH584" s="354">
        <f t="shared" si="126"/>
        <v>0</v>
      </c>
      <c r="AI584" s="354">
        <f>U584-R584</f>
        <v>2</v>
      </c>
      <c r="AJ584" s="354" t="e">
        <f t="shared" si="124"/>
        <v>#VALUE!</v>
      </c>
      <c r="AK584" s="364">
        <f t="shared" si="127"/>
        <v>0.1</v>
      </c>
      <c r="AL584" s="360">
        <f t="shared" si="125"/>
        <v>0.2</v>
      </c>
      <c r="AM584" s="365" t="e">
        <f t="shared" si="125"/>
        <v>#VALUE!</v>
      </c>
      <c r="AN584" s="384">
        <f>(Y584-R584)</f>
        <v>2</v>
      </c>
      <c r="AO584" s="387">
        <f t="shared" si="129"/>
        <v>0.30000000000000004</v>
      </c>
    </row>
    <row r="585" spans="1:41" ht="13.5" thickBot="1">
      <c r="A585" s="885"/>
      <c r="B585" s="885"/>
      <c r="C585" s="9" t="s">
        <v>301</v>
      </c>
      <c r="D585" s="199"/>
      <c r="E585" s="200"/>
      <c r="F585" s="201"/>
      <c r="G585" s="199"/>
      <c r="H585" s="199"/>
      <c r="I585" s="200"/>
      <c r="J585" s="201"/>
      <c r="K585" s="199"/>
      <c r="L585" s="199"/>
      <c r="M585" s="200"/>
      <c r="N585" s="198"/>
      <c r="O585" s="217" t="s">
        <v>634</v>
      </c>
      <c r="P585" s="241" t="s">
        <v>632</v>
      </c>
      <c r="Q585" s="244" t="s">
        <v>646</v>
      </c>
      <c r="R585" s="195">
        <f>'State DisAgg LFx10 (2015)'!H572</f>
        <v>0</v>
      </c>
      <c r="S585" s="196"/>
      <c r="T585" s="196"/>
      <c r="U585" s="197">
        <f>'State DisAgg LFx10 (2015)'!L584</f>
        <v>1</v>
      </c>
      <c r="V585" s="252"/>
      <c r="W585" s="253"/>
      <c r="X585" s="253"/>
      <c r="Y585" s="254">
        <f>'State DisAgg LFx10 (2015)'!P584</f>
        <v>3</v>
      </c>
      <c r="Z585" s="252"/>
      <c r="AA585" s="253"/>
      <c r="AB585" s="253"/>
      <c r="AC585" s="254">
        <f>'State DisAgg LFx10 (2015)'!T584</f>
        <v>0</v>
      </c>
      <c r="AD585" s="195"/>
      <c r="AE585" s="197"/>
      <c r="AH585" s="354">
        <f t="shared" si="126"/>
        <v>2</v>
      </c>
      <c r="AI585" s="354">
        <f t="shared" ref="AI585:AI586" si="130">U585-R585</f>
        <v>1</v>
      </c>
      <c r="AJ585" s="354" t="e">
        <f t="shared" si="124"/>
        <v>#VALUE!</v>
      </c>
      <c r="AK585" s="364">
        <f t="shared" si="127"/>
        <v>0.30000000000000004</v>
      </c>
      <c r="AL585" s="360">
        <f t="shared" si="125"/>
        <v>0.05</v>
      </c>
      <c r="AM585" s="365" t="e">
        <f t="shared" si="125"/>
        <v>#VALUE!</v>
      </c>
      <c r="AN585" s="384">
        <f t="shared" ref="AN585:AN586" si="131">(Y585-R585)</f>
        <v>3</v>
      </c>
      <c r="AO585" s="387">
        <f t="shared" si="129"/>
        <v>0.35</v>
      </c>
    </row>
    <row r="586" spans="1:41" ht="13.5" thickBot="1">
      <c r="A586" s="885"/>
      <c r="B586" s="885"/>
      <c r="C586" s="9" t="s">
        <v>302</v>
      </c>
      <c r="D586" s="199"/>
      <c r="E586" s="200"/>
      <c r="F586" s="201"/>
      <c r="G586" s="199"/>
      <c r="H586" s="199"/>
      <c r="I586" s="200"/>
      <c r="J586" s="201"/>
      <c r="K586" s="199"/>
      <c r="L586" s="199"/>
      <c r="M586" s="200"/>
      <c r="N586" s="198"/>
      <c r="O586" s="217" t="s">
        <v>634</v>
      </c>
      <c r="P586" s="241" t="s">
        <v>632</v>
      </c>
      <c r="Q586" s="244" t="s">
        <v>646</v>
      </c>
      <c r="R586" s="195">
        <f>'State DisAgg LFx10 (2015)'!H573</f>
        <v>0</v>
      </c>
      <c r="S586" s="196"/>
      <c r="T586" s="196"/>
      <c r="U586" s="197">
        <f>'State DisAgg LFx10 (2015)'!L585</f>
        <v>1</v>
      </c>
      <c r="V586" s="252"/>
      <c r="W586" s="253"/>
      <c r="X586" s="253"/>
      <c r="Y586" s="254">
        <f>'State DisAgg LFx10 (2015)'!P585</f>
        <v>1</v>
      </c>
      <c r="Z586" s="252"/>
      <c r="AA586" s="253"/>
      <c r="AB586" s="253"/>
      <c r="AC586" s="254">
        <f>'State DisAgg LFx10 (2015)'!T585</f>
        <v>0</v>
      </c>
      <c r="AD586" s="195"/>
      <c r="AE586" s="197"/>
      <c r="AH586" s="354">
        <f t="shared" si="126"/>
        <v>0</v>
      </c>
      <c r="AI586" s="354">
        <f t="shared" si="130"/>
        <v>1</v>
      </c>
      <c r="AJ586" s="354" t="e">
        <f t="shared" si="124"/>
        <v>#VALUE!</v>
      </c>
      <c r="AK586" s="364">
        <f t="shared" si="127"/>
        <v>0.1</v>
      </c>
      <c r="AL586" s="360">
        <f t="shared" si="125"/>
        <v>0.05</v>
      </c>
      <c r="AM586" s="365" t="e">
        <f t="shared" si="125"/>
        <v>#VALUE!</v>
      </c>
      <c r="AN586" s="384">
        <f t="shared" si="131"/>
        <v>1</v>
      </c>
      <c r="AO586" s="388">
        <f t="shared" si="129"/>
        <v>0.15000000000000002</v>
      </c>
    </row>
    <row r="587" spans="1:41" ht="13.5" thickBot="1">
      <c r="A587" s="885"/>
      <c r="B587" s="885"/>
      <c r="C587" s="9" t="s">
        <v>303</v>
      </c>
      <c r="D587" s="202"/>
      <c r="E587" s="203"/>
      <c r="F587" s="201"/>
      <c r="G587" s="202"/>
      <c r="H587" s="202"/>
      <c r="I587" s="203"/>
      <c r="J587" s="201"/>
      <c r="K587" s="202"/>
      <c r="L587" s="202"/>
      <c r="M587" s="203"/>
      <c r="N587" s="204"/>
      <c r="O587" s="214"/>
      <c r="P587" s="205"/>
      <c r="Q587" s="205"/>
      <c r="R587" s="201"/>
      <c r="S587" s="202"/>
      <c r="T587" s="202"/>
      <c r="U587" s="203"/>
      <c r="V587" s="256"/>
      <c r="W587" s="255" t="s">
        <v>633</v>
      </c>
      <c r="X587" s="251" t="s">
        <v>632</v>
      </c>
      <c r="Y587" s="254">
        <f>'State DisAgg LFx10 (2015)'!P574</f>
        <v>0</v>
      </c>
      <c r="Z587" s="252"/>
      <c r="AA587" s="253"/>
      <c r="AB587" s="253"/>
      <c r="AC587" s="254">
        <f>'State DisAgg LFx10 (2015)'!T586</f>
        <v>0</v>
      </c>
      <c r="AD587" s="195"/>
      <c r="AE587" s="197"/>
      <c r="AH587" s="354">
        <f t="shared" si="126"/>
        <v>0</v>
      </c>
      <c r="AI587" s="354">
        <f>U587-O587</f>
        <v>0</v>
      </c>
      <c r="AJ587" s="354">
        <f t="shared" si="124"/>
        <v>0</v>
      </c>
      <c r="AK587" s="364">
        <f t="shared" si="127"/>
        <v>0</v>
      </c>
      <c r="AL587" s="360">
        <f t="shared" si="125"/>
        <v>0</v>
      </c>
      <c r="AM587" s="365">
        <f t="shared" si="125"/>
        <v>0</v>
      </c>
    </row>
    <row r="588" spans="1:41" ht="13.5" thickBot="1">
      <c r="A588" s="885"/>
      <c r="B588" s="885"/>
      <c r="C588" s="9" t="s">
        <v>304</v>
      </c>
      <c r="D588" s="202"/>
      <c r="E588" s="203"/>
      <c r="F588" s="201"/>
      <c r="G588" s="202"/>
      <c r="H588" s="202"/>
      <c r="I588" s="203"/>
      <c r="J588" s="201"/>
      <c r="K588" s="202"/>
      <c r="L588" s="202"/>
      <c r="M588" s="203"/>
      <c r="N588" s="204"/>
      <c r="O588" s="205"/>
      <c r="P588" s="205"/>
      <c r="Q588" s="205"/>
      <c r="R588" s="201"/>
      <c r="S588" s="202"/>
      <c r="T588" s="202"/>
      <c r="U588" s="203"/>
      <c r="V588" s="256"/>
      <c r="W588" s="255" t="s">
        <v>633</v>
      </c>
      <c r="X588" s="251" t="s">
        <v>632</v>
      </c>
      <c r="Y588" s="254">
        <f>'State DisAgg LFx10 (2015)'!P575</f>
        <v>0</v>
      </c>
      <c r="Z588" s="252"/>
      <c r="AA588" s="253"/>
      <c r="AB588" s="253"/>
      <c r="AC588" s="254">
        <f>'State DisAgg LFx10 (2015)'!T587</f>
        <v>0</v>
      </c>
      <c r="AD588" s="195"/>
      <c r="AE588" s="197"/>
      <c r="AH588" s="354">
        <f t="shared" si="126"/>
        <v>0</v>
      </c>
      <c r="AI588" s="354">
        <f>U588-O588</f>
        <v>0</v>
      </c>
      <c r="AJ588" s="354">
        <f t="shared" si="124"/>
        <v>0</v>
      </c>
      <c r="AK588" s="364">
        <f t="shared" si="127"/>
        <v>0</v>
      </c>
      <c r="AL588" s="360">
        <f t="shared" si="125"/>
        <v>0</v>
      </c>
      <c r="AM588" s="365">
        <f t="shared" si="125"/>
        <v>0</v>
      </c>
    </row>
    <row r="589" spans="1:41" ht="13.5" thickBot="1">
      <c r="A589" s="885"/>
      <c r="B589" s="885"/>
      <c r="C589" s="9" t="s">
        <v>435</v>
      </c>
      <c r="D589" s="241" t="s">
        <v>632</v>
      </c>
      <c r="E589" s="241" t="s">
        <v>632</v>
      </c>
      <c r="F589" s="243" t="s">
        <v>646</v>
      </c>
      <c r="G589" s="241" t="s">
        <v>646</v>
      </c>
      <c r="H589" s="241" t="s">
        <v>646</v>
      </c>
      <c r="I589" s="244" t="s">
        <v>646</v>
      </c>
      <c r="J589" s="195">
        <f>'State DisAgg LFx10 (2015)'!D576</f>
        <v>0</v>
      </c>
      <c r="K589" s="196"/>
      <c r="L589" s="196"/>
      <c r="M589" s="197"/>
      <c r="N589" s="195"/>
      <c r="O589" s="196">
        <f>'State DisAgg LFx10 (2015)'!H588</f>
        <v>10</v>
      </c>
      <c r="P589" s="196"/>
      <c r="Q589" s="197"/>
      <c r="R589" s="195"/>
      <c r="S589" s="196"/>
      <c r="T589" s="196"/>
      <c r="U589" s="197">
        <f>'State DisAgg LFx10 (2015)'!L588</f>
        <v>13</v>
      </c>
      <c r="V589" s="252"/>
      <c r="W589" s="253"/>
      <c r="X589" s="253"/>
      <c r="Y589" s="254">
        <f>'State DisAgg LFx10 (2015)'!P588</f>
        <v>24</v>
      </c>
      <c r="Z589" s="252"/>
      <c r="AA589" s="253"/>
      <c r="AB589" s="253"/>
      <c r="AC589" s="254">
        <f>'State DisAgg LFx10 (2015)'!T588</f>
        <v>42</v>
      </c>
      <c r="AD589" s="195"/>
      <c r="AE589" s="197"/>
      <c r="AH589" s="354">
        <f t="shared" si="126"/>
        <v>11</v>
      </c>
      <c r="AI589" s="354">
        <f>U589-O589</f>
        <v>3</v>
      </c>
      <c r="AJ589" s="354">
        <f t="shared" si="124"/>
        <v>10</v>
      </c>
      <c r="AK589" s="364">
        <f t="shared" si="127"/>
        <v>0.75</v>
      </c>
      <c r="AL589" s="360">
        <f t="shared" si="125"/>
        <v>0.95000000000000007</v>
      </c>
      <c r="AM589" s="365">
        <f t="shared" si="125"/>
        <v>0.5</v>
      </c>
    </row>
    <row r="590" spans="1:41" ht="13.5" thickBot="1">
      <c r="A590" s="885"/>
      <c r="B590" s="885"/>
      <c r="C590" s="9" t="s">
        <v>642</v>
      </c>
      <c r="D590" s="241" t="s">
        <v>632</v>
      </c>
      <c r="E590" s="241" t="s">
        <v>632</v>
      </c>
      <c r="F590" s="243" t="s">
        <v>646</v>
      </c>
      <c r="G590" s="241" t="s">
        <v>646</v>
      </c>
      <c r="H590" s="241" t="s">
        <v>646</v>
      </c>
      <c r="I590" s="244" t="s">
        <v>646</v>
      </c>
      <c r="J590" s="195">
        <f>'State DisAgg LFx10 (2015)'!D577</f>
        <v>0</v>
      </c>
      <c r="K590" s="196"/>
      <c r="L590" s="196"/>
      <c r="M590" s="197"/>
      <c r="N590" s="195"/>
      <c r="O590" s="196">
        <f>'State DisAgg LFx10 (2015)'!H589</f>
        <v>0</v>
      </c>
      <c r="P590" s="196"/>
      <c r="Q590" s="197"/>
      <c r="R590" s="195"/>
      <c r="S590" s="196"/>
      <c r="T590" s="196"/>
      <c r="U590" s="197">
        <f>'State DisAgg LFx10 (2015)'!L589</f>
        <v>0</v>
      </c>
      <c r="V590" s="252"/>
      <c r="W590" s="253"/>
      <c r="X590" s="253"/>
      <c r="Y590" s="254">
        <f>'State DisAgg LFx10 (2015)'!P589</f>
        <v>18</v>
      </c>
      <c r="Z590" s="252"/>
      <c r="AA590" s="253"/>
      <c r="AB590" s="253"/>
      <c r="AC590" s="254">
        <f>'State DisAgg LFx10 (2015)'!T589</f>
        <v>42</v>
      </c>
      <c r="AD590" s="195"/>
      <c r="AE590" s="197"/>
      <c r="AH590" s="354">
        <f t="shared" si="126"/>
        <v>18</v>
      </c>
      <c r="AI590" s="354">
        <f>U590-O590</f>
        <v>0</v>
      </c>
      <c r="AJ590" s="354">
        <f t="shared" si="124"/>
        <v>0</v>
      </c>
      <c r="AK590" s="366">
        <f t="shared" si="127"/>
        <v>1.6</v>
      </c>
      <c r="AL590" s="367">
        <f t="shared" si="125"/>
        <v>0</v>
      </c>
      <c r="AM590" s="368">
        <f t="shared" si="125"/>
        <v>0</v>
      </c>
    </row>
    <row r="591" spans="1:41" ht="13.5" thickBot="1">
      <c r="A591" s="885"/>
      <c r="B591" s="885"/>
      <c r="C591" s="9" t="s">
        <v>437</v>
      </c>
      <c r="D591" s="241" t="s">
        <v>632</v>
      </c>
      <c r="E591" s="241" t="s">
        <v>632</v>
      </c>
      <c r="F591" s="243" t="s">
        <v>646</v>
      </c>
      <c r="G591" s="241" t="s">
        <v>646</v>
      </c>
      <c r="H591" s="241" t="s">
        <v>646</v>
      </c>
      <c r="I591" s="244" t="s">
        <v>646</v>
      </c>
      <c r="J591" s="195" t="e">
        <f>'State DisAgg LFx10 (2015)'!#REF!</f>
        <v>#REF!</v>
      </c>
      <c r="K591" s="196"/>
      <c r="L591" s="196"/>
      <c r="M591" s="197"/>
      <c r="N591" s="195"/>
      <c r="O591" s="196" t="e">
        <f>'State DisAgg LFx10 (2015)'!#REF!</f>
        <v>#REF!</v>
      </c>
      <c r="P591" s="196"/>
      <c r="Q591" s="197"/>
      <c r="R591" s="195"/>
      <c r="S591" s="196"/>
      <c r="T591" s="196"/>
      <c r="U591" s="197" t="e">
        <f>'State DisAgg LFx10 (2015)'!#REF!</f>
        <v>#REF!</v>
      </c>
      <c r="V591" s="252"/>
      <c r="W591" s="253"/>
      <c r="X591" s="253"/>
      <c r="Y591" s="254" t="e">
        <f>'State DisAgg LFx10 (2015)'!#REF!</f>
        <v>#REF!</v>
      </c>
      <c r="Z591" s="252"/>
      <c r="AA591" s="253"/>
      <c r="AB591" s="253"/>
      <c r="AC591" s="254" t="e">
        <f>'State DisAgg LFx10 (2015)'!#REF!</f>
        <v>#REF!</v>
      </c>
      <c r="AD591" s="195"/>
      <c r="AE591" s="197"/>
      <c r="AH591" s="354"/>
      <c r="AI591" s="354"/>
      <c r="AJ591" s="354"/>
    </row>
    <row r="592" spans="1:41" ht="12.95" hidden="1" customHeight="1" thickBot="1">
      <c r="A592" s="885"/>
      <c r="B592" s="273"/>
      <c r="C592" s="231"/>
      <c r="D592" s="232"/>
      <c r="E592" s="233"/>
      <c r="F592" s="234"/>
      <c r="G592" s="232"/>
      <c r="H592" s="232"/>
      <c r="I592" s="233"/>
      <c r="J592" s="234"/>
      <c r="K592" s="232"/>
      <c r="L592" s="232"/>
      <c r="M592" s="233"/>
      <c r="N592" s="234"/>
      <c r="O592" s="232"/>
      <c r="P592" s="232"/>
      <c r="Q592" s="233"/>
      <c r="R592" s="234"/>
      <c r="S592" s="232"/>
      <c r="T592" s="232"/>
      <c r="U592" s="233"/>
      <c r="V592" s="234"/>
      <c r="W592" s="232"/>
      <c r="X592" s="232"/>
      <c r="Y592" s="233"/>
      <c r="Z592" s="234"/>
      <c r="AA592" s="232"/>
      <c r="AB592" s="232"/>
      <c r="AC592" s="233"/>
      <c r="AD592" s="234"/>
      <c r="AE592" s="233"/>
      <c r="AH592" s="354">
        <f t="shared" si="126"/>
        <v>0</v>
      </c>
      <c r="AI592" s="354">
        <f>U592-O592</f>
        <v>0</v>
      </c>
      <c r="AJ592" s="354">
        <f>O592-J592</f>
        <v>0</v>
      </c>
    </row>
    <row r="593" spans="1:40" ht="12.95" hidden="1" customHeight="1" thickBot="1">
      <c r="A593" s="885"/>
      <c r="B593" s="273"/>
      <c r="C593" s="231"/>
      <c r="D593" s="232"/>
      <c r="E593" s="233"/>
      <c r="F593" s="234"/>
      <c r="G593" s="232"/>
      <c r="H593" s="232"/>
      <c r="I593" s="233"/>
      <c r="J593" s="234"/>
      <c r="K593" s="232"/>
      <c r="L593" s="232"/>
      <c r="M593" s="233"/>
      <c r="N593" s="234"/>
      <c r="O593" s="232"/>
      <c r="P593" s="232"/>
      <c r="Q593" s="233"/>
      <c r="R593" s="234"/>
      <c r="S593" s="232"/>
      <c r="T593" s="232"/>
      <c r="U593" s="233"/>
      <c r="V593" s="234"/>
      <c r="W593" s="232"/>
      <c r="X593" s="232"/>
      <c r="Y593" s="233"/>
      <c r="Z593" s="234"/>
      <c r="AA593" s="232"/>
      <c r="AB593" s="232"/>
      <c r="AC593" s="233"/>
      <c r="AD593" s="234"/>
      <c r="AE593" s="233"/>
      <c r="AH593" s="354">
        <f t="shared" si="126"/>
        <v>0</v>
      </c>
      <c r="AI593" s="354">
        <f>U593-O593</f>
        <v>0</v>
      </c>
      <c r="AJ593" s="354">
        <f>O593-J593</f>
        <v>0</v>
      </c>
    </row>
    <row r="594" spans="1:40" ht="12.95" customHeight="1" thickBot="1">
      <c r="A594" s="885"/>
      <c r="B594" s="3" t="s">
        <v>36</v>
      </c>
      <c r="C594" s="12"/>
      <c r="D594" s="1377">
        <v>2008</v>
      </c>
      <c r="E594" s="1378"/>
      <c r="F594" s="1372">
        <v>2009</v>
      </c>
      <c r="G594" s="1373"/>
      <c r="H594" s="1373"/>
      <c r="I594" s="1374"/>
      <c r="J594" s="1372">
        <v>2010</v>
      </c>
      <c r="K594" s="1373"/>
      <c r="L594" s="1373"/>
      <c r="M594" s="1374"/>
      <c r="N594" s="1372">
        <v>2011</v>
      </c>
      <c r="O594" s="1373"/>
      <c r="P594" s="1373"/>
      <c r="Q594" s="1374"/>
      <c r="R594" s="1372">
        <v>2012</v>
      </c>
      <c r="S594" s="1373"/>
      <c r="T594" s="1373"/>
      <c r="U594" s="1374"/>
      <c r="V594" s="1372">
        <v>2013</v>
      </c>
      <c r="W594" s="1373"/>
      <c r="X594" s="1373"/>
      <c r="Y594" s="1374"/>
      <c r="Z594" s="1372">
        <v>2014</v>
      </c>
      <c r="AA594" s="1373"/>
      <c r="AB594" s="1373"/>
      <c r="AC594" s="1374"/>
      <c r="AD594" s="1372">
        <v>2015</v>
      </c>
      <c r="AE594" s="1374"/>
      <c r="AG594" s="257" t="s">
        <v>663</v>
      </c>
    </row>
    <row r="595" spans="1:40" ht="13.5" thickBot="1">
      <c r="A595" s="885"/>
      <c r="B595" s="868" t="s">
        <v>601</v>
      </c>
      <c r="C595" s="194" t="s">
        <v>610</v>
      </c>
      <c r="D595" s="206"/>
      <c r="E595" s="207"/>
      <c r="F595" s="209"/>
      <c r="G595" s="206"/>
      <c r="H595" s="206"/>
      <c r="I595" s="207"/>
      <c r="J595" s="209"/>
      <c r="K595" s="206"/>
      <c r="L595" s="206"/>
      <c r="M595" s="207"/>
      <c r="N595" s="277"/>
      <c r="O595" s="278">
        <f>(O608-J608)/5/$C$708/Spend!O595*'State Efficiency Ratios'!$C$655</f>
        <v>11.179750607007517</v>
      </c>
      <c r="P595" s="278"/>
      <c r="Q595" s="279"/>
      <c r="R595" s="277"/>
      <c r="S595" s="278"/>
      <c r="T595" s="278"/>
      <c r="U595" s="278">
        <f>(U608-O608)/6/$C$708/Spend!U595*'State Efficiency Ratios'!$C$655</f>
        <v>0</v>
      </c>
      <c r="V595" s="277"/>
      <c r="W595" s="278"/>
      <c r="X595" s="278"/>
      <c r="Y595" s="278">
        <f>(Y608-U608)/4/$C$708/Spend!Y595*'State Efficiency Ratios'!$C$655</f>
        <v>541.13294389222767</v>
      </c>
      <c r="Z595" s="277"/>
      <c r="AA595" s="278"/>
      <c r="AB595" s="278"/>
      <c r="AC595" s="278">
        <f>(AC608-Y608)/4/$C$708/Spend!AC595*'State Efficiency Ratios'!$C$655</f>
        <v>-1498.265629273498</v>
      </c>
      <c r="AD595" s="208"/>
      <c r="AE595" s="213"/>
      <c r="AG595" s="295"/>
      <c r="AN595" s="385">
        <f>(O608-J608)/7/$C$673/Spend!O595*'State Efficiency Ratios'!$C$655</f>
        <v>15.971072295725024</v>
      </c>
    </row>
    <row r="596" spans="1:40" ht="13.5" thickBot="1">
      <c r="A596" s="885"/>
      <c r="B596" s="885"/>
      <c r="C596" s="194" t="s">
        <v>611</v>
      </c>
      <c r="D596" s="206"/>
      <c r="E596" s="207"/>
      <c r="F596" s="209"/>
      <c r="G596" s="206"/>
      <c r="H596" s="206"/>
      <c r="I596" s="207"/>
      <c r="J596" s="209"/>
      <c r="K596" s="206"/>
      <c r="L596" s="206"/>
      <c r="M596" s="207"/>
      <c r="N596" s="277"/>
      <c r="O596" s="278">
        <f>(O609-J609)/5/$C$708/Spend!O596*'State Efficiency Ratios'!$C$655</f>
        <v>11.491565922971217</v>
      </c>
      <c r="P596" s="278"/>
      <c r="Q596" s="279"/>
      <c r="R596" s="277"/>
      <c r="S596" s="278"/>
      <c r="T596" s="278"/>
      <c r="U596" s="278">
        <f>(U609-O609)/6/$C$708/Spend!U596*'State Efficiency Ratios'!$C$655</f>
        <v>-61.921631667237364</v>
      </c>
      <c r="V596" s="277"/>
      <c r="W596" s="278"/>
      <c r="X596" s="278"/>
      <c r="Y596" s="278">
        <f>(Y609-U609)/4/$C$708/Spend!Y596*'State Efficiency Ratios'!$C$655</f>
        <v>463.63148707376553</v>
      </c>
      <c r="Z596" s="277"/>
      <c r="AA596" s="278"/>
      <c r="AB596" s="278"/>
      <c r="AC596" s="278">
        <f>(AC609-Y609)/4/$C$708/Spend!AC596*'State Efficiency Ratios'!$C$655</f>
        <v>-751.80517264205389</v>
      </c>
      <c r="AD596" s="208"/>
      <c r="AE596" s="213"/>
      <c r="AG596" s="295"/>
      <c r="AN596" s="385">
        <f>(O609-J609)/7/$C$673/Spend!O596*'State Efficiency Ratios'!$C$655</f>
        <v>16.416522747101737</v>
      </c>
    </row>
    <row r="597" spans="1:40" ht="13.5" thickBot="1">
      <c r="A597" s="885"/>
      <c r="B597" s="885"/>
      <c r="C597" s="194" t="s">
        <v>612</v>
      </c>
      <c r="D597" s="206"/>
      <c r="E597" s="207"/>
      <c r="F597" s="209"/>
      <c r="G597" s="206"/>
      <c r="H597" s="206"/>
      <c r="I597" s="207"/>
      <c r="J597" s="209"/>
      <c r="K597" s="206"/>
      <c r="L597" s="206"/>
      <c r="M597" s="207"/>
      <c r="N597" s="277"/>
      <c r="O597" s="278">
        <f>(O610-J610)/5/$C$708/Spend!O597*'State Efficiency Ratios'!$C$655</f>
        <v>23.107544099574625</v>
      </c>
      <c r="P597" s="278"/>
      <c r="Q597" s="279"/>
      <c r="R597" s="277"/>
      <c r="S597" s="278"/>
      <c r="T597" s="278"/>
      <c r="U597" s="278">
        <f>(U610-O610)/6/$C$708/Spend!U597*'State Efficiency Ratios'!$C$655</f>
        <v>50.344767696102089</v>
      </c>
      <c r="V597" s="277"/>
      <c r="W597" s="278"/>
      <c r="X597" s="278"/>
      <c r="Y597" s="278">
        <f>(Y610-U610)/4/$C$708/Spend!Y597*'State Efficiency Ratios'!$C$655</f>
        <v>222.05379543340359</v>
      </c>
      <c r="Z597" s="277"/>
      <c r="AA597" s="278"/>
      <c r="AB597" s="278"/>
      <c r="AC597" s="278">
        <f>(AC610-Y610)/4/$C$708/Spend!AC597*'State Efficiency Ratios'!$C$655</f>
        <v>-1285.6686419729458</v>
      </c>
      <c r="AD597" s="208"/>
      <c r="AE597" s="213"/>
      <c r="AG597" s="295"/>
      <c r="AN597" s="385">
        <f>(O610-J610)/7/$C$673/Spend!O597*'State Efficiency Ratios'!$C$655</f>
        <v>33.010777285106606</v>
      </c>
    </row>
    <row r="598" spans="1:40" ht="13.5" thickBot="1">
      <c r="A598" s="885"/>
      <c r="B598" s="885"/>
      <c r="C598" s="194" t="s">
        <v>613</v>
      </c>
      <c r="D598" s="206"/>
      <c r="E598" s="207"/>
      <c r="F598" s="209"/>
      <c r="G598" s="206"/>
      <c r="H598" s="206"/>
      <c r="I598" s="207"/>
      <c r="J598" s="209"/>
      <c r="K598" s="206"/>
      <c r="L598" s="206"/>
      <c r="M598" s="207"/>
      <c r="N598" s="277"/>
      <c r="O598" s="278">
        <f>(O611-J611)/5/$C$708/Spend!O598*'State Efficiency Ratios'!$C$655</f>
        <v>55.986821047485208</v>
      </c>
      <c r="P598" s="278"/>
      <c r="Q598" s="279"/>
      <c r="R598" s="277"/>
      <c r="S598" s="278"/>
      <c r="T598" s="278"/>
      <c r="U598" s="278">
        <f>(U611-O611)/6/$C$708/Spend!U598*'State Efficiency Ratios'!$C$655</f>
        <v>0</v>
      </c>
      <c r="V598" s="277"/>
      <c r="W598" s="278"/>
      <c r="X598" s="278"/>
      <c r="Y598" s="278">
        <f>(Y611-U611)/4/$C$708/Spend!Y598*'State Efficiency Ratios'!$C$655</f>
        <v>337.7699461122599</v>
      </c>
      <c r="Z598" s="277"/>
      <c r="AA598" s="278"/>
      <c r="AB598" s="278"/>
      <c r="AC598" s="278">
        <f>(AC611-Y611)/4/$C$708/Spend!AC598*'State Efficiency Ratios'!$C$655</f>
        <v>-1520.2630042558849</v>
      </c>
      <c r="AD598" s="208"/>
      <c r="AE598" s="213"/>
      <c r="AG598" s="295"/>
      <c r="AN598" s="385">
        <f>(O611-J611)/7/$C$673/Spend!O598*'State Efficiency Ratios'!$C$655</f>
        <v>79.981172924978864</v>
      </c>
    </row>
    <row r="599" spans="1:40" ht="13.5" thickBot="1">
      <c r="A599" s="885"/>
      <c r="B599" s="885"/>
      <c r="C599" s="194" t="s">
        <v>614</v>
      </c>
      <c r="D599" s="206"/>
      <c r="E599" s="207"/>
      <c r="F599" s="209"/>
      <c r="G599" s="206"/>
      <c r="H599" s="206"/>
      <c r="I599" s="207"/>
      <c r="J599" s="209"/>
      <c r="K599" s="206"/>
      <c r="L599" s="206"/>
      <c r="M599" s="207"/>
      <c r="N599" s="277"/>
      <c r="O599" s="278">
        <f>(O612-J612)/5/$C$708/Spend!O599*'State Efficiency Ratios'!$C$655</f>
        <v>34.301121374442609</v>
      </c>
      <c r="P599" s="278"/>
      <c r="Q599" s="279"/>
      <c r="R599" s="277"/>
      <c r="S599" s="278"/>
      <c r="T599" s="278"/>
      <c r="U599" s="278">
        <f>(U612-O612)/6/$C$708/Spend!U599*'State Efficiency Ratios'!$C$655</f>
        <v>-68.373270155703494</v>
      </c>
      <c r="V599" s="277"/>
      <c r="W599" s="278"/>
      <c r="X599" s="278"/>
      <c r="Y599" s="278">
        <f>(Y612-U612)/4/$C$708/Spend!Y599*'State Efficiency Ratios'!$C$655</f>
        <v>370.41446396519979</v>
      </c>
      <c r="Z599" s="277"/>
      <c r="AA599" s="278"/>
      <c r="AB599" s="278"/>
      <c r="AC599" s="278">
        <f>(AC612-Y612)/4/$C$708/Spend!AC599*'State Efficiency Ratios'!$C$655</f>
        <v>-1389.8408170832608</v>
      </c>
      <c r="AD599" s="208"/>
      <c r="AE599" s="213"/>
      <c r="AG599" s="295"/>
      <c r="AN599" s="385">
        <f>(O612-J612)/7/$C$673/Spend!O599*'State Efficiency Ratios'!$C$655</f>
        <v>49.001601963489442</v>
      </c>
    </row>
    <row r="600" spans="1:40" ht="12.95" customHeight="1" thickBot="1">
      <c r="A600" s="885"/>
      <c r="B600" s="885"/>
      <c r="C600" s="194" t="s">
        <v>615</v>
      </c>
      <c r="D600" s="210"/>
      <c r="E600" s="211"/>
      <c r="F600" s="209"/>
      <c r="G600" s="210"/>
      <c r="H600" s="210"/>
      <c r="I600" s="211"/>
      <c r="J600" s="209"/>
      <c r="K600" s="210"/>
      <c r="L600" s="210"/>
      <c r="M600" s="211"/>
      <c r="N600" s="281"/>
      <c r="O600" s="282"/>
      <c r="P600" s="282"/>
      <c r="Q600" s="282"/>
      <c r="R600" s="277"/>
      <c r="S600" s="278"/>
      <c r="T600" s="278"/>
      <c r="U600" s="278">
        <f>(U613-R613)/3/$C$708/Spend!U600*'State Efficiency Ratios'!$C$655</f>
        <v>230.90122615897815</v>
      </c>
      <c r="V600" s="277"/>
      <c r="W600" s="278"/>
      <c r="X600" s="278"/>
      <c r="Y600" s="278">
        <f>(Y613-U613)/4/$C$708/Spend!Y600*'State Efficiency Ratios'!$C$655</f>
        <v>155.96694308879512</v>
      </c>
      <c r="Z600" s="277"/>
      <c r="AA600" s="278"/>
      <c r="AB600" s="278"/>
      <c r="AC600" s="278">
        <f>(AC613-Y613)/4/$C$708/Spend!AC600*'State Efficiency Ratios'!$C$655</f>
        <v>-480.12706792731734</v>
      </c>
      <c r="AD600" s="208"/>
      <c r="AE600" s="213"/>
      <c r="AG600" s="295"/>
      <c r="AN600" s="385">
        <f>(Y613-R613)/7/$C$673/(Spend!U600+Spend!Y600)*'State Efficiency Ratios'!$C$655</f>
        <v>187.56748849250326</v>
      </c>
    </row>
    <row r="601" spans="1:40" ht="12.95" customHeight="1" thickBot="1">
      <c r="A601" s="885"/>
      <c r="B601" s="885"/>
      <c r="C601" s="194" t="s">
        <v>616</v>
      </c>
      <c r="D601" s="210"/>
      <c r="E601" s="211"/>
      <c r="F601" s="209"/>
      <c r="G601" s="210"/>
      <c r="H601" s="210"/>
      <c r="I601" s="211"/>
      <c r="J601" s="209"/>
      <c r="K601" s="210"/>
      <c r="L601" s="210"/>
      <c r="M601" s="211"/>
      <c r="N601" s="281"/>
      <c r="O601" s="282"/>
      <c r="P601" s="282"/>
      <c r="Q601" s="282"/>
      <c r="R601" s="277"/>
      <c r="S601" s="278"/>
      <c r="T601" s="278"/>
      <c r="U601" s="278">
        <f>(U614-R614)/3/$C$708/Spend!U601*'State Efficiency Ratios'!$C$655</f>
        <v>0</v>
      </c>
      <c r="V601" s="277"/>
      <c r="W601" s="278"/>
      <c r="X601" s="278"/>
      <c r="Y601" s="278">
        <f>(Y614-U614)/4/$C$708/Spend!Y601*'State Efficiency Ratios'!$C$655</f>
        <v>308.62340320143591</v>
      </c>
      <c r="Z601" s="277"/>
      <c r="AA601" s="278"/>
      <c r="AB601" s="278"/>
      <c r="AC601" s="278">
        <f>(AC614-Y614)/4/$C$708/Spend!AC601*'State Efficiency Ratios'!$C$655</f>
        <v>-399.47486736747919</v>
      </c>
      <c r="AD601" s="208"/>
      <c r="AE601" s="213"/>
      <c r="AG601" s="295"/>
      <c r="AN601" s="385">
        <f>(Y614-R614)/7/$C$673/(Spend!U601+Spend!Y601)*'State Efficiency Ratios'!$C$655</f>
        <v>187.21348534121293</v>
      </c>
    </row>
    <row r="602" spans="1:40" ht="12.95" customHeight="1" thickBot="1">
      <c r="A602" s="885"/>
      <c r="B602" s="885"/>
      <c r="C602" s="194" t="s">
        <v>617</v>
      </c>
      <c r="D602" s="210"/>
      <c r="E602" s="211"/>
      <c r="F602" s="209"/>
      <c r="G602" s="210"/>
      <c r="H602" s="210"/>
      <c r="I602" s="211"/>
      <c r="J602" s="209"/>
      <c r="K602" s="210"/>
      <c r="L602" s="210"/>
      <c r="M602" s="211"/>
      <c r="N602" s="281"/>
      <c r="O602" s="282"/>
      <c r="P602" s="282"/>
      <c r="Q602" s="282"/>
      <c r="R602" s="277"/>
      <c r="S602" s="278"/>
      <c r="T602" s="278"/>
      <c r="U602" s="278">
        <f>(U615-R615)/3/$C$708/Spend!U602*'State Efficiency Ratios'!$C$655</f>
        <v>0</v>
      </c>
      <c r="V602" s="277"/>
      <c r="W602" s="278"/>
      <c r="X602" s="278"/>
      <c r="Y602" s="278">
        <f>(Y615-U615)/4/$C$708/Spend!Y602*'State Efficiency Ratios'!$C$655</f>
        <v>156.19109298738655</v>
      </c>
      <c r="Z602" s="277"/>
      <c r="AA602" s="278"/>
      <c r="AB602" s="278"/>
      <c r="AC602" s="278">
        <f>(AC615-Y615)/4/$C$708/Spend!AC602*'State Efficiency Ratios'!$C$655</f>
        <v>-208.89452464934604</v>
      </c>
      <c r="AD602" s="208"/>
      <c r="AE602" s="213"/>
      <c r="AG602" s="295"/>
      <c r="AN602" s="385">
        <f>(Y615-R615)/7/$C$673/(Spend!U602+Spend!Y602)*'State Efficiency Ratios'!$C$655</f>
        <v>86.546375799158739</v>
      </c>
    </row>
    <row r="603" spans="1:40" ht="12.95" customHeight="1" thickBot="1">
      <c r="A603" s="885"/>
      <c r="B603" s="885"/>
      <c r="C603" s="194" t="s">
        <v>618</v>
      </c>
      <c r="D603" s="210"/>
      <c r="E603" s="211"/>
      <c r="F603" s="209"/>
      <c r="G603" s="210"/>
      <c r="H603" s="210"/>
      <c r="I603" s="211"/>
      <c r="J603" s="209"/>
      <c r="K603" s="210"/>
      <c r="L603" s="210"/>
      <c r="M603" s="211"/>
      <c r="N603" s="281"/>
      <c r="O603" s="282"/>
      <c r="P603" s="282"/>
      <c r="Q603" s="283"/>
      <c r="R603" s="281"/>
      <c r="S603" s="282"/>
      <c r="T603" s="282"/>
      <c r="U603" s="283"/>
      <c r="V603" s="281"/>
      <c r="W603" s="282"/>
      <c r="X603" s="282"/>
      <c r="Y603" s="283"/>
      <c r="Z603" s="277"/>
      <c r="AA603" s="278"/>
      <c r="AB603" s="278"/>
      <c r="AC603" s="278">
        <f>(AC616-Y616)/4/$C$708/Spend!AC603*'State Efficiency Ratios'!$C$655</f>
        <v>0</v>
      </c>
      <c r="AD603" s="208"/>
      <c r="AE603" s="213"/>
      <c r="AG603" s="295"/>
    </row>
    <row r="604" spans="1:40" ht="12.95" customHeight="1" thickBot="1">
      <c r="A604" s="885"/>
      <c r="B604" s="885"/>
      <c r="C604" s="194" t="s">
        <v>619</v>
      </c>
      <c r="D604" s="210"/>
      <c r="E604" s="211"/>
      <c r="F604" s="209"/>
      <c r="G604" s="210"/>
      <c r="H604" s="210"/>
      <c r="I604" s="211"/>
      <c r="J604" s="209"/>
      <c r="K604" s="210"/>
      <c r="L604" s="210"/>
      <c r="M604" s="211"/>
      <c r="N604" s="281"/>
      <c r="O604" s="282"/>
      <c r="P604" s="282"/>
      <c r="Q604" s="283"/>
      <c r="R604" s="281"/>
      <c r="S604" s="282"/>
      <c r="T604" s="282"/>
      <c r="U604" s="283"/>
      <c r="V604" s="281"/>
      <c r="W604" s="282"/>
      <c r="X604" s="282"/>
      <c r="Y604" s="283"/>
      <c r="Z604" s="277"/>
      <c r="AA604" s="278"/>
      <c r="AB604" s="278"/>
      <c r="AC604" s="278">
        <f>(AC617-Y617)/4/$C$708/Spend!AC604*'State Efficiency Ratios'!$C$655</f>
        <v>0</v>
      </c>
      <c r="AD604" s="208"/>
      <c r="AE604" s="213"/>
      <c r="AG604" s="295"/>
    </row>
    <row r="605" spans="1:40" ht="13.5" thickBot="1">
      <c r="A605" s="885"/>
      <c r="B605" s="885"/>
      <c r="C605" s="194" t="s">
        <v>620</v>
      </c>
      <c r="D605" s="206"/>
      <c r="E605" s="207"/>
      <c r="F605" s="209"/>
      <c r="G605" s="206"/>
      <c r="H605" s="206"/>
      <c r="I605" s="207"/>
      <c r="J605" s="209"/>
      <c r="K605" s="206"/>
      <c r="L605" s="206"/>
      <c r="M605" s="207"/>
      <c r="N605" s="277"/>
      <c r="O605" s="278">
        <f>(O618-J618)/5/$C$708/Spend!O605*'State Efficiency Ratios'!$C$655</f>
        <v>0</v>
      </c>
      <c r="P605" s="278"/>
      <c r="Q605" s="279"/>
      <c r="R605" s="277"/>
      <c r="S605" s="278"/>
      <c r="T605" s="278"/>
      <c r="U605" s="278">
        <f>(U618-O618)/6/$C$708/Spend!U605*'State Efficiency Ratios'!$C$655</f>
        <v>53.789340530400729</v>
      </c>
      <c r="V605" s="277"/>
      <c r="W605" s="278"/>
      <c r="X605" s="278"/>
      <c r="Y605" s="278">
        <f>(Y618-U618)/4/$C$708/Spend!Y605*'State Efficiency Ratios'!$C$655</f>
        <v>298.40934904191306</v>
      </c>
      <c r="Z605" s="277"/>
      <c r="AA605" s="278"/>
      <c r="AB605" s="278"/>
      <c r="AC605" s="278">
        <f>(AC618-Y618)/4/$C$708/Spend!AC605*'State Efficiency Ratios'!$C$655</f>
        <v>1628.0761100255804</v>
      </c>
      <c r="AD605" s="208"/>
      <c r="AE605" s="213"/>
    </row>
    <row r="606" spans="1:40" ht="13.5" thickBot="1">
      <c r="A606" s="885"/>
      <c r="B606" s="885"/>
      <c r="C606" s="194" t="s">
        <v>645</v>
      </c>
      <c r="D606" s="206"/>
      <c r="E606" s="207"/>
      <c r="F606" s="209"/>
      <c r="G606" s="206"/>
      <c r="H606" s="206"/>
      <c r="I606" s="207"/>
      <c r="J606" s="209"/>
      <c r="K606" s="206"/>
      <c r="L606" s="206"/>
      <c r="M606" s="207"/>
      <c r="N606" s="277"/>
      <c r="O606" s="278" t="e">
        <f>(O619-J619)/5/$C$708/Spend!O606*'State Efficiency Ratios'!$C$655</f>
        <v>#DIV/0!</v>
      </c>
      <c r="P606" s="278"/>
      <c r="Q606" s="279"/>
      <c r="R606" s="277"/>
      <c r="S606" s="278"/>
      <c r="T606" s="278"/>
      <c r="U606" s="278" t="e">
        <f>(U619-O619)/6/$C$708/Spend!U606*'State Efficiency Ratios'!$C$655</f>
        <v>#DIV/0!</v>
      </c>
      <c r="V606" s="277"/>
      <c r="W606" s="278"/>
      <c r="X606" s="278"/>
      <c r="Y606" s="278">
        <f>(Y619-U619)/4/$C$708/Spend!Y606*'State Efficiency Ratios'!$C$655</f>
        <v>2617.8010471204188</v>
      </c>
      <c r="Z606" s="277"/>
      <c r="AA606" s="278"/>
      <c r="AB606" s="278"/>
      <c r="AC606" s="278">
        <f>(AC619-Y619)/4/$C$708/Spend!AC606*'State Efficiency Ratios'!$C$655</f>
        <v>2027.9261684111698</v>
      </c>
      <c r="AD606" s="208"/>
      <c r="AE606" s="213"/>
    </row>
    <row r="607" spans="1:40" ht="13.5" thickBot="1">
      <c r="A607" s="885"/>
      <c r="B607" s="885"/>
      <c r="C607" s="194" t="s">
        <v>621</v>
      </c>
      <c r="D607" s="206"/>
      <c r="E607" s="207"/>
      <c r="F607" s="209"/>
      <c r="G607" s="206"/>
      <c r="H607" s="206"/>
      <c r="I607" s="207"/>
      <c r="J607" s="209"/>
      <c r="K607" s="206"/>
      <c r="L607" s="206"/>
      <c r="M607" s="207"/>
      <c r="N607" s="277"/>
      <c r="O607" s="278" t="e">
        <f>(O620-J620)/5/$C$708/Spend!O607*'State Efficiency Ratios'!$C$655</f>
        <v>#REF!</v>
      </c>
      <c r="P607" s="278"/>
      <c r="Q607" s="279"/>
      <c r="R607" s="277"/>
      <c r="S607" s="278"/>
      <c r="T607" s="278"/>
      <c r="U607" s="278" t="e">
        <f>(U620-O620)/6/$C$708/Spend!U607*'State Efficiency Ratios'!$C$655</f>
        <v>#REF!</v>
      </c>
      <c r="V607" s="277"/>
      <c r="W607" s="278"/>
      <c r="X607" s="278"/>
      <c r="Y607" s="278" t="e">
        <f>(Y620-U620)/4/$C$708/Spend!Y607*'State Efficiency Ratios'!$C$655</f>
        <v>#REF!</v>
      </c>
      <c r="Z607" s="277"/>
      <c r="AA607" s="278"/>
      <c r="AB607" s="278"/>
      <c r="AC607" s="278" t="e">
        <f>(AC620-Y620)/4/$C$708/Spend!AC607*'State Efficiency Ratios'!$C$655</f>
        <v>#REF!</v>
      </c>
      <c r="AD607" s="208"/>
      <c r="AE607" s="213"/>
    </row>
    <row r="608" spans="1:40" ht="12.95" customHeight="1" thickBot="1">
      <c r="A608" s="885"/>
      <c r="B608" s="885"/>
      <c r="C608" s="9" t="s">
        <v>295</v>
      </c>
      <c r="D608" s="241" t="s">
        <v>632</v>
      </c>
      <c r="E608" s="241" t="s">
        <v>632</v>
      </c>
      <c r="F608" s="243" t="s">
        <v>646</v>
      </c>
      <c r="G608" s="241" t="s">
        <v>646</v>
      </c>
      <c r="H608" s="241" t="s">
        <v>646</v>
      </c>
      <c r="I608" s="244" t="s">
        <v>646</v>
      </c>
      <c r="J608" s="195">
        <f>'State DisAgg LFx10 (2015)'!D593</f>
        <v>0</v>
      </c>
      <c r="K608" s="196"/>
      <c r="L608" s="196"/>
      <c r="M608" s="197"/>
      <c r="N608" s="195"/>
      <c r="O608" s="196">
        <f>'State DisAgg LFx10 (2015)'!H593</f>
        <v>1</v>
      </c>
      <c r="P608" s="196"/>
      <c r="Q608" s="197"/>
      <c r="R608" s="195"/>
      <c r="S608" s="196"/>
      <c r="T608" s="196"/>
      <c r="U608" s="197">
        <f>'State DisAgg LFx10 (2015)'!L605</f>
        <v>1</v>
      </c>
      <c r="V608" s="252"/>
      <c r="W608" s="253"/>
      <c r="X608" s="253"/>
      <c r="Y608" s="254">
        <f>'State DisAgg LFx10 (2015)'!P605</f>
        <v>6</v>
      </c>
      <c r="Z608" s="252"/>
      <c r="AA608" s="253"/>
      <c r="AB608" s="253"/>
      <c r="AC608" s="254">
        <f>'State DisAgg LFx10 (2015)'!T605</f>
        <v>0</v>
      </c>
      <c r="AD608" s="195"/>
      <c r="AE608" s="197"/>
      <c r="AH608" s="354">
        <f>Y608-U608</f>
        <v>5</v>
      </c>
      <c r="AI608" s="354">
        <f>U608-O608</f>
        <v>0</v>
      </c>
      <c r="AJ608" s="354">
        <f t="shared" ref="AJ608:AJ619" si="132">O608-J608</f>
        <v>1</v>
      </c>
      <c r="AN608" s="384">
        <f>(O608-J608)</f>
        <v>1</v>
      </c>
    </row>
    <row r="609" spans="1:40" ht="12.95" customHeight="1" thickBot="1">
      <c r="A609" s="885"/>
      <c r="B609" s="885"/>
      <c r="C609" s="9" t="s">
        <v>296</v>
      </c>
      <c r="D609" s="241" t="s">
        <v>632</v>
      </c>
      <c r="E609" s="241" t="s">
        <v>632</v>
      </c>
      <c r="F609" s="243" t="s">
        <v>646</v>
      </c>
      <c r="G609" s="241" t="s">
        <v>646</v>
      </c>
      <c r="H609" s="241" t="s">
        <v>646</v>
      </c>
      <c r="I609" s="244" t="s">
        <v>646</v>
      </c>
      <c r="J609" s="195">
        <f>'State DisAgg LFx10 (2015)'!D594</f>
        <v>0</v>
      </c>
      <c r="K609" s="196"/>
      <c r="L609" s="196"/>
      <c r="M609" s="197"/>
      <c r="N609" s="195"/>
      <c r="O609" s="196">
        <f>'State DisAgg LFx10 (2015)'!H594</f>
        <v>1</v>
      </c>
      <c r="P609" s="196"/>
      <c r="Q609" s="197"/>
      <c r="R609" s="195"/>
      <c r="S609" s="196"/>
      <c r="T609" s="196"/>
      <c r="U609" s="197">
        <f>'State DisAgg LFx10 (2015)'!L606</f>
        <v>0</v>
      </c>
      <c r="V609" s="252"/>
      <c r="W609" s="253"/>
      <c r="X609" s="253"/>
      <c r="Y609" s="254">
        <f>'State DisAgg LFx10 (2015)'!P606</f>
        <v>4</v>
      </c>
      <c r="Z609" s="252"/>
      <c r="AA609" s="253"/>
      <c r="AB609" s="253"/>
      <c r="AC609" s="254">
        <f>'State DisAgg LFx10 (2015)'!T606</f>
        <v>0</v>
      </c>
      <c r="AD609" s="195"/>
      <c r="AE609" s="197"/>
      <c r="AH609" s="354">
        <f t="shared" ref="AH609:AH619" si="133">Y609-U609</f>
        <v>4</v>
      </c>
      <c r="AI609" s="354">
        <f>U609-O609</f>
        <v>-1</v>
      </c>
      <c r="AJ609" s="354">
        <f t="shared" si="132"/>
        <v>1</v>
      </c>
      <c r="AN609" s="384">
        <f t="shared" ref="AN609:AN612" si="134">(O609-J609)</f>
        <v>1</v>
      </c>
    </row>
    <row r="610" spans="1:40" ht="13.5" thickBot="1">
      <c r="A610" s="885"/>
      <c r="B610" s="885"/>
      <c r="C610" s="9" t="s">
        <v>297</v>
      </c>
      <c r="D610" s="241" t="s">
        <v>632</v>
      </c>
      <c r="E610" s="241" t="s">
        <v>632</v>
      </c>
      <c r="F610" s="243" t="s">
        <v>646</v>
      </c>
      <c r="G610" s="241" t="s">
        <v>646</v>
      </c>
      <c r="H610" s="241" t="s">
        <v>646</v>
      </c>
      <c r="I610" s="244" t="s">
        <v>646</v>
      </c>
      <c r="J610" s="195">
        <f>'State DisAgg LFx10 (2015)'!D595</f>
        <v>0</v>
      </c>
      <c r="K610" s="196"/>
      <c r="L610" s="196"/>
      <c r="M610" s="197"/>
      <c r="N610" s="195"/>
      <c r="O610" s="196">
        <f>'State DisAgg LFx10 (2015)'!H595</f>
        <v>2</v>
      </c>
      <c r="P610" s="196"/>
      <c r="Q610" s="197"/>
      <c r="R610" s="195"/>
      <c r="S610" s="196"/>
      <c r="T610" s="196"/>
      <c r="U610" s="197">
        <f>'State DisAgg LFx10 (2015)'!L607</f>
        <v>4</v>
      </c>
      <c r="V610" s="252"/>
      <c r="W610" s="253"/>
      <c r="X610" s="253"/>
      <c r="Y610" s="254">
        <f>'State DisAgg LFx10 (2015)'!P607</f>
        <v>6</v>
      </c>
      <c r="Z610" s="252"/>
      <c r="AA610" s="253"/>
      <c r="AB610" s="253"/>
      <c r="AC610" s="254">
        <f>'State DisAgg LFx10 (2015)'!T607</f>
        <v>0</v>
      </c>
      <c r="AD610" s="195"/>
      <c r="AE610" s="197"/>
      <c r="AH610" s="354">
        <f t="shared" si="133"/>
        <v>2</v>
      </c>
      <c r="AI610" s="354">
        <f>U610-O610</f>
        <v>2</v>
      </c>
      <c r="AJ610" s="354">
        <f t="shared" si="132"/>
        <v>2</v>
      </c>
      <c r="AN610" s="384">
        <f t="shared" si="134"/>
        <v>2</v>
      </c>
    </row>
    <row r="611" spans="1:40" ht="13.5" thickBot="1">
      <c r="A611" s="885"/>
      <c r="B611" s="885"/>
      <c r="C611" s="9" t="s">
        <v>298</v>
      </c>
      <c r="D611" s="241" t="s">
        <v>632</v>
      </c>
      <c r="E611" s="241" t="s">
        <v>632</v>
      </c>
      <c r="F611" s="243" t="s">
        <v>646</v>
      </c>
      <c r="G611" s="241" t="s">
        <v>646</v>
      </c>
      <c r="H611" s="241" t="s">
        <v>646</v>
      </c>
      <c r="I611" s="244" t="s">
        <v>646</v>
      </c>
      <c r="J611" s="195">
        <f>'State DisAgg LFx10 (2015)'!D596</f>
        <v>0</v>
      </c>
      <c r="K611" s="196"/>
      <c r="L611" s="196"/>
      <c r="M611" s="197"/>
      <c r="N611" s="195"/>
      <c r="O611" s="196">
        <f>'State DisAgg LFx10 (2015)'!H596</f>
        <v>5</v>
      </c>
      <c r="P611" s="196"/>
      <c r="Q611" s="197"/>
      <c r="R611" s="195"/>
      <c r="S611" s="196"/>
      <c r="T611" s="196"/>
      <c r="U611" s="197">
        <f>'State DisAgg LFx10 (2015)'!L608</f>
        <v>5</v>
      </c>
      <c r="V611" s="252"/>
      <c r="W611" s="253"/>
      <c r="X611" s="253"/>
      <c r="Y611" s="254">
        <f>'State DisAgg LFx10 (2015)'!P608</f>
        <v>8</v>
      </c>
      <c r="Z611" s="252"/>
      <c r="AA611" s="253"/>
      <c r="AB611" s="253"/>
      <c r="AC611" s="254">
        <f>'State DisAgg LFx10 (2015)'!T608</f>
        <v>0</v>
      </c>
      <c r="AD611" s="195"/>
      <c r="AE611" s="197"/>
      <c r="AH611" s="354">
        <f t="shared" si="133"/>
        <v>3</v>
      </c>
      <c r="AI611" s="354">
        <f>U611-O611</f>
        <v>0</v>
      </c>
      <c r="AJ611" s="354">
        <f t="shared" si="132"/>
        <v>5</v>
      </c>
      <c r="AN611" s="384">
        <f t="shared" si="134"/>
        <v>5</v>
      </c>
    </row>
    <row r="612" spans="1:40" ht="13.5" thickBot="1">
      <c r="A612" s="885"/>
      <c r="B612" s="885"/>
      <c r="C612" s="9" t="s">
        <v>299</v>
      </c>
      <c r="D612" s="241" t="s">
        <v>632</v>
      </c>
      <c r="E612" s="241" t="s">
        <v>632</v>
      </c>
      <c r="F612" s="243" t="s">
        <v>646</v>
      </c>
      <c r="G612" s="241" t="s">
        <v>646</v>
      </c>
      <c r="H612" s="241" t="s">
        <v>646</v>
      </c>
      <c r="I612" s="244" t="s">
        <v>646</v>
      </c>
      <c r="J612" s="195">
        <f>'State DisAgg LFx10 (2015)'!D597</f>
        <v>2</v>
      </c>
      <c r="K612" s="196"/>
      <c r="L612" s="196"/>
      <c r="M612" s="197"/>
      <c r="N612" s="195"/>
      <c r="O612" s="196">
        <f>'State DisAgg LFx10 (2015)'!H597</f>
        <v>5</v>
      </c>
      <c r="P612" s="196"/>
      <c r="Q612" s="197"/>
      <c r="R612" s="195"/>
      <c r="S612" s="196"/>
      <c r="T612" s="196"/>
      <c r="U612" s="197">
        <f>'State DisAgg LFx10 (2015)'!L609</f>
        <v>2</v>
      </c>
      <c r="V612" s="252"/>
      <c r="W612" s="253"/>
      <c r="X612" s="253"/>
      <c r="Y612" s="254">
        <f>'State DisAgg LFx10 (2015)'!P609</f>
        <v>6</v>
      </c>
      <c r="Z612" s="252"/>
      <c r="AA612" s="253"/>
      <c r="AB612" s="253"/>
      <c r="AC612" s="254">
        <f>'State DisAgg LFx10 (2015)'!T609</f>
        <v>0</v>
      </c>
      <c r="AD612" s="195"/>
      <c r="AE612" s="197"/>
      <c r="AH612" s="354">
        <f t="shared" si="133"/>
        <v>4</v>
      </c>
      <c r="AI612" s="354">
        <f>U612-O612</f>
        <v>-3</v>
      </c>
      <c r="AJ612" s="354">
        <f t="shared" si="132"/>
        <v>3</v>
      </c>
      <c r="AN612" s="384">
        <f t="shared" si="134"/>
        <v>3</v>
      </c>
    </row>
    <row r="613" spans="1:40" ht="13.5" thickBot="1">
      <c r="A613" s="885"/>
      <c r="B613" s="885"/>
      <c r="C613" s="9" t="s">
        <v>300</v>
      </c>
      <c r="D613" s="199"/>
      <c r="E613" s="200"/>
      <c r="F613" s="201"/>
      <c r="G613" s="199"/>
      <c r="H613" s="199"/>
      <c r="I613" s="200"/>
      <c r="J613" s="201"/>
      <c r="K613" s="199"/>
      <c r="L613" s="199"/>
      <c r="M613" s="200"/>
      <c r="N613" s="198"/>
      <c r="O613" s="217" t="s">
        <v>634</v>
      </c>
      <c r="P613" s="241" t="s">
        <v>632</v>
      </c>
      <c r="Q613" s="244" t="s">
        <v>646</v>
      </c>
      <c r="R613" s="195">
        <f>'State DisAgg LFx10 (2015)'!H598</f>
        <v>0</v>
      </c>
      <c r="S613" s="196"/>
      <c r="T613" s="196"/>
      <c r="U613" s="197">
        <f>'State DisAgg LFx10 (2015)'!L610</f>
        <v>1</v>
      </c>
      <c r="V613" s="252"/>
      <c r="W613" s="253"/>
      <c r="X613" s="253"/>
      <c r="Y613" s="254">
        <f>'State DisAgg LFx10 (2015)'!P610</f>
        <v>2</v>
      </c>
      <c r="Z613" s="252"/>
      <c r="AA613" s="253"/>
      <c r="AB613" s="253"/>
      <c r="AC613" s="254">
        <f>'State DisAgg LFx10 (2015)'!T610</f>
        <v>0</v>
      </c>
      <c r="AD613" s="195"/>
      <c r="AE613" s="197"/>
      <c r="AH613" s="354">
        <f t="shared" si="133"/>
        <v>1</v>
      </c>
      <c r="AI613" s="354">
        <f>U613-R613</f>
        <v>1</v>
      </c>
      <c r="AJ613" s="354" t="e">
        <f t="shared" si="132"/>
        <v>#VALUE!</v>
      </c>
      <c r="AN613" s="384">
        <f>(Y613-R613)</f>
        <v>2</v>
      </c>
    </row>
    <row r="614" spans="1:40" ht="13.5" thickBot="1">
      <c r="A614" s="885"/>
      <c r="B614" s="885"/>
      <c r="C614" s="9" t="s">
        <v>301</v>
      </c>
      <c r="D614" s="199"/>
      <c r="E614" s="200"/>
      <c r="F614" s="201"/>
      <c r="G614" s="199"/>
      <c r="H614" s="199"/>
      <c r="I614" s="200"/>
      <c r="J614" s="201"/>
      <c r="K614" s="199"/>
      <c r="L614" s="199"/>
      <c r="M614" s="200"/>
      <c r="N614" s="198"/>
      <c r="O614" s="217" t="s">
        <v>634</v>
      </c>
      <c r="P614" s="241" t="s">
        <v>632</v>
      </c>
      <c r="Q614" s="244" t="s">
        <v>646</v>
      </c>
      <c r="R614" s="195">
        <f>'State DisAgg LFx10 (2015)'!H599</f>
        <v>0</v>
      </c>
      <c r="S614" s="196"/>
      <c r="T614" s="196"/>
      <c r="U614" s="197">
        <f>'State DisAgg LFx10 (2015)'!L611</f>
        <v>0</v>
      </c>
      <c r="V614" s="252"/>
      <c r="W614" s="253"/>
      <c r="X614" s="253"/>
      <c r="Y614" s="254">
        <f>'State DisAgg LFx10 (2015)'!P611</f>
        <v>2</v>
      </c>
      <c r="Z614" s="252"/>
      <c r="AA614" s="253"/>
      <c r="AB614" s="253"/>
      <c r="AC614" s="254">
        <f>'State DisAgg LFx10 (2015)'!T611</f>
        <v>0</v>
      </c>
      <c r="AD614" s="195"/>
      <c r="AE614" s="197"/>
      <c r="AH614" s="354">
        <f t="shared" si="133"/>
        <v>2</v>
      </c>
      <c r="AI614" s="354">
        <f t="shared" ref="AI614:AI615" si="135">U614-R614</f>
        <v>0</v>
      </c>
      <c r="AJ614" s="354" t="e">
        <f t="shared" si="132"/>
        <v>#VALUE!</v>
      </c>
      <c r="AN614" s="384">
        <f t="shared" ref="AN614:AN615" si="136">(Y614-R614)</f>
        <v>2</v>
      </c>
    </row>
    <row r="615" spans="1:40" ht="13.5" thickBot="1">
      <c r="A615" s="885"/>
      <c r="B615" s="885"/>
      <c r="C615" s="9" t="s">
        <v>302</v>
      </c>
      <c r="D615" s="199"/>
      <c r="E615" s="200"/>
      <c r="F615" s="201"/>
      <c r="G615" s="199"/>
      <c r="H615" s="199"/>
      <c r="I615" s="200"/>
      <c r="J615" s="201"/>
      <c r="K615" s="199"/>
      <c r="L615" s="199"/>
      <c r="M615" s="200"/>
      <c r="N615" s="198"/>
      <c r="O615" s="217" t="s">
        <v>634</v>
      </c>
      <c r="P615" s="241" t="s">
        <v>632</v>
      </c>
      <c r="Q615" s="244" t="s">
        <v>646</v>
      </c>
      <c r="R615" s="195">
        <f>'State DisAgg LFx10 (2015)'!H600</f>
        <v>0</v>
      </c>
      <c r="S615" s="196"/>
      <c r="T615" s="196"/>
      <c r="U615" s="197">
        <f>'State DisAgg LFx10 (2015)'!L612</f>
        <v>0</v>
      </c>
      <c r="V615" s="252"/>
      <c r="W615" s="253"/>
      <c r="X615" s="253"/>
      <c r="Y615" s="254">
        <f>'State DisAgg LFx10 (2015)'!P612</f>
        <v>1</v>
      </c>
      <c r="Z615" s="252"/>
      <c r="AA615" s="253"/>
      <c r="AB615" s="253"/>
      <c r="AC615" s="254">
        <f>'State DisAgg LFx10 (2015)'!T612</f>
        <v>0</v>
      </c>
      <c r="AD615" s="195"/>
      <c r="AE615" s="197"/>
      <c r="AH615" s="354">
        <f t="shared" si="133"/>
        <v>1</v>
      </c>
      <c r="AI615" s="354">
        <f t="shared" si="135"/>
        <v>0</v>
      </c>
      <c r="AJ615" s="354" t="e">
        <f t="shared" si="132"/>
        <v>#VALUE!</v>
      </c>
      <c r="AN615" s="384">
        <f t="shared" si="136"/>
        <v>1</v>
      </c>
    </row>
    <row r="616" spans="1:40" ht="13.5" thickBot="1">
      <c r="A616" s="885"/>
      <c r="B616" s="885"/>
      <c r="C616" s="9" t="s">
        <v>303</v>
      </c>
      <c r="D616" s="202"/>
      <c r="E616" s="203"/>
      <c r="F616" s="201"/>
      <c r="G616" s="202"/>
      <c r="H616" s="202"/>
      <c r="I616" s="203"/>
      <c r="J616" s="201"/>
      <c r="K616" s="202"/>
      <c r="L616" s="202"/>
      <c r="M616" s="203"/>
      <c r="N616" s="204"/>
      <c r="O616" s="214"/>
      <c r="P616" s="205"/>
      <c r="Q616" s="205"/>
      <c r="R616" s="201"/>
      <c r="S616" s="202"/>
      <c r="T616" s="202"/>
      <c r="U616" s="203"/>
      <c r="V616" s="256"/>
      <c r="W616" s="255" t="s">
        <v>633</v>
      </c>
      <c r="X616" s="251" t="s">
        <v>632</v>
      </c>
      <c r="Y616" s="254">
        <f>'State DisAgg LFx10 (2015)'!P601</f>
        <v>0</v>
      </c>
      <c r="Z616" s="252"/>
      <c r="AA616" s="253"/>
      <c r="AB616" s="253"/>
      <c r="AC616" s="254">
        <f>'State DisAgg LFx10 (2015)'!T613</f>
        <v>0</v>
      </c>
      <c r="AD616" s="195"/>
      <c r="AE616" s="197"/>
      <c r="AH616" s="354">
        <f t="shared" si="133"/>
        <v>0</v>
      </c>
      <c r="AI616" s="354">
        <f>U616-O616</f>
        <v>0</v>
      </c>
      <c r="AJ616" s="354">
        <f t="shared" si="132"/>
        <v>0</v>
      </c>
    </row>
    <row r="617" spans="1:40" ht="13.5" thickBot="1">
      <c r="A617" s="885"/>
      <c r="B617" s="885"/>
      <c r="C617" s="9" t="s">
        <v>304</v>
      </c>
      <c r="D617" s="202"/>
      <c r="E617" s="203"/>
      <c r="F617" s="201"/>
      <c r="G617" s="202"/>
      <c r="H617" s="202"/>
      <c r="I617" s="203"/>
      <c r="J617" s="201"/>
      <c r="K617" s="202"/>
      <c r="L617" s="202"/>
      <c r="M617" s="203"/>
      <c r="N617" s="204"/>
      <c r="O617" s="205"/>
      <c r="P617" s="205"/>
      <c r="Q617" s="205"/>
      <c r="R617" s="201"/>
      <c r="S617" s="202"/>
      <c r="T617" s="202"/>
      <c r="U617" s="203"/>
      <c r="V617" s="256"/>
      <c r="W617" s="255" t="s">
        <v>633</v>
      </c>
      <c r="X617" s="251" t="s">
        <v>632</v>
      </c>
      <c r="Y617" s="254">
        <f>'State DisAgg LFx10 (2015)'!P602</f>
        <v>0</v>
      </c>
      <c r="Z617" s="252"/>
      <c r="AA617" s="253"/>
      <c r="AB617" s="253"/>
      <c r="AC617" s="254">
        <f>'State DisAgg LFx10 (2015)'!T614</f>
        <v>0</v>
      </c>
      <c r="AD617" s="195"/>
      <c r="AE617" s="197"/>
      <c r="AH617" s="354">
        <f t="shared" si="133"/>
        <v>0</v>
      </c>
      <c r="AI617" s="354">
        <f>U617-O617</f>
        <v>0</v>
      </c>
      <c r="AJ617" s="354">
        <f t="shared" si="132"/>
        <v>0</v>
      </c>
    </row>
    <row r="618" spans="1:40" ht="13.5" thickBot="1">
      <c r="A618" s="885"/>
      <c r="B618" s="885"/>
      <c r="C618" s="9" t="s">
        <v>435</v>
      </c>
      <c r="D618" s="241" t="s">
        <v>632</v>
      </c>
      <c r="E618" s="241" t="s">
        <v>632</v>
      </c>
      <c r="F618" s="243" t="s">
        <v>646</v>
      </c>
      <c r="G618" s="241" t="s">
        <v>646</v>
      </c>
      <c r="H618" s="241" t="s">
        <v>646</v>
      </c>
      <c r="I618" s="244" t="s">
        <v>646</v>
      </c>
      <c r="J618" s="195">
        <f>'State DisAgg LFx10 (2015)'!D603</f>
        <v>0</v>
      </c>
      <c r="K618" s="196"/>
      <c r="L618" s="196"/>
      <c r="M618" s="197"/>
      <c r="N618" s="195"/>
      <c r="O618" s="196">
        <f>'State DisAgg LFx10 (2015)'!H615</f>
        <v>0</v>
      </c>
      <c r="P618" s="196"/>
      <c r="Q618" s="197"/>
      <c r="R618" s="195"/>
      <c r="S618" s="196"/>
      <c r="T618" s="196"/>
      <c r="U618" s="197">
        <f>'State DisAgg LFx10 (2015)'!L615</f>
        <v>8</v>
      </c>
      <c r="V618" s="252"/>
      <c r="W618" s="253"/>
      <c r="X618" s="253"/>
      <c r="Y618" s="254">
        <f>'State DisAgg LFx10 (2015)'!P615</f>
        <v>10</v>
      </c>
      <c r="Z618" s="252"/>
      <c r="AA618" s="253"/>
      <c r="AB618" s="253"/>
      <c r="AC618" s="254">
        <f>'State DisAgg LFx10 (2015)'!T615</f>
        <v>16</v>
      </c>
      <c r="AD618" s="195"/>
      <c r="AE618" s="197"/>
      <c r="AH618" s="354">
        <f t="shared" si="133"/>
        <v>2</v>
      </c>
      <c r="AI618" s="354">
        <f>U618-O618</f>
        <v>8</v>
      </c>
      <c r="AJ618" s="354">
        <f t="shared" si="132"/>
        <v>0</v>
      </c>
    </row>
    <row r="619" spans="1:40" ht="13.5" thickBot="1">
      <c r="A619" s="885"/>
      <c r="B619" s="885"/>
      <c r="C619" s="9" t="s">
        <v>642</v>
      </c>
      <c r="D619" s="241" t="s">
        <v>632</v>
      </c>
      <c r="E619" s="241" t="s">
        <v>632</v>
      </c>
      <c r="F619" s="243" t="s">
        <v>646</v>
      </c>
      <c r="G619" s="241" t="s">
        <v>646</v>
      </c>
      <c r="H619" s="241" t="s">
        <v>646</v>
      </c>
      <c r="I619" s="244" t="s">
        <v>646</v>
      </c>
      <c r="J619" s="195">
        <f>'State DisAgg LFx10 (2015)'!D604</f>
        <v>0</v>
      </c>
      <c r="K619" s="196"/>
      <c r="L619" s="196"/>
      <c r="M619" s="197"/>
      <c r="N619" s="195"/>
      <c r="O619" s="196">
        <f>'State DisAgg LFx10 (2015)'!H616</f>
        <v>0</v>
      </c>
      <c r="P619" s="196"/>
      <c r="Q619" s="197"/>
      <c r="R619" s="195"/>
      <c r="S619" s="196"/>
      <c r="T619" s="196"/>
      <c r="U619" s="197">
        <f>'State DisAgg LFx10 (2015)'!L616</f>
        <v>0</v>
      </c>
      <c r="V619" s="252"/>
      <c r="W619" s="253"/>
      <c r="X619" s="253"/>
      <c r="Y619" s="254">
        <f>'State DisAgg LFx10 (2015)'!P616</f>
        <v>7</v>
      </c>
      <c r="Z619" s="252"/>
      <c r="AA619" s="253"/>
      <c r="AB619" s="253"/>
      <c r="AC619" s="254">
        <f>'State DisAgg LFx10 (2015)'!T616</f>
        <v>16</v>
      </c>
      <c r="AD619" s="195"/>
      <c r="AE619" s="197"/>
      <c r="AH619" s="354">
        <f t="shared" si="133"/>
        <v>7</v>
      </c>
      <c r="AI619" s="354">
        <f>U619-O619</f>
        <v>0</v>
      </c>
      <c r="AJ619" s="354">
        <f t="shared" si="132"/>
        <v>0</v>
      </c>
    </row>
    <row r="620" spans="1:40" ht="13.5" thickBot="1">
      <c r="A620" s="885"/>
      <c r="B620" s="885"/>
      <c r="C620" s="9" t="s">
        <v>437</v>
      </c>
      <c r="D620" s="241" t="s">
        <v>632</v>
      </c>
      <c r="E620" s="241" t="s">
        <v>632</v>
      </c>
      <c r="F620" s="243" t="s">
        <v>646</v>
      </c>
      <c r="G620" s="241" t="s">
        <v>646</v>
      </c>
      <c r="H620" s="241" t="s">
        <v>646</v>
      </c>
      <c r="I620" s="244" t="s">
        <v>646</v>
      </c>
      <c r="J620" s="195" t="e">
        <f>'State DisAgg LFx10 (2015)'!#REF!</f>
        <v>#REF!</v>
      </c>
      <c r="K620" s="196"/>
      <c r="L620" s="196"/>
      <c r="M620" s="197"/>
      <c r="N620" s="195"/>
      <c r="O620" s="196" t="e">
        <f>'State DisAgg LFx10 (2015)'!#REF!</f>
        <v>#REF!</v>
      </c>
      <c r="P620" s="196"/>
      <c r="Q620" s="197"/>
      <c r="R620" s="195"/>
      <c r="S620" s="196"/>
      <c r="T620" s="196"/>
      <c r="U620" s="197" t="e">
        <f>'State DisAgg LFx10 (2015)'!#REF!</f>
        <v>#REF!</v>
      </c>
      <c r="V620" s="252"/>
      <c r="W620" s="253"/>
      <c r="X620" s="253"/>
      <c r="Y620" s="254" t="e">
        <f>'State DisAgg LFx10 (2015)'!#REF!</f>
        <v>#REF!</v>
      </c>
      <c r="Z620" s="252"/>
      <c r="AA620" s="253"/>
      <c r="AB620" s="253"/>
      <c r="AC620" s="254" t="e">
        <f>'State DisAgg LFx10 (2015)'!#REF!</f>
        <v>#REF!</v>
      </c>
      <c r="AD620" s="195"/>
      <c r="AE620" s="197"/>
    </row>
    <row r="621" spans="1:40" ht="12.95" hidden="1" customHeight="1" thickBot="1">
      <c r="A621" s="885"/>
      <c r="B621" s="885"/>
      <c r="C621" s="231"/>
      <c r="D621" s="232"/>
      <c r="E621" s="233"/>
      <c r="F621" s="234"/>
      <c r="G621" s="232"/>
      <c r="H621" s="232"/>
      <c r="I621" s="233"/>
      <c r="J621" s="234"/>
      <c r="K621" s="232"/>
      <c r="L621" s="232"/>
      <c r="M621" s="233"/>
      <c r="N621" s="234"/>
      <c r="O621" s="232"/>
      <c r="P621" s="232"/>
      <c r="Q621" s="233"/>
      <c r="R621" s="234"/>
      <c r="S621" s="232"/>
      <c r="T621" s="232"/>
      <c r="U621" s="233"/>
      <c r="V621" s="234"/>
      <c r="W621" s="232"/>
      <c r="X621" s="232"/>
      <c r="Y621" s="233"/>
      <c r="Z621" s="234"/>
      <c r="AA621" s="232"/>
      <c r="AB621" s="232"/>
      <c r="AC621" s="233"/>
      <c r="AD621" s="234"/>
      <c r="AE621" s="233"/>
    </row>
    <row r="622" spans="1:40" ht="12.95" hidden="1" customHeight="1" thickBot="1">
      <c r="A622" s="885"/>
      <c r="B622" s="869"/>
      <c r="C622" s="231"/>
      <c r="D622" s="232"/>
      <c r="E622" s="233"/>
      <c r="F622" s="234"/>
      <c r="G622" s="232"/>
      <c r="H622" s="232"/>
      <c r="I622" s="233"/>
      <c r="J622" s="234"/>
      <c r="K622" s="232"/>
      <c r="L622" s="232"/>
      <c r="M622" s="233"/>
      <c r="N622" s="234"/>
      <c r="O622" s="232"/>
      <c r="P622" s="232"/>
      <c r="Q622" s="233"/>
      <c r="R622" s="234"/>
      <c r="S622" s="232"/>
      <c r="T622" s="232"/>
      <c r="U622" s="233"/>
      <c r="V622" s="234"/>
      <c r="W622" s="232"/>
      <c r="X622" s="232"/>
      <c r="Y622" s="233"/>
      <c r="Z622" s="234"/>
      <c r="AA622" s="232"/>
      <c r="AB622" s="232"/>
      <c r="AC622" s="233"/>
      <c r="AD622" s="234"/>
      <c r="AE622" s="233"/>
    </row>
    <row r="623" spans="1:40" ht="12.95" customHeight="1" thickBot="1">
      <c r="A623" s="885"/>
      <c r="B623" s="3" t="s">
        <v>600</v>
      </c>
      <c r="C623" s="12"/>
      <c r="D623" s="1377">
        <v>2008</v>
      </c>
      <c r="E623" s="1378"/>
      <c r="F623" s="1372">
        <v>2009</v>
      </c>
      <c r="G623" s="1373"/>
      <c r="H623" s="1373"/>
      <c r="I623" s="1374"/>
      <c r="J623" s="1372">
        <v>2010</v>
      </c>
      <c r="K623" s="1373"/>
      <c r="L623" s="1373"/>
      <c r="M623" s="1374"/>
      <c r="N623" s="1372">
        <v>2011</v>
      </c>
      <c r="O623" s="1373"/>
      <c r="P623" s="1373"/>
      <c r="Q623" s="1374"/>
      <c r="R623" s="1372">
        <v>2012</v>
      </c>
      <c r="S623" s="1373"/>
      <c r="T623" s="1373"/>
      <c r="U623" s="1374"/>
      <c r="V623" s="1372">
        <v>2013</v>
      </c>
      <c r="W623" s="1373"/>
      <c r="X623" s="1373"/>
      <c r="Y623" s="1374"/>
      <c r="Z623" s="1372">
        <v>2014</v>
      </c>
      <c r="AA623" s="1373"/>
      <c r="AB623" s="1373"/>
      <c r="AC623" s="1374"/>
      <c r="AD623" s="1372">
        <v>2015</v>
      </c>
      <c r="AE623" s="1374"/>
      <c r="AG623" s="257" t="s">
        <v>663</v>
      </c>
    </row>
    <row r="624" spans="1:40" ht="13.5" thickBot="1">
      <c r="A624" s="885"/>
      <c r="B624" s="868" t="s">
        <v>647</v>
      </c>
      <c r="C624" s="194" t="s">
        <v>610</v>
      </c>
      <c r="D624" s="206"/>
      <c r="E624" s="207"/>
      <c r="F624" s="209"/>
      <c r="G624" s="206"/>
      <c r="H624" s="206"/>
      <c r="I624" s="207"/>
      <c r="J624" s="209"/>
      <c r="K624" s="206"/>
      <c r="L624" s="206"/>
      <c r="M624" s="207"/>
      <c r="N624" s="209"/>
      <c r="O624" s="206"/>
      <c r="P624" s="206"/>
      <c r="Q624" s="207"/>
      <c r="R624" s="209"/>
      <c r="S624" s="206"/>
      <c r="T624" s="206"/>
      <c r="U624" s="207"/>
      <c r="V624" s="209"/>
      <c r="W624" s="206"/>
      <c r="X624" s="206"/>
      <c r="Y624" s="207"/>
      <c r="Z624" s="281"/>
      <c r="AA624" s="278"/>
      <c r="AB624" s="278"/>
      <c r="AC624" s="278">
        <f>(AC637-Y637)/4/$C$713/Spend!AC624*'State Efficiency Ratios'!$C$655</f>
        <v>0</v>
      </c>
      <c r="AD624" s="208"/>
      <c r="AE624" s="213"/>
      <c r="AG624" s="295"/>
    </row>
    <row r="625" spans="1:36" ht="13.5" thickBot="1">
      <c r="A625" s="885"/>
      <c r="B625" s="885"/>
      <c r="C625" s="194" t="s">
        <v>611</v>
      </c>
      <c r="D625" s="206"/>
      <c r="E625" s="207"/>
      <c r="F625" s="209"/>
      <c r="G625" s="206"/>
      <c r="H625" s="206"/>
      <c r="I625" s="207"/>
      <c r="J625" s="209"/>
      <c r="K625" s="206"/>
      <c r="L625" s="206"/>
      <c r="M625" s="207"/>
      <c r="N625" s="209"/>
      <c r="O625" s="206"/>
      <c r="P625" s="206"/>
      <c r="Q625" s="207"/>
      <c r="R625" s="209"/>
      <c r="S625" s="206"/>
      <c r="T625" s="206"/>
      <c r="U625" s="207"/>
      <c r="V625" s="209"/>
      <c r="W625" s="206"/>
      <c r="X625" s="206"/>
      <c r="Y625" s="207"/>
      <c r="Z625" s="281"/>
      <c r="AA625" s="278"/>
      <c r="AB625" s="278"/>
      <c r="AC625" s="278">
        <f>(AC638-Y638)/4/$C$713/Spend!AC625*'State Efficiency Ratios'!$C$655</f>
        <v>0</v>
      </c>
      <c r="AD625" s="208"/>
      <c r="AE625" s="213"/>
      <c r="AG625" s="295"/>
    </row>
    <row r="626" spans="1:36" ht="13.5" thickBot="1">
      <c r="A626" s="885"/>
      <c r="B626" s="885"/>
      <c r="C626" s="194" t="s">
        <v>612</v>
      </c>
      <c r="D626" s="206"/>
      <c r="E626" s="207"/>
      <c r="F626" s="209"/>
      <c r="G626" s="206"/>
      <c r="H626" s="206"/>
      <c r="I626" s="207"/>
      <c r="J626" s="209"/>
      <c r="K626" s="206"/>
      <c r="L626" s="206"/>
      <c r="M626" s="207"/>
      <c r="N626" s="209"/>
      <c r="O626" s="206"/>
      <c r="P626" s="206"/>
      <c r="Q626" s="207"/>
      <c r="R626" s="209"/>
      <c r="S626" s="206"/>
      <c r="T626" s="206"/>
      <c r="U626" s="207"/>
      <c r="V626" s="209"/>
      <c r="W626" s="206"/>
      <c r="X626" s="206"/>
      <c r="Y626" s="207"/>
      <c r="Z626" s="281"/>
      <c r="AA626" s="278"/>
      <c r="AB626" s="278"/>
      <c r="AC626" s="278">
        <f>(AC639-Y639)/4/$C$713/Spend!AC626*'State Efficiency Ratios'!$C$655</f>
        <v>0</v>
      </c>
      <c r="AD626" s="208"/>
      <c r="AE626" s="213"/>
      <c r="AG626" s="295"/>
    </row>
    <row r="627" spans="1:36" ht="13.5" thickBot="1">
      <c r="A627" s="885"/>
      <c r="B627" s="885"/>
      <c r="C627" s="194" t="s">
        <v>613</v>
      </c>
      <c r="D627" s="206"/>
      <c r="E627" s="207"/>
      <c r="F627" s="209"/>
      <c r="G627" s="206"/>
      <c r="H627" s="206"/>
      <c r="I627" s="207"/>
      <c r="J627" s="209"/>
      <c r="K627" s="206"/>
      <c r="L627" s="206"/>
      <c r="M627" s="207"/>
      <c r="N627" s="209"/>
      <c r="O627" s="206"/>
      <c r="P627" s="206"/>
      <c r="Q627" s="207"/>
      <c r="R627" s="209"/>
      <c r="S627" s="206"/>
      <c r="T627" s="206"/>
      <c r="U627" s="207"/>
      <c r="V627" s="209"/>
      <c r="W627" s="206"/>
      <c r="X627" s="206"/>
      <c r="Y627" s="207"/>
      <c r="Z627" s="281"/>
      <c r="AA627" s="278"/>
      <c r="AB627" s="278"/>
      <c r="AC627" s="278">
        <f>(AC640-Y640)/4/$C$713/Spend!AC627*'State Efficiency Ratios'!$C$655</f>
        <v>0</v>
      </c>
      <c r="AD627" s="208"/>
      <c r="AE627" s="213"/>
      <c r="AG627" s="295"/>
    </row>
    <row r="628" spans="1:36" ht="13.5" thickBot="1">
      <c r="A628" s="885"/>
      <c r="B628" s="885"/>
      <c r="C628" s="194" t="s">
        <v>614</v>
      </c>
      <c r="D628" s="206"/>
      <c r="E628" s="207"/>
      <c r="F628" s="209"/>
      <c r="G628" s="206"/>
      <c r="H628" s="206"/>
      <c r="I628" s="207"/>
      <c r="J628" s="209"/>
      <c r="K628" s="206"/>
      <c r="L628" s="206"/>
      <c r="M628" s="207"/>
      <c r="N628" s="209"/>
      <c r="O628" s="206"/>
      <c r="P628" s="206"/>
      <c r="Q628" s="207"/>
      <c r="R628" s="209"/>
      <c r="S628" s="206"/>
      <c r="T628" s="206"/>
      <c r="U628" s="207"/>
      <c r="V628" s="209"/>
      <c r="W628" s="206"/>
      <c r="X628" s="206"/>
      <c r="Y628" s="207"/>
      <c r="Z628" s="281"/>
      <c r="AA628" s="278"/>
      <c r="AB628" s="278"/>
      <c r="AC628" s="278">
        <f>(AC641-Y641)/4/$C$713/Spend!AC628*'State Efficiency Ratios'!$C$655</f>
        <v>0</v>
      </c>
      <c r="AD628" s="208"/>
      <c r="AE628" s="213"/>
      <c r="AG628" s="295"/>
    </row>
    <row r="629" spans="1:36" ht="12.95" customHeight="1" thickBot="1">
      <c r="A629" s="885"/>
      <c r="B629" s="885"/>
      <c r="C629" s="194" t="s">
        <v>615</v>
      </c>
      <c r="D629" s="210"/>
      <c r="E629" s="211"/>
      <c r="F629" s="209"/>
      <c r="G629" s="210"/>
      <c r="H629" s="210"/>
      <c r="I629" s="211"/>
      <c r="J629" s="209"/>
      <c r="K629" s="210"/>
      <c r="L629" s="210"/>
      <c r="M629" s="211"/>
      <c r="N629" s="209"/>
      <c r="O629" s="210"/>
      <c r="P629" s="210"/>
      <c r="Q629" s="211"/>
      <c r="R629" s="209"/>
      <c r="S629" s="210"/>
      <c r="T629" s="210"/>
      <c r="U629" s="211"/>
      <c r="V629" s="209"/>
      <c r="W629" s="210"/>
      <c r="X629" s="210"/>
      <c r="Y629" s="211"/>
      <c r="Z629" s="281"/>
      <c r="AA629" s="278"/>
      <c r="AB629" s="278"/>
      <c r="AC629" s="278">
        <f>(AC642-Y642)/4/$C$713/Spend!AC629*'State Efficiency Ratios'!$C$655</f>
        <v>0</v>
      </c>
      <c r="AD629" s="208"/>
      <c r="AE629" s="213"/>
      <c r="AG629" s="295"/>
    </row>
    <row r="630" spans="1:36" ht="12.95" customHeight="1" thickBot="1">
      <c r="A630" s="885"/>
      <c r="B630" s="885"/>
      <c r="C630" s="194" t="s">
        <v>616</v>
      </c>
      <c r="D630" s="210"/>
      <c r="E630" s="211"/>
      <c r="F630" s="209"/>
      <c r="G630" s="210"/>
      <c r="H630" s="210"/>
      <c r="I630" s="211"/>
      <c r="J630" s="209"/>
      <c r="K630" s="210"/>
      <c r="L630" s="210"/>
      <c r="M630" s="211"/>
      <c r="N630" s="209"/>
      <c r="O630" s="210"/>
      <c r="P630" s="210"/>
      <c r="Q630" s="211"/>
      <c r="R630" s="209"/>
      <c r="S630" s="210"/>
      <c r="T630" s="210"/>
      <c r="U630" s="211"/>
      <c r="V630" s="209"/>
      <c r="W630" s="210"/>
      <c r="X630" s="210"/>
      <c r="Y630" s="211"/>
      <c r="Z630" s="281"/>
      <c r="AA630" s="278"/>
      <c r="AB630" s="278"/>
      <c r="AC630" s="278">
        <f>(AC643-Y643)/4/$C$713/Spend!AC630*'State Efficiency Ratios'!$C$655</f>
        <v>0</v>
      </c>
      <c r="AD630" s="208"/>
      <c r="AE630" s="213"/>
      <c r="AG630" s="295"/>
    </row>
    <row r="631" spans="1:36" ht="12.95" customHeight="1" thickBot="1">
      <c r="A631" s="885"/>
      <c r="B631" s="885"/>
      <c r="C631" s="194" t="s">
        <v>617</v>
      </c>
      <c r="D631" s="210"/>
      <c r="E631" s="211"/>
      <c r="F631" s="209"/>
      <c r="G631" s="210"/>
      <c r="H631" s="210"/>
      <c r="I631" s="211"/>
      <c r="J631" s="209"/>
      <c r="K631" s="210"/>
      <c r="L631" s="210"/>
      <c r="M631" s="211"/>
      <c r="N631" s="209"/>
      <c r="O631" s="210"/>
      <c r="P631" s="210"/>
      <c r="Q631" s="211"/>
      <c r="R631" s="209"/>
      <c r="S631" s="210"/>
      <c r="T631" s="210"/>
      <c r="U631" s="211"/>
      <c r="V631" s="209"/>
      <c r="W631" s="210"/>
      <c r="X631" s="210"/>
      <c r="Y631" s="211"/>
      <c r="Z631" s="281"/>
      <c r="AA631" s="278"/>
      <c r="AB631" s="278"/>
      <c r="AC631" s="278">
        <f>(AC644-Y644)/4/$C$713/Spend!AC631*'State Efficiency Ratios'!$C$655</f>
        <v>0</v>
      </c>
      <c r="AD631" s="208"/>
      <c r="AE631" s="213"/>
      <c r="AG631" s="295"/>
    </row>
    <row r="632" spans="1:36" ht="12.95" customHeight="1" thickBot="1">
      <c r="A632" s="885"/>
      <c r="B632" s="885"/>
      <c r="C632" s="194" t="s">
        <v>618</v>
      </c>
      <c r="D632" s="210"/>
      <c r="E632" s="211"/>
      <c r="F632" s="209"/>
      <c r="G632" s="210"/>
      <c r="H632" s="210"/>
      <c r="I632" s="211"/>
      <c r="J632" s="209"/>
      <c r="K632" s="210"/>
      <c r="L632" s="210"/>
      <c r="M632" s="211"/>
      <c r="N632" s="209"/>
      <c r="O632" s="210"/>
      <c r="P632" s="210"/>
      <c r="Q632" s="211"/>
      <c r="R632" s="209"/>
      <c r="S632" s="210"/>
      <c r="T632" s="210"/>
      <c r="U632" s="211"/>
      <c r="V632" s="209"/>
      <c r="W632" s="210"/>
      <c r="X632" s="210"/>
      <c r="Y632" s="211"/>
      <c r="Z632" s="281"/>
      <c r="AA632" s="278"/>
      <c r="AB632" s="278"/>
      <c r="AC632" s="278">
        <f>(AC645-Y645)/4/$C$713/Spend!AC632*'State Efficiency Ratios'!$C$655</f>
        <v>0</v>
      </c>
      <c r="AD632" s="208"/>
      <c r="AE632" s="213"/>
      <c r="AG632" s="295"/>
    </row>
    <row r="633" spans="1:36" ht="12.95" customHeight="1" thickBot="1">
      <c r="A633" s="885"/>
      <c r="B633" s="885"/>
      <c r="C633" s="194" t="s">
        <v>619</v>
      </c>
      <c r="D633" s="210"/>
      <c r="E633" s="211"/>
      <c r="F633" s="209"/>
      <c r="G633" s="210"/>
      <c r="H633" s="210"/>
      <c r="I633" s="211"/>
      <c r="J633" s="209"/>
      <c r="K633" s="210"/>
      <c r="L633" s="210"/>
      <c r="M633" s="211"/>
      <c r="N633" s="209"/>
      <c r="O633" s="210"/>
      <c r="P633" s="210"/>
      <c r="Q633" s="211"/>
      <c r="R633" s="209"/>
      <c r="S633" s="210"/>
      <c r="T633" s="210"/>
      <c r="U633" s="211"/>
      <c r="V633" s="209"/>
      <c r="W633" s="210"/>
      <c r="X633" s="210"/>
      <c r="Y633" s="211"/>
      <c r="Z633" s="281"/>
      <c r="AA633" s="278"/>
      <c r="AB633" s="278"/>
      <c r="AC633" s="278">
        <f>(AC646-Y646)/4/$C$713/Spend!AC633*'State Efficiency Ratios'!$C$655</f>
        <v>0</v>
      </c>
      <c r="AD633" s="208"/>
      <c r="AE633" s="213"/>
      <c r="AG633" s="295"/>
    </row>
    <row r="634" spans="1:36" ht="13.5" thickBot="1">
      <c r="A634" s="885"/>
      <c r="B634" s="885"/>
      <c r="C634" s="194" t="s">
        <v>620</v>
      </c>
      <c r="D634" s="206"/>
      <c r="E634" s="207"/>
      <c r="F634" s="209"/>
      <c r="G634" s="206"/>
      <c r="H634" s="206"/>
      <c r="I634" s="207"/>
      <c r="J634" s="209"/>
      <c r="K634" s="206"/>
      <c r="L634" s="206"/>
      <c r="M634" s="207"/>
      <c r="N634" s="209"/>
      <c r="O634" s="206"/>
      <c r="P634" s="206"/>
      <c r="Q634" s="207"/>
      <c r="R634" s="209"/>
      <c r="S634" s="206"/>
      <c r="T634" s="206"/>
      <c r="U634" s="207"/>
      <c r="V634" s="209"/>
      <c r="W634" s="206"/>
      <c r="X634" s="206"/>
      <c r="Y634" s="207"/>
      <c r="Z634" s="281"/>
      <c r="AA634" s="278"/>
      <c r="AB634" s="278"/>
      <c r="AC634" s="278">
        <f>(AC647-Y647)/4/$C$713/Spend!AC634*'State Efficiency Ratios'!$C$655</f>
        <v>2330.2504752857021</v>
      </c>
      <c r="AD634" s="208"/>
      <c r="AE634" s="213"/>
    </row>
    <row r="635" spans="1:36" ht="13.5" thickBot="1">
      <c r="A635" s="885"/>
      <c r="B635" s="885"/>
      <c r="C635" s="194" t="s">
        <v>645</v>
      </c>
      <c r="D635" s="206"/>
      <c r="E635" s="207"/>
      <c r="F635" s="209"/>
      <c r="G635" s="206"/>
      <c r="H635" s="206"/>
      <c r="I635" s="207"/>
      <c r="J635" s="209"/>
      <c r="K635" s="206"/>
      <c r="L635" s="206"/>
      <c r="M635" s="207"/>
      <c r="N635" s="209"/>
      <c r="O635" s="206"/>
      <c r="P635" s="206"/>
      <c r="Q635" s="207"/>
      <c r="R635" s="209"/>
      <c r="S635" s="206"/>
      <c r="T635" s="206"/>
      <c r="U635" s="207"/>
      <c r="V635" s="209"/>
      <c r="W635" s="206"/>
      <c r="X635" s="206"/>
      <c r="Y635" s="207"/>
      <c r="Z635" s="281"/>
      <c r="AA635" s="278"/>
      <c r="AB635" s="278"/>
      <c r="AC635" s="278">
        <f>(AC648-Y648)/4/$C$713/Spend!AC635*'State Efficiency Ratios'!$C$655</f>
        <v>1906.5685706883016</v>
      </c>
      <c r="AD635" s="208"/>
      <c r="AE635" s="213"/>
    </row>
    <row r="636" spans="1:36" ht="13.5" thickBot="1">
      <c r="A636" s="885"/>
      <c r="B636" s="885"/>
      <c r="C636" s="194" t="s">
        <v>621</v>
      </c>
      <c r="D636" s="206"/>
      <c r="E636" s="207"/>
      <c r="F636" s="209"/>
      <c r="G636" s="206"/>
      <c r="H636" s="206"/>
      <c r="I636" s="207"/>
      <c r="J636" s="209"/>
      <c r="K636" s="206"/>
      <c r="L636" s="206"/>
      <c r="M636" s="207"/>
      <c r="N636" s="209"/>
      <c r="O636" s="206"/>
      <c r="P636" s="206"/>
      <c r="Q636" s="207"/>
      <c r="R636" s="209"/>
      <c r="S636" s="206"/>
      <c r="T636" s="206"/>
      <c r="U636" s="207"/>
      <c r="V636" s="209"/>
      <c r="W636" s="206"/>
      <c r="X636" s="206"/>
      <c r="Y636" s="207"/>
      <c r="Z636" s="281"/>
      <c r="AA636" s="278"/>
      <c r="AB636" s="278"/>
      <c r="AC636" s="278" t="e">
        <f>(AC649-Y649)/4/$C$713/Spend!AC636*'State Efficiency Ratios'!$C$655</f>
        <v>#REF!</v>
      </c>
      <c r="AD636" s="208"/>
      <c r="AE636" s="213"/>
    </row>
    <row r="637" spans="1:36" ht="12.95" customHeight="1" thickBot="1">
      <c r="A637" s="885"/>
      <c r="B637" s="885"/>
      <c r="C637" s="9" t="s">
        <v>295</v>
      </c>
      <c r="D637" s="202"/>
      <c r="E637" s="203"/>
      <c r="F637" s="201"/>
      <c r="G637" s="202"/>
      <c r="H637" s="202"/>
      <c r="I637" s="203"/>
      <c r="J637" s="201"/>
      <c r="K637" s="202"/>
      <c r="L637" s="202"/>
      <c r="M637" s="203"/>
      <c r="N637" s="204"/>
      <c r="O637" s="214"/>
      <c r="P637" s="205"/>
      <c r="Q637" s="205"/>
      <c r="R637" s="201"/>
      <c r="S637" s="202"/>
      <c r="T637" s="202"/>
      <c r="U637" s="205"/>
      <c r="V637" s="201"/>
      <c r="W637" s="202"/>
      <c r="X637" s="202"/>
      <c r="Y637" s="254">
        <f>'State DisAgg LFx10 (2015)'!P632</f>
        <v>0</v>
      </c>
      <c r="Z637" s="252"/>
      <c r="AA637" s="253"/>
      <c r="AB637" s="253"/>
      <c r="AC637" s="254">
        <f>'State DisAgg LFx10 (2015)'!T632</f>
        <v>0</v>
      </c>
      <c r="AD637" s="195"/>
      <c r="AE637" s="197"/>
      <c r="AH637" s="353">
        <v>7</v>
      </c>
      <c r="AI637" s="353">
        <v>7</v>
      </c>
      <c r="AJ637" s="353">
        <v>7</v>
      </c>
    </row>
    <row r="638" spans="1:36" ht="12.95" customHeight="1" thickBot="1">
      <c r="A638" s="885"/>
      <c r="B638" s="885"/>
      <c r="C638" s="9" t="s">
        <v>296</v>
      </c>
      <c r="D638" s="202"/>
      <c r="E638" s="203"/>
      <c r="F638" s="201"/>
      <c r="G638" s="202"/>
      <c r="H638" s="202"/>
      <c r="I638" s="203"/>
      <c r="J638" s="201"/>
      <c r="K638" s="202"/>
      <c r="L638" s="202"/>
      <c r="M638" s="203"/>
      <c r="N638" s="204"/>
      <c r="O638" s="214"/>
      <c r="P638" s="205"/>
      <c r="Q638" s="205"/>
      <c r="R638" s="201"/>
      <c r="S638" s="202"/>
      <c r="T638" s="202"/>
      <c r="U638" s="205"/>
      <c r="V638" s="201"/>
      <c r="W638" s="202"/>
      <c r="X638" s="202"/>
      <c r="Y638" s="254">
        <f>'State DisAgg LFx10 (2015)'!P633</f>
        <v>0</v>
      </c>
      <c r="Z638" s="252"/>
      <c r="AA638" s="253"/>
      <c r="AB638" s="253"/>
      <c r="AC638" s="254">
        <f>'State DisAgg LFx10 (2015)'!T633</f>
        <v>0</v>
      </c>
      <c r="AD638" s="195"/>
      <c r="AE638" s="197"/>
      <c r="AH638" s="353">
        <v>8</v>
      </c>
      <c r="AI638" s="353">
        <v>8</v>
      </c>
      <c r="AJ638" s="353">
        <v>8</v>
      </c>
    </row>
    <row r="639" spans="1:36" ht="13.5" thickBot="1">
      <c r="A639" s="885"/>
      <c r="B639" s="885"/>
      <c r="C639" s="9" t="s">
        <v>297</v>
      </c>
      <c r="D639" s="202"/>
      <c r="E639" s="203"/>
      <c r="F639" s="201"/>
      <c r="G639" s="202"/>
      <c r="H639" s="202"/>
      <c r="I639" s="203"/>
      <c r="J639" s="201"/>
      <c r="K639" s="202"/>
      <c r="L639" s="202"/>
      <c r="M639" s="203"/>
      <c r="N639" s="204"/>
      <c r="O639" s="214"/>
      <c r="P639" s="205"/>
      <c r="Q639" s="205"/>
      <c r="R639" s="201"/>
      <c r="S639" s="202"/>
      <c r="T639" s="202"/>
      <c r="U639" s="205"/>
      <c r="V639" s="201"/>
      <c r="W639" s="202"/>
      <c r="X639" s="202"/>
      <c r="Y639" s="254">
        <f>'State DisAgg LFx10 (2015)'!P634</f>
        <v>0</v>
      </c>
      <c r="Z639" s="252"/>
      <c r="AA639" s="253"/>
      <c r="AB639" s="253"/>
      <c r="AC639" s="254">
        <f>'State DisAgg LFx10 (2015)'!T634</f>
        <v>0</v>
      </c>
      <c r="AD639" s="195"/>
      <c r="AE639" s="197"/>
      <c r="AH639" s="353">
        <v>4</v>
      </c>
      <c r="AI639" s="353">
        <v>4</v>
      </c>
      <c r="AJ639" s="353">
        <v>4</v>
      </c>
    </row>
    <row r="640" spans="1:36" ht="13.5" thickBot="1">
      <c r="A640" s="885"/>
      <c r="B640" s="885"/>
      <c r="C640" s="9" t="s">
        <v>298</v>
      </c>
      <c r="D640" s="202"/>
      <c r="E640" s="203"/>
      <c r="F640" s="201"/>
      <c r="G640" s="202"/>
      <c r="H640" s="202"/>
      <c r="I640" s="203"/>
      <c r="J640" s="201"/>
      <c r="K640" s="202"/>
      <c r="L640" s="202"/>
      <c r="M640" s="203"/>
      <c r="N640" s="204"/>
      <c r="O640" s="214"/>
      <c r="P640" s="205"/>
      <c r="Q640" s="205"/>
      <c r="R640" s="201"/>
      <c r="S640" s="202"/>
      <c r="T640" s="202"/>
      <c r="U640" s="205"/>
      <c r="V640" s="201"/>
      <c r="W640" s="202"/>
      <c r="X640" s="202"/>
      <c r="Y640" s="254">
        <f>'State DisAgg LFx10 (2015)'!P635</f>
        <v>0</v>
      </c>
      <c r="Z640" s="252"/>
      <c r="AA640" s="253"/>
      <c r="AB640" s="253"/>
      <c r="AC640" s="254">
        <f>'State DisAgg LFx10 (2015)'!T635</f>
        <v>0</v>
      </c>
      <c r="AD640" s="195"/>
      <c r="AE640" s="197"/>
      <c r="AH640" s="353">
        <v>3</v>
      </c>
      <c r="AI640" s="353">
        <v>3</v>
      </c>
      <c r="AJ640" s="353">
        <v>3</v>
      </c>
    </row>
    <row r="641" spans="1:41" ht="13.5" thickBot="1">
      <c r="A641" s="885"/>
      <c r="B641" s="885"/>
      <c r="C641" s="9" t="s">
        <v>299</v>
      </c>
      <c r="D641" s="202"/>
      <c r="E641" s="203"/>
      <c r="F641" s="201"/>
      <c r="G641" s="202"/>
      <c r="H641" s="202"/>
      <c r="I641" s="203"/>
      <c r="J641" s="201"/>
      <c r="K641" s="202"/>
      <c r="L641" s="202"/>
      <c r="M641" s="203"/>
      <c r="N641" s="204"/>
      <c r="O641" s="214"/>
      <c r="P641" s="205"/>
      <c r="Q641" s="205"/>
      <c r="R641" s="201"/>
      <c r="S641" s="202"/>
      <c r="T641" s="202"/>
      <c r="U641" s="205"/>
      <c r="V641" s="201"/>
      <c r="W641" s="202"/>
      <c r="X641" s="202"/>
      <c r="Y641" s="254">
        <f>'State DisAgg LFx10 (2015)'!P636</f>
        <v>0</v>
      </c>
      <c r="Z641" s="252"/>
      <c r="AA641" s="253"/>
      <c r="AB641" s="253"/>
      <c r="AC641" s="254">
        <f>'State DisAgg LFx10 (2015)'!T636</f>
        <v>0</v>
      </c>
      <c r="AD641" s="195"/>
      <c r="AE641" s="197"/>
      <c r="AH641" s="353">
        <v>1</v>
      </c>
      <c r="AI641" s="353">
        <v>1</v>
      </c>
      <c r="AJ641" s="353">
        <v>1</v>
      </c>
    </row>
    <row r="642" spans="1:41" ht="13.5" thickBot="1">
      <c r="A642" s="885"/>
      <c r="B642" s="885"/>
      <c r="C642" s="9" t="s">
        <v>300</v>
      </c>
      <c r="D642" s="202"/>
      <c r="E642" s="203"/>
      <c r="F642" s="201"/>
      <c r="G642" s="202"/>
      <c r="H642" s="202"/>
      <c r="I642" s="203"/>
      <c r="J642" s="201"/>
      <c r="K642" s="202"/>
      <c r="L642" s="202"/>
      <c r="M642" s="203"/>
      <c r="N642" s="204"/>
      <c r="O642" s="214"/>
      <c r="P642" s="205"/>
      <c r="Q642" s="205"/>
      <c r="R642" s="201"/>
      <c r="S642" s="202"/>
      <c r="T642" s="202"/>
      <c r="U642" s="205"/>
      <c r="V642" s="201"/>
      <c r="W642" s="202"/>
      <c r="X642" s="202"/>
      <c r="Y642" s="254">
        <f>'State DisAgg LFx10 (2015)'!P637</f>
        <v>0</v>
      </c>
      <c r="Z642" s="252"/>
      <c r="AA642" s="253"/>
      <c r="AB642" s="253"/>
      <c r="AC642" s="254">
        <f>'State DisAgg LFx10 (2015)'!T637</f>
        <v>0</v>
      </c>
      <c r="AD642" s="195"/>
      <c r="AE642" s="197"/>
      <c r="AH642" s="353">
        <v>0</v>
      </c>
      <c r="AI642" s="353">
        <v>0</v>
      </c>
      <c r="AJ642" s="353">
        <v>0</v>
      </c>
    </row>
    <row r="643" spans="1:41" ht="13.5" thickBot="1">
      <c r="A643" s="885"/>
      <c r="B643" s="885"/>
      <c r="C643" s="9" t="s">
        <v>301</v>
      </c>
      <c r="D643" s="202"/>
      <c r="E643" s="203"/>
      <c r="F643" s="201"/>
      <c r="G643" s="202"/>
      <c r="H643" s="202"/>
      <c r="I643" s="203"/>
      <c r="J643" s="201"/>
      <c r="K643" s="202"/>
      <c r="L643" s="202"/>
      <c r="M643" s="203"/>
      <c r="N643" s="204"/>
      <c r="O643" s="214"/>
      <c r="P643" s="205"/>
      <c r="Q643" s="205"/>
      <c r="R643" s="201"/>
      <c r="S643" s="202"/>
      <c r="T643" s="202"/>
      <c r="U643" s="205"/>
      <c r="V643" s="201"/>
      <c r="W643" s="202"/>
      <c r="X643" s="202"/>
      <c r="Y643" s="254">
        <f>'State DisAgg LFx10 (2015)'!P638</f>
        <v>0</v>
      </c>
      <c r="Z643" s="252"/>
      <c r="AA643" s="253"/>
      <c r="AB643" s="253"/>
      <c r="AC643" s="254">
        <f>'State DisAgg LFx10 (2015)'!T638</f>
        <v>0</v>
      </c>
      <c r="AD643" s="195"/>
      <c r="AE643" s="197"/>
      <c r="AH643" s="353">
        <v>2</v>
      </c>
      <c r="AI643" s="353">
        <v>2</v>
      </c>
      <c r="AJ643" s="353">
        <v>2</v>
      </c>
    </row>
    <row r="644" spans="1:41" ht="13.5" thickBot="1">
      <c r="A644" s="885"/>
      <c r="B644" s="885"/>
      <c r="C644" s="9" t="s">
        <v>302</v>
      </c>
      <c r="D644" s="202"/>
      <c r="E644" s="203"/>
      <c r="F644" s="201"/>
      <c r="G644" s="202"/>
      <c r="H644" s="202"/>
      <c r="I644" s="203"/>
      <c r="J644" s="201"/>
      <c r="K644" s="202"/>
      <c r="L644" s="202"/>
      <c r="M644" s="203"/>
      <c r="N644" s="204"/>
      <c r="O644" s="214"/>
      <c r="P644" s="205"/>
      <c r="Q644" s="205"/>
      <c r="R644" s="201"/>
      <c r="S644" s="202"/>
      <c r="T644" s="202"/>
      <c r="U644" s="205"/>
      <c r="V644" s="201"/>
      <c r="W644" s="202"/>
      <c r="X644" s="202"/>
      <c r="Y644" s="254">
        <f>'State DisAgg LFx10 (2015)'!P639</f>
        <v>0</v>
      </c>
      <c r="Z644" s="252"/>
      <c r="AA644" s="253"/>
      <c r="AB644" s="253"/>
      <c r="AC644" s="254">
        <f>'State DisAgg LFx10 (2015)'!T639</f>
        <v>0</v>
      </c>
      <c r="AD644" s="195"/>
      <c r="AE644" s="197"/>
      <c r="AH644" s="353">
        <v>0</v>
      </c>
      <c r="AI644" s="353">
        <v>0</v>
      </c>
      <c r="AJ644" s="353">
        <v>0</v>
      </c>
    </row>
    <row r="645" spans="1:41" ht="13.5" thickBot="1">
      <c r="A645" s="885"/>
      <c r="B645" s="885"/>
      <c r="C645" s="9" t="s">
        <v>303</v>
      </c>
      <c r="D645" s="202"/>
      <c r="E645" s="203"/>
      <c r="F645" s="201"/>
      <c r="G645" s="202"/>
      <c r="H645" s="202"/>
      <c r="I645" s="203"/>
      <c r="J645" s="201"/>
      <c r="K645" s="202"/>
      <c r="L645" s="202"/>
      <c r="M645" s="203"/>
      <c r="N645" s="204"/>
      <c r="O645" s="214"/>
      <c r="P645" s="205"/>
      <c r="Q645" s="205"/>
      <c r="R645" s="201"/>
      <c r="S645" s="202"/>
      <c r="T645" s="202"/>
      <c r="U645" s="205"/>
      <c r="V645" s="201"/>
      <c r="W645" s="202"/>
      <c r="X645" s="202"/>
      <c r="Y645" s="254">
        <f>'State DisAgg LFx10 (2015)'!P628</f>
        <v>0</v>
      </c>
      <c r="Z645" s="252"/>
      <c r="AA645" s="253"/>
      <c r="AB645" s="253"/>
      <c r="AC645" s="254">
        <f>'State DisAgg LFx10 (2015)'!T640</f>
        <v>0</v>
      </c>
      <c r="AD645" s="195"/>
      <c r="AE645" s="197"/>
      <c r="AH645" s="353">
        <v>0</v>
      </c>
      <c r="AI645" s="353">
        <v>0</v>
      </c>
      <c r="AJ645" s="353">
        <v>0</v>
      </c>
    </row>
    <row r="646" spans="1:41" ht="13.5" thickBot="1">
      <c r="A646" s="885"/>
      <c r="B646" s="885"/>
      <c r="C646" s="9" t="s">
        <v>304</v>
      </c>
      <c r="D646" s="202"/>
      <c r="E646" s="203"/>
      <c r="F646" s="201"/>
      <c r="G646" s="202"/>
      <c r="H646" s="202"/>
      <c r="I646" s="203"/>
      <c r="J646" s="201"/>
      <c r="K646" s="202"/>
      <c r="L646" s="202"/>
      <c r="M646" s="203"/>
      <c r="N646" s="204"/>
      <c r="O646" s="205"/>
      <c r="P646" s="205"/>
      <c r="Q646" s="205"/>
      <c r="R646" s="201"/>
      <c r="S646" s="202"/>
      <c r="T646" s="202"/>
      <c r="U646" s="205"/>
      <c r="V646" s="201"/>
      <c r="W646" s="202"/>
      <c r="X646" s="202"/>
      <c r="Y646" s="254">
        <f>'State DisAgg LFx10 (2015)'!P629</f>
        <v>0</v>
      </c>
      <c r="Z646" s="252"/>
      <c r="AA646" s="253"/>
      <c r="AB646" s="253"/>
      <c r="AC646" s="254">
        <f>'State DisAgg LFx10 (2015)'!T641</f>
        <v>0</v>
      </c>
      <c r="AD646" s="195"/>
      <c r="AE646" s="197"/>
      <c r="AH646" s="353">
        <v>0</v>
      </c>
      <c r="AI646" s="353">
        <v>0</v>
      </c>
      <c r="AJ646" s="353">
        <v>0</v>
      </c>
    </row>
    <row r="647" spans="1:41" ht="13.5" thickBot="1">
      <c r="A647" s="885"/>
      <c r="B647" s="885"/>
      <c r="C647" s="9" t="s">
        <v>435</v>
      </c>
      <c r="D647" s="202"/>
      <c r="E647" s="203"/>
      <c r="F647" s="201"/>
      <c r="G647" s="202"/>
      <c r="H647" s="202"/>
      <c r="I647" s="203"/>
      <c r="J647" s="201"/>
      <c r="K647" s="202"/>
      <c r="L647" s="202"/>
      <c r="M647" s="203"/>
      <c r="N647" s="204"/>
      <c r="O647" s="214"/>
      <c r="P647" s="205"/>
      <c r="Q647" s="205"/>
      <c r="R647" s="201"/>
      <c r="S647" s="202"/>
      <c r="T647" s="202"/>
      <c r="U647" s="205"/>
      <c r="V647" s="201"/>
      <c r="W647" s="202"/>
      <c r="X647" s="202"/>
      <c r="Y647" s="254">
        <f>'State DisAgg LFx10 (2015)'!P642</f>
        <v>0</v>
      </c>
      <c r="Z647" s="252"/>
      <c r="AA647" s="253"/>
      <c r="AB647" s="253"/>
      <c r="AC647" s="254">
        <f>'State DisAgg LFx10 (2015)'!T642</f>
        <v>11</v>
      </c>
      <c r="AD647" s="195"/>
      <c r="AE647" s="197"/>
      <c r="AH647" s="353">
        <v>18</v>
      </c>
      <c r="AI647" s="353">
        <v>18</v>
      </c>
      <c r="AJ647" s="353">
        <v>18</v>
      </c>
    </row>
    <row r="648" spans="1:41" ht="13.5" thickBot="1">
      <c r="A648" s="885"/>
      <c r="B648" s="885"/>
      <c r="C648" s="9" t="s">
        <v>642</v>
      </c>
      <c r="D648" s="202"/>
      <c r="E648" s="203"/>
      <c r="F648" s="201"/>
      <c r="G648" s="202"/>
      <c r="H648" s="202"/>
      <c r="I648" s="203"/>
      <c r="J648" s="201"/>
      <c r="K648" s="202"/>
      <c r="L648" s="202"/>
      <c r="M648" s="203"/>
      <c r="N648" s="204"/>
      <c r="O648" s="214"/>
      <c r="P648" s="205"/>
      <c r="Q648" s="205"/>
      <c r="R648" s="201"/>
      <c r="S648" s="202"/>
      <c r="T648" s="202"/>
      <c r="U648" s="205"/>
      <c r="V648" s="201"/>
      <c r="W648" s="202"/>
      <c r="X648" s="202"/>
      <c r="Y648" s="254">
        <f>'State DisAgg LFx10 (2015)'!P643</f>
        <v>0</v>
      </c>
      <c r="Z648" s="252"/>
      <c r="AA648" s="253"/>
      <c r="AB648" s="253"/>
      <c r="AC648" s="254">
        <f>'State DisAgg LFx10 (2015)'!T643</f>
        <v>9</v>
      </c>
      <c r="AD648" s="195"/>
      <c r="AE648" s="197"/>
      <c r="AH648" s="353">
        <v>16</v>
      </c>
      <c r="AI648" s="353">
        <v>16</v>
      </c>
      <c r="AJ648" s="353">
        <v>16</v>
      </c>
    </row>
    <row r="649" spans="1:41" ht="13.5" thickBot="1">
      <c r="A649" s="869"/>
      <c r="B649" s="869"/>
      <c r="C649" s="9" t="s">
        <v>437</v>
      </c>
      <c r="D649" s="202"/>
      <c r="E649" s="203"/>
      <c r="F649" s="201"/>
      <c r="G649" s="202"/>
      <c r="H649" s="202"/>
      <c r="I649" s="203"/>
      <c r="J649" s="201"/>
      <c r="K649" s="202"/>
      <c r="L649" s="202"/>
      <c r="M649" s="203"/>
      <c r="N649" s="204"/>
      <c r="O649" s="214"/>
      <c r="P649" s="205"/>
      <c r="Q649" s="205"/>
      <c r="R649" s="201"/>
      <c r="S649" s="202"/>
      <c r="T649" s="202"/>
      <c r="U649" s="205"/>
      <c r="V649" s="201"/>
      <c r="W649" s="202"/>
      <c r="X649" s="202"/>
      <c r="Y649" s="254" t="e">
        <f>'State DisAgg LFx10 (2015)'!#REF!</f>
        <v>#REF!</v>
      </c>
      <c r="Z649" s="252"/>
      <c r="AA649" s="253"/>
      <c r="AB649" s="253"/>
      <c r="AC649" s="254" t="e">
        <f>'State DisAgg LFx10 (2015)'!#REF!</f>
        <v>#REF!</v>
      </c>
      <c r="AD649" s="195"/>
      <c r="AE649" s="197"/>
    </row>
    <row r="651" spans="1:41" ht="13.5" thickBot="1"/>
    <row r="652" spans="1:41" ht="13.5" thickBot="1">
      <c r="B652" s="287" t="s">
        <v>710</v>
      </c>
      <c r="C652" s="288"/>
    </row>
    <row r="653" spans="1:41" s="121" customFormat="1">
      <c r="B653" s="291" t="s">
        <v>711</v>
      </c>
      <c r="C653" s="292" t="s">
        <v>709</v>
      </c>
      <c r="AH653" s="355"/>
      <c r="AI653" s="355"/>
      <c r="AJ653" s="355"/>
      <c r="AN653" s="4"/>
      <c r="AO653" s="4"/>
    </row>
    <row r="654" spans="1:41" s="121" customFormat="1">
      <c r="B654" s="286" t="s">
        <v>712</v>
      </c>
      <c r="C654" s="334">
        <v>2000000000</v>
      </c>
      <c r="AH654" s="355"/>
      <c r="AI654" s="355"/>
      <c r="AJ654" s="355"/>
      <c r="AN654" s="4"/>
      <c r="AO654" s="4"/>
    </row>
    <row r="655" spans="1:41" s="121" customFormat="1">
      <c r="B655" s="286" t="s">
        <v>713</v>
      </c>
      <c r="C655" s="334">
        <v>100000000</v>
      </c>
      <c r="AH655" s="355"/>
      <c r="AI655" s="355"/>
      <c r="AJ655" s="355"/>
      <c r="AN655" s="4"/>
      <c r="AO655" s="4"/>
    </row>
    <row r="656" spans="1:41" s="121" customFormat="1" ht="13.5" thickBot="1">
      <c r="B656" s="293"/>
      <c r="C656" s="294"/>
      <c r="AH656" s="355"/>
      <c r="AI656" s="355"/>
      <c r="AJ656" s="355"/>
      <c r="AN656" s="4"/>
      <c r="AO656" s="4"/>
    </row>
    <row r="657" spans="2:41" s="121" customFormat="1">
      <c r="B657" s="289" t="s">
        <v>707</v>
      </c>
      <c r="C657" s="290" t="s">
        <v>708</v>
      </c>
      <c r="AH657" s="355"/>
      <c r="AI657" s="355"/>
      <c r="AJ657" s="355"/>
      <c r="AN657" s="4"/>
      <c r="AO657" s="4"/>
    </row>
    <row r="658" spans="2:41" s="121" customFormat="1">
      <c r="B658" s="284" t="s">
        <v>24</v>
      </c>
      <c r="C658" s="330">
        <v>5</v>
      </c>
      <c r="AH658" s="355"/>
      <c r="AI658" s="355"/>
      <c r="AJ658" s="355"/>
      <c r="AN658" s="4"/>
      <c r="AO658" s="4"/>
    </row>
    <row r="659" spans="2:41" s="121" customFormat="1">
      <c r="B659" s="284" t="s">
        <v>25</v>
      </c>
      <c r="C659" s="330">
        <v>5</v>
      </c>
      <c r="AH659" s="355"/>
      <c r="AI659" s="355"/>
      <c r="AJ659" s="355"/>
      <c r="AN659" s="4"/>
      <c r="AO659" s="4"/>
    </row>
    <row r="660" spans="2:41" s="121" customFormat="1">
      <c r="B660" s="284" t="s">
        <v>186</v>
      </c>
      <c r="C660" s="330">
        <v>15</v>
      </c>
      <c r="AH660" s="355"/>
      <c r="AI660" s="355"/>
      <c r="AJ660" s="355"/>
      <c r="AN660" s="4"/>
      <c r="AO660" s="4"/>
    </row>
    <row r="661" spans="2:41" s="121" customFormat="1">
      <c r="B661" s="284" t="s">
        <v>187</v>
      </c>
      <c r="C661" s="330">
        <v>15</v>
      </c>
      <c r="AH661" s="355"/>
      <c r="AI661" s="355"/>
      <c r="AJ661" s="355"/>
      <c r="AN661" s="4"/>
      <c r="AO661" s="4"/>
    </row>
    <row r="662" spans="2:41" s="121" customFormat="1">
      <c r="B662" s="284" t="s">
        <v>188</v>
      </c>
      <c r="C662" s="330">
        <v>15</v>
      </c>
      <c r="AH662" s="355"/>
      <c r="AI662" s="355"/>
      <c r="AJ662" s="355"/>
      <c r="AN662" s="4"/>
      <c r="AO662" s="4"/>
    </row>
    <row r="663" spans="2:41" s="121" customFormat="1">
      <c r="B663" s="284" t="s">
        <v>189</v>
      </c>
      <c r="C663" s="330">
        <v>15</v>
      </c>
      <c r="AH663" s="355"/>
      <c r="AI663" s="355"/>
      <c r="AJ663" s="355"/>
      <c r="AN663" s="4"/>
      <c r="AO663" s="4"/>
    </row>
    <row r="664" spans="2:41" s="121" customFormat="1">
      <c r="B664" s="284"/>
      <c r="C664" s="330"/>
      <c r="AH664" s="355"/>
      <c r="AI664" s="355"/>
      <c r="AJ664" s="355"/>
      <c r="AN664" s="4"/>
      <c r="AO664" s="4"/>
    </row>
    <row r="665" spans="2:41" s="121" customFormat="1">
      <c r="B665" s="284" t="s">
        <v>22</v>
      </c>
      <c r="C665" s="330">
        <v>5</v>
      </c>
      <c r="AH665" s="355"/>
      <c r="AI665" s="355"/>
      <c r="AJ665" s="355"/>
      <c r="AN665" s="4"/>
      <c r="AO665" s="4"/>
    </row>
    <row r="666" spans="2:41" s="121" customFormat="1">
      <c r="B666" s="284" t="s">
        <v>23</v>
      </c>
      <c r="C666" s="330">
        <v>5</v>
      </c>
      <c r="AH666" s="355"/>
      <c r="AI666" s="355"/>
      <c r="AJ666" s="355"/>
      <c r="AN666" s="4"/>
      <c r="AO666" s="4"/>
    </row>
    <row r="667" spans="2:41" s="121" customFormat="1">
      <c r="B667" s="284" t="s">
        <v>38</v>
      </c>
      <c r="C667" s="330">
        <v>5</v>
      </c>
      <c r="AH667" s="355"/>
      <c r="AI667" s="355"/>
      <c r="AJ667" s="355"/>
      <c r="AN667" s="4"/>
      <c r="AO667" s="4"/>
    </row>
    <row r="668" spans="2:41" s="121" customFormat="1">
      <c r="B668" s="284" t="s">
        <v>39</v>
      </c>
      <c r="C668" s="333">
        <v>20</v>
      </c>
      <c r="AH668" s="355"/>
      <c r="AI668" s="355"/>
      <c r="AJ668" s="355"/>
      <c r="AN668" s="4"/>
      <c r="AO668" s="4"/>
    </row>
    <row r="669" spans="2:41" s="121" customFormat="1">
      <c r="B669" s="284" t="s">
        <v>185</v>
      </c>
      <c r="C669" s="333">
        <v>15</v>
      </c>
      <c r="AH669" s="355"/>
      <c r="AI669" s="355"/>
      <c r="AJ669" s="355"/>
      <c r="AN669" s="4"/>
      <c r="AO669" s="4"/>
    </row>
    <row r="670" spans="2:41" s="121" customFormat="1">
      <c r="B670" s="284" t="s">
        <v>184</v>
      </c>
      <c r="C670" s="333">
        <v>10</v>
      </c>
      <c r="AH670" s="355"/>
      <c r="AI670" s="355"/>
      <c r="AJ670" s="355"/>
      <c r="AN670" s="4"/>
      <c r="AO670" s="4"/>
    </row>
    <row r="671" spans="2:41" s="121" customFormat="1">
      <c r="B671" s="284" t="s">
        <v>183</v>
      </c>
      <c r="C671" s="333">
        <v>5</v>
      </c>
      <c r="AH671" s="355"/>
      <c r="AI671" s="355"/>
      <c r="AJ671" s="355"/>
      <c r="AN671" s="4"/>
      <c r="AO671" s="4"/>
    </row>
    <row r="672" spans="2:41" s="121" customFormat="1">
      <c r="B672" s="284"/>
      <c r="C672" s="330"/>
      <c r="AH672" s="355"/>
      <c r="AI672" s="355"/>
      <c r="AJ672" s="355"/>
      <c r="AN672" s="4"/>
      <c r="AO672" s="4"/>
    </row>
    <row r="673" spans="2:41" s="121" customFormat="1">
      <c r="B673" s="284" t="s">
        <v>16</v>
      </c>
      <c r="C673" s="330">
        <v>5</v>
      </c>
      <c r="AH673" s="355"/>
      <c r="AI673" s="355"/>
      <c r="AJ673" s="355"/>
      <c r="AN673" s="4"/>
      <c r="AO673" s="4"/>
    </row>
    <row r="674" spans="2:41" s="121" customFormat="1">
      <c r="B674" s="284" t="s">
        <v>17</v>
      </c>
      <c r="C674" s="330">
        <v>5</v>
      </c>
      <c r="AH674" s="355"/>
      <c r="AI674" s="355"/>
      <c r="AJ674" s="355"/>
      <c r="AN674" s="4"/>
      <c r="AO674" s="4"/>
    </row>
    <row r="675" spans="2:41" s="121" customFormat="1">
      <c r="B675" s="284" t="s">
        <v>18</v>
      </c>
      <c r="C675" s="333">
        <v>10</v>
      </c>
      <c r="AH675" s="355"/>
      <c r="AI675" s="355"/>
      <c r="AJ675" s="355"/>
      <c r="AN675" s="4"/>
      <c r="AO675" s="4"/>
    </row>
    <row r="676" spans="2:41" s="121" customFormat="1">
      <c r="B676" s="284"/>
      <c r="C676" s="330"/>
      <c r="AH676" s="355"/>
      <c r="AI676" s="355"/>
      <c r="AJ676" s="355"/>
      <c r="AN676" s="4"/>
      <c r="AO676" s="4"/>
    </row>
    <row r="677" spans="2:41" s="121" customFormat="1">
      <c r="B677" s="284" t="s">
        <v>19</v>
      </c>
      <c r="C677" s="330">
        <v>5</v>
      </c>
      <c r="AH677" s="355"/>
      <c r="AI677" s="355"/>
      <c r="AJ677" s="355"/>
      <c r="AN677" s="4"/>
      <c r="AO677" s="4"/>
    </row>
    <row r="678" spans="2:41" s="121" customFormat="1">
      <c r="B678" s="284" t="s">
        <v>20</v>
      </c>
      <c r="C678" s="330">
        <v>5</v>
      </c>
      <c r="AH678" s="355"/>
      <c r="AI678" s="355"/>
      <c r="AJ678" s="355"/>
      <c r="AN678" s="4"/>
      <c r="AO678" s="4"/>
    </row>
    <row r="679" spans="2:41" s="121" customFormat="1">
      <c r="B679" s="284" t="s">
        <v>21</v>
      </c>
      <c r="C679" s="333">
        <v>15</v>
      </c>
      <c r="AH679" s="355"/>
      <c r="AI679" s="355"/>
      <c r="AJ679" s="355"/>
      <c r="AN679" s="4"/>
      <c r="AO679" s="4"/>
    </row>
    <row r="680" spans="2:41" s="121" customFormat="1">
      <c r="B680" s="284"/>
      <c r="C680" s="330"/>
      <c r="AH680" s="355"/>
      <c r="AI680" s="355"/>
      <c r="AJ680" s="355"/>
      <c r="AN680" s="4"/>
      <c r="AO680" s="4"/>
    </row>
    <row r="681" spans="2:41" s="121" customFormat="1">
      <c r="B681" s="284" t="s">
        <v>166</v>
      </c>
      <c r="C681" s="333">
        <v>20</v>
      </c>
      <c r="AH681" s="355"/>
      <c r="AI681" s="355"/>
      <c r="AJ681" s="355"/>
      <c r="AN681" s="4"/>
      <c r="AO681" s="4"/>
    </row>
    <row r="682" spans="2:41" s="121" customFormat="1">
      <c r="B682" s="284" t="s">
        <v>167</v>
      </c>
      <c r="C682" s="333">
        <v>20</v>
      </c>
      <c r="AH682" s="355"/>
      <c r="AI682" s="355"/>
      <c r="AJ682" s="355"/>
      <c r="AN682" s="4"/>
      <c r="AO682" s="4"/>
    </row>
    <row r="683" spans="2:41" s="121" customFormat="1">
      <c r="B683" s="284" t="s">
        <v>168</v>
      </c>
      <c r="C683" s="333">
        <v>20</v>
      </c>
      <c r="AH683" s="355"/>
      <c r="AI683" s="355"/>
      <c r="AJ683" s="355"/>
      <c r="AN683" s="4"/>
      <c r="AO683" s="4"/>
    </row>
    <row r="684" spans="2:41" s="121" customFormat="1">
      <c r="B684" s="284" t="s">
        <v>169</v>
      </c>
      <c r="C684" s="333">
        <v>20</v>
      </c>
      <c r="AH684" s="355"/>
      <c r="AI684" s="355"/>
      <c r="AJ684" s="355"/>
      <c r="AN684" s="4"/>
      <c r="AO684" s="4"/>
    </row>
    <row r="685" spans="2:41" s="121" customFormat="1">
      <c r="B685" s="284"/>
      <c r="C685" s="330"/>
      <c r="AH685" s="355"/>
      <c r="AI685" s="355"/>
      <c r="AJ685" s="355"/>
      <c r="AN685" s="4"/>
      <c r="AO685" s="4"/>
    </row>
    <row r="686" spans="2:41" s="121" customFormat="1">
      <c r="B686" s="284" t="s">
        <v>162</v>
      </c>
      <c r="C686" s="333">
        <v>20</v>
      </c>
      <c r="AH686" s="355"/>
      <c r="AI686" s="355"/>
      <c r="AJ686" s="355"/>
      <c r="AN686" s="4"/>
      <c r="AO686" s="4"/>
    </row>
    <row r="687" spans="2:41" s="121" customFormat="1">
      <c r="B687" s="284" t="s">
        <v>163</v>
      </c>
      <c r="C687" s="333">
        <v>20</v>
      </c>
      <c r="AH687" s="355"/>
      <c r="AI687" s="355"/>
      <c r="AJ687" s="355"/>
      <c r="AN687" s="4"/>
      <c r="AO687" s="4"/>
    </row>
    <row r="688" spans="2:41" s="121" customFormat="1">
      <c r="B688" s="284" t="s">
        <v>164</v>
      </c>
      <c r="C688" s="333">
        <v>20</v>
      </c>
      <c r="AH688" s="355"/>
      <c r="AI688" s="355"/>
      <c r="AJ688" s="355"/>
      <c r="AN688" s="4"/>
      <c r="AO688" s="4"/>
    </row>
    <row r="689" spans="2:41" s="121" customFormat="1">
      <c r="B689" s="284" t="s">
        <v>165</v>
      </c>
      <c r="C689" s="333">
        <v>20</v>
      </c>
      <c r="AH689" s="355"/>
      <c r="AI689" s="355"/>
      <c r="AJ689" s="355"/>
      <c r="AN689" s="4"/>
      <c r="AO689" s="4"/>
    </row>
    <row r="690" spans="2:41" s="121" customFormat="1">
      <c r="B690" s="284"/>
      <c r="C690" s="330"/>
      <c r="AH690" s="355"/>
      <c r="AI690" s="355"/>
      <c r="AJ690" s="355"/>
      <c r="AN690" s="4"/>
      <c r="AO690" s="4"/>
    </row>
    <row r="691" spans="2:41" s="121" customFormat="1">
      <c r="B691" s="284" t="s">
        <v>160</v>
      </c>
      <c r="C691" s="330">
        <v>100</v>
      </c>
      <c r="AH691" s="355"/>
      <c r="AI691" s="355"/>
      <c r="AJ691" s="355"/>
      <c r="AN691" s="4"/>
      <c r="AO691" s="4"/>
    </row>
    <row r="692" spans="2:41" s="121" customFormat="1">
      <c r="B692" s="284" t="s">
        <v>161</v>
      </c>
      <c r="C692" s="330">
        <v>100</v>
      </c>
      <c r="AH692" s="355"/>
      <c r="AI692" s="355"/>
      <c r="AJ692" s="355"/>
      <c r="AN692" s="4"/>
      <c r="AO692" s="4"/>
    </row>
    <row r="693" spans="2:41" s="121" customFormat="1">
      <c r="B693" s="284"/>
      <c r="C693" s="330"/>
      <c r="AH693" s="355"/>
      <c r="AI693" s="355"/>
      <c r="AJ693" s="355"/>
      <c r="AN693" s="4"/>
      <c r="AO693" s="4"/>
    </row>
    <row r="694" spans="2:41" s="121" customFormat="1">
      <c r="B694" s="284" t="s">
        <v>40</v>
      </c>
      <c r="C694" s="330">
        <v>5</v>
      </c>
      <c r="AH694" s="355"/>
      <c r="AI694" s="355"/>
      <c r="AJ694" s="355"/>
      <c r="AN694" s="4"/>
      <c r="AO694" s="4"/>
    </row>
    <row r="695" spans="2:41" s="121" customFormat="1">
      <c r="B695" s="284"/>
      <c r="C695" s="330"/>
      <c r="AH695" s="355"/>
      <c r="AI695" s="355"/>
      <c r="AJ695" s="355"/>
      <c r="AN695" s="4"/>
      <c r="AO695" s="4"/>
    </row>
    <row r="696" spans="2:41" s="121" customFormat="1">
      <c r="B696" s="284" t="s">
        <v>32</v>
      </c>
      <c r="C696" s="330">
        <v>5</v>
      </c>
      <c r="AH696" s="355"/>
      <c r="AI696" s="355"/>
      <c r="AJ696" s="355"/>
      <c r="AN696" s="4"/>
      <c r="AO696" s="4"/>
    </row>
    <row r="697" spans="2:41" s="121" customFormat="1">
      <c r="B697" s="284" t="s">
        <v>33</v>
      </c>
      <c r="C697" s="330">
        <v>5</v>
      </c>
      <c r="AH697" s="355"/>
      <c r="AI697" s="355"/>
      <c r="AJ697" s="355"/>
      <c r="AN697" s="4"/>
      <c r="AO697" s="4"/>
    </row>
    <row r="698" spans="2:41" s="121" customFormat="1">
      <c r="B698" s="284" t="s">
        <v>34</v>
      </c>
      <c r="C698" s="330">
        <v>5</v>
      </c>
      <c r="AH698" s="355"/>
      <c r="AI698" s="355"/>
      <c r="AJ698" s="355"/>
      <c r="AN698" s="4"/>
      <c r="AO698" s="4"/>
    </row>
    <row r="699" spans="2:41" s="121" customFormat="1">
      <c r="B699" s="284" t="s">
        <v>41</v>
      </c>
      <c r="C699" s="330">
        <v>5</v>
      </c>
      <c r="AH699" s="355"/>
      <c r="AI699" s="355"/>
      <c r="AJ699" s="355"/>
      <c r="AN699" s="4"/>
      <c r="AO699" s="4"/>
    </row>
    <row r="700" spans="2:41" s="121" customFormat="1">
      <c r="B700" s="284" t="s">
        <v>181</v>
      </c>
      <c r="C700" s="333">
        <v>20</v>
      </c>
      <c r="AH700" s="355"/>
      <c r="AI700" s="355"/>
      <c r="AJ700" s="355"/>
      <c r="AN700" s="4"/>
      <c r="AO700" s="4"/>
    </row>
    <row r="701" spans="2:41" s="121" customFormat="1">
      <c r="B701" s="284" t="s">
        <v>182</v>
      </c>
      <c r="C701" s="333">
        <v>10</v>
      </c>
      <c r="AH701" s="355"/>
      <c r="AI701" s="355"/>
      <c r="AJ701" s="355"/>
      <c r="AN701" s="4"/>
      <c r="AO701" s="4"/>
    </row>
    <row r="702" spans="2:41" s="121" customFormat="1">
      <c r="B702" s="284"/>
      <c r="C702" s="330"/>
      <c r="AH702" s="355"/>
      <c r="AI702" s="355"/>
      <c r="AJ702" s="355"/>
      <c r="AN702" s="4"/>
      <c r="AO702" s="4"/>
    </row>
    <row r="703" spans="2:41" s="121" customFormat="1">
      <c r="B703" s="284" t="s">
        <v>695</v>
      </c>
      <c r="C703" s="333">
        <v>20</v>
      </c>
      <c r="AH703" s="355"/>
      <c r="AI703" s="355"/>
      <c r="AJ703" s="355"/>
      <c r="AN703" s="4"/>
      <c r="AO703" s="4"/>
    </row>
    <row r="704" spans="2:41" s="121" customFormat="1">
      <c r="B704" s="284" t="s">
        <v>696</v>
      </c>
      <c r="C704" s="296">
        <v>20</v>
      </c>
      <c r="AH704" s="355"/>
      <c r="AI704" s="355"/>
      <c r="AJ704" s="355"/>
      <c r="AN704" s="4"/>
      <c r="AO704" s="4"/>
    </row>
    <row r="705" spans="2:41" s="121" customFormat="1">
      <c r="B705" s="284" t="s">
        <v>697</v>
      </c>
      <c r="C705" s="296">
        <v>10</v>
      </c>
      <c r="AH705" s="355"/>
      <c r="AI705" s="355"/>
      <c r="AJ705" s="355"/>
      <c r="AN705" s="4"/>
      <c r="AO705" s="4"/>
    </row>
    <row r="706" spans="2:41" s="121" customFormat="1">
      <c r="B706" s="284" t="s">
        <v>698</v>
      </c>
      <c r="C706" s="296">
        <v>10</v>
      </c>
      <c r="AH706" s="355"/>
      <c r="AI706" s="355"/>
      <c r="AJ706" s="355"/>
      <c r="AN706" s="4"/>
      <c r="AO706" s="4"/>
    </row>
    <row r="707" spans="2:41" s="121" customFormat="1">
      <c r="B707" s="284"/>
      <c r="C707" s="331"/>
      <c r="AH707" s="355"/>
      <c r="AI707" s="355"/>
      <c r="AJ707" s="355"/>
      <c r="AN707" s="4"/>
      <c r="AO707" s="4"/>
    </row>
    <row r="708" spans="2:41" s="121" customFormat="1">
      <c r="B708" s="284" t="s">
        <v>699</v>
      </c>
      <c r="C708" s="333">
        <v>10</v>
      </c>
      <c r="AH708" s="355"/>
      <c r="AI708" s="355"/>
      <c r="AJ708" s="355"/>
      <c r="AN708" s="4"/>
      <c r="AO708" s="4"/>
    </row>
    <row r="709" spans="2:41" s="121" customFormat="1">
      <c r="B709" s="284" t="s">
        <v>700</v>
      </c>
      <c r="C709" s="296">
        <v>10</v>
      </c>
      <c r="AH709" s="355"/>
      <c r="AI709" s="355"/>
      <c r="AJ709" s="355"/>
      <c r="AN709" s="4"/>
      <c r="AO709" s="4"/>
    </row>
    <row r="710" spans="2:41" s="121" customFormat="1">
      <c r="B710" s="284" t="s">
        <v>701</v>
      </c>
      <c r="C710" s="296">
        <v>5</v>
      </c>
      <c r="AH710" s="355"/>
      <c r="AI710" s="355"/>
      <c r="AJ710" s="355"/>
      <c r="AN710" s="4"/>
      <c r="AO710" s="4"/>
    </row>
    <row r="711" spans="2:41" s="121" customFormat="1">
      <c r="B711" s="284" t="s">
        <v>702</v>
      </c>
      <c r="C711" s="296">
        <v>5</v>
      </c>
      <c r="AH711" s="355"/>
      <c r="AI711" s="355"/>
      <c r="AJ711" s="355"/>
      <c r="AN711" s="4"/>
      <c r="AO711" s="4"/>
    </row>
    <row r="712" spans="2:41" s="121" customFormat="1">
      <c r="B712" s="284"/>
      <c r="C712" s="331"/>
      <c r="AH712" s="355"/>
      <c r="AI712" s="355"/>
      <c r="AJ712" s="355"/>
      <c r="AN712" s="4"/>
      <c r="AO712" s="4"/>
    </row>
    <row r="713" spans="2:41" s="121" customFormat="1">
      <c r="B713" s="284" t="s">
        <v>703</v>
      </c>
      <c r="C713" s="296">
        <v>10</v>
      </c>
      <c r="AH713" s="355"/>
      <c r="AI713" s="355"/>
      <c r="AJ713" s="355"/>
      <c r="AN713" s="4"/>
      <c r="AO713" s="4"/>
    </row>
    <row r="714" spans="2:41" s="121" customFormat="1">
      <c r="B714" s="284" t="s">
        <v>704</v>
      </c>
      <c r="C714" s="296">
        <v>10</v>
      </c>
      <c r="AH714" s="355"/>
      <c r="AI714" s="355"/>
      <c r="AJ714" s="355"/>
      <c r="AN714" s="4"/>
      <c r="AO714" s="4"/>
    </row>
    <row r="715" spans="2:41" s="121" customFormat="1">
      <c r="B715" s="284" t="s">
        <v>705</v>
      </c>
      <c r="C715" s="296">
        <v>5</v>
      </c>
      <c r="AH715" s="355"/>
      <c r="AI715" s="355"/>
      <c r="AJ715" s="355"/>
      <c r="AN715" s="4"/>
      <c r="AO715" s="4"/>
    </row>
    <row r="716" spans="2:41" s="121" customFormat="1" ht="13.5" thickBot="1">
      <c r="B716" s="285" t="s">
        <v>706</v>
      </c>
      <c r="C716" s="297">
        <v>5</v>
      </c>
      <c r="AH716" s="355"/>
      <c r="AI716" s="355"/>
      <c r="AJ716" s="355"/>
      <c r="AN716" s="4"/>
      <c r="AO716" s="4"/>
    </row>
  </sheetData>
  <sheetProtection password="CF55" sheet="1" objects="1" scenarios="1" selectLockedCells="1"/>
  <mergeCells count="248">
    <mergeCell ref="AD565:AE565"/>
    <mergeCell ref="A566:A649"/>
    <mergeCell ref="B566:B591"/>
    <mergeCell ref="D594:E594"/>
    <mergeCell ref="F594:I594"/>
    <mergeCell ref="J594:M594"/>
    <mergeCell ref="N594:Q594"/>
    <mergeCell ref="R594:U594"/>
    <mergeCell ref="Z623:AC623"/>
    <mergeCell ref="AD623:AE623"/>
    <mergeCell ref="B624:B649"/>
    <mergeCell ref="V594:Y594"/>
    <mergeCell ref="Z594:AC594"/>
    <mergeCell ref="AD594:AE594"/>
    <mergeCell ref="B595:B622"/>
    <mergeCell ref="D623:E623"/>
    <mergeCell ref="F623:I623"/>
    <mergeCell ref="J623:M623"/>
    <mergeCell ref="F489:I489"/>
    <mergeCell ref="N623:Q623"/>
    <mergeCell ref="R623:U623"/>
    <mergeCell ref="V623:Y623"/>
    <mergeCell ref="AD512:AE512"/>
    <mergeCell ref="B513:B532"/>
    <mergeCell ref="D535:E535"/>
    <mergeCell ref="F535:I535"/>
    <mergeCell ref="J535:M535"/>
    <mergeCell ref="N535:Q535"/>
    <mergeCell ref="R535:U535"/>
    <mergeCell ref="V535:Y535"/>
    <mergeCell ref="Z535:AC535"/>
    <mergeCell ref="AD535:AE535"/>
    <mergeCell ref="N565:Q565"/>
    <mergeCell ref="R565:U565"/>
    <mergeCell ref="V565:Y565"/>
    <mergeCell ref="Z565:AC565"/>
    <mergeCell ref="D565:E565"/>
    <mergeCell ref="F565:I565"/>
    <mergeCell ref="J565:M565"/>
    <mergeCell ref="R489:U489"/>
    <mergeCell ref="V489:Y489"/>
    <mergeCell ref="Z489:AC489"/>
    <mergeCell ref="AD443:AE443"/>
    <mergeCell ref="A444:A556"/>
    <mergeCell ref="B444:B463"/>
    <mergeCell ref="D466:E466"/>
    <mergeCell ref="F466:I466"/>
    <mergeCell ref="J466:M466"/>
    <mergeCell ref="N466:Q466"/>
    <mergeCell ref="R466:U466"/>
    <mergeCell ref="V466:Y466"/>
    <mergeCell ref="Z466:AC466"/>
    <mergeCell ref="B490:B509"/>
    <mergeCell ref="D512:E512"/>
    <mergeCell ref="F512:I512"/>
    <mergeCell ref="J512:M512"/>
    <mergeCell ref="N512:Q512"/>
    <mergeCell ref="R512:U512"/>
    <mergeCell ref="V512:Y512"/>
    <mergeCell ref="Z512:AC512"/>
    <mergeCell ref="B536:B542"/>
    <mergeCell ref="D536:AE536"/>
    <mergeCell ref="B543:B556"/>
    <mergeCell ref="AD466:AE466"/>
    <mergeCell ref="B467:B486"/>
    <mergeCell ref="D489:E489"/>
    <mergeCell ref="R443:U443"/>
    <mergeCell ref="V443:Y443"/>
    <mergeCell ref="Z443:AC443"/>
    <mergeCell ref="D414:E414"/>
    <mergeCell ref="F414:I414"/>
    <mergeCell ref="J414:M414"/>
    <mergeCell ref="N414:Q414"/>
    <mergeCell ref="R414:U414"/>
    <mergeCell ref="V414:Y414"/>
    <mergeCell ref="AD489:AE489"/>
    <mergeCell ref="J489:M489"/>
    <mergeCell ref="N489:Q489"/>
    <mergeCell ref="Z342:AC342"/>
    <mergeCell ref="AD342:AE342"/>
    <mergeCell ref="V390:Y390"/>
    <mergeCell ref="Z390:AC390"/>
    <mergeCell ref="AD390:AE390"/>
    <mergeCell ref="B391:B400"/>
    <mergeCell ref="D391:AE391"/>
    <mergeCell ref="B401:B411"/>
    <mergeCell ref="B378:B387"/>
    <mergeCell ref="D390:E390"/>
    <mergeCell ref="F390:I390"/>
    <mergeCell ref="J390:M390"/>
    <mergeCell ref="N390:Q390"/>
    <mergeCell ref="R390:U390"/>
    <mergeCell ref="Z414:AC414"/>
    <mergeCell ref="AD414:AE414"/>
    <mergeCell ref="B415:B434"/>
    <mergeCell ref="D443:E443"/>
    <mergeCell ref="F443:I443"/>
    <mergeCell ref="J443:M443"/>
    <mergeCell ref="N443:Q443"/>
    <mergeCell ref="V313:Y313"/>
    <mergeCell ref="Z313:AC313"/>
    <mergeCell ref="AD313:AE313"/>
    <mergeCell ref="A343:A434"/>
    <mergeCell ref="B343:B352"/>
    <mergeCell ref="D343:AE343"/>
    <mergeCell ref="B355:B363"/>
    <mergeCell ref="D366:E366"/>
    <mergeCell ref="F366:I366"/>
    <mergeCell ref="J366:M366"/>
    <mergeCell ref="B314:B333"/>
    <mergeCell ref="D342:E342"/>
    <mergeCell ref="F342:I342"/>
    <mergeCell ref="J342:M342"/>
    <mergeCell ref="N342:Q342"/>
    <mergeCell ref="R342:U342"/>
    <mergeCell ref="N366:Q366"/>
    <mergeCell ref="R366:U366"/>
    <mergeCell ref="V366:Y366"/>
    <mergeCell ref="Z366:AC366"/>
    <mergeCell ref="AD366:AE366"/>
    <mergeCell ref="B367:B375"/>
    <mergeCell ref="D367:AE367"/>
    <mergeCell ref="V342:Y342"/>
    <mergeCell ref="D267:E267"/>
    <mergeCell ref="F267:I267"/>
    <mergeCell ref="J267:M267"/>
    <mergeCell ref="N267:Q267"/>
    <mergeCell ref="R267:U267"/>
    <mergeCell ref="V267:Y267"/>
    <mergeCell ref="Z267:AC267"/>
    <mergeCell ref="AD267:AE267"/>
    <mergeCell ref="A268:A333"/>
    <mergeCell ref="B268:B287"/>
    <mergeCell ref="D290:E290"/>
    <mergeCell ref="F290:I290"/>
    <mergeCell ref="J290:M290"/>
    <mergeCell ref="N290:Q290"/>
    <mergeCell ref="R290:U290"/>
    <mergeCell ref="V290:Y290"/>
    <mergeCell ref="Z290:AC290"/>
    <mergeCell ref="AD290:AE290"/>
    <mergeCell ref="B291:B310"/>
    <mergeCell ref="D313:E313"/>
    <mergeCell ref="F313:I313"/>
    <mergeCell ref="J313:M313"/>
    <mergeCell ref="N313:Q313"/>
    <mergeCell ref="R313:U313"/>
    <mergeCell ref="AD215:AE215"/>
    <mergeCell ref="B216:B235"/>
    <mergeCell ref="D238:E238"/>
    <mergeCell ref="F238:I238"/>
    <mergeCell ref="J238:M238"/>
    <mergeCell ref="N238:Q238"/>
    <mergeCell ref="R238:U238"/>
    <mergeCell ref="V238:Y238"/>
    <mergeCell ref="Z238:AC238"/>
    <mergeCell ref="AD238:AE238"/>
    <mergeCell ref="A193:A258"/>
    <mergeCell ref="B193:B212"/>
    <mergeCell ref="D215:E215"/>
    <mergeCell ref="F215:I215"/>
    <mergeCell ref="J215:M215"/>
    <mergeCell ref="N215:Q215"/>
    <mergeCell ref="R215:U215"/>
    <mergeCell ref="V215:Y215"/>
    <mergeCell ref="Z215:AC215"/>
    <mergeCell ref="B239:B258"/>
    <mergeCell ref="B163:B172"/>
    <mergeCell ref="D163:AE163"/>
    <mergeCell ref="B173:B175"/>
    <mergeCell ref="B176:B180"/>
    <mergeCell ref="B181:B183"/>
    <mergeCell ref="D192:E192"/>
    <mergeCell ref="F192:I192"/>
    <mergeCell ref="J192:M192"/>
    <mergeCell ref="N192:Q192"/>
    <mergeCell ref="R192:U192"/>
    <mergeCell ref="V192:Y192"/>
    <mergeCell ref="Z192:AC192"/>
    <mergeCell ref="AD192:AE192"/>
    <mergeCell ref="Z139:AC139"/>
    <mergeCell ref="AD139:AE139"/>
    <mergeCell ref="B140:B159"/>
    <mergeCell ref="D162:E162"/>
    <mergeCell ref="F162:I162"/>
    <mergeCell ref="J162:M162"/>
    <mergeCell ref="N162:Q162"/>
    <mergeCell ref="R162:U162"/>
    <mergeCell ref="V162:Y162"/>
    <mergeCell ref="Z162:AC162"/>
    <mergeCell ref="AD162:AE162"/>
    <mergeCell ref="AD93:AE93"/>
    <mergeCell ref="A94:A183"/>
    <mergeCell ref="B94:B113"/>
    <mergeCell ref="D116:E116"/>
    <mergeCell ref="F116:I116"/>
    <mergeCell ref="J116:M116"/>
    <mergeCell ref="N116:Q116"/>
    <mergeCell ref="R116:U116"/>
    <mergeCell ref="V116:Y116"/>
    <mergeCell ref="D93:E93"/>
    <mergeCell ref="F93:I93"/>
    <mergeCell ref="J93:M93"/>
    <mergeCell ref="N93:Q93"/>
    <mergeCell ref="R93:U93"/>
    <mergeCell ref="V93:Y93"/>
    <mergeCell ref="Z116:AC116"/>
    <mergeCell ref="AD116:AE116"/>
    <mergeCell ref="B117:B136"/>
    <mergeCell ref="D139:E139"/>
    <mergeCell ref="F139:I139"/>
    <mergeCell ref="J139:M139"/>
    <mergeCell ref="N139:Q139"/>
    <mergeCell ref="R139:U139"/>
    <mergeCell ref="V139:Y139"/>
    <mergeCell ref="B45:B64"/>
    <mergeCell ref="D67:E67"/>
    <mergeCell ref="F67:I67"/>
    <mergeCell ref="J67:M67"/>
    <mergeCell ref="N67:Q67"/>
    <mergeCell ref="R67:U67"/>
    <mergeCell ref="V67:Y67"/>
    <mergeCell ref="Z67:AC67"/>
    <mergeCell ref="Z93:AC93"/>
    <mergeCell ref="Z21:AC21"/>
    <mergeCell ref="AD21:AE21"/>
    <mergeCell ref="A22:A88"/>
    <mergeCell ref="B22:B41"/>
    <mergeCell ref="D44:E44"/>
    <mergeCell ref="F44:I44"/>
    <mergeCell ref="J44:M44"/>
    <mergeCell ref="N44:Q44"/>
    <mergeCell ref="R44:U44"/>
    <mergeCell ref="V44:Y44"/>
    <mergeCell ref="D21:E21"/>
    <mergeCell ref="F21:I21"/>
    <mergeCell ref="J21:M21"/>
    <mergeCell ref="N21:Q21"/>
    <mergeCell ref="R21:U21"/>
    <mergeCell ref="V21:Y21"/>
    <mergeCell ref="AD67:AE67"/>
    <mergeCell ref="B68:B74"/>
    <mergeCell ref="D68:AE68"/>
    <mergeCell ref="B75:B76"/>
    <mergeCell ref="B77:B78"/>
    <mergeCell ref="B79:B88"/>
    <mergeCell ref="Z44:AC44"/>
    <mergeCell ref="AD44:AE44"/>
  </mergeCells>
  <pageMargins left="0.79000000000000015" right="0.79000000000000015" top="0.79000000000000015" bottom="0.79000000000000015" header="0.39000000000000007" footer="0.39000000000000007"/>
  <pageSetup paperSize="9" scale="55" fitToHeight="3" orientation="landscape"/>
  <headerFooter>
    <oddFooter>&amp;L&amp;K000000&amp;F&amp;C&amp;K000000&amp;D&amp;R&amp;K000000Page &amp;P</oddFooter>
  </headerFooter>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3366FF"/>
    <pageSetUpPr fitToPage="1"/>
  </sheetPr>
  <dimension ref="A1:AG89"/>
  <sheetViews>
    <sheetView workbookViewId="0">
      <pane xSplit="3" ySplit="3" topLeftCell="J69" activePane="bottomRight" state="frozen"/>
      <selection activeCell="AG595" sqref="AG595"/>
      <selection pane="topRight" activeCell="AG595" sqref="AG595"/>
      <selection pane="bottomLeft" activeCell="AG595" sqref="AG595"/>
      <selection pane="bottomRight" activeCell="AG595" sqref="AG595"/>
    </sheetView>
  </sheetViews>
  <sheetFormatPr defaultColWidth="8.85546875" defaultRowHeight="12.75"/>
  <cols>
    <col min="1" max="1" width="15.140625" style="4" customWidth="1"/>
    <col min="2" max="2" width="19.7109375" style="4" customWidth="1"/>
    <col min="3" max="3" width="18.85546875" style="27" customWidth="1"/>
    <col min="4" max="14" width="5.28515625" style="4" customWidth="1"/>
    <col min="15" max="15" width="10.85546875" style="4" customWidth="1"/>
    <col min="16" max="20" width="5.28515625" style="4" customWidth="1"/>
    <col min="21" max="21" width="10.85546875" style="4" customWidth="1"/>
    <col min="22" max="24" width="5.28515625" style="4" customWidth="1"/>
    <col min="25" max="25" width="10.85546875" style="4" customWidth="1"/>
    <col min="26" max="28" width="5.28515625" style="4" customWidth="1"/>
    <col min="29" max="29" width="10.85546875" style="4" customWidth="1"/>
    <col min="30" max="31" width="5.28515625" style="4" customWidth="1"/>
    <col min="32" max="32" width="2.85546875" style="4" customWidth="1"/>
    <col min="33" max="33" width="50.85546875" style="121" customWidth="1"/>
    <col min="34" max="16384" width="8.85546875" style="4"/>
  </cols>
  <sheetData>
    <row r="1" spans="1:33" s="67" customFormat="1" ht="16.5" thickBot="1">
      <c r="A1" s="3" t="s">
        <v>0</v>
      </c>
      <c r="B1" s="64" t="s">
        <v>643</v>
      </c>
      <c r="C1" s="65" t="s">
        <v>775</v>
      </c>
      <c r="D1" s="65"/>
      <c r="E1" s="65"/>
      <c r="F1" s="65"/>
      <c r="G1" s="65"/>
      <c r="H1" s="65"/>
      <c r="I1" s="65"/>
      <c r="J1" s="65"/>
      <c r="K1" s="65"/>
      <c r="L1" s="65"/>
      <c r="M1" s="65"/>
      <c r="N1" s="65"/>
      <c r="O1" s="65"/>
      <c r="P1" s="65"/>
      <c r="Q1" s="65"/>
      <c r="R1" s="65"/>
      <c r="S1" s="65"/>
      <c r="T1" s="65"/>
      <c r="U1" s="65"/>
      <c r="V1" s="65"/>
      <c r="W1" s="65"/>
      <c r="X1" s="65"/>
      <c r="Y1" s="65"/>
      <c r="Z1" s="65"/>
      <c r="AA1" s="65"/>
      <c r="AB1" s="65"/>
      <c r="AC1" s="65"/>
      <c r="AD1" s="65"/>
      <c r="AE1" s="66"/>
      <c r="AG1" s="121"/>
    </row>
    <row r="2" spans="1:33">
      <c r="A2" s="5"/>
      <c r="B2" s="5"/>
      <c r="C2" s="6"/>
      <c r="D2" s="215" t="s">
        <v>631</v>
      </c>
      <c r="E2" s="215"/>
      <c r="F2" s="215"/>
      <c r="G2" s="215"/>
      <c r="H2" s="262" t="s">
        <v>669</v>
      </c>
      <c r="I2" s="215"/>
      <c r="J2" s="215" t="s">
        <v>626</v>
      </c>
      <c r="K2" s="215"/>
      <c r="L2" s="215"/>
      <c r="M2" s="215"/>
      <c r="N2" s="215"/>
      <c r="O2" s="215" t="s">
        <v>627</v>
      </c>
      <c r="P2" s="215"/>
      <c r="Q2" s="215"/>
      <c r="R2" s="215"/>
      <c r="S2" s="215"/>
      <c r="U2" s="215" t="s">
        <v>628</v>
      </c>
      <c r="V2" s="215"/>
      <c r="W2" s="215"/>
      <c r="X2" s="215"/>
      <c r="Y2" s="215" t="s">
        <v>629</v>
      </c>
      <c r="Z2" s="215"/>
      <c r="AA2" s="215"/>
      <c r="AB2" s="215"/>
      <c r="AC2" s="215" t="s">
        <v>630</v>
      </c>
      <c r="AD2" s="215"/>
      <c r="AE2" s="215"/>
    </row>
    <row r="3" spans="1:33" ht="13.5" thickBot="1">
      <c r="A3" s="5"/>
      <c r="B3" s="5"/>
      <c r="C3" s="6"/>
      <c r="D3" s="212" t="s">
        <v>624</v>
      </c>
      <c r="E3" s="212" t="s">
        <v>625</v>
      </c>
      <c r="F3" s="212" t="s">
        <v>622</v>
      </c>
      <c r="G3" s="212" t="s">
        <v>623</v>
      </c>
      <c r="H3" s="212" t="s">
        <v>624</v>
      </c>
      <c r="I3" s="212" t="s">
        <v>625</v>
      </c>
      <c r="J3" s="212" t="s">
        <v>622</v>
      </c>
      <c r="K3" s="212" t="s">
        <v>623</v>
      </c>
      <c r="L3" s="212" t="s">
        <v>624</v>
      </c>
      <c r="M3" s="212" t="s">
        <v>625</v>
      </c>
      <c r="N3" s="212" t="s">
        <v>622</v>
      </c>
      <c r="O3" s="212" t="s">
        <v>623</v>
      </c>
      <c r="P3" s="212" t="s">
        <v>624</v>
      </c>
      <c r="Q3" s="212" t="s">
        <v>625</v>
      </c>
      <c r="R3" s="212" t="s">
        <v>622</v>
      </c>
      <c r="S3" s="212" t="s">
        <v>623</v>
      </c>
      <c r="T3" s="212" t="s">
        <v>624</v>
      </c>
      <c r="U3" s="212" t="s">
        <v>625</v>
      </c>
      <c r="V3" s="212" t="s">
        <v>622</v>
      </c>
      <c r="W3" s="212" t="s">
        <v>623</v>
      </c>
      <c r="X3" s="212" t="s">
        <v>624</v>
      </c>
      <c r="Y3" s="212" t="s">
        <v>625</v>
      </c>
      <c r="Z3" s="212" t="s">
        <v>622</v>
      </c>
      <c r="AA3" s="212" t="s">
        <v>623</v>
      </c>
      <c r="AB3" s="212" t="s">
        <v>624</v>
      </c>
      <c r="AC3" s="212" t="s">
        <v>625</v>
      </c>
      <c r="AD3" s="212" t="s">
        <v>622</v>
      </c>
      <c r="AE3" s="212" t="s">
        <v>623</v>
      </c>
    </row>
    <row r="4" spans="1:33" ht="12.95" customHeight="1" thickBot="1">
      <c r="A4" s="15" t="s">
        <v>1</v>
      </c>
      <c r="B4" s="349" t="s">
        <v>730</v>
      </c>
      <c r="C4" s="8"/>
      <c r="D4" s="1377">
        <v>2008</v>
      </c>
      <c r="E4" s="1378"/>
      <c r="F4" s="1372">
        <v>2009</v>
      </c>
      <c r="G4" s="1373"/>
      <c r="H4" s="1373"/>
      <c r="I4" s="1374"/>
      <c r="J4" s="1372">
        <v>2010</v>
      </c>
      <c r="K4" s="1373"/>
      <c r="L4" s="1373"/>
      <c r="M4" s="1374"/>
      <c r="N4" s="1372">
        <v>2011</v>
      </c>
      <c r="O4" s="1373"/>
      <c r="P4" s="1373"/>
      <c r="Q4" s="1374"/>
      <c r="R4" s="1372">
        <v>2012</v>
      </c>
      <c r="S4" s="1373"/>
      <c r="T4" s="1373"/>
      <c r="U4" s="1374"/>
      <c r="V4" s="1372">
        <v>2013</v>
      </c>
      <c r="W4" s="1373"/>
      <c r="X4" s="1373"/>
      <c r="Y4" s="1374"/>
      <c r="Z4" s="1372">
        <v>2014</v>
      </c>
      <c r="AA4" s="1373"/>
      <c r="AB4" s="1373"/>
      <c r="AC4" s="1374"/>
      <c r="AD4" s="1372">
        <v>2015</v>
      </c>
      <c r="AE4" s="1374"/>
      <c r="AG4" s="257" t="s">
        <v>663</v>
      </c>
    </row>
    <row r="5" spans="1:33" ht="12.95" customHeight="1" thickBot="1">
      <c r="A5" s="868" t="s">
        <v>47</v>
      </c>
      <c r="B5" s="868"/>
      <c r="C5" s="194" t="s">
        <v>802</v>
      </c>
      <c r="D5" s="206"/>
      <c r="E5" s="207"/>
      <c r="F5" s="209"/>
      <c r="G5" s="206"/>
      <c r="H5" s="206"/>
      <c r="I5" s="207"/>
      <c r="J5" s="332"/>
      <c r="K5" s="206"/>
      <c r="L5" s="206"/>
      <c r="M5" s="207"/>
      <c r="N5" s="277"/>
      <c r="O5" s="278">
        <f>('State Efficiency Ratios'!O22+'State Efficiency Ratios'!O45+'State Efficiency Ratios'!O69)/3</f>
        <v>130.71072920159727</v>
      </c>
      <c r="P5" s="278"/>
      <c r="Q5" s="279"/>
      <c r="R5" s="277"/>
      <c r="S5" s="278"/>
      <c r="T5" s="278"/>
      <c r="U5" s="278">
        <f>('State Efficiency Ratios'!U22+'State Efficiency Ratios'!U45+'State Efficiency Ratios'!U69)/3</f>
        <v>6.5799310661661652</v>
      </c>
      <c r="V5" s="277"/>
      <c r="W5" s="278"/>
      <c r="X5" s="278"/>
      <c r="Y5" s="278">
        <f>('State Efficiency Ratios'!Y22+'State Efficiency Ratios'!Y45+'State Efficiency Ratios'!Y69)/3</f>
        <v>66.216980849029497</v>
      </c>
      <c r="Z5" s="277"/>
      <c r="AA5" s="278"/>
      <c r="AB5" s="278"/>
      <c r="AC5" s="278">
        <f>('State Efficiency Ratios'!AC22+'State Efficiency Ratios'!AC45+'State Efficiency Ratios'!AC69)/3</f>
        <v>-966.77180093003756</v>
      </c>
      <c r="AD5" s="277"/>
      <c r="AE5" s="280"/>
      <c r="AG5" s="295" t="s">
        <v>668</v>
      </c>
    </row>
    <row r="6" spans="1:33" ht="24.75" thickBot="1">
      <c r="A6" s="885"/>
      <c r="B6" s="885"/>
      <c r="C6" s="194" t="s">
        <v>803</v>
      </c>
      <c r="D6" s="206"/>
      <c r="E6" s="207"/>
      <c r="F6" s="209"/>
      <c r="G6" s="206"/>
      <c r="H6" s="206"/>
      <c r="I6" s="207"/>
      <c r="J6" s="209"/>
      <c r="K6" s="206"/>
      <c r="L6" s="206"/>
      <c r="M6" s="207"/>
      <c r="N6" s="277"/>
      <c r="O6" s="278">
        <f>('State Efficiency Ratios'!O23+'State Efficiency Ratios'!O46+'State Efficiency Ratios'!O70)/3</f>
        <v>-38.965582277440312</v>
      </c>
      <c r="P6" s="278"/>
      <c r="Q6" s="279"/>
      <c r="R6" s="277"/>
      <c r="S6" s="278"/>
      <c r="T6" s="278"/>
      <c r="U6" s="278">
        <f>('State Efficiency Ratios'!U23+'State Efficiency Ratios'!U46+'State Efficiency Ratios'!U70)/3</f>
        <v>137.66297136774492</v>
      </c>
      <c r="V6" s="277"/>
      <c r="W6" s="278"/>
      <c r="X6" s="278"/>
      <c r="Y6" s="278">
        <f>('State Efficiency Ratios'!Y23+'State Efficiency Ratios'!Y46+'State Efficiency Ratios'!Y70)/3</f>
        <v>198.24699472455401</v>
      </c>
      <c r="Z6" s="277"/>
      <c r="AA6" s="278"/>
      <c r="AB6" s="278"/>
      <c r="AC6" s="278">
        <f>('State Efficiency Ratios'!AC23+'State Efficiency Ratios'!AC46+'State Efficiency Ratios'!AC70)/3</f>
        <v>-1346.6832304673262</v>
      </c>
      <c r="AD6" s="277"/>
      <c r="AE6" s="280"/>
      <c r="AG6" s="295"/>
    </row>
    <row r="7" spans="1:33" ht="24.75" thickBot="1">
      <c r="A7" s="885"/>
      <c r="B7" s="885"/>
      <c r="C7" s="194" t="s">
        <v>804</v>
      </c>
      <c r="D7" s="206"/>
      <c r="E7" s="207"/>
      <c r="F7" s="209"/>
      <c r="G7" s="206"/>
      <c r="H7" s="206"/>
      <c r="I7" s="207"/>
      <c r="J7" s="209"/>
      <c r="K7" s="206"/>
      <c r="L7" s="206"/>
      <c r="M7" s="207"/>
      <c r="N7" s="277"/>
      <c r="O7" s="278">
        <f>('State Efficiency Ratios'!O24+'State Efficiency Ratios'!O47+'State Efficiency Ratios'!O71)/3</f>
        <v>31.412154635239272</v>
      </c>
      <c r="P7" s="278"/>
      <c r="Q7" s="279"/>
      <c r="R7" s="277"/>
      <c r="S7" s="278"/>
      <c r="T7" s="278"/>
      <c r="U7" s="278">
        <f>('State Efficiency Ratios'!U24+'State Efficiency Ratios'!U47+'State Efficiency Ratios'!U71)/3</f>
        <v>54.840786880454822</v>
      </c>
      <c r="V7" s="277"/>
      <c r="W7" s="278"/>
      <c r="X7" s="278"/>
      <c r="Y7" s="278">
        <f>('State Efficiency Ratios'!Y24+'State Efficiency Ratios'!Y47+'State Efficiency Ratios'!Y71)/3</f>
        <v>45.050909153193125</v>
      </c>
      <c r="Z7" s="277"/>
      <c r="AA7" s="278"/>
      <c r="AB7" s="278"/>
      <c r="AC7" s="278">
        <f>('State Efficiency Ratios'!AC24+'State Efficiency Ratios'!AC47+'State Efficiency Ratios'!AC71)/3</f>
        <v>-878.11661552177065</v>
      </c>
      <c r="AD7" s="277"/>
      <c r="AE7" s="280"/>
      <c r="AG7" s="295"/>
    </row>
    <row r="8" spans="1:33" ht="13.5" thickBot="1">
      <c r="A8" s="885"/>
      <c r="B8" s="885"/>
      <c r="C8" s="194" t="s">
        <v>805</v>
      </c>
      <c r="D8" s="206"/>
      <c r="E8" s="207"/>
      <c r="F8" s="209"/>
      <c r="G8" s="206"/>
      <c r="H8" s="206"/>
      <c r="I8" s="207"/>
      <c r="J8" s="209"/>
      <c r="K8" s="206"/>
      <c r="L8" s="206"/>
      <c r="M8" s="207"/>
      <c r="N8" s="277"/>
      <c r="O8" s="278">
        <f>('State Efficiency Ratios'!O25+'State Efficiency Ratios'!O48+'State Efficiency Ratios'!O72)/3</f>
        <v>54.935861625295779</v>
      </c>
      <c r="P8" s="278"/>
      <c r="Q8" s="279"/>
      <c r="R8" s="277"/>
      <c r="S8" s="278"/>
      <c r="T8" s="278"/>
      <c r="U8" s="278">
        <f>('State Efficiency Ratios'!U25+'State Efficiency Ratios'!U48+'State Efficiency Ratios'!U72)/3</f>
        <v>47.001468027776589</v>
      </c>
      <c r="V8" s="277"/>
      <c r="W8" s="278"/>
      <c r="X8" s="278"/>
      <c r="Y8" s="278">
        <f>('State Efficiency Ratios'!Y25+'State Efficiency Ratios'!Y48+'State Efficiency Ratios'!Y72)/3</f>
        <v>179.696408638977</v>
      </c>
      <c r="Z8" s="277"/>
      <c r="AA8" s="278"/>
      <c r="AB8" s="278"/>
      <c r="AC8" s="278">
        <f>('State Efficiency Ratios'!AC25+'State Efficiency Ratios'!AC48+'State Efficiency Ratios'!AC72)/3</f>
        <v>-846.25383124342898</v>
      </c>
      <c r="AD8" s="277"/>
      <c r="AE8" s="280"/>
      <c r="AG8" s="295"/>
    </row>
    <row r="9" spans="1:33" ht="13.5" thickBot="1">
      <c r="A9" s="885"/>
      <c r="B9" s="885"/>
      <c r="C9" s="194" t="s">
        <v>806</v>
      </c>
      <c r="D9" s="206"/>
      <c r="E9" s="207"/>
      <c r="F9" s="209"/>
      <c r="G9" s="206"/>
      <c r="H9" s="206"/>
      <c r="I9" s="207"/>
      <c r="J9" s="209"/>
      <c r="K9" s="206"/>
      <c r="L9" s="206"/>
      <c r="M9" s="207"/>
      <c r="N9" s="277"/>
      <c r="O9" s="278">
        <f>('State Efficiency Ratios'!O26+'State Efficiency Ratios'!O49+'State Efficiency Ratios'!O73)/3</f>
        <v>46.147030520934784</v>
      </c>
      <c r="P9" s="278"/>
      <c r="Q9" s="279"/>
      <c r="R9" s="277"/>
      <c r="S9" s="278"/>
      <c r="T9" s="278"/>
      <c r="U9" s="278">
        <f>('State Efficiency Ratios'!U26+'State Efficiency Ratios'!U49+'State Efficiency Ratios'!U73)/3</f>
        <v>125.32031968511636</v>
      </c>
      <c r="V9" s="277"/>
      <c r="W9" s="278"/>
      <c r="X9" s="278"/>
      <c r="Y9" s="278">
        <f>('State Efficiency Ratios'!Y26+'State Efficiency Ratios'!Y49+'State Efficiency Ratios'!Y73)/3</f>
        <v>93.751779865484195</v>
      </c>
      <c r="Z9" s="277"/>
      <c r="AA9" s="278"/>
      <c r="AB9" s="278"/>
      <c r="AC9" s="278">
        <f>('State Efficiency Ratios'!AC26+'State Efficiency Ratios'!AC49+'State Efficiency Ratios'!AC73)/3</f>
        <v>-1042.6077394922825</v>
      </c>
      <c r="AD9" s="277"/>
      <c r="AE9" s="280"/>
      <c r="AG9" s="295"/>
    </row>
    <row r="10" spans="1:33" ht="12.95" customHeight="1" thickBot="1">
      <c r="A10" s="885"/>
      <c r="B10" s="885"/>
      <c r="C10" s="194" t="s">
        <v>807</v>
      </c>
      <c r="D10" s="210"/>
      <c r="E10" s="211"/>
      <c r="F10" s="209"/>
      <c r="G10" s="210"/>
      <c r="H10" s="210"/>
      <c r="I10" s="211"/>
      <c r="J10" s="209"/>
      <c r="K10" s="210"/>
      <c r="L10" s="210"/>
      <c r="M10" s="211"/>
      <c r="N10" s="281"/>
      <c r="O10" s="282"/>
      <c r="P10" s="282"/>
      <c r="Q10" s="282"/>
      <c r="R10" s="277"/>
      <c r="S10" s="278"/>
      <c r="T10" s="278"/>
      <c r="U10" s="278">
        <f>('State Efficiency Ratios'!U27+'State Efficiency Ratios'!U50+'State Efficiency Ratios'!U74)/3</f>
        <v>64.639257262533008</v>
      </c>
      <c r="V10" s="277"/>
      <c r="W10" s="278"/>
      <c r="X10" s="278"/>
      <c r="Y10" s="278">
        <f>('State Efficiency Ratios'!Y27+'State Efficiency Ratios'!Y50+'State Efficiency Ratios'!Y74)/3</f>
        <v>108.49214331584655</v>
      </c>
      <c r="Z10" s="277"/>
      <c r="AA10" s="278"/>
      <c r="AB10" s="278"/>
      <c r="AC10" s="278">
        <f>('State Efficiency Ratios'!AC27+'State Efficiency Ratios'!AC50+'State Efficiency Ratios'!AC74)/3</f>
        <v>-534.76742145213984</v>
      </c>
      <c r="AD10" s="277"/>
      <c r="AE10" s="280"/>
      <c r="AG10" s="295"/>
    </row>
    <row r="11" spans="1:33" ht="12.95" customHeight="1" thickBot="1">
      <c r="A11" s="885"/>
      <c r="B11" s="885"/>
      <c r="C11" s="194" t="s">
        <v>808</v>
      </c>
      <c r="D11" s="210"/>
      <c r="E11" s="211"/>
      <c r="F11" s="209"/>
      <c r="G11" s="210"/>
      <c r="H11" s="210"/>
      <c r="I11" s="211"/>
      <c r="J11" s="209"/>
      <c r="K11" s="210"/>
      <c r="L11" s="210"/>
      <c r="M11" s="211"/>
      <c r="N11" s="281"/>
      <c r="O11" s="282"/>
      <c r="P11" s="282"/>
      <c r="Q11" s="282"/>
      <c r="R11" s="277"/>
      <c r="S11" s="278"/>
      <c r="T11" s="278"/>
      <c r="U11" s="278">
        <f>('State Efficiency Ratios'!U28+'State Efficiency Ratios'!U51+'State Efficiency Ratios'!U75)/3</f>
        <v>64.927398948774496</v>
      </c>
      <c r="V11" s="277"/>
      <c r="W11" s="278"/>
      <c r="X11" s="278"/>
      <c r="Y11" s="278">
        <f>('State Efficiency Ratios'!Y28+'State Efficiency Ratios'!Y51+'State Efficiency Ratios'!Y75)/3</f>
        <v>194.49282765415578</v>
      </c>
      <c r="Z11" s="277"/>
      <c r="AA11" s="278"/>
      <c r="AB11" s="278"/>
      <c r="AC11" s="278">
        <f>('State Efficiency Ratios'!AC28+'State Efficiency Ratios'!AC51+'State Efficiency Ratios'!AC75)/3</f>
        <v>-846.0870847951137</v>
      </c>
      <c r="AD11" s="277"/>
      <c r="AE11" s="280"/>
      <c r="AG11" s="295"/>
    </row>
    <row r="12" spans="1:33" ht="12.95" customHeight="1" thickBot="1">
      <c r="A12" s="885"/>
      <c r="B12" s="885"/>
      <c r="C12" s="194" t="s">
        <v>809</v>
      </c>
      <c r="D12" s="210"/>
      <c r="E12" s="211"/>
      <c r="F12" s="209"/>
      <c r="G12" s="210"/>
      <c r="H12" s="210"/>
      <c r="I12" s="211"/>
      <c r="J12" s="209"/>
      <c r="K12" s="210"/>
      <c r="L12" s="210"/>
      <c r="M12" s="211"/>
      <c r="N12" s="281"/>
      <c r="O12" s="282"/>
      <c r="P12" s="282"/>
      <c r="Q12" s="282"/>
      <c r="R12" s="277"/>
      <c r="S12" s="278"/>
      <c r="T12" s="278"/>
      <c r="U12" s="278">
        <f>('State Efficiency Ratios'!U29+'State Efficiency Ratios'!U52+'State Efficiency Ratios'!U76)/3</f>
        <v>0</v>
      </c>
      <c r="V12" s="277"/>
      <c r="W12" s="278"/>
      <c r="X12" s="278"/>
      <c r="Y12" s="278">
        <f>('State Efficiency Ratios'!Y29+'State Efficiency Ratios'!Y52+'State Efficiency Ratios'!Y76)/3</f>
        <v>332.63807590705943</v>
      </c>
      <c r="Z12" s="277"/>
      <c r="AA12" s="278"/>
      <c r="AB12" s="278"/>
      <c r="AC12" s="278">
        <f>('State Efficiency Ratios'!AC29+'State Efficiency Ratios'!AC52+'State Efficiency Ratios'!AC76)/3</f>
        <v>-892.15472586430644</v>
      </c>
      <c r="AD12" s="277"/>
      <c r="AE12" s="280"/>
      <c r="AG12" s="295"/>
    </row>
    <row r="13" spans="1:33" ht="12.95" customHeight="1" thickBot="1">
      <c r="A13" s="885"/>
      <c r="B13" s="885"/>
      <c r="C13" s="194" t="s">
        <v>810</v>
      </c>
      <c r="D13" s="210"/>
      <c r="E13" s="211"/>
      <c r="F13" s="209"/>
      <c r="G13" s="210"/>
      <c r="H13" s="210"/>
      <c r="I13" s="211"/>
      <c r="J13" s="209"/>
      <c r="K13" s="210"/>
      <c r="L13" s="210"/>
      <c r="M13" s="211"/>
      <c r="N13" s="281"/>
      <c r="O13" s="282"/>
      <c r="P13" s="282"/>
      <c r="Q13" s="283"/>
      <c r="R13" s="281"/>
      <c r="S13" s="282"/>
      <c r="T13" s="282"/>
      <c r="U13" s="283"/>
      <c r="V13" s="281"/>
      <c r="W13" s="282"/>
      <c r="X13" s="282"/>
      <c r="Y13" s="283"/>
      <c r="Z13" s="277"/>
      <c r="AA13" s="278"/>
      <c r="AB13" s="278"/>
      <c r="AC13" s="278">
        <f>('State Efficiency Ratios'!AC30+'State Efficiency Ratios'!AC53+'State Efficiency Ratios'!AC77)/3</f>
        <v>-1377.8893883911132</v>
      </c>
      <c r="AD13" s="277"/>
      <c r="AE13" s="280"/>
      <c r="AG13" s="295"/>
    </row>
    <row r="14" spans="1:33" ht="12.95" customHeight="1" thickBot="1">
      <c r="A14" s="869"/>
      <c r="B14" s="869"/>
      <c r="C14" s="194" t="s">
        <v>811</v>
      </c>
      <c r="D14" s="210"/>
      <c r="E14" s="211"/>
      <c r="F14" s="209"/>
      <c r="G14" s="210"/>
      <c r="H14" s="210"/>
      <c r="I14" s="211"/>
      <c r="J14" s="209"/>
      <c r="K14" s="210"/>
      <c r="L14" s="210"/>
      <c r="M14" s="211"/>
      <c r="N14" s="281"/>
      <c r="O14" s="282"/>
      <c r="P14" s="282"/>
      <c r="Q14" s="283"/>
      <c r="R14" s="281"/>
      <c r="S14" s="282"/>
      <c r="T14" s="282"/>
      <c r="U14" s="283"/>
      <c r="V14" s="281"/>
      <c r="W14" s="282"/>
      <c r="X14" s="282"/>
      <c r="Y14" s="283"/>
      <c r="Z14" s="277"/>
      <c r="AA14" s="278"/>
      <c r="AB14" s="278"/>
      <c r="AC14" s="278">
        <f>('State Efficiency Ratios'!AC31+'State Efficiency Ratios'!AC54+'State Efficiency Ratios'!AC78)/3</f>
        <v>-1269.7914986544663</v>
      </c>
      <c r="AD14" s="277"/>
      <c r="AE14" s="280"/>
      <c r="AG14" s="295"/>
    </row>
    <row r="15" spans="1:33" ht="13.5" thickBot="1">
      <c r="A15" s="5"/>
      <c r="B15" s="5"/>
      <c r="C15" s="6"/>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row>
    <row r="16" spans="1:33" ht="12.95" customHeight="1" thickBot="1">
      <c r="A16" s="348" t="s">
        <v>5</v>
      </c>
      <c r="B16" s="349" t="s">
        <v>731</v>
      </c>
      <c r="C16" s="8"/>
      <c r="D16" s="1377">
        <v>2008</v>
      </c>
      <c r="E16" s="1378"/>
      <c r="F16" s="1372">
        <v>2009</v>
      </c>
      <c r="G16" s="1373"/>
      <c r="H16" s="1373"/>
      <c r="I16" s="1374"/>
      <c r="J16" s="1372">
        <v>2010</v>
      </c>
      <c r="K16" s="1373"/>
      <c r="L16" s="1373"/>
      <c r="M16" s="1374"/>
      <c r="N16" s="1372">
        <v>2011</v>
      </c>
      <c r="O16" s="1373"/>
      <c r="P16" s="1373"/>
      <c r="Q16" s="1374"/>
      <c r="R16" s="1372">
        <v>2012</v>
      </c>
      <c r="S16" s="1373"/>
      <c r="T16" s="1373"/>
      <c r="U16" s="1374"/>
      <c r="V16" s="1372">
        <v>2013</v>
      </c>
      <c r="W16" s="1373"/>
      <c r="X16" s="1373"/>
      <c r="Y16" s="1374"/>
      <c r="Z16" s="1372">
        <v>2014</v>
      </c>
      <c r="AA16" s="1373"/>
      <c r="AB16" s="1373"/>
      <c r="AC16" s="1374"/>
      <c r="AD16" s="1372">
        <v>2015</v>
      </c>
      <c r="AE16" s="1374"/>
      <c r="AG16" s="257" t="s">
        <v>663</v>
      </c>
    </row>
    <row r="17" spans="1:33" ht="12.95" customHeight="1" thickBot="1">
      <c r="A17" s="868" t="s">
        <v>54</v>
      </c>
      <c r="B17" s="868"/>
      <c r="C17" s="194" t="s">
        <v>802</v>
      </c>
      <c r="D17" s="206"/>
      <c r="E17" s="207"/>
      <c r="F17" s="209"/>
      <c r="G17" s="206"/>
      <c r="H17" s="206"/>
      <c r="I17" s="207"/>
      <c r="J17" s="332"/>
      <c r="K17" s="206"/>
      <c r="L17" s="206"/>
      <c r="M17" s="207"/>
      <c r="N17" s="277"/>
      <c r="O17" s="278">
        <f>('State Efficiency Ratios'!O94+'State Efficiency Ratios'!O117+'State Efficiency Ratios'!O164)/3</f>
        <v>119.42506094252833</v>
      </c>
      <c r="P17" s="278"/>
      <c r="Q17" s="279"/>
      <c r="R17" s="277"/>
      <c r="S17" s="278"/>
      <c r="T17" s="278"/>
      <c r="U17" s="278">
        <f>('State Efficiency Ratios'!U94+'State Efficiency Ratios'!U117+'State Efficiency Ratios'!U164)/3</f>
        <v>118.91729963216669</v>
      </c>
      <c r="V17" s="277"/>
      <c r="W17" s="278"/>
      <c r="X17" s="278"/>
      <c r="Y17" s="278">
        <f>('State Efficiency Ratios'!Y94+'State Efficiency Ratios'!Y117+'State Efficiency Ratios'!Y140+'State Efficiency Ratios'!Y164)/4</f>
        <v>569.99276128568022</v>
      </c>
      <c r="Z17" s="277"/>
      <c r="AA17" s="278"/>
      <c r="AB17" s="278"/>
      <c r="AC17" s="278">
        <f>('State Efficiency Ratios'!AC94+'State Efficiency Ratios'!AC117+'State Efficiency Ratios'!AC140+'State Efficiency Ratios'!AC164)/4</f>
        <v>-1623.0398661231552</v>
      </c>
      <c r="AD17" s="277"/>
      <c r="AE17" s="280"/>
      <c r="AG17" s="295"/>
    </row>
    <row r="18" spans="1:33" ht="24.75" thickBot="1">
      <c r="A18" s="885"/>
      <c r="B18" s="885"/>
      <c r="C18" s="194" t="s">
        <v>803</v>
      </c>
      <c r="D18" s="206"/>
      <c r="E18" s="207"/>
      <c r="F18" s="209"/>
      <c r="G18" s="206"/>
      <c r="H18" s="206"/>
      <c r="I18" s="207"/>
      <c r="J18" s="209"/>
      <c r="K18" s="206"/>
      <c r="L18" s="206"/>
      <c r="M18" s="207"/>
      <c r="N18" s="277"/>
      <c r="O18" s="278">
        <f>('State Efficiency Ratios'!O95+'State Efficiency Ratios'!O118+'State Efficiency Ratios'!O165)/3</f>
        <v>23.572567129823383</v>
      </c>
      <c r="P18" s="278"/>
      <c r="Q18" s="279"/>
      <c r="R18" s="277"/>
      <c r="S18" s="278"/>
      <c r="T18" s="278"/>
      <c r="U18" s="278">
        <f>('State Efficiency Ratios'!U95+'State Efficiency Ratios'!U118+'State Efficiency Ratios'!U165)/3</f>
        <v>138.29503276061794</v>
      </c>
      <c r="V18" s="277"/>
      <c r="W18" s="278"/>
      <c r="X18" s="278"/>
      <c r="Y18" s="278">
        <f>('State Efficiency Ratios'!Y95+'State Efficiency Ratios'!Y118+'State Efficiency Ratios'!Y141+'State Efficiency Ratios'!Y165)/4</f>
        <v>773.00656243388335</v>
      </c>
      <c r="Z18" s="277"/>
      <c r="AA18" s="278"/>
      <c r="AB18" s="278"/>
      <c r="AC18" s="278">
        <f>('State Efficiency Ratios'!AC95+'State Efficiency Ratios'!AC118+'State Efficiency Ratios'!AC141+'State Efficiency Ratios'!AC165)/4</f>
        <v>-2224.5618100466759</v>
      </c>
      <c r="AD18" s="277"/>
      <c r="AE18" s="280"/>
      <c r="AG18" s="295"/>
    </row>
    <row r="19" spans="1:33" ht="24.75" thickBot="1">
      <c r="A19" s="885"/>
      <c r="B19" s="885"/>
      <c r="C19" s="194" t="s">
        <v>804</v>
      </c>
      <c r="D19" s="206"/>
      <c r="E19" s="207"/>
      <c r="F19" s="209"/>
      <c r="G19" s="206"/>
      <c r="H19" s="206"/>
      <c r="I19" s="207"/>
      <c r="J19" s="209"/>
      <c r="K19" s="206"/>
      <c r="L19" s="206"/>
      <c r="M19" s="207"/>
      <c r="N19" s="277"/>
      <c r="O19" s="278">
        <f>('State Efficiency Ratios'!O96+'State Efficiency Ratios'!O119+'State Efficiency Ratios'!O166)/3</f>
        <v>117.82661956064055</v>
      </c>
      <c r="P19" s="278"/>
      <c r="Q19" s="279"/>
      <c r="R19" s="277"/>
      <c r="S19" s="278"/>
      <c r="T19" s="278"/>
      <c r="U19" s="278">
        <f>('State Efficiency Ratios'!U96+'State Efficiency Ratios'!U119+'State Efficiency Ratios'!U166)/3</f>
        <v>57.225168918735456</v>
      </c>
      <c r="V19" s="277"/>
      <c r="W19" s="278"/>
      <c r="X19" s="278"/>
      <c r="Y19" s="278">
        <f>('State Efficiency Ratios'!Y96+'State Efficiency Ratios'!Y119+'State Efficiency Ratios'!Y142+'State Efficiency Ratios'!Y166)/4</f>
        <v>167.91702502553807</v>
      </c>
      <c r="Z19" s="277"/>
      <c r="AA19" s="278"/>
      <c r="AB19" s="278"/>
      <c r="AC19" s="278">
        <f>('State Efficiency Ratios'!AC96+'State Efficiency Ratios'!AC119+'State Efficiency Ratios'!AC142+'State Efficiency Ratios'!AC166)/4</f>
        <v>-1680.425673835166</v>
      </c>
      <c r="AD19" s="277"/>
      <c r="AE19" s="280"/>
      <c r="AG19" s="295"/>
    </row>
    <row r="20" spans="1:33" ht="13.5" thickBot="1">
      <c r="A20" s="885"/>
      <c r="B20" s="885"/>
      <c r="C20" s="194" t="s">
        <v>805</v>
      </c>
      <c r="D20" s="206"/>
      <c r="E20" s="207"/>
      <c r="F20" s="209"/>
      <c r="G20" s="206"/>
      <c r="H20" s="206"/>
      <c r="I20" s="207"/>
      <c r="J20" s="209"/>
      <c r="K20" s="206"/>
      <c r="L20" s="206"/>
      <c r="M20" s="207"/>
      <c r="N20" s="277"/>
      <c r="O20" s="278">
        <f>('State Efficiency Ratios'!O97+'State Efficiency Ratios'!O120+'State Efficiency Ratios'!O167)/3</f>
        <v>18.60328041402062</v>
      </c>
      <c r="P20" s="278"/>
      <c r="Q20" s="279"/>
      <c r="R20" s="277"/>
      <c r="S20" s="278"/>
      <c r="T20" s="278"/>
      <c r="U20" s="278">
        <f>('State Efficiency Ratios'!U97+'State Efficiency Ratios'!U120+'State Efficiency Ratios'!U167)/3</f>
        <v>337.5559976540319</v>
      </c>
      <c r="V20" s="277"/>
      <c r="W20" s="278"/>
      <c r="X20" s="278"/>
      <c r="Y20" s="278">
        <f>('State Efficiency Ratios'!Y97+'State Efficiency Ratios'!Y120+'State Efficiency Ratios'!Y143+'State Efficiency Ratios'!Y167)/4</f>
        <v>361.33758360521574</v>
      </c>
      <c r="Z20" s="277"/>
      <c r="AA20" s="278"/>
      <c r="AB20" s="278"/>
      <c r="AC20" s="278">
        <f>('State Efficiency Ratios'!AC97+'State Efficiency Ratios'!AC120+'State Efficiency Ratios'!AC143+'State Efficiency Ratios'!AC167)/4</f>
        <v>-1578.5535319377891</v>
      </c>
      <c r="AD20" s="277"/>
      <c r="AE20" s="280"/>
      <c r="AG20" s="295"/>
    </row>
    <row r="21" spans="1:33" ht="13.5" thickBot="1">
      <c r="A21" s="885"/>
      <c r="B21" s="885"/>
      <c r="C21" s="194" t="s">
        <v>806</v>
      </c>
      <c r="D21" s="206"/>
      <c r="E21" s="207"/>
      <c r="F21" s="209"/>
      <c r="G21" s="206"/>
      <c r="H21" s="206"/>
      <c r="I21" s="207"/>
      <c r="J21" s="209"/>
      <c r="K21" s="206"/>
      <c r="L21" s="206"/>
      <c r="M21" s="207"/>
      <c r="N21" s="277"/>
      <c r="O21" s="278">
        <f>('State Efficiency Ratios'!O98+'State Efficiency Ratios'!O121+'State Efficiency Ratios'!O168)/3</f>
        <v>79.98818623628695</v>
      </c>
      <c r="P21" s="278"/>
      <c r="Q21" s="279"/>
      <c r="R21" s="277"/>
      <c r="S21" s="278"/>
      <c r="T21" s="278"/>
      <c r="U21" s="278">
        <f>('State Efficiency Ratios'!U98+'State Efficiency Ratios'!U121+'State Efficiency Ratios'!U168)/3</f>
        <v>7.9183696512839417</v>
      </c>
      <c r="V21" s="277"/>
      <c r="W21" s="278"/>
      <c r="X21" s="278"/>
      <c r="Y21" s="278">
        <f>('State Efficiency Ratios'!Y98+'State Efficiency Ratios'!Y121+'State Efficiency Ratios'!Y144+'State Efficiency Ratios'!Y168)/4</f>
        <v>452.61026738886881</v>
      </c>
      <c r="Z21" s="277"/>
      <c r="AA21" s="278"/>
      <c r="AB21" s="278"/>
      <c r="AC21" s="278">
        <f>('State Efficiency Ratios'!AC98+'State Efficiency Ratios'!AC121+'State Efficiency Ratios'!AC144+'State Efficiency Ratios'!AC168)/4</f>
        <v>-1366.0898543705559</v>
      </c>
      <c r="AD21" s="277"/>
      <c r="AE21" s="280"/>
      <c r="AG21" s="295"/>
    </row>
    <row r="22" spans="1:33" ht="12.95" customHeight="1" thickBot="1">
      <c r="A22" s="885"/>
      <c r="B22" s="885"/>
      <c r="C22" s="194" t="s">
        <v>807</v>
      </c>
      <c r="D22" s="210"/>
      <c r="E22" s="211"/>
      <c r="F22" s="209"/>
      <c r="G22" s="210"/>
      <c r="H22" s="210"/>
      <c r="I22" s="211"/>
      <c r="J22" s="209"/>
      <c r="K22" s="210"/>
      <c r="L22" s="210"/>
      <c r="M22" s="211"/>
      <c r="N22" s="281"/>
      <c r="O22" s="282"/>
      <c r="P22" s="282"/>
      <c r="Q22" s="282"/>
      <c r="R22" s="277"/>
      <c r="S22" s="278"/>
      <c r="T22" s="278"/>
      <c r="U22" s="278">
        <f>('State Efficiency Ratios'!U99+'State Efficiency Ratios'!U122+'State Efficiency Ratios'!U169)/3</f>
        <v>0</v>
      </c>
      <c r="V22" s="277"/>
      <c r="W22" s="278"/>
      <c r="X22" s="278"/>
      <c r="Y22" s="278">
        <f>('State Efficiency Ratios'!Y99+'State Efficiency Ratios'!Y122+'State Efficiency Ratios'!Y145+'State Efficiency Ratios'!Y169)/4</f>
        <v>193.38372298831081</v>
      </c>
      <c r="Z22" s="277"/>
      <c r="AA22" s="278"/>
      <c r="AB22" s="278"/>
      <c r="AC22" s="278">
        <f>('State Efficiency Ratios'!AC99+'State Efficiency Ratios'!AC122+'State Efficiency Ratios'!AC145+'State Efficiency Ratios'!AC169)/4</f>
        <v>-825.15887004817296</v>
      </c>
      <c r="AD22" s="277"/>
      <c r="AE22" s="280"/>
      <c r="AG22" s="295"/>
    </row>
    <row r="23" spans="1:33" ht="12.95" customHeight="1" thickBot="1">
      <c r="A23" s="885"/>
      <c r="B23" s="885"/>
      <c r="C23" s="194" t="s">
        <v>808</v>
      </c>
      <c r="D23" s="210"/>
      <c r="E23" s="211"/>
      <c r="F23" s="209"/>
      <c r="G23" s="210"/>
      <c r="H23" s="210"/>
      <c r="I23" s="211"/>
      <c r="J23" s="209"/>
      <c r="K23" s="210"/>
      <c r="L23" s="210"/>
      <c r="M23" s="211"/>
      <c r="N23" s="281"/>
      <c r="O23" s="282"/>
      <c r="P23" s="282"/>
      <c r="Q23" s="282"/>
      <c r="R23" s="277"/>
      <c r="S23" s="278"/>
      <c r="T23" s="278"/>
      <c r="U23" s="278">
        <f>('State Efficiency Ratios'!U100+'State Efficiency Ratios'!U123+'State Efficiency Ratios'!U170)/3</f>
        <v>0</v>
      </c>
      <c r="V23" s="277"/>
      <c r="W23" s="278"/>
      <c r="X23" s="278"/>
      <c r="Y23" s="278">
        <f>('State Efficiency Ratios'!Y100+'State Efficiency Ratios'!Y123+'State Efficiency Ratios'!Y146+'State Efficiency Ratios'!Y170)/4</f>
        <v>301.22669648875348</v>
      </c>
      <c r="Z23" s="277"/>
      <c r="AA23" s="278"/>
      <c r="AB23" s="278"/>
      <c r="AC23" s="278">
        <f>('State Efficiency Ratios'!AC100+'State Efficiency Ratios'!AC123+'State Efficiency Ratios'!AC146+'State Efficiency Ratios'!AC170)/4</f>
        <v>-1182.2369364757892</v>
      </c>
      <c r="AD23" s="277"/>
      <c r="AE23" s="280"/>
      <c r="AG23" s="295"/>
    </row>
    <row r="24" spans="1:33" ht="12.95" customHeight="1" thickBot="1">
      <c r="A24" s="885"/>
      <c r="B24" s="885"/>
      <c r="C24" s="194" t="s">
        <v>809</v>
      </c>
      <c r="D24" s="210"/>
      <c r="E24" s="211"/>
      <c r="F24" s="209"/>
      <c r="G24" s="210"/>
      <c r="H24" s="210"/>
      <c r="I24" s="211"/>
      <c r="J24" s="209"/>
      <c r="K24" s="210"/>
      <c r="L24" s="210"/>
      <c r="M24" s="211"/>
      <c r="N24" s="281"/>
      <c r="O24" s="282"/>
      <c r="P24" s="282"/>
      <c r="Q24" s="282"/>
      <c r="R24" s="277"/>
      <c r="S24" s="278"/>
      <c r="T24" s="278"/>
      <c r="U24" s="278">
        <f>('State Efficiency Ratios'!U101+'State Efficiency Ratios'!U124+'State Efficiency Ratios'!U171)/3</f>
        <v>0</v>
      </c>
      <c r="V24" s="277"/>
      <c r="W24" s="278"/>
      <c r="X24" s="278"/>
      <c r="Y24" s="278">
        <f>('State Efficiency Ratios'!Y101+'State Efficiency Ratios'!Y124+'State Efficiency Ratios'!Y147+'State Efficiency Ratios'!Y171)/4</f>
        <v>602.40914703742578</v>
      </c>
      <c r="Z24" s="277"/>
      <c r="AA24" s="278"/>
      <c r="AB24" s="278"/>
      <c r="AC24" s="278">
        <f>('State Efficiency Ratios'!AC101+'State Efficiency Ratios'!AC124+'State Efficiency Ratios'!AC147+'State Efficiency Ratios'!AC171)/4</f>
        <v>-1316.0284454289417</v>
      </c>
      <c r="AD24" s="277"/>
      <c r="AE24" s="280"/>
      <c r="AG24" s="295"/>
    </row>
    <row r="25" spans="1:33" ht="12.95" customHeight="1" thickBot="1">
      <c r="A25" s="885"/>
      <c r="B25" s="885"/>
      <c r="C25" s="194" t="s">
        <v>810</v>
      </c>
      <c r="D25" s="210"/>
      <c r="E25" s="211"/>
      <c r="F25" s="209"/>
      <c r="G25" s="210"/>
      <c r="H25" s="210"/>
      <c r="I25" s="211"/>
      <c r="J25" s="209"/>
      <c r="K25" s="210"/>
      <c r="L25" s="210"/>
      <c r="M25" s="211"/>
      <c r="N25" s="281"/>
      <c r="O25" s="282"/>
      <c r="P25" s="282"/>
      <c r="Q25" s="283"/>
      <c r="R25" s="281"/>
      <c r="S25" s="282"/>
      <c r="T25" s="282"/>
      <c r="U25" s="283"/>
      <c r="V25" s="281"/>
      <c r="W25" s="282"/>
      <c r="X25" s="282"/>
      <c r="Y25" s="283"/>
      <c r="Z25" s="277"/>
      <c r="AA25" s="278"/>
      <c r="AB25" s="278"/>
      <c r="AC25" s="278">
        <f>('State Efficiency Ratios'!AC102+'State Efficiency Ratios'!AC125+'State Efficiency Ratios'!AC148+'State Efficiency Ratios'!AC172)/4</f>
        <v>-1270.3525664840877</v>
      </c>
      <c r="AD25" s="277"/>
      <c r="AE25" s="280"/>
      <c r="AG25" s="295"/>
    </row>
    <row r="26" spans="1:33" ht="12.95" customHeight="1" thickBot="1">
      <c r="A26" s="869"/>
      <c r="B26" s="869"/>
      <c r="C26" s="194" t="s">
        <v>811</v>
      </c>
      <c r="D26" s="210"/>
      <c r="E26" s="211"/>
      <c r="F26" s="209"/>
      <c r="G26" s="210"/>
      <c r="H26" s="210"/>
      <c r="I26" s="211"/>
      <c r="J26" s="209"/>
      <c r="K26" s="210"/>
      <c r="L26" s="210"/>
      <c r="M26" s="211"/>
      <c r="N26" s="281"/>
      <c r="O26" s="282"/>
      <c r="P26" s="282"/>
      <c r="Q26" s="283"/>
      <c r="R26" s="281"/>
      <c r="S26" s="282"/>
      <c r="T26" s="282"/>
      <c r="U26" s="283"/>
      <c r="V26" s="281"/>
      <c r="W26" s="282"/>
      <c r="X26" s="282"/>
      <c r="Y26" s="283"/>
      <c r="Z26" s="277"/>
      <c r="AA26" s="278"/>
      <c r="AB26" s="278"/>
      <c r="AC26" s="278">
        <f>('State Efficiency Ratios'!AC103+'State Efficiency Ratios'!AC126+'State Efficiency Ratios'!AC149+'State Efficiency Ratios'!AC173)/4</f>
        <v>-1041.5241273994254</v>
      </c>
      <c r="AD26" s="277"/>
      <c r="AE26" s="280"/>
      <c r="AG26" s="295"/>
    </row>
    <row r="27" spans="1:33" ht="13.5" thickBot="1">
      <c r="A27" s="21"/>
      <c r="B27" s="21"/>
      <c r="C27" s="22"/>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row>
    <row r="28" spans="1:33" ht="12.95" customHeight="1" thickBot="1">
      <c r="A28" s="347" t="s">
        <v>11</v>
      </c>
      <c r="B28" s="349" t="s">
        <v>732</v>
      </c>
      <c r="C28" s="8"/>
      <c r="D28" s="1377">
        <v>2008</v>
      </c>
      <c r="E28" s="1378"/>
      <c r="F28" s="1372">
        <v>2009</v>
      </c>
      <c r="G28" s="1373"/>
      <c r="H28" s="1373"/>
      <c r="I28" s="1374"/>
      <c r="J28" s="1372">
        <v>2010</v>
      </c>
      <c r="K28" s="1373"/>
      <c r="L28" s="1373"/>
      <c r="M28" s="1374"/>
      <c r="N28" s="1372">
        <v>2011</v>
      </c>
      <c r="O28" s="1373"/>
      <c r="P28" s="1373"/>
      <c r="Q28" s="1374"/>
      <c r="R28" s="1372">
        <v>2012</v>
      </c>
      <c r="S28" s="1373"/>
      <c r="T28" s="1373"/>
      <c r="U28" s="1374"/>
      <c r="V28" s="1372">
        <v>2013</v>
      </c>
      <c r="W28" s="1373"/>
      <c r="X28" s="1373"/>
      <c r="Y28" s="1374"/>
      <c r="Z28" s="1372">
        <v>2014</v>
      </c>
      <c r="AA28" s="1373"/>
      <c r="AB28" s="1373"/>
      <c r="AC28" s="1374"/>
      <c r="AD28" s="1372">
        <v>2015</v>
      </c>
      <c r="AE28" s="1374"/>
      <c r="AG28" s="257" t="s">
        <v>663</v>
      </c>
    </row>
    <row r="29" spans="1:33" ht="12.95" customHeight="1" thickBot="1">
      <c r="A29" s="868" t="s">
        <v>57</v>
      </c>
      <c r="B29" s="868"/>
      <c r="C29" s="194" t="s">
        <v>610</v>
      </c>
      <c r="D29" s="206"/>
      <c r="E29" s="207"/>
      <c r="F29" s="209"/>
      <c r="G29" s="206"/>
      <c r="H29" s="206"/>
      <c r="I29" s="207"/>
      <c r="J29" s="209"/>
      <c r="K29" s="206"/>
      <c r="L29" s="206"/>
      <c r="M29" s="207"/>
      <c r="N29" s="277"/>
      <c r="O29" s="278">
        <f>('State Efficiency Ratios'!O193+'State Efficiency Ratios'!O216+'State Efficiency Ratios'!O239)/3</f>
        <v>-6.7102192969779368</v>
      </c>
      <c r="P29" s="278"/>
      <c r="Q29" s="279"/>
      <c r="R29" s="277"/>
      <c r="S29" s="278"/>
      <c r="T29" s="278"/>
      <c r="U29" s="278">
        <f>('State Efficiency Ratios'!U193+'State Efficiency Ratios'!U216+'State Efficiency Ratios'!U239)/3</f>
        <v>81.813273379157664</v>
      </c>
      <c r="V29" s="277"/>
      <c r="W29" s="278"/>
      <c r="X29" s="278"/>
      <c r="Y29" s="278">
        <f>('State Efficiency Ratios'!Y193+'State Efficiency Ratios'!Y216+'State Efficiency Ratios'!Y239)/3</f>
        <v>194.97292991705524</v>
      </c>
      <c r="Z29" s="277"/>
      <c r="AA29" s="278"/>
      <c r="AB29" s="278"/>
      <c r="AC29" s="278">
        <f>('State Efficiency Ratios'!AC193+'State Efficiency Ratios'!AC216+'State Efficiency Ratios'!AC239)/3</f>
        <v>-561.90604689016914</v>
      </c>
      <c r="AD29" s="277"/>
      <c r="AE29" s="280"/>
      <c r="AG29" s="295"/>
    </row>
    <row r="30" spans="1:33" ht="13.5" thickBot="1">
      <c r="A30" s="885"/>
      <c r="B30" s="885"/>
      <c r="C30" s="194" t="s">
        <v>611</v>
      </c>
      <c r="D30" s="206"/>
      <c r="E30" s="207"/>
      <c r="F30" s="209"/>
      <c r="G30" s="206"/>
      <c r="H30" s="206"/>
      <c r="I30" s="207"/>
      <c r="J30" s="209"/>
      <c r="K30" s="206"/>
      <c r="L30" s="206"/>
      <c r="M30" s="207"/>
      <c r="N30" s="277"/>
      <c r="O30" s="278">
        <f>('State Efficiency Ratios'!O194+'State Efficiency Ratios'!O217+'State Efficiency Ratios'!O240)/3</f>
        <v>82.655435495965449</v>
      </c>
      <c r="P30" s="278"/>
      <c r="Q30" s="279"/>
      <c r="R30" s="277"/>
      <c r="S30" s="278"/>
      <c r="T30" s="278"/>
      <c r="U30" s="278">
        <f>('State Efficiency Ratios'!U194+'State Efficiency Ratios'!U217+'State Efficiency Ratios'!U240)/3</f>
        <v>-32.083271069673906</v>
      </c>
      <c r="V30" s="277"/>
      <c r="W30" s="278"/>
      <c r="X30" s="278"/>
      <c r="Y30" s="278">
        <f>('State Efficiency Ratios'!Y194+'State Efficiency Ratios'!Y217+'State Efficiency Ratios'!Y240)/3</f>
        <v>262.59048533705931</v>
      </c>
      <c r="Z30" s="277"/>
      <c r="AA30" s="278"/>
      <c r="AB30" s="278"/>
      <c r="AC30" s="278">
        <f>('State Efficiency Ratios'!AC194+'State Efficiency Ratios'!AC217+'State Efficiency Ratios'!AC240)/3</f>
        <v>-717.01908355537898</v>
      </c>
      <c r="AD30" s="277"/>
      <c r="AE30" s="280"/>
      <c r="AG30" s="295"/>
    </row>
    <row r="31" spans="1:33" ht="13.5" thickBot="1">
      <c r="A31" s="885"/>
      <c r="B31" s="885"/>
      <c r="C31" s="194" t="s">
        <v>612</v>
      </c>
      <c r="D31" s="206"/>
      <c r="E31" s="207"/>
      <c r="F31" s="209"/>
      <c r="G31" s="206"/>
      <c r="H31" s="206"/>
      <c r="I31" s="207"/>
      <c r="J31" s="209"/>
      <c r="K31" s="206"/>
      <c r="L31" s="206"/>
      <c r="M31" s="207"/>
      <c r="N31" s="277"/>
      <c r="O31" s="278">
        <f>('State Efficiency Ratios'!O195+'State Efficiency Ratios'!O218+'State Efficiency Ratios'!O241)/3</f>
        <v>26.572778608553332</v>
      </c>
      <c r="P31" s="278"/>
      <c r="Q31" s="279"/>
      <c r="R31" s="277"/>
      <c r="S31" s="278"/>
      <c r="T31" s="278"/>
      <c r="U31" s="278">
        <f>('State Efficiency Ratios'!U195+'State Efficiency Ratios'!U218+'State Efficiency Ratios'!U241)/3</f>
        <v>106.54693228493686</v>
      </c>
      <c r="V31" s="277"/>
      <c r="W31" s="278"/>
      <c r="X31" s="278"/>
      <c r="Y31" s="278">
        <f>('State Efficiency Ratios'!Y195+'State Efficiency Ratios'!Y218+'State Efficiency Ratios'!Y241)/3</f>
        <v>110.75599043396028</v>
      </c>
      <c r="Z31" s="277"/>
      <c r="AA31" s="278"/>
      <c r="AB31" s="278"/>
      <c r="AC31" s="278">
        <f>('State Efficiency Ratios'!AC195+'State Efficiency Ratios'!AC218+'State Efficiency Ratios'!AC241)/3</f>
        <v>-657.3008464249699</v>
      </c>
      <c r="AD31" s="277"/>
      <c r="AE31" s="280"/>
      <c r="AG31" s="295"/>
    </row>
    <row r="32" spans="1:33" ht="13.5" thickBot="1">
      <c r="A32" s="885"/>
      <c r="B32" s="885"/>
      <c r="C32" s="194" t="s">
        <v>613</v>
      </c>
      <c r="D32" s="206"/>
      <c r="E32" s="207"/>
      <c r="F32" s="209"/>
      <c r="G32" s="206"/>
      <c r="H32" s="206"/>
      <c r="I32" s="207"/>
      <c r="J32" s="209"/>
      <c r="K32" s="206"/>
      <c r="L32" s="206"/>
      <c r="M32" s="207"/>
      <c r="N32" s="277"/>
      <c r="O32" s="278">
        <f>('State Efficiency Ratios'!O196+'State Efficiency Ratios'!O219+'State Efficiency Ratios'!O242)/3</f>
        <v>15.619610415948294</v>
      </c>
      <c r="P32" s="278"/>
      <c r="Q32" s="279"/>
      <c r="R32" s="277"/>
      <c r="S32" s="278"/>
      <c r="T32" s="278"/>
      <c r="U32" s="278">
        <f>('State Efficiency Ratios'!U196+'State Efficiency Ratios'!U219+'State Efficiency Ratios'!U242)/3</f>
        <v>130.61206896724758</v>
      </c>
      <c r="V32" s="277"/>
      <c r="W32" s="278"/>
      <c r="X32" s="278"/>
      <c r="Y32" s="278">
        <f>('State Efficiency Ratios'!Y196+'State Efficiency Ratios'!Y219+'State Efficiency Ratios'!Y242)/3</f>
        <v>241.85718589355633</v>
      </c>
      <c r="Z32" s="277"/>
      <c r="AA32" s="278"/>
      <c r="AB32" s="278"/>
      <c r="AC32" s="278">
        <f>('State Efficiency Ratios'!AC196+'State Efficiency Ratios'!AC219+'State Efficiency Ratios'!AC242)/3</f>
        <v>-822.34991191376821</v>
      </c>
      <c r="AD32" s="277"/>
      <c r="AE32" s="280"/>
      <c r="AG32" s="295"/>
    </row>
    <row r="33" spans="1:33" ht="13.5" thickBot="1">
      <c r="A33" s="885"/>
      <c r="B33" s="885"/>
      <c r="C33" s="194" t="s">
        <v>614</v>
      </c>
      <c r="D33" s="206"/>
      <c r="E33" s="207"/>
      <c r="F33" s="209"/>
      <c r="G33" s="206"/>
      <c r="H33" s="206"/>
      <c r="I33" s="207"/>
      <c r="J33" s="209"/>
      <c r="K33" s="206"/>
      <c r="L33" s="206"/>
      <c r="M33" s="207"/>
      <c r="N33" s="277"/>
      <c r="O33" s="278">
        <f>('State Efficiency Ratios'!O197+'State Efficiency Ratios'!O220+'State Efficiency Ratios'!O243)/3</f>
        <v>40.232006516607491</v>
      </c>
      <c r="P33" s="278"/>
      <c r="Q33" s="279"/>
      <c r="R33" s="277"/>
      <c r="S33" s="278"/>
      <c r="T33" s="278"/>
      <c r="U33" s="278">
        <f>('State Efficiency Ratios'!U197+'State Efficiency Ratios'!U220+'State Efficiency Ratios'!U243)/3</f>
        <v>24.124467009382414</v>
      </c>
      <c r="V33" s="277"/>
      <c r="W33" s="278"/>
      <c r="X33" s="278"/>
      <c r="Y33" s="278">
        <f>('State Efficiency Ratios'!Y197+'State Efficiency Ratios'!Y220+'State Efficiency Ratios'!Y243)/3</f>
        <v>164.50908453064162</v>
      </c>
      <c r="Z33" s="277"/>
      <c r="AA33" s="278"/>
      <c r="AB33" s="278"/>
      <c r="AC33" s="278">
        <f>('State Efficiency Ratios'!AC197+'State Efficiency Ratios'!AC220+'State Efficiency Ratios'!AC243)/3</f>
        <v>-419.33429413363342</v>
      </c>
      <c r="AD33" s="277"/>
      <c r="AE33" s="280"/>
      <c r="AG33" s="295"/>
    </row>
    <row r="34" spans="1:33" ht="12.95" customHeight="1" thickBot="1">
      <c r="A34" s="885"/>
      <c r="B34" s="885"/>
      <c r="C34" s="194" t="s">
        <v>615</v>
      </c>
      <c r="D34" s="210"/>
      <c r="E34" s="211"/>
      <c r="F34" s="209"/>
      <c r="G34" s="210"/>
      <c r="H34" s="210"/>
      <c r="I34" s="211"/>
      <c r="J34" s="209"/>
      <c r="K34" s="210"/>
      <c r="L34" s="210"/>
      <c r="M34" s="211"/>
      <c r="N34" s="281"/>
      <c r="O34" s="282"/>
      <c r="P34" s="282"/>
      <c r="Q34" s="282"/>
      <c r="R34" s="277"/>
      <c r="S34" s="278"/>
      <c r="T34" s="278"/>
      <c r="U34" s="278">
        <f>('State Efficiency Ratios'!U198+'State Efficiency Ratios'!U221+'State Efficiency Ratios'!U244)/3</f>
        <v>0</v>
      </c>
      <c r="V34" s="277"/>
      <c r="W34" s="278"/>
      <c r="X34" s="278"/>
      <c r="Y34" s="278">
        <f>('State Efficiency Ratios'!Y198+'State Efficiency Ratios'!Y221+'State Efficiency Ratios'!Y244)/3</f>
        <v>78.409374722834116</v>
      </c>
      <c r="Z34" s="277"/>
      <c r="AA34" s="278"/>
      <c r="AB34" s="278"/>
      <c r="AC34" s="278">
        <f>('State Efficiency Ratios'!AC198+'State Efficiency Ratios'!AC221+'State Efficiency Ratios'!AC244)/3</f>
        <v>-243.03074591539084</v>
      </c>
      <c r="AD34" s="277"/>
      <c r="AE34" s="280"/>
      <c r="AG34" s="295"/>
    </row>
    <row r="35" spans="1:33" ht="12.95" customHeight="1" thickBot="1">
      <c r="A35" s="885"/>
      <c r="B35" s="885"/>
      <c r="C35" s="194" t="s">
        <v>616</v>
      </c>
      <c r="D35" s="210"/>
      <c r="E35" s="211"/>
      <c r="F35" s="209"/>
      <c r="G35" s="210"/>
      <c r="H35" s="210"/>
      <c r="I35" s="211"/>
      <c r="J35" s="209"/>
      <c r="K35" s="210"/>
      <c r="L35" s="210"/>
      <c r="M35" s="211"/>
      <c r="N35" s="281"/>
      <c r="O35" s="282"/>
      <c r="P35" s="282"/>
      <c r="Q35" s="282"/>
      <c r="R35" s="277"/>
      <c r="S35" s="278"/>
      <c r="T35" s="278"/>
      <c r="U35" s="278">
        <f>('State Efficiency Ratios'!U199+'State Efficiency Ratios'!U222+'State Efficiency Ratios'!U245)/3</f>
        <v>47.135785353856612</v>
      </c>
      <c r="V35" s="277"/>
      <c r="W35" s="278"/>
      <c r="X35" s="278"/>
      <c r="Y35" s="278">
        <f>('State Efficiency Ratios'!Y199+'State Efficiency Ratios'!Y222+'State Efficiency Ratios'!Y245)/3</f>
        <v>-39.821421085438388</v>
      </c>
      <c r="Z35" s="277"/>
      <c r="AA35" s="278"/>
      <c r="AB35" s="278"/>
      <c r="AC35" s="278">
        <f>('State Efficiency Ratios'!AC199+'State Efficiency Ratios'!AC222+'State Efficiency Ratios'!AC245)/3</f>
        <v>-148.26742878391096</v>
      </c>
      <c r="AD35" s="277"/>
      <c r="AE35" s="280"/>
      <c r="AG35" s="295"/>
    </row>
    <row r="36" spans="1:33" ht="12.95" customHeight="1" thickBot="1">
      <c r="A36" s="885"/>
      <c r="B36" s="885"/>
      <c r="C36" s="194" t="s">
        <v>617</v>
      </c>
      <c r="D36" s="210"/>
      <c r="E36" s="211"/>
      <c r="F36" s="209"/>
      <c r="G36" s="210"/>
      <c r="H36" s="210"/>
      <c r="I36" s="211"/>
      <c r="J36" s="209"/>
      <c r="K36" s="210"/>
      <c r="L36" s="210"/>
      <c r="M36" s="211"/>
      <c r="N36" s="281"/>
      <c r="O36" s="282"/>
      <c r="P36" s="282"/>
      <c r="Q36" s="282"/>
      <c r="R36" s="277"/>
      <c r="S36" s="278"/>
      <c r="T36" s="278"/>
      <c r="U36" s="278">
        <f>('State Efficiency Ratios'!U200+'State Efficiency Ratios'!U223+'State Efficiency Ratios'!U246)/3</f>
        <v>0</v>
      </c>
      <c r="V36" s="277"/>
      <c r="W36" s="278"/>
      <c r="X36" s="278"/>
      <c r="Y36" s="278">
        <f>('State Efficiency Ratios'!Y200+'State Efficiency Ratios'!Y223+'State Efficiency Ratios'!Y246)/3</f>
        <v>226.40067175835961</v>
      </c>
      <c r="Z36" s="277"/>
      <c r="AA36" s="278"/>
      <c r="AB36" s="278"/>
      <c r="AC36" s="278">
        <f>('State Efficiency Ratios'!AC200+'State Efficiency Ratios'!AC223+'State Efficiency Ratios'!AC246)/3</f>
        <v>-448.15923419507163</v>
      </c>
      <c r="AD36" s="277"/>
      <c r="AE36" s="280"/>
      <c r="AG36" s="295"/>
    </row>
    <row r="37" spans="1:33" ht="12.95" customHeight="1" thickBot="1">
      <c r="A37" s="885"/>
      <c r="B37" s="885"/>
      <c r="C37" s="194" t="s">
        <v>618</v>
      </c>
      <c r="D37" s="210"/>
      <c r="E37" s="211"/>
      <c r="F37" s="209"/>
      <c r="G37" s="210"/>
      <c r="H37" s="210"/>
      <c r="I37" s="211"/>
      <c r="J37" s="209"/>
      <c r="K37" s="210"/>
      <c r="L37" s="210"/>
      <c r="M37" s="211"/>
      <c r="N37" s="281"/>
      <c r="O37" s="282"/>
      <c r="P37" s="282"/>
      <c r="Q37" s="283"/>
      <c r="R37" s="281"/>
      <c r="S37" s="282"/>
      <c r="T37" s="282"/>
      <c r="U37" s="283"/>
      <c r="V37" s="281"/>
      <c r="W37" s="282"/>
      <c r="X37" s="282"/>
      <c r="Y37" s="283"/>
      <c r="Z37" s="277"/>
      <c r="AA37" s="278"/>
      <c r="AB37" s="278"/>
      <c r="AC37" s="278">
        <f>('State Efficiency Ratios'!AC201+'State Efficiency Ratios'!AC224+'State Efficiency Ratios'!AC247)/3</f>
        <v>-360.993948842696</v>
      </c>
      <c r="AD37" s="277"/>
      <c r="AE37" s="280"/>
      <c r="AG37" s="295"/>
    </row>
    <row r="38" spans="1:33" ht="12.95" customHeight="1" thickBot="1">
      <c r="A38" s="869"/>
      <c r="B38" s="869"/>
      <c r="C38" s="194" t="s">
        <v>619</v>
      </c>
      <c r="D38" s="210"/>
      <c r="E38" s="211"/>
      <c r="F38" s="209"/>
      <c r="G38" s="210"/>
      <c r="H38" s="210"/>
      <c r="I38" s="211"/>
      <c r="J38" s="209"/>
      <c r="K38" s="210"/>
      <c r="L38" s="210"/>
      <c r="M38" s="211"/>
      <c r="N38" s="281"/>
      <c r="O38" s="282"/>
      <c r="P38" s="282"/>
      <c r="Q38" s="283"/>
      <c r="R38" s="281"/>
      <c r="S38" s="282"/>
      <c r="T38" s="282"/>
      <c r="U38" s="283"/>
      <c r="V38" s="281"/>
      <c r="W38" s="282"/>
      <c r="X38" s="282"/>
      <c r="Y38" s="283"/>
      <c r="Z38" s="277"/>
      <c r="AA38" s="278"/>
      <c r="AB38" s="278"/>
      <c r="AC38" s="278">
        <f>('State Efficiency Ratios'!AC202+'State Efficiency Ratios'!AC225+'State Efficiency Ratios'!AC248)/3</f>
        <v>-219.08242041366648</v>
      </c>
      <c r="AD38" s="277"/>
      <c r="AE38" s="280"/>
      <c r="AG38" s="295"/>
    </row>
    <row r="39" spans="1:33" ht="13.5" thickBot="1">
      <c r="A39" s="5"/>
      <c r="B39" s="5"/>
      <c r="C39" s="6"/>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row>
    <row r="40" spans="1:33" ht="12.95" customHeight="1" thickBot="1">
      <c r="A40" s="347" t="s">
        <v>15</v>
      </c>
      <c r="B40" s="349" t="s">
        <v>733</v>
      </c>
      <c r="C40" s="8"/>
      <c r="D40" s="1377">
        <v>2008</v>
      </c>
      <c r="E40" s="1378"/>
      <c r="F40" s="1372">
        <v>2009</v>
      </c>
      <c r="G40" s="1373"/>
      <c r="H40" s="1373"/>
      <c r="I40" s="1374"/>
      <c r="J40" s="1372">
        <v>2010</v>
      </c>
      <c r="K40" s="1373"/>
      <c r="L40" s="1373"/>
      <c r="M40" s="1374"/>
      <c r="N40" s="1372">
        <v>2011</v>
      </c>
      <c r="O40" s="1373"/>
      <c r="P40" s="1373"/>
      <c r="Q40" s="1374"/>
      <c r="R40" s="1372">
        <v>2012</v>
      </c>
      <c r="S40" s="1373"/>
      <c r="T40" s="1373"/>
      <c r="U40" s="1374"/>
      <c r="V40" s="1372">
        <v>2013</v>
      </c>
      <c r="W40" s="1373"/>
      <c r="X40" s="1373"/>
      <c r="Y40" s="1374"/>
      <c r="Z40" s="1372">
        <v>2014</v>
      </c>
      <c r="AA40" s="1373"/>
      <c r="AB40" s="1373"/>
      <c r="AC40" s="1374"/>
      <c r="AD40" s="1372">
        <v>2015</v>
      </c>
      <c r="AE40" s="1374"/>
      <c r="AG40" s="257" t="s">
        <v>663</v>
      </c>
    </row>
    <row r="41" spans="1:33" ht="12.95" customHeight="1" thickBot="1">
      <c r="A41" s="868" t="s">
        <v>61</v>
      </c>
      <c r="B41" s="868"/>
      <c r="C41" s="194" t="s">
        <v>610</v>
      </c>
      <c r="D41" s="206"/>
      <c r="E41" s="207"/>
      <c r="F41" s="209"/>
      <c r="G41" s="206"/>
      <c r="H41" s="206"/>
      <c r="I41" s="207"/>
      <c r="J41" s="209"/>
      <c r="K41" s="206"/>
      <c r="L41" s="206"/>
      <c r="M41" s="207"/>
      <c r="N41" s="277"/>
      <c r="O41" s="278">
        <f>('State Efficiency Ratios'!O268+'State Efficiency Ratios'!O291+'State Efficiency Ratios'!O314)/3</f>
        <v>-44.170979134000454</v>
      </c>
      <c r="P41" s="278"/>
      <c r="Q41" s="279"/>
      <c r="R41" s="277"/>
      <c r="S41" s="278"/>
      <c r="T41" s="278"/>
      <c r="U41" s="278">
        <f>('State Efficiency Ratios'!U268+'State Efficiency Ratios'!U291+'State Efficiency Ratios'!U314)/3</f>
        <v>181.58235135144571</v>
      </c>
      <c r="V41" s="277"/>
      <c r="W41" s="278"/>
      <c r="X41" s="278"/>
      <c r="Y41" s="278">
        <f>('State Efficiency Ratios'!Y268+'State Efficiency Ratios'!Y291+'State Efficiency Ratios'!Y314)/3</f>
        <v>187.49772537629349</v>
      </c>
      <c r="Z41" s="277"/>
      <c r="AA41" s="278"/>
      <c r="AB41" s="278"/>
      <c r="AC41" s="278">
        <f>('State Efficiency Ratios'!AC268+'State Efficiency Ratios'!AC291+'State Efficiency Ratios'!AC314)/3</f>
        <v>-519.79582257523532</v>
      </c>
      <c r="AD41" s="277"/>
      <c r="AE41" s="280"/>
      <c r="AG41" s="295"/>
    </row>
    <row r="42" spans="1:33" ht="13.5" thickBot="1">
      <c r="A42" s="885"/>
      <c r="B42" s="885"/>
      <c r="C42" s="194" t="s">
        <v>611</v>
      </c>
      <c r="D42" s="206"/>
      <c r="E42" s="207"/>
      <c r="F42" s="209"/>
      <c r="G42" s="206"/>
      <c r="H42" s="206"/>
      <c r="I42" s="207"/>
      <c r="J42" s="209"/>
      <c r="K42" s="206"/>
      <c r="L42" s="206"/>
      <c r="M42" s="207"/>
      <c r="N42" s="277"/>
      <c r="O42" s="278">
        <f>('State Efficiency Ratios'!O269+'State Efficiency Ratios'!O292+'State Efficiency Ratios'!O315)/3</f>
        <v>44.120869158320914</v>
      </c>
      <c r="P42" s="278"/>
      <c r="Q42" s="279"/>
      <c r="R42" s="277"/>
      <c r="S42" s="278"/>
      <c r="T42" s="278"/>
      <c r="U42" s="278">
        <f>('State Efficiency Ratios'!U269+'State Efficiency Ratios'!U292+'State Efficiency Ratios'!U315)/3</f>
        <v>104.94831152364041</v>
      </c>
      <c r="V42" s="277"/>
      <c r="W42" s="278"/>
      <c r="X42" s="278"/>
      <c r="Y42" s="278">
        <f>('State Efficiency Ratios'!Y269+'State Efficiency Ratios'!Y292+'State Efficiency Ratios'!Y315)/3</f>
        <v>188.75578874613211</v>
      </c>
      <c r="Z42" s="277"/>
      <c r="AA42" s="278"/>
      <c r="AB42" s="278"/>
      <c r="AC42" s="278">
        <f>('State Efficiency Ratios'!AC269+'State Efficiency Ratios'!AC292+'State Efficiency Ratios'!AC315)/3</f>
        <v>-698.05426617330193</v>
      </c>
      <c r="AD42" s="277"/>
      <c r="AE42" s="280"/>
      <c r="AG42" s="295"/>
    </row>
    <row r="43" spans="1:33" ht="13.5" thickBot="1">
      <c r="A43" s="885"/>
      <c r="B43" s="885"/>
      <c r="C43" s="194" t="s">
        <v>612</v>
      </c>
      <c r="D43" s="206"/>
      <c r="E43" s="207"/>
      <c r="F43" s="209"/>
      <c r="G43" s="206"/>
      <c r="H43" s="206"/>
      <c r="I43" s="207"/>
      <c r="J43" s="209"/>
      <c r="K43" s="206"/>
      <c r="L43" s="206"/>
      <c r="M43" s="207"/>
      <c r="N43" s="277"/>
      <c r="O43" s="278">
        <f>('State Efficiency Ratios'!O270+'State Efficiency Ratios'!O293+'State Efficiency Ratios'!O316)/3</f>
        <v>7.9872057965159842</v>
      </c>
      <c r="P43" s="278"/>
      <c r="Q43" s="279"/>
      <c r="R43" s="277"/>
      <c r="S43" s="278"/>
      <c r="T43" s="278"/>
      <c r="U43" s="278">
        <f>('State Efficiency Ratios'!U270+'State Efficiency Ratios'!U293+'State Efficiency Ratios'!U316)/3</f>
        <v>121.43458301754087</v>
      </c>
      <c r="V43" s="277"/>
      <c r="W43" s="278"/>
      <c r="X43" s="278"/>
      <c r="Y43" s="278">
        <f>('State Efficiency Ratios'!Y270+'State Efficiency Ratios'!Y293+'State Efficiency Ratios'!Y316)/3</f>
        <v>99.403643723130855</v>
      </c>
      <c r="Z43" s="277"/>
      <c r="AA43" s="278"/>
      <c r="AB43" s="278"/>
      <c r="AC43" s="278">
        <f>('State Efficiency Ratios'!AC270+'State Efficiency Ratios'!AC293+'State Efficiency Ratios'!AC316)/3</f>
        <v>-574.78940859309671</v>
      </c>
      <c r="AD43" s="277"/>
      <c r="AE43" s="280"/>
      <c r="AG43" s="295"/>
    </row>
    <row r="44" spans="1:33" ht="13.5" thickBot="1">
      <c r="A44" s="885"/>
      <c r="B44" s="885"/>
      <c r="C44" s="194" t="s">
        <v>613</v>
      </c>
      <c r="D44" s="206"/>
      <c r="E44" s="207"/>
      <c r="F44" s="209"/>
      <c r="G44" s="206"/>
      <c r="H44" s="206"/>
      <c r="I44" s="207"/>
      <c r="J44" s="209"/>
      <c r="K44" s="206"/>
      <c r="L44" s="206"/>
      <c r="M44" s="207"/>
      <c r="N44" s="277"/>
      <c r="O44" s="278">
        <f>('State Efficiency Ratios'!O271+'State Efficiency Ratios'!O294+'State Efficiency Ratios'!O317)/3</f>
        <v>32.860963570000365</v>
      </c>
      <c r="P44" s="278"/>
      <c r="Q44" s="279"/>
      <c r="R44" s="277"/>
      <c r="S44" s="278"/>
      <c r="T44" s="278"/>
      <c r="U44" s="278">
        <f>('State Efficiency Ratios'!U271+'State Efficiency Ratios'!U294+'State Efficiency Ratios'!U317)/3</f>
        <v>150.58197173093859</v>
      </c>
      <c r="V44" s="277"/>
      <c r="W44" s="278"/>
      <c r="X44" s="278"/>
      <c r="Y44" s="278">
        <f>('State Efficiency Ratios'!Y271+'State Efficiency Ratios'!Y294+'State Efficiency Ratios'!Y317)/3</f>
        <v>173.93937917039992</v>
      </c>
      <c r="Z44" s="277"/>
      <c r="AA44" s="278"/>
      <c r="AB44" s="278"/>
      <c r="AC44" s="278">
        <f>('State Efficiency Ratios'!AC271+'State Efficiency Ratios'!AC294+'State Efficiency Ratios'!AC317)/3</f>
        <v>-585.77049971096676</v>
      </c>
      <c r="AD44" s="277"/>
      <c r="AE44" s="280"/>
      <c r="AG44" s="295"/>
    </row>
    <row r="45" spans="1:33" ht="13.5" thickBot="1">
      <c r="A45" s="885"/>
      <c r="B45" s="885"/>
      <c r="C45" s="194" t="s">
        <v>614</v>
      </c>
      <c r="D45" s="206"/>
      <c r="E45" s="207"/>
      <c r="F45" s="209"/>
      <c r="G45" s="206"/>
      <c r="H45" s="206"/>
      <c r="I45" s="207"/>
      <c r="J45" s="209"/>
      <c r="K45" s="206"/>
      <c r="L45" s="206"/>
      <c r="M45" s="207"/>
      <c r="N45" s="277"/>
      <c r="O45" s="278">
        <f>('State Efficiency Ratios'!O272+'State Efficiency Ratios'!O295+'State Efficiency Ratios'!O318)/3</f>
        <v>3.7868245803757321</v>
      </c>
      <c r="P45" s="278"/>
      <c r="Q45" s="279"/>
      <c r="R45" s="277"/>
      <c r="S45" s="278"/>
      <c r="T45" s="278"/>
      <c r="U45" s="278">
        <f>('State Efficiency Ratios'!U272+'State Efficiency Ratios'!U295+'State Efficiency Ratios'!U318)/3</f>
        <v>103.43900502192325</v>
      </c>
      <c r="V45" s="277"/>
      <c r="W45" s="278"/>
      <c r="X45" s="278"/>
      <c r="Y45" s="278">
        <f>('State Efficiency Ratios'!Y272+'State Efficiency Ratios'!Y295+'State Efficiency Ratios'!Y318)/3</f>
        <v>150.62212538601838</v>
      </c>
      <c r="Z45" s="277"/>
      <c r="AA45" s="278"/>
      <c r="AB45" s="278"/>
      <c r="AC45" s="278">
        <f>('State Efficiency Ratios'!AC272+'State Efficiency Ratios'!AC295+'State Efficiency Ratios'!AC318)/3</f>
        <v>-459.50382002143323</v>
      </c>
      <c r="AD45" s="277"/>
      <c r="AE45" s="280"/>
      <c r="AG45" s="295"/>
    </row>
    <row r="46" spans="1:33" ht="12.95" customHeight="1" thickBot="1">
      <c r="A46" s="885"/>
      <c r="B46" s="885"/>
      <c r="C46" s="194" t="s">
        <v>615</v>
      </c>
      <c r="D46" s="210"/>
      <c r="E46" s="211"/>
      <c r="F46" s="209"/>
      <c r="G46" s="210"/>
      <c r="H46" s="210"/>
      <c r="I46" s="211"/>
      <c r="J46" s="209"/>
      <c r="K46" s="210"/>
      <c r="L46" s="210"/>
      <c r="M46" s="211"/>
      <c r="N46" s="281"/>
      <c r="O46" s="282"/>
      <c r="P46" s="282"/>
      <c r="Q46" s="282"/>
      <c r="R46" s="277"/>
      <c r="S46" s="278"/>
      <c r="T46" s="278"/>
      <c r="U46" s="278">
        <f>('State Efficiency Ratios'!U273+'State Efficiency Ratios'!U296+'State Efficiency Ratios'!U319)/3</f>
        <v>0</v>
      </c>
      <c r="V46" s="277"/>
      <c r="W46" s="278"/>
      <c r="X46" s="278"/>
      <c r="Y46" s="278">
        <f>('State Efficiency Ratios'!Y273+'State Efficiency Ratios'!Y296+'State Efficiency Ratios'!Y319)/3</f>
        <v>271.86934912079772</v>
      </c>
      <c r="Z46" s="277"/>
      <c r="AA46" s="278"/>
      <c r="AB46" s="278"/>
      <c r="AC46" s="278">
        <f>('State Efficiency Ratios'!AC273+'State Efficiency Ratios'!AC296+'State Efficiency Ratios'!AC319)/3</f>
        <v>-403.77575013598289</v>
      </c>
      <c r="AD46" s="277"/>
      <c r="AE46" s="280"/>
      <c r="AG46" s="295"/>
    </row>
    <row r="47" spans="1:33" ht="12.95" customHeight="1" thickBot="1">
      <c r="A47" s="885"/>
      <c r="B47" s="885"/>
      <c r="C47" s="194" t="s">
        <v>616</v>
      </c>
      <c r="D47" s="210"/>
      <c r="E47" s="211"/>
      <c r="F47" s="209"/>
      <c r="G47" s="210"/>
      <c r="H47" s="210"/>
      <c r="I47" s="211"/>
      <c r="J47" s="209"/>
      <c r="K47" s="210"/>
      <c r="L47" s="210"/>
      <c r="M47" s="211"/>
      <c r="N47" s="281"/>
      <c r="O47" s="282"/>
      <c r="P47" s="282"/>
      <c r="Q47" s="282"/>
      <c r="R47" s="277"/>
      <c r="S47" s="278"/>
      <c r="T47" s="278"/>
      <c r="U47" s="278">
        <f>('State Efficiency Ratios'!U274+'State Efficiency Ratios'!U297+'State Efficiency Ratios'!U320)/3</f>
        <v>0</v>
      </c>
      <c r="V47" s="277"/>
      <c r="W47" s="278"/>
      <c r="X47" s="278"/>
      <c r="Y47" s="278">
        <f>('State Efficiency Ratios'!Y274+'State Efficiency Ratios'!Y297+'State Efficiency Ratios'!Y320)/3</f>
        <v>9.3799819845074577</v>
      </c>
      <c r="Z47" s="277"/>
      <c r="AA47" s="278"/>
      <c r="AB47" s="278"/>
      <c r="AC47" s="278">
        <f>('State Efficiency Ratios'!AC274+'State Efficiency Ratios'!AC297+'State Efficiency Ratios'!AC320)/3</f>
        <v>-184.05898848146299</v>
      </c>
      <c r="AD47" s="277"/>
      <c r="AE47" s="280"/>
      <c r="AG47" s="295"/>
    </row>
    <row r="48" spans="1:33" ht="12.95" customHeight="1" thickBot="1">
      <c r="A48" s="885"/>
      <c r="B48" s="885"/>
      <c r="C48" s="194" t="s">
        <v>617</v>
      </c>
      <c r="D48" s="210"/>
      <c r="E48" s="211"/>
      <c r="F48" s="209"/>
      <c r="G48" s="210"/>
      <c r="H48" s="210"/>
      <c r="I48" s="211"/>
      <c r="J48" s="209"/>
      <c r="K48" s="210"/>
      <c r="L48" s="210"/>
      <c r="M48" s="211"/>
      <c r="N48" s="281"/>
      <c r="O48" s="282"/>
      <c r="P48" s="282"/>
      <c r="Q48" s="282"/>
      <c r="R48" s="277"/>
      <c r="S48" s="278"/>
      <c r="T48" s="278"/>
      <c r="U48" s="278">
        <f>('State Efficiency Ratios'!U275+'State Efficiency Ratios'!U298+'State Efficiency Ratios'!U321)/3</f>
        <v>0</v>
      </c>
      <c r="V48" s="277"/>
      <c r="W48" s="278"/>
      <c r="X48" s="278"/>
      <c r="Y48" s="278">
        <f>('State Efficiency Ratios'!Y275+'State Efficiency Ratios'!Y298+'State Efficiency Ratios'!Y321)/3</f>
        <v>591.27779326338361</v>
      </c>
      <c r="Z48" s="277"/>
      <c r="AA48" s="278"/>
      <c r="AB48" s="278"/>
      <c r="AC48" s="278">
        <f>('State Efficiency Ratios'!AC275+'State Efficiency Ratios'!AC298+'State Efficiency Ratios'!AC321)/3</f>
        <v>-622.5970529861662</v>
      </c>
      <c r="AD48" s="277"/>
      <c r="AE48" s="280"/>
      <c r="AG48" s="295"/>
    </row>
    <row r="49" spans="1:33" ht="12.95" customHeight="1" thickBot="1">
      <c r="A49" s="885"/>
      <c r="B49" s="885"/>
      <c r="C49" s="194" t="s">
        <v>618</v>
      </c>
      <c r="D49" s="210"/>
      <c r="E49" s="211"/>
      <c r="F49" s="209"/>
      <c r="G49" s="210"/>
      <c r="H49" s="210"/>
      <c r="I49" s="211"/>
      <c r="J49" s="209"/>
      <c r="K49" s="210"/>
      <c r="L49" s="210"/>
      <c r="M49" s="211"/>
      <c r="N49" s="281"/>
      <c r="O49" s="282"/>
      <c r="P49" s="282"/>
      <c r="Q49" s="283"/>
      <c r="R49" s="281"/>
      <c r="S49" s="282"/>
      <c r="T49" s="282"/>
      <c r="U49" s="283"/>
      <c r="V49" s="281"/>
      <c r="W49" s="282"/>
      <c r="X49" s="282"/>
      <c r="Y49" s="283"/>
      <c r="Z49" s="277"/>
      <c r="AA49" s="278"/>
      <c r="AB49" s="278"/>
      <c r="AC49" s="278">
        <f>('State Efficiency Ratios'!AC276+'State Efficiency Ratios'!AC299+'State Efficiency Ratios'!AC322)/3</f>
        <v>-222.59127765694231</v>
      </c>
      <c r="AD49" s="277"/>
      <c r="AE49" s="280"/>
      <c r="AG49" s="295"/>
    </row>
    <row r="50" spans="1:33" ht="12.95" customHeight="1" thickBot="1">
      <c r="A50" s="869"/>
      <c r="B50" s="869"/>
      <c r="C50" s="194" t="s">
        <v>619</v>
      </c>
      <c r="D50" s="210"/>
      <c r="E50" s="211"/>
      <c r="F50" s="209"/>
      <c r="G50" s="210"/>
      <c r="H50" s="210"/>
      <c r="I50" s="211"/>
      <c r="J50" s="209"/>
      <c r="K50" s="210"/>
      <c r="L50" s="210"/>
      <c r="M50" s="211"/>
      <c r="N50" s="281"/>
      <c r="O50" s="282"/>
      <c r="P50" s="282"/>
      <c r="Q50" s="283"/>
      <c r="R50" s="281"/>
      <c r="S50" s="282"/>
      <c r="T50" s="282"/>
      <c r="U50" s="283"/>
      <c r="V50" s="281"/>
      <c r="W50" s="282"/>
      <c r="X50" s="282"/>
      <c r="Y50" s="283"/>
      <c r="Z50" s="277"/>
      <c r="AA50" s="278"/>
      <c r="AB50" s="278"/>
      <c r="AC50" s="278">
        <f>('State Efficiency Ratios'!AC277+'State Efficiency Ratios'!AC300+'State Efficiency Ratios'!AC323)/3</f>
        <v>-226.48559689242404</v>
      </c>
      <c r="AD50" s="277"/>
      <c r="AE50" s="280"/>
      <c r="AG50" s="295"/>
    </row>
    <row r="51" spans="1:33" ht="13.5" thickBot="1"/>
    <row r="52" spans="1:33" ht="12.95" customHeight="1" thickBot="1">
      <c r="A52" s="347" t="s">
        <v>26</v>
      </c>
      <c r="B52" s="349" t="s">
        <v>736</v>
      </c>
      <c r="C52" s="8"/>
      <c r="D52" s="1377">
        <v>2008</v>
      </c>
      <c r="E52" s="1378"/>
      <c r="F52" s="1372">
        <v>2009</v>
      </c>
      <c r="G52" s="1373"/>
      <c r="H52" s="1373"/>
      <c r="I52" s="1374"/>
      <c r="J52" s="1372">
        <v>2010</v>
      </c>
      <c r="K52" s="1373"/>
      <c r="L52" s="1373"/>
      <c r="M52" s="1374"/>
      <c r="N52" s="1372">
        <v>2011</v>
      </c>
      <c r="O52" s="1373"/>
      <c r="P52" s="1373"/>
      <c r="Q52" s="1374"/>
      <c r="R52" s="1372">
        <v>2012</v>
      </c>
      <c r="S52" s="1373"/>
      <c r="T52" s="1373"/>
      <c r="U52" s="1374"/>
      <c r="V52" s="1372">
        <v>2013</v>
      </c>
      <c r="W52" s="1373"/>
      <c r="X52" s="1373"/>
      <c r="Y52" s="1374"/>
      <c r="Z52" s="1372">
        <v>2014</v>
      </c>
      <c r="AA52" s="1373"/>
      <c r="AB52" s="1373"/>
      <c r="AC52" s="1374"/>
      <c r="AD52" s="1372">
        <v>2015</v>
      </c>
      <c r="AE52" s="1374"/>
    </row>
    <row r="53" spans="1:33" ht="12.95" customHeight="1" thickBot="1">
      <c r="A53" s="1385" t="s">
        <v>64</v>
      </c>
      <c r="B53" s="1386"/>
      <c r="C53" s="194" t="s">
        <v>610</v>
      </c>
      <c r="D53" s="206"/>
      <c r="E53" s="207"/>
      <c r="F53" s="209"/>
      <c r="G53" s="206"/>
      <c r="H53" s="206"/>
      <c r="I53" s="207"/>
      <c r="J53" s="209"/>
      <c r="K53" s="206"/>
      <c r="L53" s="206"/>
      <c r="M53" s="207"/>
      <c r="N53" s="277"/>
      <c r="O53" s="278">
        <f>('State Efficiency Ratios'!O344+'State Efficiency Ratios'!O368)/2</f>
        <v>11.24272107849329</v>
      </c>
      <c r="P53" s="278"/>
      <c r="Q53" s="279"/>
      <c r="R53" s="277"/>
      <c r="S53" s="278"/>
      <c r="T53" s="278"/>
      <c r="U53" s="278">
        <f>('State Efficiency Ratios'!U344+'State Efficiency Ratios'!U368)/2</f>
        <v>62.256728496716519</v>
      </c>
      <c r="V53" s="277"/>
      <c r="W53" s="278"/>
      <c r="X53" s="278"/>
      <c r="Y53" s="278">
        <f>('State Efficiency Ratios'!Y344+'State Efficiency Ratios'!Y368+'State Efficiency Ratios'!Y392+'State Efficiency Ratios'!Y415)/4</f>
        <v>106.2156728071563</v>
      </c>
      <c r="Z53" s="277"/>
      <c r="AA53" s="278"/>
      <c r="AB53" s="278"/>
      <c r="AC53" s="278">
        <f>('State Efficiency Ratios'!AC344+'State Efficiency Ratios'!AC368+'State Efficiency Ratios'!AC392+'State Efficiency Ratios'!AC415)/4</f>
        <v>-478.21525947330019</v>
      </c>
      <c r="AD53" s="277"/>
      <c r="AE53" s="280"/>
      <c r="AG53" s="295"/>
    </row>
    <row r="54" spans="1:33" ht="13.5" thickBot="1">
      <c r="A54" s="1386"/>
      <c r="B54" s="1386"/>
      <c r="C54" s="194" t="s">
        <v>611</v>
      </c>
      <c r="D54" s="206"/>
      <c r="E54" s="207"/>
      <c r="F54" s="209"/>
      <c r="G54" s="206"/>
      <c r="H54" s="206"/>
      <c r="I54" s="207"/>
      <c r="J54" s="209"/>
      <c r="K54" s="206"/>
      <c r="L54" s="206"/>
      <c r="M54" s="207"/>
      <c r="N54" s="277"/>
      <c r="O54" s="278">
        <f>('State Efficiency Ratios'!O345+'State Efficiency Ratios'!O369)/2</f>
        <v>27.670911003820972</v>
      </c>
      <c r="P54" s="278"/>
      <c r="Q54" s="279"/>
      <c r="R54" s="277"/>
      <c r="S54" s="278"/>
      <c r="T54" s="278"/>
      <c r="U54" s="278">
        <f>('State Efficiency Ratios'!U345+'State Efficiency Ratios'!U369)/2</f>
        <v>67.841622221159128</v>
      </c>
      <c r="V54" s="277"/>
      <c r="W54" s="278"/>
      <c r="X54" s="278"/>
      <c r="Y54" s="278">
        <f>('State Efficiency Ratios'!Y345+'State Efficiency Ratios'!Y369+'State Efficiency Ratios'!Y393+'State Efficiency Ratios'!Y416)/4</f>
        <v>65.954028445491772</v>
      </c>
      <c r="Z54" s="277"/>
      <c r="AA54" s="278"/>
      <c r="AB54" s="278"/>
      <c r="AC54" s="278">
        <f>('State Efficiency Ratios'!AC345+'State Efficiency Ratios'!AC369+'State Efficiency Ratios'!AC393+'State Efficiency Ratios'!AC416)/4</f>
        <v>-472.70971104773463</v>
      </c>
      <c r="AD54" s="277"/>
      <c r="AE54" s="280"/>
      <c r="AG54" s="295"/>
    </row>
    <row r="55" spans="1:33" ht="13.5" thickBot="1">
      <c r="A55" s="1386"/>
      <c r="B55" s="1386"/>
      <c r="C55" s="194" t="s">
        <v>612</v>
      </c>
      <c r="D55" s="206"/>
      <c r="E55" s="207"/>
      <c r="F55" s="209"/>
      <c r="G55" s="206"/>
      <c r="H55" s="206"/>
      <c r="I55" s="207"/>
      <c r="J55" s="209"/>
      <c r="K55" s="206"/>
      <c r="L55" s="206"/>
      <c r="M55" s="207"/>
      <c r="N55" s="277"/>
      <c r="O55" s="278">
        <f>('State Efficiency Ratios'!O346+'State Efficiency Ratios'!O370)/2</f>
        <v>15.847078553795178</v>
      </c>
      <c r="P55" s="278"/>
      <c r="Q55" s="279"/>
      <c r="R55" s="277"/>
      <c r="S55" s="278"/>
      <c r="T55" s="278"/>
      <c r="U55" s="278">
        <f>('State Efficiency Ratios'!U346+'State Efficiency Ratios'!U370)/2</f>
        <v>81.805501508497471</v>
      </c>
      <c r="V55" s="277"/>
      <c r="W55" s="278"/>
      <c r="X55" s="278"/>
      <c r="Y55" s="278">
        <f>('State Efficiency Ratios'!Y346+'State Efficiency Ratios'!Y370+'State Efficiency Ratios'!Y394+'State Efficiency Ratios'!Y417)/4</f>
        <v>51.546637483294177</v>
      </c>
      <c r="Z55" s="277"/>
      <c r="AA55" s="278"/>
      <c r="AB55" s="278"/>
      <c r="AC55" s="278">
        <f>('State Efficiency Ratios'!AC346+'State Efficiency Ratios'!AC370+'State Efficiency Ratios'!AC394+'State Efficiency Ratios'!AC417)/4</f>
        <v>-415.21046330331069</v>
      </c>
      <c r="AD55" s="277"/>
      <c r="AE55" s="280"/>
      <c r="AG55" s="295"/>
    </row>
    <row r="56" spans="1:33" ht="13.5" thickBot="1">
      <c r="A56" s="1386"/>
      <c r="B56" s="1386"/>
      <c r="C56" s="194" t="s">
        <v>613</v>
      </c>
      <c r="D56" s="206"/>
      <c r="E56" s="207"/>
      <c r="F56" s="209"/>
      <c r="G56" s="206"/>
      <c r="H56" s="206"/>
      <c r="I56" s="207"/>
      <c r="J56" s="209"/>
      <c r="K56" s="206"/>
      <c r="L56" s="206"/>
      <c r="M56" s="207"/>
      <c r="N56" s="277"/>
      <c r="O56" s="278">
        <f>('State Efficiency Ratios'!O347+'State Efficiency Ratios'!O371)/2</f>
        <v>27.615531155195633</v>
      </c>
      <c r="P56" s="278"/>
      <c r="Q56" s="279"/>
      <c r="R56" s="277"/>
      <c r="S56" s="278"/>
      <c r="T56" s="278"/>
      <c r="U56" s="278">
        <f>('State Efficiency Ratios'!U347+'State Efficiency Ratios'!U371)/2</f>
        <v>19.704547872372039</v>
      </c>
      <c r="V56" s="277"/>
      <c r="W56" s="278"/>
      <c r="X56" s="278"/>
      <c r="Y56" s="278">
        <f>('State Efficiency Ratios'!Y347+'State Efficiency Ratios'!Y371+'State Efficiency Ratios'!Y395+'State Efficiency Ratios'!Y418)/4</f>
        <v>139.11023617014422</v>
      </c>
      <c r="Z56" s="277"/>
      <c r="AA56" s="278"/>
      <c r="AB56" s="278"/>
      <c r="AC56" s="278">
        <f>('State Efficiency Ratios'!AC347+'State Efficiency Ratios'!AC371+'State Efficiency Ratios'!AC395+'State Efficiency Ratios'!AC418)/4</f>
        <v>-455.56557039739317</v>
      </c>
      <c r="AD56" s="277"/>
      <c r="AE56" s="280"/>
      <c r="AG56" s="295"/>
    </row>
    <row r="57" spans="1:33" ht="13.5" thickBot="1">
      <c r="A57" s="1386"/>
      <c r="B57" s="1386"/>
      <c r="C57" s="194" t="s">
        <v>614</v>
      </c>
      <c r="D57" s="206"/>
      <c r="E57" s="207"/>
      <c r="F57" s="209"/>
      <c r="G57" s="206"/>
      <c r="H57" s="206"/>
      <c r="I57" s="207"/>
      <c r="J57" s="209"/>
      <c r="K57" s="206"/>
      <c r="L57" s="206"/>
      <c r="M57" s="207"/>
      <c r="N57" s="277"/>
      <c r="O57" s="278">
        <f>('State Efficiency Ratios'!O348+'State Efficiency Ratios'!O372)/2</f>
        <v>22.570226634510604</v>
      </c>
      <c r="P57" s="278"/>
      <c r="Q57" s="279"/>
      <c r="R57" s="277"/>
      <c r="S57" s="278"/>
      <c r="T57" s="278"/>
      <c r="U57" s="278">
        <f>('State Efficiency Ratios'!U348+'State Efficiency Ratios'!U372)/2</f>
        <v>37.257119833004715</v>
      </c>
      <c r="V57" s="277"/>
      <c r="W57" s="278"/>
      <c r="X57" s="278"/>
      <c r="Y57" s="278">
        <f>('State Efficiency Ratios'!Y348+'State Efficiency Ratios'!Y372+'State Efficiency Ratios'!Y396+'State Efficiency Ratios'!Y419)/4</f>
        <v>110.42525202311592</v>
      </c>
      <c r="Z57" s="277"/>
      <c r="AA57" s="278"/>
      <c r="AB57" s="278"/>
      <c r="AC57" s="278">
        <f>('State Efficiency Ratios'!AC348+'State Efficiency Ratios'!AC372+'State Efficiency Ratios'!AC396+'State Efficiency Ratios'!AC419)/4</f>
        <v>-297.92933388459909</v>
      </c>
      <c r="AD57" s="277"/>
      <c r="AE57" s="280"/>
      <c r="AG57" s="295"/>
    </row>
    <row r="58" spans="1:33" ht="12.95" customHeight="1" thickBot="1">
      <c r="A58" s="1386"/>
      <c r="B58" s="1386"/>
      <c r="C58" s="194" t="s">
        <v>615</v>
      </c>
      <c r="D58" s="210"/>
      <c r="E58" s="211"/>
      <c r="F58" s="209"/>
      <c r="G58" s="210"/>
      <c r="H58" s="210"/>
      <c r="I58" s="211"/>
      <c r="J58" s="209"/>
      <c r="K58" s="210"/>
      <c r="L58" s="210"/>
      <c r="M58" s="211"/>
      <c r="N58" s="281"/>
      <c r="O58" s="282"/>
      <c r="P58" s="282"/>
      <c r="Q58" s="282"/>
      <c r="R58" s="277"/>
      <c r="S58" s="278"/>
      <c r="T58" s="278"/>
      <c r="U58" s="278">
        <f>('State Efficiency Ratios'!U349+'State Efficiency Ratios'!U373)/2</f>
        <v>0</v>
      </c>
      <c r="V58" s="277"/>
      <c r="W58" s="278"/>
      <c r="X58" s="278"/>
      <c r="Y58" s="278">
        <f>('State Efficiency Ratios'!Y349+'State Efficiency Ratios'!Y373+'State Efficiency Ratios'!Y397+'State Efficiency Ratios'!Y420)/4</f>
        <v>113.61711610757584</v>
      </c>
      <c r="Z58" s="277"/>
      <c r="AA58" s="278"/>
      <c r="AB58" s="278"/>
      <c r="AC58" s="278">
        <f>('State Efficiency Ratios'!AC349+'State Efficiency Ratios'!AC373+'State Efficiency Ratios'!AC397+'State Efficiency Ratios'!AC420)/4</f>
        <v>-155.51176642995557</v>
      </c>
      <c r="AD58" s="277"/>
      <c r="AE58" s="280"/>
      <c r="AG58" s="295"/>
    </row>
    <row r="59" spans="1:33" ht="12.95" customHeight="1" thickBot="1">
      <c r="A59" s="1386"/>
      <c r="B59" s="1386"/>
      <c r="C59" s="194" t="s">
        <v>616</v>
      </c>
      <c r="D59" s="210"/>
      <c r="E59" s="211"/>
      <c r="F59" s="209"/>
      <c r="G59" s="210"/>
      <c r="H59" s="210"/>
      <c r="I59" s="211"/>
      <c r="J59" s="209"/>
      <c r="K59" s="210"/>
      <c r="L59" s="210"/>
      <c r="M59" s="211"/>
      <c r="N59" s="281"/>
      <c r="O59" s="282"/>
      <c r="P59" s="282"/>
      <c r="Q59" s="282"/>
      <c r="R59" s="277"/>
      <c r="S59" s="278"/>
      <c r="T59" s="278"/>
      <c r="U59" s="278">
        <f>('State Efficiency Ratios'!U350+'State Efficiency Ratios'!U374)/2</f>
        <v>0</v>
      </c>
      <c r="V59" s="277"/>
      <c r="W59" s="278"/>
      <c r="X59" s="278"/>
      <c r="Y59" s="278">
        <f>('State Efficiency Ratios'!Y350+'State Efficiency Ratios'!Y374+'State Efficiency Ratios'!Y398+'State Efficiency Ratios'!Y421)/4</f>
        <v>133.41936925858872</v>
      </c>
      <c r="Z59" s="277"/>
      <c r="AA59" s="278"/>
      <c r="AB59" s="278"/>
      <c r="AC59" s="278">
        <f>('State Efficiency Ratios'!AC350+'State Efficiency Ratios'!AC374+'State Efficiency Ratios'!AC398+'State Efficiency Ratios'!AC421)/4</f>
        <v>-266.79367388352466</v>
      </c>
      <c r="AD59" s="277"/>
      <c r="AE59" s="280"/>
      <c r="AG59" s="295"/>
    </row>
    <row r="60" spans="1:33" ht="12.95" customHeight="1" thickBot="1">
      <c r="A60" s="1386"/>
      <c r="B60" s="1386"/>
      <c r="C60" s="194" t="s">
        <v>617</v>
      </c>
      <c r="D60" s="210"/>
      <c r="E60" s="211"/>
      <c r="F60" s="209"/>
      <c r="G60" s="210"/>
      <c r="H60" s="210"/>
      <c r="I60" s="211"/>
      <c r="J60" s="209"/>
      <c r="K60" s="210"/>
      <c r="L60" s="210"/>
      <c r="M60" s="211"/>
      <c r="N60" s="281"/>
      <c r="O60" s="282"/>
      <c r="P60" s="282"/>
      <c r="Q60" s="282"/>
      <c r="R60" s="277"/>
      <c r="S60" s="278"/>
      <c r="T60" s="278"/>
      <c r="U60" s="278">
        <f>('State Efficiency Ratios'!U351+'State Efficiency Ratios'!U375)/2</f>
        <v>0</v>
      </c>
      <c r="V60" s="277"/>
      <c r="W60" s="278"/>
      <c r="X60" s="278"/>
      <c r="Y60" s="278">
        <f>('State Efficiency Ratios'!Y351+'State Efficiency Ratios'!Y375+'State Efficiency Ratios'!Y399+'State Efficiency Ratios'!Y422)/4</f>
        <v>149.21117624439614</v>
      </c>
      <c r="Z60" s="277"/>
      <c r="AA60" s="278"/>
      <c r="AB60" s="278"/>
      <c r="AC60" s="278">
        <f>('State Efficiency Ratios'!AC351+'State Efficiency Ratios'!AC375+'State Efficiency Ratios'!AC399+'State Efficiency Ratios'!AC422)/4</f>
        <v>-344.27665966882671</v>
      </c>
      <c r="AD60" s="277"/>
      <c r="AE60" s="280"/>
      <c r="AG60" s="295"/>
    </row>
    <row r="61" spans="1:33" ht="12.95" customHeight="1" thickBot="1">
      <c r="A61" s="1386"/>
      <c r="B61" s="1386"/>
      <c r="C61" s="194" t="s">
        <v>618</v>
      </c>
      <c r="D61" s="210"/>
      <c r="E61" s="211"/>
      <c r="F61" s="209"/>
      <c r="G61" s="210"/>
      <c r="H61" s="210"/>
      <c r="I61" s="211"/>
      <c r="J61" s="209"/>
      <c r="K61" s="210"/>
      <c r="L61" s="210"/>
      <c r="M61" s="211"/>
      <c r="N61" s="281"/>
      <c r="O61" s="282"/>
      <c r="P61" s="282"/>
      <c r="Q61" s="283"/>
      <c r="R61" s="281"/>
      <c r="S61" s="282"/>
      <c r="T61" s="282"/>
      <c r="U61" s="283"/>
      <c r="V61" s="281"/>
      <c r="W61" s="282"/>
      <c r="X61" s="282"/>
      <c r="Y61" s="283"/>
      <c r="Z61" s="277"/>
      <c r="AA61" s="278"/>
      <c r="AB61" s="278"/>
      <c r="AC61" s="278">
        <f>('State Efficiency Ratios'!AC352+'State Efficiency Ratios'!AC376+'State Efficiency Ratios'!AC400+'State Efficiency Ratios'!AC423)/4</f>
        <v>-343.67240002324519</v>
      </c>
      <c r="AD61" s="277"/>
      <c r="AE61" s="280"/>
      <c r="AG61" s="295"/>
    </row>
    <row r="62" spans="1:33" ht="12.95" customHeight="1" thickBot="1">
      <c r="A62" s="1387"/>
      <c r="B62" s="1387"/>
      <c r="C62" s="194" t="s">
        <v>619</v>
      </c>
      <c r="D62" s="210"/>
      <c r="E62" s="211"/>
      <c r="F62" s="209"/>
      <c r="G62" s="210"/>
      <c r="H62" s="210"/>
      <c r="I62" s="211"/>
      <c r="J62" s="209"/>
      <c r="K62" s="210"/>
      <c r="L62" s="210"/>
      <c r="M62" s="211"/>
      <c r="N62" s="281"/>
      <c r="O62" s="282"/>
      <c r="P62" s="282"/>
      <c r="Q62" s="283"/>
      <c r="R62" s="281"/>
      <c r="S62" s="282"/>
      <c r="T62" s="282"/>
      <c r="U62" s="283"/>
      <c r="V62" s="281"/>
      <c r="W62" s="282"/>
      <c r="X62" s="282"/>
      <c r="Y62" s="283"/>
      <c r="Z62" s="277"/>
      <c r="AA62" s="278"/>
      <c r="AB62" s="278"/>
      <c r="AC62" s="278">
        <f>('State Efficiency Ratios'!AC353+'State Efficiency Ratios'!AC377+'State Efficiency Ratios'!AC401+'State Efficiency Ratios'!AC424)/4</f>
        <v>-287.98203880419044</v>
      </c>
      <c r="AD62" s="277"/>
      <c r="AE62" s="280"/>
      <c r="AG62" s="295"/>
    </row>
    <row r="63" spans="1:33" ht="13.5" thickBot="1">
      <c r="A63" s="5"/>
      <c r="B63" s="5"/>
      <c r="C63" s="6"/>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row>
    <row r="64" spans="1:33" ht="12.95" customHeight="1" thickBot="1">
      <c r="A64" s="347" t="s">
        <v>28</v>
      </c>
      <c r="B64" s="349" t="s">
        <v>734</v>
      </c>
      <c r="C64" s="8"/>
      <c r="D64" s="1377">
        <v>2008</v>
      </c>
      <c r="E64" s="1378"/>
      <c r="F64" s="1372">
        <v>2009</v>
      </c>
      <c r="G64" s="1373"/>
      <c r="H64" s="1373"/>
      <c r="I64" s="1374"/>
      <c r="J64" s="1372">
        <v>2010</v>
      </c>
      <c r="K64" s="1373"/>
      <c r="L64" s="1373"/>
      <c r="M64" s="1374"/>
      <c r="N64" s="1372">
        <v>2011</v>
      </c>
      <c r="O64" s="1373"/>
      <c r="P64" s="1373"/>
      <c r="Q64" s="1374"/>
      <c r="R64" s="1372">
        <v>2012</v>
      </c>
      <c r="S64" s="1373"/>
      <c r="T64" s="1373"/>
      <c r="U64" s="1374"/>
      <c r="V64" s="1372">
        <v>2013</v>
      </c>
      <c r="W64" s="1373"/>
      <c r="X64" s="1373"/>
      <c r="Y64" s="1374"/>
      <c r="Z64" s="1372">
        <v>2014</v>
      </c>
      <c r="AA64" s="1373"/>
      <c r="AB64" s="1373"/>
      <c r="AC64" s="1374"/>
      <c r="AD64" s="1372">
        <v>2015</v>
      </c>
      <c r="AE64" s="1374"/>
      <c r="AG64" s="257" t="s">
        <v>663</v>
      </c>
    </row>
    <row r="65" spans="1:33" ht="12.95" customHeight="1" thickBot="1">
      <c r="A65" s="868" t="s">
        <v>65</v>
      </c>
      <c r="B65" s="868"/>
      <c r="C65" s="194" t="s">
        <v>610</v>
      </c>
      <c r="D65" s="206"/>
      <c r="E65" s="207"/>
      <c r="F65" s="209"/>
      <c r="G65" s="206"/>
      <c r="H65" s="206"/>
      <c r="I65" s="207"/>
      <c r="J65" s="209"/>
      <c r="K65" s="206"/>
      <c r="L65" s="206"/>
      <c r="M65" s="207"/>
      <c r="N65" s="277"/>
      <c r="O65" s="278">
        <f>('State Efficiency Ratios'!O444+'State Efficiency Ratios'!O467+'State Efficiency Ratios'!O490+'State Efficiency Ratios'!O513+'State Efficiency Ratios'!O537)/5</f>
        <v>32.707780483813437</v>
      </c>
      <c r="P65" s="278"/>
      <c r="Q65" s="279"/>
      <c r="R65" s="277"/>
      <c r="S65" s="278"/>
      <c r="T65" s="278"/>
      <c r="U65" s="278">
        <f>('State Efficiency Ratios'!U444+'State Efficiency Ratios'!U467+'State Efficiency Ratios'!U490+'State Efficiency Ratios'!U513+'State Efficiency Ratios'!U537)/5</f>
        <v>67.308346835576117</v>
      </c>
      <c r="V65" s="277"/>
      <c r="W65" s="278"/>
      <c r="X65" s="278"/>
      <c r="Y65" s="278">
        <f>('State Efficiency Ratios'!Y444+'State Efficiency Ratios'!Y467+'State Efficiency Ratios'!Y490+'State Efficiency Ratios'!Y513+'State Efficiency Ratios'!Y537)/5</f>
        <v>179.07051135726164</v>
      </c>
      <c r="Z65" s="277"/>
      <c r="AA65" s="278"/>
      <c r="AB65" s="278"/>
      <c r="AC65" s="278">
        <f>('State Efficiency Ratios'!AC444+'State Efficiency Ratios'!AC467+'State Efficiency Ratios'!AC490+'State Efficiency Ratios'!AC513+'State Efficiency Ratios'!AC537)/5</f>
        <v>-683.36738309166685</v>
      </c>
      <c r="AD65" s="208"/>
      <c r="AE65" s="213"/>
      <c r="AG65" s="295"/>
    </row>
    <row r="66" spans="1:33" ht="13.5" thickBot="1">
      <c r="A66" s="885"/>
      <c r="B66" s="885"/>
      <c r="C66" s="194" t="s">
        <v>611</v>
      </c>
      <c r="D66" s="206"/>
      <c r="E66" s="207"/>
      <c r="F66" s="209"/>
      <c r="G66" s="206"/>
      <c r="H66" s="206"/>
      <c r="I66" s="207"/>
      <c r="J66" s="209"/>
      <c r="K66" s="206"/>
      <c r="L66" s="206"/>
      <c r="M66" s="207"/>
      <c r="N66" s="277"/>
      <c r="O66" s="278">
        <f>('State Efficiency Ratios'!O445+'State Efficiency Ratios'!O468+'State Efficiency Ratios'!O491+'State Efficiency Ratios'!O514+'State Efficiency Ratios'!O538)/5</f>
        <v>45.689760459539364</v>
      </c>
      <c r="P66" s="278"/>
      <c r="Q66" s="279"/>
      <c r="R66" s="277"/>
      <c r="S66" s="278"/>
      <c r="T66" s="278"/>
      <c r="U66" s="278">
        <f>('State Efficiency Ratios'!U445+'State Efficiency Ratios'!U468+'State Efficiency Ratios'!U491+'State Efficiency Ratios'!U514+'State Efficiency Ratios'!U538)/5</f>
        <v>36.897943298008741</v>
      </c>
      <c r="V66" s="277"/>
      <c r="W66" s="278"/>
      <c r="X66" s="278"/>
      <c r="Y66" s="278">
        <f>('State Efficiency Ratios'!Y445+'State Efficiency Ratios'!Y468+'State Efficiency Ratios'!Y491+'State Efficiency Ratios'!Y514+'State Efficiency Ratios'!Y538)/5</f>
        <v>364.70117930871663</v>
      </c>
      <c r="Z66" s="277"/>
      <c r="AA66" s="278"/>
      <c r="AB66" s="278"/>
      <c r="AC66" s="278">
        <f>('State Efficiency Ratios'!AC445+'State Efficiency Ratios'!AC468+'State Efficiency Ratios'!AC491+'State Efficiency Ratios'!AC514+'State Efficiency Ratios'!AC538)/5</f>
        <v>-880.33702634498843</v>
      </c>
      <c r="AD66" s="208"/>
      <c r="AE66" s="213"/>
      <c r="AG66" s="295"/>
    </row>
    <row r="67" spans="1:33" ht="13.5" thickBot="1">
      <c r="A67" s="885"/>
      <c r="B67" s="885"/>
      <c r="C67" s="194" t="s">
        <v>612</v>
      </c>
      <c r="D67" s="206"/>
      <c r="E67" s="207"/>
      <c r="F67" s="209"/>
      <c r="G67" s="206"/>
      <c r="H67" s="206"/>
      <c r="I67" s="207"/>
      <c r="J67" s="209"/>
      <c r="K67" s="206"/>
      <c r="L67" s="206"/>
      <c r="M67" s="207"/>
      <c r="N67" s="277"/>
      <c r="O67" s="278">
        <f>('State Efficiency Ratios'!O446+'State Efficiency Ratios'!O469+'State Efficiency Ratios'!O492+'State Efficiency Ratios'!O515+'State Efficiency Ratios'!O539)/5</f>
        <v>12.100159933901001</v>
      </c>
      <c r="P67" s="278"/>
      <c r="Q67" s="279"/>
      <c r="R67" s="277"/>
      <c r="S67" s="278"/>
      <c r="T67" s="278"/>
      <c r="U67" s="278">
        <f>('State Efficiency Ratios'!U446+'State Efficiency Ratios'!U469+'State Efficiency Ratios'!U492+'State Efficiency Ratios'!U515+'State Efficiency Ratios'!U539)/5</f>
        <v>84.21736968245105</v>
      </c>
      <c r="V67" s="277"/>
      <c r="W67" s="278"/>
      <c r="X67" s="278"/>
      <c r="Y67" s="278">
        <f>('State Efficiency Ratios'!Y446+'State Efficiency Ratios'!Y469+'State Efficiency Ratios'!Y492+'State Efficiency Ratios'!Y515+'State Efficiency Ratios'!Y539)/5</f>
        <v>233.54315036118359</v>
      </c>
      <c r="Z67" s="277"/>
      <c r="AA67" s="278"/>
      <c r="AB67" s="278"/>
      <c r="AC67" s="278">
        <f>('State Efficiency Ratios'!AC446+'State Efficiency Ratios'!AC469+'State Efficiency Ratios'!AC492+'State Efficiency Ratios'!AC515+'State Efficiency Ratios'!AC539)/5</f>
        <v>-641.71465387855392</v>
      </c>
      <c r="AD67" s="208"/>
      <c r="AE67" s="213"/>
      <c r="AG67" s="295"/>
    </row>
    <row r="68" spans="1:33" ht="13.5" thickBot="1">
      <c r="A68" s="885"/>
      <c r="B68" s="885"/>
      <c r="C68" s="194" t="s">
        <v>613</v>
      </c>
      <c r="D68" s="206"/>
      <c r="E68" s="207"/>
      <c r="F68" s="209"/>
      <c r="G68" s="206"/>
      <c r="H68" s="206"/>
      <c r="I68" s="207"/>
      <c r="J68" s="209"/>
      <c r="K68" s="206"/>
      <c r="L68" s="206"/>
      <c r="M68" s="207"/>
      <c r="N68" s="277"/>
      <c r="O68" s="278">
        <f>('State Efficiency Ratios'!O447+'State Efficiency Ratios'!O470+'State Efficiency Ratios'!O493+'State Efficiency Ratios'!O516+'State Efficiency Ratios'!O540)/5</f>
        <v>18.957250036346124</v>
      </c>
      <c r="P68" s="278"/>
      <c r="Q68" s="279"/>
      <c r="R68" s="277"/>
      <c r="S68" s="278"/>
      <c r="T68" s="278"/>
      <c r="U68" s="278">
        <f>('State Efficiency Ratios'!U447+'State Efficiency Ratios'!U470+'State Efficiency Ratios'!U493+'State Efficiency Ratios'!U516+'State Efficiency Ratios'!U540)/5</f>
        <v>45.224625945106609</v>
      </c>
      <c r="V68" s="277"/>
      <c r="W68" s="278"/>
      <c r="X68" s="278"/>
      <c r="Y68" s="278">
        <f>('State Efficiency Ratios'!Y447+'State Efficiency Ratios'!Y470+'State Efficiency Ratios'!Y493+'State Efficiency Ratios'!Y516+'State Efficiency Ratios'!Y540)/5</f>
        <v>187.51903517405074</v>
      </c>
      <c r="Z68" s="277"/>
      <c r="AA68" s="278"/>
      <c r="AB68" s="278"/>
      <c r="AC68" s="278">
        <f>('State Efficiency Ratios'!AC447+'State Efficiency Ratios'!AC470+'State Efficiency Ratios'!AC493+'State Efficiency Ratios'!AC516+'State Efficiency Ratios'!AC540)/5</f>
        <v>-646.01974445959104</v>
      </c>
      <c r="AD68" s="208"/>
      <c r="AE68" s="213"/>
      <c r="AG68" s="295"/>
    </row>
    <row r="69" spans="1:33" ht="13.5" thickBot="1">
      <c r="A69" s="885"/>
      <c r="B69" s="885"/>
      <c r="C69" s="194" t="s">
        <v>614</v>
      </c>
      <c r="D69" s="206"/>
      <c r="E69" s="207"/>
      <c r="F69" s="209"/>
      <c r="G69" s="206"/>
      <c r="H69" s="206"/>
      <c r="I69" s="207"/>
      <c r="J69" s="209"/>
      <c r="K69" s="206"/>
      <c r="L69" s="206"/>
      <c r="M69" s="207"/>
      <c r="N69" s="277"/>
      <c r="O69" s="278">
        <f>('State Efficiency Ratios'!O448+'State Efficiency Ratios'!O471+'State Efficiency Ratios'!O494+'State Efficiency Ratios'!O517+'State Efficiency Ratios'!O541)/5</f>
        <v>40.297479215449506</v>
      </c>
      <c r="P69" s="278"/>
      <c r="Q69" s="279"/>
      <c r="R69" s="277"/>
      <c r="S69" s="278"/>
      <c r="T69" s="278"/>
      <c r="U69" s="278">
        <f>('State Efficiency Ratios'!U448+'State Efficiency Ratios'!U471+'State Efficiency Ratios'!U494+'State Efficiency Ratios'!U517+'State Efficiency Ratios'!U541)/5</f>
        <v>27.504242182323971</v>
      </c>
      <c r="V69" s="277"/>
      <c r="W69" s="278"/>
      <c r="X69" s="278"/>
      <c r="Y69" s="278">
        <f>('State Efficiency Ratios'!Y448+'State Efficiency Ratios'!Y471+'State Efficiency Ratios'!Y494+'State Efficiency Ratios'!Y517+'State Efficiency Ratios'!Y541)/5</f>
        <v>184.6879827827085</v>
      </c>
      <c r="Z69" s="277"/>
      <c r="AA69" s="278"/>
      <c r="AB69" s="278"/>
      <c r="AC69" s="278">
        <f>('State Efficiency Ratios'!AC448+'State Efficiency Ratios'!AC471+'State Efficiency Ratios'!AC494+'State Efficiency Ratios'!AC517+'State Efficiency Ratios'!AC541)/5</f>
        <v>-656.90302316955751</v>
      </c>
      <c r="AD69" s="208"/>
      <c r="AE69" s="213"/>
      <c r="AG69" s="295"/>
    </row>
    <row r="70" spans="1:33" ht="12.95" customHeight="1" thickBot="1">
      <c r="A70" s="885"/>
      <c r="B70" s="885"/>
      <c r="C70" s="194" t="s">
        <v>615</v>
      </c>
      <c r="D70" s="210"/>
      <c r="E70" s="211"/>
      <c r="F70" s="209"/>
      <c r="G70" s="210"/>
      <c r="H70" s="210"/>
      <c r="I70" s="211"/>
      <c r="J70" s="209"/>
      <c r="K70" s="210"/>
      <c r="L70" s="210"/>
      <c r="M70" s="211"/>
      <c r="N70" s="281"/>
      <c r="O70" s="282"/>
      <c r="P70" s="282"/>
      <c r="Q70" s="282"/>
      <c r="R70" s="277"/>
      <c r="S70" s="278"/>
      <c r="T70" s="278"/>
      <c r="U70" s="278">
        <f>('State Efficiency Ratios'!U449+'State Efficiency Ratios'!U472+'State Efficiency Ratios'!U495+'State Efficiency Ratios'!U518+'State Efficiency Ratios'!U542)/5</f>
        <v>51.774139637719955</v>
      </c>
      <c r="V70" s="277"/>
      <c r="W70" s="278"/>
      <c r="X70" s="278"/>
      <c r="Y70" s="278">
        <f>('State Efficiency Ratios'!Y449+'State Efficiency Ratios'!Y472+'State Efficiency Ratios'!Y495+'State Efficiency Ratios'!Y518+'State Efficiency Ratios'!Y542)/5</f>
        <v>813.00055020759623</v>
      </c>
      <c r="Z70" s="277"/>
      <c r="AA70" s="278"/>
      <c r="AB70" s="278"/>
      <c r="AC70" s="278">
        <f>('State Efficiency Ratios'!AC449+'State Efficiency Ratios'!AC472+'State Efficiency Ratios'!AC495+'State Efficiency Ratios'!AC518+'State Efficiency Ratios'!AC542)/5</f>
        <v>-529.62788598052907</v>
      </c>
      <c r="AD70" s="208"/>
      <c r="AE70" s="213"/>
      <c r="AG70" s="295"/>
    </row>
    <row r="71" spans="1:33" ht="12.95" customHeight="1" thickBot="1">
      <c r="A71" s="885"/>
      <c r="B71" s="885"/>
      <c r="C71" s="194" t="s">
        <v>616</v>
      </c>
      <c r="D71" s="210"/>
      <c r="E71" s="211"/>
      <c r="F71" s="209"/>
      <c r="G71" s="210"/>
      <c r="H71" s="210"/>
      <c r="I71" s="211"/>
      <c r="J71" s="209"/>
      <c r="K71" s="210"/>
      <c r="L71" s="210"/>
      <c r="M71" s="211"/>
      <c r="N71" s="281"/>
      <c r="O71" s="282"/>
      <c r="P71" s="282"/>
      <c r="Q71" s="282"/>
      <c r="R71" s="277"/>
      <c r="S71" s="278"/>
      <c r="T71" s="278"/>
      <c r="U71" s="278">
        <f>('State Efficiency Ratios'!U450+'State Efficiency Ratios'!U473+'State Efficiency Ratios'!U496+'State Efficiency Ratios'!U519+'State Efficiency Ratios'!U543)/5</f>
        <v>0</v>
      </c>
      <c r="V71" s="277"/>
      <c r="W71" s="278"/>
      <c r="X71" s="278"/>
      <c r="Y71" s="278">
        <f>('State Efficiency Ratios'!Y450+'State Efficiency Ratios'!Y473+'State Efficiency Ratios'!Y496+'State Efficiency Ratios'!Y519+'State Efficiency Ratios'!Y543)/5</f>
        <v>85.812379423551462</v>
      </c>
      <c r="Z71" s="277"/>
      <c r="AA71" s="278"/>
      <c r="AB71" s="278"/>
      <c r="AC71" s="278">
        <f>('State Efficiency Ratios'!AC450+'State Efficiency Ratios'!AC473+'State Efficiency Ratios'!AC496+'State Efficiency Ratios'!AC519+'State Efficiency Ratios'!AC543)/5</f>
        <v>-613.88585808678181</v>
      </c>
      <c r="AD71" s="208"/>
      <c r="AE71" s="213"/>
      <c r="AG71" s="295"/>
    </row>
    <row r="72" spans="1:33" ht="12.95" customHeight="1" thickBot="1">
      <c r="A72" s="885"/>
      <c r="B72" s="885"/>
      <c r="C72" s="194" t="s">
        <v>617</v>
      </c>
      <c r="D72" s="210"/>
      <c r="E72" s="211"/>
      <c r="F72" s="209"/>
      <c r="G72" s="210"/>
      <c r="H72" s="210"/>
      <c r="I72" s="211"/>
      <c r="J72" s="209"/>
      <c r="K72" s="210"/>
      <c r="L72" s="210"/>
      <c r="M72" s="211"/>
      <c r="N72" s="281"/>
      <c r="O72" s="282"/>
      <c r="P72" s="282"/>
      <c r="Q72" s="282"/>
      <c r="R72" s="277"/>
      <c r="S72" s="278"/>
      <c r="T72" s="278"/>
      <c r="U72" s="278">
        <f>('State Efficiency Ratios'!U451+'State Efficiency Ratios'!U474+'State Efficiency Ratios'!U497+'State Efficiency Ratios'!U520+'State Efficiency Ratios'!U544)/5</f>
        <v>0</v>
      </c>
      <c r="V72" s="277"/>
      <c r="W72" s="278"/>
      <c r="X72" s="278"/>
      <c r="Y72" s="278">
        <f>('State Efficiency Ratios'!Y451+'State Efficiency Ratios'!Y474+'State Efficiency Ratios'!Y497+'State Efficiency Ratios'!Y520+'State Efficiency Ratios'!Y544)/5</f>
        <v>346.65442573176807</v>
      </c>
      <c r="Z72" s="277"/>
      <c r="AA72" s="278"/>
      <c r="AB72" s="278"/>
      <c r="AC72" s="278">
        <f>('State Efficiency Ratios'!AC451+'State Efficiency Ratios'!AC474+'State Efficiency Ratios'!AC497+'State Efficiency Ratios'!AC520+'State Efficiency Ratios'!AC544)/5</f>
        <v>-449.58562839140797</v>
      </c>
      <c r="AD72" s="208"/>
      <c r="AE72" s="213"/>
      <c r="AG72" s="295"/>
    </row>
    <row r="73" spans="1:33" ht="12.95" customHeight="1" thickBot="1">
      <c r="A73" s="885"/>
      <c r="B73" s="885"/>
      <c r="C73" s="194" t="s">
        <v>618</v>
      </c>
      <c r="D73" s="210"/>
      <c r="E73" s="211"/>
      <c r="F73" s="209"/>
      <c r="G73" s="210"/>
      <c r="H73" s="210"/>
      <c r="I73" s="211"/>
      <c r="J73" s="209"/>
      <c r="K73" s="210"/>
      <c r="L73" s="210"/>
      <c r="M73" s="211"/>
      <c r="N73" s="281"/>
      <c r="O73" s="282"/>
      <c r="P73" s="282"/>
      <c r="Q73" s="283"/>
      <c r="R73" s="281"/>
      <c r="S73" s="282"/>
      <c r="T73" s="282"/>
      <c r="U73" s="283"/>
      <c r="V73" s="281"/>
      <c r="W73" s="282"/>
      <c r="X73" s="282"/>
      <c r="Y73" s="283"/>
      <c r="Z73" s="277"/>
      <c r="AA73" s="278"/>
      <c r="AB73" s="278"/>
      <c r="AC73" s="278">
        <f>('State Efficiency Ratios'!AC452+'State Efficiency Ratios'!AC475+'State Efficiency Ratios'!AC498+'State Efficiency Ratios'!AC521+'State Efficiency Ratios'!AC545)/5</f>
        <v>-299.43289786731913</v>
      </c>
      <c r="AD73" s="208"/>
      <c r="AE73" s="213"/>
      <c r="AG73" s="295"/>
    </row>
    <row r="74" spans="1:33" ht="12.95" customHeight="1" thickBot="1">
      <c r="A74" s="869"/>
      <c r="B74" s="869"/>
      <c r="C74" s="194" t="s">
        <v>619</v>
      </c>
      <c r="D74" s="210"/>
      <c r="E74" s="211"/>
      <c r="F74" s="209"/>
      <c r="G74" s="210"/>
      <c r="H74" s="210"/>
      <c r="I74" s="211"/>
      <c r="J74" s="209"/>
      <c r="K74" s="210"/>
      <c r="L74" s="210"/>
      <c r="M74" s="211"/>
      <c r="N74" s="281"/>
      <c r="O74" s="282"/>
      <c r="P74" s="282"/>
      <c r="Q74" s="283"/>
      <c r="R74" s="281"/>
      <c r="S74" s="282"/>
      <c r="T74" s="282"/>
      <c r="U74" s="283"/>
      <c r="V74" s="281"/>
      <c r="W74" s="282"/>
      <c r="X74" s="282"/>
      <c r="Y74" s="283"/>
      <c r="Z74" s="277"/>
      <c r="AA74" s="278"/>
      <c r="AB74" s="278"/>
      <c r="AC74" s="278">
        <f>('State Efficiency Ratios'!AC453+'State Efficiency Ratios'!AC476+'State Efficiency Ratios'!AC499+'State Efficiency Ratios'!AC522+'State Efficiency Ratios'!AC546)/5</f>
        <v>-234.09971457055931</v>
      </c>
      <c r="AD74" s="208"/>
      <c r="AE74" s="213"/>
      <c r="AG74" s="295"/>
    </row>
    <row r="75" spans="1:33" ht="13.5" thickBot="1"/>
    <row r="76" spans="1:33" ht="12.95" customHeight="1" thickBot="1">
      <c r="A76" s="347" t="s">
        <v>27</v>
      </c>
      <c r="B76" s="349" t="s">
        <v>735</v>
      </c>
      <c r="C76" s="8"/>
      <c r="D76" s="1377">
        <v>2008</v>
      </c>
      <c r="E76" s="1378"/>
      <c r="F76" s="1372">
        <v>2009</v>
      </c>
      <c r="G76" s="1373"/>
      <c r="H76" s="1373"/>
      <c r="I76" s="1374"/>
      <c r="J76" s="1372">
        <v>2010</v>
      </c>
      <c r="K76" s="1373"/>
      <c r="L76" s="1373"/>
      <c r="M76" s="1374"/>
      <c r="N76" s="1372">
        <v>2011</v>
      </c>
      <c r="O76" s="1373"/>
      <c r="P76" s="1373"/>
      <c r="Q76" s="1374"/>
      <c r="R76" s="1372">
        <v>2012</v>
      </c>
      <c r="S76" s="1373"/>
      <c r="T76" s="1373"/>
      <c r="U76" s="1374"/>
      <c r="V76" s="1372">
        <v>2013</v>
      </c>
      <c r="W76" s="1373"/>
      <c r="X76" s="1373"/>
      <c r="Y76" s="1374"/>
      <c r="Z76" s="1372">
        <v>2014</v>
      </c>
      <c r="AA76" s="1373"/>
      <c r="AB76" s="1373"/>
      <c r="AC76" s="1374"/>
      <c r="AD76" s="1372">
        <v>2015</v>
      </c>
      <c r="AE76" s="1374"/>
      <c r="AG76" s="257" t="s">
        <v>663</v>
      </c>
    </row>
    <row r="77" spans="1:33" ht="12.95" customHeight="1" thickBot="1">
      <c r="A77" s="868" t="s">
        <v>70</v>
      </c>
      <c r="B77" s="868"/>
      <c r="C77" s="194" t="s">
        <v>610</v>
      </c>
      <c r="D77" s="206"/>
      <c r="E77" s="207"/>
      <c r="F77" s="209"/>
      <c r="G77" s="206"/>
      <c r="H77" s="206"/>
      <c r="I77" s="207"/>
      <c r="J77" s="209"/>
      <c r="K77" s="206"/>
      <c r="L77" s="206"/>
      <c r="M77" s="207"/>
      <c r="N77" s="277"/>
      <c r="O77" s="278">
        <f>('State Efficiency Ratios'!O566+'State Efficiency Ratios'!O595)/2</f>
        <v>5.5898753035037583</v>
      </c>
      <c r="P77" s="278"/>
      <c r="Q77" s="279"/>
      <c r="R77" s="277"/>
      <c r="S77" s="278"/>
      <c r="T77" s="278"/>
      <c r="U77" s="278">
        <f>('State Efficiency Ratios'!U566+'State Efficiency Ratios'!U595)/2</f>
        <v>107.52369840109903</v>
      </c>
      <c r="V77" s="277"/>
      <c r="W77" s="278"/>
      <c r="X77" s="278"/>
      <c r="Y77" s="278">
        <f>('State Efficiency Ratios'!Y566+'State Efficiency Ratios'!Y595)/2</f>
        <v>760.35735596193945</v>
      </c>
      <c r="Z77" s="277"/>
      <c r="AA77" s="278"/>
      <c r="AB77" s="278"/>
      <c r="AC77" s="278">
        <f>('State Efficiency Ratios'!AC566+'State Efficiency Ratios'!AC595)/2</f>
        <v>-1204.3271443772014</v>
      </c>
      <c r="AD77" s="208"/>
      <c r="AE77" s="213"/>
      <c r="AG77" s="295"/>
    </row>
    <row r="78" spans="1:33" ht="13.5" thickBot="1">
      <c r="A78" s="885"/>
      <c r="B78" s="885"/>
      <c r="C78" s="194" t="s">
        <v>611</v>
      </c>
      <c r="D78" s="206"/>
      <c r="E78" s="207"/>
      <c r="F78" s="209"/>
      <c r="G78" s="206"/>
      <c r="H78" s="206"/>
      <c r="I78" s="207"/>
      <c r="J78" s="209"/>
      <c r="K78" s="206"/>
      <c r="L78" s="206"/>
      <c r="M78" s="207"/>
      <c r="N78" s="277"/>
      <c r="O78" s="278">
        <f>('State Efficiency Ratios'!O567+'State Efficiency Ratios'!O596)/2</f>
        <v>11.491565922971217</v>
      </c>
      <c r="P78" s="278"/>
      <c r="Q78" s="279"/>
      <c r="R78" s="277"/>
      <c r="S78" s="278"/>
      <c r="T78" s="278"/>
      <c r="U78" s="278">
        <f>('State Efficiency Ratios'!U567+'State Efficiency Ratios'!U596)/2</f>
        <v>247.68652666894943</v>
      </c>
      <c r="V78" s="277"/>
      <c r="W78" s="278"/>
      <c r="X78" s="278"/>
      <c r="Y78" s="278">
        <f>('State Efficiency Ratios'!Y567+'State Efficiency Ratios'!Y596)/2</f>
        <v>955.26348262594479</v>
      </c>
      <c r="Z78" s="277"/>
      <c r="AA78" s="278"/>
      <c r="AB78" s="278"/>
      <c r="AC78" s="278">
        <f>('State Efficiency Ratios'!AC567+'State Efficiency Ratios'!AC596)/2</f>
        <v>-1057.6825416532486</v>
      </c>
      <c r="AD78" s="208"/>
      <c r="AE78" s="213"/>
      <c r="AG78" s="295"/>
    </row>
    <row r="79" spans="1:33" ht="13.5" thickBot="1">
      <c r="A79" s="885"/>
      <c r="B79" s="885"/>
      <c r="C79" s="194" t="s">
        <v>612</v>
      </c>
      <c r="D79" s="206"/>
      <c r="E79" s="207"/>
      <c r="F79" s="209"/>
      <c r="G79" s="206"/>
      <c r="H79" s="206"/>
      <c r="I79" s="207"/>
      <c r="J79" s="209"/>
      <c r="K79" s="206"/>
      <c r="L79" s="206"/>
      <c r="M79" s="207"/>
      <c r="N79" s="277"/>
      <c r="O79" s="278">
        <f>('State Efficiency Ratios'!O568+'State Efficiency Ratios'!O597)/2</f>
        <v>34.661316149361937</v>
      </c>
      <c r="P79" s="278"/>
      <c r="Q79" s="279"/>
      <c r="R79" s="277"/>
      <c r="S79" s="278"/>
      <c r="T79" s="278"/>
      <c r="U79" s="278">
        <f>('State Efficiency Ratios'!U568+'State Efficiency Ratios'!U597)/2</f>
        <v>37.758575772076568</v>
      </c>
      <c r="V79" s="277"/>
      <c r="W79" s="278"/>
      <c r="X79" s="278"/>
      <c r="Y79" s="278">
        <f>('State Efficiency Ratios'!Y568+'State Efficiency Ratios'!Y597)/2</f>
        <v>397.32998021824255</v>
      </c>
      <c r="Z79" s="277"/>
      <c r="AA79" s="278"/>
      <c r="AB79" s="278"/>
      <c r="AC79" s="278">
        <f>('State Efficiency Ratios'!AC568+'State Efficiency Ratios'!AC597)/2</f>
        <v>-1189.9976637909228</v>
      </c>
      <c r="AD79" s="208"/>
      <c r="AE79" s="213"/>
      <c r="AG79" s="295"/>
    </row>
    <row r="80" spans="1:33" ht="13.5" thickBot="1">
      <c r="A80" s="885"/>
      <c r="B80" s="885"/>
      <c r="C80" s="194" t="s">
        <v>613</v>
      </c>
      <c r="D80" s="206"/>
      <c r="E80" s="207"/>
      <c r="F80" s="209"/>
      <c r="G80" s="206"/>
      <c r="H80" s="206"/>
      <c r="I80" s="207"/>
      <c r="J80" s="209"/>
      <c r="K80" s="206"/>
      <c r="L80" s="206"/>
      <c r="M80" s="207"/>
      <c r="N80" s="277"/>
      <c r="O80" s="278">
        <f>('State Efficiency Ratios'!O569+'State Efficiency Ratios'!O598)/2</f>
        <v>44.789456837988169</v>
      </c>
      <c r="P80" s="278"/>
      <c r="Q80" s="279"/>
      <c r="R80" s="277"/>
      <c r="S80" s="278"/>
      <c r="T80" s="278"/>
      <c r="U80" s="278">
        <f>('State Efficiency Ratios'!U569+'State Efficiency Ratios'!U598)/2</f>
        <v>90.293303971720619</v>
      </c>
      <c r="V80" s="277"/>
      <c r="W80" s="278"/>
      <c r="X80" s="278"/>
      <c r="Y80" s="278">
        <f>('State Efficiency Ratios'!Y569+'State Efficiency Ratios'!Y598)/2</f>
        <v>260.86752352287368</v>
      </c>
      <c r="Z80" s="277"/>
      <c r="AA80" s="278"/>
      <c r="AB80" s="278"/>
      <c r="AC80" s="278">
        <f>('State Efficiency Ratios'!AC569+'State Efficiency Ratios'!AC598)/2</f>
        <v>-1275.2238026683294</v>
      </c>
      <c r="AD80" s="208"/>
      <c r="AE80" s="213"/>
      <c r="AG80" s="295"/>
    </row>
    <row r="81" spans="1:33" ht="13.5" thickBot="1">
      <c r="A81" s="885"/>
      <c r="B81" s="885"/>
      <c r="C81" s="194" t="s">
        <v>614</v>
      </c>
      <c r="D81" s="206"/>
      <c r="E81" s="207"/>
      <c r="F81" s="209"/>
      <c r="G81" s="206"/>
      <c r="H81" s="206"/>
      <c r="I81" s="207"/>
      <c r="J81" s="209"/>
      <c r="K81" s="206"/>
      <c r="L81" s="206"/>
      <c r="M81" s="207"/>
      <c r="N81" s="277"/>
      <c r="O81" s="278">
        <f>('State Efficiency Ratios'!O570+'State Efficiency Ratios'!O599)/2</f>
        <v>34.301121374442609</v>
      </c>
      <c r="P81" s="278"/>
      <c r="Q81" s="279"/>
      <c r="R81" s="277"/>
      <c r="S81" s="278"/>
      <c r="T81" s="278"/>
      <c r="U81" s="278">
        <f>('State Efficiency Ratios'!U570+'State Efficiency Ratios'!U599)/2</f>
        <v>0</v>
      </c>
      <c r="V81" s="277"/>
      <c r="W81" s="278"/>
      <c r="X81" s="278"/>
      <c r="Y81" s="278">
        <f>('State Efficiency Ratios'!Y570+'State Efficiency Ratios'!Y599)/2</f>
        <v>209.52981689573912</v>
      </c>
      <c r="Z81" s="277"/>
      <c r="AA81" s="278"/>
      <c r="AB81" s="278"/>
      <c r="AC81" s="278">
        <f>('State Efficiency Ratios'!AC570+'State Efficiency Ratios'!AC599)/2</f>
        <v>-985.23837107843406</v>
      </c>
      <c r="AD81" s="208"/>
      <c r="AE81" s="213"/>
      <c r="AG81" s="295"/>
    </row>
    <row r="82" spans="1:33" ht="12.95" customHeight="1" thickBot="1">
      <c r="A82" s="885"/>
      <c r="B82" s="885"/>
      <c r="C82" s="194" t="s">
        <v>615</v>
      </c>
      <c r="D82" s="210"/>
      <c r="E82" s="211"/>
      <c r="F82" s="209"/>
      <c r="G82" s="210"/>
      <c r="H82" s="210"/>
      <c r="I82" s="211"/>
      <c r="J82" s="209"/>
      <c r="K82" s="210"/>
      <c r="L82" s="210"/>
      <c r="M82" s="211"/>
      <c r="N82" s="281"/>
      <c r="O82" s="282"/>
      <c r="P82" s="282"/>
      <c r="Q82" s="282"/>
      <c r="R82" s="277"/>
      <c r="S82" s="278"/>
      <c r="T82" s="278"/>
      <c r="U82" s="278">
        <f>('State Efficiency Ratios'!U571+'State Efficiency Ratios'!U600)/2</f>
        <v>346.35183923846722</v>
      </c>
      <c r="V82" s="277"/>
      <c r="W82" s="278"/>
      <c r="X82" s="278"/>
      <c r="Y82" s="278">
        <f>('State Efficiency Ratios'!Y571+'State Efficiency Ratios'!Y600)/2</f>
        <v>77.98347154439756</v>
      </c>
      <c r="Z82" s="277"/>
      <c r="AA82" s="278"/>
      <c r="AB82" s="278"/>
      <c r="AC82" s="278">
        <f>('State Efficiency Ratios'!AC571+'State Efficiency Ratios'!AC600)/2</f>
        <v>-331.91614380482696</v>
      </c>
      <c r="AD82" s="208"/>
      <c r="AE82" s="213"/>
      <c r="AG82" s="295"/>
    </row>
    <row r="83" spans="1:33" ht="12.95" customHeight="1" thickBot="1">
      <c r="A83" s="885"/>
      <c r="B83" s="885"/>
      <c r="C83" s="194" t="s">
        <v>616</v>
      </c>
      <c r="D83" s="210"/>
      <c r="E83" s="211"/>
      <c r="F83" s="209"/>
      <c r="G83" s="210"/>
      <c r="H83" s="210"/>
      <c r="I83" s="211"/>
      <c r="J83" s="209"/>
      <c r="K83" s="210"/>
      <c r="L83" s="210"/>
      <c r="M83" s="211"/>
      <c r="N83" s="281"/>
      <c r="O83" s="282"/>
      <c r="P83" s="282"/>
      <c r="Q83" s="282"/>
      <c r="R83" s="277"/>
      <c r="S83" s="278"/>
      <c r="T83" s="278"/>
      <c r="U83" s="278">
        <f>('State Efficiency Ratios'!U572+'State Efficiency Ratios'!U601)/2</f>
        <v>116.37224703952423</v>
      </c>
      <c r="V83" s="277"/>
      <c r="W83" s="278"/>
      <c r="X83" s="278"/>
      <c r="Y83" s="278">
        <f>('State Efficiency Ratios'!Y572+'State Efficiency Ratios'!Y601)/2</f>
        <v>507.15128494062355</v>
      </c>
      <c r="Z83" s="277"/>
      <c r="AA83" s="278"/>
      <c r="AB83" s="278"/>
      <c r="AC83" s="278">
        <f>('State Efficiency Ratios'!AC572+'State Efficiency Ratios'!AC601)/2</f>
        <v>-323.7285416466533</v>
      </c>
      <c r="AD83" s="208"/>
      <c r="AE83" s="213"/>
      <c r="AG83" s="295"/>
    </row>
    <row r="84" spans="1:33" ht="12.95" customHeight="1" thickBot="1">
      <c r="A84" s="885"/>
      <c r="B84" s="885"/>
      <c r="C84" s="194" t="s">
        <v>617</v>
      </c>
      <c r="D84" s="210"/>
      <c r="E84" s="211"/>
      <c r="F84" s="209"/>
      <c r="G84" s="210"/>
      <c r="H84" s="210"/>
      <c r="I84" s="211"/>
      <c r="J84" s="209"/>
      <c r="K84" s="210"/>
      <c r="L84" s="210"/>
      <c r="M84" s="211"/>
      <c r="N84" s="281"/>
      <c r="O84" s="282"/>
      <c r="P84" s="282"/>
      <c r="Q84" s="282"/>
      <c r="R84" s="277"/>
      <c r="S84" s="278"/>
      <c r="T84" s="278"/>
      <c r="U84" s="278">
        <f>('State Efficiency Ratios'!U573+'State Efficiency Ratios'!U602)/2</f>
        <v>97.999903221934431</v>
      </c>
      <c r="V84" s="277"/>
      <c r="W84" s="278"/>
      <c r="X84" s="278"/>
      <c r="Y84" s="278">
        <f>('State Efficiency Ratios'!Y573+'State Efficiency Ratios'!Y602)/2</f>
        <v>78.095546493693277</v>
      </c>
      <c r="Z84" s="277"/>
      <c r="AA84" s="278"/>
      <c r="AB84" s="278"/>
      <c r="AC84" s="278">
        <f>('State Efficiency Ratios'!AC573+'State Efficiency Ratios'!AC602)/2</f>
        <v>-142.75760908903075</v>
      </c>
      <c r="AD84" s="208"/>
      <c r="AE84" s="213"/>
      <c r="AG84" s="295"/>
    </row>
    <row r="85" spans="1:33" ht="12.95" customHeight="1" thickBot="1">
      <c r="A85" s="885"/>
      <c r="B85" s="885"/>
      <c r="C85" s="194" t="s">
        <v>618</v>
      </c>
      <c r="D85" s="210"/>
      <c r="E85" s="211"/>
      <c r="F85" s="209"/>
      <c r="G85" s="210"/>
      <c r="H85" s="210"/>
      <c r="I85" s="211"/>
      <c r="J85" s="209"/>
      <c r="K85" s="210"/>
      <c r="L85" s="210"/>
      <c r="M85" s="211"/>
      <c r="N85" s="281"/>
      <c r="O85" s="282"/>
      <c r="P85" s="282"/>
      <c r="Q85" s="283"/>
      <c r="R85" s="281"/>
      <c r="S85" s="282"/>
      <c r="T85" s="282"/>
      <c r="U85" s="283"/>
      <c r="V85" s="281"/>
      <c r="W85" s="282"/>
      <c r="X85" s="282"/>
      <c r="Y85" s="283"/>
      <c r="Z85" s="277"/>
      <c r="AA85" s="278"/>
      <c r="AB85" s="278"/>
      <c r="AC85" s="278">
        <f>('State Efficiency Ratios'!AC574+'State Efficiency Ratios'!AC603)/2</f>
        <v>0</v>
      </c>
      <c r="AD85" s="208"/>
      <c r="AE85" s="213"/>
      <c r="AG85" s="295"/>
    </row>
    <row r="86" spans="1:33" ht="12.95" customHeight="1" thickBot="1">
      <c r="A86" s="885"/>
      <c r="B86" s="885"/>
      <c r="C86" s="194" t="s">
        <v>619</v>
      </c>
      <c r="D86" s="210"/>
      <c r="E86" s="211"/>
      <c r="F86" s="209"/>
      <c r="G86" s="210"/>
      <c r="H86" s="210"/>
      <c r="I86" s="211"/>
      <c r="J86" s="209"/>
      <c r="K86" s="210"/>
      <c r="L86" s="210"/>
      <c r="M86" s="211"/>
      <c r="N86" s="281"/>
      <c r="O86" s="282"/>
      <c r="P86" s="282"/>
      <c r="Q86" s="283"/>
      <c r="R86" s="281"/>
      <c r="S86" s="282"/>
      <c r="T86" s="282"/>
      <c r="U86" s="283"/>
      <c r="V86" s="281"/>
      <c r="W86" s="282"/>
      <c r="X86" s="282"/>
      <c r="Y86" s="283"/>
      <c r="Z86" s="277"/>
      <c r="AA86" s="278"/>
      <c r="AB86" s="278"/>
      <c r="AC86" s="278">
        <f>('State Efficiency Ratios'!AC575+'State Efficiency Ratios'!AC604)/2</f>
        <v>0</v>
      </c>
      <c r="AD86" s="208"/>
      <c r="AE86" s="213"/>
      <c r="AG86" s="295"/>
    </row>
    <row r="87" spans="1:33" ht="13.5" thickBot="1">
      <c r="A87" s="885"/>
      <c r="B87" s="885"/>
      <c r="C87" s="194" t="s">
        <v>620</v>
      </c>
      <c r="D87" s="206"/>
      <c r="E87" s="207"/>
      <c r="F87" s="209"/>
      <c r="G87" s="206"/>
      <c r="H87" s="206"/>
      <c r="I87" s="207"/>
      <c r="J87" s="209"/>
      <c r="K87" s="206"/>
      <c r="L87" s="206"/>
      <c r="M87" s="207"/>
      <c r="N87" s="277"/>
      <c r="O87" s="278">
        <f>('State Efficiency Ratios'!O576+'State Efficiency Ratios'!O605)/2</f>
        <v>30.272710609174265</v>
      </c>
      <c r="P87" s="278"/>
      <c r="Q87" s="279"/>
      <c r="R87" s="277"/>
      <c r="S87" s="278"/>
      <c r="T87" s="278"/>
      <c r="U87" s="278">
        <f>('State Efficiency Ratios'!U576+'State Efficiency Ratios'!U605)/2</f>
        <v>35.8076403337869</v>
      </c>
      <c r="V87" s="277"/>
      <c r="W87" s="278"/>
      <c r="X87" s="278"/>
      <c r="Y87" s="278">
        <f>('State Efficiency Ratios'!Y576+'State Efficiency Ratios'!Y605)/2</f>
        <v>559.51752945358703</v>
      </c>
      <c r="Z87" s="277"/>
      <c r="AA87" s="278"/>
      <c r="AB87" s="278"/>
      <c r="AC87" s="278">
        <f>('State Efficiency Ratios'!AC576+'State Efficiency Ratios'!AC605)/2</f>
        <v>1902.1693942683899</v>
      </c>
      <c r="AD87" s="208"/>
      <c r="AE87" s="213"/>
    </row>
    <row r="88" spans="1:33" ht="13.5" thickBot="1">
      <c r="A88" s="885"/>
      <c r="B88" s="885"/>
      <c r="C88" s="194" t="s">
        <v>645</v>
      </c>
      <c r="D88" s="206"/>
      <c r="E88" s="207"/>
      <c r="F88" s="209"/>
      <c r="G88" s="206"/>
      <c r="H88" s="206"/>
      <c r="I88" s="207"/>
      <c r="J88" s="209"/>
      <c r="K88" s="206"/>
      <c r="L88" s="206"/>
      <c r="M88" s="207"/>
      <c r="N88" s="277"/>
      <c r="O88" s="278" t="e">
        <f>('State Efficiency Ratios'!O577+'State Efficiency Ratios'!O606)/2</f>
        <v>#DIV/0!</v>
      </c>
      <c r="P88" s="278"/>
      <c r="Q88" s="279"/>
      <c r="R88" s="277"/>
      <c r="S88" s="278"/>
      <c r="T88" s="278"/>
      <c r="U88" s="278" t="e">
        <f>('State Efficiency Ratios'!U577+'State Efficiency Ratios'!U606)/2</f>
        <v>#DIV/0!</v>
      </c>
      <c r="V88" s="277"/>
      <c r="W88" s="278"/>
      <c r="X88" s="278"/>
      <c r="Y88" s="278" t="e">
        <f>('State Efficiency Ratios'!Y577+'State Efficiency Ratios'!Y606)/2</f>
        <v>#DIV/0!</v>
      </c>
      <c r="Z88" s="277"/>
      <c r="AA88" s="278"/>
      <c r="AB88" s="278"/>
      <c r="AC88" s="278">
        <f>('State Efficiency Ratios'!AC577+'State Efficiency Ratios'!AC606)/2</f>
        <v>2464.8048698797174</v>
      </c>
      <c r="AD88" s="208"/>
      <c r="AE88" s="213"/>
    </row>
    <row r="89" spans="1:33" ht="13.5" thickBot="1">
      <c r="A89" s="869"/>
      <c r="B89" s="869"/>
      <c r="C89" s="194" t="s">
        <v>621</v>
      </c>
      <c r="D89" s="206"/>
      <c r="E89" s="207"/>
      <c r="F89" s="209"/>
      <c r="G89" s="206"/>
      <c r="H89" s="206"/>
      <c r="I89" s="207"/>
      <c r="J89" s="209"/>
      <c r="K89" s="206"/>
      <c r="L89" s="206"/>
      <c r="M89" s="207"/>
      <c r="N89" s="209"/>
      <c r="O89" s="210"/>
      <c r="P89" s="210"/>
      <c r="Q89" s="211"/>
      <c r="R89" s="281"/>
      <c r="S89" s="282"/>
      <c r="T89" s="282"/>
      <c r="U89" s="283"/>
      <c r="V89" s="281"/>
      <c r="W89" s="282"/>
      <c r="X89" s="282"/>
      <c r="Y89" s="283"/>
      <c r="Z89" s="281"/>
      <c r="AA89" s="282"/>
      <c r="AB89" s="282"/>
      <c r="AC89" s="283"/>
      <c r="AD89" s="281"/>
      <c r="AE89" s="283"/>
    </row>
  </sheetData>
  <sheetProtection password="CF55" sheet="1" objects="1" scenarios="1" selectLockedCells="1" selectUnlockedCells="1"/>
  <mergeCells count="70">
    <mergeCell ref="A53:A62"/>
    <mergeCell ref="B53:B62"/>
    <mergeCell ref="V76:Y76"/>
    <mergeCell ref="Z76:AC76"/>
    <mergeCell ref="AD76:AE76"/>
    <mergeCell ref="N76:Q76"/>
    <mergeCell ref="R76:U76"/>
    <mergeCell ref="AD64:AE64"/>
    <mergeCell ref="A65:A74"/>
    <mergeCell ref="B65:B74"/>
    <mergeCell ref="D64:E64"/>
    <mergeCell ref="F64:I64"/>
    <mergeCell ref="J64:M64"/>
    <mergeCell ref="N64:Q64"/>
    <mergeCell ref="R64:U64"/>
    <mergeCell ref="V64:Y64"/>
    <mergeCell ref="A77:A89"/>
    <mergeCell ref="B77:B89"/>
    <mergeCell ref="D76:E76"/>
    <mergeCell ref="F76:I76"/>
    <mergeCell ref="J76:M76"/>
    <mergeCell ref="Z64:AC64"/>
    <mergeCell ref="V52:Y52"/>
    <mergeCell ref="Z52:AC52"/>
    <mergeCell ref="AD52:AE52"/>
    <mergeCell ref="D52:E52"/>
    <mergeCell ref="F52:I52"/>
    <mergeCell ref="J52:M52"/>
    <mergeCell ref="N52:Q52"/>
    <mergeCell ref="R52:U52"/>
    <mergeCell ref="AD40:AE40"/>
    <mergeCell ref="A41:A50"/>
    <mergeCell ref="B41:B50"/>
    <mergeCell ref="D40:E40"/>
    <mergeCell ref="F40:I40"/>
    <mergeCell ref="J40:M40"/>
    <mergeCell ref="N40:Q40"/>
    <mergeCell ref="R40:U40"/>
    <mergeCell ref="V40:Y40"/>
    <mergeCell ref="Z40:AC40"/>
    <mergeCell ref="V28:Y28"/>
    <mergeCell ref="Z28:AC28"/>
    <mergeCell ref="AD28:AE28"/>
    <mergeCell ref="A29:A38"/>
    <mergeCell ref="B29:B38"/>
    <mergeCell ref="D28:E28"/>
    <mergeCell ref="F28:I28"/>
    <mergeCell ref="J28:M28"/>
    <mergeCell ref="N28:Q28"/>
    <mergeCell ref="R28:U28"/>
    <mergeCell ref="Z16:AC16"/>
    <mergeCell ref="AD16:AE16"/>
    <mergeCell ref="A17:A26"/>
    <mergeCell ref="B17:B26"/>
    <mergeCell ref="D16:E16"/>
    <mergeCell ref="F16:I16"/>
    <mergeCell ref="J16:M16"/>
    <mergeCell ref="N16:Q16"/>
    <mergeCell ref="R16:U16"/>
    <mergeCell ref="V16:Y16"/>
    <mergeCell ref="Z4:AC4"/>
    <mergeCell ref="AD4:AE4"/>
    <mergeCell ref="A5:A14"/>
    <mergeCell ref="B5:B14"/>
    <mergeCell ref="D4:E4"/>
    <mergeCell ref="F4:I4"/>
    <mergeCell ref="J4:M4"/>
    <mergeCell ref="N4:Q4"/>
    <mergeCell ref="R4:U4"/>
    <mergeCell ref="V4:Y4"/>
  </mergeCells>
  <pageMargins left="0.79000000000000015" right="0.79000000000000015" top="0.79000000000000015" bottom="0.79000000000000015" header="0.39000000000000007" footer="0.39000000000000007"/>
  <pageSetup paperSize="9" scale="55" fitToHeight="3" orientation="landscape"/>
  <headerFooter>
    <oddFooter>&amp;L&amp;K000000&amp;F&amp;C&amp;K000000&amp;D&amp;R&amp;K000000Page &amp;P</oddFooter>
  </headerFooter>
  <extLst>
    <ext xmlns:mx="http://schemas.microsoft.com/office/mac/excel/2008/main" uri="{64002731-A6B0-56B0-2670-7721B7C09600}">
      <mx:PLV Mode="0" OnePage="0" WScale="0"/>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AP157"/>
  <sheetViews>
    <sheetView workbookViewId="0">
      <pane xSplit="2" ySplit="3" topLeftCell="AB4" activePane="bottomRight" state="frozen"/>
      <selection activeCell="L92" sqref="L92:O92"/>
      <selection pane="topRight" activeCell="L92" sqref="L92:O92"/>
      <selection pane="bottomLeft" activeCell="L92" sqref="L92:O92"/>
      <selection pane="bottomRight" activeCell="L92" sqref="L92:O92"/>
    </sheetView>
  </sheetViews>
  <sheetFormatPr defaultColWidth="11.42578125" defaultRowHeight="15"/>
  <cols>
    <col min="1" max="1" width="20.85546875" style="39" customWidth="1"/>
    <col min="2" max="2" width="20.85546875" style="38" customWidth="1"/>
    <col min="3" max="3" width="10.85546875" style="54" customWidth="1"/>
    <col min="4" max="8" width="5.85546875" style="54" customWidth="1"/>
    <col min="9" max="9" width="10.85546875" style="54" customWidth="1"/>
    <col min="10" max="13" width="5.85546875" style="54" customWidth="1"/>
    <col min="14" max="14" width="10.85546875" style="54" customWidth="1"/>
    <col min="15" max="17" width="5.85546875" style="54" customWidth="1"/>
    <col min="18" max="18" width="10.85546875" style="54" customWidth="1"/>
    <col min="19" max="24" width="5.85546875" style="54" customWidth="1"/>
    <col min="25" max="25" width="10.85546875" style="54" customWidth="1"/>
    <col min="26" max="26" width="5.85546875" style="54" customWidth="1"/>
    <col min="27" max="28" width="10.85546875" style="38" customWidth="1"/>
    <col min="29" max="30" width="11.42578125" style="335"/>
    <col min="31" max="31" width="5.85546875" style="335" customWidth="1"/>
    <col min="32" max="33" width="11.42578125" style="335"/>
    <col min="34" max="34" width="5.85546875" style="335" customWidth="1"/>
    <col min="35" max="37" width="11.42578125" style="335"/>
    <col min="38" max="38" width="5.85546875" style="335" customWidth="1"/>
    <col min="39" max="39" width="11.42578125" style="335"/>
    <col min="40" max="40" width="11.85546875" style="335" bestFit="1" customWidth="1"/>
    <col min="41" max="41" width="5.85546875" style="335" customWidth="1"/>
    <col min="42" max="42" width="11.42578125" style="335" customWidth="1"/>
    <col min="43" max="16384" width="11.42578125" style="335"/>
  </cols>
  <sheetData>
    <row r="1" spans="1:42" ht="15.75" thickBot="1">
      <c r="A1" s="57" t="s">
        <v>835</v>
      </c>
      <c r="B1" s="59" t="s">
        <v>192</v>
      </c>
      <c r="C1" s="755" t="s">
        <v>190</v>
      </c>
      <c r="D1" s="1357">
        <v>2010</v>
      </c>
      <c r="E1" s="1357"/>
      <c r="F1" s="1357"/>
      <c r="G1" s="1357"/>
      <c r="H1" s="1358">
        <v>2011</v>
      </c>
      <c r="I1" s="1358"/>
      <c r="J1" s="1358"/>
      <c r="K1" s="1358"/>
      <c r="L1" s="1353">
        <v>2012</v>
      </c>
      <c r="M1" s="1354"/>
      <c r="N1" s="1355"/>
      <c r="O1" s="1359">
        <v>2013</v>
      </c>
      <c r="P1" s="1360"/>
      <c r="Q1" s="1360"/>
      <c r="R1" s="1361"/>
      <c r="S1" s="1353">
        <v>2014</v>
      </c>
      <c r="T1" s="1354"/>
      <c r="U1" s="1354"/>
      <c r="V1" s="1355"/>
      <c r="W1" s="1351">
        <v>2015</v>
      </c>
      <c r="X1" s="1352"/>
      <c r="Y1" s="1352"/>
      <c r="Z1" s="1352"/>
      <c r="AG1" s="464">
        <v>21</v>
      </c>
      <c r="AH1" s="482" t="s">
        <v>844</v>
      </c>
      <c r="AN1" s="448" t="s">
        <v>836</v>
      </c>
    </row>
    <row r="2" spans="1:42" s="338" customFormat="1" ht="42.75">
      <c r="A2" s="58" t="s">
        <v>193</v>
      </c>
      <c r="B2" s="59" t="s">
        <v>191</v>
      </c>
      <c r="C2" s="418" t="s">
        <v>722</v>
      </c>
      <c r="D2" s="56" t="s">
        <v>141</v>
      </c>
      <c r="E2" s="56" t="s">
        <v>142</v>
      </c>
      <c r="F2" s="56" t="s">
        <v>143</v>
      </c>
      <c r="G2" s="56" t="s">
        <v>144</v>
      </c>
      <c r="H2" s="56" t="s">
        <v>141</v>
      </c>
      <c r="I2" s="418" t="s">
        <v>723</v>
      </c>
      <c r="J2" s="56" t="s">
        <v>143</v>
      </c>
      <c r="K2" s="56" t="s">
        <v>144</v>
      </c>
      <c r="L2" s="56" t="s">
        <v>141</v>
      </c>
      <c r="M2" s="56" t="s">
        <v>142</v>
      </c>
      <c r="N2" s="418" t="s">
        <v>724</v>
      </c>
      <c r="O2" s="56" t="s">
        <v>141</v>
      </c>
      <c r="P2" s="56" t="s">
        <v>142</v>
      </c>
      <c r="Q2" s="56" t="s">
        <v>143</v>
      </c>
      <c r="R2" s="418" t="s">
        <v>725</v>
      </c>
      <c r="S2" s="56" t="s">
        <v>141</v>
      </c>
      <c r="T2" s="56" t="s">
        <v>142</v>
      </c>
      <c r="U2" s="56" t="s">
        <v>143</v>
      </c>
      <c r="V2" s="56" t="s">
        <v>144</v>
      </c>
      <c r="W2" s="56" t="s">
        <v>141</v>
      </c>
      <c r="X2" s="56" t="s">
        <v>142</v>
      </c>
      <c r="Y2" s="418" t="s">
        <v>726</v>
      </c>
      <c r="Z2" s="56" t="s">
        <v>144</v>
      </c>
      <c r="AA2" s="419" t="s">
        <v>814</v>
      </c>
      <c r="AB2" s="419" t="s">
        <v>815</v>
      </c>
      <c r="AD2" s="418" t="s">
        <v>1126</v>
      </c>
      <c r="AE2" s="335"/>
      <c r="AF2" s="337" t="str">
        <f>IF($AG$1=16,R2,IF($AG$1=17,S2,IF($AG$1=18,T2,IF($AG$1=19,U2,IF($AG$1=20,V2,IF($AG$1=21,W2,IF($AG$1=22,X2,0)))))))</f>
        <v>Q1</v>
      </c>
      <c r="AG2" s="446" t="str">
        <f>IF($AG$1=16,S2,IF($AG$1=17,T2,IF($AG$1=18,U2,IF($AG$1=19,V2,IF($AG$1=20,W2,IF($AG$1=21,X2,IF($AG$1=22,Y2,0)))))))</f>
        <v>Q2</v>
      </c>
      <c r="AH2" s="447" t="s">
        <v>843</v>
      </c>
      <c r="AI2" s="447" t="s">
        <v>832</v>
      </c>
      <c r="AK2" s="336" t="str">
        <f>AD2</f>
        <v xml:space="preserve"> Q4                                                                
late 2014</v>
      </c>
      <c r="AL2" s="335"/>
      <c r="AM2" s="446" t="str">
        <f>AF2</f>
        <v>Q1</v>
      </c>
      <c r="AN2" s="446" t="str">
        <f>AG2</f>
        <v>Q2</v>
      </c>
      <c r="AO2" s="447" t="s">
        <v>843</v>
      </c>
      <c r="AP2" s="447" t="s">
        <v>832</v>
      </c>
    </row>
    <row r="3" spans="1:42" s="338" customFormat="1">
      <c r="A3" s="39"/>
      <c r="B3" s="38"/>
      <c r="C3" s="458">
        <v>0</v>
      </c>
      <c r="D3" s="458">
        <v>1</v>
      </c>
      <c r="E3" s="458">
        <v>2</v>
      </c>
      <c r="F3" s="458">
        <v>3</v>
      </c>
      <c r="G3" s="458">
        <v>4</v>
      </c>
      <c r="H3" s="458">
        <v>5</v>
      </c>
      <c r="I3" s="458">
        <v>6</v>
      </c>
      <c r="J3" s="458">
        <v>7</v>
      </c>
      <c r="K3" s="458">
        <v>8</v>
      </c>
      <c r="L3" s="458">
        <v>9</v>
      </c>
      <c r="M3" s="458">
        <v>10</v>
      </c>
      <c r="N3" s="458">
        <v>11</v>
      </c>
      <c r="O3" s="458">
        <v>12</v>
      </c>
      <c r="P3" s="458">
        <v>13</v>
      </c>
      <c r="Q3" s="458">
        <v>14</v>
      </c>
      <c r="R3" s="458">
        <v>15</v>
      </c>
      <c r="S3" s="458">
        <v>16</v>
      </c>
      <c r="T3" s="458">
        <v>17</v>
      </c>
      <c r="U3" s="458">
        <v>18</v>
      </c>
      <c r="V3" s="458">
        <v>19</v>
      </c>
      <c r="W3" s="458">
        <v>20</v>
      </c>
      <c r="X3" s="458">
        <v>21</v>
      </c>
      <c r="Y3" s="458">
        <v>22</v>
      </c>
      <c r="Z3" s="458">
        <v>23</v>
      </c>
      <c r="AA3" s="39"/>
      <c r="AB3" s="39"/>
      <c r="AD3" s="448">
        <f>V3</f>
        <v>19</v>
      </c>
      <c r="AE3" s="449"/>
      <c r="AF3" s="448">
        <f t="shared" ref="AF3:AG3" si="0">IF($AG$1=16,R3,IF($AG$1=17,S3,IF($AG$1=18,T3,IF($AG$1=19,U3,IF($AG$1=20,V3,IF($AG$1=21,W3,IF($AG$1=22,X3,0)))))))</f>
        <v>20</v>
      </c>
      <c r="AG3" s="448">
        <f t="shared" si="0"/>
        <v>21</v>
      </c>
    </row>
    <row r="4" spans="1:42" ht="14.25" hidden="1">
      <c r="A4" s="335"/>
      <c r="B4" s="335"/>
      <c r="C4" s="335"/>
      <c r="D4" s="335"/>
      <c r="E4" s="335"/>
      <c r="F4" s="335"/>
      <c r="G4" s="335"/>
      <c r="H4" s="335"/>
      <c r="I4" s="335"/>
      <c r="J4" s="335"/>
      <c r="K4" s="335"/>
      <c r="L4" s="335"/>
      <c r="M4" s="335"/>
      <c r="N4" s="335"/>
      <c r="O4" s="335"/>
      <c r="P4" s="335"/>
      <c r="Q4" s="335"/>
      <c r="R4" s="335"/>
      <c r="S4" s="335"/>
      <c r="T4" s="335"/>
      <c r="U4" s="335"/>
      <c r="V4" s="335"/>
      <c r="W4" s="335"/>
      <c r="X4" s="335"/>
      <c r="Y4" s="335"/>
      <c r="Z4" s="335"/>
      <c r="AA4" s="335"/>
      <c r="AB4" s="335"/>
    </row>
    <row r="5" spans="1:42" s="340" customFormat="1" ht="14.25" hidden="1"/>
    <row r="6" spans="1:42" s="340" customFormat="1" ht="14.25" hidden="1"/>
    <row r="7" spans="1:42" ht="14.25" hidden="1">
      <c r="A7" s="335"/>
      <c r="B7" s="335"/>
      <c r="C7" s="335"/>
      <c r="D7" s="335"/>
      <c r="E7" s="335"/>
      <c r="F7" s="335"/>
      <c r="G7" s="335"/>
      <c r="H7" s="335"/>
      <c r="I7" s="335"/>
      <c r="J7" s="335"/>
      <c r="K7" s="335"/>
      <c r="L7" s="335"/>
      <c r="M7" s="335"/>
      <c r="N7" s="335"/>
      <c r="O7" s="335"/>
      <c r="P7" s="335"/>
      <c r="Q7" s="335"/>
      <c r="R7" s="335"/>
      <c r="S7" s="335"/>
      <c r="T7" s="335"/>
      <c r="U7" s="335"/>
      <c r="V7" s="335"/>
      <c r="W7" s="335"/>
      <c r="X7" s="335"/>
      <c r="Y7" s="335"/>
      <c r="Z7" s="335"/>
      <c r="AA7" s="335"/>
      <c r="AB7" s="335"/>
    </row>
    <row r="8" spans="1:42" s="340" customFormat="1" ht="14.25" hidden="1"/>
    <row r="9" spans="1:42" s="340" customFormat="1" ht="14.25" hidden="1"/>
    <row r="10" spans="1:42" ht="14.25" hidden="1">
      <c r="A10" s="335"/>
      <c r="B10" s="335"/>
      <c r="C10" s="335"/>
      <c r="D10" s="335"/>
      <c r="E10" s="335"/>
      <c r="F10" s="335"/>
      <c r="G10" s="335"/>
      <c r="H10" s="335"/>
      <c r="I10" s="335"/>
      <c r="J10" s="335"/>
      <c r="K10" s="335"/>
      <c r="L10" s="335"/>
      <c r="M10" s="335"/>
      <c r="N10" s="335"/>
      <c r="O10" s="335"/>
      <c r="P10" s="335"/>
      <c r="Q10" s="335"/>
      <c r="R10" s="335"/>
      <c r="S10" s="335"/>
      <c r="T10" s="335"/>
      <c r="U10" s="335"/>
      <c r="V10" s="335"/>
      <c r="W10" s="335"/>
      <c r="X10" s="335"/>
      <c r="Y10" s="335"/>
      <c r="Z10" s="335"/>
      <c r="AA10" s="335"/>
      <c r="AB10" s="335"/>
    </row>
    <row r="11" spans="1:42" s="340" customFormat="1" ht="14.25" hidden="1"/>
    <row r="12" spans="1:42" s="340" customFormat="1" ht="14.25" hidden="1"/>
    <row r="13" spans="1:42" ht="14.25" hidden="1">
      <c r="A13" s="335"/>
      <c r="B13" s="335"/>
      <c r="C13" s="335"/>
      <c r="D13" s="335"/>
      <c r="E13" s="335"/>
      <c r="F13" s="335"/>
      <c r="G13" s="335"/>
      <c r="H13" s="335"/>
      <c r="I13" s="335"/>
      <c r="J13" s="335"/>
      <c r="K13" s="335"/>
      <c r="L13" s="335"/>
      <c r="M13" s="335"/>
      <c r="N13" s="335"/>
      <c r="O13" s="335"/>
      <c r="P13" s="335"/>
      <c r="Q13" s="335"/>
      <c r="R13" s="335"/>
      <c r="S13" s="335"/>
      <c r="T13" s="335"/>
      <c r="U13" s="335"/>
      <c r="V13" s="335"/>
      <c r="W13" s="335"/>
      <c r="X13" s="335"/>
      <c r="Y13" s="335"/>
      <c r="Z13" s="335"/>
      <c r="AA13" s="335"/>
      <c r="AB13" s="335"/>
    </row>
    <row r="14" spans="1:42" s="340" customFormat="1" ht="14.25" hidden="1"/>
    <row r="15" spans="1:42" s="340" customFormat="1" ht="14.25" hidden="1"/>
    <row r="16" spans="1:42" ht="14.25" hidden="1">
      <c r="A16" s="335"/>
      <c r="B16" s="335"/>
      <c r="C16" s="335"/>
      <c r="D16" s="335"/>
      <c r="E16" s="335"/>
      <c r="F16" s="335"/>
      <c r="G16" s="335"/>
      <c r="H16" s="335"/>
      <c r="I16" s="335"/>
      <c r="J16" s="335"/>
      <c r="K16" s="335"/>
      <c r="L16" s="335"/>
      <c r="M16" s="335"/>
      <c r="N16" s="335"/>
      <c r="O16" s="335"/>
      <c r="P16" s="335"/>
      <c r="Q16" s="335"/>
      <c r="R16" s="335"/>
      <c r="S16" s="335"/>
      <c r="T16" s="335"/>
      <c r="U16" s="335"/>
      <c r="V16" s="335"/>
      <c r="W16" s="335"/>
      <c r="X16" s="335"/>
      <c r="Y16" s="335"/>
      <c r="Z16" s="335"/>
      <c r="AA16" s="335"/>
      <c r="AB16" s="335"/>
    </row>
    <row r="17" spans="1:28" s="340" customFormat="1" ht="14.25" hidden="1"/>
    <row r="18" spans="1:28" s="340" customFormat="1" ht="14.25" hidden="1"/>
    <row r="19" spans="1:28" ht="14.25" hidden="1">
      <c r="A19" s="335"/>
      <c r="B19" s="335"/>
      <c r="C19" s="335"/>
      <c r="D19" s="335"/>
      <c r="E19" s="335"/>
      <c r="F19" s="335"/>
      <c r="G19" s="335"/>
      <c r="H19" s="335"/>
      <c r="I19" s="335"/>
      <c r="J19" s="335"/>
      <c r="K19" s="335"/>
      <c r="L19" s="335"/>
      <c r="M19" s="335"/>
      <c r="N19" s="335"/>
      <c r="O19" s="335"/>
      <c r="P19" s="335"/>
      <c r="Q19" s="335"/>
      <c r="R19" s="335"/>
      <c r="S19" s="335"/>
      <c r="T19" s="335"/>
      <c r="U19" s="335"/>
      <c r="V19" s="335"/>
      <c r="W19" s="335"/>
      <c r="X19" s="335"/>
      <c r="Y19" s="335"/>
      <c r="Z19" s="335"/>
      <c r="AA19" s="335"/>
      <c r="AB19" s="335"/>
    </row>
    <row r="20" spans="1:28" s="340" customFormat="1" ht="14.25" hidden="1"/>
    <row r="21" spans="1:28" s="340" customFormat="1" ht="14.25" hidden="1"/>
    <row r="22" spans="1:28" ht="14.25" hidden="1">
      <c r="A22" s="335"/>
      <c r="B22" s="335"/>
      <c r="C22" s="335"/>
      <c r="D22" s="335"/>
      <c r="E22" s="335"/>
      <c r="F22" s="335"/>
      <c r="G22" s="335"/>
      <c r="H22" s="335"/>
      <c r="I22" s="335"/>
      <c r="J22" s="335"/>
      <c r="K22" s="335"/>
      <c r="L22" s="335"/>
      <c r="M22" s="335"/>
      <c r="N22" s="335"/>
      <c r="O22" s="335"/>
      <c r="P22" s="335"/>
      <c r="Q22" s="335"/>
      <c r="R22" s="335"/>
      <c r="S22" s="335"/>
      <c r="T22" s="335"/>
      <c r="U22" s="335"/>
      <c r="V22" s="335"/>
      <c r="W22" s="335"/>
      <c r="X22" s="335"/>
      <c r="Y22" s="335"/>
      <c r="Z22" s="335"/>
      <c r="AA22" s="335"/>
      <c r="AB22" s="335"/>
    </row>
    <row r="23" spans="1:28" s="340" customFormat="1" ht="14.25" hidden="1"/>
    <row r="24" spans="1:28" s="340" customFormat="1" ht="14.25" hidden="1"/>
    <row r="25" spans="1:28" ht="14.25" hidden="1">
      <c r="A25" s="335"/>
      <c r="B25" s="335"/>
      <c r="C25" s="335"/>
      <c r="D25" s="335"/>
      <c r="E25" s="335"/>
      <c r="F25" s="335"/>
      <c r="G25" s="335"/>
      <c r="H25" s="335"/>
      <c r="I25" s="335"/>
      <c r="J25" s="335"/>
      <c r="K25" s="335"/>
      <c r="L25" s="335"/>
      <c r="M25" s="335"/>
      <c r="N25" s="335"/>
      <c r="O25" s="335"/>
      <c r="P25" s="335"/>
      <c r="Q25" s="335"/>
      <c r="R25" s="335"/>
      <c r="S25" s="335"/>
      <c r="T25" s="335"/>
      <c r="U25" s="335"/>
      <c r="V25" s="335"/>
      <c r="W25" s="335"/>
      <c r="X25" s="335"/>
      <c r="Y25" s="335"/>
      <c r="Z25" s="335"/>
      <c r="AA25" s="335"/>
      <c r="AB25" s="335"/>
    </row>
    <row r="26" spans="1:28" s="340" customFormat="1" ht="14.25" hidden="1"/>
    <row r="27" spans="1:28" s="340" customFormat="1" ht="14.25" hidden="1"/>
    <row r="28" spans="1:28" ht="14.25" hidden="1">
      <c r="A28" s="335"/>
      <c r="B28" s="335"/>
      <c r="C28" s="335"/>
      <c r="D28" s="335"/>
      <c r="E28" s="335"/>
      <c r="F28" s="335"/>
      <c r="G28" s="335"/>
      <c r="H28" s="335"/>
      <c r="I28" s="335"/>
      <c r="J28" s="335"/>
      <c r="K28" s="335"/>
      <c r="L28" s="335"/>
      <c r="M28" s="335"/>
      <c r="N28" s="335"/>
      <c r="O28" s="335"/>
      <c r="P28" s="335"/>
      <c r="Q28" s="335"/>
      <c r="R28" s="335"/>
      <c r="S28" s="335"/>
      <c r="T28" s="335"/>
      <c r="U28" s="335"/>
      <c r="V28" s="335"/>
      <c r="W28" s="335"/>
      <c r="X28" s="335"/>
      <c r="Y28" s="335"/>
      <c r="Z28" s="335"/>
      <c r="AA28" s="335"/>
      <c r="AB28" s="335"/>
    </row>
    <row r="29" spans="1:28" s="340" customFormat="1" ht="14.25" hidden="1"/>
    <row r="30" spans="1:28" s="340" customFormat="1" ht="14.25" hidden="1"/>
    <row r="31" spans="1:28" ht="14.25" hidden="1">
      <c r="A31" s="335"/>
      <c r="B31" s="335"/>
      <c r="C31" s="335"/>
      <c r="D31" s="335"/>
      <c r="E31" s="335"/>
      <c r="F31" s="335"/>
      <c r="G31" s="335"/>
      <c r="H31" s="335"/>
      <c r="I31" s="335"/>
      <c r="J31" s="335"/>
      <c r="K31" s="335"/>
      <c r="L31" s="335"/>
      <c r="M31" s="335"/>
      <c r="N31" s="335"/>
      <c r="O31" s="335"/>
      <c r="P31" s="335"/>
      <c r="Q31" s="335"/>
      <c r="R31" s="335"/>
      <c r="S31" s="335"/>
      <c r="T31" s="335"/>
      <c r="U31" s="335"/>
      <c r="V31" s="335"/>
      <c r="W31" s="335"/>
      <c r="X31" s="335"/>
      <c r="Y31" s="335"/>
      <c r="Z31" s="335"/>
      <c r="AA31" s="335"/>
      <c r="AB31" s="335"/>
    </row>
    <row r="32" spans="1:28" s="340" customFormat="1" ht="14.25" hidden="1"/>
    <row r="33" spans="1:28" s="340" customFormat="1" ht="14.25" hidden="1"/>
    <row r="34" spans="1:28" ht="14.25" hidden="1">
      <c r="A34" s="335"/>
      <c r="B34" s="335"/>
      <c r="C34" s="335"/>
      <c r="D34" s="335"/>
      <c r="E34" s="335"/>
      <c r="F34" s="335"/>
      <c r="G34" s="335"/>
      <c r="H34" s="335"/>
      <c r="I34" s="335"/>
      <c r="J34" s="335"/>
      <c r="K34" s="335"/>
      <c r="L34" s="335"/>
      <c r="M34" s="335"/>
      <c r="N34" s="335"/>
      <c r="O34" s="335"/>
      <c r="P34" s="335"/>
      <c r="Q34" s="335"/>
      <c r="R34" s="335"/>
      <c r="S34" s="335"/>
      <c r="T34" s="335"/>
      <c r="U34" s="335"/>
      <c r="V34" s="335"/>
      <c r="W34" s="335"/>
      <c r="X34" s="335"/>
      <c r="Y34" s="335"/>
      <c r="Z34" s="335"/>
      <c r="AA34" s="335"/>
      <c r="AB34" s="335"/>
    </row>
    <row r="35" spans="1:28" s="340" customFormat="1" ht="14.25" hidden="1"/>
    <row r="36" spans="1:28" s="340" customFormat="1" ht="14.25" hidden="1"/>
    <row r="37" spans="1:28" ht="14.25" hidden="1">
      <c r="A37" s="335"/>
      <c r="B37" s="335"/>
      <c r="C37" s="335"/>
      <c r="D37" s="335"/>
      <c r="E37" s="335"/>
      <c r="F37" s="335"/>
      <c r="G37" s="335"/>
      <c r="H37" s="335"/>
      <c r="I37" s="335"/>
      <c r="J37" s="335"/>
      <c r="K37" s="335"/>
      <c r="L37" s="335"/>
      <c r="M37" s="335"/>
      <c r="N37" s="335"/>
      <c r="O37" s="335"/>
      <c r="P37" s="335"/>
      <c r="Q37" s="335"/>
      <c r="R37" s="335"/>
      <c r="S37" s="335"/>
      <c r="T37" s="335"/>
      <c r="U37" s="335"/>
      <c r="V37" s="335"/>
      <c r="W37" s="335"/>
      <c r="X37" s="335"/>
      <c r="Y37" s="335"/>
      <c r="Z37" s="335"/>
      <c r="AA37" s="335"/>
      <c r="AB37" s="335"/>
    </row>
    <row r="38" spans="1:28" s="340" customFormat="1" ht="14.25" hidden="1"/>
    <row r="39" spans="1:28" s="340" customFormat="1" ht="14.25" hidden="1"/>
    <row r="40" spans="1:28" ht="14.25" hidden="1">
      <c r="A40" s="335"/>
      <c r="B40" s="335"/>
      <c r="C40" s="335"/>
      <c r="D40" s="335"/>
      <c r="E40" s="335"/>
      <c r="F40" s="335"/>
      <c r="G40" s="335"/>
      <c r="H40" s="335"/>
      <c r="I40" s="335"/>
      <c r="J40" s="335"/>
      <c r="K40" s="335"/>
      <c r="L40" s="335"/>
      <c r="M40" s="335"/>
      <c r="N40" s="335"/>
      <c r="O40" s="335"/>
      <c r="P40" s="335"/>
      <c r="Q40" s="335"/>
      <c r="R40" s="335"/>
      <c r="S40" s="335"/>
      <c r="T40" s="335"/>
      <c r="U40" s="335"/>
      <c r="V40" s="335"/>
      <c r="W40" s="335"/>
      <c r="X40" s="335"/>
      <c r="Y40" s="335"/>
      <c r="Z40" s="335"/>
      <c r="AA40" s="335"/>
      <c r="AB40" s="335"/>
    </row>
    <row r="41" spans="1:28" s="340" customFormat="1" ht="14.25" hidden="1"/>
    <row r="42" spans="1:28" s="340" customFormat="1" ht="14.25" hidden="1"/>
    <row r="43" spans="1:28" ht="14.25" hidden="1">
      <c r="A43" s="335"/>
      <c r="B43" s="335"/>
      <c r="C43" s="335"/>
      <c r="D43" s="335"/>
      <c r="E43" s="335"/>
      <c r="F43" s="335"/>
      <c r="G43" s="335"/>
      <c r="H43" s="335"/>
      <c r="I43" s="335"/>
      <c r="J43" s="335"/>
      <c r="K43" s="335"/>
      <c r="L43" s="335"/>
      <c r="M43" s="335"/>
      <c r="N43" s="335"/>
      <c r="O43" s="335"/>
      <c r="P43" s="335"/>
      <c r="Q43" s="335"/>
      <c r="R43" s="335"/>
      <c r="S43" s="335"/>
      <c r="T43" s="335"/>
      <c r="U43" s="335"/>
      <c r="V43" s="335"/>
      <c r="W43" s="335"/>
      <c r="X43" s="335"/>
      <c r="Y43" s="335"/>
      <c r="Z43" s="335"/>
      <c r="AA43" s="335"/>
      <c r="AB43" s="335"/>
    </row>
    <row r="44" spans="1:28" s="340" customFormat="1" ht="14.25" hidden="1"/>
    <row r="45" spans="1:28" s="340" customFormat="1" ht="14.25" hidden="1"/>
    <row r="46" spans="1:28" ht="14.25" hidden="1">
      <c r="A46" s="335"/>
      <c r="B46" s="335"/>
      <c r="C46" s="335"/>
      <c r="D46" s="335"/>
      <c r="E46" s="335"/>
      <c r="F46" s="335"/>
      <c r="G46" s="335"/>
      <c r="H46" s="335"/>
      <c r="I46" s="335"/>
      <c r="J46" s="335"/>
      <c r="K46" s="335"/>
      <c r="L46" s="335"/>
      <c r="M46" s="335"/>
      <c r="N46" s="335"/>
      <c r="O46" s="335"/>
      <c r="P46" s="335"/>
      <c r="Q46" s="335"/>
      <c r="R46" s="335"/>
      <c r="S46" s="335"/>
      <c r="T46" s="335"/>
      <c r="U46" s="335"/>
      <c r="V46" s="335"/>
      <c r="W46" s="335"/>
      <c r="X46" s="335"/>
      <c r="Y46" s="335"/>
      <c r="Z46" s="335"/>
      <c r="AA46" s="335"/>
      <c r="AB46" s="335"/>
    </row>
    <row r="47" spans="1:28" s="340" customFormat="1" ht="14.25" hidden="1"/>
    <row r="48" spans="1:28" s="340" customFormat="1" ht="14.25" hidden="1"/>
    <row r="49" spans="1:28" ht="14.25" hidden="1">
      <c r="A49" s="335"/>
      <c r="B49" s="335"/>
      <c r="C49" s="335"/>
      <c r="D49" s="335"/>
      <c r="E49" s="335"/>
      <c r="F49" s="335"/>
      <c r="G49" s="335"/>
      <c r="H49" s="335"/>
      <c r="I49" s="335"/>
      <c r="J49" s="335"/>
      <c r="K49" s="335"/>
      <c r="L49" s="335"/>
      <c r="M49" s="335"/>
      <c r="N49" s="335"/>
      <c r="O49" s="335"/>
      <c r="P49" s="335"/>
      <c r="Q49" s="335"/>
      <c r="R49" s="335"/>
      <c r="S49" s="335"/>
      <c r="T49" s="335"/>
      <c r="U49" s="335"/>
      <c r="V49" s="335"/>
      <c r="W49" s="335"/>
      <c r="X49" s="335"/>
      <c r="Y49" s="335"/>
      <c r="Z49" s="335"/>
      <c r="AA49" s="335"/>
      <c r="AB49" s="335"/>
    </row>
    <row r="50" spans="1:28" s="340" customFormat="1" ht="14.25" hidden="1"/>
    <row r="51" spans="1:28" s="340" customFormat="1" ht="14.25" hidden="1"/>
    <row r="52" spans="1:28" ht="14.25" hidden="1">
      <c r="A52" s="335"/>
      <c r="B52" s="335"/>
      <c r="C52" s="335"/>
      <c r="D52" s="335"/>
      <c r="E52" s="335"/>
      <c r="F52" s="335"/>
      <c r="G52" s="335"/>
      <c r="H52" s="335"/>
      <c r="I52" s="335"/>
      <c r="J52" s="335"/>
      <c r="K52" s="335"/>
      <c r="L52" s="335"/>
      <c r="M52" s="335"/>
      <c r="N52" s="335"/>
      <c r="O52" s="335"/>
      <c r="P52" s="335"/>
      <c r="Q52" s="335"/>
      <c r="R52" s="335"/>
      <c r="S52" s="335"/>
      <c r="T52" s="335"/>
      <c r="U52" s="335"/>
      <c r="V52" s="335"/>
      <c r="W52" s="335"/>
      <c r="X52" s="335"/>
      <c r="Y52" s="335"/>
      <c r="Z52" s="335"/>
      <c r="AA52" s="335"/>
      <c r="AB52" s="335"/>
    </row>
    <row r="53" spans="1:28" s="340" customFormat="1" ht="14.25" hidden="1"/>
    <row r="54" spans="1:28" s="340" customFormat="1" ht="14.25" hidden="1"/>
    <row r="55" spans="1:28" ht="14.25" hidden="1">
      <c r="A55" s="335"/>
      <c r="B55" s="335"/>
      <c r="C55" s="335"/>
      <c r="D55" s="335"/>
      <c r="E55" s="335"/>
      <c r="F55" s="335"/>
      <c r="G55" s="335"/>
      <c r="H55" s="335"/>
      <c r="I55" s="335"/>
      <c r="J55" s="335"/>
      <c r="K55" s="335"/>
      <c r="L55" s="335"/>
      <c r="M55" s="335"/>
      <c r="N55" s="335"/>
      <c r="O55" s="335"/>
      <c r="P55" s="335"/>
      <c r="Q55" s="335"/>
      <c r="R55" s="335"/>
      <c r="S55" s="335"/>
      <c r="T55" s="335"/>
      <c r="U55" s="335"/>
      <c r="V55" s="335"/>
      <c r="W55" s="335"/>
      <c r="X55" s="335"/>
      <c r="Y55" s="335"/>
      <c r="Z55" s="335"/>
      <c r="AA55" s="335"/>
      <c r="AB55" s="335"/>
    </row>
    <row r="56" spans="1:28" s="340" customFormat="1" ht="14.25" hidden="1"/>
    <row r="57" spans="1:28" s="340" customFormat="1" ht="14.25" hidden="1"/>
    <row r="58" spans="1:28" ht="14.25" hidden="1">
      <c r="A58" s="335"/>
      <c r="B58" s="335"/>
      <c r="C58" s="335"/>
      <c r="D58" s="335"/>
      <c r="E58" s="335"/>
      <c r="F58" s="335"/>
      <c r="G58" s="335"/>
      <c r="H58" s="335"/>
      <c r="I58" s="335"/>
      <c r="J58" s="335"/>
      <c r="K58" s="335"/>
      <c r="L58" s="335"/>
      <c r="M58" s="335"/>
      <c r="N58" s="335"/>
      <c r="O58" s="335"/>
      <c r="P58" s="335"/>
      <c r="Q58" s="335"/>
      <c r="R58" s="335"/>
      <c r="S58" s="335"/>
      <c r="T58" s="335"/>
      <c r="U58" s="335"/>
      <c r="V58" s="335"/>
      <c r="W58" s="335"/>
      <c r="X58" s="335"/>
      <c r="Y58" s="335"/>
      <c r="Z58" s="335"/>
      <c r="AA58" s="335"/>
      <c r="AB58" s="335"/>
    </row>
    <row r="59" spans="1:28" s="340" customFormat="1" ht="14.25" hidden="1"/>
    <row r="60" spans="1:28" s="340" customFormat="1" ht="14.25" hidden="1"/>
    <row r="61" spans="1:28" ht="14.25" hidden="1">
      <c r="A61" s="335"/>
      <c r="B61" s="335"/>
      <c r="C61" s="335"/>
      <c r="D61" s="335"/>
      <c r="E61" s="335"/>
      <c r="F61" s="335"/>
      <c r="G61" s="335"/>
      <c r="H61" s="335"/>
      <c r="I61" s="335"/>
      <c r="J61" s="335"/>
      <c r="K61" s="335"/>
      <c r="L61" s="335"/>
      <c r="M61" s="335"/>
      <c r="N61" s="335"/>
      <c r="O61" s="335"/>
      <c r="P61" s="335"/>
      <c r="Q61" s="335"/>
      <c r="R61" s="335"/>
      <c r="S61" s="335"/>
      <c r="T61" s="335"/>
      <c r="U61" s="335"/>
      <c r="V61" s="335"/>
      <c r="W61" s="335"/>
      <c r="X61" s="335"/>
      <c r="Y61" s="335"/>
      <c r="Z61" s="335"/>
      <c r="AA61" s="335"/>
      <c r="AB61" s="335"/>
    </row>
    <row r="62" spans="1:28" s="340" customFormat="1" ht="14.25" hidden="1"/>
    <row r="63" spans="1:28" s="340" customFormat="1" ht="14.25" hidden="1"/>
    <row r="64" spans="1:28" ht="14.25" hidden="1">
      <c r="A64" s="335"/>
      <c r="B64" s="335"/>
      <c r="C64" s="335"/>
      <c r="D64" s="335"/>
      <c r="E64" s="335"/>
      <c r="F64" s="335"/>
      <c r="G64" s="335"/>
      <c r="H64" s="335"/>
      <c r="I64" s="335"/>
      <c r="J64" s="335"/>
      <c r="K64" s="335"/>
      <c r="L64" s="335"/>
      <c r="M64" s="335"/>
      <c r="N64" s="335"/>
      <c r="O64" s="335"/>
      <c r="P64" s="335"/>
      <c r="Q64" s="335"/>
      <c r="R64" s="335"/>
      <c r="S64" s="335"/>
      <c r="T64" s="335"/>
      <c r="U64" s="335"/>
      <c r="V64" s="335"/>
      <c r="W64" s="335"/>
      <c r="X64" s="335"/>
      <c r="Y64" s="335"/>
      <c r="Z64" s="335"/>
      <c r="AA64" s="335"/>
      <c r="AB64" s="335"/>
    </row>
    <row r="65" spans="1:28" s="340" customFormat="1" ht="14.25" hidden="1"/>
    <row r="66" spans="1:28" s="340" customFormat="1" ht="14.25" hidden="1"/>
    <row r="67" spans="1:28" ht="14.25" hidden="1">
      <c r="A67" s="335"/>
      <c r="B67" s="335"/>
      <c r="C67" s="335"/>
      <c r="D67" s="335"/>
      <c r="E67" s="335"/>
      <c r="F67" s="335"/>
      <c r="G67" s="335"/>
      <c r="H67" s="335"/>
      <c r="I67" s="335"/>
      <c r="J67" s="335"/>
      <c r="K67" s="335"/>
      <c r="L67" s="335"/>
      <c r="M67" s="335"/>
      <c r="N67" s="335"/>
      <c r="O67" s="335"/>
      <c r="P67" s="335"/>
      <c r="Q67" s="335"/>
      <c r="R67" s="335"/>
      <c r="S67" s="335"/>
      <c r="T67" s="335"/>
      <c r="U67" s="335"/>
      <c r="V67" s="335"/>
      <c r="W67" s="335"/>
      <c r="X67" s="335"/>
      <c r="Y67" s="335"/>
      <c r="Z67" s="335"/>
      <c r="AA67" s="335"/>
      <c r="AB67" s="335"/>
    </row>
    <row r="68" spans="1:28" s="340" customFormat="1" ht="14.25" hidden="1"/>
    <row r="69" spans="1:28" s="340" customFormat="1" ht="14.25" hidden="1"/>
    <row r="70" spans="1:28" ht="14.25" hidden="1">
      <c r="A70" s="335"/>
      <c r="B70" s="335"/>
      <c r="C70" s="335"/>
      <c r="D70" s="335"/>
      <c r="E70" s="335"/>
      <c r="F70" s="335"/>
      <c r="G70" s="335"/>
      <c r="H70" s="335"/>
      <c r="I70" s="335"/>
      <c r="J70" s="335"/>
      <c r="K70" s="335"/>
      <c r="L70" s="335"/>
      <c r="M70" s="335"/>
      <c r="N70" s="335"/>
      <c r="O70" s="335"/>
      <c r="P70" s="335"/>
      <c r="Q70" s="335"/>
      <c r="R70" s="335"/>
      <c r="S70" s="335"/>
      <c r="T70" s="335"/>
      <c r="U70" s="335"/>
      <c r="V70" s="335"/>
      <c r="W70" s="335"/>
      <c r="X70" s="335"/>
      <c r="Y70" s="335"/>
      <c r="Z70" s="335"/>
      <c r="AA70" s="335"/>
      <c r="AB70" s="335"/>
    </row>
    <row r="71" spans="1:28" s="340" customFormat="1" ht="14.25" hidden="1"/>
    <row r="72" spans="1:28" s="340" customFormat="1" ht="14.25" hidden="1"/>
    <row r="73" spans="1:28" ht="14.25" hidden="1">
      <c r="A73" s="335"/>
      <c r="B73" s="335"/>
      <c r="C73" s="335"/>
      <c r="D73" s="335"/>
      <c r="E73" s="335"/>
      <c r="F73" s="335"/>
      <c r="G73" s="335"/>
      <c r="H73" s="335"/>
      <c r="I73" s="335"/>
      <c r="J73" s="335"/>
      <c r="K73" s="335"/>
      <c r="L73" s="335"/>
      <c r="M73" s="335"/>
      <c r="N73" s="335"/>
      <c r="O73" s="335"/>
      <c r="P73" s="335"/>
      <c r="Q73" s="335"/>
      <c r="R73" s="335"/>
      <c r="S73" s="335"/>
      <c r="T73" s="335"/>
      <c r="U73" s="335"/>
      <c r="V73" s="335"/>
      <c r="W73" s="335"/>
      <c r="X73" s="335"/>
      <c r="Y73" s="335"/>
      <c r="Z73" s="335"/>
      <c r="AA73" s="335"/>
      <c r="AB73" s="335"/>
    </row>
    <row r="74" spans="1:28" s="340" customFormat="1" ht="14.25" hidden="1"/>
    <row r="75" spans="1:28" s="340" customFormat="1" ht="14.25" hidden="1"/>
    <row r="76" spans="1:28" ht="14.25" hidden="1">
      <c r="A76" s="335"/>
      <c r="B76" s="335"/>
      <c r="C76" s="335"/>
      <c r="D76" s="335"/>
      <c r="E76" s="335"/>
      <c r="F76" s="335"/>
      <c r="G76" s="335"/>
      <c r="H76" s="335"/>
      <c r="I76" s="335"/>
      <c r="J76" s="335"/>
      <c r="K76" s="335"/>
      <c r="L76" s="335"/>
      <c r="M76" s="335"/>
      <c r="N76" s="335"/>
      <c r="O76" s="335"/>
      <c r="P76" s="335"/>
      <c r="Q76" s="335"/>
      <c r="R76" s="335"/>
      <c r="S76" s="335"/>
      <c r="T76" s="335"/>
      <c r="U76" s="335"/>
      <c r="V76" s="335"/>
      <c r="W76" s="335"/>
      <c r="X76" s="335"/>
      <c r="Y76" s="335"/>
      <c r="Z76" s="335"/>
      <c r="AA76" s="335"/>
      <c r="AB76" s="335"/>
    </row>
    <row r="77" spans="1:28" s="340" customFormat="1" ht="14.25" hidden="1"/>
    <row r="78" spans="1:28" s="340" customFormat="1" ht="14.25" hidden="1"/>
    <row r="79" spans="1:28" ht="14.25" hidden="1">
      <c r="A79" s="335"/>
      <c r="B79" s="335"/>
      <c r="C79" s="335"/>
      <c r="D79" s="335"/>
      <c r="E79" s="335"/>
      <c r="F79" s="335"/>
      <c r="G79" s="335"/>
      <c r="H79" s="335"/>
      <c r="I79" s="335"/>
      <c r="J79" s="335"/>
      <c r="K79" s="335"/>
      <c r="L79" s="335"/>
      <c r="M79" s="335"/>
      <c r="N79" s="335"/>
      <c r="O79" s="335"/>
      <c r="P79" s="335"/>
      <c r="Q79" s="335"/>
      <c r="R79" s="335"/>
      <c r="S79" s="335"/>
      <c r="T79" s="335"/>
      <c r="U79" s="335"/>
      <c r="V79" s="335"/>
      <c r="W79" s="335"/>
      <c r="X79" s="335"/>
      <c r="Y79" s="335"/>
      <c r="Z79" s="335"/>
      <c r="AA79" s="335"/>
      <c r="AB79" s="335"/>
    </row>
    <row r="80" spans="1:28" s="340" customFormat="1" ht="14.25" hidden="1"/>
    <row r="81" spans="1:28" s="340" customFormat="1" ht="14.25" hidden="1"/>
    <row r="82" spans="1:28" ht="14.25" hidden="1">
      <c r="A82" s="335"/>
      <c r="B82" s="335"/>
      <c r="C82" s="335"/>
      <c r="D82" s="335"/>
      <c r="E82" s="335"/>
      <c r="F82" s="335"/>
      <c r="G82" s="335"/>
      <c r="H82" s="335"/>
      <c r="I82" s="335"/>
      <c r="J82" s="335"/>
      <c r="K82" s="335"/>
      <c r="L82" s="335"/>
      <c r="M82" s="335"/>
      <c r="N82" s="335"/>
      <c r="O82" s="335"/>
      <c r="P82" s="335"/>
      <c r="Q82" s="335"/>
      <c r="R82" s="335"/>
      <c r="S82" s="335"/>
      <c r="T82" s="335"/>
      <c r="U82" s="335"/>
      <c r="V82" s="335"/>
      <c r="W82" s="335"/>
      <c r="X82" s="335"/>
      <c r="Y82" s="335"/>
      <c r="Z82" s="335"/>
      <c r="AA82" s="335"/>
      <c r="AB82" s="335"/>
    </row>
    <row r="83" spans="1:28" s="340" customFormat="1" ht="14.25" hidden="1"/>
    <row r="84" spans="1:28" s="340" customFormat="1" ht="14.25" hidden="1"/>
    <row r="85" spans="1:28" ht="14.25" hidden="1">
      <c r="A85" s="335"/>
      <c r="B85" s="335"/>
      <c r="C85" s="335"/>
      <c r="D85" s="335"/>
      <c r="E85" s="335"/>
      <c r="F85" s="335"/>
      <c r="G85" s="335"/>
      <c r="H85" s="335"/>
      <c r="I85" s="335"/>
      <c r="J85" s="335"/>
      <c r="K85" s="335"/>
      <c r="L85" s="335"/>
      <c r="M85" s="335"/>
      <c r="N85" s="335"/>
      <c r="O85" s="335"/>
      <c r="P85" s="335"/>
      <c r="Q85" s="335"/>
      <c r="R85" s="335"/>
      <c r="S85" s="335"/>
      <c r="T85" s="335"/>
      <c r="U85" s="335"/>
      <c r="V85" s="335"/>
      <c r="W85" s="335"/>
      <c r="X85" s="335"/>
      <c r="Y85" s="335"/>
      <c r="Z85" s="335"/>
      <c r="AA85" s="335"/>
      <c r="AB85" s="335"/>
    </row>
    <row r="86" spans="1:28" s="340" customFormat="1" ht="14.25" hidden="1"/>
    <row r="87" spans="1:28" s="340" customFormat="1" ht="14.25" hidden="1"/>
    <row r="88" spans="1:28" ht="14.25" hidden="1">
      <c r="A88" s="335"/>
      <c r="B88" s="335"/>
      <c r="C88" s="335"/>
      <c r="D88" s="335"/>
      <c r="E88" s="335"/>
      <c r="F88" s="335"/>
      <c r="G88" s="335"/>
      <c r="H88" s="335"/>
      <c r="I88" s="335"/>
      <c r="J88" s="335"/>
      <c r="K88" s="335"/>
      <c r="L88" s="335"/>
      <c r="M88" s="335"/>
      <c r="N88" s="335"/>
      <c r="O88" s="335"/>
      <c r="P88" s="335"/>
      <c r="Q88" s="335"/>
      <c r="R88" s="335"/>
      <c r="S88" s="335"/>
      <c r="T88" s="335"/>
      <c r="U88" s="335"/>
      <c r="V88" s="335"/>
      <c r="W88" s="335"/>
      <c r="X88" s="335"/>
      <c r="Y88" s="335"/>
      <c r="Z88" s="335"/>
      <c r="AA88" s="335"/>
      <c r="AB88" s="335"/>
    </row>
    <row r="89" spans="1:28" s="340" customFormat="1" ht="14.25" hidden="1"/>
    <row r="90" spans="1:28" s="340" customFormat="1" ht="14.25" hidden="1"/>
    <row r="91" spans="1:28" ht="14.25" hidden="1">
      <c r="A91" s="335"/>
      <c r="B91" s="335"/>
      <c r="C91" s="335"/>
      <c r="D91" s="335"/>
      <c r="E91" s="335"/>
      <c r="F91" s="335"/>
      <c r="G91" s="335"/>
      <c r="H91" s="335"/>
      <c r="I91" s="335"/>
      <c r="J91" s="335"/>
      <c r="K91" s="335"/>
      <c r="L91" s="335"/>
      <c r="M91" s="335"/>
      <c r="N91" s="335"/>
      <c r="O91" s="335"/>
      <c r="P91" s="335"/>
      <c r="Q91" s="335"/>
      <c r="R91" s="335"/>
      <c r="S91" s="335"/>
      <c r="T91" s="335"/>
      <c r="U91" s="335"/>
      <c r="V91" s="335"/>
      <c r="W91" s="335"/>
      <c r="X91" s="335"/>
      <c r="Y91" s="335"/>
      <c r="Z91" s="335"/>
      <c r="AA91" s="335"/>
      <c r="AB91" s="335"/>
    </row>
    <row r="92" spans="1:28" s="340" customFormat="1" ht="14.25" hidden="1"/>
    <row r="93" spans="1:28" s="340" customFormat="1" ht="14.25" hidden="1"/>
    <row r="94" spans="1:28" ht="14.25" hidden="1">
      <c r="A94" s="335"/>
      <c r="B94" s="335"/>
      <c r="C94" s="335"/>
      <c r="D94" s="335"/>
      <c r="E94" s="335"/>
      <c r="F94" s="335"/>
      <c r="G94" s="335"/>
      <c r="H94" s="335"/>
      <c r="I94" s="335"/>
      <c r="J94" s="335"/>
      <c r="K94" s="335"/>
      <c r="L94" s="335"/>
      <c r="M94" s="335"/>
      <c r="N94" s="335"/>
      <c r="O94" s="335"/>
      <c r="P94" s="335"/>
      <c r="Q94" s="335"/>
      <c r="R94" s="335"/>
      <c r="S94" s="335"/>
      <c r="T94" s="335"/>
      <c r="U94" s="335"/>
      <c r="V94" s="335"/>
      <c r="W94" s="335"/>
      <c r="X94" s="335"/>
      <c r="Y94" s="335"/>
      <c r="Z94" s="335"/>
      <c r="AA94" s="335"/>
      <c r="AB94" s="335"/>
    </row>
    <row r="95" spans="1:28" s="340" customFormat="1" ht="14.25" hidden="1"/>
    <row r="96" spans="1:28" s="340" customFormat="1" ht="14.25" hidden="1"/>
    <row r="97" spans="1:41" ht="14.25" hidden="1">
      <c r="A97" s="335"/>
      <c r="B97" s="335"/>
      <c r="C97" s="335"/>
      <c r="D97" s="335"/>
      <c r="E97" s="335"/>
      <c r="F97" s="335"/>
      <c r="G97" s="335"/>
      <c r="H97" s="335"/>
      <c r="I97" s="335"/>
      <c r="J97" s="335"/>
      <c r="K97" s="335"/>
      <c r="L97" s="335"/>
      <c r="M97" s="335"/>
      <c r="N97" s="335"/>
      <c r="O97" s="335"/>
      <c r="P97" s="335"/>
      <c r="Q97" s="335"/>
      <c r="R97" s="335"/>
      <c r="S97" s="335"/>
      <c r="T97" s="335"/>
      <c r="U97" s="335"/>
      <c r="V97" s="335"/>
      <c r="W97" s="335"/>
      <c r="X97" s="335"/>
      <c r="Y97" s="335"/>
      <c r="Z97" s="335"/>
      <c r="AA97" s="335"/>
      <c r="AB97" s="335"/>
    </row>
    <row r="98" spans="1:41" s="340" customFormat="1" ht="14.25" hidden="1"/>
    <row r="99" spans="1:41" s="340" customFormat="1" ht="14.25" hidden="1"/>
    <row r="100" spans="1:41" ht="14.25" hidden="1">
      <c r="A100" s="335"/>
      <c r="B100" s="335"/>
      <c r="C100" s="335"/>
      <c r="D100" s="335"/>
      <c r="E100" s="335"/>
      <c r="F100" s="335"/>
      <c r="G100" s="335"/>
      <c r="H100" s="335"/>
      <c r="I100" s="335"/>
      <c r="J100" s="335"/>
      <c r="K100" s="335"/>
      <c r="L100" s="335"/>
      <c r="M100" s="335"/>
      <c r="N100" s="335"/>
      <c r="O100" s="335"/>
      <c r="P100" s="335"/>
      <c r="Q100" s="335"/>
      <c r="R100" s="335"/>
      <c r="S100" s="335"/>
      <c r="T100" s="335"/>
      <c r="U100" s="335"/>
      <c r="V100" s="335"/>
      <c r="W100" s="335"/>
      <c r="X100" s="335"/>
      <c r="Y100" s="335"/>
      <c r="Z100" s="335"/>
      <c r="AA100" s="335"/>
      <c r="AB100" s="335"/>
    </row>
    <row r="101" spans="1:41" s="340" customFormat="1" ht="14.25" hidden="1"/>
    <row r="102" spans="1:41" s="340" customFormat="1" ht="14.25" hidden="1"/>
    <row r="103" spans="1:41" ht="14.25" hidden="1">
      <c r="A103" s="335"/>
      <c r="B103" s="335"/>
      <c r="C103" s="335"/>
      <c r="D103" s="335"/>
      <c r="E103" s="335"/>
      <c r="F103" s="335"/>
      <c r="G103" s="335"/>
      <c r="H103" s="335"/>
      <c r="I103" s="335"/>
      <c r="J103" s="335"/>
      <c r="K103" s="335"/>
      <c r="L103" s="335"/>
      <c r="M103" s="335"/>
      <c r="N103" s="335"/>
      <c r="O103" s="335"/>
      <c r="P103" s="335"/>
      <c r="Q103" s="335"/>
      <c r="R103" s="335"/>
      <c r="S103" s="335"/>
      <c r="T103" s="335"/>
      <c r="U103" s="335"/>
      <c r="V103" s="335"/>
      <c r="W103" s="335"/>
      <c r="X103" s="335"/>
      <c r="Y103" s="335"/>
      <c r="Z103" s="335"/>
      <c r="AA103" s="335"/>
      <c r="AB103" s="335"/>
    </row>
    <row r="104" spans="1:41" s="340" customFormat="1" ht="14.25" hidden="1"/>
    <row r="105" spans="1:41" s="340" customFormat="1" ht="14.25" hidden="1"/>
    <row r="106" spans="1:41" ht="14.25" hidden="1">
      <c r="A106" s="335"/>
      <c r="B106" s="335"/>
      <c r="C106" s="335"/>
      <c r="D106" s="335"/>
      <c r="E106" s="335"/>
      <c r="F106" s="335"/>
      <c r="G106" s="335"/>
      <c r="H106" s="335"/>
      <c r="I106" s="335"/>
      <c r="J106" s="335"/>
      <c r="K106" s="335"/>
      <c r="L106" s="335"/>
      <c r="M106" s="335"/>
      <c r="N106" s="335"/>
      <c r="O106" s="335"/>
      <c r="P106" s="335"/>
      <c r="Q106" s="335"/>
      <c r="R106" s="335"/>
      <c r="S106" s="335"/>
      <c r="T106" s="335"/>
      <c r="U106" s="335"/>
      <c r="V106" s="335"/>
      <c r="W106" s="335"/>
      <c r="X106" s="335"/>
      <c r="Y106" s="335"/>
      <c r="Z106" s="335"/>
      <c r="AA106" s="335"/>
      <c r="AB106" s="335"/>
    </row>
    <row r="107" spans="1:41" s="340" customFormat="1" ht="14.25" hidden="1"/>
    <row r="108" spans="1:41" s="340" customFormat="1" ht="14.25" hidden="1"/>
    <row r="109" spans="1:41" ht="14.25" hidden="1">
      <c r="A109" s="335"/>
      <c r="B109" s="335"/>
      <c r="C109" s="335"/>
      <c r="D109" s="335"/>
      <c r="E109" s="335"/>
      <c r="F109" s="335"/>
      <c r="G109" s="335"/>
      <c r="H109" s="335"/>
      <c r="I109" s="335"/>
      <c r="J109" s="335"/>
      <c r="K109" s="335"/>
      <c r="L109" s="335"/>
      <c r="M109" s="335"/>
      <c r="N109" s="335"/>
      <c r="O109" s="335"/>
      <c r="P109" s="335"/>
      <c r="Q109" s="335"/>
      <c r="R109" s="335"/>
      <c r="S109" s="335"/>
      <c r="T109" s="335"/>
      <c r="U109" s="335"/>
      <c r="V109" s="335"/>
      <c r="W109" s="335"/>
      <c r="X109" s="335"/>
      <c r="Y109" s="335"/>
      <c r="Z109" s="335"/>
      <c r="AA109" s="335"/>
      <c r="AB109" s="335"/>
    </row>
    <row r="110" spans="1:41" s="340" customFormat="1" ht="14.25" hidden="1"/>
    <row r="111" spans="1:41" s="340" customFormat="1" ht="14.25"/>
    <row r="112" spans="1:41" ht="15.75" thickBot="1">
      <c r="A112" s="41" t="s">
        <v>695</v>
      </c>
      <c r="B112" s="42" t="s">
        <v>816</v>
      </c>
      <c r="C112" s="43">
        <f>'SLP States AggWorkings'!C112+'ZKY States AggWorkings'!C112</f>
        <v>0</v>
      </c>
      <c r="D112" s="73">
        <f>'SLP States AggWorkings'!D112+'ZKY States AggWorkings'!D112</f>
        <v>0</v>
      </c>
      <c r="E112" s="73">
        <f>'SLP States AggWorkings'!E112+'ZKY States AggWorkings'!E112</f>
        <v>0</v>
      </c>
      <c r="F112" s="73">
        <f>'SLP States AggWorkings'!F112+'ZKY States AggWorkings'!F112</f>
        <v>0</v>
      </c>
      <c r="G112" s="73">
        <f>'SLP States AggWorkings'!G112+'ZKY States AggWorkings'!G112</f>
        <v>0</v>
      </c>
      <c r="H112" s="73">
        <f>'SLP States AggWorkings'!H112+'ZKY States AggWorkings'!H112</f>
        <v>0</v>
      </c>
      <c r="I112" s="74">
        <f>'SLP States AggWorkings'!I112+'ZKY States AggWorkings'!I112</f>
        <v>0</v>
      </c>
      <c r="J112" s="73">
        <f>'SLP States AggWorkings'!J112+'ZKY States AggWorkings'!J112</f>
        <v>0</v>
      </c>
      <c r="K112" s="73">
        <f>'SLP States AggWorkings'!K112+'ZKY States AggWorkings'!K112</f>
        <v>0</v>
      </c>
      <c r="L112" s="51">
        <f>'SLP States AggWorkings'!L112+'ZKY States AggWorkings'!L112</f>
        <v>0</v>
      </c>
      <c r="M112" s="51">
        <f>'SLP States AggWorkings'!M112+'ZKY States AggWorkings'!M112</f>
        <v>0</v>
      </c>
      <c r="N112" s="50">
        <f>'SLP States AggWorkings'!N112+'ZKY States AggWorkings'!N112</f>
        <v>0</v>
      </c>
      <c r="O112" s="51">
        <f>'SLP States AggWorkings'!O112+'ZKY States AggWorkings'!O112</f>
        <v>13.5</v>
      </c>
      <c r="P112" s="51">
        <f>'SLP States AggWorkings'!P112+'ZKY States AggWorkings'!P112</f>
        <v>27</v>
      </c>
      <c r="Q112" s="51">
        <f>'SLP States AggWorkings'!Q112+'ZKY States AggWorkings'!Q112</f>
        <v>40.5</v>
      </c>
      <c r="R112" s="50">
        <f>'SLP States AggWorkings'!R112+'ZKY States AggWorkings'!R112</f>
        <v>54</v>
      </c>
      <c r="S112" s="51">
        <f>'SLP States AggWorkings'!S112+'ZKY States AggWorkings'!S112</f>
        <v>64.5</v>
      </c>
      <c r="T112" s="51">
        <f>'SLP States AggWorkings'!T112+'ZKY States AggWorkings'!T112</f>
        <v>75</v>
      </c>
      <c r="U112" s="51">
        <f>'SLP States AggWorkings'!U112+'ZKY States AggWorkings'!U112</f>
        <v>85.5</v>
      </c>
      <c r="V112" s="51">
        <f>'SLP States AggWorkings'!V112+'ZKY States AggWorkings'!V112+'Abuja Workings'!V112+'UK-Intl Workings'!V112</f>
        <v>139.33333333333334</v>
      </c>
      <c r="W112" s="51">
        <f>'SLP States AggWorkings'!W112+'ZKY States AggWorkings'!W112+'A&amp;N States AggWorkings'!W112+'Abuja Workings'!W112+'UK-Intl Workings'!W112</f>
        <v>148.33333333333331</v>
      </c>
      <c r="X112" s="51">
        <f>'SLP States AggWorkings'!X112+'ZKY States AggWorkings'!X112+'A&amp;N States AggWorkings'!X112+'Abuja Workings'!X112+'UK-Intl Workings'!X112</f>
        <v>164.66666666666669</v>
      </c>
      <c r="Y112" s="50">
        <f>'SLP States AggWorkings'!Y112+'ZKY States AggWorkings'!Y112+'A&amp;N States AggWorkings'!Y112+'Abuja Workings'!Y112+'UK-Intl Workings'!Y112</f>
        <v>169</v>
      </c>
      <c r="Z112" s="51">
        <f>'SLP States AggWorkings'!Z112+'ZKY States AggWorkings'!Z112+'A&amp;N States AggWorkings'!Z112+'Abuja Workings'!Z112+'UK-Intl Workings'!Z112</f>
        <v>169</v>
      </c>
      <c r="AA112" s="38">
        <f>'SLP States AggWorkings'!AA112+'ZKY States AggWorkings'!AA112</f>
        <v>160</v>
      </c>
      <c r="AB112" s="457">
        <f>AA112/22</f>
        <v>7.2727272727272725</v>
      </c>
      <c r="AC112" s="340"/>
      <c r="AD112" s="451">
        <f>V112</f>
        <v>139.33333333333334</v>
      </c>
      <c r="AE112" s="346"/>
      <c r="AF112" s="453">
        <f t="shared" ref="AF112:AG113" si="1">IF($AG$1=16,R112,IF($AG$1=17,S112,IF($AG$1=18,T112,IF($AG$1=19,U112,IF($AG$1=20,V112,IF($AG$1=21,W112,IF($AG$1=22,X112,0)))))))</f>
        <v>148.33333333333331</v>
      </c>
      <c r="AG112" s="453">
        <f t="shared" si="1"/>
        <v>164.66666666666669</v>
      </c>
      <c r="AI112" s="338"/>
      <c r="AK112" s="462">
        <f>(((AD112+AD115+AD118+AD121)/4/3/8)+((AD124+AD127+AD130+AD133)/4/1.5/8)+((AD136+AD139+AD142+AD145)/4/1.5/8))/3</f>
        <v>2.9039351851851851</v>
      </c>
      <c r="AM112" s="460">
        <f>(((AF112+AF115+AF118+AF121)/4/3/8)+((AF124+AF127+AF130+AF133)/4/1.5/8)+((AF136+AF139+AF142+AF145)/4/1.5/8))/3</f>
        <v>3.2829861111111107</v>
      </c>
      <c r="AN112" s="460">
        <f>(((AG112+AG115+AG118+AG121)/4/3/8)+((AG124+AG127+AG130+AG133)/4/1.5/8)+((AG136+AG139+AG142+AG145)/4/1.5/8))/3</f>
        <v>3.6724537037037037</v>
      </c>
      <c r="AO112" s="338" t="s">
        <v>1203</v>
      </c>
    </row>
    <row r="113" spans="1:42" s="340" customFormat="1" ht="15.75" thickBot="1">
      <c r="A113" s="45"/>
      <c r="B113" s="46" t="s">
        <v>817</v>
      </c>
      <c r="C113" s="79">
        <f>'SLP States AggWorkings'!C113+'ZKY States AggWorkings'!C113</f>
        <v>0</v>
      </c>
      <c r="D113" s="441">
        <f>'SLP States AggWorkings'!D113+'ZKY States AggWorkings'!D113</f>
        <v>6</v>
      </c>
      <c r="E113" s="442">
        <f>'SLP States AggWorkings'!E113+'ZKY States AggWorkings'!E113</f>
        <v>8</v>
      </c>
      <c r="F113" s="442">
        <f>'SLP States AggWorkings'!F113+'ZKY States AggWorkings'!F113</f>
        <v>8</v>
      </c>
      <c r="G113" s="442">
        <f>'SLP States AggWorkings'!G113+'ZKY States AggWorkings'!G113</f>
        <v>8</v>
      </c>
      <c r="H113" s="442">
        <f>'SLP States AggWorkings'!H113+'ZKY States AggWorkings'!H113</f>
        <v>8</v>
      </c>
      <c r="I113" s="442">
        <f>'SLP States AggWorkings'!I113+'ZKY States AggWorkings'!I113</f>
        <v>16</v>
      </c>
      <c r="J113" s="442">
        <f>'SLP States AggWorkings'!J113+'ZKY States AggWorkings'!J113</f>
        <v>14</v>
      </c>
      <c r="K113" s="442">
        <f>'SLP States AggWorkings'!K113+'ZKY States AggWorkings'!K113</f>
        <v>14</v>
      </c>
      <c r="L113" s="442">
        <f>'SLP States AggWorkings'!L113+'ZKY States AggWorkings'!L113</f>
        <v>28</v>
      </c>
      <c r="M113" s="442">
        <f>'SLP States AggWorkings'!M113+'ZKY States AggWorkings'!M113</f>
        <v>30</v>
      </c>
      <c r="N113" s="443">
        <f>'SLP States AggWorkings'!N113+'ZKY States AggWorkings'!N113</f>
        <v>41</v>
      </c>
      <c r="O113" s="444">
        <f>'SLP States AggWorkings'!O113+'ZKY States AggWorkings'!O113</f>
        <v>50</v>
      </c>
      <c r="P113" s="444">
        <f>'SLP States AggWorkings'!P113+'ZKY States AggWorkings'!P113</f>
        <v>58</v>
      </c>
      <c r="Q113" s="444">
        <f>'SLP States AggWorkings'!Q113+'ZKY States AggWorkings'!Q113</f>
        <v>64</v>
      </c>
      <c r="R113" s="442">
        <f>'SLP States AggWorkings'!R113+'ZKY States AggWorkings'!R113</f>
        <v>68</v>
      </c>
      <c r="S113" s="442">
        <f>'SLP States AggWorkings'!S113+'ZKY States AggWorkings'!S113</f>
        <v>76</v>
      </c>
      <c r="T113" s="442">
        <f>'SLP States AggWorkings'!T113+'ZKY States AggWorkings'!T113</f>
        <v>93</v>
      </c>
      <c r="U113" s="442">
        <f>'SLP States AggWorkings'!U113+'ZKY States AggWorkings'!U113</f>
        <v>102</v>
      </c>
      <c r="V113" s="445">
        <f>'SLP States AggWorkings'!V113+'ZKY States AggWorkings'!V113+'Abuja Workings'!V113+'UK-Intl Workings'!V113</f>
        <v>174</v>
      </c>
      <c r="W113" s="72">
        <f>'SLP States AggWorkings'!W113+'ZKY States AggWorkings'!W113+'A&amp;N States AggWorkings'!W113+'Abuja Workings'!W113+'UK-Intl Workings'!W113</f>
        <v>196</v>
      </c>
      <c r="X113" s="70">
        <f>'SLP States AggWorkings'!X113+'ZKY States AggWorkings'!X113+'A&amp;N States AggWorkings'!X113+'Abuja Workings'!X113+'UK-Intl Workings'!X113</f>
        <v>211</v>
      </c>
      <c r="Y113" s="70">
        <f>'SLP States AggWorkings'!Y113+'ZKY States AggWorkings'!Y113+'A&amp;N States AggWorkings'!Y113+'Abuja Workings'!Y113+'UK-Intl Workings'!Y113</f>
        <v>84</v>
      </c>
      <c r="Z113" s="70">
        <f>'SLP States AggWorkings'!Z113+'ZKY States AggWorkings'!Z113+'A&amp;N States AggWorkings'!Z113+'Abuja Workings'!Z113+'UK-Intl Workings'!Z113</f>
        <v>84</v>
      </c>
      <c r="AA113" s="429"/>
      <c r="AB113" s="430"/>
      <c r="AD113" s="452">
        <f>V113</f>
        <v>174</v>
      </c>
      <c r="AE113" s="346"/>
      <c r="AF113" s="452">
        <f t="shared" si="1"/>
        <v>196</v>
      </c>
      <c r="AG113" s="452">
        <f t="shared" si="1"/>
        <v>211</v>
      </c>
      <c r="AH113" s="342">
        <f>AG113</f>
        <v>211</v>
      </c>
      <c r="AI113" s="342">
        <f>AG113</f>
        <v>211</v>
      </c>
      <c r="AK113" s="461">
        <f>(((AD113+AD116+AD119+AD122)/4/3/8)+((AD125+AD128+AD131+AD134)/4/1.5/8)+((AD137+AD140+AD143+AD146)/4/1.5/8))/3</f>
        <v>3.5104166666666665</v>
      </c>
      <c r="AM113" s="461">
        <f>(((AF113+AF116+AF119+AF122)/4/3/8)+((AF125+AF128+AF131+AF134)/4/1.5/8)+((AF137+AF140+AF143+AF146)/4/1.5/8))/3</f>
        <v>4.458333333333333</v>
      </c>
      <c r="AN113" s="461">
        <f>(((AG113+AG116+AG119+AG122)/4/3/8)+((AG125+AG128+AG131+AG134)/4/1.5/8)+((AG137+AG140+AG143+AG146)/4/1.5/8))/3</f>
        <v>5.0937499999999991</v>
      </c>
      <c r="AO113" s="342">
        <f>AN113</f>
        <v>5.0937499999999991</v>
      </c>
      <c r="AP113" s="342">
        <f>AN113</f>
        <v>5.0937499999999991</v>
      </c>
    </row>
    <row r="114" spans="1:42" s="340" customFormat="1">
      <c r="A114" s="45"/>
      <c r="B114" s="46"/>
      <c r="C114" s="53"/>
      <c r="D114" s="75"/>
      <c r="E114" s="75"/>
      <c r="F114" s="75"/>
      <c r="G114" s="75"/>
      <c r="H114" s="75"/>
      <c r="I114" s="75"/>
      <c r="J114" s="75"/>
      <c r="K114" s="75"/>
      <c r="L114" s="53"/>
      <c r="M114" s="53"/>
      <c r="N114" s="53"/>
      <c r="O114" s="53"/>
      <c r="P114" s="53"/>
      <c r="Q114" s="53"/>
      <c r="R114" s="53"/>
      <c r="S114" s="53"/>
      <c r="T114" s="53"/>
      <c r="U114" s="53"/>
      <c r="V114" s="53"/>
      <c r="W114" s="53"/>
      <c r="X114" s="53"/>
      <c r="Y114" s="53"/>
      <c r="Z114" s="53"/>
      <c r="AA114" s="429"/>
      <c r="AB114" s="430"/>
      <c r="AD114" s="345"/>
      <c r="AE114" s="346"/>
      <c r="AF114" s="454"/>
      <c r="AG114" s="454"/>
      <c r="AH114" s="335"/>
      <c r="AI114" s="338"/>
    </row>
    <row r="115" spans="1:42" ht="15.75" thickBot="1">
      <c r="A115" s="41" t="s">
        <v>696</v>
      </c>
      <c r="B115" s="42" t="s">
        <v>818</v>
      </c>
      <c r="C115" s="52">
        <f>'SLP States AggWorkings'!C115+'ZKY States AggWorkings'!C115</f>
        <v>0</v>
      </c>
      <c r="D115" s="52">
        <f>'SLP States AggWorkings'!D115+'ZKY States AggWorkings'!D115</f>
        <v>0</v>
      </c>
      <c r="E115" s="52">
        <f>'SLP States AggWorkings'!E115+'ZKY States AggWorkings'!E115</f>
        <v>0</v>
      </c>
      <c r="F115" s="52">
        <f>'SLP States AggWorkings'!F115+'ZKY States AggWorkings'!F115</f>
        <v>0</v>
      </c>
      <c r="G115" s="52">
        <f>'SLP States AggWorkings'!G115+'ZKY States AggWorkings'!G115</f>
        <v>0</v>
      </c>
      <c r="H115" s="52">
        <f>'SLP States AggWorkings'!H115+'ZKY States AggWorkings'!H115</f>
        <v>0</v>
      </c>
      <c r="I115" s="52">
        <f>'SLP States AggWorkings'!I115+'ZKY States AggWorkings'!I115</f>
        <v>0</v>
      </c>
      <c r="J115" s="52">
        <f>'SLP States AggWorkings'!J115+'ZKY States AggWorkings'!J115</f>
        <v>0</v>
      </c>
      <c r="K115" s="52">
        <f>'SLP States AggWorkings'!K115+'ZKY States AggWorkings'!K115</f>
        <v>0</v>
      </c>
      <c r="L115" s="52">
        <f>'SLP States AggWorkings'!L115+'ZKY States AggWorkings'!L115</f>
        <v>0</v>
      </c>
      <c r="M115" s="52">
        <f>'SLP States AggWorkings'!M115+'ZKY States AggWorkings'!M115</f>
        <v>0</v>
      </c>
      <c r="N115" s="52">
        <f>'SLP States AggWorkings'!N115+'ZKY States AggWorkings'!N115</f>
        <v>0</v>
      </c>
      <c r="O115" s="52">
        <f>'SLP States AggWorkings'!O115+'ZKY States AggWorkings'!O115</f>
        <v>0</v>
      </c>
      <c r="P115" s="52">
        <f>'SLP States AggWorkings'!P115+'ZKY States AggWorkings'!P115</f>
        <v>0</v>
      </c>
      <c r="Q115" s="52">
        <f>'SLP States AggWorkings'!Q115+'ZKY States AggWorkings'!Q115</f>
        <v>0</v>
      </c>
      <c r="R115" s="50">
        <f>'SLP States AggWorkings'!R115+'ZKY States AggWorkings'!R115</f>
        <v>21</v>
      </c>
      <c r="S115" s="51">
        <f>'SLP States AggWorkings'!S115+'ZKY States AggWorkings'!S115</f>
        <v>27</v>
      </c>
      <c r="T115" s="51">
        <f>'SLP States AggWorkings'!T115+'ZKY States AggWorkings'!T115</f>
        <v>33</v>
      </c>
      <c r="U115" s="51">
        <f>'SLP States AggWorkings'!U115+'ZKY States AggWorkings'!U115</f>
        <v>39</v>
      </c>
      <c r="V115" s="51">
        <f>'SLP States AggWorkings'!V115+'ZKY States AggWorkings'!V115+'Abuja Workings'!V115+'UK-Intl Workings'!V115</f>
        <v>75</v>
      </c>
      <c r="W115" s="51">
        <f>'SLP States AggWorkings'!W115+'ZKY States AggWorkings'!W115+'A&amp;N States AggWorkings'!W115+'Abuja Workings'!W115+'UK-Intl Workings'!W115</f>
        <v>82.5</v>
      </c>
      <c r="X115" s="51">
        <f>'SLP States AggWorkings'!X115+'ZKY States AggWorkings'!X115+'A&amp;N States AggWorkings'!X115+'Abuja Workings'!X115+'UK-Intl Workings'!X115</f>
        <v>94</v>
      </c>
      <c r="Y115" s="50">
        <f>'SLP States AggWorkings'!Y115+'ZKY States AggWorkings'!Y115+'A&amp;N States AggWorkings'!Y115+'Abuja Workings'!Y115+'UK-Intl Workings'!Y115</f>
        <v>97</v>
      </c>
      <c r="Z115" s="51">
        <f>'SLP States AggWorkings'!Z115+'ZKY States AggWorkings'!Z115+'A&amp;N States AggWorkings'!Z115+'Abuja Workings'!Z115+'UK-Intl Workings'!Z115</f>
        <v>97</v>
      </c>
      <c r="AA115" s="38">
        <f>'SLP States AggWorkings'!AA115+'ZKY States AggWorkings'!AA115</f>
        <v>160</v>
      </c>
      <c r="AB115" s="457">
        <f>AA115/22</f>
        <v>7.2727272727272725</v>
      </c>
      <c r="AC115" s="340"/>
      <c r="AD115" s="451">
        <f>V115</f>
        <v>75</v>
      </c>
      <c r="AE115" s="346"/>
      <c r="AF115" s="453">
        <f t="shared" ref="AF115:AG116" si="2">IF($AG$1=16,R115,IF($AG$1=17,S115,IF($AG$1=18,T115,IF($AG$1=19,U115,IF($AG$1=20,V115,IF($AG$1=21,W115,IF($AG$1=22,X115,0)))))))</f>
        <v>82.5</v>
      </c>
      <c r="AG115" s="453">
        <f t="shared" si="2"/>
        <v>94</v>
      </c>
      <c r="AI115" s="338"/>
    </row>
    <row r="116" spans="1:42" s="340" customFormat="1" ht="15.75" thickBot="1">
      <c r="A116" s="45"/>
      <c r="B116" s="46" t="s">
        <v>819</v>
      </c>
      <c r="C116" s="52">
        <f>'SLP States AggWorkings'!C116+'ZKY States AggWorkings'!C116</f>
        <v>0</v>
      </c>
      <c r="D116" s="52">
        <f>'SLP States AggWorkings'!D116+'ZKY States AggWorkings'!D116</f>
        <v>0</v>
      </c>
      <c r="E116" s="52">
        <f>'SLP States AggWorkings'!E116+'ZKY States AggWorkings'!E116</f>
        <v>0</v>
      </c>
      <c r="F116" s="52">
        <f>'SLP States AggWorkings'!F116+'ZKY States AggWorkings'!F116</f>
        <v>0</v>
      </c>
      <c r="G116" s="52">
        <f>'SLP States AggWorkings'!G116+'ZKY States AggWorkings'!G116</f>
        <v>0</v>
      </c>
      <c r="H116" s="52">
        <f>'SLP States AggWorkings'!H116+'ZKY States AggWorkings'!H116</f>
        <v>0</v>
      </c>
      <c r="I116" s="52">
        <f>'SLP States AggWorkings'!I116+'ZKY States AggWorkings'!I116</f>
        <v>0</v>
      </c>
      <c r="J116" s="52">
        <f>'SLP States AggWorkings'!J116+'ZKY States AggWorkings'!J116</f>
        <v>0</v>
      </c>
      <c r="K116" s="52">
        <f>'SLP States AggWorkings'!K116+'ZKY States AggWorkings'!K116</f>
        <v>0</v>
      </c>
      <c r="L116" s="52">
        <f>'SLP States AggWorkings'!L116+'ZKY States AggWorkings'!L116</f>
        <v>0</v>
      </c>
      <c r="M116" s="52">
        <f>'SLP States AggWorkings'!M116+'ZKY States AggWorkings'!M116</f>
        <v>0</v>
      </c>
      <c r="N116" s="52">
        <f>'SLP States AggWorkings'!N116+'ZKY States AggWorkings'!N116</f>
        <v>0</v>
      </c>
      <c r="O116" s="52">
        <f>'SLP States AggWorkings'!O116+'ZKY States AggWorkings'!O116</f>
        <v>0</v>
      </c>
      <c r="P116" s="52">
        <f>'SLP States AggWorkings'!P116+'ZKY States AggWorkings'!P116</f>
        <v>0</v>
      </c>
      <c r="Q116" s="52">
        <f>'SLP States AggWorkings'!Q116+'ZKY States AggWorkings'!Q116</f>
        <v>0</v>
      </c>
      <c r="R116" s="52">
        <f>'SLP States AggWorkings'!R116+'ZKY States AggWorkings'!R116</f>
        <v>21</v>
      </c>
      <c r="S116" s="442">
        <f>'SLP States AggWorkings'!S116+'ZKY States AggWorkings'!S116</f>
        <v>38</v>
      </c>
      <c r="T116" s="442">
        <f>'SLP States AggWorkings'!T116+'ZKY States AggWorkings'!T116</f>
        <v>49</v>
      </c>
      <c r="U116" s="442">
        <f>'SLP States AggWorkings'!U116+'ZKY States AggWorkings'!U116</f>
        <v>52</v>
      </c>
      <c r="V116" s="445">
        <f>'SLP States AggWorkings'!V116+'ZKY States AggWorkings'!V116+'Abuja Workings'!V116+'UK-Intl Workings'!V116</f>
        <v>103</v>
      </c>
      <c r="W116" s="72">
        <f>'SLP States AggWorkings'!W116+'ZKY States AggWorkings'!W116+'A&amp;N States AggWorkings'!W116+'Abuja Workings'!W116+'UK-Intl Workings'!W116</f>
        <v>135</v>
      </c>
      <c r="X116" s="70">
        <f>'SLP States AggWorkings'!X116+'ZKY States AggWorkings'!X116+'A&amp;N States AggWorkings'!X116+'Abuja Workings'!X116+'UK-Intl Workings'!X116</f>
        <v>149</v>
      </c>
      <c r="Y116" s="70">
        <f>'SLP States AggWorkings'!Y116+'ZKY States AggWorkings'!Y116+'A&amp;N States AggWorkings'!Y116+'Abuja Workings'!Y116+'UK-Intl Workings'!Y116</f>
        <v>53</v>
      </c>
      <c r="Z116" s="70">
        <f>'SLP States AggWorkings'!Z116+'ZKY States AggWorkings'!Z116+'A&amp;N States AggWorkings'!Z116+'Abuja Workings'!Z116+'UK-Intl Workings'!Z116</f>
        <v>53</v>
      </c>
      <c r="AA116" s="49"/>
      <c r="AB116" s="421"/>
      <c r="AD116" s="452">
        <f>V116</f>
        <v>103</v>
      </c>
      <c r="AE116" s="346"/>
      <c r="AF116" s="452">
        <f t="shared" si="2"/>
        <v>135</v>
      </c>
      <c r="AG116" s="452">
        <f t="shared" si="2"/>
        <v>149</v>
      </c>
      <c r="AH116" s="342">
        <f>AG116</f>
        <v>149</v>
      </c>
      <c r="AI116" s="342">
        <f>AG116</f>
        <v>149</v>
      </c>
    </row>
    <row r="117" spans="1:42">
      <c r="A117" s="45"/>
      <c r="B117" s="46"/>
      <c r="C117" s="53"/>
      <c r="D117" s="75"/>
      <c r="E117" s="75"/>
      <c r="F117" s="75"/>
      <c r="G117" s="75"/>
      <c r="H117" s="75"/>
      <c r="I117" s="75"/>
      <c r="J117" s="75"/>
      <c r="K117" s="75"/>
      <c r="L117" s="53"/>
      <c r="M117" s="53"/>
      <c r="N117" s="53"/>
      <c r="O117" s="53"/>
      <c r="P117" s="53"/>
      <c r="Q117" s="53"/>
      <c r="R117" s="53"/>
      <c r="S117" s="53"/>
      <c r="T117" s="53"/>
      <c r="U117" s="53"/>
      <c r="V117" s="53"/>
      <c r="W117" s="53"/>
      <c r="X117" s="53"/>
      <c r="Y117" s="53"/>
      <c r="Z117" s="53"/>
      <c r="AA117" s="49"/>
      <c r="AB117" s="421"/>
      <c r="AC117" s="340"/>
      <c r="AD117" s="346"/>
      <c r="AE117" s="346"/>
      <c r="AF117" s="346"/>
      <c r="AG117" s="346"/>
      <c r="AI117" s="338"/>
    </row>
    <row r="118" spans="1:42" ht="15.75" thickBot="1">
      <c r="A118" s="41" t="s">
        <v>697</v>
      </c>
      <c r="B118" s="42" t="s">
        <v>820</v>
      </c>
      <c r="C118" s="52">
        <f>'SLP States AggWorkings'!C118+'ZKY States AggWorkings'!C118</f>
        <v>0</v>
      </c>
      <c r="D118" s="52">
        <f>'SLP States AggWorkings'!D118+'ZKY States AggWorkings'!D118</f>
        <v>0</v>
      </c>
      <c r="E118" s="52">
        <f>'SLP States AggWorkings'!E118+'ZKY States AggWorkings'!E118</f>
        <v>0</v>
      </c>
      <c r="F118" s="52">
        <f>'SLP States AggWorkings'!F118+'ZKY States AggWorkings'!F118</f>
        <v>0</v>
      </c>
      <c r="G118" s="52">
        <f>'SLP States AggWorkings'!G118+'ZKY States AggWorkings'!G118</f>
        <v>0</v>
      </c>
      <c r="H118" s="52">
        <f>'SLP States AggWorkings'!H118+'ZKY States AggWorkings'!H118</f>
        <v>0</v>
      </c>
      <c r="I118" s="52">
        <f>'SLP States AggWorkings'!I118+'ZKY States AggWorkings'!I118</f>
        <v>0</v>
      </c>
      <c r="J118" s="52">
        <f>'SLP States AggWorkings'!J118+'ZKY States AggWorkings'!J118</f>
        <v>0</v>
      </c>
      <c r="K118" s="52">
        <f>'SLP States AggWorkings'!K118+'ZKY States AggWorkings'!K118</f>
        <v>0</v>
      </c>
      <c r="L118" s="52">
        <f>'SLP States AggWorkings'!L118+'ZKY States AggWorkings'!L118</f>
        <v>0</v>
      </c>
      <c r="M118" s="52">
        <f>'SLP States AggWorkings'!M118+'ZKY States AggWorkings'!M118</f>
        <v>0</v>
      </c>
      <c r="N118" s="52">
        <f>'SLP States AggWorkings'!N118+'ZKY States AggWorkings'!N118</f>
        <v>0</v>
      </c>
      <c r="O118" s="52">
        <f>'SLP States AggWorkings'!O118+'ZKY States AggWorkings'!O118</f>
        <v>0</v>
      </c>
      <c r="P118" s="52">
        <f>'SLP States AggWorkings'!P118+'ZKY States AggWorkings'!P118</f>
        <v>0</v>
      </c>
      <c r="Q118" s="52">
        <f>'SLP States AggWorkings'!Q118+'ZKY States AggWorkings'!Q118</f>
        <v>0</v>
      </c>
      <c r="R118" s="50">
        <f>'SLP States AggWorkings'!R118+'ZKY States AggWorkings'!R118</f>
        <v>19</v>
      </c>
      <c r="S118" s="51">
        <f>'SLP States AggWorkings'!S118+'ZKY States AggWorkings'!S118</f>
        <v>23</v>
      </c>
      <c r="T118" s="51">
        <f>'SLP States AggWorkings'!T118+'ZKY States AggWorkings'!T118</f>
        <v>27</v>
      </c>
      <c r="U118" s="51">
        <f>'SLP States AggWorkings'!U118+'ZKY States AggWorkings'!U118</f>
        <v>31</v>
      </c>
      <c r="V118" s="51">
        <f>'SLP States AggWorkings'!V118+'ZKY States AggWorkings'!V118+'Abuja Workings'!V118+'UK-Intl Workings'!V118</f>
        <v>48.333333333333329</v>
      </c>
      <c r="W118" s="51">
        <f>'SLP States AggWorkings'!W118+'ZKY States AggWorkings'!W118+'A&amp;N States AggWorkings'!W118+'Abuja Workings'!W118+'UK-Intl Workings'!W118</f>
        <v>52.666666666666657</v>
      </c>
      <c r="X118" s="51">
        <f>'SLP States AggWorkings'!X118+'ZKY States AggWorkings'!X118+'A&amp;N States AggWorkings'!X118+'Abuja Workings'!X118+'UK-Intl Workings'!X118</f>
        <v>60.333333333333336</v>
      </c>
      <c r="Y118" s="50">
        <f>'SLP States AggWorkings'!Y118+'ZKY States AggWorkings'!Y118+'A&amp;N States AggWorkings'!Y118+'Abuja Workings'!Y118+'UK-Intl Workings'!Y118</f>
        <v>63</v>
      </c>
      <c r="Z118" s="51">
        <f>'SLP States AggWorkings'!Z118+'ZKY States AggWorkings'!Z118+'A&amp;N States AggWorkings'!Z118+'Abuja Workings'!Z118+'UK-Intl Workings'!Z118</f>
        <v>63</v>
      </c>
      <c r="AA118" s="38">
        <f>'SLP States AggWorkings'!AA118+'ZKY States AggWorkings'!AA118</f>
        <v>80</v>
      </c>
      <c r="AB118" s="457">
        <f>AA118/22</f>
        <v>3.6363636363636362</v>
      </c>
      <c r="AC118" s="340"/>
      <c r="AD118" s="451">
        <f>V118</f>
        <v>48.333333333333329</v>
      </c>
      <c r="AE118" s="346"/>
      <c r="AF118" s="453">
        <f t="shared" ref="AF118:AG119" si="3">IF($AG$1=16,R118,IF($AG$1=17,S118,IF($AG$1=18,T118,IF($AG$1=19,U118,IF($AG$1=20,V118,IF($AG$1=21,W118,IF($AG$1=22,X118,0)))))))</f>
        <v>52.666666666666657</v>
      </c>
      <c r="AG118" s="453">
        <f t="shared" si="3"/>
        <v>60.333333333333336</v>
      </c>
      <c r="AI118" s="338"/>
    </row>
    <row r="119" spans="1:42" ht="15.75" thickBot="1">
      <c r="A119" s="45"/>
      <c r="B119" s="46" t="s">
        <v>821</v>
      </c>
      <c r="C119" s="52">
        <f>'SLP States AggWorkings'!C119+'ZKY States AggWorkings'!C119</f>
        <v>0</v>
      </c>
      <c r="D119" s="52">
        <f>'SLP States AggWorkings'!D119+'ZKY States AggWorkings'!D119</f>
        <v>0</v>
      </c>
      <c r="E119" s="52">
        <f>'SLP States AggWorkings'!E119+'ZKY States AggWorkings'!E119</f>
        <v>0</v>
      </c>
      <c r="F119" s="52">
        <f>'SLP States AggWorkings'!F119+'ZKY States AggWorkings'!F119</f>
        <v>0</v>
      </c>
      <c r="G119" s="52">
        <f>'SLP States AggWorkings'!G119+'ZKY States AggWorkings'!G119</f>
        <v>0</v>
      </c>
      <c r="H119" s="52">
        <f>'SLP States AggWorkings'!H119+'ZKY States AggWorkings'!H119</f>
        <v>0</v>
      </c>
      <c r="I119" s="52">
        <f>'SLP States AggWorkings'!I119+'ZKY States AggWorkings'!I119</f>
        <v>0</v>
      </c>
      <c r="J119" s="52">
        <f>'SLP States AggWorkings'!J119+'ZKY States AggWorkings'!J119</f>
        <v>0</v>
      </c>
      <c r="K119" s="52">
        <f>'SLP States AggWorkings'!K119+'ZKY States AggWorkings'!K119</f>
        <v>0</v>
      </c>
      <c r="L119" s="52">
        <f>'SLP States AggWorkings'!L119+'ZKY States AggWorkings'!L119</f>
        <v>0</v>
      </c>
      <c r="M119" s="52">
        <f>'SLP States AggWorkings'!M119+'ZKY States AggWorkings'!M119</f>
        <v>0</v>
      </c>
      <c r="N119" s="52">
        <f>'SLP States AggWorkings'!N119+'ZKY States AggWorkings'!N119</f>
        <v>0</v>
      </c>
      <c r="O119" s="52">
        <f>'SLP States AggWorkings'!O119+'ZKY States AggWorkings'!O119</f>
        <v>0</v>
      </c>
      <c r="P119" s="52">
        <f>'SLP States AggWorkings'!P119+'ZKY States AggWorkings'!P119</f>
        <v>0</v>
      </c>
      <c r="Q119" s="52">
        <f>'SLP States AggWorkings'!Q119+'ZKY States AggWorkings'!Q119</f>
        <v>0</v>
      </c>
      <c r="R119" s="52">
        <f>'SLP States AggWorkings'!R119+'ZKY States AggWorkings'!R119</f>
        <v>19</v>
      </c>
      <c r="S119" s="442">
        <f>'SLP States AggWorkings'!S119+'ZKY States AggWorkings'!S119</f>
        <v>31</v>
      </c>
      <c r="T119" s="442">
        <f>'SLP States AggWorkings'!T119+'ZKY States AggWorkings'!T119</f>
        <v>38</v>
      </c>
      <c r="U119" s="442">
        <f>'SLP States AggWorkings'!U119+'ZKY States AggWorkings'!U119</f>
        <v>41</v>
      </c>
      <c r="V119" s="445">
        <f>'SLP States AggWorkings'!V119+'ZKY States AggWorkings'!V119+'Abuja Workings'!V119+'UK-Intl Workings'!V119</f>
        <v>67</v>
      </c>
      <c r="W119" s="72">
        <f>'SLP States AggWorkings'!W119+'ZKY States AggWorkings'!W119+'A&amp;N States AggWorkings'!W119+'Abuja Workings'!W119+'UK-Intl Workings'!W119</f>
        <v>95</v>
      </c>
      <c r="X119" s="70">
        <f>'SLP States AggWorkings'!X119+'ZKY States AggWorkings'!X119+'A&amp;N States AggWorkings'!X119+'Abuja Workings'!X119+'UK-Intl Workings'!X119</f>
        <v>106</v>
      </c>
      <c r="Y119" s="70">
        <f>'SLP States AggWorkings'!Y119+'ZKY States AggWorkings'!Y119+'A&amp;N States AggWorkings'!Y119+'Abuja Workings'!Y119+'UK-Intl Workings'!Y119</f>
        <v>32</v>
      </c>
      <c r="Z119" s="70">
        <f>'SLP States AggWorkings'!Z119+'ZKY States AggWorkings'!Z119+'A&amp;N States AggWorkings'!Z119+'Abuja Workings'!Z119+'UK-Intl Workings'!Z119</f>
        <v>32</v>
      </c>
      <c r="AA119" s="49"/>
      <c r="AB119" s="421"/>
      <c r="AC119" s="340"/>
      <c r="AD119" s="452">
        <f>V119</f>
        <v>67</v>
      </c>
      <c r="AE119" s="346"/>
      <c r="AF119" s="452">
        <f t="shared" si="3"/>
        <v>95</v>
      </c>
      <c r="AG119" s="452">
        <f t="shared" si="3"/>
        <v>106</v>
      </c>
      <c r="AH119" s="342">
        <f>AG119</f>
        <v>106</v>
      </c>
      <c r="AI119" s="342">
        <f>AG119</f>
        <v>106</v>
      </c>
    </row>
    <row r="120" spans="1:42">
      <c r="A120" s="45"/>
      <c r="B120" s="46"/>
      <c r="C120" s="53"/>
      <c r="D120" s="75"/>
      <c r="E120" s="75"/>
      <c r="F120" s="75"/>
      <c r="G120" s="75"/>
      <c r="H120" s="75"/>
      <c r="I120" s="75"/>
      <c r="J120" s="75"/>
      <c r="K120" s="75"/>
      <c r="L120" s="53"/>
      <c r="M120" s="53"/>
      <c r="N120" s="53"/>
      <c r="O120" s="53"/>
      <c r="P120" s="53"/>
      <c r="Q120" s="53"/>
      <c r="R120" s="53"/>
      <c r="S120" s="53"/>
      <c r="T120" s="53"/>
      <c r="U120" s="53"/>
      <c r="V120" s="53"/>
      <c r="W120" s="53"/>
      <c r="X120" s="53"/>
      <c r="Y120" s="53"/>
      <c r="Z120" s="53"/>
      <c r="AA120" s="49"/>
      <c r="AB120" s="421"/>
      <c r="AC120" s="340"/>
      <c r="AD120" s="345"/>
      <c r="AE120" s="346"/>
      <c r="AF120" s="454"/>
      <c r="AG120" s="454"/>
      <c r="AI120" s="338"/>
    </row>
    <row r="121" spans="1:42" ht="15.75" thickBot="1">
      <c r="A121" s="41" t="s">
        <v>698</v>
      </c>
      <c r="B121" s="42" t="s">
        <v>822</v>
      </c>
      <c r="C121" s="52">
        <f>'SLP States AggWorkings'!C121+'ZKY States AggWorkings'!C121</f>
        <v>0</v>
      </c>
      <c r="D121" s="52">
        <f>'SLP States AggWorkings'!D121+'ZKY States AggWorkings'!D121</f>
        <v>0</v>
      </c>
      <c r="E121" s="52">
        <f>'SLP States AggWorkings'!E121+'ZKY States AggWorkings'!E121</f>
        <v>0</v>
      </c>
      <c r="F121" s="52">
        <f>'SLP States AggWorkings'!F121+'ZKY States AggWorkings'!F121</f>
        <v>0</v>
      </c>
      <c r="G121" s="52">
        <f>'SLP States AggWorkings'!G121+'ZKY States AggWorkings'!G121</f>
        <v>0</v>
      </c>
      <c r="H121" s="52">
        <f>'SLP States AggWorkings'!H121+'ZKY States AggWorkings'!H121</f>
        <v>0</v>
      </c>
      <c r="I121" s="52">
        <f>'SLP States AggWorkings'!I121+'ZKY States AggWorkings'!I121</f>
        <v>0</v>
      </c>
      <c r="J121" s="52">
        <f>'SLP States AggWorkings'!J121+'ZKY States AggWorkings'!J121</f>
        <v>0</v>
      </c>
      <c r="K121" s="52">
        <f>'SLP States AggWorkings'!K121+'ZKY States AggWorkings'!K121</f>
        <v>0</v>
      </c>
      <c r="L121" s="52">
        <f>'SLP States AggWorkings'!L121+'ZKY States AggWorkings'!L121</f>
        <v>0</v>
      </c>
      <c r="M121" s="52">
        <f>'SLP States AggWorkings'!M121+'ZKY States AggWorkings'!M121</f>
        <v>0</v>
      </c>
      <c r="N121" s="52">
        <f>'SLP States AggWorkings'!N121+'ZKY States AggWorkings'!N121</f>
        <v>0</v>
      </c>
      <c r="O121" s="52">
        <f>'SLP States AggWorkings'!O121+'ZKY States AggWorkings'!O121</f>
        <v>0</v>
      </c>
      <c r="P121" s="52">
        <f>'SLP States AggWorkings'!P121+'ZKY States AggWorkings'!P121</f>
        <v>0</v>
      </c>
      <c r="Q121" s="52">
        <f>'SLP States AggWorkings'!Q121+'ZKY States AggWorkings'!Q121</f>
        <v>0</v>
      </c>
      <c r="R121" s="50">
        <f>'SLP States AggWorkings'!R121+'ZKY States AggWorkings'!R121</f>
        <v>21</v>
      </c>
      <c r="S121" s="51">
        <f>'SLP States AggWorkings'!S121+'ZKY States AggWorkings'!S121</f>
        <v>22.833333333333336</v>
      </c>
      <c r="T121" s="51">
        <f>'SLP States AggWorkings'!T121+'ZKY States AggWorkings'!T121</f>
        <v>24.666666666666668</v>
      </c>
      <c r="U121" s="51">
        <f>'SLP States AggWorkings'!U121+'ZKY States AggWorkings'!U121</f>
        <v>26.5</v>
      </c>
      <c r="V121" s="51">
        <f>'SLP States AggWorkings'!V121+'ZKY States AggWorkings'!V121+'Abuja Workings'!V121+'UK-Intl Workings'!V121</f>
        <v>41.666666666666664</v>
      </c>
      <c r="W121" s="51">
        <f>'SLP States AggWorkings'!W121+'ZKY States AggWorkings'!W121+'A&amp;N States AggWorkings'!W121+'Abuja Workings'!W121+'UK-Intl Workings'!W121</f>
        <v>45.333333333333329</v>
      </c>
      <c r="X121" s="51">
        <f>'SLP States AggWorkings'!X121+'ZKY States AggWorkings'!X121+'A&amp;N States AggWorkings'!X121+'Abuja Workings'!X121+'UK-Intl Workings'!X121</f>
        <v>50.666666666666664</v>
      </c>
      <c r="Y121" s="50">
        <f>'SLP States AggWorkings'!Y121+'ZKY States AggWorkings'!Y121+'A&amp;N States AggWorkings'!Y121+'Abuja Workings'!Y121+'UK-Intl Workings'!Y121</f>
        <v>52</v>
      </c>
      <c r="Z121" s="51">
        <f>'SLP States AggWorkings'!Z121+'ZKY States AggWorkings'!Z121+'A&amp;N States AggWorkings'!Z121+'Abuja Workings'!Z121+'UK-Intl Workings'!Z121</f>
        <v>52</v>
      </c>
      <c r="AA121" s="38">
        <f>'SLP States AggWorkings'!AA121+'ZKY States AggWorkings'!AA121</f>
        <v>80</v>
      </c>
      <c r="AB121" s="457">
        <f>AA121/22</f>
        <v>3.6363636363636362</v>
      </c>
      <c r="AC121" s="340"/>
      <c r="AD121" s="451">
        <f>V121</f>
        <v>41.666666666666664</v>
      </c>
      <c r="AE121" s="346"/>
      <c r="AF121" s="453">
        <f t="shared" ref="AF121:AG122" si="4">IF($AG$1=16,R121,IF($AG$1=17,S121,IF($AG$1=18,T121,IF($AG$1=19,U121,IF($AG$1=20,V121,IF($AG$1=21,W121,IF($AG$1=22,X121,0)))))))</f>
        <v>45.333333333333329</v>
      </c>
      <c r="AG121" s="453">
        <f t="shared" si="4"/>
        <v>50.666666666666664</v>
      </c>
      <c r="AI121" s="338"/>
    </row>
    <row r="122" spans="1:42" ht="15.75" thickBot="1">
      <c r="A122" s="45"/>
      <c r="B122" s="46" t="s">
        <v>823</v>
      </c>
      <c r="C122" s="52">
        <f>'SLP States AggWorkings'!C122+'ZKY States AggWorkings'!C122</f>
        <v>0</v>
      </c>
      <c r="D122" s="52">
        <f>'SLP States AggWorkings'!D122+'ZKY States AggWorkings'!D122</f>
        <v>0</v>
      </c>
      <c r="E122" s="52">
        <f>'SLP States AggWorkings'!E122+'ZKY States AggWorkings'!E122</f>
        <v>0</v>
      </c>
      <c r="F122" s="52">
        <f>'SLP States AggWorkings'!F122+'ZKY States AggWorkings'!F122</f>
        <v>0</v>
      </c>
      <c r="G122" s="52">
        <f>'SLP States AggWorkings'!G122+'ZKY States AggWorkings'!G122</f>
        <v>0</v>
      </c>
      <c r="H122" s="52">
        <f>'SLP States AggWorkings'!H122+'ZKY States AggWorkings'!H122</f>
        <v>0</v>
      </c>
      <c r="I122" s="52">
        <f>'SLP States AggWorkings'!I122+'ZKY States AggWorkings'!I122</f>
        <v>0</v>
      </c>
      <c r="J122" s="52">
        <f>'SLP States AggWorkings'!J122+'ZKY States AggWorkings'!J122</f>
        <v>0</v>
      </c>
      <c r="K122" s="52">
        <f>'SLP States AggWorkings'!K122+'ZKY States AggWorkings'!K122</f>
        <v>0</v>
      </c>
      <c r="L122" s="52">
        <f>'SLP States AggWorkings'!L122+'ZKY States AggWorkings'!L122</f>
        <v>0</v>
      </c>
      <c r="M122" s="52">
        <f>'SLP States AggWorkings'!M122+'ZKY States AggWorkings'!M122</f>
        <v>0</v>
      </c>
      <c r="N122" s="52">
        <f>'SLP States AggWorkings'!N122+'ZKY States AggWorkings'!N122</f>
        <v>0</v>
      </c>
      <c r="O122" s="52">
        <f>'SLP States AggWorkings'!O122+'ZKY States AggWorkings'!O122</f>
        <v>0</v>
      </c>
      <c r="P122" s="52">
        <f>'SLP States AggWorkings'!P122+'ZKY States AggWorkings'!P122</f>
        <v>0</v>
      </c>
      <c r="Q122" s="52">
        <f>'SLP States AggWorkings'!Q122+'ZKY States AggWorkings'!Q122</f>
        <v>0</v>
      </c>
      <c r="R122" s="52">
        <f>'SLP States AggWorkings'!R122+'ZKY States AggWorkings'!R122</f>
        <v>21</v>
      </c>
      <c r="S122" s="442">
        <f>'SLP States AggWorkings'!S122+'ZKY States AggWorkings'!S122</f>
        <v>26</v>
      </c>
      <c r="T122" s="442">
        <f>'SLP States AggWorkings'!T122+'ZKY States AggWorkings'!T122</f>
        <v>30</v>
      </c>
      <c r="U122" s="442">
        <f>'SLP States AggWorkings'!U122+'ZKY States AggWorkings'!U122</f>
        <v>34</v>
      </c>
      <c r="V122" s="445">
        <f>'SLP States AggWorkings'!V122+'ZKY States AggWorkings'!V122+'Abuja Workings'!V122+'UK-Intl Workings'!V122</f>
        <v>55</v>
      </c>
      <c r="W122" s="72">
        <f>'SLP States AggWorkings'!W122+'ZKY States AggWorkings'!W122+'A&amp;N States AggWorkings'!W122+'Abuja Workings'!W122+'UK-Intl Workings'!W122</f>
        <v>68</v>
      </c>
      <c r="X122" s="70">
        <f>'SLP States AggWorkings'!X122+'ZKY States AggWorkings'!X122+'A&amp;N States AggWorkings'!X122+'Abuja Workings'!X122+'UK-Intl Workings'!X122</f>
        <v>73</v>
      </c>
      <c r="Y122" s="70">
        <f>'SLP States AggWorkings'!Y122+'ZKY States AggWorkings'!Y122+'A&amp;N States AggWorkings'!Y122+'Abuja Workings'!Y122+'UK-Intl Workings'!Y122</f>
        <v>21</v>
      </c>
      <c r="Z122" s="70">
        <f>'SLP States AggWorkings'!Z122+'ZKY States AggWorkings'!Z122+'A&amp;N States AggWorkings'!Z122+'Abuja Workings'!Z122+'UK-Intl Workings'!Z122</f>
        <v>21</v>
      </c>
      <c r="AA122" s="49"/>
      <c r="AB122" s="421"/>
      <c r="AC122" s="340"/>
      <c r="AD122" s="452">
        <f>V122</f>
        <v>55</v>
      </c>
      <c r="AE122" s="346"/>
      <c r="AF122" s="452">
        <f t="shared" si="4"/>
        <v>68</v>
      </c>
      <c r="AG122" s="452">
        <f t="shared" si="4"/>
        <v>73</v>
      </c>
      <c r="AH122" s="342">
        <f>AG122</f>
        <v>73</v>
      </c>
      <c r="AI122" s="342">
        <f>AG122</f>
        <v>73</v>
      </c>
    </row>
    <row r="123" spans="1:42" ht="14.25" customHeight="1">
      <c r="A123" s="45"/>
      <c r="B123" s="46"/>
      <c r="C123" s="53"/>
      <c r="D123" s="75"/>
      <c r="E123" s="75"/>
      <c r="F123" s="75"/>
      <c r="G123" s="75"/>
      <c r="H123" s="75"/>
      <c r="I123" s="75"/>
      <c r="J123" s="75"/>
      <c r="K123" s="75"/>
      <c r="L123" s="53"/>
      <c r="M123" s="53"/>
      <c r="N123" s="53"/>
      <c r="O123" s="53"/>
      <c r="P123" s="53"/>
      <c r="Q123" s="53"/>
      <c r="R123" s="53"/>
      <c r="S123" s="53"/>
      <c r="T123" s="53"/>
      <c r="U123" s="53"/>
      <c r="V123" s="53"/>
      <c r="W123" s="53"/>
      <c r="X123" s="53"/>
      <c r="Y123" s="53"/>
      <c r="Z123" s="53"/>
      <c r="AA123" s="49"/>
      <c r="AB123" s="421"/>
      <c r="AC123" s="340"/>
      <c r="AD123" s="345"/>
      <c r="AE123" s="346"/>
      <c r="AF123" s="454"/>
      <c r="AG123" s="454"/>
      <c r="AI123" s="338"/>
    </row>
    <row r="124" spans="1:42" ht="15.75" thickBot="1">
      <c r="A124" s="41" t="s">
        <v>699</v>
      </c>
      <c r="B124" s="42" t="s">
        <v>202</v>
      </c>
      <c r="C124" s="43" t="e">
        <f>'SLP States AggWorkings'!C124+'ZKY States AggWorkings'!C124</f>
        <v>#VALUE!</v>
      </c>
      <c r="D124" s="73" t="e">
        <f>'SLP States AggWorkings'!D124+'ZKY States AggWorkings'!D124</f>
        <v>#VALUE!</v>
      </c>
      <c r="E124" s="73" t="e">
        <f>'SLP States AggWorkings'!E124+'ZKY States AggWorkings'!E124</f>
        <v>#VALUE!</v>
      </c>
      <c r="F124" s="73" t="e">
        <f>'SLP States AggWorkings'!F124+'ZKY States AggWorkings'!F124</f>
        <v>#VALUE!</v>
      </c>
      <c r="G124" s="73" t="e">
        <f>'SLP States AggWorkings'!G124+'ZKY States AggWorkings'!G124</f>
        <v>#VALUE!</v>
      </c>
      <c r="H124" s="73" t="e">
        <f>'SLP States AggWorkings'!H124+'ZKY States AggWorkings'!H124</f>
        <v>#VALUE!</v>
      </c>
      <c r="I124" s="74">
        <f>'SLP States AggWorkings'!I124+'ZKY States AggWorkings'!I124</f>
        <v>14</v>
      </c>
      <c r="J124" s="73">
        <f>'SLP States AggWorkings'!J124+'ZKY States AggWorkings'!J124</f>
        <v>16.5</v>
      </c>
      <c r="K124" s="73">
        <f>'SLP States AggWorkings'!K124+'ZKY States AggWorkings'!K124</f>
        <v>18.999999999999996</v>
      </c>
      <c r="L124" s="51">
        <f>'SLP States AggWorkings'!L124+'ZKY States AggWorkings'!L124</f>
        <v>21.5</v>
      </c>
      <c r="M124" s="51">
        <f>'SLP States AggWorkings'!M124+'ZKY States AggWorkings'!M124</f>
        <v>24</v>
      </c>
      <c r="N124" s="50">
        <f>'SLP States AggWorkings'!N124+'ZKY States AggWorkings'!N124</f>
        <v>29</v>
      </c>
      <c r="O124" s="51">
        <f>'SLP States AggWorkings'!O124+'ZKY States AggWorkings'!O124</f>
        <v>27.5</v>
      </c>
      <c r="P124" s="51">
        <f>'SLP States AggWorkings'!P124+'ZKY States AggWorkings'!P124</f>
        <v>26</v>
      </c>
      <c r="Q124" s="51">
        <f>'SLP States AggWorkings'!Q124+'ZKY States AggWorkings'!Q124</f>
        <v>24.5</v>
      </c>
      <c r="R124" s="50">
        <f>'SLP States AggWorkings'!R124+'ZKY States AggWorkings'!R124</f>
        <v>23</v>
      </c>
      <c r="S124" s="51">
        <f>'SLP States AggWorkings'!S124+'ZKY States AggWorkings'!S124</f>
        <v>29.166666666666664</v>
      </c>
      <c r="T124" s="51">
        <f>'SLP States AggWorkings'!T124+'ZKY States AggWorkings'!T124</f>
        <v>35.333333333333336</v>
      </c>
      <c r="U124" s="51">
        <f>'SLP States AggWorkings'!U124+'ZKY States AggWorkings'!U124</f>
        <v>41.5</v>
      </c>
      <c r="V124" s="51">
        <f>'SLP States AggWorkings'!V124+'ZKY States AggWorkings'!V124+'Abuja Workings'!V124+'UK-Intl Workings'!V124</f>
        <v>69.333333333333329</v>
      </c>
      <c r="W124" s="51">
        <f>'SLP States AggWorkings'!W124+'ZKY States AggWorkings'!W124+'A&amp;N States AggWorkings'!W124+'Abuja Workings'!W124+'UK-Intl Workings'!W124</f>
        <v>77.5</v>
      </c>
      <c r="X124" s="51">
        <f>'SLP States AggWorkings'!X124+'ZKY States AggWorkings'!X124+'A&amp;N States AggWorkings'!X124+'Abuja Workings'!X124+'UK-Intl Workings'!X124</f>
        <v>87</v>
      </c>
      <c r="Y124" s="50">
        <f>'SLP States AggWorkings'!Y124+'ZKY States AggWorkings'!Y124+'A&amp;N States AggWorkings'!Y124+'Abuja Workings'!Y124+'UK-Intl Workings'!Y124</f>
        <v>89</v>
      </c>
      <c r="Z124" s="51">
        <f>'SLP States AggWorkings'!Z124+'ZKY States AggWorkings'!Z124+'A&amp;N States AggWorkings'!Z124+'Abuja Workings'!Z124+'UK-Intl Workings'!Z124</f>
        <v>89</v>
      </c>
      <c r="AA124" s="38">
        <f>'SLP States AggWorkings'!AA124+'ZKY States AggWorkings'!AA124</f>
        <v>80</v>
      </c>
      <c r="AB124" s="457">
        <f>AA124/22</f>
        <v>3.6363636363636362</v>
      </c>
      <c r="AC124" s="340"/>
      <c r="AD124" s="451">
        <f>V124</f>
        <v>69.333333333333329</v>
      </c>
      <c r="AE124" s="346"/>
      <c r="AF124" s="453">
        <f t="shared" ref="AF124:AG125" si="5">IF($AG$1=16,R124,IF($AG$1=17,S124,IF($AG$1=18,T124,IF($AG$1=19,U124,IF($AG$1=20,V124,IF($AG$1=21,W124,IF($AG$1=22,X124,0)))))))</f>
        <v>77.5</v>
      </c>
      <c r="AG124" s="453">
        <f t="shared" si="5"/>
        <v>87</v>
      </c>
      <c r="AI124" s="338"/>
    </row>
    <row r="125" spans="1:42" ht="15.75" thickBot="1">
      <c r="A125" s="45"/>
      <c r="B125" s="46" t="s">
        <v>203</v>
      </c>
      <c r="C125" s="79" t="e">
        <f>'SLP States AggWorkings'!C125+'ZKY States AggWorkings'!C125</f>
        <v>#VALUE!</v>
      </c>
      <c r="D125" s="441">
        <f>'SLP States AggWorkings'!D125+'ZKY States AggWorkings'!D125</f>
        <v>2</v>
      </c>
      <c r="E125" s="442">
        <f>'SLP States AggWorkings'!E125+'ZKY States AggWorkings'!E125</f>
        <v>2</v>
      </c>
      <c r="F125" s="442">
        <f>'SLP States AggWorkings'!F125+'ZKY States AggWorkings'!F125</f>
        <v>2</v>
      </c>
      <c r="G125" s="442">
        <f>'SLP States AggWorkings'!G125+'ZKY States AggWorkings'!G125</f>
        <v>2</v>
      </c>
      <c r="H125" s="442">
        <f>'SLP States AggWorkings'!H125+'ZKY States AggWorkings'!H125</f>
        <v>2</v>
      </c>
      <c r="I125" s="442">
        <f>'SLP States AggWorkings'!I125+'ZKY States AggWorkings'!I125</f>
        <v>0</v>
      </c>
      <c r="J125" s="442">
        <f>'SLP States AggWorkings'!J125+'ZKY States AggWorkings'!J125</f>
        <v>0</v>
      </c>
      <c r="K125" s="442">
        <f>'SLP States AggWorkings'!K125+'ZKY States AggWorkings'!K125</f>
        <v>5</v>
      </c>
      <c r="L125" s="442">
        <f>'SLP States AggWorkings'!L125+'ZKY States AggWorkings'!L125</f>
        <v>10</v>
      </c>
      <c r="M125" s="442">
        <f>'SLP States AggWorkings'!M125+'ZKY States AggWorkings'!M125</f>
        <v>8</v>
      </c>
      <c r="N125" s="442">
        <f>'SLP States AggWorkings'!N125+'ZKY States AggWorkings'!N125</f>
        <v>9</v>
      </c>
      <c r="O125" s="442">
        <f>'SLP States AggWorkings'!O125+'ZKY States AggWorkings'!O125</f>
        <v>11</v>
      </c>
      <c r="P125" s="442">
        <f>'SLP States AggWorkings'!P125+'ZKY States AggWorkings'!P125</f>
        <v>16</v>
      </c>
      <c r="Q125" s="442">
        <f>'SLP States AggWorkings'!Q125+'ZKY States AggWorkings'!Q125</f>
        <v>21</v>
      </c>
      <c r="R125" s="442">
        <f>'SLP States AggWorkings'!R125+'ZKY States AggWorkings'!R125</f>
        <v>29</v>
      </c>
      <c r="S125" s="442">
        <f>'SLP States AggWorkings'!S125+'ZKY States AggWorkings'!S125</f>
        <v>38</v>
      </c>
      <c r="T125" s="442">
        <f>'SLP States AggWorkings'!T125+'ZKY States AggWorkings'!T125</f>
        <v>42</v>
      </c>
      <c r="U125" s="442">
        <f>'SLP States AggWorkings'!U125+'ZKY States AggWorkings'!U125</f>
        <v>45</v>
      </c>
      <c r="V125" s="445">
        <f>'SLP States AggWorkings'!V125+'ZKY States AggWorkings'!V125+'Abuja Workings'!V125+'UK-Intl Workings'!V125</f>
        <v>82</v>
      </c>
      <c r="W125" s="72">
        <f>'SLP States AggWorkings'!W125+'ZKY States AggWorkings'!W125+'A&amp;N States AggWorkings'!W125+'Abuja Workings'!W125+'UK-Intl Workings'!W125</f>
        <v>101</v>
      </c>
      <c r="X125" s="70">
        <f>'SLP States AggWorkings'!X125+'ZKY States AggWorkings'!X125+'A&amp;N States AggWorkings'!X125+'Abuja Workings'!X125+'UK-Intl Workings'!X125</f>
        <v>115</v>
      </c>
      <c r="Y125" s="70">
        <f>'SLP States AggWorkings'!Y125+'ZKY States AggWorkings'!Y125+'A&amp;N States AggWorkings'!Y125+'Abuja Workings'!Y125+'UK-Intl Workings'!Y125</f>
        <v>32</v>
      </c>
      <c r="Z125" s="70">
        <f>'SLP States AggWorkings'!Z125+'ZKY States AggWorkings'!Z125+'A&amp;N States AggWorkings'!Z125+'Abuja Workings'!Z125+'UK-Intl Workings'!Z125</f>
        <v>32</v>
      </c>
      <c r="AA125" s="49"/>
      <c r="AB125" s="421"/>
      <c r="AC125" s="340"/>
      <c r="AD125" s="452">
        <f>V125</f>
        <v>82</v>
      </c>
      <c r="AE125" s="346"/>
      <c r="AF125" s="452">
        <f t="shared" si="5"/>
        <v>101</v>
      </c>
      <c r="AG125" s="452">
        <f t="shared" si="5"/>
        <v>115</v>
      </c>
      <c r="AH125" s="342">
        <f>AG125</f>
        <v>115</v>
      </c>
      <c r="AI125" s="342">
        <f>AG125</f>
        <v>115</v>
      </c>
    </row>
    <row r="126" spans="1:42">
      <c r="B126" s="46"/>
      <c r="R126" s="53"/>
      <c r="S126" s="53"/>
      <c r="T126" s="53"/>
      <c r="U126" s="53"/>
      <c r="V126" s="53"/>
      <c r="W126" s="53"/>
      <c r="X126" s="53"/>
      <c r="Y126" s="53"/>
      <c r="Z126" s="53"/>
      <c r="AB126" s="420"/>
      <c r="AC126" s="340"/>
      <c r="AD126" s="345"/>
      <c r="AE126" s="346"/>
      <c r="AF126" s="454"/>
      <c r="AG126" s="454"/>
      <c r="AI126" s="338"/>
    </row>
    <row r="127" spans="1:42" ht="15.75" thickBot="1">
      <c r="A127" s="41" t="s">
        <v>700</v>
      </c>
      <c r="B127" s="42" t="s">
        <v>213</v>
      </c>
      <c r="C127" s="52">
        <f>'SLP States AggWorkings'!C127+'ZKY States AggWorkings'!C127</f>
        <v>0</v>
      </c>
      <c r="D127" s="52">
        <f>'SLP States AggWorkings'!D127+'ZKY States AggWorkings'!D127</f>
        <v>0</v>
      </c>
      <c r="E127" s="52">
        <f>'SLP States AggWorkings'!E127+'ZKY States AggWorkings'!E127</f>
        <v>0</v>
      </c>
      <c r="F127" s="52">
        <f>'SLP States AggWorkings'!F127+'ZKY States AggWorkings'!F127</f>
        <v>0</v>
      </c>
      <c r="G127" s="52">
        <f>'SLP States AggWorkings'!G127+'ZKY States AggWorkings'!G127</f>
        <v>0</v>
      </c>
      <c r="H127" s="52">
        <f>'SLP States AggWorkings'!H127+'ZKY States AggWorkings'!H127</f>
        <v>0</v>
      </c>
      <c r="I127" s="52">
        <f>'SLP States AggWorkings'!I127+'ZKY States AggWorkings'!I127</f>
        <v>0</v>
      </c>
      <c r="J127" s="52">
        <f>'SLP States AggWorkings'!J127+'ZKY States AggWorkings'!J127</f>
        <v>0</v>
      </c>
      <c r="K127" s="52">
        <f>'SLP States AggWorkings'!K127+'ZKY States AggWorkings'!K127</f>
        <v>0</v>
      </c>
      <c r="L127" s="52">
        <f>'SLP States AggWorkings'!L127+'ZKY States AggWorkings'!L127</f>
        <v>0</v>
      </c>
      <c r="M127" s="52">
        <f>'SLP States AggWorkings'!M127+'ZKY States AggWorkings'!M127</f>
        <v>0</v>
      </c>
      <c r="N127" s="52">
        <f>'SLP States AggWorkings'!N127+'ZKY States AggWorkings'!N127</f>
        <v>0</v>
      </c>
      <c r="O127" s="52">
        <f>'SLP States AggWorkings'!O127+'ZKY States AggWorkings'!O127</f>
        <v>0</v>
      </c>
      <c r="P127" s="52">
        <f>'SLP States AggWorkings'!P127+'ZKY States AggWorkings'!P127</f>
        <v>0</v>
      </c>
      <c r="Q127" s="52">
        <f>'SLP States AggWorkings'!Q127+'ZKY States AggWorkings'!Q127</f>
        <v>0</v>
      </c>
      <c r="R127" s="50">
        <f>'SLP States AggWorkings'!R127+'ZKY States AggWorkings'!R127</f>
        <v>16</v>
      </c>
      <c r="S127" s="51">
        <f>'SLP States AggWorkings'!S127+'ZKY States AggWorkings'!S127</f>
        <v>19.333333333333332</v>
      </c>
      <c r="T127" s="51">
        <f>'SLP States AggWorkings'!T127+'ZKY States AggWorkings'!T127</f>
        <v>22.666666666666664</v>
      </c>
      <c r="U127" s="51">
        <f>'SLP States AggWorkings'!U127+'ZKY States AggWorkings'!U127</f>
        <v>26</v>
      </c>
      <c r="V127" s="51">
        <f>'SLP States AggWorkings'!V127+'ZKY States AggWorkings'!V127+'Abuja Workings'!V127+'UK-Intl Workings'!V127</f>
        <v>42.666666666666664</v>
      </c>
      <c r="W127" s="51">
        <f>'SLP States AggWorkings'!W127+'ZKY States AggWorkings'!W127+'A&amp;N States AggWorkings'!W127+'Abuja Workings'!W127+'UK-Intl Workings'!W127</f>
        <v>49.499999999999993</v>
      </c>
      <c r="X127" s="51">
        <f>'SLP States AggWorkings'!X127+'ZKY States AggWorkings'!X127+'A&amp;N States AggWorkings'!X127+'Abuja Workings'!X127+'UK-Intl Workings'!X127</f>
        <v>55</v>
      </c>
      <c r="Y127" s="50">
        <f>'SLP States AggWorkings'!Y127+'ZKY States AggWorkings'!Y127+'A&amp;N States AggWorkings'!Y127+'Abuja Workings'!Y127+'UK-Intl Workings'!Y127</f>
        <v>56</v>
      </c>
      <c r="Z127" s="51">
        <f>'SLP States AggWorkings'!Z127+'ZKY States AggWorkings'!Z127+'A&amp;N States AggWorkings'!Z127+'Abuja Workings'!Z127+'UK-Intl Workings'!Z127</f>
        <v>56</v>
      </c>
      <c r="AA127" s="38">
        <f>'SLP States AggWorkings'!AA127+'ZKY States AggWorkings'!AA127</f>
        <v>80</v>
      </c>
      <c r="AB127" s="457">
        <f>AA127/22</f>
        <v>3.6363636363636362</v>
      </c>
      <c r="AC127" s="340"/>
      <c r="AD127" s="451">
        <f>V127</f>
        <v>42.666666666666664</v>
      </c>
      <c r="AE127" s="346"/>
      <c r="AF127" s="453">
        <f t="shared" ref="AF127:AG128" si="6">IF($AG$1=16,R127,IF($AG$1=17,S127,IF($AG$1=18,T127,IF($AG$1=19,U127,IF($AG$1=20,V127,IF($AG$1=21,W127,IF($AG$1=22,X127,0)))))))</f>
        <v>49.499999999999993</v>
      </c>
      <c r="AG127" s="453">
        <f t="shared" si="6"/>
        <v>55</v>
      </c>
      <c r="AI127" s="338"/>
    </row>
    <row r="128" spans="1:42" ht="15.75" thickBot="1">
      <c r="A128" s="45"/>
      <c r="B128" s="46" t="s">
        <v>212</v>
      </c>
      <c r="C128" s="52">
        <f>'SLP States AggWorkings'!C128+'ZKY States AggWorkings'!C128</f>
        <v>0</v>
      </c>
      <c r="D128" s="52">
        <f>'SLP States AggWorkings'!D128+'ZKY States AggWorkings'!D128</f>
        <v>0</v>
      </c>
      <c r="E128" s="52">
        <f>'SLP States AggWorkings'!E128+'ZKY States AggWorkings'!E128</f>
        <v>0</v>
      </c>
      <c r="F128" s="52">
        <f>'SLP States AggWorkings'!F128+'ZKY States AggWorkings'!F128</f>
        <v>0</v>
      </c>
      <c r="G128" s="52">
        <f>'SLP States AggWorkings'!G128+'ZKY States AggWorkings'!G128</f>
        <v>0</v>
      </c>
      <c r="H128" s="52">
        <f>'SLP States AggWorkings'!H128+'ZKY States AggWorkings'!H128</f>
        <v>0</v>
      </c>
      <c r="I128" s="52">
        <f>'SLP States AggWorkings'!I128+'ZKY States AggWorkings'!I128</f>
        <v>0</v>
      </c>
      <c r="J128" s="52">
        <f>'SLP States AggWorkings'!J128+'ZKY States AggWorkings'!J128</f>
        <v>0</v>
      </c>
      <c r="K128" s="52">
        <f>'SLP States AggWorkings'!K128+'ZKY States AggWorkings'!K128</f>
        <v>0</v>
      </c>
      <c r="L128" s="52">
        <f>'SLP States AggWorkings'!L128+'ZKY States AggWorkings'!L128</f>
        <v>0</v>
      </c>
      <c r="M128" s="52">
        <f>'SLP States AggWorkings'!M128+'ZKY States AggWorkings'!M128</f>
        <v>0</v>
      </c>
      <c r="N128" s="52">
        <f>'SLP States AggWorkings'!N128+'ZKY States AggWorkings'!N128</f>
        <v>0</v>
      </c>
      <c r="O128" s="52">
        <f>'SLP States AggWorkings'!O128+'ZKY States AggWorkings'!O128</f>
        <v>0</v>
      </c>
      <c r="P128" s="52">
        <f>'SLP States AggWorkings'!P128+'ZKY States AggWorkings'!P128</f>
        <v>0</v>
      </c>
      <c r="Q128" s="52">
        <f>'SLP States AggWorkings'!Q128+'ZKY States AggWorkings'!Q128</f>
        <v>0</v>
      </c>
      <c r="R128" s="52">
        <f>'SLP States AggWorkings'!R128+'ZKY States AggWorkings'!R128</f>
        <v>16</v>
      </c>
      <c r="S128" s="442">
        <f>'SLP States AggWorkings'!S128+'ZKY States AggWorkings'!S128</f>
        <v>20</v>
      </c>
      <c r="T128" s="442">
        <f>'SLP States AggWorkings'!T128+'ZKY States AggWorkings'!T128</f>
        <v>22</v>
      </c>
      <c r="U128" s="442">
        <f>'SLP States AggWorkings'!U128+'ZKY States AggWorkings'!U128</f>
        <v>24</v>
      </c>
      <c r="V128" s="445">
        <f>'SLP States AggWorkings'!V128+'ZKY States AggWorkings'!V128+'Abuja Workings'!V128+'UK-Intl Workings'!V128</f>
        <v>57</v>
      </c>
      <c r="W128" s="72">
        <f>'SLP States AggWorkings'!W128+'ZKY States AggWorkings'!W128+'A&amp;N States AggWorkings'!W128+'Abuja Workings'!W128+'UK-Intl Workings'!W128</f>
        <v>78</v>
      </c>
      <c r="X128" s="70">
        <f>'SLP States AggWorkings'!X128+'ZKY States AggWorkings'!X128+'A&amp;N States AggWorkings'!X128+'Abuja Workings'!X128+'UK-Intl Workings'!X128</f>
        <v>92</v>
      </c>
      <c r="Y128" s="70">
        <f>'SLP States AggWorkings'!Y128+'ZKY States AggWorkings'!Y128+'A&amp;N States AggWorkings'!Y128+'Abuja Workings'!Y128+'UK-Intl Workings'!Y128</f>
        <v>30</v>
      </c>
      <c r="Z128" s="70">
        <f>'SLP States AggWorkings'!Z128+'ZKY States AggWorkings'!Z128+'A&amp;N States AggWorkings'!Z128+'Abuja Workings'!Z128+'UK-Intl Workings'!Z128</f>
        <v>30</v>
      </c>
      <c r="AA128" s="49"/>
      <c r="AB128" s="421"/>
      <c r="AC128" s="340"/>
      <c r="AD128" s="452">
        <f>V128</f>
        <v>57</v>
      </c>
      <c r="AE128" s="346"/>
      <c r="AF128" s="452">
        <f t="shared" si="6"/>
        <v>78</v>
      </c>
      <c r="AG128" s="452">
        <f t="shared" si="6"/>
        <v>92</v>
      </c>
      <c r="AH128" s="342">
        <f>AG128</f>
        <v>92</v>
      </c>
      <c r="AI128" s="342">
        <f>AG128</f>
        <v>92</v>
      </c>
    </row>
    <row r="129" spans="1:35" ht="15" customHeight="1">
      <c r="A129" s="45"/>
      <c r="B129" s="46"/>
      <c r="C129" s="53"/>
      <c r="D129" s="75"/>
      <c r="E129" s="75"/>
      <c r="F129" s="75"/>
      <c r="G129" s="75"/>
      <c r="H129" s="75"/>
      <c r="I129" s="75"/>
      <c r="J129" s="75"/>
      <c r="K129" s="75"/>
      <c r="L129" s="53"/>
      <c r="M129" s="53"/>
      <c r="N129" s="53"/>
      <c r="O129" s="53"/>
      <c r="P129" s="53"/>
      <c r="Q129" s="53"/>
      <c r="R129" s="53"/>
      <c r="S129" s="53"/>
      <c r="T129" s="53"/>
      <c r="U129" s="53"/>
      <c r="V129" s="53"/>
      <c r="W129" s="53"/>
      <c r="X129" s="53"/>
      <c r="Y129" s="53"/>
      <c r="Z129" s="53"/>
      <c r="AA129" s="49"/>
      <c r="AB129" s="421"/>
      <c r="AC129" s="340"/>
      <c r="AD129" s="346"/>
      <c r="AE129" s="346"/>
      <c r="AF129" s="346"/>
      <c r="AG129" s="346"/>
      <c r="AI129" s="338"/>
    </row>
    <row r="130" spans="1:35" ht="15" customHeight="1" thickBot="1">
      <c r="A130" s="41" t="s">
        <v>701</v>
      </c>
      <c r="B130" s="42" t="s">
        <v>211</v>
      </c>
      <c r="C130" s="52">
        <f>'SLP States AggWorkings'!C130+'ZKY States AggWorkings'!C130</f>
        <v>0</v>
      </c>
      <c r="D130" s="52">
        <f>'SLP States AggWorkings'!D130+'ZKY States AggWorkings'!D130</f>
        <v>0</v>
      </c>
      <c r="E130" s="52">
        <f>'SLP States AggWorkings'!E130+'ZKY States AggWorkings'!E130</f>
        <v>0</v>
      </c>
      <c r="F130" s="52">
        <f>'SLP States AggWorkings'!F130+'ZKY States AggWorkings'!F130</f>
        <v>0</v>
      </c>
      <c r="G130" s="52">
        <f>'SLP States AggWorkings'!G130+'ZKY States AggWorkings'!G130</f>
        <v>0</v>
      </c>
      <c r="H130" s="52">
        <f>'SLP States AggWorkings'!H130+'ZKY States AggWorkings'!H130</f>
        <v>0</v>
      </c>
      <c r="I130" s="52">
        <f>'SLP States AggWorkings'!I130+'ZKY States AggWorkings'!I130</f>
        <v>0</v>
      </c>
      <c r="J130" s="52">
        <f>'SLP States AggWorkings'!J130+'ZKY States AggWorkings'!J130</f>
        <v>0</v>
      </c>
      <c r="K130" s="52">
        <f>'SLP States AggWorkings'!K130+'ZKY States AggWorkings'!K130</f>
        <v>0</v>
      </c>
      <c r="L130" s="52">
        <f>'SLP States AggWorkings'!L130+'ZKY States AggWorkings'!L130</f>
        <v>0</v>
      </c>
      <c r="M130" s="52">
        <f>'SLP States AggWorkings'!M130+'ZKY States AggWorkings'!M130</f>
        <v>0</v>
      </c>
      <c r="N130" s="52">
        <f>'SLP States AggWorkings'!N130+'ZKY States AggWorkings'!N130</f>
        <v>0</v>
      </c>
      <c r="O130" s="52">
        <f>'SLP States AggWorkings'!O130+'ZKY States AggWorkings'!O130</f>
        <v>0</v>
      </c>
      <c r="P130" s="52">
        <f>'SLP States AggWorkings'!P130+'ZKY States AggWorkings'!P130</f>
        <v>0</v>
      </c>
      <c r="Q130" s="52">
        <f>'SLP States AggWorkings'!Q130+'ZKY States AggWorkings'!Q130</f>
        <v>0</v>
      </c>
      <c r="R130" s="50">
        <f>'SLP States AggWorkings'!R130+'ZKY States AggWorkings'!R130</f>
        <v>7</v>
      </c>
      <c r="S130" s="51">
        <f>'SLP States AggWorkings'!S130+'ZKY States AggWorkings'!S130</f>
        <v>9.8333333333333339</v>
      </c>
      <c r="T130" s="51">
        <f>'SLP States AggWorkings'!T130+'ZKY States AggWorkings'!T130</f>
        <v>12.666666666666666</v>
      </c>
      <c r="U130" s="51">
        <f>'SLP States AggWorkings'!U130+'ZKY States AggWorkings'!U130</f>
        <v>15.5</v>
      </c>
      <c r="V130" s="51">
        <f>'SLP States AggWorkings'!V130+'ZKY States AggWorkings'!V130+'Abuja Workings'!V130+'UK-Intl Workings'!V130</f>
        <v>25</v>
      </c>
      <c r="W130" s="51">
        <f>'SLP States AggWorkings'!W130+'ZKY States AggWorkings'!W130+'A&amp;N States AggWorkings'!W130+'Abuja Workings'!W130+'UK-Intl Workings'!W130</f>
        <v>29.833333333333329</v>
      </c>
      <c r="X130" s="51">
        <f>'SLP States AggWorkings'!X130+'ZKY States AggWorkings'!X130+'A&amp;N States AggWorkings'!X130+'Abuja Workings'!X130+'UK-Intl Workings'!X130</f>
        <v>34.333333333333329</v>
      </c>
      <c r="Y130" s="50">
        <f>'SLP States AggWorkings'!Y130+'ZKY States AggWorkings'!Y130+'A&amp;N States AggWorkings'!Y130+'Abuja Workings'!Y130+'UK-Intl Workings'!Y130</f>
        <v>35</v>
      </c>
      <c r="Z130" s="51">
        <f>'SLP States AggWorkings'!Z130+'ZKY States AggWorkings'!Z130+'A&amp;N States AggWorkings'!Z130+'Abuja Workings'!Z130+'UK-Intl Workings'!Z130</f>
        <v>35</v>
      </c>
      <c r="AA130" s="38">
        <f>'SLP States AggWorkings'!AA130+'ZKY States AggWorkings'!AA130</f>
        <v>40</v>
      </c>
      <c r="AB130" s="457">
        <f>AA130/22</f>
        <v>1.8181818181818181</v>
      </c>
      <c r="AC130" s="340"/>
      <c r="AD130" s="451">
        <f>V130</f>
        <v>25</v>
      </c>
      <c r="AE130" s="346"/>
      <c r="AF130" s="453">
        <f t="shared" ref="AF130:AG131" si="7">IF($AG$1=16,R130,IF($AG$1=17,S130,IF($AG$1=18,T130,IF($AG$1=19,U130,IF($AG$1=20,V130,IF($AG$1=21,W130,IF($AG$1=22,X130,0)))))))</f>
        <v>29.833333333333329</v>
      </c>
      <c r="AG130" s="453">
        <f t="shared" si="7"/>
        <v>34.333333333333329</v>
      </c>
      <c r="AI130" s="338"/>
    </row>
    <row r="131" spans="1:35" ht="15" customHeight="1" thickBot="1">
      <c r="A131" s="45"/>
      <c r="B131" s="46" t="s">
        <v>210</v>
      </c>
      <c r="C131" s="52">
        <f>'SLP States AggWorkings'!C131+'ZKY States AggWorkings'!C131</f>
        <v>0</v>
      </c>
      <c r="D131" s="52">
        <f>'SLP States AggWorkings'!D131+'ZKY States AggWorkings'!D131</f>
        <v>0</v>
      </c>
      <c r="E131" s="52">
        <f>'SLP States AggWorkings'!E131+'ZKY States AggWorkings'!E131</f>
        <v>0</v>
      </c>
      <c r="F131" s="52">
        <f>'SLP States AggWorkings'!F131+'ZKY States AggWorkings'!F131</f>
        <v>0</v>
      </c>
      <c r="G131" s="52">
        <f>'SLP States AggWorkings'!G131+'ZKY States AggWorkings'!G131</f>
        <v>0</v>
      </c>
      <c r="H131" s="52">
        <f>'SLP States AggWorkings'!H131+'ZKY States AggWorkings'!H131</f>
        <v>0</v>
      </c>
      <c r="I131" s="52">
        <f>'SLP States AggWorkings'!I131+'ZKY States AggWorkings'!I131</f>
        <v>0</v>
      </c>
      <c r="J131" s="52">
        <f>'SLP States AggWorkings'!J131+'ZKY States AggWorkings'!J131</f>
        <v>0</v>
      </c>
      <c r="K131" s="52">
        <f>'SLP States AggWorkings'!K131+'ZKY States AggWorkings'!K131</f>
        <v>0</v>
      </c>
      <c r="L131" s="52">
        <f>'SLP States AggWorkings'!L131+'ZKY States AggWorkings'!L131</f>
        <v>0</v>
      </c>
      <c r="M131" s="52">
        <f>'SLP States AggWorkings'!M131+'ZKY States AggWorkings'!M131</f>
        <v>0</v>
      </c>
      <c r="N131" s="52">
        <f>'SLP States AggWorkings'!N131+'ZKY States AggWorkings'!N131</f>
        <v>0</v>
      </c>
      <c r="O131" s="52">
        <f>'SLP States AggWorkings'!O131+'ZKY States AggWorkings'!O131</f>
        <v>0</v>
      </c>
      <c r="P131" s="52">
        <f>'SLP States AggWorkings'!P131+'ZKY States AggWorkings'!P131</f>
        <v>0</v>
      </c>
      <c r="Q131" s="52">
        <f>'SLP States AggWorkings'!Q131+'ZKY States AggWorkings'!Q131</f>
        <v>0</v>
      </c>
      <c r="R131" s="52">
        <f>'SLP States AggWorkings'!R131+'ZKY States AggWorkings'!R131</f>
        <v>7</v>
      </c>
      <c r="S131" s="442">
        <f>'SLP States AggWorkings'!S131+'ZKY States AggWorkings'!S131</f>
        <v>13</v>
      </c>
      <c r="T131" s="442">
        <f>'SLP States AggWorkings'!T131+'ZKY States AggWorkings'!T131</f>
        <v>13</v>
      </c>
      <c r="U131" s="442">
        <f>'SLP States AggWorkings'!U131+'ZKY States AggWorkings'!U131</f>
        <v>14</v>
      </c>
      <c r="V131" s="445">
        <f>'SLP States AggWorkings'!V131+'ZKY States AggWorkings'!V131+'Abuja Workings'!V131+'UK-Intl Workings'!V131</f>
        <v>30</v>
      </c>
      <c r="W131" s="72">
        <f>'SLP States AggWorkings'!W131+'ZKY States AggWorkings'!W131+'A&amp;N States AggWorkings'!W131+'Abuja Workings'!W131+'UK-Intl Workings'!W131</f>
        <v>47</v>
      </c>
      <c r="X131" s="70">
        <f>'SLP States AggWorkings'!X131+'ZKY States AggWorkings'!X131+'A&amp;N States AggWorkings'!X131+'Abuja Workings'!X131+'UK-Intl Workings'!X131</f>
        <v>55</v>
      </c>
      <c r="Y131" s="70">
        <f>'SLP States AggWorkings'!Y131+'ZKY States AggWorkings'!Y131+'A&amp;N States AggWorkings'!Y131+'Abuja Workings'!Y131+'UK-Intl Workings'!Y131</f>
        <v>17</v>
      </c>
      <c r="Z131" s="70">
        <f>'SLP States AggWorkings'!Z131+'ZKY States AggWorkings'!Z131+'A&amp;N States AggWorkings'!Z131+'Abuja Workings'!Z131+'UK-Intl Workings'!Z131</f>
        <v>17</v>
      </c>
      <c r="AA131" s="49"/>
      <c r="AB131" s="421"/>
      <c r="AC131" s="340"/>
      <c r="AD131" s="452">
        <f>V131</f>
        <v>30</v>
      </c>
      <c r="AE131" s="346"/>
      <c r="AF131" s="452">
        <f t="shared" si="7"/>
        <v>47</v>
      </c>
      <c r="AG131" s="452">
        <f t="shared" si="7"/>
        <v>55</v>
      </c>
      <c r="AH131" s="342">
        <f>AG131</f>
        <v>55</v>
      </c>
      <c r="AI131" s="342">
        <f>AG131</f>
        <v>55</v>
      </c>
    </row>
    <row r="132" spans="1:35" ht="15" customHeight="1">
      <c r="A132" s="45"/>
      <c r="B132" s="46"/>
      <c r="C132" s="53"/>
      <c r="D132" s="75"/>
      <c r="E132" s="75"/>
      <c r="F132" s="75"/>
      <c r="G132" s="75"/>
      <c r="H132" s="75"/>
      <c r="I132" s="75"/>
      <c r="J132" s="75"/>
      <c r="K132" s="75"/>
      <c r="L132" s="53"/>
      <c r="M132" s="53"/>
      <c r="N132" s="53"/>
      <c r="O132" s="53"/>
      <c r="P132" s="53"/>
      <c r="Q132" s="53"/>
      <c r="R132" s="53"/>
      <c r="S132" s="53"/>
      <c r="T132" s="53"/>
      <c r="U132" s="53"/>
      <c r="V132" s="53"/>
      <c r="W132" s="53"/>
      <c r="X132" s="53"/>
      <c r="Y132" s="53"/>
      <c r="Z132" s="53"/>
      <c r="AA132" s="49"/>
      <c r="AB132" s="421"/>
      <c r="AC132" s="340"/>
      <c r="AD132" s="345"/>
      <c r="AE132" s="346"/>
      <c r="AF132" s="454"/>
      <c r="AG132" s="454"/>
      <c r="AI132" s="338"/>
    </row>
    <row r="133" spans="1:35" ht="15" customHeight="1" thickBot="1">
      <c r="A133" s="41" t="s">
        <v>702</v>
      </c>
      <c r="B133" s="42" t="s">
        <v>209</v>
      </c>
      <c r="C133" s="52">
        <f>'SLP States AggWorkings'!C133+'ZKY States AggWorkings'!C133</f>
        <v>0</v>
      </c>
      <c r="D133" s="52">
        <f>'SLP States AggWorkings'!D133+'ZKY States AggWorkings'!D133</f>
        <v>0</v>
      </c>
      <c r="E133" s="52">
        <f>'SLP States AggWorkings'!E133+'ZKY States AggWorkings'!E133</f>
        <v>0</v>
      </c>
      <c r="F133" s="52">
        <f>'SLP States AggWorkings'!F133+'ZKY States AggWorkings'!F133</f>
        <v>0</v>
      </c>
      <c r="G133" s="52">
        <f>'SLP States AggWorkings'!G133+'ZKY States AggWorkings'!G133</f>
        <v>0</v>
      </c>
      <c r="H133" s="52">
        <f>'SLP States AggWorkings'!H133+'ZKY States AggWorkings'!H133</f>
        <v>0</v>
      </c>
      <c r="I133" s="52">
        <f>'SLP States AggWorkings'!I133+'ZKY States AggWorkings'!I133</f>
        <v>0</v>
      </c>
      <c r="J133" s="52">
        <f>'SLP States AggWorkings'!J133+'ZKY States AggWorkings'!J133</f>
        <v>0</v>
      </c>
      <c r="K133" s="52">
        <f>'SLP States AggWorkings'!K133+'ZKY States AggWorkings'!K133</f>
        <v>0</v>
      </c>
      <c r="L133" s="52">
        <f>'SLP States AggWorkings'!L133+'ZKY States AggWorkings'!L133</f>
        <v>0</v>
      </c>
      <c r="M133" s="52">
        <f>'SLP States AggWorkings'!M133+'ZKY States AggWorkings'!M133</f>
        <v>0</v>
      </c>
      <c r="N133" s="52">
        <f>'SLP States AggWorkings'!N133+'ZKY States AggWorkings'!N133</f>
        <v>0</v>
      </c>
      <c r="O133" s="52">
        <f>'SLP States AggWorkings'!O133+'ZKY States AggWorkings'!O133</f>
        <v>0</v>
      </c>
      <c r="P133" s="52">
        <f>'SLP States AggWorkings'!P133+'ZKY States AggWorkings'!P133</f>
        <v>0</v>
      </c>
      <c r="Q133" s="52">
        <f>'SLP States AggWorkings'!Q133+'ZKY States AggWorkings'!Q133</f>
        <v>0</v>
      </c>
      <c r="R133" s="50">
        <f>'SLP States AggWorkings'!R133+'ZKY States AggWorkings'!R133</f>
        <v>5</v>
      </c>
      <c r="S133" s="51">
        <f>'SLP States AggWorkings'!S133+'ZKY States AggWorkings'!S133</f>
        <v>5.666666666666667</v>
      </c>
      <c r="T133" s="51">
        <f>'SLP States AggWorkings'!T133+'ZKY States AggWorkings'!T133</f>
        <v>6.333333333333333</v>
      </c>
      <c r="U133" s="51">
        <f>'SLP States AggWorkings'!U133+'ZKY States AggWorkings'!U133</f>
        <v>7</v>
      </c>
      <c r="V133" s="51">
        <f>'SLP States AggWorkings'!V133+'ZKY States AggWorkings'!V133+'Abuja Workings'!V133+'UK-Intl Workings'!V133</f>
        <v>10.333333333333334</v>
      </c>
      <c r="W133" s="51">
        <f>'SLP States AggWorkings'!W133+'ZKY States AggWorkings'!W133+'A&amp;N States AggWorkings'!W133+'Abuja Workings'!W133+'UK-Intl Workings'!W133</f>
        <v>14.333333333333336</v>
      </c>
      <c r="X133" s="51">
        <f>'SLP States AggWorkings'!X133+'ZKY States AggWorkings'!X133+'A&amp;N States AggWorkings'!X133+'Abuja Workings'!X133+'UK-Intl Workings'!X133</f>
        <v>16.666666666666664</v>
      </c>
      <c r="Y133" s="50">
        <f>'SLP States AggWorkings'!Y133+'ZKY States AggWorkings'!Y133+'A&amp;N States AggWorkings'!Y133+'Abuja Workings'!Y133+'UK-Intl Workings'!Y133</f>
        <v>17</v>
      </c>
      <c r="Z133" s="51">
        <f>'SLP States AggWorkings'!Z133+'ZKY States AggWorkings'!Z133+'A&amp;N States AggWorkings'!Z133+'Abuja Workings'!Z133+'UK-Intl Workings'!Z133</f>
        <v>17</v>
      </c>
      <c r="AA133" s="38">
        <f>'SLP States AggWorkings'!AA133+'ZKY States AggWorkings'!AA133</f>
        <v>40</v>
      </c>
      <c r="AB133" s="457">
        <f>AA133/22</f>
        <v>1.8181818181818181</v>
      </c>
      <c r="AC133" s="340"/>
      <c r="AD133" s="451">
        <f>V133</f>
        <v>10.333333333333334</v>
      </c>
      <c r="AE133" s="346"/>
      <c r="AF133" s="453">
        <f t="shared" ref="AF133:AG134" si="8">IF($AG$1=16,R133,IF($AG$1=17,S133,IF($AG$1=18,T133,IF($AG$1=19,U133,IF($AG$1=20,V133,IF($AG$1=21,W133,IF($AG$1=22,X133,0)))))))</f>
        <v>14.333333333333336</v>
      </c>
      <c r="AG133" s="453">
        <f t="shared" si="8"/>
        <v>16.666666666666664</v>
      </c>
      <c r="AI133" s="338"/>
    </row>
    <row r="134" spans="1:35" ht="15" customHeight="1" thickBot="1">
      <c r="A134" s="45"/>
      <c r="B134" s="46" t="s">
        <v>208</v>
      </c>
      <c r="C134" s="52">
        <f>'SLP States AggWorkings'!C134+'ZKY States AggWorkings'!C134</f>
        <v>0</v>
      </c>
      <c r="D134" s="52">
        <f>'SLP States AggWorkings'!D134+'ZKY States AggWorkings'!D134</f>
        <v>0</v>
      </c>
      <c r="E134" s="52">
        <f>'SLP States AggWorkings'!E134+'ZKY States AggWorkings'!E134</f>
        <v>0</v>
      </c>
      <c r="F134" s="52">
        <f>'SLP States AggWorkings'!F134+'ZKY States AggWorkings'!F134</f>
        <v>0</v>
      </c>
      <c r="G134" s="52">
        <f>'SLP States AggWorkings'!G134+'ZKY States AggWorkings'!G134</f>
        <v>0</v>
      </c>
      <c r="H134" s="52">
        <f>'SLP States AggWorkings'!H134+'ZKY States AggWorkings'!H134</f>
        <v>0</v>
      </c>
      <c r="I134" s="52">
        <f>'SLP States AggWorkings'!I134+'ZKY States AggWorkings'!I134</f>
        <v>0</v>
      </c>
      <c r="J134" s="52">
        <f>'SLP States AggWorkings'!J134+'ZKY States AggWorkings'!J134</f>
        <v>0</v>
      </c>
      <c r="K134" s="52">
        <f>'SLP States AggWorkings'!K134+'ZKY States AggWorkings'!K134</f>
        <v>0</v>
      </c>
      <c r="L134" s="52">
        <f>'SLP States AggWorkings'!L134+'ZKY States AggWorkings'!L134</f>
        <v>0</v>
      </c>
      <c r="M134" s="52">
        <f>'SLP States AggWorkings'!M134+'ZKY States AggWorkings'!M134</f>
        <v>0</v>
      </c>
      <c r="N134" s="52">
        <f>'SLP States AggWorkings'!N134+'ZKY States AggWorkings'!N134</f>
        <v>0</v>
      </c>
      <c r="O134" s="52">
        <f>'SLP States AggWorkings'!O134+'ZKY States AggWorkings'!O134</f>
        <v>0</v>
      </c>
      <c r="P134" s="52">
        <f>'SLP States AggWorkings'!P134+'ZKY States AggWorkings'!P134</f>
        <v>0</v>
      </c>
      <c r="Q134" s="52">
        <f>'SLP States AggWorkings'!Q134+'ZKY States AggWorkings'!Q134</f>
        <v>0</v>
      </c>
      <c r="R134" s="52">
        <f>'SLP States AggWorkings'!R134+'ZKY States AggWorkings'!R134</f>
        <v>5</v>
      </c>
      <c r="S134" s="442">
        <f>'SLP States AggWorkings'!S134+'ZKY States AggWorkings'!S134</f>
        <v>6</v>
      </c>
      <c r="T134" s="442">
        <f>'SLP States AggWorkings'!T134+'ZKY States AggWorkings'!T134</f>
        <v>6</v>
      </c>
      <c r="U134" s="442">
        <f>'SLP States AggWorkings'!U134+'ZKY States AggWorkings'!U134</f>
        <v>6</v>
      </c>
      <c r="V134" s="445">
        <f>'SLP States AggWorkings'!V134+'ZKY States AggWorkings'!V134+'Abuja Workings'!V134+'UK-Intl Workings'!V134</f>
        <v>14</v>
      </c>
      <c r="W134" s="72">
        <f>'SLP States AggWorkings'!W134+'ZKY States AggWorkings'!W134+'A&amp;N States AggWorkings'!W134+'Abuja Workings'!W134+'UK-Intl Workings'!W134</f>
        <v>18</v>
      </c>
      <c r="X134" s="70">
        <f>'SLP States AggWorkings'!X134+'ZKY States AggWorkings'!X134+'A&amp;N States AggWorkings'!X134+'Abuja Workings'!X134+'UK-Intl Workings'!X134</f>
        <v>23</v>
      </c>
      <c r="Y134" s="70">
        <f>'SLP States AggWorkings'!Y134+'ZKY States AggWorkings'!Y134+'A&amp;N States AggWorkings'!Y134+'Abuja Workings'!Y134+'UK-Intl Workings'!Y134</f>
        <v>5</v>
      </c>
      <c r="Z134" s="70">
        <f>'SLP States AggWorkings'!Z134+'ZKY States AggWorkings'!Z134+'A&amp;N States AggWorkings'!Z134+'Abuja Workings'!Z134+'UK-Intl Workings'!Z134</f>
        <v>5</v>
      </c>
      <c r="AA134" s="49"/>
      <c r="AB134" s="421"/>
      <c r="AC134" s="340"/>
      <c r="AD134" s="452">
        <f>V134</f>
        <v>14</v>
      </c>
      <c r="AE134" s="346"/>
      <c r="AF134" s="452">
        <f t="shared" si="8"/>
        <v>18</v>
      </c>
      <c r="AG134" s="452">
        <f t="shared" si="8"/>
        <v>23</v>
      </c>
      <c r="AH134" s="342">
        <f>AG134</f>
        <v>23</v>
      </c>
      <c r="AI134" s="342">
        <f>AG134</f>
        <v>23</v>
      </c>
    </row>
    <row r="135" spans="1:35" ht="15" customHeight="1">
      <c r="A135" s="45"/>
      <c r="B135" s="46"/>
      <c r="C135" s="53"/>
      <c r="D135" s="75"/>
      <c r="E135" s="75"/>
      <c r="F135" s="75"/>
      <c r="G135" s="75"/>
      <c r="H135" s="75"/>
      <c r="I135" s="75"/>
      <c r="J135" s="75"/>
      <c r="K135" s="75"/>
      <c r="L135" s="53"/>
      <c r="M135" s="53"/>
      <c r="N135" s="53"/>
      <c r="O135" s="53"/>
      <c r="P135" s="53"/>
      <c r="Q135" s="53"/>
      <c r="R135" s="53"/>
      <c r="S135" s="53"/>
      <c r="T135" s="53"/>
      <c r="U135" s="53"/>
      <c r="V135" s="53"/>
      <c r="W135" s="53"/>
      <c r="X135" s="53"/>
      <c r="Y135" s="53"/>
      <c r="Z135" s="53"/>
      <c r="AA135" s="49"/>
      <c r="AB135" s="421"/>
      <c r="AC135" s="340"/>
      <c r="AD135" s="345"/>
      <c r="AE135" s="346"/>
      <c r="AF135" s="454"/>
      <c r="AG135" s="454"/>
      <c r="AI135" s="338"/>
    </row>
    <row r="136" spans="1:35" ht="15" customHeight="1" thickBot="1">
      <c r="A136" s="41" t="s">
        <v>703</v>
      </c>
      <c r="B136" s="851" t="s">
        <v>1548</v>
      </c>
      <c r="C136" s="52">
        <f>'SLP States AggWorkings'!C136+'ZKY States AggWorkings'!C136</f>
        <v>0</v>
      </c>
      <c r="D136" s="52">
        <f>'SLP States AggWorkings'!D136+'ZKY States AggWorkings'!D136</f>
        <v>0</v>
      </c>
      <c r="E136" s="52">
        <f>'SLP States AggWorkings'!E136+'ZKY States AggWorkings'!E136</f>
        <v>0</v>
      </c>
      <c r="F136" s="52">
        <f>'SLP States AggWorkings'!F136+'ZKY States AggWorkings'!F136</f>
        <v>0</v>
      </c>
      <c r="G136" s="52">
        <f>'SLP States AggWorkings'!G136+'ZKY States AggWorkings'!G136</f>
        <v>0</v>
      </c>
      <c r="H136" s="52">
        <f>'SLP States AggWorkings'!H136+'ZKY States AggWorkings'!H136</f>
        <v>0</v>
      </c>
      <c r="I136" s="52">
        <f>'SLP States AggWorkings'!I136+'ZKY States AggWorkings'!I136</f>
        <v>0</v>
      </c>
      <c r="J136" s="52">
        <f>'SLP States AggWorkings'!J136+'ZKY States AggWorkings'!J136</f>
        <v>0</v>
      </c>
      <c r="K136" s="52">
        <f>'SLP States AggWorkings'!K136+'ZKY States AggWorkings'!K136</f>
        <v>0</v>
      </c>
      <c r="L136" s="52">
        <f>'SLP States AggWorkings'!L136+'ZKY States AggWorkings'!L136</f>
        <v>0</v>
      </c>
      <c r="M136" s="52">
        <f>'SLP States AggWorkings'!M136+'ZKY States AggWorkings'!M136</f>
        <v>0</v>
      </c>
      <c r="N136" s="52">
        <f>'SLP States AggWorkings'!N136+'ZKY States AggWorkings'!N136</f>
        <v>0</v>
      </c>
      <c r="O136" s="52">
        <f>'SLP States AggWorkings'!O136+'ZKY States AggWorkings'!O136</f>
        <v>0</v>
      </c>
      <c r="P136" s="52">
        <f>'SLP States AggWorkings'!P136+'ZKY States AggWorkings'!P136</f>
        <v>0</v>
      </c>
      <c r="Q136" s="52">
        <f>'SLP States AggWorkings'!Q136+'ZKY States AggWorkings'!Q136</f>
        <v>0</v>
      </c>
      <c r="R136" s="50">
        <f>'SLP States AggWorkings'!R136+'ZKY States AggWorkings'!R136</f>
        <v>22</v>
      </c>
      <c r="S136" s="51">
        <f>'SLP States AggWorkings'!S136+'ZKY States AggWorkings'!S136</f>
        <v>24.5</v>
      </c>
      <c r="T136" s="51">
        <f>'SLP States AggWorkings'!T136+'ZKY States AggWorkings'!T136</f>
        <v>27</v>
      </c>
      <c r="U136" s="51">
        <f>'SLP States AggWorkings'!U136+'ZKY States AggWorkings'!U136</f>
        <v>29.5</v>
      </c>
      <c r="V136" s="51">
        <f>'SLP States AggWorkings'!V136+'ZKY States AggWorkings'!V136+'Abuja Workings'!V136+'UK-Intl Workings'!V136</f>
        <v>54.333333333333336</v>
      </c>
      <c r="W136" s="51">
        <f>'SLP States AggWorkings'!W136+'ZKY States AggWorkings'!W136+'A&amp;N States AggWorkings'!W136+'Abuja Workings'!W136+'UK-Intl Workings'!W136</f>
        <v>64.833333333333343</v>
      </c>
      <c r="X136" s="51">
        <f>'SLP States AggWorkings'!X136+'ZKY States AggWorkings'!X136+'A&amp;N States AggWorkings'!X136+'Abuja Workings'!X136+'UK-Intl Workings'!X136</f>
        <v>71.333333333333343</v>
      </c>
      <c r="Y136" s="50">
        <f>'SLP States AggWorkings'!Y136+'ZKY States AggWorkings'!Y136+'A&amp;N States AggWorkings'!Y136+'Abuja Workings'!Y136+'UK-Intl Workings'!Y136</f>
        <v>73</v>
      </c>
      <c r="Z136" s="51">
        <f>'SLP States AggWorkings'!Z136+'ZKY States AggWorkings'!Z136+'A&amp;N States AggWorkings'!Z136+'Abuja Workings'!Z136+'UK-Intl Workings'!Z136</f>
        <v>73</v>
      </c>
      <c r="AA136" s="38">
        <f>'SLP States AggWorkings'!AA136+'ZKY States AggWorkings'!AA136</f>
        <v>80</v>
      </c>
      <c r="AB136" s="457">
        <f>AA136/22</f>
        <v>3.6363636363636362</v>
      </c>
      <c r="AC136" s="340"/>
      <c r="AD136" s="451">
        <f>V136</f>
        <v>54.333333333333336</v>
      </c>
      <c r="AE136" s="346"/>
      <c r="AF136" s="453">
        <f t="shared" ref="AF136:AG137" si="9">IF($AG$1=16,R136,IF($AG$1=17,S136,IF($AG$1=18,T136,IF($AG$1=19,U136,IF($AG$1=20,V136,IF($AG$1=21,W136,IF($AG$1=22,X136,0)))))))</f>
        <v>64.833333333333343</v>
      </c>
      <c r="AG136" s="453">
        <f t="shared" si="9"/>
        <v>71.333333333333343</v>
      </c>
      <c r="AI136" s="338"/>
    </row>
    <row r="137" spans="1:35" ht="15" customHeight="1" thickBot="1">
      <c r="A137" s="45"/>
      <c r="B137" s="852" t="s">
        <v>1549</v>
      </c>
      <c r="C137" s="52">
        <f>'SLP States AggWorkings'!C137+'ZKY States AggWorkings'!C137</f>
        <v>0</v>
      </c>
      <c r="D137" s="52">
        <f>'SLP States AggWorkings'!D137+'ZKY States AggWorkings'!D137</f>
        <v>0</v>
      </c>
      <c r="E137" s="52">
        <f>'SLP States AggWorkings'!E137+'ZKY States AggWorkings'!E137</f>
        <v>0</v>
      </c>
      <c r="F137" s="52">
        <f>'SLP States AggWorkings'!F137+'ZKY States AggWorkings'!F137</f>
        <v>0</v>
      </c>
      <c r="G137" s="52">
        <f>'SLP States AggWorkings'!G137+'ZKY States AggWorkings'!G137</f>
        <v>0</v>
      </c>
      <c r="H137" s="52">
        <f>'SLP States AggWorkings'!H137+'ZKY States AggWorkings'!H137</f>
        <v>0</v>
      </c>
      <c r="I137" s="52">
        <f>'SLP States AggWorkings'!I137+'ZKY States AggWorkings'!I137</f>
        <v>0</v>
      </c>
      <c r="J137" s="52">
        <f>'SLP States AggWorkings'!J137+'ZKY States AggWorkings'!J137</f>
        <v>0</v>
      </c>
      <c r="K137" s="52">
        <f>'SLP States AggWorkings'!K137+'ZKY States AggWorkings'!K137</f>
        <v>0</v>
      </c>
      <c r="L137" s="52">
        <f>'SLP States AggWorkings'!L137+'ZKY States AggWorkings'!L137</f>
        <v>0</v>
      </c>
      <c r="M137" s="52">
        <f>'SLP States AggWorkings'!M137+'ZKY States AggWorkings'!M137</f>
        <v>0</v>
      </c>
      <c r="N137" s="52">
        <f>'SLP States AggWorkings'!N137+'ZKY States AggWorkings'!N137</f>
        <v>0</v>
      </c>
      <c r="O137" s="52">
        <f>'SLP States AggWorkings'!O137+'ZKY States AggWorkings'!O137</f>
        <v>0</v>
      </c>
      <c r="P137" s="52">
        <f>'SLP States AggWorkings'!P137+'ZKY States AggWorkings'!P137</f>
        <v>0</v>
      </c>
      <c r="Q137" s="52">
        <f>'SLP States AggWorkings'!Q137+'ZKY States AggWorkings'!Q137</f>
        <v>0</v>
      </c>
      <c r="R137" s="52">
        <f>'SLP States AggWorkings'!R137+'ZKY States AggWorkings'!R137</f>
        <v>22</v>
      </c>
      <c r="S137" s="442">
        <f>'SLP States AggWorkings'!S137+'ZKY States AggWorkings'!S137</f>
        <v>25</v>
      </c>
      <c r="T137" s="442">
        <f>'SLP States AggWorkings'!T137+'ZKY States AggWorkings'!T137</f>
        <v>33</v>
      </c>
      <c r="U137" s="442">
        <f>'SLP States AggWorkings'!U137+'ZKY States AggWorkings'!U137</f>
        <v>35</v>
      </c>
      <c r="V137" s="445">
        <f>'SLP States AggWorkings'!V137+'ZKY States AggWorkings'!V137+'Abuja Workings'!V137+'UK-Intl Workings'!V137</f>
        <v>56</v>
      </c>
      <c r="W137" s="72">
        <f>'SLP States AggWorkings'!W137+'ZKY States AggWorkings'!W137+'A&amp;N States AggWorkings'!W137+'Abuja Workings'!W137+'UK-Intl Workings'!W137</f>
        <v>71</v>
      </c>
      <c r="X137" s="70">
        <f>'SLP States AggWorkings'!X137+'ZKY States AggWorkings'!X137+'A&amp;N States AggWorkings'!X137+'Abuja Workings'!X137+'UK-Intl Workings'!X137</f>
        <v>78</v>
      </c>
      <c r="Y137" s="70">
        <f>'SLP States AggWorkings'!Y137+'ZKY States AggWorkings'!Y137+'A&amp;N States AggWorkings'!Y137+'Abuja Workings'!Y137+'UK-Intl Workings'!Y137</f>
        <v>20</v>
      </c>
      <c r="Z137" s="70">
        <f>'SLP States AggWorkings'!Z137+'ZKY States AggWorkings'!Z137+'A&amp;N States AggWorkings'!Z137+'Abuja Workings'!Z137+'UK-Intl Workings'!Z137</f>
        <v>20</v>
      </c>
      <c r="AA137" s="49"/>
      <c r="AB137" s="421"/>
      <c r="AC137" s="340"/>
      <c r="AD137" s="452">
        <f>V137</f>
        <v>56</v>
      </c>
      <c r="AE137" s="346"/>
      <c r="AF137" s="452">
        <f t="shared" si="9"/>
        <v>71</v>
      </c>
      <c r="AG137" s="452">
        <f t="shared" si="9"/>
        <v>78</v>
      </c>
      <c r="AH137" s="342">
        <f>AG137</f>
        <v>78</v>
      </c>
      <c r="AI137" s="342">
        <f>AG137</f>
        <v>78</v>
      </c>
    </row>
    <row r="138" spans="1:35" ht="15" customHeight="1">
      <c r="R138" s="455"/>
      <c r="S138" s="53"/>
      <c r="T138" s="53"/>
      <c r="U138" s="53"/>
      <c r="V138" s="53"/>
      <c r="W138" s="53"/>
      <c r="X138" s="53"/>
      <c r="Y138" s="53"/>
      <c r="Z138" s="53"/>
      <c r="AB138" s="420"/>
      <c r="AC138" s="340"/>
      <c r="AD138" s="345"/>
      <c r="AE138" s="346"/>
      <c r="AF138" s="454"/>
      <c r="AG138" s="454"/>
      <c r="AI138" s="338"/>
    </row>
    <row r="139" spans="1:35" ht="15" customHeight="1" thickBot="1">
      <c r="A139" s="41" t="s">
        <v>704</v>
      </c>
      <c r="B139" s="42" t="s">
        <v>826</v>
      </c>
      <c r="C139" s="52">
        <f>'SLP States AggWorkings'!C139+'ZKY States AggWorkings'!C139</f>
        <v>0</v>
      </c>
      <c r="D139" s="52">
        <f>'SLP States AggWorkings'!D139+'ZKY States AggWorkings'!D139</f>
        <v>0</v>
      </c>
      <c r="E139" s="52">
        <f>'SLP States AggWorkings'!E139+'ZKY States AggWorkings'!E139</f>
        <v>0</v>
      </c>
      <c r="F139" s="52">
        <f>'SLP States AggWorkings'!F139+'ZKY States AggWorkings'!F139</f>
        <v>0</v>
      </c>
      <c r="G139" s="52">
        <f>'SLP States AggWorkings'!G139+'ZKY States AggWorkings'!G139</f>
        <v>0</v>
      </c>
      <c r="H139" s="52">
        <f>'SLP States AggWorkings'!H139+'ZKY States AggWorkings'!H139</f>
        <v>0</v>
      </c>
      <c r="I139" s="52">
        <f>'SLP States AggWorkings'!I139+'ZKY States AggWorkings'!I139</f>
        <v>0</v>
      </c>
      <c r="J139" s="52">
        <f>'SLP States AggWorkings'!J139+'ZKY States AggWorkings'!J139</f>
        <v>0</v>
      </c>
      <c r="K139" s="52">
        <f>'SLP States AggWorkings'!K139+'ZKY States AggWorkings'!K139</f>
        <v>0</v>
      </c>
      <c r="L139" s="52">
        <f>'SLP States AggWorkings'!L139+'ZKY States AggWorkings'!L139</f>
        <v>0</v>
      </c>
      <c r="M139" s="52">
        <f>'SLP States AggWorkings'!M139+'ZKY States AggWorkings'!M139</f>
        <v>0</v>
      </c>
      <c r="N139" s="52">
        <f>'SLP States AggWorkings'!N139+'ZKY States AggWorkings'!N139</f>
        <v>0</v>
      </c>
      <c r="O139" s="52">
        <f>'SLP States AggWorkings'!O139+'ZKY States AggWorkings'!O139</f>
        <v>0</v>
      </c>
      <c r="P139" s="52">
        <f>'SLP States AggWorkings'!P139+'ZKY States AggWorkings'!P139</f>
        <v>0</v>
      </c>
      <c r="Q139" s="52">
        <f>'SLP States AggWorkings'!Q139+'ZKY States AggWorkings'!Q139</f>
        <v>0</v>
      </c>
      <c r="R139" s="50">
        <f>'SLP States AggWorkings'!R139+'ZKY States AggWorkings'!R139</f>
        <v>14</v>
      </c>
      <c r="S139" s="51">
        <f>'SLP States AggWorkings'!S139+'ZKY States AggWorkings'!S139</f>
        <v>15.999999999999998</v>
      </c>
      <c r="T139" s="51">
        <f>'SLP States AggWorkings'!T139+'ZKY States AggWorkings'!T139</f>
        <v>18</v>
      </c>
      <c r="U139" s="51">
        <f>'SLP States AggWorkings'!U139+'ZKY States AggWorkings'!U139</f>
        <v>20</v>
      </c>
      <c r="V139" s="51">
        <f>'SLP States AggWorkings'!V139+'ZKY States AggWorkings'!V139+'Abuja Workings'!V139+'UK-Intl Workings'!V139</f>
        <v>40.333333333333329</v>
      </c>
      <c r="W139" s="51">
        <f>'SLP States AggWorkings'!W139+'ZKY States AggWorkings'!W139+'A&amp;N States AggWorkings'!W139+'Abuja Workings'!W139+'UK-Intl Workings'!W139</f>
        <v>45.5</v>
      </c>
      <c r="X139" s="51">
        <f>'SLP States AggWorkings'!X139+'ZKY States AggWorkings'!X139+'A&amp;N States AggWorkings'!X139+'Abuja Workings'!X139+'UK-Intl Workings'!X139</f>
        <v>49.333333333333336</v>
      </c>
      <c r="Y139" s="50">
        <f>'SLP States AggWorkings'!Y139+'ZKY States AggWorkings'!Y139+'A&amp;N States AggWorkings'!Y139+'Abuja Workings'!Y139+'UK-Intl Workings'!Y139</f>
        <v>50</v>
      </c>
      <c r="Z139" s="51">
        <f>'SLP States AggWorkings'!Z139+'ZKY States AggWorkings'!Z139+'A&amp;N States AggWorkings'!Z139+'Abuja Workings'!Z139+'UK-Intl Workings'!Z139</f>
        <v>50</v>
      </c>
      <c r="AA139" s="38">
        <f>'SLP States AggWorkings'!AA139+'ZKY States AggWorkings'!AA139</f>
        <v>80</v>
      </c>
      <c r="AB139" s="457">
        <f>AA139/22</f>
        <v>3.6363636363636362</v>
      </c>
      <c r="AC139" s="340"/>
      <c r="AD139" s="451">
        <f>V139</f>
        <v>40.333333333333329</v>
      </c>
      <c r="AE139" s="346"/>
      <c r="AF139" s="453">
        <f t="shared" ref="AF139:AG140" si="10">IF($AG$1=16,R139,IF($AG$1=17,S139,IF($AG$1=18,T139,IF($AG$1=19,U139,IF($AG$1=20,V139,IF($AG$1=21,W139,IF($AG$1=22,X139,0)))))))</f>
        <v>45.5</v>
      </c>
      <c r="AG139" s="453">
        <f t="shared" si="10"/>
        <v>49.333333333333336</v>
      </c>
      <c r="AI139" s="338"/>
    </row>
    <row r="140" spans="1:35" ht="15" customHeight="1" thickBot="1">
      <c r="A140" s="45"/>
      <c r="B140" s="46" t="s">
        <v>827</v>
      </c>
      <c r="C140" s="52">
        <f>'SLP States AggWorkings'!C140+'ZKY States AggWorkings'!C140</f>
        <v>0</v>
      </c>
      <c r="D140" s="52">
        <f>'SLP States AggWorkings'!D140+'ZKY States AggWorkings'!D140</f>
        <v>0</v>
      </c>
      <c r="E140" s="52">
        <f>'SLP States AggWorkings'!E140+'ZKY States AggWorkings'!E140</f>
        <v>0</v>
      </c>
      <c r="F140" s="52">
        <f>'SLP States AggWorkings'!F140+'ZKY States AggWorkings'!F140</f>
        <v>0</v>
      </c>
      <c r="G140" s="52">
        <f>'SLP States AggWorkings'!G140+'ZKY States AggWorkings'!G140</f>
        <v>0</v>
      </c>
      <c r="H140" s="52">
        <f>'SLP States AggWorkings'!H140+'ZKY States AggWorkings'!H140</f>
        <v>0</v>
      </c>
      <c r="I140" s="52">
        <f>'SLP States AggWorkings'!I140+'ZKY States AggWorkings'!I140</f>
        <v>0</v>
      </c>
      <c r="J140" s="52">
        <f>'SLP States AggWorkings'!J140+'ZKY States AggWorkings'!J140</f>
        <v>0</v>
      </c>
      <c r="K140" s="52">
        <f>'SLP States AggWorkings'!K140+'ZKY States AggWorkings'!K140</f>
        <v>0</v>
      </c>
      <c r="L140" s="52">
        <f>'SLP States AggWorkings'!L140+'ZKY States AggWorkings'!L140</f>
        <v>0</v>
      </c>
      <c r="M140" s="52">
        <f>'SLP States AggWorkings'!M140+'ZKY States AggWorkings'!M140</f>
        <v>0</v>
      </c>
      <c r="N140" s="52">
        <f>'SLP States AggWorkings'!N140+'ZKY States AggWorkings'!N140</f>
        <v>0</v>
      </c>
      <c r="O140" s="52">
        <f>'SLP States AggWorkings'!O140+'ZKY States AggWorkings'!O140</f>
        <v>0</v>
      </c>
      <c r="P140" s="52">
        <f>'SLP States AggWorkings'!P140+'ZKY States AggWorkings'!P140</f>
        <v>0</v>
      </c>
      <c r="Q140" s="52">
        <f>'SLP States AggWorkings'!Q140+'ZKY States AggWorkings'!Q140</f>
        <v>0</v>
      </c>
      <c r="R140" s="52">
        <f>'SLP States AggWorkings'!R140+'ZKY States AggWorkings'!R140</f>
        <v>14</v>
      </c>
      <c r="S140" s="442">
        <f>'SLP States AggWorkings'!S140+'ZKY States AggWorkings'!S140</f>
        <v>14</v>
      </c>
      <c r="T140" s="442">
        <f>'SLP States AggWorkings'!T140+'ZKY States AggWorkings'!T140</f>
        <v>16</v>
      </c>
      <c r="U140" s="442">
        <f>'SLP States AggWorkings'!U140+'ZKY States AggWorkings'!U140</f>
        <v>17</v>
      </c>
      <c r="V140" s="445">
        <f>'SLP States AggWorkings'!V140+'ZKY States AggWorkings'!V140+'Abuja Workings'!V140+'UK-Intl Workings'!V140</f>
        <v>43</v>
      </c>
      <c r="W140" s="72">
        <f>'SLP States AggWorkings'!W140+'ZKY States AggWorkings'!W140+'A&amp;N States AggWorkings'!W140+'Abuja Workings'!W140+'UK-Intl Workings'!W140</f>
        <v>47</v>
      </c>
      <c r="X140" s="70">
        <f>'SLP States AggWorkings'!X140+'ZKY States AggWorkings'!X140+'A&amp;N States AggWorkings'!X140+'Abuja Workings'!X140+'UK-Intl Workings'!X140</f>
        <v>52</v>
      </c>
      <c r="Y140" s="70">
        <f>'SLP States AggWorkings'!Y140+'ZKY States AggWorkings'!Y140+'A&amp;N States AggWorkings'!Y140+'Abuja Workings'!Y140+'UK-Intl Workings'!Y140</f>
        <v>18</v>
      </c>
      <c r="Z140" s="70">
        <f>'SLP States AggWorkings'!Z140+'ZKY States AggWorkings'!Z140+'A&amp;N States AggWorkings'!Z140+'Abuja Workings'!Z140+'UK-Intl Workings'!Z140</f>
        <v>18</v>
      </c>
      <c r="AA140" s="49"/>
      <c r="AB140" s="421"/>
      <c r="AC140" s="340"/>
      <c r="AD140" s="452">
        <f>V140</f>
        <v>43</v>
      </c>
      <c r="AE140" s="346"/>
      <c r="AF140" s="452">
        <f t="shared" si="10"/>
        <v>47</v>
      </c>
      <c r="AG140" s="452">
        <f t="shared" si="10"/>
        <v>52</v>
      </c>
      <c r="AH140" s="342">
        <f>AG140</f>
        <v>52</v>
      </c>
      <c r="AI140" s="342">
        <f>AG140</f>
        <v>52</v>
      </c>
    </row>
    <row r="141" spans="1:35" ht="15" customHeight="1">
      <c r="A141" s="45"/>
      <c r="B141" s="46"/>
      <c r="C141" s="53"/>
      <c r="D141" s="75"/>
      <c r="E141" s="75"/>
      <c r="F141" s="75"/>
      <c r="G141" s="75"/>
      <c r="H141" s="75"/>
      <c r="I141" s="75"/>
      <c r="J141" s="75"/>
      <c r="K141" s="75"/>
      <c r="L141" s="53"/>
      <c r="M141" s="53"/>
      <c r="N141" s="53"/>
      <c r="O141" s="53"/>
      <c r="P141" s="53"/>
      <c r="Q141" s="53"/>
      <c r="R141" s="53"/>
      <c r="S141" s="53"/>
      <c r="T141" s="53"/>
      <c r="U141" s="53"/>
      <c r="V141" s="53"/>
      <c r="W141" s="53"/>
      <c r="X141" s="53"/>
      <c r="Y141" s="53"/>
      <c r="Z141" s="53"/>
      <c r="AA141" s="49"/>
      <c r="AB141" s="421"/>
      <c r="AC141" s="340"/>
      <c r="AD141" s="346"/>
      <c r="AE141" s="346"/>
      <c r="AF141" s="346"/>
      <c r="AG141" s="346"/>
      <c r="AI141" s="338"/>
    </row>
    <row r="142" spans="1:35" ht="15" customHeight="1" thickBot="1">
      <c r="A142" s="41" t="s">
        <v>705</v>
      </c>
      <c r="B142" s="42" t="s">
        <v>828</v>
      </c>
      <c r="C142" s="52">
        <f>'SLP States AggWorkings'!C142+'ZKY States AggWorkings'!C142</f>
        <v>0</v>
      </c>
      <c r="D142" s="52">
        <f>'SLP States AggWorkings'!D142+'ZKY States AggWorkings'!D142</f>
        <v>0</v>
      </c>
      <c r="E142" s="52">
        <f>'SLP States AggWorkings'!E142+'ZKY States AggWorkings'!E142</f>
        <v>0</v>
      </c>
      <c r="F142" s="52">
        <f>'SLP States AggWorkings'!F142+'ZKY States AggWorkings'!F142</f>
        <v>0</v>
      </c>
      <c r="G142" s="52">
        <f>'SLP States AggWorkings'!G142+'ZKY States AggWorkings'!G142</f>
        <v>0</v>
      </c>
      <c r="H142" s="52">
        <f>'SLP States AggWorkings'!H142+'ZKY States AggWorkings'!H142</f>
        <v>0</v>
      </c>
      <c r="I142" s="52">
        <f>'SLP States AggWorkings'!I142+'ZKY States AggWorkings'!I142</f>
        <v>0</v>
      </c>
      <c r="J142" s="52">
        <f>'SLP States AggWorkings'!J142+'ZKY States AggWorkings'!J142</f>
        <v>0</v>
      </c>
      <c r="K142" s="52">
        <f>'SLP States AggWorkings'!K142+'ZKY States AggWorkings'!K142</f>
        <v>0</v>
      </c>
      <c r="L142" s="52">
        <f>'SLP States AggWorkings'!L142+'ZKY States AggWorkings'!L142</f>
        <v>0</v>
      </c>
      <c r="M142" s="52">
        <f>'SLP States AggWorkings'!M142+'ZKY States AggWorkings'!M142</f>
        <v>0</v>
      </c>
      <c r="N142" s="52">
        <f>'SLP States AggWorkings'!N142+'ZKY States AggWorkings'!N142</f>
        <v>0</v>
      </c>
      <c r="O142" s="52">
        <f>'SLP States AggWorkings'!O142+'ZKY States AggWorkings'!O142</f>
        <v>0</v>
      </c>
      <c r="P142" s="52">
        <f>'SLP States AggWorkings'!P142+'ZKY States AggWorkings'!P142</f>
        <v>0</v>
      </c>
      <c r="Q142" s="52">
        <f>'SLP States AggWorkings'!Q142+'ZKY States AggWorkings'!Q142</f>
        <v>0</v>
      </c>
      <c r="R142" s="50">
        <f>'SLP States AggWorkings'!R142+'ZKY States AggWorkings'!R142</f>
        <v>6</v>
      </c>
      <c r="S142" s="51">
        <f>'SLP States AggWorkings'!S142+'ZKY States AggWorkings'!S142</f>
        <v>7.3333333333333339</v>
      </c>
      <c r="T142" s="51">
        <f>'SLP States AggWorkings'!T142+'ZKY States AggWorkings'!T142</f>
        <v>8.6666666666666661</v>
      </c>
      <c r="U142" s="51">
        <f>'SLP States AggWorkings'!U142+'ZKY States AggWorkings'!U142</f>
        <v>10</v>
      </c>
      <c r="V142" s="51">
        <f>'SLP States AggWorkings'!V142+'ZKY States AggWorkings'!V142+'Abuja Workings'!V142+'UK-Intl Workings'!V142</f>
        <v>18</v>
      </c>
      <c r="W142" s="51">
        <f>'SLP States AggWorkings'!W142+'ZKY States AggWorkings'!W142+'A&amp;N States AggWorkings'!W142+'Abuja Workings'!W142+'UK-Intl Workings'!W142</f>
        <v>20.333333333333336</v>
      </c>
      <c r="X142" s="51">
        <f>'SLP States AggWorkings'!X142+'ZKY States AggWorkings'!X142+'A&amp;N States AggWorkings'!X142+'Abuja Workings'!X142+'UK-Intl Workings'!X142</f>
        <v>22.666666666666664</v>
      </c>
      <c r="Y142" s="50">
        <f>'SLP States AggWorkings'!Y142+'ZKY States AggWorkings'!Y142+'A&amp;N States AggWorkings'!Y142+'Abuja Workings'!Y142+'UK-Intl Workings'!Y142</f>
        <v>23</v>
      </c>
      <c r="Z142" s="51">
        <f>'SLP States AggWorkings'!Z142+'ZKY States AggWorkings'!Z142+'A&amp;N States AggWorkings'!Z142+'Abuja Workings'!Z142+'UK-Intl Workings'!Z142</f>
        <v>23</v>
      </c>
      <c r="AA142" s="38">
        <f>'SLP States AggWorkings'!AA142+'ZKY States AggWorkings'!AA142</f>
        <v>40</v>
      </c>
      <c r="AB142" s="457">
        <f>AA142/22</f>
        <v>1.8181818181818181</v>
      </c>
      <c r="AC142" s="340"/>
      <c r="AD142" s="451">
        <f>V142</f>
        <v>18</v>
      </c>
      <c r="AE142" s="346"/>
      <c r="AF142" s="453">
        <f t="shared" ref="AF142:AG143" si="11">IF($AG$1=16,R142,IF($AG$1=17,S142,IF($AG$1=18,T142,IF($AG$1=19,U142,IF($AG$1=20,V142,IF($AG$1=21,W142,IF($AG$1=22,X142,0)))))))</f>
        <v>20.333333333333336</v>
      </c>
      <c r="AG142" s="453">
        <f t="shared" si="11"/>
        <v>22.666666666666664</v>
      </c>
      <c r="AI142" s="338"/>
    </row>
    <row r="143" spans="1:35" ht="15" customHeight="1" thickBot="1">
      <c r="A143" s="45"/>
      <c r="B143" s="46" t="s">
        <v>829</v>
      </c>
      <c r="C143" s="52">
        <f>'SLP States AggWorkings'!C143+'ZKY States AggWorkings'!C143</f>
        <v>0</v>
      </c>
      <c r="D143" s="52">
        <f>'SLP States AggWorkings'!D143+'ZKY States AggWorkings'!D143</f>
        <v>0</v>
      </c>
      <c r="E143" s="52">
        <f>'SLP States AggWorkings'!E143+'ZKY States AggWorkings'!E143</f>
        <v>0</v>
      </c>
      <c r="F143" s="52">
        <f>'SLP States AggWorkings'!F143+'ZKY States AggWorkings'!F143</f>
        <v>0</v>
      </c>
      <c r="G143" s="52">
        <f>'SLP States AggWorkings'!G143+'ZKY States AggWorkings'!G143</f>
        <v>0</v>
      </c>
      <c r="H143" s="52">
        <f>'SLP States AggWorkings'!H143+'ZKY States AggWorkings'!H143</f>
        <v>0</v>
      </c>
      <c r="I143" s="52">
        <f>'SLP States AggWorkings'!I143+'ZKY States AggWorkings'!I143</f>
        <v>0</v>
      </c>
      <c r="J143" s="52">
        <f>'SLP States AggWorkings'!J143+'ZKY States AggWorkings'!J143</f>
        <v>0</v>
      </c>
      <c r="K143" s="52">
        <f>'SLP States AggWorkings'!K143+'ZKY States AggWorkings'!K143</f>
        <v>0</v>
      </c>
      <c r="L143" s="52">
        <f>'SLP States AggWorkings'!L143+'ZKY States AggWorkings'!L143</f>
        <v>0</v>
      </c>
      <c r="M143" s="52">
        <f>'SLP States AggWorkings'!M143+'ZKY States AggWorkings'!M143</f>
        <v>0</v>
      </c>
      <c r="N143" s="52">
        <f>'SLP States AggWorkings'!N143+'ZKY States AggWorkings'!N143</f>
        <v>0</v>
      </c>
      <c r="O143" s="52">
        <f>'SLP States AggWorkings'!O143+'ZKY States AggWorkings'!O143</f>
        <v>0</v>
      </c>
      <c r="P143" s="52">
        <f>'SLP States AggWorkings'!P143+'ZKY States AggWorkings'!P143</f>
        <v>0</v>
      </c>
      <c r="Q143" s="52">
        <f>'SLP States AggWorkings'!Q143+'ZKY States AggWorkings'!Q143</f>
        <v>0</v>
      </c>
      <c r="R143" s="52">
        <f>'SLP States AggWorkings'!R143+'ZKY States AggWorkings'!R143</f>
        <v>6</v>
      </c>
      <c r="S143" s="442">
        <f>'SLP States AggWorkings'!S143+'ZKY States AggWorkings'!S143</f>
        <v>7</v>
      </c>
      <c r="T143" s="442">
        <f>'SLP States AggWorkings'!T143+'ZKY States AggWorkings'!T143</f>
        <v>6</v>
      </c>
      <c r="U143" s="442">
        <f>'SLP States AggWorkings'!U143+'ZKY States AggWorkings'!U143</f>
        <v>6</v>
      </c>
      <c r="V143" s="445">
        <f>'SLP States AggWorkings'!V143+'ZKY States AggWorkings'!V143+'Abuja Workings'!V143+'UK-Intl Workings'!V143</f>
        <v>18</v>
      </c>
      <c r="W143" s="72">
        <f>'SLP States AggWorkings'!W143+'ZKY States AggWorkings'!W143+'A&amp;N States AggWorkings'!W143+'Abuja Workings'!W143+'UK-Intl Workings'!W143</f>
        <v>26</v>
      </c>
      <c r="X143" s="70">
        <f>'SLP States AggWorkings'!X143+'ZKY States AggWorkings'!X143+'A&amp;N States AggWorkings'!X143+'Abuja Workings'!X143+'UK-Intl Workings'!X143</f>
        <v>36</v>
      </c>
      <c r="Y143" s="70">
        <f>'SLP States AggWorkings'!Y143+'ZKY States AggWorkings'!Y143+'A&amp;N States AggWorkings'!Y143+'Abuja Workings'!Y143+'UK-Intl Workings'!Y143</f>
        <v>18</v>
      </c>
      <c r="Z143" s="70">
        <f>'SLP States AggWorkings'!Z143+'ZKY States AggWorkings'!Z143+'A&amp;N States AggWorkings'!Z143+'Abuja Workings'!Z143+'UK-Intl Workings'!Z143</f>
        <v>18</v>
      </c>
      <c r="AA143" s="49"/>
      <c r="AB143" s="421"/>
      <c r="AC143" s="340"/>
      <c r="AD143" s="452">
        <f>V143</f>
        <v>18</v>
      </c>
      <c r="AE143" s="346"/>
      <c r="AF143" s="452">
        <f t="shared" si="11"/>
        <v>26</v>
      </c>
      <c r="AG143" s="452">
        <f t="shared" si="11"/>
        <v>36</v>
      </c>
      <c r="AH143" s="342">
        <f>AG143</f>
        <v>36</v>
      </c>
      <c r="AI143" s="342">
        <f>AG143</f>
        <v>36</v>
      </c>
    </row>
    <row r="144" spans="1:35" ht="15" customHeight="1">
      <c r="A144" s="45"/>
      <c r="B144" s="46"/>
      <c r="C144" s="53"/>
      <c r="D144" s="75"/>
      <c r="E144" s="75"/>
      <c r="F144" s="75"/>
      <c r="G144" s="75"/>
      <c r="H144" s="75"/>
      <c r="I144" s="75"/>
      <c r="J144" s="75"/>
      <c r="K144" s="75"/>
      <c r="L144" s="53"/>
      <c r="M144" s="53"/>
      <c r="N144" s="53"/>
      <c r="O144" s="53"/>
      <c r="P144" s="53"/>
      <c r="Q144" s="53"/>
      <c r="R144" s="53"/>
      <c r="S144" s="53"/>
      <c r="T144" s="53"/>
      <c r="U144" s="53"/>
      <c r="V144" s="53"/>
      <c r="W144" s="53"/>
      <c r="X144" s="53"/>
      <c r="Y144" s="53"/>
      <c r="Z144" s="53"/>
      <c r="AA144" s="49"/>
      <c r="AB144" s="421"/>
      <c r="AC144" s="340"/>
      <c r="AD144" s="345"/>
      <c r="AE144" s="346"/>
      <c r="AF144" s="454"/>
      <c r="AG144" s="454"/>
      <c r="AI144" s="338"/>
    </row>
    <row r="145" spans="1:35" ht="15" customHeight="1" thickBot="1">
      <c r="A145" s="41" t="s">
        <v>706</v>
      </c>
      <c r="B145" s="42" t="s">
        <v>830</v>
      </c>
      <c r="C145" s="52">
        <f>'SLP States AggWorkings'!C145+'ZKY States AggWorkings'!C145</f>
        <v>0</v>
      </c>
      <c r="D145" s="52">
        <f>'SLP States AggWorkings'!D145+'ZKY States AggWorkings'!D145</f>
        <v>0</v>
      </c>
      <c r="E145" s="52">
        <f>'SLP States AggWorkings'!E145+'ZKY States AggWorkings'!E145</f>
        <v>0</v>
      </c>
      <c r="F145" s="52">
        <f>'SLP States AggWorkings'!F145+'ZKY States AggWorkings'!F145</f>
        <v>0</v>
      </c>
      <c r="G145" s="52">
        <f>'SLP States AggWorkings'!G145+'ZKY States AggWorkings'!G145</f>
        <v>0</v>
      </c>
      <c r="H145" s="52">
        <f>'SLP States AggWorkings'!H145+'ZKY States AggWorkings'!H145</f>
        <v>0</v>
      </c>
      <c r="I145" s="52">
        <f>'SLP States AggWorkings'!I145+'ZKY States AggWorkings'!I145</f>
        <v>0</v>
      </c>
      <c r="J145" s="52">
        <f>'SLP States AggWorkings'!J145+'ZKY States AggWorkings'!J145</f>
        <v>0</v>
      </c>
      <c r="K145" s="52">
        <f>'SLP States AggWorkings'!K145+'ZKY States AggWorkings'!K145</f>
        <v>0</v>
      </c>
      <c r="L145" s="52">
        <f>'SLP States AggWorkings'!L145+'ZKY States AggWorkings'!L145</f>
        <v>0</v>
      </c>
      <c r="M145" s="52">
        <f>'SLP States AggWorkings'!M145+'ZKY States AggWorkings'!M145</f>
        <v>0</v>
      </c>
      <c r="N145" s="52">
        <f>'SLP States AggWorkings'!N145+'ZKY States AggWorkings'!N145</f>
        <v>0</v>
      </c>
      <c r="O145" s="52">
        <f>'SLP States AggWorkings'!O145+'ZKY States AggWorkings'!O145</f>
        <v>0</v>
      </c>
      <c r="P145" s="52">
        <f>'SLP States AggWorkings'!P145+'ZKY States AggWorkings'!P145</f>
        <v>0</v>
      </c>
      <c r="Q145" s="52">
        <f>'SLP States AggWorkings'!Q145+'ZKY States AggWorkings'!Q145</f>
        <v>0</v>
      </c>
      <c r="R145" s="50">
        <f>'SLP States AggWorkings'!R145+'ZKY States AggWorkings'!R145</f>
        <v>1</v>
      </c>
      <c r="S145" s="51">
        <f>'SLP States AggWorkings'!S145+'ZKY States AggWorkings'!S145</f>
        <v>1.6666666666666667</v>
      </c>
      <c r="T145" s="51">
        <f>'SLP States AggWorkings'!T145+'ZKY States AggWorkings'!T145</f>
        <v>2.3333333333333335</v>
      </c>
      <c r="U145" s="51">
        <f>'SLP States AggWorkings'!U145+'ZKY States AggWorkings'!U145</f>
        <v>3</v>
      </c>
      <c r="V145" s="51">
        <f>'SLP States AggWorkings'!V145+'ZKY States AggWorkings'!V145+'Abuja Workings'!V145+'UK-Intl Workings'!V145</f>
        <v>6.0000000000000009</v>
      </c>
      <c r="W145" s="51">
        <f>'SLP States AggWorkings'!W145+'ZKY States AggWorkings'!W145+'A&amp;N States AggWorkings'!W145+'Abuja Workings'!W145+'UK-Intl Workings'!W145</f>
        <v>6.5</v>
      </c>
      <c r="X145" s="51">
        <f>'SLP States AggWorkings'!X145+'ZKY States AggWorkings'!X145+'A&amp;N States AggWorkings'!X145+'Abuja Workings'!X145+'UK-Intl Workings'!X145</f>
        <v>7.6666666666666661</v>
      </c>
      <c r="Y145" s="50">
        <f>'SLP States AggWorkings'!Y145+'ZKY States AggWorkings'!Y145+'A&amp;N States AggWorkings'!Y145+'Abuja Workings'!Y145+'UK-Intl Workings'!Y145</f>
        <v>8</v>
      </c>
      <c r="Z145" s="51">
        <f>'SLP States AggWorkings'!Z145+'ZKY States AggWorkings'!Z145+'A&amp;N States AggWorkings'!Z145+'Abuja Workings'!Z145+'UK-Intl Workings'!Z145</f>
        <v>8</v>
      </c>
      <c r="AA145" s="38">
        <f>'SLP States AggWorkings'!AA145+'ZKY States AggWorkings'!AA145</f>
        <v>40</v>
      </c>
      <c r="AB145" s="457">
        <f>AA145/22</f>
        <v>1.8181818181818181</v>
      </c>
      <c r="AC145" s="340"/>
      <c r="AD145" s="451">
        <f>V145</f>
        <v>6.0000000000000009</v>
      </c>
      <c r="AE145" s="346"/>
      <c r="AF145" s="453">
        <f t="shared" ref="AF145:AG146" si="12">IF($AG$1=16,R145,IF($AG$1=17,S145,IF($AG$1=18,T145,IF($AG$1=19,U145,IF($AG$1=20,V145,IF($AG$1=21,W145,IF($AG$1=22,X145,0)))))))</f>
        <v>6.5</v>
      </c>
      <c r="AG145" s="453">
        <f t="shared" si="12"/>
        <v>7.6666666666666661</v>
      </c>
      <c r="AI145" s="338"/>
    </row>
    <row r="146" spans="1:35" ht="15" customHeight="1" thickBot="1">
      <c r="A146" s="45"/>
      <c r="B146" s="46" t="s">
        <v>831</v>
      </c>
      <c r="C146" s="52">
        <f>'SLP States AggWorkings'!C146+'ZKY States AggWorkings'!C146</f>
        <v>0</v>
      </c>
      <c r="D146" s="52">
        <f>'SLP States AggWorkings'!D146+'ZKY States AggWorkings'!D146</f>
        <v>0</v>
      </c>
      <c r="E146" s="52">
        <f>'SLP States AggWorkings'!E146+'ZKY States AggWorkings'!E146</f>
        <v>0</v>
      </c>
      <c r="F146" s="52">
        <f>'SLP States AggWorkings'!F146+'ZKY States AggWorkings'!F146</f>
        <v>0</v>
      </c>
      <c r="G146" s="52">
        <f>'SLP States AggWorkings'!G146+'ZKY States AggWorkings'!G146</f>
        <v>0</v>
      </c>
      <c r="H146" s="52">
        <f>'SLP States AggWorkings'!H146+'ZKY States AggWorkings'!H146</f>
        <v>0</v>
      </c>
      <c r="I146" s="52">
        <f>'SLP States AggWorkings'!I146+'ZKY States AggWorkings'!I146</f>
        <v>0</v>
      </c>
      <c r="J146" s="52">
        <f>'SLP States AggWorkings'!J146+'ZKY States AggWorkings'!J146</f>
        <v>0</v>
      </c>
      <c r="K146" s="52">
        <f>'SLP States AggWorkings'!K146+'ZKY States AggWorkings'!K146</f>
        <v>0</v>
      </c>
      <c r="L146" s="52">
        <f>'SLP States AggWorkings'!L146+'ZKY States AggWorkings'!L146</f>
        <v>0</v>
      </c>
      <c r="M146" s="52">
        <f>'SLP States AggWorkings'!M146+'ZKY States AggWorkings'!M146</f>
        <v>0</v>
      </c>
      <c r="N146" s="52">
        <f>'SLP States AggWorkings'!N146+'ZKY States AggWorkings'!N146</f>
        <v>0</v>
      </c>
      <c r="O146" s="52">
        <f>'SLP States AggWorkings'!O146+'ZKY States AggWorkings'!O146</f>
        <v>0</v>
      </c>
      <c r="P146" s="52">
        <f>'SLP States AggWorkings'!P146+'ZKY States AggWorkings'!P146</f>
        <v>0</v>
      </c>
      <c r="Q146" s="52">
        <f>'SLP States AggWorkings'!Q146+'ZKY States AggWorkings'!Q146</f>
        <v>0</v>
      </c>
      <c r="R146" s="52">
        <f>'SLP States AggWorkings'!R146+'ZKY States AggWorkings'!R146</f>
        <v>1</v>
      </c>
      <c r="S146" s="442">
        <f>'SLP States AggWorkings'!S146+'ZKY States AggWorkings'!S146</f>
        <v>1</v>
      </c>
      <c r="T146" s="442">
        <f>'SLP States AggWorkings'!T146+'ZKY States AggWorkings'!T146</f>
        <v>2</v>
      </c>
      <c r="U146" s="442">
        <f>'SLP States AggWorkings'!U146+'ZKY States AggWorkings'!U146</f>
        <v>2</v>
      </c>
      <c r="V146" s="445">
        <f>'SLP States AggWorkings'!V146+'ZKY States AggWorkings'!V146+'Abuja Workings'!V146+'UK-Intl Workings'!V146</f>
        <v>6</v>
      </c>
      <c r="W146" s="72">
        <f>'SLP States AggWorkings'!W146+'ZKY States AggWorkings'!W146+'A&amp;N States AggWorkings'!W146+'Abuja Workings'!W146+'UK-Intl Workings'!W146</f>
        <v>7</v>
      </c>
      <c r="X146" s="70">
        <f>'SLP States AggWorkings'!X146+'ZKY States AggWorkings'!X146+'A&amp;N States AggWorkings'!X146+'Abuja Workings'!X146+'UK-Intl Workings'!X146</f>
        <v>13</v>
      </c>
      <c r="Y146" s="70">
        <f>'SLP States AggWorkings'!Y146+'ZKY States AggWorkings'!Y146+'A&amp;N States AggWorkings'!Y146+'Abuja Workings'!Y146+'UK-Intl Workings'!Y146</f>
        <v>6</v>
      </c>
      <c r="Z146" s="70">
        <f>'SLP States AggWorkings'!Z146+'ZKY States AggWorkings'!Z146+'A&amp;N States AggWorkings'!Z146+'Abuja Workings'!Z146+'UK-Intl Workings'!Z146</f>
        <v>6</v>
      </c>
      <c r="AA146" s="49"/>
      <c r="AB146" s="421"/>
      <c r="AC146" s="340"/>
      <c r="AD146" s="452">
        <f>V146</f>
        <v>6</v>
      </c>
      <c r="AE146" s="346"/>
      <c r="AF146" s="452">
        <f t="shared" si="12"/>
        <v>7</v>
      </c>
      <c r="AG146" s="452">
        <f t="shared" si="12"/>
        <v>13</v>
      </c>
      <c r="AH146" s="342">
        <f>AG146</f>
        <v>13</v>
      </c>
      <c r="AI146" s="342">
        <f>AG146</f>
        <v>13</v>
      </c>
    </row>
    <row r="147" spans="1:35" ht="15" customHeight="1">
      <c r="A147" s="45"/>
      <c r="B147" s="46"/>
      <c r="C147" s="53"/>
      <c r="D147" s="75"/>
      <c r="E147" s="75"/>
      <c r="F147" s="75"/>
      <c r="G147" s="75"/>
      <c r="H147" s="75"/>
      <c r="I147" s="75"/>
      <c r="J147" s="75"/>
      <c r="K147" s="75"/>
      <c r="L147" s="53"/>
      <c r="M147" s="53"/>
      <c r="N147" s="53"/>
      <c r="O147" s="53"/>
      <c r="P147" s="53"/>
      <c r="Q147" s="53"/>
      <c r="R147" s="53"/>
      <c r="S147" s="48"/>
      <c r="T147" s="48"/>
      <c r="U147" s="48"/>
      <c r="V147" s="48"/>
      <c r="W147" s="48"/>
      <c r="X147" s="48"/>
      <c r="Y147" s="48"/>
      <c r="Z147" s="48"/>
      <c r="AA147" s="49"/>
      <c r="AB147" s="421"/>
      <c r="AI147" s="338"/>
    </row>
    <row r="148" spans="1:35" ht="15" customHeight="1">
      <c r="A148" s="38"/>
      <c r="AI148" s="338"/>
    </row>
    <row r="149" spans="1:35" ht="15" customHeight="1">
      <c r="C149" s="55" t="s">
        <v>194</v>
      </c>
      <c r="D149" s="431"/>
      <c r="E149" s="432"/>
      <c r="F149" s="433"/>
    </row>
    <row r="150" spans="1:35" ht="15" customHeight="1">
      <c r="C150" s="55" t="s">
        <v>195</v>
      </c>
      <c r="D150" s="434" t="s">
        <v>196</v>
      </c>
      <c r="E150" s="435" t="s">
        <v>153</v>
      </c>
      <c r="F150" s="435" t="s">
        <v>154</v>
      </c>
      <c r="G150" s="435" t="s">
        <v>158</v>
      </c>
      <c r="H150" s="434" t="s">
        <v>197</v>
      </c>
    </row>
    <row r="151" spans="1:35" ht="15" customHeight="1">
      <c r="C151" s="55"/>
      <c r="D151" s="434"/>
      <c r="E151" s="435"/>
      <c r="F151" s="435"/>
      <c r="G151" s="435"/>
      <c r="H151" s="434"/>
    </row>
    <row r="152" spans="1:35" ht="15" customHeight="1"/>
    <row r="153" spans="1:35" ht="15" customHeight="1">
      <c r="A153" s="1356" t="s">
        <v>727</v>
      </c>
      <c r="B153" s="1356"/>
    </row>
    <row r="154" spans="1:35" ht="15" customHeight="1">
      <c r="A154" s="1356"/>
      <c r="B154" s="1356"/>
    </row>
    <row r="155" spans="1:35" ht="15" customHeight="1">
      <c r="A155" s="1356"/>
      <c r="B155" s="1356"/>
    </row>
    <row r="156" spans="1:35" ht="15" customHeight="1">
      <c r="A156" s="1356"/>
      <c r="B156" s="1356"/>
    </row>
    <row r="157" spans="1:35" ht="15" customHeight="1">
      <c r="A157" s="1356"/>
      <c r="B157" s="1356"/>
    </row>
  </sheetData>
  <sheetProtection password="CF55" sheet="1" objects="1" scenarios="1" selectLockedCells="1"/>
  <mergeCells count="7">
    <mergeCell ref="S1:V1"/>
    <mergeCell ref="W1:Z1"/>
    <mergeCell ref="A153:B157"/>
    <mergeCell ref="D1:G1"/>
    <mergeCell ref="H1:K1"/>
    <mergeCell ref="L1:N1"/>
    <mergeCell ref="O1:R1"/>
  </mergeCells>
  <conditionalFormatting sqref="AH113">
    <cfRule type="iconSet" priority="149">
      <iconSet iconSet="5ArrowsGray" showValue="0">
        <cfvo type="percent" val="0"/>
        <cfvo type="formula" val="$AF$113-$AB$112" gte="0"/>
        <cfvo type="formula" val="$AF$113"/>
        <cfvo type="formula" val="$AF$113" gte="0"/>
        <cfvo type="formula" val="$AF$113+$AB$112"/>
      </iconSet>
    </cfRule>
  </conditionalFormatting>
  <conditionalFormatting sqref="AH113">
    <cfRule type="cellIs" dxfId="77" priority="150" stopIfTrue="1" operator="greaterThanOrEqual">
      <formula>AG112</formula>
    </cfRule>
    <cfRule type="cellIs" dxfId="76" priority="152" stopIfTrue="1" operator="lessThan">
      <formula>AG112</formula>
    </cfRule>
  </conditionalFormatting>
  <conditionalFormatting sqref="AH113">
    <cfRule type="cellIs" dxfId="75" priority="151" stopIfTrue="1" operator="lessThan">
      <formula>AD112</formula>
    </cfRule>
  </conditionalFormatting>
  <conditionalFormatting sqref="AI113">
    <cfRule type="iconSet" priority="145">
      <iconSet iconSet="5ArrowsGray" showValue="0">
        <cfvo type="percent" val="0"/>
        <cfvo type="formula" val="$AF$113-$AB$112" gte="0"/>
        <cfvo type="formula" val="$AF$113"/>
        <cfvo type="formula" val="$AF$113" gte="0"/>
        <cfvo type="formula" val="$AF$113+$AB$112"/>
      </iconSet>
    </cfRule>
  </conditionalFormatting>
  <conditionalFormatting sqref="AI113">
    <cfRule type="cellIs" dxfId="74" priority="146" stopIfTrue="1" operator="greaterThanOrEqual">
      <formula>AG112</formula>
    </cfRule>
    <cfRule type="cellIs" dxfId="73" priority="148" stopIfTrue="1" operator="lessThan">
      <formula>AG112</formula>
    </cfRule>
  </conditionalFormatting>
  <conditionalFormatting sqref="AI113">
    <cfRule type="cellIs" dxfId="72" priority="147" stopIfTrue="1" operator="lessThanOrEqual">
      <formula>AD112</formula>
    </cfRule>
  </conditionalFormatting>
  <conditionalFormatting sqref="AH116">
    <cfRule type="iconSet" priority="141">
      <iconSet iconSet="5ArrowsGray" showValue="0">
        <cfvo type="percent" val="0"/>
        <cfvo type="formula" val="$AF$116-$AB$115" gte="0"/>
        <cfvo type="formula" val="$AF$116"/>
        <cfvo type="formula" val="$AF$116" gte="0"/>
        <cfvo type="formula" val="$AF$116+$AB$115"/>
      </iconSet>
    </cfRule>
  </conditionalFormatting>
  <conditionalFormatting sqref="AH116">
    <cfRule type="cellIs" dxfId="71" priority="142" stopIfTrue="1" operator="greaterThanOrEqual">
      <formula>AG115</formula>
    </cfRule>
    <cfRule type="cellIs" dxfId="70" priority="144" stopIfTrue="1" operator="lessThan">
      <formula>AG115</formula>
    </cfRule>
  </conditionalFormatting>
  <conditionalFormatting sqref="AH116">
    <cfRule type="cellIs" dxfId="69" priority="143" stopIfTrue="1" operator="lessThan">
      <formula>AD115</formula>
    </cfRule>
  </conditionalFormatting>
  <conditionalFormatting sqref="AI116">
    <cfRule type="iconSet" priority="137">
      <iconSet iconSet="5ArrowsGray" showValue="0">
        <cfvo type="percent" val="0"/>
        <cfvo type="formula" val="$AF$116-$AB$115" gte="0"/>
        <cfvo type="formula" val="$AF$116"/>
        <cfvo type="formula" val="$AF$116" gte="0"/>
        <cfvo type="formula" val="$AF$116+$AB$115"/>
      </iconSet>
    </cfRule>
  </conditionalFormatting>
  <conditionalFormatting sqref="AI116">
    <cfRule type="cellIs" dxfId="68" priority="138" stopIfTrue="1" operator="greaterThanOrEqual">
      <formula>AG115</formula>
    </cfRule>
    <cfRule type="cellIs" dxfId="67" priority="140" stopIfTrue="1" operator="lessThan">
      <formula>AG115</formula>
    </cfRule>
  </conditionalFormatting>
  <conditionalFormatting sqref="AI116">
    <cfRule type="cellIs" dxfId="66" priority="139" stopIfTrue="1" operator="lessThanOrEqual">
      <formula>AD115</formula>
    </cfRule>
  </conditionalFormatting>
  <conditionalFormatting sqref="AH119">
    <cfRule type="iconSet" priority="133">
      <iconSet iconSet="5ArrowsGray" showValue="0">
        <cfvo type="percent" val="0"/>
        <cfvo type="formula" val="$AF$119-$AB$118" gte="0"/>
        <cfvo type="formula" val="$AF$119"/>
        <cfvo type="formula" val="$AF$119" gte="0"/>
        <cfvo type="formula" val="$AF$119+$AB$118"/>
      </iconSet>
    </cfRule>
  </conditionalFormatting>
  <conditionalFormatting sqref="AH119">
    <cfRule type="cellIs" dxfId="65" priority="134" stopIfTrue="1" operator="greaterThanOrEqual">
      <formula>AG118</formula>
    </cfRule>
    <cfRule type="cellIs" dxfId="64" priority="136" stopIfTrue="1" operator="lessThan">
      <formula>AG118</formula>
    </cfRule>
  </conditionalFormatting>
  <conditionalFormatting sqref="AH119">
    <cfRule type="cellIs" dxfId="63" priority="135" stopIfTrue="1" operator="lessThan">
      <formula>AD118</formula>
    </cfRule>
  </conditionalFormatting>
  <conditionalFormatting sqref="AI119">
    <cfRule type="iconSet" priority="129">
      <iconSet iconSet="5ArrowsGray" showValue="0">
        <cfvo type="percent" val="0"/>
        <cfvo type="formula" val="$AF$119-$AB$118" gte="0"/>
        <cfvo type="formula" val="$AF$119"/>
        <cfvo type="formula" val="$AF$119" gte="0"/>
        <cfvo type="formula" val="$AF$119+$AB$118"/>
      </iconSet>
    </cfRule>
  </conditionalFormatting>
  <conditionalFormatting sqref="AI119">
    <cfRule type="cellIs" dxfId="62" priority="130" stopIfTrue="1" operator="greaterThanOrEqual">
      <formula>AG118</formula>
    </cfRule>
    <cfRule type="cellIs" dxfId="61" priority="132" stopIfTrue="1" operator="lessThan">
      <formula>AG118</formula>
    </cfRule>
  </conditionalFormatting>
  <conditionalFormatting sqref="AI119">
    <cfRule type="cellIs" dxfId="60" priority="131" stopIfTrue="1" operator="lessThanOrEqual">
      <formula>AD118</formula>
    </cfRule>
  </conditionalFormatting>
  <conditionalFormatting sqref="AH122">
    <cfRule type="iconSet" priority="125">
      <iconSet iconSet="5ArrowsGray" showValue="0">
        <cfvo type="percent" val="0"/>
        <cfvo type="formula" val="$AF$122-$AB$121" gte="0"/>
        <cfvo type="formula" val="$AF$122"/>
        <cfvo type="formula" val="$AF$122" gte="0"/>
        <cfvo type="formula" val="$AF$122+$AB$121"/>
      </iconSet>
    </cfRule>
  </conditionalFormatting>
  <conditionalFormatting sqref="AH122">
    <cfRule type="cellIs" dxfId="59" priority="126" stopIfTrue="1" operator="greaterThanOrEqual">
      <formula>AG121</formula>
    </cfRule>
    <cfRule type="cellIs" dxfId="58" priority="128" stopIfTrue="1" operator="lessThan">
      <formula>AG121</formula>
    </cfRule>
  </conditionalFormatting>
  <conditionalFormatting sqref="AH122">
    <cfRule type="cellIs" dxfId="57" priority="127" stopIfTrue="1" operator="lessThan">
      <formula>AD121</formula>
    </cfRule>
  </conditionalFormatting>
  <conditionalFormatting sqref="AI122">
    <cfRule type="iconSet" priority="121">
      <iconSet iconSet="5ArrowsGray" showValue="0">
        <cfvo type="percent" val="0"/>
        <cfvo type="formula" val="$AF$122-$AB$121" gte="0"/>
        <cfvo type="formula" val="$AF$122"/>
        <cfvo type="formula" val="$AF$122" gte="0"/>
        <cfvo type="formula" val="$AF$122+$AB$121"/>
      </iconSet>
    </cfRule>
  </conditionalFormatting>
  <conditionalFormatting sqref="AI122">
    <cfRule type="cellIs" dxfId="56" priority="122" stopIfTrue="1" operator="greaterThanOrEqual">
      <formula>AG121</formula>
    </cfRule>
    <cfRule type="cellIs" dxfId="55" priority="124" stopIfTrue="1" operator="lessThan">
      <formula>AG121</formula>
    </cfRule>
  </conditionalFormatting>
  <conditionalFormatting sqref="AI122">
    <cfRule type="cellIs" dxfId="54" priority="123" stopIfTrue="1" operator="lessThanOrEqual">
      <formula>AD121</formula>
    </cfRule>
  </conditionalFormatting>
  <conditionalFormatting sqref="AH125">
    <cfRule type="iconSet" priority="117">
      <iconSet iconSet="5ArrowsGray" showValue="0">
        <cfvo type="percent" val="0"/>
        <cfvo type="formula" val="$AF$125-$AB$124" gte="0"/>
        <cfvo type="formula" val="$AF$125"/>
        <cfvo type="formula" val="$AF$125" gte="0"/>
        <cfvo type="formula" val="$AF$125+$AB$124"/>
      </iconSet>
    </cfRule>
  </conditionalFormatting>
  <conditionalFormatting sqref="AH125">
    <cfRule type="cellIs" dxfId="53" priority="118" stopIfTrue="1" operator="greaterThanOrEqual">
      <formula>AG124</formula>
    </cfRule>
    <cfRule type="cellIs" dxfId="52" priority="120" stopIfTrue="1" operator="lessThan">
      <formula>AG124</formula>
    </cfRule>
  </conditionalFormatting>
  <conditionalFormatting sqref="AH125">
    <cfRule type="cellIs" dxfId="51" priority="119" stopIfTrue="1" operator="lessThan">
      <formula>AD124</formula>
    </cfRule>
  </conditionalFormatting>
  <conditionalFormatting sqref="AI125">
    <cfRule type="iconSet" priority="113">
      <iconSet iconSet="5ArrowsGray" showValue="0">
        <cfvo type="percent" val="0"/>
        <cfvo type="formula" val="$AF$125-$AB$124" gte="0"/>
        <cfvo type="formula" val="$AF$125"/>
        <cfvo type="formula" val="$AF$125" gte="0"/>
        <cfvo type="formula" val="$AF$125+$AB$124"/>
      </iconSet>
    </cfRule>
  </conditionalFormatting>
  <conditionalFormatting sqref="AI125">
    <cfRule type="cellIs" dxfId="50" priority="114" stopIfTrue="1" operator="greaterThanOrEqual">
      <formula>AG124</formula>
    </cfRule>
    <cfRule type="cellIs" dxfId="49" priority="116" stopIfTrue="1" operator="lessThan">
      <formula>AG124</formula>
    </cfRule>
  </conditionalFormatting>
  <conditionalFormatting sqref="AI125">
    <cfRule type="cellIs" dxfId="48" priority="115" stopIfTrue="1" operator="lessThanOrEqual">
      <formula>AD124</formula>
    </cfRule>
  </conditionalFormatting>
  <conditionalFormatting sqref="AH128">
    <cfRule type="iconSet" priority="109">
      <iconSet iconSet="5ArrowsGray" showValue="0">
        <cfvo type="percent" val="0"/>
        <cfvo type="formula" val="$AF$128-$AB$127" gte="0"/>
        <cfvo type="formula" val="$AF$128"/>
        <cfvo type="formula" val="$AF$128" gte="0"/>
        <cfvo type="formula" val="$AF$128+$AB$127"/>
      </iconSet>
    </cfRule>
  </conditionalFormatting>
  <conditionalFormatting sqref="AH128">
    <cfRule type="cellIs" dxfId="47" priority="110" stopIfTrue="1" operator="greaterThanOrEqual">
      <formula>AG127</formula>
    </cfRule>
    <cfRule type="cellIs" dxfId="46" priority="112" stopIfTrue="1" operator="lessThan">
      <formula>AG127</formula>
    </cfRule>
  </conditionalFormatting>
  <conditionalFormatting sqref="AH128">
    <cfRule type="cellIs" dxfId="45" priority="111" stopIfTrue="1" operator="lessThan">
      <formula>AD127</formula>
    </cfRule>
  </conditionalFormatting>
  <conditionalFormatting sqref="AI128">
    <cfRule type="iconSet" priority="105">
      <iconSet iconSet="5ArrowsGray" showValue="0">
        <cfvo type="percent" val="0"/>
        <cfvo type="formula" val="$AF$128-$AB$127" gte="0"/>
        <cfvo type="formula" val="$AF$128"/>
        <cfvo type="formula" val="$AF$128" gte="0"/>
        <cfvo type="formula" val="$AF$128+$AB$127"/>
      </iconSet>
    </cfRule>
  </conditionalFormatting>
  <conditionalFormatting sqref="AI128">
    <cfRule type="cellIs" dxfId="44" priority="106" stopIfTrue="1" operator="greaterThanOrEqual">
      <formula>AG127</formula>
    </cfRule>
    <cfRule type="cellIs" dxfId="43" priority="108" stopIfTrue="1" operator="lessThan">
      <formula>AG127</formula>
    </cfRule>
  </conditionalFormatting>
  <conditionalFormatting sqref="AI128">
    <cfRule type="cellIs" dxfId="42" priority="107" stopIfTrue="1" operator="lessThanOrEqual">
      <formula>AD127</formula>
    </cfRule>
  </conditionalFormatting>
  <conditionalFormatting sqref="AH131">
    <cfRule type="iconSet" priority="101">
      <iconSet iconSet="5ArrowsGray" showValue="0">
        <cfvo type="percent" val="0"/>
        <cfvo type="formula" val="$AF$131-$AB$130" gte="0"/>
        <cfvo type="formula" val="$AF$131"/>
        <cfvo type="formula" val="$AF$131" gte="0"/>
        <cfvo type="formula" val="$AF$131+$AB$130"/>
      </iconSet>
    </cfRule>
  </conditionalFormatting>
  <conditionalFormatting sqref="AH131">
    <cfRule type="cellIs" dxfId="41" priority="102" stopIfTrue="1" operator="greaterThanOrEqual">
      <formula>AG130</formula>
    </cfRule>
    <cfRule type="cellIs" dxfId="40" priority="104" stopIfTrue="1" operator="lessThan">
      <formula>AG130</formula>
    </cfRule>
  </conditionalFormatting>
  <conditionalFormatting sqref="AH131">
    <cfRule type="cellIs" dxfId="39" priority="103" stopIfTrue="1" operator="lessThan">
      <formula>AD130</formula>
    </cfRule>
  </conditionalFormatting>
  <conditionalFormatting sqref="AI131">
    <cfRule type="iconSet" priority="97">
      <iconSet iconSet="5ArrowsGray" showValue="0">
        <cfvo type="percent" val="0"/>
        <cfvo type="formula" val="$AF$131-$AB$130" gte="0"/>
        <cfvo type="formula" val="$AF$131"/>
        <cfvo type="formula" val="$AF$131" gte="0"/>
        <cfvo type="formula" val="$AF$131+$AB$130"/>
      </iconSet>
    </cfRule>
  </conditionalFormatting>
  <conditionalFormatting sqref="AI131">
    <cfRule type="cellIs" dxfId="38" priority="98" stopIfTrue="1" operator="greaterThanOrEqual">
      <formula>AG130</formula>
    </cfRule>
    <cfRule type="cellIs" dxfId="37" priority="100" stopIfTrue="1" operator="lessThan">
      <formula>AG130</formula>
    </cfRule>
  </conditionalFormatting>
  <conditionalFormatting sqref="AI131">
    <cfRule type="cellIs" dxfId="36" priority="99" stopIfTrue="1" operator="lessThanOrEqual">
      <formula>AD130</formula>
    </cfRule>
  </conditionalFormatting>
  <conditionalFormatting sqref="AH134">
    <cfRule type="iconSet" priority="93">
      <iconSet iconSet="5ArrowsGray" showValue="0">
        <cfvo type="percent" val="0"/>
        <cfvo type="formula" val="$AF$134-$AB$133" gte="0"/>
        <cfvo type="formula" val="$AF$134"/>
        <cfvo type="formula" val="$AF$134" gte="0"/>
        <cfvo type="formula" val="$AF$134+$AB$133"/>
      </iconSet>
    </cfRule>
  </conditionalFormatting>
  <conditionalFormatting sqref="AH134">
    <cfRule type="cellIs" dxfId="35" priority="94" stopIfTrue="1" operator="greaterThanOrEqual">
      <formula>AG133</formula>
    </cfRule>
    <cfRule type="cellIs" dxfId="34" priority="96" stopIfTrue="1" operator="lessThan">
      <formula>AG133</formula>
    </cfRule>
  </conditionalFormatting>
  <conditionalFormatting sqref="AH134">
    <cfRule type="cellIs" dxfId="33" priority="95" stopIfTrue="1" operator="lessThan">
      <formula>AD133</formula>
    </cfRule>
  </conditionalFormatting>
  <conditionalFormatting sqref="AI134">
    <cfRule type="iconSet" priority="89">
      <iconSet iconSet="5ArrowsGray" showValue="0">
        <cfvo type="percent" val="0"/>
        <cfvo type="formula" val="$AF$134-$AB$133" gte="0"/>
        <cfvo type="formula" val="$AF$134"/>
        <cfvo type="formula" val="$AF$134" gte="0"/>
        <cfvo type="formula" val="$AF$134+$AB$133"/>
      </iconSet>
    </cfRule>
  </conditionalFormatting>
  <conditionalFormatting sqref="AI134">
    <cfRule type="cellIs" dxfId="32" priority="90" stopIfTrue="1" operator="greaterThanOrEqual">
      <formula>AG133</formula>
    </cfRule>
    <cfRule type="cellIs" dxfId="31" priority="92" stopIfTrue="1" operator="lessThan">
      <formula>AG133</formula>
    </cfRule>
  </conditionalFormatting>
  <conditionalFormatting sqref="AI134">
    <cfRule type="cellIs" dxfId="30" priority="91" stopIfTrue="1" operator="lessThanOrEqual">
      <formula>AD133</formula>
    </cfRule>
  </conditionalFormatting>
  <conditionalFormatting sqref="AH137">
    <cfRule type="iconSet" priority="85">
      <iconSet iconSet="5ArrowsGray" showValue="0">
        <cfvo type="percent" val="0"/>
        <cfvo type="formula" val="$AF$137-$AB$136" gte="0"/>
        <cfvo type="formula" val="$AF$137"/>
        <cfvo type="formula" val="$AF$137" gte="0"/>
        <cfvo type="formula" val="$AF$137+$AB$136"/>
      </iconSet>
    </cfRule>
  </conditionalFormatting>
  <conditionalFormatting sqref="AH137">
    <cfRule type="cellIs" dxfId="29" priority="86" stopIfTrue="1" operator="greaterThanOrEqual">
      <formula>AG136</formula>
    </cfRule>
    <cfRule type="cellIs" dxfId="28" priority="88" stopIfTrue="1" operator="lessThan">
      <formula>AG136</formula>
    </cfRule>
  </conditionalFormatting>
  <conditionalFormatting sqref="AH137">
    <cfRule type="cellIs" dxfId="27" priority="87" stopIfTrue="1" operator="lessThan">
      <formula>AD136</formula>
    </cfRule>
  </conditionalFormatting>
  <conditionalFormatting sqref="AI137">
    <cfRule type="iconSet" priority="81">
      <iconSet iconSet="5ArrowsGray" showValue="0">
        <cfvo type="percent" val="0"/>
        <cfvo type="formula" val="$AF$137-$AB$136" gte="0"/>
        <cfvo type="formula" val="$AF$137"/>
        <cfvo type="formula" val="$AF$137" gte="0"/>
        <cfvo type="formula" val="$AF$137+$AB$136"/>
      </iconSet>
    </cfRule>
  </conditionalFormatting>
  <conditionalFormatting sqref="AI137">
    <cfRule type="cellIs" dxfId="26" priority="82" stopIfTrue="1" operator="greaterThanOrEqual">
      <formula>AG136</formula>
    </cfRule>
    <cfRule type="cellIs" dxfId="25" priority="84" stopIfTrue="1" operator="lessThan">
      <formula>AG136</formula>
    </cfRule>
  </conditionalFormatting>
  <conditionalFormatting sqref="AI137">
    <cfRule type="cellIs" dxfId="24" priority="83" stopIfTrue="1" operator="lessThanOrEqual">
      <formula>AD136</formula>
    </cfRule>
  </conditionalFormatting>
  <conditionalFormatting sqref="AH140">
    <cfRule type="iconSet" priority="77">
      <iconSet iconSet="5ArrowsGray" showValue="0">
        <cfvo type="percent" val="0"/>
        <cfvo type="formula" val="$AF$140-$AB$139" gte="0"/>
        <cfvo type="formula" val="$AF$140"/>
        <cfvo type="formula" val="$AF$140" gte="0"/>
        <cfvo type="formula" val="$AF$140+$AB$139"/>
      </iconSet>
    </cfRule>
  </conditionalFormatting>
  <conditionalFormatting sqref="AH140">
    <cfRule type="cellIs" dxfId="23" priority="78" stopIfTrue="1" operator="greaterThanOrEqual">
      <formula>AG139</formula>
    </cfRule>
    <cfRule type="cellIs" dxfId="22" priority="80" stopIfTrue="1" operator="lessThan">
      <formula>AG139</formula>
    </cfRule>
  </conditionalFormatting>
  <conditionalFormatting sqref="AH140">
    <cfRule type="cellIs" dxfId="21" priority="79" stopIfTrue="1" operator="lessThan">
      <formula>AD139</formula>
    </cfRule>
  </conditionalFormatting>
  <conditionalFormatting sqref="AI140">
    <cfRule type="iconSet" priority="73">
      <iconSet iconSet="5ArrowsGray" showValue="0">
        <cfvo type="percent" val="0"/>
        <cfvo type="formula" val="$AF$140-$AB$139" gte="0"/>
        <cfvo type="formula" val="$AF$140"/>
        <cfvo type="formula" val="$AF$140" gte="0"/>
        <cfvo type="formula" val="$AF$140+$AB$139"/>
      </iconSet>
    </cfRule>
  </conditionalFormatting>
  <conditionalFormatting sqref="AI140">
    <cfRule type="cellIs" dxfId="20" priority="74" stopIfTrue="1" operator="greaterThanOrEqual">
      <formula>AG139</formula>
    </cfRule>
    <cfRule type="cellIs" dxfId="19" priority="76" stopIfTrue="1" operator="lessThan">
      <formula>AG139</formula>
    </cfRule>
  </conditionalFormatting>
  <conditionalFormatting sqref="AI140">
    <cfRule type="cellIs" dxfId="18" priority="75" stopIfTrue="1" operator="lessThanOrEqual">
      <formula>AD139</formula>
    </cfRule>
  </conditionalFormatting>
  <conditionalFormatting sqref="AH143">
    <cfRule type="iconSet" priority="69">
      <iconSet iconSet="5ArrowsGray" showValue="0">
        <cfvo type="percent" val="0"/>
        <cfvo type="formula" val="$AF$143-$AB$142" gte="0"/>
        <cfvo type="formula" val="$AF$143"/>
        <cfvo type="formula" val="$AF$143" gte="0"/>
        <cfvo type="formula" val="$AF$143+$AB$142"/>
      </iconSet>
    </cfRule>
  </conditionalFormatting>
  <conditionalFormatting sqref="AH143">
    <cfRule type="cellIs" dxfId="17" priority="70" stopIfTrue="1" operator="greaterThanOrEqual">
      <formula>AG142</formula>
    </cfRule>
    <cfRule type="cellIs" dxfId="16" priority="72" stopIfTrue="1" operator="lessThan">
      <formula>AG142</formula>
    </cfRule>
  </conditionalFormatting>
  <conditionalFormatting sqref="AH143">
    <cfRule type="cellIs" dxfId="15" priority="71" stopIfTrue="1" operator="lessThan">
      <formula>AD142</formula>
    </cfRule>
  </conditionalFormatting>
  <conditionalFormatting sqref="AI143">
    <cfRule type="iconSet" priority="65">
      <iconSet iconSet="5ArrowsGray" showValue="0">
        <cfvo type="percent" val="0"/>
        <cfvo type="formula" val="$AF$143-$AB$142" gte="0"/>
        <cfvo type="formula" val="$AF$143"/>
        <cfvo type="formula" val="$AF$143" gte="0"/>
        <cfvo type="formula" val="$AF$143+$AB$142"/>
      </iconSet>
    </cfRule>
  </conditionalFormatting>
  <conditionalFormatting sqref="AI143">
    <cfRule type="cellIs" dxfId="14" priority="66" stopIfTrue="1" operator="greaterThanOrEqual">
      <formula>AG142</formula>
    </cfRule>
    <cfRule type="cellIs" dxfId="13" priority="68" stopIfTrue="1" operator="lessThan">
      <formula>AG142</formula>
    </cfRule>
  </conditionalFormatting>
  <conditionalFormatting sqref="AI143">
    <cfRule type="cellIs" dxfId="12" priority="67" stopIfTrue="1" operator="lessThanOrEqual">
      <formula>AD142</formula>
    </cfRule>
  </conditionalFormatting>
  <conditionalFormatting sqref="AH146">
    <cfRule type="iconSet" priority="61">
      <iconSet iconSet="5ArrowsGray" showValue="0">
        <cfvo type="percent" val="0"/>
        <cfvo type="formula" val="$AF$146-$AB$145" gte="0"/>
        <cfvo type="formula" val="$AF$146"/>
        <cfvo type="formula" val="$AF$146" gte="0"/>
        <cfvo type="formula" val="$AF$146+$AB$145"/>
      </iconSet>
    </cfRule>
  </conditionalFormatting>
  <conditionalFormatting sqref="AH146">
    <cfRule type="cellIs" dxfId="11" priority="62" stopIfTrue="1" operator="greaterThanOrEqual">
      <formula>AG145</formula>
    </cfRule>
    <cfRule type="cellIs" dxfId="10" priority="64" stopIfTrue="1" operator="lessThan">
      <formula>AG145</formula>
    </cfRule>
  </conditionalFormatting>
  <conditionalFormatting sqref="AH146">
    <cfRule type="cellIs" dxfId="9" priority="63" stopIfTrue="1" operator="lessThan">
      <formula>AD145</formula>
    </cfRule>
  </conditionalFormatting>
  <conditionalFormatting sqref="AI146">
    <cfRule type="iconSet" priority="57">
      <iconSet iconSet="5ArrowsGray" showValue="0">
        <cfvo type="percent" val="0"/>
        <cfvo type="formula" val="$AF$146-$AB$145" gte="0"/>
        <cfvo type="formula" val="$AF$146"/>
        <cfvo type="formula" val="$AF$146" gte="0"/>
        <cfvo type="formula" val="$AF$146+$AB$145"/>
      </iconSet>
    </cfRule>
  </conditionalFormatting>
  <conditionalFormatting sqref="AI146">
    <cfRule type="cellIs" dxfId="8" priority="58" stopIfTrue="1" operator="greaterThanOrEqual">
      <formula>AG145</formula>
    </cfRule>
    <cfRule type="cellIs" dxfId="7" priority="60" stopIfTrue="1" operator="lessThan">
      <formula>AG145</formula>
    </cfRule>
  </conditionalFormatting>
  <conditionalFormatting sqref="AI146">
    <cfRule type="cellIs" dxfId="6" priority="59" stopIfTrue="1" operator="lessThanOrEqual">
      <formula>AD145</formula>
    </cfRule>
  </conditionalFormatting>
  <conditionalFormatting sqref="AO113">
    <cfRule type="iconSet" priority="5">
      <iconSet iconSet="5ArrowsGray" showValue="0">
        <cfvo type="percent" val="0"/>
        <cfvo type="formula" val="$AM$113-$AB$4" gte="0"/>
        <cfvo type="formula" val="$AM$113"/>
        <cfvo type="formula" val="$AM$113" gte="0"/>
        <cfvo type="formula" val="$AM$113+$AB$4"/>
      </iconSet>
    </cfRule>
  </conditionalFormatting>
  <conditionalFormatting sqref="AO113">
    <cfRule type="cellIs" dxfId="5" priority="6" stopIfTrue="1" operator="greaterThanOrEqual">
      <formula>AN112</formula>
    </cfRule>
    <cfRule type="cellIs" dxfId="4" priority="8" stopIfTrue="1" operator="lessThan">
      <formula>AN112</formula>
    </cfRule>
  </conditionalFormatting>
  <conditionalFormatting sqref="AO113">
    <cfRule type="cellIs" dxfId="3" priority="7" stopIfTrue="1" operator="lessThan">
      <formula>AK112</formula>
    </cfRule>
  </conditionalFormatting>
  <conditionalFormatting sqref="AP113">
    <cfRule type="iconSet" priority="1">
      <iconSet iconSet="5ArrowsGray" showValue="0">
        <cfvo type="percent" val="0"/>
        <cfvo type="formula" val="$AM$113-$AB$4" gte="0"/>
        <cfvo type="formula" val="$AM$113"/>
        <cfvo type="formula" val="$AM$113" gte="0"/>
        <cfvo type="formula" val="$AM$113+$AB$4"/>
      </iconSet>
    </cfRule>
  </conditionalFormatting>
  <conditionalFormatting sqref="AP113">
    <cfRule type="cellIs" dxfId="2" priority="2" stopIfTrue="1" operator="greaterThanOrEqual">
      <formula>AN112</formula>
    </cfRule>
    <cfRule type="cellIs" dxfId="1" priority="4" stopIfTrue="1" operator="lessThan">
      <formula>AN112</formula>
    </cfRule>
  </conditionalFormatting>
  <conditionalFormatting sqref="AP113">
    <cfRule type="cellIs" dxfId="0" priority="3" stopIfTrue="1" operator="lessThanOrEqual">
      <formula>AK112</formula>
    </cfRule>
  </conditionalFormatting>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8000"/>
    <pageSetUpPr fitToPage="1"/>
  </sheetPr>
  <dimension ref="A1:AR662"/>
  <sheetViews>
    <sheetView zoomScale="150" zoomScaleNormal="150" zoomScalePageLayoutView="150" workbookViewId="0">
      <pane xSplit="3" ySplit="20" topLeftCell="S192" activePane="bottomRight" state="frozen"/>
      <selection activeCell="V136" sqref="V136"/>
      <selection pane="topRight" activeCell="V136" sqref="V136"/>
      <selection pane="bottomLeft" activeCell="V136" sqref="V136"/>
      <selection pane="bottomRight" activeCell="V136" sqref="V136"/>
    </sheetView>
  </sheetViews>
  <sheetFormatPr defaultColWidth="8.85546875" defaultRowHeight="12.75"/>
  <cols>
    <col min="1" max="1" width="15.140625" style="4" customWidth="1"/>
    <col min="2" max="2" width="19.7109375" style="4" customWidth="1"/>
    <col min="3" max="3" width="15.85546875" style="27" customWidth="1"/>
    <col min="4" max="14" width="5.28515625" style="4" customWidth="1"/>
    <col min="15" max="15" width="10.85546875" style="4" customWidth="1"/>
    <col min="16" max="20" width="5.28515625" style="4" customWidth="1"/>
    <col min="21" max="21" width="10.85546875" style="4" customWidth="1"/>
    <col min="22" max="24" width="5.28515625" style="4" customWidth="1"/>
    <col min="25" max="25" width="10.85546875" style="4" customWidth="1"/>
    <col min="26" max="28" width="5.28515625" style="4" customWidth="1"/>
    <col min="29" max="29" width="10.85546875" style="4" customWidth="1"/>
    <col min="30" max="31" width="5.28515625" style="4" customWidth="1"/>
    <col min="32" max="32" width="5.85546875" style="264" customWidth="1"/>
    <col min="33" max="33" width="8.28515625" style="4" customWidth="1"/>
    <col min="34" max="38" width="9.85546875" style="4" customWidth="1"/>
    <col min="39" max="39" width="5.85546875" style="4" customWidth="1"/>
    <col min="40" max="44" width="8.28515625" style="4" customWidth="1"/>
    <col min="45" max="45" width="5.85546875" style="4" customWidth="1"/>
    <col min="46" max="52" width="10.85546875" style="4" customWidth="1"/>
    <col min="53" max="53" width="8.85546875" style="4" customWidth="1"/>
    <col min="54" max="16384" width="8.85546875" style="4"/>
  </cols>
  <sheetData>
    <row r="1" spans="1:44" s="67" customFormat="1" ht="16.5" thickBot="1">
      <c r="A1" s="3" t="s">
        <v>0</v>
      </c>
      <c r="B1" s="64" t="s">
        <v>643</v>
      </c>
      <c r="C1" s="65" t="s">
        <v>662</v>
      </c>
      <c r="D1" s="65"/>
      <c r="E1" s="65"/>
      <c r="F1" s="65"/>
      <c r="G1" s="65"/>
      <c r="H1" s="65"/>
      <c r="I1" s="65"/>
      <c r="J1" s="65"/>
      <c r="K1" s="65"/>
      <c r="L1" s="65"/>
      <c r="M1" s="65"/>
      <c r="N1" s="65"/>
      <c r="O1" s="65"/>
      <c r="P1" s="65"/>
      <c r="Q1" s="65"/>
      <c r="R1" s="65"/>
      <c r="S1" s="65"/>
      <c r="T1" s="65"/>
      <c r="U1" s="65"/>
      <c r="V1" s="65"/>
      <c r="W1" s="65"/>
      <c r="X1" s="65"/>
      <c r="Y1" s="65"/>
      <c r="Z1" s="65"/>
      <c r="AA1" s="65"/>
      <c r="AB1" s="65"/>
      <c r="AC1" s="65"/>
      <c r="AD1" s="65"/>
      <c r="AE1" s="66"/>
      <c r="AF1" s="263"/>
      <c r="AH1" s="1419" t="s">
        <v>1103</v>
      </c>
      <c r="AI1" s="1419"/>
      <c r="AJ1" s="1419"/>
      <c r="AK1" s="1419"/>
      <c r="AL1" s="1419"/>
      <c r="AN1" s="1419" t="s">
        <v>1104</v>
      </c>
      <c r="AO1" s="1419"/>
      <c r="AP1" s="1419"/>
      <c r="AQ1" s="1419"/>
      <c r="AR1" s="1419"/>
    </row>
    <row r="2" spans="1:44">
      <c r="A2" s="5"/>
      <c r="B2" s="5"/>
      <c r="C2" s="6"/>
      <c r="D2" s="266" t="s">
        <v>631</v>
      </c>
      <c r="E2" s="266"/>
      <c r="F2" s="266"/>
      <c r="G2" s="266"/>
      <c r="H2" s="266"/>
      <c r="I2" s="266"/>
      <c r="J2" s="266" t="s">
        <v>626</v>
      </c>
      <c r="K2" s="266"/>
      <c r="L2" s="266"/>
      <c r="M2" s="266"/>
      <c r="N2" s="266"/>
      <c r="O2" s="266" t="s">
        <v>627</v>
      </c>
      <c r="P2" s="266"/>
      <c r="Q2" s="266"/>
      <c r="R2" s="266"/>
      <c r="S2" s="266"/>
      <c r="T2" s="267"/>
      <c r="U2" s="266" t="s">
        <v>628</v>
      </c>
      <c r="V2" s="266"/>
      <c r="W2" s="266"/>
      <c r="X2" s="266"/>
      <c r="Y2" s="266" t="s">
        <v>629</v>
      </c>
      <c r="Z2" s="266"/>
      <c r="AA2" s="266"/>
      <c r="AB2" s="266"/>
      <c r="AC2" s="266" t="s">
        <v>949</v>
      </c>
      <c r="AD2" s="269"/>
      <c r="AE2" s="269"/>
      <c r="AH2" s="577" t="s">
        <v>1105</v>
      </c>
      <c r="AI2" s="577" t="s">
        <v>1015</v>
      </c>
      <c r="AJ2" s="577" t="s">
        <v>1016</v>
      </c>
      <c r="AK2" s="577" t="s">
        <v>1017</v>
      </c>
      <c r="AL2" s="577" t="s">
        <v>1018</v>
      </c>
      <c r="AN2" s="577" t="s">
        <v>1105</v>
      </c>
      <c r="AO2" s="577" t="s">
        <v>1015</v>
      </c>
      <c r="AP2" s="577" t="s">
        <v>1016</v>
      </c>
      <c r="AQ2" s="577" t="s">
        <v>1017</v>
      </c>
      <c r="AR2" s="577" t="s">
        <v>1018</v>
      </c>
    </row>
    <row r="3" spans="1:44" ht="13.5" thickBot="1">
      <c r="A3" s="5"/>
      <c r="B3" s="5"/>
      <c r="C3" s="6"/>
      <c r="D3" s="270" t="s">
        <v>624</v>
      </c>
      <c r="E3" s="270" t="s">
        <v>625</v>
      </c>
      <c r="F3" s="270" t="s">
        <v>622</v>
      </c>
      <c r="G3" s="270" t="s">
        <v>623</v>
      </c>
      <c r="H3" s="270" t="s">
        <v>624</v>
      </c>
      <c r="I3" s="270" t="s">
        <v>625</v>
      </c>
      <c r="J3" s="270" t="s">
        <v>622</v>
      </c>
      <c r="K3" s="270" t="s">
        <v>623</v>
      </c>
      <c r="L3" s="270" t="s">
        <v>624</v>
      </c>
      <c r="M3" s="270" t="s">
        <v>625</v>
      </c>
      <c r="N3" s="270" t="s">
        <v>622</v>
      </c>
      <c r="O3" s="270" t="s">
        <v>623</v>
      </c>
      <c r="P3" s="270" t="s">
        <v>624</v>
      </c>
      <c r="Q3" s="270" t="s">
        <v>625</v>
      </c>
      <c r="R3" s="270" t="s">
        <v>622</v>
      </c>
      <c r="S3" s="270" t="s">
        <v>623</v>
      </c>
      <c r="T3" s="270" t="s">
        <v>624</v>
      </c>
      <c r="U3" s="270" t="s">
        <v>625</v>
      </c>
      <c r="V3" s="270" t="s">
        <v>622</v>
      </c>
      <c r="W3" s="270" t="s">
        <v>623</v>
      </c>
      <c r="X3" s="270" t="s">
        <v>624</v>
      </c>
      <c r="Y3" s="270" t="s">
        <v>625</v>
      </c>
      <c r="Z3" s="270" t="s">
        <v>622</v>
      </c>
      <c r="AA3" s="270" t="s">
        <v>623</v>
      </c>
      <c r="AB3" s="270" t="s">
        <v>624</v>
      </c>
      <c r="AC3" s="270" t="s">
        <v>625</v>
      </c>
      <c r="AD3" s="270" t="s">
        <v>622</v>
      </c>
      <c r="AE3" s="270" t="s">
        <v>623</v>
      </c>
      <c r="AH3" s="577" t="s">
        <v>190</v>
      </c>
      <c r="AI3" s="577" t="s">
        <v>1022</v>
      </c>
      <c r="AJ3" s="577" t="s">
        <v>1021</v>
      </c>
      <c r="AK3" s="577" t="s">
        <v>1020</v>
      </c>
      <c r="AL3" s="577" t="s">
        <v>1019</v>
      </c>
      <c r="AN3" s="577" t="s">
        <v>190</v>
      </c>
      <c r="AO3" s="577" t="s">
        <v>1022</v>
      </c>
      <c r="AP3" s="577" t="s">
        <v>1021</v>
      </c>
      <c r="AQ3" s="577" t="s">
        <v>1020</v>
      </c>
      <c r="AR3" s="577" t="s">
        <v>1019</v>
      </c>
    </row>
    <row r="4" spans="1:44" ht="12.95" hidden="1" customHeight="1" thickBot="1">
      <c r="A4" s="235"/>
      <c r="B4" s="236"/>
      <c r="C4" s="236"/>
      <c r="D4" s="232"/>
      <c r="E4" s="233"/>
      <c r="F4" s="234"/>
      <c r="G4" s="232"/>
      <c r="H4" s="232"/>
      <c r="I4" s="233"/>
      <c r="J4" s="234"/>
      <c r="K4" s="232"/>
      <c r="L4" s="232"/>
      <c r="M4" s="233"/>
      <c r="N4" s="234"/>
      <c r="O4" s="232"/>
      <c r="P4" s="232"/>
      <c r="Q4" s="233"/>
      <c r="R4" s="234"/>
      <c r="S4" s="232"/>
      <c r="T4" s="232"/>
      <c r="U4" s="233"/>
      <c r="V4" s="234"/>
      <c r="W4" s="232"/>
      <c r="X4" s="232"/>
      <c r="Y4" s="233"/>
      <c r="Z4" s="234"/>
      <c r="AA4" s="232"/>
      <c r="AB4" s="232"/>
      <c r="AC4" s="233"/>
      <c r="AD4" s="234"/>
      <c r="AE4" s="233"/>
    </row>
    <row r="5" spans="1:44" ht="12.95" hidden="1" customHeight="1" thickBot="1">
      <c r="A5" s="237"/>
      <c r="B5" s="231"/>
      <c r="C5" s="231"/>
      <c r="D5" s="232"/>
      <c r="E5" s="233"/>
      <c r="F5" s="234"/>
      <c r="G5" s="232"/>
      <c r="H5" s="232"/>
      <c r="I5" s="233"/>
      <c r="J5" s="234"/>
      <c r="K5" s="232"/>
      <c r="L5" s="232"/>
      <c r="M5" s="233"/>
      <c r="N5" s="234"/>
      <c r="O5" s="232"/>
      <c r="P5" s="232"/>
      <c r="Q5" s="233"/>
      <c r="R5" s="234"/>
      <c r="S5" s="232"/>
      <c r="T5" s="232"/>
      <c r="U5" s="233"/>
      <c r="V5" s="234"/>
      <c r="W5" s="232"/>
      <c r="X5" s="232"/>
      <c r="Y5" s="233"/>
      <c r="Z5" s="234"/>
      <c r="AA5" s="232"/>
      <c r="AB5" s="232"/>
      <c r="AC5" s="233"/>
      <c r="AD5" s="234"/>
      <c r="AE5" s="233"/>
    </row>
    <row r="6" spans="1:44" ht="13.5" hidden="1" thickBot="1">
      <c r="A6" s="235"/>
      <c r="B6" s="236"/>
      <c r="C6" s="236"/>
      <c r="D6" s="232"/>
      <c r="E6" s="233"/>
      <c r="F6" s="234"/>
      <c r="G6" s="232"/>
      <c r="H6" s="232"/>
      <c r="I6" s="233"/>
      <c r="J6" s="234"/>
      <c r="K6" s="232"/>
      <c r="L6" s="232"/>
      <c r="M6" s="233"/>
      <c r="N6" s="234"/>
      <c r="O6" s="232"/>
      <c r="P6" s="232"/>
      <c r="Q6" s="233"/>
      <c r="R6" s="234"/>
      <c r="S6" s="232"/>
      <c r="T6" s="232"/>
      <c r="U6" s="233"/>
      <c r="V6" s="234"/>
      <c r="W6" s="232"/>
      <c r="X6" s="232"/>
      <c r="Y6" s="233"/>
      <c r="Z6" s="234"/>
      <c r="AA6" s="232"/>
      <c r="AB6" s="232"/>
      <c r="AC6" s="233"/>
      <c r="AD6" s="234"/>
      <c r="AE6" s="233"/>
    </row>
    <row r="7" spans="1:44" ht="12.95" hidden="1" customHeight="1" thickBot="1">
      <c r="A7" s="237"/>
      <c r="B7" s="231"/>
      <c r="C7" s="231"/>
      <c r="D7" s="232"/>
      <c r="E7" s="233"/>
      <c r="F7" s="234"/>
      <c r="G7" s="232"/>
      <c r="H7" s="232"/>
      <c r="I7" s="233"/>
      <c r="J7" s="234"/>
      <c r="K7" s="232"/>
      <c r="L7" s="232"/>
      <c r="M7" s="233"/>
      <c r="N7" s="234"/>
      <c r="O7" s="232"/>
      <c r="P7" s="232"/>
      <c r="Q7" s="233"/>
      <c r="R7" s="234"/>
      <c r="S7" s="232"/>
      <c r="T7" s="232"/>
      <c r="U7" s="233"/>
      <c r="V7" s="234"/>
      <c r="W7" s="232"/>
      <c r="X7" s="232"/>
      <c r="Y7" s="233"/>
      <c r="Z7" s="234"/>
      <c r="AA7" s="232"/>
      <c r="AB7" s="232"/>
      <c r="AC7" s="233"/>
      <c r="AD7" s="234"/>
      <c r="AE7" s="233"/>
    </row>
    <row r="8" spans="1:44" ht="12.95" hidden="1" customHeight="1" thickBot="1">
      <c r="A8" s="235"/>
      <c r="B8" s="236"/>
      <c r="C8" s="236"/>
      <c r="D8" s="232"/>
      <c r="E8" s="233"/>
      <c r="F8" s="234"/>
      <c r="G8" s="232"/>
      <c r="H8" s="232"/>
      <c r="I8" s="233"/>
      <c r="J8" s="234"/>
      <c r="K8" s="232"/>
      <c r="L8" s="232"/>
      <c r="M8" s="233"/>
      <c r="N8" s="234"/>
      <c r="O8" s="232"/>
      <c r="P8" s="232"/>
      <c r="Q8" s="233"/>
      <c r="R8" s="234"/>
      <c r="S8" s="232"/>
      <c r="T8" s="232"/>
      <c r="U8" s="233"/>
      <c r="V8" s="234"/>
      <c r="W8" s="232"/>
      <c r="X8" s="232"/>
      <c r="Y8" s="233"/>
      <c r="Z8" s="234"/>
      <c r="AA8" s="232"/>
      <c r="AB8" s="232"/>
      <c r="AC8" s="233"/>
      <c r="AD8" s="234"/>
      <c r="AE8" s="233"/>
    </row>
    <row r="9" spans="1:44" ht="12.95" hidden="1" customHeight="1" thickBot="1">
      <c r="A9" s="237"/>
      <c r="B9" s="231"/>
      <c r="C9" s="231"/>
      <c r="D9" s="232"/>
      <c r="E9" s="233"/>
      <c r="F9" s="234"/>
      <c r="G9" s="232"/>
      <c r="H9" s="232"/>
      <c r="I9" s="233"/>
      <c r="J9" s="234"/>
      <c r="K9" s="232"/>
      <c r="L9" s="232"/>
      <c r="M9" s="233"/>
      <c r="N9" s="234"/>
      <c r="O9" s="232"/>
      <c r="P9" s="232"/>
      <c r="Q9" s="233"/>
      <c r="R9" s="234"/>
      <c r="S9" s="232"/>
      <c r="T9" s="232"/>
      <c r="U9" s="233"/>
      <c r="V9" s="234"/>
      <c r="W9" s="232"/>
      <c r="X9" s="232"/>
      <c r="Y9" s="233"/>
      <c r="Z9" s="234"/>
      <c r="AA9" s="232"/>
      <c r="AB9" s="232"/>
      <c r="AC9" s="233"/>
      <c r="AD9" s="234"/>
      <c r="AE9" s="233"/>
    </row>
    <row r="10" spans="1:44" ht="35.1" hidden="1" customHeight="1" thickBot="1">
      <c r="A10" s="235"/>
      <c r="B10" s="236"/>
      <c r="C10" s="236"/>
      <c r="D10" s="232"/>
      <c r="E10" s="233"/>
      <c r="F10" s="234"/>
      <c r="G10" s="232"/>
      <c r="H10" s="232"/>
      <c r="I10" s="233"/>
      <c r="J10" s="234"/>
      <c r="K10" s="232"/>
      <c r="L10" s="232"/>
      <c r="M10" s="233"/>
      <c r="N10" s="234"/>
      <c r="O10" s="232"/>
      <c r="P10" s="232"/>
      <c r="Q10" s="233"/>
      <c r="R10" s="234"/>
      <c r="S10" s="232"/>
      <c r="T10" s="232"/>
      <c r="U10" s="233"/>
      <c r="V10" s="234"/>
      <c r="W10" s="232"/>
      <c r="X10" s="232"/>
      <c r="Y10" s="233"/>
      <c r="Z10" s="234"/>
      <c r="AA10" s="232"/>
      <c r="AB10" s="232"/>
      <c r="AC10" s="233"/>
      <c r="AD10" s="234"/>
      <c r="AE10" s="233"/>
    </row>
    <row r="11" spans="1:44" ht="13.5" hidden="1" thickBot="1">
      <c r="A11" s="237"/>
      <c r="B11" s="231"/>
      <c r="C11" s="231"/>
      <c r="D11" s="232"/>
      <c r="E11" s="233"/>
      <c r="F11" s="234"/>
      <c r="G11" s="232"/>
      <c r="H11" s="232"/>
      <c r="I11" s="233"/>
      <c r="J11" s="234"/>
      <c r="K11" s="232"/>
      <c r="L11" s="232"/>
      <c r="M11" s="233"/>
      <c r="N11" s="234"/>
      <c r="O11" s="232"/>
      <c r="P11" s="232"/>
      <c r="Q11" s="233"/>
      <c r="R11" s="234"/>
      <c r="S11" s="232"/>
      <c r="T11" s="232"/>
      <c r="U11" s="233"/>
      <c r="V11" s="234"/>
      <c r="W11" s="232"/>
      <c r="X11" s="232"/>
      <c r="Y11" s="233"/>
      <c r="Z11" s="234"/>
      <c r="AA11" s="232"/>
      <c r="AB11" s="232"/>
      <c r="AC11" s="233"/>
      <c r="AD11" s="234"/>
      <c r="AE11" s="233"/>
    </row>
    <row r="12" spans="1:44" ht="12.95" hidden="1" customHeight="1" thickBot="1">
      <c r="A12" s="235"/>
      <c r="B12" s="236"/>
      <c r="C12" s="236"/>
      <c r="D12" s="232"/>
      <c r="E12" s="233"/>
      <c r="F12" s="234"/>
      <c r="G12" s="232"/>
      <c r="H12" s="232"/>
      <c r="I12" s="233"/>
      <c r="J12" s="234"/>
      <c r="K12" s="232"/>
      <c r="L12" s="232"/>
      <c r="M12" s="233"/>
      <c r="N12" s="234"/>
      <c r="O12" s="232"/>
      <c r="P12" s="232"/>
      <c r="Q12" s="233"/>
      <c r="R12" s="234"/>
      <c r="S12" s="232"/>
      <c r="T12" s="232"/>
      <c r="U12" s="233"/>
      <c r="V12" s="234"/>
      <c r="W12" s="232"/>
      <c r="X12" s="232"/>
      <c r="Y12" s="233"/>
      <c r="Z12" s="234"/>
      <c r="AA12" s="232"/>
      <c r="AB12" s="232"/>
      <c r="AC12" s="233"/>
      <c r="AD12" s="234"/>
      <c r="AE12" s="233"/>
    </row>
    <row r="13" spans="1:44" ht="24" hidden="1" customHeight="1" thickBot="1">
      <c r="A13" s="237"/>
      <c r="B13" s="231"/>
      <c r="C13" s="231"/>
      <c r="D13" s="232"/>
      <c r="E13" s="233"/>
      <c r="F13" s="234"/>
      <c r="G13" s="232"/>
      <c r="H13" s="232"/>
      <c r="I13" s="233"/>
      <c r="J13" s="234"/>
      <c r="K13" s="232"/>
      <c r="L13" s="232"/>
      <c r="M13" s="233"/>
      <c r="N13" s="234"/>
      <c r="O13" s="232"/>
      <c r="P13" s="232"/>
      <c r="Q13" s="233"/>
      <c r="R13" s="234"/>
      <c r="S13" s="232"/>
      <c r="T13" s="232"/>
      <c r="U13" s="233"/>
      <c r="V13" s="234"/>
      <c r="W13" s="232"/>
      <c r="X13" s="232"/>
      <c r="Y13" s="233"/>
      <c r="Z13" s="234"/>
      <c r="AA13" s="232"/>
      <c r="AB13" s="232"/>
      <c r="AC13" s="233"/>
      <c r="AD13" s="234"/>
      <c r="AE13" s="233"/>
    </row>
    <row r="14" spans="1:44" ht="12.95" hidden="1" customHeight="1" thickBot="1">
      <c r="A14" s="235"/>
      <c r="B14" s="236"/>
      <c r="C14" s="236"/>
      <c r="D14" s="232"/>
      <c r="E14" s="233"/>
      <c r="F14" s="234"/>
      <c r="G14" s="232"/>
      <c r="H14" s="232"/>
      <c r="I14" s="233"/>
      <c r="J14" s="234"/>
      <c r="K14" s="232"/>
      <c r="L14" s="232"/>
      <c r="M14" s="233"/>
      <c r="N14" s="234"/>
      <c r="O14" s="232"/>
      <c r="P14" s="232"/>
      <c r="Q14" s="233"/>
      <c r="R14" s="234"/>
      <c r="S14" s="232"/>
      <c r="T14" s="232"/>
      <c r="U14" s="233"/>
      <c r="V14" s="234"/>
      <c r="W14" s="232"/>
      <c r="X14" s="232"/>
      <c r="Y14" s="233"/>
      <c r="Z14" s="234"/>
      <c r="AA14" s="232"/>
      <c r="AB14" s="232"/>
      <c r="AC14" s="233"/>
      <c r="AD14" s="234"/>
      <c r="AE14" s="233"/>
    </row>
    <row r="15" spans="1:44" ht="12.95" hidden="1" customHeight="1" thickBot="1">
      <c r="A15" s="237"/>
      <c r="B15" s="231"/>
      <c r="C15" s="231"/>
      <c r="D15" s="232"/>
      <c r="E15" s="233"/>
      <c r="F15" s="234"/>
      <c r="G15" s="232"/>
      <c r="H15" s="232"/>
      <c r="I15" s="233"/>
      <c r="J15" s="234"/>
      <c r="K15" s="232"/>
      <c r="L15" s="232"/>
      <c r="M15" s="233"/>
      <c r="N15" s="234"/>
      <c r="O15" s="232"/>
      <c r="P15" s="232"/>
      <c r="Q15" s="233"/>
      <c r="R15" s="234"/>
      <c r="S15" s="232"/>
      <c r="T15" s="232"/>
      <c r="U15" s="233"/>
      <c r="V15" s="234"/>
      <c r="W15" s="232"/>
      <c r="X15" s="232"/>
      <c r="Y15" s="233"/>
      <c r="Z15" s="234"/>
      <c r="AA15" s="232"/>
      <c r="AB15" s="232"/>
      <c r="AC15" s="233"/>
      <c r="AD15" s="234"/>
      <c r="AE15" s="233"/>
    </row>
    <row r="16" spans="1:44" ht="13.5" hidden="1" thickBot="1">
      <c r="A16" s="235"/>
      <c r="B16" s="236"/>
      <c r="C16" s="236"/>
      <c r="D16" s="232"/>
      <c r="E16" s="233"/>
      <c r="F16" s="234"/>
      <c r="G16" s="232"/>
      <c r="H16" s="232"/>
      <c r="I16" s="233"/>
      <c r="J16" s="234"/>
      <c r="K16" s="232"/>
      <c r="L16" s="232"/>
      <c r="M16" s="233"/>
      <c r="N16" s="234"/>
      <c r="O16" s="232"/>
      <c r="P16" s="232"/>
      <c r="Q16" s="233"/>
      <c r="R16" s="234"/>
      <c r="S16" s="232"/>
      <c r="T16" s="232"/>
      <c r="U16" s="233"/>
      <c r="V16" s="234"/>
      <c r="W16" s="232"/>
      <c r="X16" s="232"/>
      <c r="Y16" s="233"/>
      <c r="Z16" s="234"/>
      <c r="AA16" s="232"/>
      <c r="AB16" s="232"/>
      <c r="AC16" s="233"/>
      <c r="AD16" s="234"/>
      <c r="AE16" s="233"/>
    </row>
    <row r="17" spans="1:44" ht="12.95" hidden="1" customHeight="1" thickBot="1">
      <c r="A17" s="237"/>
      <c r="B17" s="231"/>
      <c r="C17" s="231"/>
      <c r="D17" s="232"/>
      <c r="E17" s="233"/>
      <c r="F17" s="234"/>
      <c r="G17" s="232"/>
      <c r="H17" s="232"/>
      <c r="I17" s="233"/>
      <c r="J17" s="234"/>
      <c r="K17" s="232"/>
      <c r="L17" s="232"/>
      <c r="M17" s="233"/>
      <c r="N17" s="234"/>
      <c r="O17" s="232"/>
      <c r="P17" s="232"/>
      <c r="Q17" s="233"/>
      <c r="R17" s="234"/>
      <c r="S17" s="232"/>
      <c r="T17" s="232"/>
      <c r="U17" s="233"/>
      <c r="V17" s="234"/>
      <c r="W17" s="232"/>
      <c r="X17" s="232"/>
      <c r="Y17" s="233"/>
      <c r="Z17" s="234"/>
      <c r="AA17" s="232"/>
      <c r="AB17" s="232"/>
      <c r="AC17" s="233"/>
      <c r="AD17" s="234"/>
      <c r="AE17" s="233"/>
    </row>
    <row r="18" spans="1:44" ht="12.95" hidden="1" customHeight="1" thickBot="1">
      <c r="A18" s="235"/>
      <c r="B18" s="236"/>
      <c r="C18" s="236"/>
      <c r="D18" s="232"/>
      <c r="E18" s="233"/>
      <c r="F18" s="234"/>
      <c r="G18" s="232"/>
      <c r="H18" s="232"/>
      <c r="I18" s="233"/>
      <c r="J18" s="234"/>
      <c r="K18" s="232"/>
      <c r="L18" s="232"/>
      <c r="M18" s="233"/>
      <c r="N18" s="234"/>
      <c r="O18" s="232"/>
      <c r="P18" s="232"/>
      <c r="Q18" s="233"/>
      <c r="R18" s="234"/>
      <c r="S18" s="232"/>
      <c r="T18" s="232"/>
      <c r="U18" s="233"/>
      <c r="V18" s="234"/>
      <c r="W18" s="232"/>
      <c r="X18" s="232"/>
      <c r="Y18" s="233"/>
      <c r="Z18" s="234"/>
      <c r="AA18" s="232"/>
      <c r="AB18" s="232"/>
      <c r="AC18" s="233"/>
      <c r="AD18" s="234"/>
      <c r="AE18" s="233"/>
    </row>
    <row r="19" spans="1:44" ht="13.5" hidden="1" thickBot="1">
      <c r="A19" s="215"/>
      <c r="B19" s="215"/>
      <c r="C19" s="216"/>
    </row>
    <row r="20" spans="1:44" ht="13.5" hidden="1" thickBot="1">
      <c r="A20" s="5"/>
      <c r="B20" s="5"/>
      <c r="C20" s="6"/>
    </row>
    <row r="21" spans="1:44" ht="12.95" customHeight="1" thickBot="1">
      <c r="A21" s="15" t="s">
        <v>1</v>
      </c>
      <c r="B21" s="299" t="s">
        <v>24</v>
      </c>
      <c r="C21" s="8"/>
      <c r="D21" s="1377">
        <v>2008</v>
      </c>
      <c r="E21" s="1378"/>
      <c r="F21" s="1372">
        <v>2009</v>
      </c>
      <c r="G21" s="1373"/>
      <c r="H21" s="1373"/>
      <c r="I21" s="1374"/>
      <c r="J21" s="1372">
        <v>2010</v>
      </c>
      <c r="K21" s="1373"/>
      <c r="L21" s="1373"/>
      <c r="M21" s="1374"/>
      <c r="N21" s="1372">
        <v>2011</v>
      </c>
      <c r="O21" s="1373"/>
      <c r="P21" s="1373"/>
      <c r="Q21" s="1374"/>
      <c r="R21" s="1372">
        <v>2012</v>
      </c>
      <c r="S21" s="1373"/>
      <c r="T21" s="1373"/>
      <c r="U21" s="1374"/>
      <c r="V21" s="1372">
        <v>2013</v>
      </c>
      <c r="W21" s="1373"/>
      <c r="X21" s="1373"/>
      <c r="Y21" s="1374"/>
      <c r="Z21" s="1372">
        <v>2014</v>
      </c>
      <c r="AA21" s="1373"/>
      <c r="AB21" s="1373"/>
      <c r="AC21" s="1374"/>
      <c r="AD21" s="1372">
        <v>2015</v>
      </c>
      <c r="AE21" s="1374"/>
      <c r="AG21" s="351" t="s">
        <v>1050</v>
      </c>
      <c r="AH21" s="660">
        <f>(SUM(AH22:AH26))/5</f>
        <v>0</v>
      </c>
      <c r="AI21" s="661">
        <f>(SUM(AI22:AI26))/5</f>
        <v>1329748.0568650202</v>
      </c>
      <c r="AJ21" s="661">
        <f>(SUM(AJ22:AJ29))/8</f>
        <v>1358955.1772271746</v>
      </c>
      <c r="AK21" s="661">
        <f>(SUM(AK22:AK29))/8</f>
        <v>1719822.7988338519</v>
      </c>
      <c r="AL21" s="662">
        <f>(SUM(AL22:AL29))/8</f>
        <v>2085436.6779327823</v>
      </c>
      <c r="AN21" s="676">
        <f>(SUM(AN22:AN26))/5</f>
        <v>1.4500000000000002</v>
      </c>
      <c r="AO21" s="677">
        <f>(SUM(AO22:AO29))/8</f>
        <v>1.3697916666666667</v>
      </c>
      <c r="AP21" s="677">
        <f>(SUM(AP22:AP29))/8</f>
        <v>1.5777777777777777</v>
      </c>
      <c r="AQ21" s="677">
        <f>(SUM(AQ22:AQ29))/8</f>
        <v>1.8937499999999998</v>
      </c>
      <c r="AR21" s="678">
        <f>(SUM(AR22:AR29))/8</f>
        <v>2.2108333333333334</v>
      </c>
    </row>
    <row r="22" spans="1:44" ht="12.95" customHeight="1" thickBot="1">
      <c r="A22" s="868" t="s">
        <v>47</v>
      </c>
      <c r="B22" s="868" t="s">
        <v>48</v>
      </c>
      <c r="C22" s="250" t="s">
        <v>649</v>
      </c>
      <c r="D22" s="245"/>
      <c r="E22" s="246"/>
      <c r="F22" s="247"/>
      <c r="G22" s="245"/>
      <c r="H22" s="245"/>
      <c r="I22" s="246"/>
      <c r="J22" s="329" t="str">
        <f>'State Efficiency Ratios'!J22</f>
        <v>100% of total expenditure</v>
      </c>
      <c r="K22" s="245"/>
      <c r="L22" s="245"/>
      <c r="M22" s="246"/>
      <c r="N22" s="561"/>
      <c r="O22" s="553">
        <f>100%*(O193+O216+O239+O268+O291+O314+O344+O368+O444+O467+O490+O513+O537+O566+(O$576/5)+(O$577/5)+O595+(O$605/5)+(O$606/5))</f>
        <v>1353285.1508774792</v>
      </c>
      <c r="P22" s="553"/>
      <c r="Q22" s="562"/>
      <c r="R22" s="561"/>
      <c r="S22" s="553"/>
      <c r="T22" s="553"/>
      <c r="U22" s="553">
        <f>100%*(U193+U216+U239+U268+U291+U314+U344+U368+U444+U467+U490+U513+U537+U566+(U$576/5)+(U$577/5)+U595+(U$605/5)+(U$606/5))</f>
        <v>562878.80016677559</v>
      </c>
      <c r="V22" s="561"/>
      <c r="W22" s="553"/>
      <c r="X22" s="553"/>
      <c r="Y22" s="553">
        <f>100%*(Y193+Y216+Y239+Y268+Y291+Y314+Y344+Y368+Y444+Y467+Y490+Y513+Y537+Y566+(Y$576/5)+(Y$577/5)+Y595+(Y$605/5)+(Y$606/5))</f>
        <v>402716.43806087988</v>
      </c>
      <c r="Z22" s="561"/>
      <c r="AA22" s="553"/>
      <c r="AB22" s="553"/>
      <c r="AC22" s="553">
        <f t="shared" ref="AC22:AC31" si="0">100%*(AC193+AC216+AC239+AC268+AC291+AC314+AC344+AC368+AC444+AC467+AC490+AC513+AC537+AC566+(AC$576/5)+(AC$577/5)+AC595+(AC$605/5)+(AC$606/5))</f>
        <v>383866.29683871724</v>
      </c>
      <c r="AD22" s="561"/>
      <c r="AE22" s="563"/>
      <c r="AG22" s="351" t="s">
        <v>756</v>
      </c>
      <c r="AH22" s="651">
        <v>0</v>
      </c>
      <c r="AI22" s="652">
        <f>O22</f>
        <v>1353285.1508774792</v>
      </c>
      <c r="AJ22" s="652">
        <f>AI22+U22</f>
        <v>1916163.9510442549</v>
      </c>
      <c r="AK22" s="652">
        <f>AJ22+Y22</f>
        <v>2318880.3891051346</v>
      </c>
      <c r="AL22" s="653">
        <f>AK22+AC22</f>
        <v>2702746.6859438517</v>
      </c>
      <c r="AN22" s="664">
        <f>('State DisAgg LFx10 (2014)'!D22+'State DisAgg LFx10 (2014)'!D45+(SUM('State DisAgg LFx10 (2014)'!D69:G69)/4/3))/3</f>
        <v>1.1222222222222222</v>
      </c>
      <c r="AO22" s="673">
        <f>('State DisAgg LFx10 (2014)'!H32+'State DisAgg LFx10 (2014)'!H55+(SUM('State DisAgg LFx10 (2014)'!H79:H79)/4/3))/3</f>
        <v>1.8888888888888891</v>
      </c>
      <c r="AP22" s="673">
        <f>('State DisAgg LFx10 (2014)'!L32+'State DisAgg LFx10 (2014)'!L55+(SUM('State DisAgg LFx10 (2014)'!L79:L79)/4/3))/3</f>
        <v>1.8611111111111109</v>
      </c>
      <c r="AQ22" s="673">
        <f>('State DisAgg LFx10 (2014)'!P32+'State DisAgg LFx10 (2014)'!P55+(SUM('State DisAgg LFx10 (2014)'!P79:P79)/4/3))/3</f>
        <v>1.9888888888888889</v>
      </c>
      <c r="AR22" s="674">
        <f>('State DisAgg LFx10 (2014)'!T32+'State DisAgg LFx10 (2014)'!T55+(SUM('State DisAgg LFx10 (2014)'!T79:T79)/4/3))/3</f>
        <v>2.3088888888888888</v>
      </c>
    </row>
    <row r="23" spans="1:44" ht="13.5" thickBot="1">
      <c r="A23" s="885"/>
      <c r="B23" s="885"/>
      <c r="C23" s="250" t="s">
        <v>650</v>
      </c>
      <c r="D23" s="245"/>
      <c r="E23" s="246"/>
      <c r="F23" s="247"/>
      <c r="G23" s="245"/>
      <c r="H23" s="245"/>
      <c r="I23" s="246"/>
      <c r="J23" s="247"/>
      <c r="K23" s="245"/>
      <c r="L23" s="245"/>
      <c r="M23" s="246"/>
      <c r="N23" s="561"/>
      <c r="O23" s="553">
        <f t="shared" ref="O23:O26" si="1">100%*(O194+O217+O240+O269+O292+O315+O345+O369+O445+O468+O491+O514+O538+O567+(O$576/5)+(O$577/5)+O596+(O$605/5)+(O$606/5))</f>
        <v>1254668.5056774786</v>
      </c>
      <c r="P23" s="553"/>
      <c r="Q23" s="562"/>
      <c r="R23" s="561"/>
      <c r="S23" s="553"/>
      <c r="T23" s="553"/>
      <c r="U23" s="553">
        <f t="shared" ref="U23:U29" si="2">100%*(U194+U217+U240+U269+U292+U315+U345+U369+U445+U468+U491+U514+U538+U567+(U$576/5)+(U$577/5)+U596+(U$605/5)+(U$606/5))</f>
        <v>532701.95031193167</v>
      </c>
      <c r="V23" s="561"/>
      <c r="W23" s="553"/>
      <c r="X23" s="553"/>
      <c r="Y23" s="553">
        <f t="shared" ref="Y23:Y29" si="3">100%*(Y194+Y217+Y240+Y269+Y292+Y315+Y345+Y369+Y445+Y468+Y491+Y514+Y538+Y567+(Y$576/5)+(Y$577/5)+Y596+(Y$605/5)+(Y$606/5))</f>
        <v>386722.97036930104</v>
      </c>
      <c r="Z23" s="561"/>
      <c r="AA23" s="553"/>
      <c r="AB23" s="553"/>
      <c r="AC23" s="553">
        <f t="shared" si="0"/>
        <v>340754.88467294956</v>
      </c>
      <c r="AD23" s="561"/>
      <c r="AE23" s="563"/>
      <c r="AG23" s="351" t="s">
        <v>757</v>
      </c>
      <c r="AH23" s="655">
        <v>0</v>
      </c>
      <c r="AI23" s="654">
        <f t="shared" ref="AI23:AI31" si="4">O23</f>
        <v>1254668.5056774786</v>
      </c>
      <c r="AJ23" s="654">
        <f t="shared" ref="AJ23:AJ31" si="5">AI23+U23</f>
        <v>1787370.4559894102</v>
      </c>
      <c r="AK23" s="654">
        <f t="shared" ref="AK23:AK31" si="6">AJ23+Y23</f>
        <v>2174093.426358711</v>
      </c>
      <c r="AL23" s="656">
        <f t="shared" ref="AL23:AL31" si="7">AK23+AC23</f>
        <v>2514848.3110316605</v>
      </c>
      <c r="AN23" s="663">
        <f>('State DisAgg LFx10 (2014)'!D23+'State DisAgg LFx10 (2014)'!D46+(SUM('State DisAgg LFx10 (2014)'!D70:G70)/4/3))/3</f>
        <v>2.25</v>
      </c>
      <c r="AO23" s="665">
        <f>('State DisAgg LFx10 (2014)'!H33+'State DisAgg LFx10 (2014)'!H56+(SUM('State DisAgg LFx10 (2014)'!H80:H80)/4/3))/3</f>
        <v>1.5694444444444444</v>
      </c>
      <c r="AP23" s="665">
        <f>('State DisAgg LFx10 (2014)'!L33+'State DisAgg LFx10 (2014)'!L56+(SUM('State DisAgg LFx10 (2014)'!L80:L80)/4/3))/3</f>
        <v>1.9333333333333333</v>
      </c>
      <c r="AQ23" s="665">
        <f>('State DisAgg LFx10 (2014)'!P33+'State DisAgg LFx10 (2014)'!P56+(SUM('State DisAgg LFx10 (2014)'!P80:P80)/4/3))/3</f>
        <v>2.6999999999999997</v>
      </c>
      <c r="AR23" s="666">
        <f>('State DisAgg LFx10 (2014)'!T33+'State DisAgg LFx10 (2014)'!T56+(SUM('State DisAgg LFx10 (2014)'!T80:T80)/4/3))/3</f>
        <v>3.0666666666666664</v>
      </c>
    </row>
    <row r="24" spans="1:44" ht="13.5" thickBot="1">
      <c r="A24" s="885"/>
      <c r="B24" s="885"/>
      <c r="C24" s="250" t="s">
        <v>651</v>
      </c>
      <c r="D24" s="245"/>
      <c r="E24" s="246"/>
      <c r="F24" s="247"/>
      <c r="G24" s="245"/>
      <c r="H24" s="245"/>
      <c r="I24" s="246"/>
      <c r="J24" s="247"/>
      <c r="K24" s="245"/>
      <c r="L24" s="245"/>
      <c r="M24" s="246"/>
      <c r="N24" s="561"/>
      <c r="O24" s="553">
        <f t="shared" si="1"/>
        <v>1301690.0420774792</v>
      </c>
      <c r="P24" s="553"/>
      <c r="Q24" s="562"/>
      <c r="R24" s="561"/>
      <c r="S24" s="553"/>
      <c r="T24" s="553"/>
      <c r="U24" s="553">
        <f t="shared" si="2"/>
        <v>621327.22764082055</v>
      </c>
      <c r="V24" s="561"/>
      <c r="W24" s="553"/>
      <c r="X24" s="553"/>
      <c r="Y24" s="553">
        <f t="shared" si="3"/>
        <v>419278.75028355728</v>
      </c>
      <c r="Z24" s="561"/>
      <c r="AA24" s="553"/>
      <c r="AB24" s="553"/>
      <c r="AC24" s="553">
        <f t="shared" si="0"/>
        <v>339109.60402547481</v>
      </c>
      <c r="AD24" s="561"/>
      <c r="AE24" s="563"/>
      <c r="AG24" s="351" t="s">
        <v>758</v>
      </c>
      <c r="AH24" s="655">
        <v>0</v>
      </c>
      <c r="AI24" s="654">
        <f t="shared" si="4"/>
        <v>1301690.0420774792</v>
      </c>
      <c r="AJ24" s="654">
        <f t="shared" si="5"/>
        <v>1923017.2697182996</v>
      </c>
      <c r="AK24" s="654">
        <f t="shared" si="6"/>
        <v>2342296.0200018571</v>
      </c>
      <c r="AL24" s="656">
        <f t="shared" si="7"/>
        <v>2681405.6240273318</v>
      </c>
      <c r="AN24" s="663">
        <f>('State DisAgg LFx10 (2014)'!D24+'State DisAgg LFx10 (2014)'!D47+(SUM('State DisAgg LFx10 (2014)'!D71:G71)/4/3))/3</f>
        <v>1.3499999999999999</v>
      </c>
      <c r="AO24" s="665">
        <f>('State DisAgg LFx10 (2014)'!H34+'State DisAgg LFx10 (2014)'!H57+(SUM('State DisAgg LFx10 (2014)'!H81:H81)/4/3))/3</f>
        <v>1.3611111111111109</v>
      </c>
      <c r="AP24" s="665">
        <f>('State DisAgg LFx10 (2014)'!L34+'State DisAgg LFx10 (2014)'!L57+(SUM('State DisAgg LFx10 (2014)'!L81:L81)/4/3))/3</f>
        <v>1.788888888888889</v>
      </c>
      <c r="AQ24" s="665">
        <f>('State DisAgg LFx10 (2014)'!P34+'State DisAgg LFx10 (2014)'!P57+(SUM('State DisAgg LFx10 (2014)'!P81:P81)/4/3))/3</f>
        <v>1.9222222222222223</v>
      </c>
      <c r="AR24" s="666">
        <f>('State DisAgg LFx10 (2014)'!T34+'State DisAgg LFx10 (2014)'!T57+(SUM('State DisAgg LFx10 (2014)'!T81:T81)/4/3))/3</f>
        <v>1.9222222222222223</v>
      </c>
    </row>
    <row r="25" spans="1:44" ht="13.5" thickBot="1">
      <c r="A25" s="885"/>
      <c r="B25" s="885"/>
      <c r="C25" s="250" t="s">
        <v>652</v>
      </c>
      <c r="D25" s="245"/>
      <c r="E25" s="246"/>
      <c r="F25" s="247"/>
      <c r="G25" s="245"/>
      <c r="H25" s="245"/>
      <c r="I25" s="246"/>
      <c r="J25" s="247"/>
      <c r="K25" s="245"/>
      <c r="L25" s="245"/>
      <c r="M25" s="246"/>
      <c r="N25" s="561"/>
      <c r="O25" s="553">
        <f t="shared" si="1"/>
        <v>1294438.8056774789</v>
      </c>
      <c r="P25" s="553"/>
      <c r="Q25" s="562"/>
      <c r="R25" s="561"/>
      <c r="S25" s="553"/>
      <c r="T25" s="553"/>
      <c r="U25" s="553">
        <f t="shared" si="2"/>
        <v>630397.96144493448</v>
      </c>
      <c r="V25" s="561"/>
      <c r="W25" s="553"/>
      <c r="X25" s="553"/>
      <c r="Y25" s="553">
        <f t="shared" si="3"/>
        <v>389545.90428479301</v>
      </c>
      <c r="Z25" s="561"/>
      <c r="AA25" s="553"/>
      <c r="AB25" s="553"/>
      <c r="AC25" s="553">
        <f t="shared" si="0"/>
        <v>384702.01674266678</v>
      </c>
      <c r="AD25" s="561"/>
      <c r="AE25" s="563"/>
      <c r="AG25" s="351" t="s">
        <v>759</v>
      </c>
      <c r="AH25" s="655">
        <v>0</v>
      </c>
      <c r="AI25" s="654">
        <f t="shared" si="4"/>
        <v>1294438.8056774789</v>
      </c>
      <c r="AJ25" s="654">
        <f t="shared" si="5"/>
        <v>1924836.7671224135</v>
      </c>
      <c r="AK25" s="654">
        <f t="shared" si="6"/>
        <v>2314382.6714072064</v>
      </c>
      <c r="AL25" s="656">
        <f t="shared" si="7"/>
        <v>2699084.6881498732</v>
      </c>
      <c r="AN25" s="663">
        <f>('State DisAgg LFx10 (2014)'!D25+'State DisAgg LFx10 (2014)'!D48+(SUM('State DisAgg LFx10 (2014)'!D72:G72)/4/3))/3</f>
        <v>1.1111111111111112</v>
      </c>
      <c r="AO25" s="665">
        <f>('State DisAgg LFx10 (2014)'!H35+'State DisAgg LFx10 (2014)'!H58+(SUM('State DisAgg LFx10 (2014)'!H82:H82)/4/3))/3</f>
        <v>1.4166666666666667</v>
      </c>
      <c r="AP25" s="665">
        <f>('State DisAgg LFx10 (2014)'!L35+'State DisAgg LFx10 (2014)'!L58+(SUM('State DisAgg LFx10 (2014)'!L82:L82)/4/3))/3</f>
        <v>1.6944444444444444</v>
      </c>
      <c r="AQ25" s="665">
        <f>('State DisAgg LFx10 (2014)'!P35+'State DisAgg LFx10 (2014)'!P58+(SUM('State DisAgg LFx10 (2014)'!P82:P82)/4/3))/3</f>
        <v>1.8666666666666665</v>
      </c>
      <c r="AR25" s="666">
        <f>('State DisAgg LFx10 (2014)'!T35+'State DisAgg LFx10 (2014)'!T58+(SUM('State DisAgg LFx10 (2014)'!T82:T82)/4/3))/3</f>
        <v>2</v>
      </c>
    </row>
    <row r="26" spans="1:44" ht="13.5" thickBot="1">
      <c r="A26" s="885"/>
      <c r="B26" s="885"/>
      <c r="C26" s="250" t="s">
        <v>653</v>
      </c>
      <c r="D26" s="245"/>
      <c r="E26" s="246"/>
      <c r="F26" s="247"/>
      <c r="G26" s="245"/>
      <c r="H26" s="245"/>
      <c r="I26" s="246"/>
      <c r="J26" s="247"/>
      <c r="K26" s="245"/>
      <c r="L26" s="245"/>
      <c r="M26" s="246"/>
      <c r="N26" s="561"/>
      <c r="O26" s="553">
        <f t="shared" si="1"/>
        <v>1444657.7800151857</v>
      </c>
      <c r="P26" s="553"/>
      <c r="Q26" s="562"/>
      <c r="R26" s="561"/>
      <c r="S26" s="553"/>
      <c r="T26" s="553"/>
      <c r="U26" s="553">
        <f t="shared" si="2"/>
        <v>833419.86923489126</v>
      </c>
      <c r="V26" s="561"/>
      <c r="W26" s="553"/>
      <c r="X26" s="553"/>
      <c r="Y26" s="553">
        <f t="shared" si="3"/>
        <v>450361.82014680671</v>
      </c>
      <c r="Z26" s="561"/>
      <c r="AA26" s="553"/>
      <c r="AB26" s="553"/>
      <c r="AC26" s="553">
        <f t="shared" si="0"/>
        <v>446529.92484236369</v>
      </c>
      <c r="AD26" s="561"/>
      <c r="AE26" s="563"/>
      <c r="AG26" s="351" t="s">
        <v>760</v>
      </c>
      <c r="AH26" s="655">
        <v>0</v>
      </c>
      <c r="AI26" s="654">
        <f t="shared" si="4"/>
        <v>1444657.7800151857</v>
      </c>
      <c r="AJ26" s="654">
        <f t="shared" si="5"/>
        <v>2278077.6492500771</v>
      </c>
      <c r="AK26" s="654">
        <f t="shared" si="6"/>
        <v>2728439.4693968836</v>
      </c>
      <c r="AL26" s="656">
        <f t="shared" si="7"/>
        <v>3174969.3942392473</v>
      </c>
      <c r="AN26" s="663">
        <f>('State DisAgg LFx10 (2014)'!D26+'State DisAgg LFx10 (2014)'!D49+(SUM('State DisAgg LFx10 (2014)'!D73:G73)/4/3))/3</f>
        <v>1.4166666666666667</v>
      </c>
      <c r="AO26" s="665">
        <f>('State DisAgg LFx10 (2014)'!H36+'State DisAgg LFx10 (2014)'!H59+(SUM('State DisAgg LFx10 (2014)'!H83:H83)/4/3))/3</f>
        <v>1.3611111111111109</v>
      </c>
      <c r="AP26" s="665">
        <f>('State DisAgg LFx10 (2014)'!L36+'State DisAgg LFx10 (2014)'!L59+(SUM('State DisAgg LFx10 (2014)'!L83:L83)/4/3))/3</f>
        <v>1.9277777777777778</v>
      </c>
      <c r="AQ26" s="665">
        <f>('State DisAgg LFx10 (2014)'!P36+'State DisAgg LFx10 (2014)'!P59+(SUM('State DisAgg LFx10 (2014)'!P83:P83)/4/3))/3</f>
        <v>2.1833333333333331</v>
      </c>
      <c r="AR26" s="666">
        <f>('State DisAgg LFx10 (2014)'!T36+'State DisAgg LFx10 (2014)'!T59+(SUM('State DisAgg LFx10 (2014)'!T83:T83)/4/3))/3</f>
        <v>2.0166666666666671</v>
      </c>
    </row>
    <row r="27" spans="1:44" ht="12.95" customHeight="1" thickBot="1">
      <c r="A27" s="885"/>
      <c r="B27" s="885"/>
      <c r="C27" s="250" t="s">
        <v>654</v>
      </c>
      <c r="D27" s="248"/>
      <c r="E27" s="249"/>
      <c r="F27" s="247"/>
      <c r="G27" s="248"/>
      <c r="H27" s="248"/>
      <c r="I27" s="249"/>
      <c r="J27" s="247"/>
      <c r="K27" s="248"/>
      <c r="L27" s="248"/>
      <c r="M27" s="249"/>
      <c r="N27" s="564"/>
      <c r="O27" s="565"/>
      <c r="P27" s="565"/>
      <c r="Q27" s="565"/>
      <c r="R27" s="561"/>
      <c r="S27" s="553"/>
      <c r="T27" s="553"/>
      <c r="U27" s="553">
        <f t="shared" si="2"/>
        <v>343788.32869267726</v>
      </c>
      <c r="V27" s="561"/>
      <c r="W27" s="553"/>
      <c r="X27" s="553"/>
      <c r="Y27" s="553">
        <f t="shared" si="3"/>
        <v>286759.11600842135</v>
      </c>
      <c r="Z27" s="561"/>
      <c r="AA27" s="553"/>
      <c r="AB27" s="553"/>
      <c r="AC27" s="553">
        <f t="shared" si="0"/>
        <v>388538.5860147677</v>
      </c>
      <c r="AD27" s="561"/>
      <c r="AE27" s="563"/>
      <c r="AG27" s="351" t="s">
        <v>761</v>
      </c>
      <c r="AH27" s="655">
        <v>0</v>
      </c>
      <c r="AI27" s="654">
        <f t="shared" si="4"/>
        <v>0</v>
      </c>
      <c r="AJ27" s="654">
        <f t="shared" si="5"/>
        <v>343788.32869267726</v>
      </c>
      <c r="AK27" s="654">
        <f t="shared" si="6"/>
        <v>630547.4447010986</v>
      </c>
      <c r="AL27" s="656">
        <f t="shared" si="7"/>
        <v>1019086.0307158662</v>
      </c>
      <c r="AN27" s="663">
        <f>AO27</f>
        <v>0.93333333333333324</v>
      </c>
      <c r="AO27" s="665">
        <f>('State DisAgg LFx10 (2014)'!H27+'State DisAgg LFx10 (2014)'!H50+(SUM('State DisAgg LFx10 (2014)'!H74:H74)/4/3))/3</f>
        <v>0.93333333333333324</v>
      </c>
      <c r="AP27" s="665">
        <f>('State DisAgg LFx10 (2014)'!L37+'State DisAgg LFx10 (2014)'!L60+(SUM('State DisAgg LFx10 (2014)'!L84:L84)/4/3))/3</f>
        <v>0.96111111111111114</v>
      </c>
      <c r="AQ27" s="665">
        <f>('State DisAgg LFx10 (2014)'!P37+'State DisAgg LFx10 (2014)'!P60+(SUM('State DisAgg LFx10 (2014)'!P84:P84)/4/3))/3</f>
        <v>1.1611111111111112</v>
      </c>
      <c r="AR27" s="666">
        <f>('State DisAgg LFx10 (2014)'!T37+'State DisAgg LFx10 (2014)'!T60+(SUM('State DisAgg LFx10 (2014)'!T84:T84)/4/3))/3</f>
        <v>1.8277777777777777</v>
      </c>
    </row>
    <row r="28" spans="1:44" ht="12.95" customHeight="1" thickBot="1">
      <c r="A28" s="885"/>
      <c r="B28" s="885"/>
      <c r="C28" s="250" t="s">
        <v>655</v>
      </c>
      <c r="D28" s="248"/>
      <c r="E28" s="249"/>
      <c r="F28" s="247"/>
      <c r="G28" s="248"/>
      <c r="H28" s="248"/>
      <c r="I28" s="249"/>
      <c r="J28" s="247"/>
      <c r="K28" s="248"/>
      <c r="L28" s="248"/>
      <c r="M28" s="249"/>
      <c r="N28" s="564"/>
      <c r="O28" s="565"/>
      <c r="P28" s="565"/>
      <c r="Q28" s="565"/>
      <c r="R28" s="561"/>
      <c r="S28" s="553"/>
      <c r="T28" s="553"/>
      <c r="U28" s="553">
        <f t="shared" si="2"/>
        <v>342262.62844372983</v>
      </c>
      <c r="V28" s="561"/>
      <c r="W28" s="553"/>
      <c r="X28" s="553"/>
      <c r="Y28" s="553">
        <f t="shared" si="3"/>
        <v>234227.43195734583</v>
      </c>
      <c r="Z28" s="561"/>
      <c r="AA28" s="553"/>
      <c r="AB28" s="553"/>
      <c r="AC28" s="553">
        <f t="shared" si="0"/>
        <v>313863.14757406071</v>
      </c>
      <c r="AD28" s="561"/>
      <c r="AE28" s="563"/>
      <c r="AG28" s="351" t="s">
        <v>762</v>
      </c>
      <c r="AH28" s="655">
        <v>0</v>
      </c>
      <c r="AI28" s="654">
        <f t="shared" si="4"/>
        <v>0</v>
      </c>
      <c r="AJ28" s="654">
        <f t="shared" si="5"/>
        <v>342262.62844372983</v>
      </c>
      <c r="AK28" s="654">
        <f t="shared" si="6"/>
        <v>576490.06040107564</v>
      </c>
      <c r="AL28" s="656">
        <f t="shared" si="7"/>
        <v>890353.20797513635</v>
      </c>
      <c r="AN28" s="663">
        <f t="shared" ref="AN28:AN31" si="8">AO28</f>
        <v>1.3666666666666665</v>
      </c>
      <c r="AO28" s="665">
        <f>('State DisAgg LFx10 (2014)'!H28+'State DisAgg LFx10 (2014)'!H51+(SUM('State DisAgg LFx10 (2014)'!H75:H75)/4/3))/3</f>
        <v>1.3666666666666665</v>
      </c>
      <c r="AP28" s="665">
        <f>('State DisAgg LFx10 (2014)'!L38+'State DisAgg LFx10 (2014)'!L61+(SUM('State DisAgg LFx10 (2014)'!L85:L85)/4/3))/3</f>
        <v>1.3944444444444442</v>
      </c>
      <c r="AQ28" s="665">
        <f>('State DisAgg LFx10 (2014)'!P38+'State DisAgg LFx10 (2014)'!P61+(SUM('State DisAgg LFx10 (2014)'!P85:P85)/4/3))/3</f>
        <v>1.2666666666666666</v>
      </c>
      <c r="AR28" s="666">
        <f>('State DisAgg LFx10 (2014)'!T38+'State DisAgg LFx10 (2014)'!T61+(SUM('State DisAgg LFx10 (2014)'!T85:T85)/4/3))/3</f>
        <v>2.0533333333333332</v>
      </c>
    </row>
    <row r="29" spans="1:44" ht="12.95" customHeight="1" thickBot="1">
      <c r="A29" s="885"/>
      <c r="B29" s="885"/>
      <c r="C29" s="250" t="s">
        <v>656</v>
      </c>
      <c r="D29" s="248"/>
      <c r="E29" s="249"/>
      <c r="F29" s="247"/>
      <c r="G29" s="248"/>
      <c r="H29" s="248"/>
      <c r="I29" s="249"/>
      <c r="J29" s="247"/>
      <c r="K29" s="248"/>
      <c r="L29" s="248"/>
      <c r="M29" s="249"/>
      <c r="N29" s="564"/>
      <c r="O29" s="565"/>
      <c r="P29" s="565"/>
      <c r="Q29" s="565"/>
      <c r="R29" s="561"/>
      <c r="S29" s="553"/>
      <c r="T29" s="553"/>
      <c r="U29" s="553">
        <f t="shared" si="2"/>
        <v>356124.3675565368</v>
      </c>
      <c r="V29" s="561"/>
      <c r="W29" s="553"/>
      <c r="X29" s="553"/>
      <c r="Y29" s="553">
        <f t="shared" si="3"/>
        <v>317328.54174231173</v>
      </c>
      <c r="Z29" s="561"/>
      <c r="AA29" s="553"/>
      <c r="AB29" s="553"/>
      <c r="AC29" s="553">
        <f t="shared" si="0"/>
        <v>327546.57208044443</v>
      </c>
      <c r="AD29" s="561"/>
      <c r="AE29" s="563"/>
      <c r="AG29" s="351" t="s">
        <v>763</v>
      </c>
      <c r="AH29" s="655">
        <v>0</v>
      </c>
      <c r="AI29" s="654">
        <f t="shared" si="4"/>
        <v>0</v>
      </c>
      <c r="AJ29" s="654">
        <f t="shared" si="5"/>
        <v>356124.3675565368</v>
      </c>
      <c r="AK29" s="654">
        <f t="shared" si="6"/>
        <v>673452.90929884859</v>
      </c>
      <c r="AL29" s="656">
        <f t="shared" si="7"/>
        <v>1000999.481379293</v>
      </c>
      <c r="AN29" s="663">
        <f t="shared" si="8"/>
        <v>1.0611111111111111</v>
      </c>
      <c r="AO29" s="665">
        <f>('State DisAgg LFx10 (2014)'!H29+'State DisAgg LFx10 (2014)'!H52+(SUM('State DisAgg LFx10 (2014)'!H76:H76)/4/3))/3</f>
        <v>1.0611111111111111</v>
      </c>
      <c r="AP29" s="665">
        <f>('State DisAgg LFx10 (2014)'!L39+'State DisAgg LFx10 (2014)'!L62+(SUM('State DisAgg LFx10 (2014)'!L86:L86)/4/3))/3</f>
        <v>1.0611111111111111</v>
      </c>
      <c r="AQ29" s="665">
        <f>('State DisAgg LFx10 (2014)'!P39+'State DisAgg LFx10 (2014)'!P62+(SUM('State DisAgg LFx10 (2014)'!P86:P86)/4/3))/3</f>
        <v>2.0611111111111109</v>
      </c>
      <c r="AR29" s="666">
        <f>('State DisAgg LFx10 (2014)'!T39+'State DisAgg LFx10 (2014)'!T62+(SUM('State DisAgg LFx10 (2014)'!T86:T86)/4/3))/3</f>
        <v>2.4911111111111111</v>
      </c>
    </row>
    <row r="30" spans="1:44" ht="12.95" customHeight="1" thickBot="1">
      <c r="A30" s="885"/>
      <c r="B30" s="885"/>
      <c r="C30" s="250" t="s">
        <v>657</v>
      </c>
      <c r="D30" s="248"/>
      <c r="E30" s="249"/>
      <c r="F30" s="247"/>
      <c r="G30" s="248"/>
      <c r="H30" s="248"/>
      <c r="I30" s="249"/>
      <c r="J30" s="247"/>
      <c r="K30" s="248"/>
      <c r="L30" s="248"/>
      <c r="M30" s="249"/>
      <c r="N30" s="564"/>
      <c r="O30" s="565"/>
      <c r="P30" s="565"/>
      <c r="Q30" s="566"/>
      <c r="R30" s="564"/>
      <c r="S30" s="565"/>
      <c r="T30" s="565"/>
      <c r="U30" s="566"/>
      <c r="V30" s="564"/>
      <c r="W30" s="565"/>
      <c r="X30" s="565"/>
      <c r="Y30" s="566"/>
      <c r="Z30" s="561"/>
      <c r="AA30" s="553"/>
      <c r="AB30" s="553"/>
      <c r="AC30" s="553">
        <f t="shared" si="0"/>
        <v>256430.84002983838</v>
      </c>
      <c r="AD30" s="561"/>
      <c r="AE30" s="563"/>
      <c r="AG30" s="351" t="s">
        <v>1098</v>
      </c>
      <c r="AH30" s="655">
        <v>0</v>
      </c>
      <c r="AI30" s="654">
        <f t="shared" si="4"/>
        <v>0</v>
      </c>
      <c r="AJ30" s="654">
        <f t="shared" si="5"/>
        <v>0</v>
      </c>
      <c r="AK30" s="654">
        <f t="shared" si="6"/>
        <v>0</v>
      </c>
      <c r="AL30" s="656">
        <f t="shared" si="7"/>
        <v>256430.84002983838</v>
      </c>
      <c r="AN30" s="663">
        <f t="shared" si="8"/>
        <v>1.2</v>
      </c>
      <c r="AO30" s="665">
        <f t="shared" ref="AO30:AP30" si="9">AP30</f>
        <v>1.2</v>
      </c>
      <c r="AP30" s="665">
        <f t="shared" si="9"/>
        <v>1.2</v>
      </c>
      <c r="AQ30" s="665">
        <f>AR30</f>
        <v>1.2</v>
      </c>
      <c r="AR30" s="666">
        <f>('State DisAgg LFx10 (2014)'!T40+'State DisAgg LFx10 (2014)'!T63+(SUM('State DisAgg LFx10 (2014)'!T87:T87)/4/3))/3</f>
        <v>1.2</v>
      </c>
    </row>
    <row r="31" spans="1:44" ht="12.95" customHeight="1" thickBot="1">
      <c r="A31" s="885"/>
      <c r="B31" s="885"/>
      <c r="C31" s="250" t="s">
        <v>658</v>
      </c>
      <c r="D31" s="248"/>
      <c r="E31" s="249"/>
      <c r="F31" s="247"/>
      <c r="G31" s="248"/>
      <c r="H31" s="248"/>
      <c r="I31" s="249"/>
      <c r="J31" s="247"/>
      <c r="K31" s="248"/>
      <c r="L31" s="248"/>
      <c r="M31" s="249"/>
      <c r="N31" s="564"/>
      <c r="O31" s="565"/>
      <c r="P31" s="565"/>
      <c r="Q31" s="566"/>
      <c r="R31" s="564"/>
      <c r="S31" s="565"/>
      <c r="T31" s="565"/>
      <c r="U31" s="566"/>
      <c r="V31" s="564"/>
      <c r="W31" s="565"/>
      <c r="X31" s="565"/>
      <c r="Y31" s="566"/>
      <c r="Z31" s="561"/>
      <c r="AA31" s="553"/>
      <c r="AB31" s="553"/>
      <c r="AC31" s="553">
        <f t="shared" si="0"/>
        <v>349138.68442426273</v>
      </c>
      <c r="AD31" s="561"/>
      <c r="AE31" s="563"/>
      <c r="AG31" s="351" t="s">
        <v>1099</v>
      </c>
      <c r="AH31" s="657">
        <v>0</v>
      </c>
      <c r="AI31" s="658">
        <f t="shared" si="4"/>
        <v>0</v>
      </c>
      <c r="AJ31" s="658">
        <f t="shared" si="5"/>
        <v>0</v>
      </c>
      <c r="AK31" s="658">
        <f t="shared" si="6"/>
        <v>0</v>
      </c>
      <c r="AL31" s="659">
        <f t="shared" si="7"/>
        <v>349138.68442426273</v>
      </c>
      <c r="AN31" s="667">
        <f t="shared" si="8"/>
        <v>1.6833333333333333</v>
      </c>
      <c r="AO31" s="668">
        <f t="shared" ref="AO31:AP31" si="10">AP31</f>
        <v>1.6833333333333333</v>
      </c>
      <c r="AP31" s="668">
        <f t="shared" si="10"/>
        <v>1.6833333333333333</v>
      </c>
      <c r="AQ31" s="668">
        <f>AR31</f>
        <v>1.6833333333333333</v>
      </c>
      <c r="AR31" s="669">
        <f>('State DisAgg LFx10 (2014)'!T41+'State DisAgg LFx10 (2014)'!T64+(SUM('State DisAgg LFx10 (2014)'!T88:T88)/4/3))/3</f>
        <v>1.6833333333333333</v>
      </c>
    </row>
    <row r="32" spans="1:44" ht="12.95" hidden="1" customHeight="1" thickBot="1">
      <c r="A32" s="885"/>
      <c r="B32" s="885"/>
      <c r="C32" s="9" t="s">
        <v>295</v>
      </c>
      <c r="D32" s="241" t="s">
        <v>632</v>
      </c>
      <c r="E32" s="241" t="s">
        <v>632</v>
      </c>
      <c r="F32" s="243" t="s">
        <v>646</v>
      </c>
      <c r="G32" s="241" t="s">
        <v>646</v>
      </c>
      <c r="H32" s="241" t="s">
        <v>646</v>
      </c>
      <c r="I32" s="244" t="s">
        <v>646</v>
      </c>
      <c r="J32" s="195">
        <f>'State DisAgg LFx10 (2015)'!D22</f>
        <v>2.2000000000000002</v>
      </c>
      <c r="K32" s="196"/>
      <c r="L32" s="196"/>
      <c r="M32" s="197"/>
      <c r="N32" s="195"/>
      <c r="O32" s="196">
        <f>'State DisAgg LFx10 (2015)'!H32</f>
        <v>3.5</v>
      </c>
      <c r="P32" s="196"/>
      <c r="Q32" s="197"/>
      <c r="R32" s="195"/>
      <c r="S32" s="196"/>
      <c r="T32" s="196"/>
      <c r="U32" s="197">
        <f>'State DisAgg LFx10 (2015)'!L32</f>
        <v>2.9</v>
      </c>
      <c r="V32" s="195"/>
      <c r="W32" s="196"/>
      <c r="X32" s="196"/>
      <c r="Y32" s="197">
        <f>'State DisAgg LFx10 (2015)'!P32</f>
        <v>3.5</v>
      </c>
      <c r="Z32" s="195"/>
      <c r="AA32" s="196"/>
      <c r="AB32" s="196"/>
      <c r="AC32" s="197">
        <f>'State DisAgg LFx10 (2015)'!T32</f>
        <v>0</v>
      </c>
      <c r="AD32" s="195"/>
      <c r="AE32" s="197"/>
    </row>
    <row r="33" spans="1:34" ht="12.95" hidden="1" customHeight="1" thickBot="1">
      <c r="A33" s="885"/>
      <c r="B33" s="885"/>
      <c r="C33" s="9" t="s">
        <v>296</v>
      </c>
      <c r="D33" s="241" t="s">
        <v>632</v>
      </c>
      <c r="E33" s="241" t="s">
        <v>632</v>
      </c>
      <c r="F33" s="243" t="s">
        <v>646</v>
      </c>
      <c r="G33" s="241" t="s">
        <v>646</v>
      </c>
      <c r="H33" s="241" t="s">
        <v>646</v>
      </c>
      <c r="I33" s="244" t="s">
        <v>646</v>
      </c>
      <c r="J33" s="195">
        <f>'State DisAgg LFx10 (2015)'!D23</f>
        <v>2.5</v>
      </c>
      <c r="K33" s="196"/>
      <c r="L33" s="196"/>
      <c r="M33" s="197"/>
      <c r="N33" s="195"/>
      <c r="O33" s="196">
        <f>'State DisAgg LFx10 (2015)'!H33</f>
        <v>2.5</v>
      </c>
      <c r="P33" s="196"/>
      <c r="Q33" s="197"/>
      <c r="R33" s="195"/>
      <c r="S33" s="196"/>
      <c r="T33" s="196"/>
      <c r="U33" s="197">
        <f>'State DisAgg LFx10 (2015)'!L33</f>
        <v>2.8</v>
      </c>
      <c r="V33" s="195"/>
      <c r="W33" s="196"/>
      <c r="X33" s="196"/>
      <c r="Y33" s="197">
        <f>'State DisAgg LFx10 (2015)'!P33</f>
        <v>3.6</v>
      </c>
      <c r="Z33" s="195"/>
      <c r="AA33" s="196"/>
      <c r="AB33" s="196"/>
      <c r="AC33" s="197">
        <f>'State DisAgg LFx10 (2015)'!T33</f>
        <v>0</v>
      </c>
      <c r="AD33" s="195"/>
      <c r="AE33" s="197"/>
    </row>
    <row r="34" spans="1:34" ht="12.95" hidden="1" customHeight="1" thickBot="1">
      <c r="A34" s="885"/>
      <c r="B34" s="885"/>
      <c r="C34" s="9" t="s">
        <v>297</v>
      </c>
      <c r="D34" s="241" t="s">
        <v>632</v>
      </c>
      <c r="E34" s="241" t="s">
        <v>632</v>
      </c>
      <c r="F34" s="243" t="s">
        <v>646</v>
      </c>
      <c r="G34" s="241" t="s">
        <v>646</v>
      </c>
      <c r="H34" s="241" t="s">
        <v>646</v>
      </c>
      <c r="I34" s="244" t="s">
        <v>646</v>
      </c>
      <c r="J34" s="195">
        <f>'State DisAgg LFx10 (2015)'!D24</f>
        <v>1.8</v>
      </c>
      <c r="K34" s="196"/>
      <c r="L34" s="196"/>
      <c r="M34" s="197"/>
      <c r="N34" s="195"/>
      <c r="O34" s="196">
        <f>'State DisAgg LFx10 (2015)'!H34</f>
        <v>2.5</v>
      </c>
      <c r="P34" s="196"/>
      <c r="Q34" s="197"/>
      <c r="R34" s="195"/>
      <c r="S34" s="196"/>
      <c r="T34" s="196"/>
      <c r="U34" s="197">
        <f>'State DisAgg LFx10 (2015)'!L34</f>
        <v>3.1</v>
      </c>
      <c r="V34" s="195"/>
      <c r="W34" s="196"/>
      <c r="X34" s="196"/>
      <c r="Y34" s="197">
        <f>'State DisAgg LFx10 (2015)'!P34</f>
        <v>3.2</v>
      </c>
      <c r="Z34" s="195"/>
      <c r="AA34" s="196"/>
      <c r="AB34" s="196"/>
      <c r="AC34" s="197">
        <f>'State DisAgg LFx10 (2015)'!T34</f>
        <v>0</v>
      </c>
      <c r="AD34" s="195"/>
      <c r="AE34" s="197"/>
    </row>
    <row r="35" spans="1:34" ht="12.95" hidden="1" customHeight="1" thickBot="1">
      <c r="A35" s="885"/>
      <c r="B35" s="885"/>
      <c r="C35" s="9" t="s">
        <v>298</v>
      </c>
      <c r="D35" s="241" t="s">
        <v>632</v>
      </c>
      <c r="E35" s="241" t="s">
        <v>632</v>
      </c>
      <c r="F35" s="243" t="s">
        <v>646</v>
      </c>
      <c r="G35" s="241" t="s">
        <v>646</v>
      </c>
      <c r="H35" s="241" t="s">
        <v>646</v>
      </c>
      <c r="I35" s="244" t="s">
        <v>646</v>
      </c>
      <c r="J35" s="195">
        <f>'State DisAgg LFx10 (2015)'!D25</f>
        <v>2</v>
      </c>
      <c r="K35" s="196"/>
      <c r="L35" s="196"/>
      <c r="M35" s="197"/>
      <c r="N35" s="195"/>
      <c r="O35" s="196">
        <f>'State DisAgg LFx10 (2015)'!H35</f>
        <v>2</v>
      </c>
      <c r="P35" s="196"/>
      <c r="Q35" s="197"/>
      <c r="R35" s="195"/>
      <c r="S35" s="196"/>
      <c r="T35" s="196"/>
      <c r="U35" s="197">
        <f>'State DisAgg LFx10 (2015)'!L35</f>
        <v>2.7</v>
      </c>
      <c r="V35" s="195"/>
      <c r="W35" s="196"/>
      <c r="X35" s="196"/>
      <c r="Y35" s="197">
        <f>'State DisAgg LFx10 (2015)'!P35</f>
        <v>2.8</v>
      </c>
      <c r="Z35" s="195"/>
      <c r="AA35" s="196"/>
      <c r="AB35" s="196"/>
      <c r="AC35" s="197">
        <f>'State DisAgg LFx10 (2015)'!T35</f>
        <v>0</v>
      </c>
      <c r="AD35" s="195"/>
      <c r="AE35" s="197"/>
    </row>
    <row r="36" spans="1:34" ht="12.95" hidden="1" customHeight="1" thickBot="1">
      <c r="A36" s="885"/>
      <c r="B36" s="885"/>
      <c r="C36" s="9" t="s">
        <v>299</v>
      </c>
      <c r="D36" s="241" t="s">
        <v>632</v>
      </c>
      <c r="E36" s="241" t="s">
        <v>632</v>
      </c>
      <c r="F36" s="243" t="s">
        <v>646</v>
      </c>
      <c r="G36" s="241" t="s">
        <v>646</v>
      </c>
      <c r="H36" s="241" t="s">
        <v>646</v>
      </c>
      <c r="I36" s="244" t="s">
        <v>646</v>
      </c>
      <c r="J36" s="195">
        <f>'State DisAgg LFx10 (2015)'!D26</f>
        <v>2</v>
      </c>
      <c r="K36" s="196"/>
      <c r="L36" s="196"/>
      <c r="M36" s="197"/>
      <c r="N36" s="195"/>
      <c r="O36" s="196">
        <f>'State DisAgg LFx10 (2015)'!H36</f>
        <v>2</v>
      </c>
      <c r="P36" s="196"/>
      <c r="Q36" s="197"/>
      <c r="R36" s="195"/>
      <c r="S36" s="196"/>
      <c r="T36" s="196"/>
      <c r="U36" s="197">
        <f>'State DisAgg LFx10 (2015)'!L36</f>
        <v>2.7</v>
      </c>
      <c r="V36" s="195"/>
      <c r="W36" s="196"/>
      <c r="X36" s="196"/>
      <c r="Y36" s="197">
        <f>'State DisAgg LFx10 (2015)'!P36</f>
        <v>2.8</v>
      </c>
      <c r="Z36" s="195"/>
      <c r="AA36" s="196"/>
      <c r="AB36" s="196"/>
      <c r="AC36" s="197">
        <f>'State DisAgg LFx10 (2015)'!T36</f>
        <v>0</v>
      </c>
      <c r="AD36" s="195"/>
      <c r="AE36" s="197"/>
    </row>
    <row r="37" spans="1:34" ht="24.75" hidden="1" thickBot="1">
      <c r="A37" s="885"/>
      <c r="B37" s="885"/>
      <c r="C37" s="9" t="s">
        <v>300</v>
      </c>
      <c r="D37" s="199"/>
      <c r="E37" s="200"/>
      <c r="F37" s="201"/>
      <c r="G37" s="199"/>
      <c r="H37" s="199"/>
      <c r="I37" s="200"/>
      <c r="J37" s="201"/>
      <c r="K37" s="199"/>
      <c r="L37" s="199"/>
      <c r="M37" s="200"/>
      <c r="N37" s="198"/>
      <c r="O37" s="217" t="s">
        <v>634</v>
      </c>
      <c r="P37" s="241" t="s">
        <v>632</v>
      </c>
      <c r="Q37" s="244" t="s">
        <v>646</v>
      </c>
      <c r="R37" s="195">
        <f>'State DisAgg LFx10 (2015)'!H27</f>
        <v>1.8</v>
      </c>
      <c r="S37" s="196"/>
      <c r="T37" s="196"/>
      <c r="U37" s="197">
        <f>'State DisAgg LFx10 (2015)'!L37</f>
        <v>1.8</v>
      </c>
      <c r="V37" s="195"/>
      <c r="W37" s="196"/>
      <c r="X37" s="196"/>
      <c r="Y37" s="197">
        <f>'State DisAgg LFx10 (2015)'!P37</f>
        <v>2.2000000000000002</v>
      </c>
      <c r="Z37" s="195"/>
      <c r="AA37" s="196"/>
      <c r="AB37" s="196"/>
      <c r="AC37" s="197">
        <f>'State DisAgg LFx10 (2015)'!T37</f>
        <v>0</v>
      </c>
      <c r="AD37" s="195"/>
      <c r="AE37" s="197"/>
    </row>
    <row r="38" spans="1:34" ht="13.5" hidden="1" thickBot="1">
      <c r="A38" s="885"/>
      <c r="B38" s="885"/>
      <c r="C38" s="9" t="s">
        <v>301</v>
      </c>
      <c r="D38" s="199"/>
      <c r="E38" s="200"/>
      <c r="F38" s="201"/>
      <c r="G38" s="199"/>
      <c r="H38" s="199"/>
      <c r="I38" s="200"/>
      <c r="J38" s="201"/>
      <c r="K38" s="199"/>
      <c r="L38" s="199"/>
      <c r="M38" s="200"/>
      <c r="N38" s="198"/>
      <c r="O38" s="217" t="s">
        <v>634</v>
      </c>
      <c r="P38" s="241" t="s">
        <v>632</v>
      </c>
      <c r="Q38" s="244" t="s">
        <v>646</v>
      </c>
      <c r="R38" s="195">
        <f>'State DisAgg LFx10 (2015)'!H28</f>
        <v>3.1</v>
      </c>
      <c r="S38" s="196"/>
      <c r="T38" s="196"/>
      <c r="U38" s="197">
        <f>'State DisAgg LFx10 (2015)'!L38</f>
        <v>3.1</v>
      </c>
      <c r="V38" s="195"/>
      <c r="W38" s="196"/>
      <c r="X38" s="196"/>
      <c r="Y38" s="197">
        <f>'State DisAgg LFx10 (2015)'!P38</f>
        <v>2.1</v>
      </c>
      <c r="Z38" s="195"/>
      <c r="AA38" s="196"/>
      <c r="AB38" s="196"/>
      <c r="AC38" s="197">
        <f>'State DisAgg LFx10 (2015)'!T38</f>
        <v>0</v>
      </c>
      <c r="AD38" s="195"/>
      <c r="AE38" s="197"/>
    </row>
    <row r="39" spans="1:34" ht="13.5" hidden="1" thickBot="1">
      <c r="A39" s="885"/>
      <c r="B39" s="885"/>
      <c r="C39" s="9" t="s">
        <v>302</v>
      </c>
      <c r="D39" s="199"/>
      <c r="E39" s="200"/>
      <c r="F39" s="201"/>
      <c r="G39" s="199"/>
      <c r="H39" s="199"/>
      <c r="I39" s="200"/>
      <c r="J39" s="201"/>
      <c r="K39" s="199"/>
      <c r="L39" s="199"/>
      <c r="M39" s="200"/>
      <c r="N39" s="198"/>
      <c r="O39" s="217" t="s">
        <v>634</v>
      </c>
      <c r="P39" s="241" t="s">
        <v>632</v>
      </c>
      <c r="Q39" s="244" t="s">
        <v>646</v>
      </c>
      <c r="R39" s="195">
        <f>'State DisAgg LFx10 (2015)'!H29</f>
        <v>2.1</v>
      </c>
      <c r="S39" s="196"/>
      <c r="T39" s="196"/>
      <c r="U39" s="197">
        <f>'State DisAgg LFx10 (2015)'!L39</f>
        <v>2.1</v>
      </c>
      <c r="V39" s="195"/>
      <c r="W39" s="196"/>
      <c r="X39" s="196"/>
      <c r="Y39" s="197">
        <f>'State DisAgg LFx10 (2015)'!P39</f>
        <v>3</v>
      </c>
      <c r="Z39" s="195"/>
      <c r="AA39" s="196"/>
      <c r="AB39" s="196"/>
      <c r="AC39" s="197">
        <f>'State DisAgg LFx10 (2015)'!T39</f>
        <v>0</v>
      </c>
      <c r="AD39" s="195"/>
      <c r="AE39" s="197"/>
    </row>
    <row r="40" spans="1:34" ht="24.75" hidden="1" thickBot="1">
      <c r="A40" s="885"/>
      <c r="B40" s="885"/>
      <c r="C40" s="9" t="s">
        <v>303</v>
      </c>
      <c r="D40" s="202"/>
      <c r="E40" s="203"/>
      <c r="F40" s="201"/>
      <c r="G40" s="202"/>
      <c r="H40" s="202"/>
      <c r="I40" s="203"/>
      <c r="J40" s="201"/>
      <c r="K40" s="202"/>
      <c r="L40" s="202"/>
      <c r="M40" s="203"/>
      <c r="N40" s="204"/>
      <c r="O40" s="214"/>
      <c r="P40" s="205"/>
      <c r="Q40" s="205"/>
      <c r="R40" s="201"/>
      <c r="S40" s="202"/>
      <c r="T40" s="202"/>
      <c r="U40" s="203"/>
      <c r="V40" s="242"/>
      <c r="W40" s="217" t="s">
        <v>633</v>
      </c>
      <c r="X40" s="241" t="s">
        <v>632</v>
      </c>
      <c r="Y40" s="197">
        <f>'State DisAgg LFx10 (2015)'!P30</f>
        <v>2.6</v>
      </c>
      <c r="Z40" s="195"/>
      <c r="AA40" s="196"/>
      <c r="AB40" s="196"/>
      <c r="AC40" s="197">
        <f>'State DisAgg LFx10 (2015)'!T40</f>
        <v>0</v>
      </c>
      <c r="AD40" s="195"/>
      <c r="AE40" s="197"/>
    </row>
    <row r="41" spans="1:34" ht="13.5" hidden="1" thickBot="1">
      <c r="A41" s="885"/>
      <c r="B41" s="885"/>
      <c r="C41" s="9" t="s">
        <v>304</v>
      </c>
      <c r="D41" s="202"/>
      <c r="E41" s="203"/>
      <c r="F41" s="201"/>
      <c r="G41" s="202"/>
      <c r="H41" s="202"/>
      <c r="I41" s="203"/>
      <c r="J41" s="201"/>
      <c r="K41" s="202"/>
      <c r="L41" s="202"/>
      <c r="M41" s="203"/>
      <c r="N41" s="204"/>
      <c r="O41" s="205"/>
      <c r="P41" s="205"/>
      <c r="Q41" s="205"/>
      <c r="R41" s="201"/>
      <c r="S41" s="202"/>
      <c r="T41" s="202"/>
      <c r="U41" s="203"/>
      <c r="V41" s="242"/>
      <c r="W41" s="217" t="s">
        <v>633</v>
      </c>
      <c r="X41" s="241" t="s">
        <v>632</v>
      </c>
      <c r="Y41" s="197">
        <f>'State DisAgg LFx10 (2015)'!P31</f>
        <v>2.6</v>
      </c>
      <c r="Z41" s="195"/>
      <c r="AA41" s="196"/>
      <c r="AB41" s="196"/>
      <c r="AC41" s="197">
        <f>'State DisAgg LFx10 (2015)'!T41</f>
        <v>0</v>
      </c>
      <c r="AD41" s="195"/>
      <c r="AE41" s="197"/>
    </row>
    <row r="42" spans="1:34" ht="12.95" hidden="1" customHeight="1" thickBot="1">
      <c r="A42" s="885"/>
      <c r="B42" s="298"/>
      <c r="C42" s="231"/>
      <c r="D42" s="232"/>
      <c r="E42" s="233"/>
      <c r="F42" s="234"/>
      <c r="G42" s="232"/>
      <c r="H42" s="232"/>
      <c r="I42" s="233"/>
      <c r="J42" s="234"/>
      <c r="K42" s="232"/>
      <c r="L42" s="232"/>
      <c r="M42" s="233"/>
      <c r="N42" s="234"/>
      <c r="O42" s="232"/>
      <c r="P42" s="232"/>
      <c r="Q42" s="233"/>
      <c r="R42" s="234"/>
      <c r="S42" s="232"/>
      <c r="T42" s="232"/>
      <c r="U42" s="233"/>
      <c r="V42" s="234"/>
      <c r="W42" s="232"/>
      <c r="X42" s="232"/>
      <c r="Y42" s="233"/>
      <c r="Z42" s="234"/>
      <c r="AA42" s="232"/>
      <c r="AB42" s="232"/>
      <c r="AC42" s="233"/>
      <c r="AD42" s="234"/>
      <c r="AE42" s="233"/>
    </row>
    <row r="43" spans="1:34" ht="12.95" hidden="1" customHeight="1" thickBot="1">
      <c r="A43" s="885"/>
      <c r="B43" s="298"/>
      <c r="C43" s="231"/>
      <c r="D43" s="232"/>
      <c r="E43" s="233"/>
      <c r="F43" s="234"/>
      <c r="G43" s="232"/>
      <c r="H43" s="232"/>
      <c r="I43" s="233"/>
      <c r="J43" s="234"/>
      <c r="K43" s="232"/>
      <c r="L43" s="232"/>
      <c r="M43" s="233"/>
      <c r="N43" s="234"/>
      <c r="O43" s="232"/>
      <c r="P43" s="232"/>
      <c r="Q43" s="233"/>
      <c r="R43" s="234"/>
      <c r="S43" s="232"/>
      <c r="T43" s="232"/>
      <c r="U43" s="233"/>
      <c r="V43" s="234"/>
      <c r="W43" s="232"/>
      <c r="X43" s="232"/>
      <c r="Y43" s="233"/>
      <c r="Z43" s="234"/>
      <c r="AA43" s="232"/>
      <c r="AB43" s="232"/>
      <c r="AC43" s="233"/>
      <c r="AD43" s="234"/>
      <c r="AE43" s="233"/>
    </row>
    <row r="44" spans="1:34" ht="12.95" customHeight="1" thickBot="1">
      <c r="A44" s="885"/>
      <c r="B44" s="3" t="s">
        <v>25</v>
      </c>
      <c r="C44" s="12"/>
      <c r="D44" s="1377">
        <v>2008</v>
      </c>
      <c r="E44" s="1378"/>
      <c r="F44" s="1372">
        <v>2009</v>
      </c>
      <c r="G44" s="1373"/>
      <c r="H44" s="1373"/>
      <c r="I44" s="1374"/>
      <c r="J44" s="1372">
        <v>2010</v>
      </c>
      <c r="K44" s="1373"/>
      <c r="L44" s="1373"/>
      <c r="M44" s="1374"/>
      <c r="N44" s="1372">
        <v>2011</v>
      </c>
      <c r="O44" s="1373"/>
      <c r="P44" s="1373"/>
      <c r="Q44" s="1374"/>
      <c r="R44" s="1372">
        <v>2012</v>
      </c>
      <c r="S44" s="1373"/>
      <c r="T44" s="1373"/>
      <c r="U44" s="1374"/>
      <c r="V44" s="1372">
        <v>2013</v>
      </c>
      <c r="W44" s="1373"/>
      <c r="X44" s="1373"/>
      <c r="Y44" s="1374"/>
      <c r="Z44" s="1372">
        <v>2014</v>
      </c>
      <c r="AA44" s="1373"/>
      <c r="AB44" s="1373"/>
      <c r="AC44" s="1374"/>
      <c r="AD44" s="1372">
        <v>2015</v>
      </c>
      <c r="AE44" s="1374"/>
      <c r="AH44" s="416" t="s">
        <v>1107</v>
      </c>
    </row>
    <row r="45" spans="1:34" ht="13.5" thickBot="1">
      <c r="A45" s="885"/>
      <c r="B45" s="868" t="s">
        <v>49</v>
      </c>
      <c r="C45" s="250" t="s">
        <v>649</v>
      </c>
      <c r="D45" s="245"/>
      <c r="E45" s="246"/>
      <c r="F45" s="247"/>
      <c r="G45" s="245"/>
      <c r="H45" s="245"/>
      <c r="I45" s="246"/>
      <c r="J45" s="329" t="str">
        <f>'State Efficiency Ratios'!J45</f>
        <v>100% of total expenditure</v>
      </c>
      <c r="K45" s="245"/>
      <c r="L45" s="245"/>
      <c r="M45" s="246"/>
      <c r="N45" s="554"/>
      <c r="O45" s="553">
        <f>100%*O22</f>
        <v>1353285.1508774792</v>
      </c>
      <c r="P45" s="555"/>
      <c r="Q45" s="556"/>
      <c r="R45" s="554"/>
      <c r="S45" s="555"/>
      <c r="T45" s="555"/>
      <c r="U45" s="553">
        <f t="shared" ref="U45:U52" si="11">100%*U22</f>
        <v>562878.80016677559</v>
      </c>
      <c r="V45" s="554"/>
      <c r="W45" s="555"/>
      <c r="X45" s="555"/>
      <c r="Y45" s="553">
        <f t="shared" ref="Y45:Y52" si="12">100%*Y22</f>
        <v>402716.43806087988</v>
      </c>
      <c r="Z45" s="554"/>
      <c r="AA45" s="555"/>
      <c r="AB45" s="555"/>
      <c r="AC45" s="553">
        <f t="shared" ref="AC45:AC54" si="13">100%*AC22</f>
        <v>383866.29683871724</v>
      </c>
      <c r="AD45" s="554"/>
      <c r="AE45" s="557"/>
    </row>
    <row r="46" spans="1:34" ht="13.5" thickBot="1">
      <c r="A46" s="885"/>
      <c r="B46" s="885"/>
      <c r="C46" s="250" t="s">
        <v>650</v>
      </c>
      <c r="D46" s="245"/>
      <c r="E46" s="246"/>
      <c r="F46" s="247"/>
      <c r="G46" s="245"/>
      <c r="H46" s="245"/>
      <c r="I46" s="246"/>
      <c r="J46" s="247"/>
      <c r="K46" s="245"/>
      <c r="L46" s="245"/>
      <c r="M46" s="246"/>
      <c r="N46" s="554"/>
      <c r="O46" s="553">
        <f t="shared" ref="O46:O49" si="14">100%*O23</f>
        <v>1254668.5056774786</v>
      </c>
      <c r="P46" s="555"/>
      <c r="Q46" s="556"/>
      <c r="R46" s="554"/>
      <c r="S46" s="555"/>
      <c r="T46" s="555"/>
      <c r="U46" s="553">
        <f t="shared" si="11"/>
        <v>532701.95031193167</v>
      </c>
      <c r="V46" s="554"/>
      <c r="W46" s="555"/>
      <c r="X46" s="555"/>
      <c r="Y46" s="553">
        <f t="shared" si="12"/>
        <v>386722.97036930104</v>
      </c>
      <c r="Z46" s="554"/>
      <c r="AA46" s="555"/>
      <c r="AB46" s="555"/>
      <c r="AC46" s="553">
        <f t="shared" si="13"/>
        <v>340754.88467294956</v>
      </c>
      <c r="AD46" s="554"/>
      <c r="AE46" s="557"/>
    </row>
    <row r="47" spans="1:34" ht="13.5" thickBot="1">
      <c r="A47" s="885"/>
      <c r="B47" s="885"/>
      <c r="C47" s="250" t="s">
        <v>651</v>
      </c>
      <c r="D47" s="245"/>
      <c r="E47" s="246"/>
      <c r="F47" s="247"/>
      <c r="G47" s="245"/>
      <c r="H47" s="245"/>
      <c r="I47" s="246"/>
      <c r="J47" s="247"/>
      <c r="K47" s="245"/>
      <c r="L47" s="245"/>
      <c r="M47" s="246"/>
      <c r="N47" s="554"/>
      <c r="O47" s="553">
        <f t="shared" si="14"/>
        <v>1301690.0420774792</v>
      </c>
      <c r="P47" s="555"/>
      <c r="Q47" s="556"/>
      <c r="R47" s="554"/>
      <c r="S47" s="555"/>
      <c r="T47" s="555"/>
      <c r="U47" s="553">
        <f t="shared" si="11"/>
        <v>621327.22764082055</v>
      </c>
      <c r="V47" s="554"/>
      <c r="W47" s="555"/>
      <c r="X47" s="555"/>
      <c r="Y47" s="553">
        <f t="shared" si="12"/>
        <v>419278.75028355728</v>
      </c>
      <c r="Z47" s="554"/>
      <c r="AA47" s="555"/>
      <c r="AB47" s="555"/>
      <c r="AC47" s="553">
        <f t="shared" si="13"/>
        <v>339109.60402547481</v>
      </c>
      <c r="AD47" s="554"/>
      <c r="AE47" s="557"/>
    </row>
    <row r="48" spans="1:34" ht="13.5" thickBot="1">
      <c r="A48" s="885"/>
      <c r="B48" s="885"/>
      <c r="C48" s="250" t="s">
        <v>652</v>
      </c>
      <c r="D48" s="245"/>
      <c r="E48" s="246"/>
      <c r="F48" s="247"/>
      <c r="G48" s="245"/>
      <c r="H48" s="245"/>
      <c r="I48" s="246"/>
      <c r="J48" s="247"/>
      <c r="K48" s="245"/>
      <c r="L48" s="245"/>
      <c r="M48" s="246"/>
      <c r="N48" s="554"/>
      <c r="O48" s="553">
        <f t="shared" si="14"/>
        <v>1294438.8056774789</v>
      </c>
      <c r="P48" s="555"/>
      <c r="Q48" s="556"/>
      <c r="R48" s="554"/>
      <c r="S48" s="555"/>
      <c r="T48" s="555"/>
      <c r="U48" s="553">
        <f t="shared" si="11"/>
        <v>630397.96144493448</v>
      </c>
      <c r="V48" s="554"/>
      <c r="W48" s="555"/>
      <c r="X48" s="555"/>
      <c r="Y48" s="553">
        <f t="shared" si="12"/>
        <v>389545.90428479301</v>
      </c>
      <c r="Z48" s="554"/>
      <c r="AA48" s="555"/>
      <c r="AB48" s="555"/>
      <c r="AC48" s="553">
        <f t="shared" si="13"/>
        <v>384702.01674266678</v>
      </c>
      <c r="AD48" s="554"/>
      <c r="AE48" s="557"/>
    </row>
    <row r="49" spans="1:34" ht="13.5" thickBot="1">
      <c r="A49" s="885"/>
      <c r="B49" s="885"/>
      <c r="C49" s="250" t="s">
        <v>653</v>
      </c>
      <c r="D49" s="245"/>
      <c r="E49" s="246"/>
      <c r="F49" s="247"/>
      <c r="G49" s="245"/>
      <c r="H49" s="245"/>
      <c r="I49" s="246"/>
      <c r="J49" s="247"/>
      <c r="K49" s="245"/>
      <c r="L49" s="245"/>
      <c r="M49" s="246"/>
      <c r="N49" s="554"/>
      <c r="O49" s="553">
        <f t="shared" si="14"/>
        <v>1444657.7800151857</v>
      </c>
      <c r="P49" s="555"/>
      <c r="Q49" s="556"/>
      <c r="R49" s="554"/>
      <c r="S49" s="555"/>
      <c r="T49" s="555"/>
      <c r="U49" s="553">
        <f t="shared" si="11"/>
        <v>833419.86923489126</v>
      </c>
      <c r="V49" s="554"/>
      <c r="W49" s="555"/>
      <c r="X49" s="555"/>
      <c r="Y49" s="553">
        <f t="shared" si="12"/>
        <v>450361.82014680671</v>
      </c>
      <c r="Z49" s="554"/>
      <c r="AA49" s="555"/>
      <c r="AB49" s="555"/>
      <c r="AC49" s="553">
        <f t="shared" si="13"/>
        <v>446529.92484236369</v>
      </c>
      <c r="AD49" s="554"/>
      <c r="AE49" s="557"/>
    </row>
    <row r="50" spans="1:34" ht="12.95" customHeight="1" thickBot="1">
      <c r="A50" s="885"/>
      <c r="B50" s="885"/>
      <c r="C50" s="250" t="s">
        <v>654</v>
      </c>
      <c r="D50" s="248"/>
      <c r="E50" s="249"/>
      <c r="F50" s="247"/>
      <c r="G50" s="248"/>
      <c r="H50" s="248"/>
      <c r="I50" s="249"/>
      <c r="J50" s="247"/>
      <c r="K50" s="248"/>
      <c r="L50" s="248"/>
      <c r="M50" s="249"/>
      <c r="N50" s="558"/>
      <c r="O50" s="559"/>
      <c r="P50" s="559"/>
      <c r="Q50" s="559"/>
      <c r="R50" s="554"/>
      <c r="S50" s="555"/>
      <c r="T50" s="555"/>
      <c r="U50" s="553">
        <f t="shared" si="11"/>
        <v>343788.32869267726</v>
      </c>
      <c r="V50" s="554"/>
      <c r="W50" s="555"/>
      <c r="X50" s="555"/>
      <c r="Y50" s="553">
        <f t="shared" si="12"/>
        <v>286759.11600842135</v>
      </c>
      <c r="Z50" s="554"/>
      <c r="AA50" s="555"/>
      <c r="AB50" s="555"/>
      <c r="AC50" s="553">
        <f t="shared" si="13"/>
        <v>388538.5860147677</v>
      </c>
      <c r="AD50" s="554"/>
      <c r="AE50" s="557"/>
    </row>
    <row r="51" spans="1:34" ht="12.95" customHeight="1" thickBot="1">
      <c r="A51" s="885"/>
      <c r="B51" s="885"/>
      <c r="C51" s="250" t="s">
        <v>655</v>
      </c>
      <c r="D51" s="248"/>
      <c r="E51" s="249"/>
      <c r="F51" s="247"/>
      <c r="G51" s="248"/>
      <c r="H51" s="248"/>
      <c r="I51" s="249"/>
      <c r="J51" s="247"/>
      <c r="K51" s="248"/>
      <c r="L51" s="248"/>
      <c r="M51" s="249"/>
      <c r="N51" s="558"/>
      <c r="O51" s="559"/>
      <c r="P51" s="559"/>
      <c r="Q51" s="559"/>
      <c r="R51" s="554"/>
      <c r="S51" s="555"/>
      <c r="T51" s="555"/>
      <c r="U51" s="553">
        <f t="shared" si="11"/>
        <v>342262.62844372983</v>
      </c>
      <c r="V51" s="554"/>
      <c r="W51" s="555"/>
      <c r="X51" s="555"/>
      <c r="Y51" s="553">
        <f t="shared" si="12"/>
        <v>234227.43195734583</v>
      </c>
      <c r="Z51" s="554"/>
      <c r="AA51" s="555"/>
      <c r="AB51" s="555"/>
      <c r="AC51" s="553">
        <f t="shared" si="13"/>
        <v>313863.14757406071</v>
      </c>
      <c r="AD51" s="554"/>
      <c r="AE51" s="557"/>
    </row>
    <row r="52" spans="1:34" ht="12.95" customHeight="1" thickBot="1">
      <c r="A52" s="885"/>
      <c r="B52" s="885"/>
      <c r="C52" s="250" t="s">
        <v>656</v>
      </c>
      <c r="D52" s="248"/>
      <c r="E52" s="249"/>
      <c r="F52" s="247"/>
      <c r="G52" s="248"/>
      <c r="H52" s="248"/>
      <c r="I52" s="249"/>
      <c r="J52" s="247"/>
      <c r="K52" s="248"/>
      <c r="L52" s="248"/>
      <c r="M52" s="249"/>
      <c r="N52" s="558"/>
      <c r="O52" s="559"/>
      <c r="P52" s="559"/>
      <c r="Q52" s="559"/>
      <c r="R52" s="554"/>
      <c r="S52" s="555"/>
      <c r="T52" s="555"/>
      <c r="U52" s="553">
        <f t="shared" si="11"/>
        <v>356124.3675565368</v>
      </c>
      <c r="V52" s="554"/>
      <c r="W52" s="555"/>
      <c r="X52" s="555"/>
      <c r="Y52" s="553">
        <f t="shared" si="12"/>
        <v>317328.54174231173</v>
      </c>
      <c r="Z52" s="554"/>
      <c r="AA52" s="555"/>
      <c r="AB52" s="555"/>
      <c r="AC52" s="553">
        <f t="shared" si="13"/>
        <v>327546.57208044443</v>
      </c>
      <c r="AD52" s="554"/>
      <c r="AE52" s="557"/>
    </row>
    <row r="53" spans="1:34" ht="12.95" customHeight="1" thickBot="1">
      <c r="A53" s="885"/>
      <c r="B53" s="885"/>
      <c r="C53" s="250" t="s">
        <v>657</v>
      </c>
      <c r="D53" s="248"/>
      <c r="E53" s="249"/>
      <c r="F53" s="247"/>
      <c r="G53" s="248"/>
      <c r="H53" s="248"/>
      <c r="I53" s="249"/>
      <c r="J53" s="247"/>
      <c r="K53" s="248"/>
      <c r="L53" s="248"/>
      <c r="M53" s="249"/>
      <c r="N53" s="558"/>
      <c r="O53" s="559"/>
      <c r="P53" s="559"/>
      <c r="Q53" s="560"/>
      <c r="R53" s="558"/>
      <c r="S53" s="559"/>
      <c r="T53" s="559"/>
      <c r="U53" s="560"/>
      <c r="V53" s="558"/>
      <c r="W53" s="559"/>
      <c r="X53" s="559"/>
      <c r="Y53" s="560"/>
      <c r="Z53" s="554"/>
      <c r="AA53" s="555"/>
      <c r="AB53" s="555"/>
      <c r="AC53" s="553">
        <f t="shared" si="13"/>
        <v>256430.84002983838</v>
      </c>
      <c r="AD53" s="554"/>
      <c r="AE53" s="557"/>
    </row>
    <row r="54" spans="1:34" ht="12.95" customHeight="1" thickBot="1">
      <c r="A54" s="885"/>
      <c r="B54" s="885"/>
      <c r="C54" s="250" t="s">
        <v>658</v>
      </c>
      <c r="D54" s="248"/>
      <c r="E54" s="249"/>
      <c r="F54" s="247"/>
      <c r="G54" s="248"/>
      <c r="H54" s="248"/>
      <c r="I54" s="249"/>
      <c r="J54" s="247"/>
      <c r="K54" s="248"/>
      <c r="L54" s="248"/>
      <c r="M54" s="249"/>
      <c r="N54" s="558"/>
      <c r="O54" s="559"/>
      <c r="P54" s="559"/>
      <c r="Q54" s="560"/>
      <c r="R54" s="558"/>
      <c r="S54" s="559"/>
      <c r="T54" s="559"/>
      <c r="U54" s="560"/>
      <c r="V54" s="558"/>
      <c r="W54" s="559"/>
      <c r="X54" s="559"/>
      <c r="Y54" s="560"/>
      <c r="Z54" s="554"/>
      <c r="AA54" s="555"/>
      <c r="AB54" s="555"/>
      <c r="AC54" s="553">
        <f t="shared" si="13"/>
        <v>349138.68442426273</v>
      </c>
      <c r="AD54" s="554"/>
      <c r="AE54" s="557"/>
    </row>
    <row r="55" spans="1:34" ht="12.95" hidden="1" customHeight="1" thickBot="1">
      <c r="A55" s="885"/>
      <c r="B55" s="298"/>
      <c r="C55" s="9" t="s">
        <v>295</v>
      </c>
      <c r="D55" s="241" t="s">
        <v>632</v>
      </c>
      <c r="E55" s="241" t="s">
        <v>632</v>
      </c>
      <c r="F55" s="243" t="s">
        <v>646</v>
      </c>
      <c r="G55" s="241" t="s">
        <v>646</v>
      </c>
      <c r="H55" s="241" t="s">
        <v>646</v>
      </c>
      <c r="I55" s="244" t="s">
        <v>646</v>
      </c>
      <c r="J55" s="195">
        <f>'State DisAgg LFx10 (2015)'!D45</f>
        <v>1</v>
      </c>
      <c r="K55" s="196"/>
      <c r="L55" s="196"/>
      <c r="M55" s="197"/>
      <c r="N55" s="195"/>
      <c r="O55" s="196">
        <f>'State DisAgg LFx10 (2015)'!H55</f>
        <v>2</v>
      </c>
      <c r="P55" s="196"/>
      <c r="Q55" s="197"/>
      <c r="R55" s="195"/>
      <c r="S55" s="196"/>
      <c r="T55" s="196"/>
      <c r="U55" s="197">
        <f>'State DisAgg LFx10 (2015)'!L55</f>
        <v>2.6</v>
      </c>
      <c r="V55" s="195"/>
      <c r="W55" s="196"/>
      <c r="X55" s="196"/>
      <c r="Y55" s="197">
        <f>'State DisAgg LFx10 (2015)'!P55</f>
        <v>2.2999999999999998</v>
      </c>
      <c r="Z55" s="195"/>
      <c r="AA55" s="196"/>
      <c r="AB55" s="196"/>
      <c r="AC55" s="197">
        <f>'State DisAgg LFx10 (2015)'!T55</f>
        <v>0</v>
      </c>
      <c r="AD55" s="195"/>
      <c r="AE55" s="197"/>
      <c r="AF55" s="4"/>
      <c r="AG55" s="121"/>
      <c r="AH55" s="121"/>
    </row>
    <row r="56" spans="1:34" ht="12.95" hidden="1" customHeight="1" thickBot="1">
      <c r="A56" s="885"/>
      <c r="B56" s="298"/>
      <c r="C56" s="9" t="s">
        <v>296</v>
      </c>
      <c r="D56" s="241" t="s">
        <v>632</v>
      </c>
      <c r="E56" s="241" t="s">
        <v>632</v>
      </c>
      <c r="F56" s="243" t="s">
        <v>646</v>
      </c>
      <c r="G56" s="241" t="s">
        <v>646</v>
      </c>
      <c r="H56" s="241" t="s">
        <v>646</v>
      </c>
      <c r="I56" s="244" t="s">
        <v>646</v>
      </c>
      <c r="J56" s="195">
        <f>'State DisAgg LFx10 (2015)'!D46</f>
        <v>1</v>
      </c>
      <c r="K56" s="196"/>
      <c r="L56" s="196"/>
      <c r="M56" s="197"/>
      <c r="N56" s="195"/>
      <c r="O56" s="196">
        <f>'State DisAgg LFx10 (2015)'!H56</f>
        <v>1.5</v>
      </c>
      <c r="P56" s="196"/>
      <c r="Q56" s="197"/>
      <c r="R56" s="195"/>
      <c r="S56" s="196"/>
      <c r="T56" s="196"/>
      <c r="U56" s="197">
        <f>'State DisAgg LFx10 (2015)'!L56</f>
        <v>2</v>
      </c>
      <c r="V56" s="195"/>
      <c r="W56" s="196"/>
      <c r="X56" s="196"/>
      <c r="Y56" s="197">
        <f>'State DisAgg LFx10 (2015)'!P56</f>
        <v>3.5</v>
      </c>
      <c r="Z56" s="195"/>
      <c r="AA56" s="196"/>
      <c r="AB56" s="196"/>
      <c r="AC56" s="197">
        <f>'State DisAgg LFx10 (2015)'!T56</f>
        <v>0</v>
      </c>
      <c r="AD56" s="195"/>
      <c r="AE56" s="197"/>
      <c r="AF56" s="4"/>
      <c r="AG56" s="121"/>
      <c r="AH56" s="121"/>
    </row>
    <row r="57" spans="1:34" ht="12.95" hidden="1" customHeight="1" thickBot="1">
      <c r="A57" s="885"/>
      <c r="B57" s="298"/>
      <c r="C57" s="9" t="s">
        <v>297</v>
      </c>
      <c r="D57" s="241" t="s">
        <v>632</v>
      </c>
      <c r="E57" s="241" t="s">
        <v>632</v>
      </c>
      <c r="F57" s="243" t="s">
        <v>646</v>
      </c>
      <c r="G57" s="241" t="s">
        <v>646</v>
      </c>
      <c r="H57" s="241" t="s">
        <v>646</v>
      </c>
      <c r="I57" s="244" t="s">
        <v>646</v>
      </c>
      <c r="J57" s="195">
        <f>'State DisAgg LFx10 (2015)'!D47</f>
        <v>1</v>
      </c>
      <c r="K57" s="196"/>
      <c r="L57" s="196"/>
      <c r="M57" s="197"/>
      <c r="N57" s="195"/>
      <c r="O57" s="196">
        <f>'State DisAgg LFx10 (2015)'!H57</f>
        <v>1</v>
      </c>
      <c r="P57" s="196"/>
      <c r="Q57" s="197"/>
      <c r="R57" s="195"/>
      <c r="S57" s="196"/>
      <c r="T57" s="196"/>
      <c r="U57" s="197">
        <f>'State DisAgg LFx10 (2015)'!L57</f>
        <v>2.1</v>
      </c>
      <c r="V57" s="195"/>
      <c r="W57" s="196"/>
      <c r="X57" s="196"/>
      <c r="Y57" s="197">
        <f>'State DisAgg LFx10 (2015)'!P57</f>
        <v>2.4</v>
      </c>
      <c r="Z57" s="195"/>
      <c r="AA57" s="196"/>
      <c r="AB57" s="196"/>
      <c r="AC57" s="197">
        <f>'State DisAgg LFx10 (2015)'!T57</f>
        <v>0</v>
      </c>
      <c r="AD57" s="195"/>
      <c r="AE57" s="197"/>
      <c r="AF57" s="4"/>
      <c r="AG57" s="121"/>
      <c r="AH57" s="121"/>
    </row>
    <row r="58" spans="1:34" ht="12.95" hidden="1" customHeight="1" thickBot="1">
      <c r="A58" s="885"/>
      <c r="B58" s="298"/>
      <c r="C58" s="9" t="s">
        <v>298</v>
      </c>
      <c r="D58" s="241" t="s">
        <v>632</v>
      </c>
      <c r="E58" s="241" t="s">
        <v>632</v>
      </c>
      <c r="F58" s="243" t="s">
        <v>646</v>
      </c>
      <c r="G58" s="241" t="s">
        <v>646</v>
      </c>
      <c r="H58" s="241" t="s">
        <v>646</v>
      </c>
      <c r="I58" s="244" t="s">
        <v>646</v>
      </c>
      <c r="J58" s="195">
        <f>'State DisAgg LFx10 (2015)'!D48</f>
        <v>1</v>
      </c>
      <c r="K58" s="196"/>
      <c r="L58" s="196"/>
      <c r="M58" s="197"/>
      <c r="N58" s="195"/>
      <c r="O58" s="196">
        <f>'State DisAgg LFx10 (2015)'!H58</f>
        <v>2</v>
      </c>
      <c r="P58" s="196"/>
      <c r="Q58" s="197"/>
      <c r="R58" s="195"/>
      <c r="S58" s="196"/>
      <c r="T58" s="196"/>
      <c r="U58" s="197">
        <f>'State DisAgg LFx10 (2015)'!L58</f>
        <v>2.2999999999999998</v>
      </c>
      <c r="V58" s="195"/>
      <c r="W58" s="196"/>
      <c r="X58" s="196"/>
      <c r="Y58" s="197">
        <f>'State DisAgg LFx10 (2015)'!P58</f>
        <v>2.2999999999999998</v>
      </c>
      <c r="Z58" s="195"/>
      <c r="AA58" s="196"/>
      <c r="AB58" s="196"/>
      <c r="AC58" s="197">
        <f>'State DisAgg LFx10 (2015)'!T58</f>
        <v>0</v>
      </c>
      <c r="AD58" s="195"/>
      <c r="AE58" s="197"/>
      <c r="AF58" s="4"/>
      <c r="AG58" s="121"/>
      <c r="AH58" s="121"/>
    </row>
    <row r="59" spans="1:34" ht="12.95" hidden="1" customHeight="1" thickBot="1">
      <c r="A59" s="885"/>
      <c r="B59" s="298"/>
      <c r="C59" s="9" t="s">
        <v>299</v>
      </c>
      <c r="D59" s="241" t="s">
        <v>632</v>
      </c>
      <c r="E59" s="241" t="s">
        <v>632</v>
      </c>
      <c r="F59" s="243" t="s">
        <v>646</v>
      </c>
      <c r="G59" s="241" t="s">
        <v>646</v>
      </c>
      <c r="H59" s="241" t="s">
        <v>646</v>
      </c>
      <c r="I59" s="244" t="s">
        <v>646</v>
      </c>
      <c r="J59" s="195">
        <f>'State DisAgg LFx10 (2015)'!D49</f>
        <v>1</v>
      </c>
      <c r="K59" s="196"/>
      <c r="L59" s="196"/>
      <c r="M59" s="197"/>
      <c r="N59" s="195"/>
      <c r="O59" s="196">
        <f>'State DisAgg LFx10 (2015)'!H59</f>
        <v>1.5</v>
      </c>
      <c r="P59" s="196"/>
      <c r="Q59" s="197"/>
      <c r="R59" s="195"/>
      <c r="S59" s="196"/>
      <c r="T59" s="196"/>
      <c r="U59" s="197">
        <f>'State DisAgg LFx10 (2015)'!L59</f>
        <v>2</v>
      </c>
      <c r="V59" s="195"/>
      <c r="W59" s="196"/>
      <c r="X59" s="196"/>
      <c r="Y59" s="197">
        <f>'State DisAgg LFx10 (2015)'!P59</f>
        <v>2.5</v>
      </c>
      <c r="Z59" s="195"/>
      <c r="AA59" s="196"/>
      <c r="AB59" s="196"/>
      <c r="AC59" s="197">
        <f>'State DisAgg LFx10 (2015)'!T59</f>
        <v>0</v>
      </c>
      <c r="AD59" s="195"/>
      <c r="AE59" s="197"/>
      <c r="AF59" s="4"/>
      <c r="AG59" s="121"/>
      <c r="AH59" s="121"/>
    </row>
    <row r="60" spans="1:34" ht="24.75" hidden="1" thickBot="1">
      <c r="A60" s="885"/>
      <c r="B60" s="298"/>
      <c r="C60" s="9" t="s">
        <v>300</v>
      </c>
      <c r="D60" s="199"/>
      <c r="E60" s="200"/>
      <c r="F60" s="201"/>
      <c r="G60" s="199"/>
      <c r="H60" s="199"/>
      <c r="I60" s="200"/>
      <c r="J60" s="201"/>
      <c r="K60" s="199"/>
      <c r="L60" s="199"/>
      <c r="M60" s="200"/>
      <c r="N60" s="198"/>
      <c r="O60" s="217" t="s">
        <v>634</v>
      </c>
      <c r="P60" s="241" t="s">
        <v>632</v>
      </c>
      <c r="Q60" s="244" t="s">
        <v>646</v>
      </c>
      <c r="R60" s="195">
        <f>'State DisAgg LFx10 (2015)'!H50</f>
        <v>1</v>
      </c>
      <c r="S60" s="196"/>
      <c r="T60" s="196"/>
      <c r="U60" s="197">
        <f>'State DisAgg LFx10 (2015)'!L60</f>
        <v>1</v>
      </c>
      <c r="V60" s="195"/>
      <c r="W60" s="196"/>
      <c r="X60" s="196"/>
      <c r="Y60" s="197">
        <f>'State DisAgg LFx10 (2015)'!P60</f>
        <v>1.2</v>
      </c>
      <c r="Z60" s="195"/>
      <c r="AA60" s="196"/>
      <c r="AB60" s="196"/>
      <c r="AC60" s="197">
        <f>'State DisAgg LFx10 (2015)'!T60</f>
        <v>0</v>
      </c>
      <c r="AD60" s="195"/>
      <c r="AE60" s="197"/>
      <c r="AF60" s="4"/>
      <c r="AG60" s="121"/>
      <c r="AH60" s="121"/>
    </row>
    <row r="61" spans="1:34" ht="13.5" hidden="1" thickBot="1">
      <c r="A61" s="885"/>
      <c r="B61" s="298"/>
      <c r="C61" s="9" t="s">
        <v>301</v>
      </c>
      <c r="D61" s="199"/>
      <c r="E61" s="200"/>
      <c r="F61" s="201"/>
      <c r="G61" s="199"/>
      <c r="H61" s="199"/>
      <c r="I61" s="200"/>
      <c r="J61" s="201"/>
      <c r="K61" s="199"/>
      <c r="L61" s="199"/>
      <c r="M61" s="200"/>
      <c r="N61" s="198"/>
      <c r="O61" s="217" t="s">
        <v>634</v>
      </c>
      <c r="P61" s="241" t="s">
        <v>632</v>
      </c>
      <c r="Q61" s="244" t="s">
        <v>646</v>
      </c>
      <c r="R61" s="195">
        <f>'State DisAgg LFx10 (2015)'!H51</f>
        <v>1</v>
      </c>
      <c r="S61" s="196"/>
      <c r="T61" s="196"/>
      <c r="U61" s="197">
        <f>'State DisAgg LFx10 (2015)'!L61</f>
        <v>1</v>
      </c>
      <c r="V61" s="195"/>
      <c r="W61" s="196"/>
      <c r="X61" s="196"/>
      <c r="Y61" s="197">
        <f>'State DisAgg LFx10 (2015)'!P61</f>
        <v>1.2</v>
      </c>
      <c r="Z61" s="195"/>
      <c r="AA61" s="196"/>
      <c r="AB61" s="196"/>
      <c r="AC61" s="197">
        <f>'State DisAgg LFx10 (2015)'!T61</f>
        <v>0</v>
      </c>
      <c r="AD61" s="195"/>
      <c r="AE61" s="197"/>
      <c r="AF61" s="4"/>
      <c r="AG61" s="121"/>
      <c r="AH61" s="121"/>
    </row>
    <row r="62" spans="1:34" ht="13.5" hidden="1" thickBot="1">
      <c r="A62" s="885"/>
      <c r="B62" s="298"/>
      <c r="C62" s="9" t="s">
        <v>302</v>
      </c>
      <c r="D62" s="199"/>
      <c r="E62" s="200"/>
      <c r="F62" s="201"/>
      <c r="G62" s="199"/>
      <c r="H62" s="199"/>
      <c r="I62" s="200"/>
      <c r="J62" s="201"/>
      <c r="K62" s="199"/>
      <c r="L62" s="199"/>
      <c r="M62" s="200"/>
      <c r="N62" s="198"/>
      <c r="O62" s="217" t="s">
        <v>634</v>
      </c>
      <c r="P62" s="241" t="s">
        <v>632</v>
      </c>
      <c r="Q62" s="244" t="s">
        <v>646</v>
      </c>
      <c r="R62" s="195">
        <f>'State DisAgg LFx10 (2015)'!H52</f>
        <v>1</v>
      </c>
      <c r="S62" s="196"/>
      <c r="T62" s="196"/>
      <c r="U62" s="197">
        <f>'State DisAgg LFx10 (2015)'!L62</f>
        <v>1</v>
      </c>
      <c r="V62" s="195"/>
      <c r="W62" s="196"/>
      <c r="X62" s="196"/>
      <c r="Y62" s="197">
        <f>'State DisAgg LFx10 (2015)'!P62</f>
        <v>3.1</v>
      </c>
      <c r="Z62" s="195"/>
      <c r="AA62" s="196"/>
      <c r="AB62" s="196"/>
      <c r="AC62" s="197">
        <f>'State DisAgg LFx10 (2015)'!T62</f>
        <v>0</v>
      </c>
      <c r="AD62" s="195"/>
      <c r="AE62" s="197"/>
      <c r="AF62" s="4"/>
      <c r="AG62" s="121"/>
      <c r="AH62" s="121"/>
    </row>
    <row r="63" spans="1:34" ht="24.75" hidden="1" thickBot="1">
      <c r="A63" s="885"/>
      <c r="B63" s="298"/>
      <c r="C63" s="9" t="s">
        <v>303</v>
      </c>
      <c r="D63" s="202"/>
      <c r="E63" s="203"/>
      <c r="F63" s="201"/>
      <c r="G63" s="202"/>
      <c r="H63" s="202"/>
      <c r="I63" s="203"/>
      <c r="J63" s="201"/>
      <c r="K63" s="202"/>
      <c r="L63" s="202"/>
      <c r="M63" s="203"/>
      <c r="N63" s="204"/>
      <c r="O63" s="214"/>
      <c r="P63" s="205"/>
      <c r="Q63" s="205"/>
      <c r="R63" s="201"/>
      <c r="S63" s="202"/>
      <c r="T63" s="202"/>
      <c r="U63" s="203"/>
      <c r="V63" s="242"/>
      <c r="W63" s="217" t="s">
        <v>633</v>
      </c>
      <c r="X63" s="241" t="s">
        <v>632</v>
      </c>
      <c r="Y63" s="197">
        <f>'State DisAgg LFx10 (2015)'!P53</f>
        <v>0</v>
      </c>
      <c r="Z63" s="195"/>
      <c r="AA63" s="196"/>
      <c r="AB63" s="196"/>
      <c r="AC63" s="197">
        <f>'State DisAgg LFx10 (2015)'!T63</f>
        <v>0</v>
      </c>
      <c r="AD63" s="195"/>
      <c r="AE63" s="197"/>
      <c r="AF63" s="4"/>
      <c r="AG63" s="121"/>
      <c r="AH63" s="121"/>
    </row>
    <row r="64" spans="1:34" ht="13.5" hidden="1" thickBot="1">
      <c r="A64" s="885"/>
      <c r="B64" s="298"/>
      <c r="C64" s="9" t="s">
        <v>304</v>
      </c>
      <c r="D64" s="202"/>
      <c r="E64" s="203"/>
      <c r="F64" s="201"/>
      <c r="G64" s="202"/>
      <c r="H64" s="202"/>
      <c r="I64" s="203"/>
      <c r="J64" s="201"/>
      <c r="K64" s="202"/>
      <c r="L64" s="202"/>
      <c r="M64" s="203"/>
      <c r="N64" s="204"/>
      <c r="O64" s="205"/>
      <c r="P64" s="205"/>
      <c r="Q64" s="205"/>
      <c r="R64" s="201"/>
      <c r="S64" s="202"/>
      <c r="T64" s="202"/>
      <c r="U64" s="203"/>
      <c r="V64" s="242"/>
      <c r="W64" s="217" t="s">
        <v>633</v>
      </c>
      <c r="X64" s="241" t="s">
        <v>632</v>
      </c>
      <c r="Y64" s="197">
        <f>'State DisAgg LFx10 (2015)'!P54</f>
        <v>1.2</v>
      </c>
      <c r="Z64" s="195"/>
      <c r="AA64" s="196"/>
      <c r="AB64" s="196"/>
      <c r="AC64" s="197">
        <f>'State DisAgg LFx10 (2015)'!T64</f>
        <v>0</v>
      </c>
      <c r="AD64" s="195"/>
      <c r="AE64" s="197"/>
      <c r="AF64" s="4"/>
      <c r="AG64" s="121"/>
      <c r="AH64" s="121"/>
    </row>
    <row r="65" spans="1:31" ht="12.95" hidden="1" customHeight="1" thickBot="1">
      <c r="A65" s="885"/>
      <c r="B65" s="298"/>
      <c r="C65" s="231"/>
      <c r="D65" s="232"/>
      <c r="E65" s="233"/>
      <c r="F65" s="234"/>
      <c r="G65" s="232"/>
      <c r="H65" s="232"/>
      <c r="I65" s="233"/>
      <c r="J65" s="234"/>
      <c r="K65" s="232"/>
      <c r="L65" s="232"/>
      <c r="M65" s="233"/>
      <c r="N65" s="234"/>
      <c r="O65" s="232"/>
      <c r="P65" s="232"/>
      <c r="Q65" s="233"/>
      <c r="R65" s="234"/>
      <c r="S65" s="232"/>
      <c r="T65" s="232"/>
      <c r="U65" s="233"/>
      <c r="V65" s="234"/>
      <c r="W65" s="232"/>
      <c r="X65" s="232"/>
      <c r="Y65" s="233"/>
      <c r="Z65" s="234"/>
      <c r="AA65" s="232"/>
      <c r="AB65" s="232"/>
      <c r="AC65" s="233"/>
      <c r="AD65" s="234"/>
      <c r="AE65" s="233"/>
    </row>
    <row r="66" spans="1:31" ht="12.95" hidden="1" customHeight="1" thickBot="1">
      <c r="A66" s="885"/>
      <c r="B66" s="298"/>
      <c r="C66" s="231"/>
      <c r="D66" s="232"/>
      <c r="E66" s="233"/>
      <c r="F66" s="234"/>
      <c r="G66" s="232"/>
      <c r="H66" s="232"/>
      <c r="I66" s="233"/>
      <c r="J66" s="234"/>
      <c r="K66" s="232"/>
      <c r="L66" s="232"/>
      <c r="M66" s="233"/>
      <c r="N66" s="234"/>
      <c r="O66" s="232"/>
      <c r="P66" s="232"/>
      <c r="Q66" s="233"/>
      <c r="R66" s="234"/>
      <c r="S66" s="232"/>
      <c r="T66" s="232"/>
      <c r="U66" s="233"/>
      <c r="V66" s="234"/>
      <c r="W66" s="232"/>
      <c r="X66" s="232"/>
      <c r="Y66" s="233"/>
      <c r="Z66" s="234"/>
      <c r="AA66" s="232"/>
      <c r="AB66" s="232"/>
      <c r="AC66" s="233"/>
      <c r="AD66" s="234"/>
      <c r="AE66" s="233"/>
    </row>
    <row r="67" spans="1:31" ht="12.95" customHeight="1" thickBot="1">
      <c r="A67" s="885"/>
      <c r="B67" s="3" t="s">
        <v>37</v>
      </c>
      <c r="C67" s="12"/>
      <c r="D67" s="1377">
        <v>2008</v>
      </c>
      <c r="E67" s="1378"/>
      <c r="F67" s="1372">
        <v>2009</v>
      </c>
      <c r="G67" s="1373"/>
      <c r="H67" s="1373"/>
      <c r="I67" s="1374"/>
      <c r="J67" s="1372">
        <v>2010</v>
      </c>
      <c r="K67" s="1373"/>
      <c r="L67" s="1373"/>
      <c r="M67" s="1374"/>
      <c r="N67" s="1372">
        <v>2011</v>
      </c>
      <c r="O67" s="1373"/>
      <c r="P67" s="1373"/>
      <c r="Q67" s="1374"/>
      <c r="R67" s="1372">
        <v>2012</v>
      </c>
      <c r="S67" s="1373"/>
      <c r="T67" s="1373"/>
      <c r="U67" s="1374"/>
      <c r="V67" s="1372">
        <v>2013</v>
      </c>
      <c r="W67" s="1373"/>
      <c r="X67" s="1373"/>
      <c r="Y67" s="1374"/>
      <c r="Z67" s="1372">
        <v>2014</v>
      </c>
      <c r="AA67" s="1373"/>
      <c r="AB67" s="1373"/>
      <c r="AC67" s="1374"/>
      <c r="AD67" s="1372">
        <v>2015</v>
      </c>
      <c r="AE67" s="1374"/>
    </row>
    <row r="68" spans="1:31" ht="12.95" customHeight="1" thickBot="1">
      <c r="A68" s="1375"/>
      <c r="B68" s="868" t="s">
        <v>148</v>
      </c>
      <c r="C68" s="91"/>
      <c r="D68" s="1379" t="str">
        <f>'State Efficiency Ratios'!D68</f>
        <v>FR, PP, FoI and SC combined (average)</v>
      </c>
      <c r="E68" s="1380"/>
      <c r="F68" s="1380"/>
      <c r="G68" s="1380"/>
      <c r="H68" s="1380"/>
      <c r="I68" s="1380"/>
      <c r="J68" s="1380"/>
      <c r="K68" s="1380"/>
      <c r="L68" s="1380"/>
      <c r="M68" s="1380"/>
      <c r="N68" s="1380"/>
      <c r="O68" s="1380"/>
      <c r="P68" s="1380"/>
      <c r="Q68" s="1380"/>
      <c r="R68" s="1380"/>
      <c r="S68" s="1380"/>
      <c r="T68" s="1380"/>
      <c r="U68" s="1380"/>
      <c r="V68" s="1380"/>
      <c r="W68" s="1380"/>
      <c r="X68" s="1380"/>
      <c r="Y68" s="1380"/>
      <c r="Z68" s="1380"/>
      <c r="AA68" s="1380"/>
      <c r="AB68" s="1380"/>
      <c r="AC68" s="1380"/>
      <c r="AD68" s="1380"/>
      <c r="AE68" s="1381"/>
    </row>
    <row r="69" spans="1:31" ht="13.5" thickBot="1">
      <c r="A69" s="1375"/>
      <c r="B69" s="885"/>
      <c r="C69" s="250" t="s">
        <v>649</v>
      </c>
      <c r="D69" s="245"/>
      <c r="E69" s="246"/>
      <c r="F69" s="247"/>
      <c r="G69" s="245"/>
      <c r="H69" s="245"/>
      <c r="I69" s="246"/>
      <c r="J69" s="329" t="str">
        <f>'State Efficiency Ratios'!J69</f>
        <v>50% of total expenditure</v>
      </c>
      <c r="K69" s="245"/>
      <c r="L69" s="245"/>
      <c r="M69" s="246"/>
      <c r="N69" s="554"/>
      <c r="O69" s="553">
        <f>50%*O22</f>
        <v>676642.57543873962</v>
      </c>
      <c r="P69" s="555"/>
      <c r="Q69" s="556"/>
      <c r="R69" s="554"/>
      <c r="S69" s="555"/>
      <c r="T69" s="555"/>
      <c r="U69" s="553">
        <f t="shared" ref="U69:U76" si="15">50%*U22</f>
        <v>281439.40008338779</v>
      </c>
      <c r="V69" s="554"/>
      <c r="W69" s="555"/>
      <c r="X69" s="555"/>
      <c r="Y69" s="553">
        <f t="shared" ref="Y69:Y76" si="16">50%*Y22</f>
        <v>201358.21903043994</v>
      </c>
      <c r="Z69" s="554"/>
      <c r="AA69" s="555"/>
      <c r="AB69" s="555"/>
      <c r="AC69" s="553">
        <f t="shared" ref="AC69:AC78" si="17">50%*AC22</f>
        <v>191933.14841935862</v>
      </c>
      <c r="AD69" s="554"/>
      <c r="AE69" s="557"/>
    </row>
    <row r="70" spans="1:31" ht="13.5" thickBot="1">
      <c r="A70" s="1375"/>
      <c r="B70" s="885"/>
      <c r="C70" s="250" t="s">
        <v>650</v>
      </c>
      <c r="D70" s="245"/>
      <c r="E70" s="246"/>
      <c r="F70" s="247"/>
      <c r="G70" s="245"/>
      <c r="H70" s="245"/>
      <c r="I70" s="246"/>
      <c r="J70" s="247"/>
      <c r="K70" s="245"/>
      <c r="L70" s="245"/>
      <c r="M70" s="246"/>
      <c r="N70" s="554"/>
      <c r="O70" s="553">
        <f t="shared" ref="O70:O73" si="18">50%*O23</f>
        <v>627334.25283873931</v>
      </c>
      <c r="P70" s="555"/>
      <c r="Q70" s="556"/>
      <c r="R70" s="554"/>
      <c r="S70" s="555"/>
      <c r="T70" s="555"/>
      <c r="U70" s="553">
        <f t="shared" si="15"/>
        <v>266350.97515596583</v>
      </c>
      <c r="V70" s="554"/>
      <c r="W70" s="555"/>
      <c r="X70" s="555"/>
      <c r="Y70" s="553">
        <f t="shared" si="16"/>
        <v>193361.48518465052</v>
      </c>
      <c r="Z70" s="554"/>
      <c r="AA70" s="555"/>
      <c r="AB70" s="555"/>
      <c r="AC70" s="553">
        <f t="shared" si="17"/>
        <v>170377.44233647478</v>
      </c>
      <c r="AD70" s="554"/>
      <c r="AE70" s="557"/>
    </row>
    <row r="71" spans="1:31" ht="13.5" thickBot="1">
      <c r="A71" s="1375"/>
      <c r="B71" s="885"/>
      <c r="C71" s="250" t="s">
        <v>651</v>
      </c>
      <c r="D71" s="245"/>
      <c r="E71" s="246"/>
      <c r="F71" s="247"/>
      <c r="G71" s="245"/>
      <c r="H71" s="245"/>
      <c r="I71" s="246"/>
      <c r="J71" s="247"/>
      <c r="K71" s="245"/>
      <c r="L71" s="245"/>
      <c r="M71" s="246"/>
      <c r="N71" s="554"/>
      <c r="O71" s="553">
        <f t="shared" si="18"/>
        <v>650845.02103873959</v>
      </c>
      <c r="P71" s="555"/>
      <c r="Q71" s="556"/>
      <c r="R71" s="554"/>
      <c r="S71" s="555"/>
      <c r="T71" s="555"/>
      <c r="U71" s="553">
        <f t="shared" si="15"/>
        <v>310663.61382041028</v>
      </c>
      <c r="V71" s="554"/>
      <c r="W71" s="555"/>
      <c r="X71" s="555"/>
      <c r="Y71" s="553">
        <f t="shared" si="16"/>
        <v>209639.37514177864</v>
      </c>
      <c r="Z71" s="554"/>
      <c r="AA71" s="555"/>
      <c r="AB71" s="555"/>
      <c r="AC71" s="553">
        <f t="shared" si="17"/>
        <v>169554.8020127374</v>
      </c>
      <c r="AD71" s="554"/>
      <c r="AE71" s="557"/>
    </row>
    <row r="72" spans="1:31" ht="13.5" thickBot="1">
      <c r="A72" s="1375"/>
      <c r="B72" s="885"/>
      <c r="C72" s="250" t="s">
        <v>652</v>
      </c>
      <c r="D72" s="245"/>
      <c r="E72" s="246"/>
      <c r="F72" s="247"/>
      <c r="G72" s="245"/>
      <c r="H72" s="245"/>
      <c r="I72" s="246"/>
      <c r="J72" s="247"/>
      <c r="K72" s="245"/>
      <c r="L72" s="245"/>
      <c r="M72" s="246"/>
      <c r="N72" s="554"/>
      <c r="O72" s="553">
        <f t="shared" si="18"/>
        <v>647219.40283873945</v>
      </c>
      <c r="P72" s="555"/>
      <c r="Q72" s="556"/>
      <c r="R72" s="554"/>
      <c r="S72" s="555"/>
      <c r="T72" s="555"/>
      <c r="U72" s="553">
        <f t="shared" si="15"/>
        <v>315198.98072246724</v>
      </c>
      <c r="V72" s="554"/>
      <c r="W72" s="555"/>
      <c r="X72" s="555"/>
      <c r="Y72" s="553">
        <f t="shared" si="16"/>
        <v>194772.95214239651</v>
      </c>
      <c r="Z72" s="554"/>
      <c r="AA72" s="555"/>
      <c r="AB72" s="555"/>
      <c r="AC72" s="553">
        <f t="shared" si="17"/>
        <v>192351.00837133339</v>
      </c>
      <c r="AD72" s="554"/>
      <c r="AE72" s="557"/>
    </row>
    <row r="73" spans="1:31" ht="13.5" thickBot="1">
      <c r="A73" s="1375"/>
      <c r="B73" s="885"/>
      <c r="C73" s="250" t="s">
        <v>653</v>
      </c>
      <c r="D73" s="245"/>
      <c r="E73" s="246"/>
      <c r="F73" s="247"/>
      <c r="G73" s="245"/>
      <c r="H73" s="245"/>
      <c r="I73" s="246"/>
      <c r="J73" s="247"/>
      <c r="K73" s="245"/>
      <c r="L73" s="245"/>
      <c r="M73" s="246"/>
      <c r="N73" s="554"/>
      <c r="O73" s="553">
        <f t="shared" si="18"/>
        <v>722328.89000759285</v>
      </c>
      <c r="P73" s="555"/>
      <c r="Q73" s="556"/>
      <c r="R73" s="554"/>
      <c r="S73" s="555"/>
      <c r="T73" s="555"/>
      <c r="U73" s="553">
        <f t="shared" si="15"/>
        <v>416709.93461744563</v>
      </c>
      <c r="V73" s="554"/>
      <c r="W73" s="555"/>
      <c r="X73" s="555"/>
      <c r="Y73" s="553">
        <f t="shared" si="16"/>
        <v>225180.91007340336</v>
      </c>
      <c r="Z73" s="554"/>
      <c r="AA73" s="555"/>
      <c r="AB73" s="555"/>
      <c r="AC73" s="553">
        <f t="shared" si="17"/>
        <v>223264.96242118184</v>
      </c>
      <c r="AD73" s="554"/>
      <c r="AE73" s="557"/>
    </row>
    <row r="74" spans="1:31" ht="12.95" customHeight="1" thickBot="1">
      <c r="A74" s="1375"/>
      <c r="B74" s="885"/>
      <c r="C74" s="250" t="s">
        <v>654</v>
      </c>
      <c r="D74" s="248"/>
      <c r="E74" s="249"/>
      <c r="F74" s="247"/>
      <c r="G74" s="248"/>
      <c r="H74" s="248"/>
      <c r="I74" s="249"/>
      <c r="J74" s="247"/>
      <c r="K74" s="248"/>
      <c r="L74" s="248"/>
      <c r="M74" s="249"/>
      <c r="N74" s="558"/>
      <c r="O74" s="559"/>
      <c r="P74" s="559"/>
      <c r="Q74" s="559"/>
      <c r="R74" s="554"/>
      <c r="S74" s="555"/>
      <c r="T74" s="555"/>
      <c r="U74" s="553">
        <f t="shared" si="15"/>
        <v>171894.16434633863</v>
      </c>
      <c r="V74" s="554"/>
      <c r="W74" s="555"/>
      <c r="X74" s="555"/>
      <c r="Y74" s="553">
        <f t="shared" si="16"/>
        <v>143379.55800421067</v>
      </c>
      <c r="Z74" s="554"/>
      <c r="AA74" s="555"/>
      <c r="AB74" s="555"/>
      <c r="AC74" s="553">
        <f t="shared" si="17"/>
        <v>194269.29300738385</v>
      </c>
      <c r="AD74" s="554"/>
      <c r="AE74" s="557"/>
    </row>
    <row r="75" spans="1:31" ht="12.95" customHeight="1" thickBot="1">
      <c r="A75" s="1375"/>
      <c r="B75" s="885" t="s">
        <v>145</v>
      </c>
      <c r="C75" s="250" t="s">
        <v>655</v>
      </c>
      <c r="D75" s="248"/>
      <c r="E75" s="249"/>
      <c r="F75" s="247"/>
      <c r="G75" s="248"/>
      <c r="H75" s="248"/>
      <c r="I75" s="249"/>
      <c r="J75" s="247"/>
      <c r="K75" s="248"/>
      <c r="L75" s="248"/>
      <c r="M75" s="249"/>
      <c r="N75" s="558"/>
      <c r="O75" s="559"/>
      <c r="P75" s="559"/>
      <c r="Q75" s="559"/>
      <c r="R75" s="554"/>
      <c r="S75" s="555"/>
      <c r="T75" s="555"/>
      <c r="U75" s="553">
        <f t="shared" si="15"/>
        <v>171131.31422186492</v>
      </c>
      <c r="V75" s="554"/>
      <c r="W75" s="555"/>
      <c r="X75" s="555"/>
      <c r="Y75" s="553">
        <f t="shared" si="16"/>
        <v>117113.71597867292</v>
      </c>
      <c r="Z75" s="554"/>
      <c r="AA75" s="555"/>
      <c r="AB75" s="555"/>
      <c r="AC75" s="553">
        <f t="shared" si="17"/>
        <v>156931.57378703036</v>
      </c>
      <c r="AD75" s="554"/>
      <c r="AE75" s="557"/>
    </row>
    <row r="76" spans="1:31" ht="12.95" customHeight="1" thickBot="1">
      <c r="A76" s="1375"/>
      <c r="B76" s="885"/>
      <c r="C76" s="250" t="s">
        <v>656</v>
      </c>
      <c r="D76" s="248"/>
      <c r="E76" s="249"/>
      <c r="F76" s="247"/>
      <c r="G76" s="248"/>
      <c r="H76" s="248"/>
      <c r="I76" s="249"/>
      <c r="J76" s="247"/>
      <c r="K76" s="248"/>
      <c r="L76" s="248"/>
      <c r="M76" s="249"/>
      <c r="N76" s="558"/>
      <c r="O76" s="559"/>
      <c r="P76" s="559"/>
      <c r="Q76" s="559"/>
      <c r="R76" s="554"/>
      <c r="S76" s="555"/>
      <c r="T76" s="555"/>
      <c r="U76" s="553">
        <f t="shared" si="15"/>
        <v>178062.1837782684</v>
      </c>
      <c r="V76" s="554"/>
      <c r="W76" s="555"/>
      <c r="X76" s="555"/>
      <c r="Y76" s="553">
        <f t="shared" si="16"/>
        <v>158664.27087115587</v>
      </c>
      <c r="Z76" s="554"/>
      <c r="AA76" s="555"/>
      <c r="AB76" s="555"/>
      <c r="AC76" s="553">
        <f t="shared" si="17"/>
        <v>163773.28604022221</v>
      </c>
      <c r="AD76" s="554"/>
      <c r="AE76" s="557"/>
    </row>
    <row r="77" spans="1:31" ht="12.95" customHeight="1" thickBot="1">
      <c r="A77" s="1375"/>
      <c r="B77" s="885" t="s">
        <v>147</v>
      </c>
      <c r="C77" s="250" t="s">
        <v>657</v>
      </c>
      <c r="D77" s="248"/>
      <c r="E77" s="249"/>
      <c r="F77" s="247"/>
      <c r="G77" s="248"/>
      <c r="H77" s="248"/>
      <c r="I77" s="249"/>
      <c r="J77" s="247"/>
      <c r="K77" s="248"/>
      <c r="L77" s="248"/>
      <c r="M77" s="249"/>
      <c r="N77" s="558"/>
      <c r="O77" s="559"/>
      <c r="P77" s="559"/>
      <c r="Q77" s="560"/>
      <c r="R77" s="558"/>
      <c r="S77" s="559"/>
      <c r="T77" s="559"/>
      <c r="U77" s="560"/>
      <c r="V77" s="558"/>
      <c r="W77" s="559"/>
      <c r="X77" s="559"/>
      <c r="Y77" s="560"/>
      <c r="Z77" s="554"/>
      <c r="AA77" s="555"/>
      <c r="AB77" s="555"/>
      <c r="AC77" s="553">
        <f t="shared" si="17"/>
        <v>128215.42001491919</v>
      </c>
      <c r="AD77" s="554"/>
      <c r="AE77" s="557"/>
    </row>
    <row r="78" spans="1:31" ht="12.95" customHeight="1" thickBot="1">
      <c r="A78" s="1375"/>
      <c r="B78" s="885"/>
      <c r="C78" s="250" t="s">
        <v>658</v>
      </c>
      <c r="D78" s="248"/>
      <c r="E78" s="249"/>
      <c r="F78" s="247"/>
      <c r="G78" s="248"/>
      <c r="H78" s="248"/>
      <c r="I78" s="249"/>
      <c r="J78" s="247"/>
      <c r="K78" s="248"/>
      <c r="L78" s="248"/>
      <c r="M78" s="249"/>
      <c r="N78" s="558"/>
      <c r="O78" s="559"/>
      <c r="P78" s="559"/>
      <c r="Q78" s="560"/>
      <c r="R78" s="558"/>
      <c r="S78" s="559"/>
      <c r="T78" s="559"/>
      <c r="U78" s="560"/>
      <c r="V78" s="558"/>
      <c r="W78" s="559"/>
      <c r="X78" s="559"/>
      <c r="Y78" s="560"/>
      <c r="Z78" s="554"/>
      <c r="AA78" s="555"/>
      <c r="AB78" s="555"/>
      <c r="AC78" s="553">
        <f t="shared" si="17"/>
        <v>174569.34221213136</v>
      </c>
      <c r="AD78" s="554"/>
      <c r="AE78" s="557"/>
    </row>
    <row r="79" spans="1:31" ht="12.95" hidden="1" customHeight="1" thickBot="1">
      <c r="A79" s="1375"/>
      <c r="B79" s="885" t="s">
        <v>146</v>
      </c>
      <c r="C79" s="9" t="s">
        <v>295</v>
      </c>
      <c r="D79" s="241" t="s">
        <v>632</v>
      </c>
      <c r="E79" s="241" t="s">
        <v>632</v>
      </c>
      <c r="F79" s="243" t="s">
        <v>646</v>
      </c>
      <c r="G79" s="241" t="s">
        <v>646</v>
      </c>
      <c r="H79" s="241" t="s">
        <v>646</v>
      </c>
      <c r="I79" s="244" t="s">
        <v>646</v>
      </c>
      <c r="J79" s="195">
        <f>'State DisAgg LFx10 (2015)'!D69</f>
        <v>0</v>
      </c>
      <c r="K79" s="196"/>
      <c r="L79" s="196"/>
      <c r="M79" s="197"/>
      <c r="N79" s="195"/>
      <c r="O79" s="196">
        <f>'State DisAgg LFx10 (2015)'!H79</f>
        <v>2</v>
      </c>
      <c r="P79" s="196"/>
      <c r="Q79" s="197"/>
      <c r="R79" s="195"/>
      <c r="S79" s="196"/>
      <c r="T79" s="196"/>
      <c r="U79" s="197">
        <f>'State DisAgg LFx10 (2015)'!L79</f>
        <v>1</v>
      </c>
      <c r="V79" s="195"/>
      <c r="W79" s="196"/>
      <c r="X79" s="196"/>
      <c r="Y79" s="197">
        <f>'State DisAgg LFx10 (2015)'!P79</f>
        <v>2</v>
      </c>
      <c r="Z79" s="195"/>
      <c r="AA79" s="196"/>
      <c r="AB79" s="196"/>
      <c r="AC79" s="197">
        <f>'State DisAgg LFx10 (2015)'!T79</f>
        <v>0</v>
      </c>
      <c r="AD79" s="195"/>
      <c r="AE79" s="197"/>
    </row>
    <row r="80" spans="1:31" ht="12.95" hidden="1" customHeight="1" thickBot="1">
      <c r="A80" s="1375"/>
      <c r="B80" s="885"/>
      <c r="C80" s="9" t="s">
        <v>296</v>
      </c>
      <c r="D80" s="241" t="s">
        <v>632</v>
      </c>
      <c r="E80" s="241" t="s">
        <v>632</v>
      </c>
      <c r="F80" s="243" t="s">
        <v>646</v>
      </c>
      <c r="G80" s="241" t="s">
        <v>646</v>
      </c>
      <c r="H80" s="241" t="s">
        <v>646</v>
      </c>
      <c r="I80" s="244" t="s">
        <v>646</v>
      </c>
      <c r="J80" s="195">
        <f>'State DisAgg LFx10 (2015)'!D70</f>
        <v>12</v>
      </c>
      <c r="K80" s="196"/>
      <c r="L80" s="196"/>
      <c r="M80" s="197"/>
      <c r="N80" s="195"/>
      <c r="O80" s="196">
        <f>'State DisAgg LFx10 (2015)'!H80</f>
        <v>8.5</v>
      </c>
      <c r="P80" s="196"/>
      <c r="Q80" s="197"/>
      <c r="R80" s="195"/>
      <c r="S80" s="196"/>
      <c r="T80" s="196"/>
      <c r="U80" s="197">
        <f>'State DisAgg LFx10 (2015)'!L80</f>
        <v>12</v>
      </c>
      <c r="V80" s="195"/>
      <c r="W80" s="196"/>
      <c r="X80" s="196"/>
      <c r="Y80" s="197">
        <f>'State DisAgg LFx10 (2015)'!P80</f>
        <v>12</v>
      </c>
      <c r="Z80" s="195"/>
      <c r="AA80" s="196"/>
      <c r="AB80" s="196"/>
      <c r="AC80" s="197">
        <f>'State DisAgg LFx10 (2015)'!T80</f>
        <v>0</v>
      </c>
      <c r="AD80" s="195"/>
      <c r="AE80" s="197"/>
    </row>
    <row r="81" spans="1:44" ht="12.95" hidden="1" customHeight="1" thickBot="1">
      <c r="A81" s="1375"/>
      <c r="B81" s="885"/>
      <c r="C81" s="9" t="s">
        <v>297</v>
      </c>
      <c r="D81" s="241" t="s">
        <v>632</v>
      </c>
      <c r="E81" s="241" t="s">
        <v>632</v>
      </c>
      <c r="F81" s="243" t="s">
        <v>646</v>
      </c>
      <c r="G81" s="241" t="s">
        <v>646</v>
      </c>
      <c r="H81" s="241" t="s">
        <v>646</v>
      </c>
      <c r="I81" s="244" t="s">
        <v>646</v>
      </c>
      <c r="J81" s="195">
        <f>'State DisAgg LFx10 (2015)'!D71</f>
        <v>2</v>
      </c>
      <c r="K81" s="196"/>
      <c r="L81" s="196"/>
      <c r="M81" s="197"/>
      <c r="N81" s="195"/>
      <c r="O81" s="196">
        <f>'State DisAgg LFx10 (2015)'!H81</f>
        <v>7</v>
      </c>
      <c r="P81" s="196"/>
      <c r="Q81" s="197"/>
      <c r="R81" s="195"/>
      <c r="S81" s="196"/>
      <c r="T81" s="196"/>
      <c r="U81" s="197">
        <f>'State DisAgg LFx10 (2015)'!L81</f>
        <v>2</v>
      </c>
      <c r="V81" s="195"/>
      <c r="W81" s="196"/>
      <c r="X81" s="196"/>
      <c r="Y81" s="197">
        <f>'State DisAgg LFx10 (2015)'!P81</f>
        <v>2</v>
      </c>
      <c r="Z81" s="195"/>
      <c r="AA81" s="196"/>
      <c r="AB81" s="196"/>
      <c r="AC81" s="197">
        <f>'State DisAgg LFx10 (2015)'!T81</f>
        <v>0</v>
      </c>
      <c r="AD81" s="195"/>
      <c r="AE81" s="197"/>
    </row>
    <row r="82" spans="1:44" ht="12.95" hidden="1" customHeight="1" thickBot="1">
      <c r="A82" s="1375"/>
      <c r="B82" s="885"/>
      <c r="C82" s="9" t="s">
        <v>298</v>
      </c>
      <c r="D82" s="241" t="s">
        <v>632</v>
      </c>
      <c r="E82" s="241" t="s">
        <v>632</v>
      </c>
      <c r="F82" s="243" t="s">
        <v>646</v>
      </c>
      <c r="G82" s="241" t="s">
        <v>646</v>
      </c>
      <c r="H82" s="241" t="s">
        <v>646</v>
      </c>
      <c r="I82" s="244" t="s">
        <v>646</v>
      </c>
      <c r="J82" s="195">
        <f>'State DisAgg LFx10 (2015)'!D72</f>
        <v>1</v>
      </c>
      <c r="K82" s="196"/>
      <c r="L82" s="196"/>
      <c r="M82" s="197"/>
      <c r="N82" s="195"/>
      <c r="O82" s="196">
        <f>'State DisAgg LFx10 (2015)'!H82</f>
        <v>3</v>
      </c>
      <c r="P82" s="196"/>
      <c r="Q82" s="197"/>
      <c r="R82" s="195"/>
      <c r="S82" s="196"/>
      <c r="T82" s="196"/>
      <c r="U82" s="197">
        <f>'State DisAgg LFx10 (2015)'!L82</f>
        <v>1</v>
      </c>
      <c r="V82" s="195"/>
      <c r="W82" s="196"/>
      <c r="X82" s="196"/>
      <c r="Y82" s="197">
        <f>'State DisAgg LFx10 (2015)'!P82</f>
        <v>6</v>
      </c>
      <c r="Z82" s="195"/>
      <c r="AA82" s="196"/>
      <c r="AB82" s="196"/>
      <c r="AC82" s="197">
        <f>'State DisAgg LFx10 (2015)'!T82</f>
        <v>0</v>
      </c>
      <c r="AD82" s="195"/>
      <c r="AE82" s="197"/>
    </row>
    <row r="83" spans="1:44" ht="12.95" hidden="1" customHeight="1" thickBot="1">
      <c r="A83" s="1375"/>
      <c r="B83" s="885"/>
      <c r="C83" s="9" t="s">
        <v>299</v>
      </c>
      <c r="D83" s="241" t="s">
        <v>632</v>
      </c>
      <c r="E83" s="241" t="s">
        <v>632</v>
      </c>
      <c r="F83" s="243" t="s">
        <v>646</v>
      </c>
      <c r="G83" s="241" t="s">
        <v>646</v>
      </c>
      <c r="H83" s="241" t="s">
        <v>646</v>
      </c>
      <c r="I83" s="244" t="s">
        <v>646</v>
      </c>
      <c r="J83" s="195">
        <f>'State DisAgg LFx10 (2015)'!D73</f>
        <v>1</v>
      </c>
      <c r="K83" s="196"/>
      <c r="L83" s="196"/>
      <c r="M83" s="197"/>
      <c r="N83" s="195"/>
      <c r="O83" s="196">
        <f>'State DisAgg LFx10 (2015)'!H83</f>
        <v>7</v>
      </c>
      <c r="P83" s="196"/>
      <c r="Q83" s="197"/>
      <c r="R83" s="195"/>
      <c r="S83" s="196"/>
      <c r="T83" s="196"/>
      <c r="U83" s="197">
        <f>'State DisAgg LFx10 (2015)'!L83</f>
        <v>13</v>
      </c>
      <c r="V83" s="195"/>
      <c r="W83" s="196"/>
      <c r="X83" s="196"/>
      <c r="Y83" s="197">
        <f>'State DisAgg LFx10 (2015)'!P83</f>
        <v>15</v>
      </c>
      <c r="Z83" s="195"/>
      <c r="AA83" s="196"/>
      <c r="AB83" s="196"/>
      <c r="AC83" s="197">
        <f>'State DisAgg LFx10 (2015)'!T83</f>
        <v>0</v>
      </c>
      <c r="AD83" s="195"/>
      <c r="AE83" s="197"/>
    </row>
    <row r="84" spans="1:44" ht="24.75" hidden="1" thickBot="1">
      <c r="A84" s="1375"/>
      <c r="B84" s="885"/>
      <c r="C84" s="9" t="s">
        <v>300</v>
      </c>
      <c r="D84" s="199"/>
      <c r="E84" s="200"/>
      <c r="F84" s="201"/>
      <c r="G84" s="199"/>
      <c r="H84" s="199"/>
      <c r="I84" s="200"/>
      <c r="J84" s="201"/>
      <c r="K84" s="199"/>
      <c r="L84" s="199"/>
      <c r="M84" s="200"/>
      <c r="N84" s="198"/>
      <c r="O84" s="217" t="s">
        <v>634</v>
      </c>
      <c r="P84" s="241" t="s">
        <v>632</v>
      </c>
      <c r="Q84" s="244" t="s">
        <v>646</v>
      </c>
      <c r="R84" s="195">
        <f>'State DisAgg LFx10 (2015)'!H74</f>
        <v>0</v>
      </c>
      <c r="S84" s="196"/>
      <c r="T84" s="196"/>
      <c r="U84" s="197">
        <f>'State DisAgg LFx10 (2015)'!L84</f>
        <v>1</v>
      </c>
      <c r="V84" s="195"/>
      <c r="W84" s="196"/>
      <c r="X84" s="196"/>
      <c r="Y84" s="197">
        <f>'State DisAgg LFx10 (2015)'!P84</f>
        <v>1</v>
      </c>
      <c r="Z84" s="195"/>
      <c r="AA84" s="196"/>
      <c r="AB84" s="196"/>
      <c r="AC84" s="197">
        <f>'State DisAgg LFx10 (2015)'!T84</f>
        <v>0</v>
      </c>
      <c r="AD84" s="195"/>
      <c r="AE84" s="197"/>
    </row>
    <row r="85" spans="1:44" ht="13.5" hidden="1" thickBot="1">
      <c r="A85" s="1375"/>
      <c r="B85" s="885"/>
      <c r="C85" s="9" t="s">
        <v>301</v>
      </c>
      <c r="D85" s="199"/>
      <c r="E85" s="200"/>
      <c r="F85" s="201"/>
      <c r="G85" s="199"/>
      <c r="H85" s="199"/>
      <c r="I85" s="200"/>
      <c r="J85" s="201"/>
      <c r="K85" s="199"/>
      <c r="L85" s="199"/>
      <c r="M85" s="200"/>
      <c r="N85" s="198"/>
      <c r="O85" s="217" t="s">
        <v>634</v>
      </c>
      <c r="P85" s="241" t="s">
        <v>632</v>
      </c>
      <c r="Q85" s="244" t="s">
        <v>646</v>
      </c>
      <c r="R85" s="195">
        <f>'State DisAgg LFx10 (2015)'!H75</f>
        <v>0</v>
      </c>
      <c r="S85" s="196"/>
      <c r="T85" s="196"/>
      <c r="U85" s="197">
        <f>'State DisAgg LFx10 (2015)'!L85</f>
        <v>1</v>
      </c>
      <c r="V85" s="195"/>
      <c r="W85" s="196"/>
      <c r="X85" s="196"/>
      <c r="Y85" s="197">
        <f>'State DisAgg LFx10 (2015)'!P85</f>
        <v>6</v>
      </c>
      <c r="Z85" s="195"/>
      <c r="AA85" s="196"/>
      <c r="AB85" s="196"/>
      <c r="AC85" s="197">
        <f>'State DisAgg LFx10 (2015)'!T85</f>
        <v>0</v>
      </c>
      <c r="AD85" s="195"/>
      <c r="AE85" s="197"/>
    </row>
    <row r="86" spans="1:44" ht="13.5" hidden="1" thickBot="1">
      <c r="A86" s="1375"/>
      <c r="B86" s="885"/>
      <c r="C86" s="9" t="s">
        <v>302</v>
      </c>
      <c r="D86" s="199"/>
      <c r="E86" s="200"/>
      <c r="F86" s="201"/>
      <c r="G86" s="199"/>
      <c r="H86" s="199"/>
      <c r="I86" s="200"/>
      <c r="J86" s="201"/>
      <c r="K86" s="199"/>
      <c r="L86" s="199"/>
      <c r="M86" s="200"/>
      <c r="N86" s="198"/>
      <c r="O86" s="217" t="s">
        <v>634</v>
      </c>
      <c r="P86" s="241" t="s">
        <v>632</v>
      </c>
      <c r="Q86" s="244" t="s">
        <v>646</v>
      </c>
      <c r="R86" s="195">
        <f>'State DisAgg LFx10 (2015)'!H76</f>
        <v>1</v>
      </c>
      <c r="S86" s="196"/>
      <c r="T86" s="196"/>
      <c r="U86" s="197">
        <f>'State DisAgg LFx10 (2015)'!L86</f>
        <v>1</v>
      </c>
      <c r="V86" s="195"/>
      <c r="W86" s="196"/>
      <c r="X86" s="196"/>
      <c r="Y86" s="197">
        <f>'State DisAgg LFx10 (2015)'!P86</f>
        <v>1</v>
      </c>
      <c r="Z86" s="195"/>
      <c r="AA86" s="196"/>
      <c r="AB86" s="196"/>
      <c r="AC86" s="197">
        <f>'State DisAgg LFx10 (2015)'!T86</f>
        <v>0</v>
      </c>
      <c r="AD86" s="195"/>
      <c r="AE86" s="197"/>
    </row>
    <row r="87" spans="1:44" ht="24.75" hidden="1" thickBot="1">
      <c r="A87" s="1375"/>
      <c r="B87" s="885"/>
      <c r="C87" s="9" t="s">
        <v>303</v>
      </c>
      <c r="D87" s="202"/>
      <c r="E87" s="203"/>
      <c r="F87" s="201"/>
      <c r="G87" s="202"/>
      <c r="H87" s="202"/>
      <c r="I87" s="203"/>
      <c r="J87" s="201"/>
      <c r="K87" s="202"/>
      <c r="L87" s="202"/>
      <c r="M87" s="203"/>
      <c r="N87" s="204"/>
      <c r="O87" s="214"/>
      <c r="P87" s="205"/>
      <c r="Q87" s="205"/>
      <c r="R87" s="201"/>
      <c r="S87" s="202"/>
      <c r="T87" s="202"/>
      <c r="U87" s="203"/>
      <c r="V87" s="242"/>
      <c r="W87" s="217" t="s">
        <v>633</v>
      </c>
      <c r="X87" s="241" t="s">
        <v>632</v>
      </c>
      <c r="Y87" s="197">
        <f>'State DisAgg LFx10 (2015)'!P77</f>
        <v>12</v>
      </c>
      <c r="Z87" s="195"/>
      <c r="AA87" s="196"/>
      <c r="AB87" s="196"/>
      <c r="AC87" s="197">
        <f>'State DisAgg LFx10 (2015)'!T87</f>
        <v>0</v>
      </c>
      <c r="AD87" s="195"/>
      <c r="AE87" s="197"/>
    </row>
    <row r="88" spans="1:44" ht="13.5" hidden="1" thickBot="1">
      <c r="A88" s="1376"/>
      <c r="B88" s="869"/>
      <c r="C88" s="9" t="s">
        <v>304</v>
      </c>
      <c r="D88" s="202"/>
      <c r="E88" s="203"/>
      <c r="F88" s="201"/>
      <c r="G88" s="202"/>
      <c r="H88" s="202"/>
      <c r="I88" s="203"/>
      <c r="J88" s="201"/>
      <c r="K88" s="202"/>
      <c r="L88" s="202"/>
      <c r="M88" s="203"/>
      <c r="N88" s="204"/>
      <c r="O88" s="205"/>
      <c r="P88" s="205"/>
      <c r="Q88" s="205"/>
      <c r="R88" s="201"/>
      <c r="S88" s="202"/>
      <c r="T88" s="202"/>
      <c r="U88" s="203"/>
      <c r="V88" s="242"/>
      <c r="W88" s="217" t="s">
        <v>633</v>
      </c>
      <c r="X88" s="241" t="s">
        <v>632</v>
      </c>
      <c r="Y88" s="197">
        <f>'State DisAgg LFx10 (2015)'!P78</f>
        <v>15</v>
      </c>
      <c r="Z88" s="195"/>
      <c r="AA88" s="196"/>
      <c r="AB88" s="196"/>
      <c r="AC88" s="197">
        <f>'State DisAgg LFx10 (2015)'!T88</f>
        <v>0</v>
      </c>
      <c r="AD88" s="195"/>
      <c r="AE88" s="197"/>
    </row>
    <row r="89" spans="1:44" ht="12.95" hidden="1" customHeight="1" thickBot="1">
      <c r="A89" s="231"/>
      <c r="B89" s="231"/>
      <c r="C89" s="231"/>
      <c r="D89" s="232"/>
      <c r="E89" s="233"/>
      <c r="F89" s="234"/>
      <c r="G89" s="232"/>
      <c r="H89" s="232"/>
      <c r="I89" s="233"/>
      <c r="J89" s="234"/>
      <c r="K89" s="232"/>
      <c r="L89" s="232"/>
      <c r="M89" s="233"/>
      <c r="N89" s="234"/>
      <c r="O89" s="232"/>
      <c r="P89" s="232"/>
      <c r="Q89" s="233"/>
      <c r="R89" s="234"/>
      <c r="S89" s="232"/>
      <c r="T89" s="232"/>
      <c r="U89" s="233"/>
      <c r="V89" s="234"/>
      <c r="W89" s="232"/>
      <c r="X89" s="232"/>
      <c r="Y89" s="233"/>
      <c r="Z89" s="234"/>
      <c r="AA89" s="232"/>
      <c r="AB89" s="232"/>
      <c r="AC89" s="233"/>
      <c r="AD89" s="234"/>
      <c r="AE89" s="233"/>
    </row>
    <row r="90" spans="1:44" ht="12.95" hidden="1" customHeight="1" thickBot="1">
      <c r="A90" s="231"/>
      <c r="B90" s="231"/>
      <c r="C90" s="231"/>
      <c r="D90" s="232"/>
      <c r="E90" s="233"/>
      <c r="F90" s="234"/>
      <c r="G90" s="232"/>
      <c r="H90" s="232"/>
      <c r="I90" s="233"/>
      <c r="J90" s="234"/>
      <c r="K90" s="232"/>
      <c r="L90" s="232"/>
      <c r="M90" s="233"/>
      <c r="N90" s="234"/>
      <c r="O90" s="232"/>
      <c r="P90" s="232"/>
      <c r="Q90" s="233"/>
      <c r="R90" s="234"/>
      <c r="S90" s="232"/>
      <c r="T90" s="232"/>
      <c r="U90" s="233"/>
      <c r="V90" s="234"/>
      <c r="W90" s="232"/>
      <c r="X90" s="232"/>
      <c r="Y90" s="233"/>
      <c r="Z90" s="234"/>
      <c r="AA90" s="232"/>
      <c r="AB90" s="232"/>
      <c r="AC90" s="233"/>
      <c r="AD90" s="234"/>
      <c r="AE90" s="233"/>
    </row>
    <row r="91" spans="1:44">
      <c r="A91" s="5"/>
      <c r="B91" s="5"/>
      <c r="C91" s="14"/>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row>
    <row r="92" spans="1:44" ht="13.5" thickBot="1">
      <c r="A92" s="5"/>
      <c r="B92" s="5"/>
      <c r="C92" s="6"/>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H92" s="416" t="s">
        <v>1106</v>
      </c>
    </row>
    <row r="93" spans="1:44" ht="12.95" customHeight="1" thickBot="1">
      <c r="A93" s="301" t="s">
        <v>5</v>
      </c>
      <c r="B93" s="299" t="s">
        <v>22</v>
      </c>
      <c r="C93" s="8"/>
      <c r="D93" s="1377">
        <v>2008</v>
      </c>
      <c r="E93" s="1378"/>
      <c r="F93" s="1372">
        <v>2009</v>
      </c>
      <c r="G93" s="1373"/>
      <c r="H93" s="1373"/>
      <c r="I93" s="1374"/>
      <c r="J93" s="1372">
        <v>2010</v>
      </c>
      <c r="K93" s="1373"/>
      <c r="L93" s="1373"/>
      <c r="M93" s="1374"/>
      <c r="N93" s="1372">
        <v>2011</v>
      </c>
      <c r="O93" s="1373"/>
      <c r="P93" s="1373"/>
      <c r="Q93" s="1374"/>
      <c r="R93" s="1372">
        <v>2012</v>
      </c>
      <c r="S93" s="1373"/>
      <c r="T93" s="1373"/>
      <c r="U93" s="1374"/>
      <c r="V93" s="1372">
        <v>2013</v>
      </c>
      <c r="W93" s="1373"/>
      <c r="X93" s="1373"/>
      <c r="Y93" s="1374"/>
      <c r="Z93" s="1372">
        <v>2014</v>
      </c>
      <c r="AA93" s="1373"/>
      <c r="AB93" s="1373"/>
      <c r="AC93" s="1374"/>
      <c r="AD93" s="1372">
        <v>2015</v>
      </c>
      <c r="AE93" s="1374"/>
      <c r="AG93" s="351" t="s">
        <v>1050</v>
      </c>
      <c r="AH93" s="660">
        <f>(SUM(AH94:AH98))/5</f>
        <v>0</v>
      </c>
      <c r="AI93" s="661">
        <f>(SUM(AI94:AI98))/5</f>
        <v>1329748.0568650202</v>
      </c>
      <c r="AJ93" s="661">
        <f>(SUM(AJ94:AJ101))/8</f>
        <v>1358955.1772271746</v>
      </c>
      <c r="AK93" s="661">
        <f>(SUM(AK94:AK101))/8</f>
        <v>1719822.7988338519</v>
      </c>
      <c r="AL93" s="662">
        <f>(SUM(AL94:AL101))/8</f>
        <v>2085436.6779327823</v>
      </c>
      <c r="AN93" s="676">
        <f>(SUM(AN94:AN98))/5</f>
        <v>1.3800000000000001</v>
      </c>
      <c r="AO93" s="677">
        <f>(SUM(AO94:AO101))/8</f>
        <v>1.582986111111111</v>
      </c>
      <c r="AP93" s="677">
        <f>(SUM(AP94:AP101))/8</f>
        <v>2.0967447916666671</v>
      </c>
      <c r="AQ93" s="677">
        <f>(SUM(AQ94:AQ101))/8</f>
        <v>2.6464843750000004</v>
      </c>
      <c r="AR93" s="678">
        <f>(SUM(AR94:AR101))/8</f>
        <v>3.0333333333333328</v>
      </c>
    </row>
    <row r="94" spans="1:44" ht="12.95" customHeight="1" thickBot="1">
      <c r="A94" s="868" t="s">
        <v>54</v>
      </c>
      <c r="B94" s="868" t="s">
        <v>55</v>
      </c>
      <c r="C94" s="250" t="s">
        <v>649</v>
      </c>
      <c r="D94" s="245"/>
      <c r="E94" s="246"/>
      <c r="F94" s="247"/>
      <c r="G94" s="245"/>
      <c r="H94" s="245"/>
      <c r="I94" s="246"/>
      <c r="J94" s="329" t="str">
        <f>'State Efficiency Ratios'!J94</f>
        <v>33% of total expenditure</v>
      </c>
      <c r="K94" s="245"/>
      <c r="L94" s="245"/>
      <c r="M94" s="246"/>
      <c r="N94" s="561"/>
      <c r="O94" s="553">
        <f>33%*O22</f>
        <v>446584.09978956816</v>
      </c>
      <c r="P94" s="553"/>
      <c r="Q94" s="562"/>
      <c r="R94" s="561"/>
      <c r="S94" s="553"/>
      <c r="T94" s="553"/>
      <c r="U94" s="553">
        <f t="shared" ref="U94:U101" si="19">33%*U22</f>
        <v>185750.00405503594</v>
      </c>
      <c r="V94" s="561"/>
      <c r="W94" s="553"/>
      <c r="X94" s="553"/>
      <c r="Y94" s="553">
        <f t="shared" ref="Y94:Y101" si="20">33%*Y22</f>
        <v>132896.42456009038</v>
      </c>
      <c r="Z94" s="561"/>
      <c r="AA94" s="553"/>
      <c r="AB94" s="553"/>
      <c r="AC94" s="553">
        <f>33%*AC22</f>
        <v>126675.87795677669</v>
      </c>
      <c r="AD94" s="561"/>
      <c r="AE94" s="563"/>
      <c r="AG94" s="351" t="s">
        <v>756</v>
      </c>
      <c r="AH94" s="651">
        <f>AH22</f>
        <v>0</v>
      </c>
      <c r="AI94" s="652">
        <f t="shared" ref="AI94:AL94" si="21">AI22</f>
        <v>1353285.1508774792</v>
      </c>
      <c r="AJ94" s="652">
        <f t="shared" si="21"/>
        <v>1916163.9510442549</v>
      </c>
      <c r="AK94" s="652">
        <f t="shared" si="21"/>
        <v>2318880.3891051346</v>
      </c>
      <c r="AL94" s="653">
        <f t="shared" si="21"/>
        <v>2702746.6859438517</v>
      </c>
      <c r="AN94" s="664">
        <f>('State DisAgg LFx10 (2014)'!D94+'State DisAgg LFx10 (2014)'!D117+(('State DisAgg LFx10 (2014)'!D164/4)+('State DisAgg LFx10 (2014)'!E164/3)+('State DisAgg LFx10 (2014)'!F164/2)+'State DisAgg LFx10 (2014)'!G164)/4)/3</f>
        <v>1</v>
      </c>
      <c r="AO94" s="673">
        <f>('State DisAgg LFx10 (2014)'!H104+'State DisAgg LFx10 (2014)'!H127+(('State DisAgg LFx10 (2014)'!H174/4)+('State DisAgg LFx10 (2014)'!I174/3)+('State DisAgg LFx10 (2014)'!J174/2)+'State DisAgg LFx10 (2014)'!K174)/4)/3</f>
        <v>1.6666666666666667</v>
      </c>
      <c r="AP94" s="673">
        <f>('State DisAgg LFx10 (2014)'!L104+'State DisAgg LFx10 (2014)'!L127+'State DisAgg LFx10 (2014)'!L140+(('State DisAgg LFx10 (2014)'!L174/4)+('State DisAgg LFx10 (2014)'!M174/3)+('State DisAgg LFx10 (2014)'!N174/2)+'State DisAgg LFx10 (2014)'!O174)/4)/4</f>
        <v>2.2468750000000002</v>
      </c>
      <c r="AQ94" s="673">
        <f>('State DisAgg LFx10 (2014)'!P104+'State DisAgg LFx10 (2014)'!P127+'State DisAgg LFx10 (2014)'!P150+(('State DisAgg LFx10 (2014)'!P174/4)+('State DisAgg LFx10 (2014)'!Q174/3)+('State DisAgg LFx10 (2014)'!R174/2)+'State DisAgg LFx10 (2014)'!S174)/4)/4</f>
        <v>2.9708333333333337</v>
      </c>
      <c r="AR94" s="674">
        <f>('State DisAgg LFx10 (2014)'!T104+'State DisAgg LFx10 (2014)'!T127+'State DisAgg LFx10 (2014)'!T140+(('State DisAgg LFx10 (2014)'!T174/4)+('State DisAgg LFx10 (2014)'!U174/3)+('State DisAgg LFx10 (2014)'!V174/2)+'State DisAgg LFx10 (2014)'!W174)/4)/4</f>
        <v>3.0822916666666669</v>
      </c>
    </row>
    <row r="95" spans="1:44" ht="13.5" thickBot="1">
      <c r="A95" s="885"/>
      <c r="B95" s="885"/>
      <c r="C95" s="250" t="s">
        <v>650</v>
      </c>
      <c r="D95" s="245"/>
      <c r="E95" s="246"/>
      <c r="F95" s="247"/>
      <c r="G95" s="245"/>
      <c r="H95" s="245"/>
      <c r="I95" s="246"/>
      <c r="J95" s="247"/>
      <c r="K95" s="245"/>
      <c r="L95" s="245"/>
      <c r="M95" s="246"/>
      <c r="N95" s="561"/>
      <c r="O95" s="553">
        <f t="shared" ref="O95:O98" si="22">33%*O23</f>
        <v>414040.60687356797</v>
      </c>
      <c r="P95" s="553"/>
      <c r="Q95" s="562"/>
      <c r="R95" s="561"/>
      <c r="S95" s="553"/>
      <c r="T95" s="553"/>
      <c r="U95" s="553">
        <f t="shared" si="19"/>
        <v>175791.64360293746</v>
      </c>
      <c r="V95" s="561"/>
      <c r="W95" s="553"/>
      <c r="X95" s="553"/>
      <c r="Y95" s="553">
        <f t="shared" si="20"/>
        <v>127618.58022186934</v>
      </c>
      <c r="Z95" s="561"/>
      <c r="AA95" s="553"/>
      <c r="AB95" s="553"/>
      <c r="AC95" s="553">
        <f t="shared" ref="AC95:AC103" si="23">33%*AC23</f>
        <v>112449.11194207336</v>
      </c>
      <c r="AD95" s="561"/>
      <c r="AE95" s="563"/>
      <c r="AG95" s="351" t="s">
        <v>757</v>
      </c>
      <c r="AH95" s="655">
        <f t="shared" ref="AH95:AL95" si="24">AH23</f>
        <v>0</v>
      </c>
      <c r="AI95" s="654">
        <f t="shared" si="24"/>
        <v>1254668.5056774786</v>
      </c>
      <c r="AJ95" s="654">
        <f t="shared" si="24"/>
        <v>1787370.4559894102</v>
      </c>
      <c r="AK95" s="654">
        <f t="shared" si="24"/>
        <v>2174093.426358711</v>
      </c>
      <c r="AL95" s="656">
        <f t="shared" si="24"/>
        <v>2514848.3110316605</v>
      </c>
      <c r="AN95" s="663">
        <f>('State DisAgg LFx10 (2014)'!D95+'State DisAgg LFx10 (2014)'!D118+(('State DisAgg LFx10 (2014)'!D165/4)+('State DisAgg LFx10 (2014)'!E165/3)+('State DisAgg LFx10 (2014)'!F165/2)+'State DisAgg LFx10 (2014)'!G165)/4)/3</f>
        <v>1.5333333333333332</v>
      </c>
      <c r="AO95" s="665">
        <f>('State DisAgg LFx10 (2014)'!H105+'State DisAgg LFx10 (2014)'!H128+(('State DisAgg LFx10 (2014)'!H175/4)+('State DisAgg LFx10 (2014)'!I175/3)+('State DisAgg LFx10 (2014)'!J175/2)+'State DisAgg LFx10 (2014)'!K175)/4)/3</f>
        <v>1.6541666666666668</v>
      </c>
      <c r="AP95" s="665">
        <f>('State DisAgg LFx10 (2014)'!L105+'State DisAgg LFx10 (2014)'!L128+'State DisAgg LFx10 (2014)'!L141+(('State DisAgg LFx10 (2014)'!L175/4)+('State DisAgg LFx10 (2014)'!M175/3)+('State DisAgg LFx10 (2014)'!N175/2)+'State DisAgg LFx10 (2014)'!O175)/4)/4</f>
        <v>2.3875000000000002</v>
      </c>
      <c r="AQ95" s="665">
        <f>('State DisAgg LFx10 (2014)'!P105+'State DisAgg LFx10 (2014)'!P128+'State DisAgg LFx10 (2014)'!P151+(('State DisAgg LFx10 (2014)'!P175/4)+('State DisAgg LFx10 (2014)'!Q175/3)+('State DisAgg LFx10 (2014)'!R175/2)+'State DisAgg LFx10 (2014)'!S175)/4)/4</f>
        <v>3.5812499999999998</v>
      </c>
      <c r="AR95" s="666">
        <f>('State DisAgg LFx10 (2014)'!T105+'State DisAgg LFx10 (2014)'!T128+'State DisAgg LFx10 (2014)'!T141+(('State DisAgg LFx10 (2014)'!T175/4)+('State DisAgg LFx10 (2014)'!U175/4)+('State DisAgg LFx10 (2014)'!V175/4)+'State DisAgg LFx10 (2014)'!W175)/4)/4</f>
        <v>3.6135416666666664</v>
      </c>
    </row>
    <row r="96" spans="1:44" ht="13.5" thickBot="1">
      <c r="A96" s="885"/>
      <c r="B96" s="885"/>
      <c r="C96" s="250" t="s">
        <v>651</v>
      </c>
      <c r="D96" s="245"/>
      <c r="E96" s="246"/>
      <c r="F96" s="247"/>
      <c r="G96" s="245"/>
      <c r="H96" s="245"/>
      <c r="I96" s="246"/>
      <c r="J96" s="247"/>
      <c r="K96" s="245"/>
      <c r="L96" s="245"/>
      <c r="M96" s="246"/>
      <c r="N96" s="561"/>
      <c r="O96" s="553">
        <f t="shared" si="22"/>
        <v>429557.71388556814</v>
      </c>
      <c r="P96" s="553"/>
      <c r="Q96" s="562"/>
      <c r="R96" s="561"/>
      <c r="S96" s="553"/>
      <c r="T96" s="553"/>
      <c r="U96" s="553">
        <f t="shared" si="19"/>
        <v>205037.98512147079</v>
      </c>
      <c r="V96" s="561"/>
      <c r="W96" s="553"/>
      <c r="X96" s="553"/>
      <c r="Y96" s="553">
        <f t="shared" si="20"/>
        <v>138361.9875935739</v>
      </c>
      <c r="Z96" s="561"/>
      <c r="AA96" s="553"/>
      <c r="AB96" s="553"/>
      <c r="AC96" s="553">
        <f t="shared" si="23"/>
        <v>111906.16932840669</v>
      </c>
      <c r="AD96" s="561"/>
      <c r="AE96" s="563"/>
      <c r="AG96" s="351" t="s">
        <v>758</v>
      </c>
      <c r="AH96" s="655">
        <f t="shared" ref="AH96:AL96" si="25">AH24</f>
        <v>0</v>
      </c>
      <c r="AI96" s="654">
        <f t="shared" si="25"/>
        <v>1301690.0420774792</v>
      </c>
      <c r="AJ96" s="654">
        <f t="shared" si="25"/>
        <v>1923017.2697182996</v>
      </c>
      <c r="AK96" s="654">
        <f t="shared" si="25"/>
        <v>2342296.0200018571</v>
      </c>
      <c r="AL96" s="656">
        <f t="shared" si="25"/>
        <v>2681405.6240273318</v>
      </c>
      <c r="AN96" s="663">
        <f>('State DisAgg LFx10 (2014)'!D96+'State DisAgg LFx10 (2014)'!D119+(('State DisAgg LFx10 (2014)'!D166/4)+('State DisAgg LFx10 (2014)'!E166/3)+('State DisAgg LFx10 (2014)'!F166/2)+'State DisAgg LFx10 (2014)'!G166)/4)/3</f>
        <v>1.4333333333333336</v>
      </c>
      <c r="AO96" s="665">
        <f>('State DisAgg LFx10 (2014)'!H106+'State DisAgg LFx10 (2014)'!H129+(('State DisAgg LFx10 (2014)'!H176/4)+('State DisAgg LFx10 (2014)'!I176/3)+('State DisAgg LFx10 (2014)'!J176/2)+'State DisAgg LFx10 (2014)'!K176)/4)/3</f>
        <v>2.0694444444444442</v>
      </c>
      <c r="AP96" s="665">
        <f>('State DisAgg LFx10 (2014)'!L106+'State DisAgg LFx10 (2014)'!L129+'State DisAgg LFx10 (2014)'!L142+(('State DisAgg LFx10 (2014)'!L176/4)+('State DisAgg LFx10 (2014)'!M176/3)+('State DisAgg LFx10 (2014)'!N176/2)+'State DisAgg LFx10 (2014)'!O176)/4)/4</f>
        <v>2.5333333333333337</v>
      </c>
      <c r="AQ96" s="665">
        <f>('State DisAgg LFx10 (2014)'!P106+'State DisAgg LFx10 (2014)'!P129+'State DisAgg LFx10 (2014)'!P152+(('State DisAgg LFx10 (2014)'!P176/4)+('State DisAgg LFx10 (2014)'!Q176/3)+('State DisAgg LFx10 (2014)'!R176/2)+'State DisAgg LFx10 (2014)'!S176)/4)/4</f>
        <v>2.7781250000000002</v>
      </c>
      <c r="AR96" s="666">
        <f>('State DisAgg LFx10 (2014)'!T106+'State DisAgg LFx10 (2014)'!T129+'State DisAgg LFx10 (2014)'!T142+(('State DisAgg LFx10 (2014)'!T176/4)+('State DisAgg LFx10 (2014)'!U176/3)+('State DisAgg LFx10 (2014)'!V176/2)+'State DisAgg LFx10 (2014)'!W176)/4)/4</f>
        <v>3.1385416666666663</v>
      </c>
    </row>
    <row r="97" spans="1:44" ht="13.5" thickBot="1">
      <c r="A97" s="885"/>
      <c r="B97" s="885"/>
      <c r="C97" s="250" t="s">
        <v>652</v>
      </c>
      <c r="D97" s="245"/>
      <c r="E97" s="246"/>
      <c r="F97" s="247"/>
      <c r="G97" s="245"/>
      <c r="H97" s="245"/>
      <c r="I97" s="246"/>
      <c r="J97" s="247"/>
      <c r="K97" s="245"/>
      <c r="L97" s="245"/>
      <c r="M97" s="246"/>
      <c r="N97" s="561"/>
      <c r="O97" s="553">
        <f t="shared" si="22"/>
        <v>427164.80587356805</v>
      </c>
      <c r="P97" s="553"/>
      <c r="Q97" s="562"/>
      <c r="R97" s="561"/>
      <c r="S97" s="553"/>
      <c r="T97" s="553"/>
      <c r="U97" s="553">
        <f t="shared" si="19"/>
        <v>208031.32727682838</v>
      </c>
      <c r="V97" s="561"/>
      <c r="W97" s="553"/>
      <c r="X97" s="553"/>
      <c r="Y97" s="553">
        <f t="shared" si="20"/>
        <v>128550.1484139817</v>
      </c>
      <c r="Z97" s="561"/>
      <c r="AA97" s="553"/>
      <c r="AB97" s="553"/>
      <c r="AC97" s="553">
        <f t="shared" si="23"/>
        <v>126951.66552508004</v>
      </c>
      <c r="AD97" s="561"/>
      <c r="AE97" s="563"/>
      <c r="AG97" s="351" t="s">
        <v>759</v>
      </c>
      <c r="AH97" s="655">
        <f t="shared" ref="AH97:AL97" si="26">AH25</f>
        <v>0</v>
      </c>
      <c r="AI97" s="654">
        <f t="shared" si="26"/>
        <v>1294438.8056774789</v>
      </c>
      <c r="AJ97" s="654">
        <f t="shared" si="26"/>
        <v>1924836.7671224135</v>
      </c>
      <c r="AK97" s="654">
        <f t="shared" si="26"/>
        <v>2314382.6714072064</v>
      </c>
      <c r="AL97" s="656">
        <f t="shared" si="26"/>
        <v>2699084.6881498732</v>
      </c>
      <c r="AN97" s="663">
        <f>('State DisAgg LFx10 (2014)'!D97+'State DisAgg LFx10 (2014)'!D120+(('State DisAgg LFx10 (2014)'!D167/4)+('State DisAgg LFx10 (2014)'!E167/3)+('State DisAgg LFx10 (2014)'!F167/2)+'State DisAgg LFx10 (2014)'!G167)/4)/3</f>
        <v>1.3</v>
      </c>
      <c r="AO97" s="665">
        <f>('State DisAgg LFx10 (2014)'!H107+'State DisAgg LFx10 (2014)'!H130+(('State DisAgg LFx10 (2014)'!H177/4)+('State DisAgg LFx10 (2014)'!I177/3)+('State DisAgg LFx10 (2014)'!J177/2)+'State DisAgg LFx10 (2014)'!K177)/4)/3</f>
        <v>1.4027777777777777</v>
      </c>
      <c r="AP97" s="665">
        <f>('State DisAgg LFx10 (2014)'!L107+'State DisAgg LFx10 (2014)'!L130+'State DisAgg LFx10 (2014)'!L143+(('State DisAgg LFx10 (2014)'!L177/4)+('State DisAgg LFx10 (2014)'!M177/3)+('State DisAgg LFx10 (2014)'!N177/2)+'State DisAgg LFx10 (2014)'!O177)/4)/4</f>
        <v>2.5802083333333337</v>
      </c>
      <c r="AQ97" s="665">
        <f>('State DisAgg LFx10 (2014)'!P107+'State DisAgg LFx10 (2014)'!P130+'State DisAgg LFx10 (2014)'!P153+(('State DisAgg LFx10 (2014)'!P177/4)+('State DisAgg LFx10 (2014)'!Q177/3)+('State DisAgg LFx10 (2014)'!R177/2)+'State DisAgg LFx10 (2014)'!S177)/4)/4</f>
        <v>3.0104166666666665</v>
      </c>
      <c r="AR97" s="666">
        <f>('State DisAgg LFx10 (2014)'!T107+'State DisAgg LFx10 (2014)'!T130+'State DisAgg LFx10 (2014)'!T143+(('State DisAgg LFx10 (2014)'!T177/4)+('State DisAgg LFx10 (2014)'!U177/3)+('State DisAgg LFx10 (2014)'!V177/2)+'State DisAgg LFx10 (2014)'!W177)/4)/4</f>
        <v>3.2916666666666665</v>
      </c>
    </row>
    <row r="98" spans="1:44" ht="13.5" thickBot="1">
      <c r="A98" s="885"/>
      <c r="B98" s="885"/>
      <c r="C98" s="250" t="s">
        <v>653</v>
      </c>
      <c r="D98" s="245"/>
      <c r="E98" s="246"/>
      <c r="F98" s="247"/>
      <c r="G98" s="245"/>
      <c r="H98" s="245"/>
      <c r="I98" s="246"/>
      <c r="J98" s="247"/>
      <c r="K98" s="245"/>
      <c r="L98" s="245"/>
      <c r="M98" s="246"/>
      <c r="N98" s="561"/>
      <c r="O98" s="553">
        <f t="shared" si="22"/>
        <v>476737.06740501133</v>
      </c>
      <c r="P98" s="553"/>
      <c r="Q98" s="562"/>
      <c r="R98" s="561"/>
      <c r="S98" s="553"/>
      <c r="T98" s="553"/>
      <c r="U98" s="553">
        <f t="shared" si="19"/>
        <v>275028.55684751412</v>
      </c>
      <c r="V98" s="561"/>
      <c r="W98" s="553"/>
      <c r="X98" s="553"/>
      <c r="Y98" s="553">
        <f t="shared" si="20"/>
        <v>148619.40064844623</v>
      </c>
      <c r="Z98" s="561"/>
      <c r="AA98" s="553"/>
      <c r="AB98" s="553"/>
      <c r="AC98" s="553">
        <f t="shared" si="23"/>
        <v>147354.87519798003</v>
      </c>
      <c r="AD98" s="561"/>
      <c r="AE98" s="563"/>
      <c r="AG98" s="351" t="s">
        <v>760</v>
      </c>
      <c r="AH98" s="655">
        <f t="shared" ref="AH98:AL98" si="27">AH26</f>
        <v>0</v>
      </c>
      <c r="AI98" s="654">
        <f t="shared" si="27"/>
        <v>1444657.7800151857</v>
      </c>
      <c r="AJ98" s="654">
        <f t="shared" si="27"/>
        <v>2278077.6492500771</v>
      </c>
      <c r="AK98" s="654">
        <f t="shared" si="27"/>
        <v>2728439.4693968836</v>
      </c>
      <c r="AL98" s="656">
        <f t="shared" si="27"/>
        <v>3174969.3942392473</v>
      </c>
      <c r="AN98" s="663">
        <f>('State DisAgg LFx10 (2014)'!D98+'State DisAgg LFx10 (2014)'!D121+(('State DisAgg LFx10 (2014)'!D168/4)+('State DisAgg LFx10 (2014)'!E168/3)+('State DisAgg LFx10 (2014)'!F168/2)+'State DisAgg LFx10 (2014)'!G168)/4)/3</f>
        <v>1.6333333333333335</v>
      </c>
      <c r="AO98" s="665">
        <f>('State DisAgg LFx10 (2014)'!H108+'State DisAgg LFx10 (2014)'!H131+(('State DisAgg LFx10 (2014)'!H178/4)+('State DisAgg LFx10 (2014)'!I178/3)+('State DisAgg LFx10 (2014)'!J178/2)+'State DisAgg LFx10 (2014)'!K178)/4)/3</f>
        <v>2.1041666666666665</v>
      </c>
      <c r="AP98" s="665">
        <f>('State DisAgg LFx10 (2014)'!L108+'State DisAgg LFx10 (2014)'!L131+'State DisAgg LFx10 (2014)'!L144+(('State DisAgg LFx10 (2014)'!L178/4)+('State DisAgg LFx10 (2014)'!M178/3)+('State DisAgg LFx10 (2014)'!N178/2)+'State DisAgg LFx10 (2014)'!O178)/4)/4</f>
        <v>2.2510416666666666</v>
      </c>
      <c r="AQ98" s="665">
        <f>('State DisAgg LFx10 (2014)'!P108+'State DisAgg LFx10 (2014)'!P131+'State DisAgg LFx10 (2014)'!P154+(('State DisAgg LFx10 (2014)'!P178/4)+('State DisAgg LFx10 (2014)'!Q178/3)+('State DisAgg LFx10 (2014)'!R178/2)+'State DisAgg LFx10 (2014)'!S178)/4)/4</f>
        <v>3.0322916666666666</v>
      </c>
      <c r="AR98" s="666">
        <f>('State DisAgg LFx10 (2014)'!T108+'State DisAgg LFx10 (2014)'!T131+'State DisAgg LFx10 (2014)'!T144+(('State DisAgg LFx10 (2014)'!T178/4)+('State DisAgg LFx10 (2014)'!U178/3)+('State DisAgg LFx10 (2014)'!V178/2)+'State DisAgg LFx10 (2014)'!W178)/4)/4</f>
        <v>3.1343749999999999</v>
      </c>
    </row>
    <row r="99" spans="1:44" ht="12.95" customHeight="1" thickBot="1">
      <c r="A99" s="885"/>
      <c r="B99" s="885"/>
      <c r="C99" s="250" t="s">
        <v>654</v>
      </c>
      <c r="D99" s="248"/>
      <c r="E99" s="249"/>
      <c r="F99" s="247"/>
      <c r="G99" s="248"/>
      <c r="H99" s="248"/>
      <c r="I99" s="249"/>
      <c r="J99" s="247"/>
      <c r="K99" s="248"/>
      <c r="L99" s="248"/>
      <c r="M99" s="249"/>
      <c r="N99" s="564"/>
      <c r="O99" s="565"/>
      <c r="P99" s="565"/>
      <c r="Q99" s="565"/>
      <c r="R99" s="561"/>
      <c r="S99" s="553"/>
      <c r="T99" s="553"/>
      <c r="U99" s="553">
        <f t="shared" si="19"/>
        <v>113450.1484685835</v>
      </c>
      <c r="V99" s="561"/>
      <c r="W99" s="553"/>
      <c r="X99" s="553"/>
      <c r="Y99" s="553">
        <f t="shared" si="20"/>
        <v>94630.508282779047</v>
      </c>
      <c r="Z99" s="561"/>
      <c r="AA99" s="553"/>
      <c r="AB99" s="553"/>
      <c r="AC99" s="553">
        <f t="shared" si="23"/>
        <v>128217.73338487335</v>
      </c>
      <c r="AD99" s="561"/>
      <c r="AE99" s="563"/>
      <c r="AG99" s="351" t="s">
        <v>761</v>
      </c>
      <c r="AH99" s="655">
        <f t="shared" ref="AH99:AL99" si="28">AH27</f>
        <v>0</v>
      </c>
      <c r="AI99" s="654">
        <f t="shared" si="28"/>
        <v>0</v>
      </c>
      <c r="AJ99" s="654">
        <f t="shared" si="28"/>
        <v>343788.32869267726</v>
      </c>
      <c r="AK99" s="654">
        <f t="shared" si="28"/>
        <v>630547.4447010986</v>
      </c>
      <c r="AL99" s="656">
        <f t="shared" si="28"/>
        <v>1019086.0307158662</v>
      </c>
      <c r="AN99" s="663">
        <f>AO99</f>
        <v>1.0333333333333334</v>
      </c>
      <c r="AO99" s="665">
        <f>('State DisAgg LFx10 (2014)'!H99+'State DisAgg LFx10 (2014)'!H122+(('State DisAgg LFx10 (2014)'!H169/4)+('State DisAgg LFx10 (2014)'!I169/3)+('State DisAgg LFx10 (2014)'!J169/2)+'State DisAgg LFx10 (2014)'!K169)/4)/3</f>
        <v>1.0333333333333334</v>
      </c>
      <c r="AP99" s="665">
        <f>('State DisAgg LFx10 (2014)'!L109+'State DisAgg LFx10 (2014)'!L132+'State DisAgg LFx10 (2014)'!L145+(('State DisAgg LFx10 (2014)'!L179/4)+('State DisAgg LFx10 (2014)'!M179/3)+('State DisAgg LFx10 (2014)'!N179/2)+'State DisAgg LFx10 (2014)'!O179)/4)/4</f>
        <v>1.425</v>
      </c>
      <c r="AQ99" s="665">
        <f>('State DisAgg LFx10 (2014)'!P109+'State DisAgg LFx10 (2014)'!P132+'State DisAgg LFx10 (2014)'!P155+(('State DisAgg LFx10 (2014)'!P179/4)+('State DisAgg LFx10 (2014)'!Q179/3)+('State DisAgg LFx10 (2014)'!R179/2)+'State DisAgg LFx10 (2014)'!S179)/4)/4</f>
        <v>1.6312499999999999</v>
      </c>
      <c r="AR99" s="666">
        <f>('State DisAgg LFx10 (2014)'!T109+'State DisAgg LFx10 (2014)'!T132+'State DisAgg LFx10 (2014)'!T145+(('State DisAgg LFx10 (2014)'!T179/4)+('State DisAgg LFx10 (2014)'!U179/3)+('State DisAgg LFx10 (2014)'!V179/2)+'State DisAgg LFx10 (2014)'!W179)/4)/4</f>
        <v>2.4468749999999999</v>
      </c>
    </row>
    <row r="100" spans="1:44" ht="12.95" customHeight="1" thickBot="1">
      <c r="A100" s="885"/>
      <c r="B100" s="885"/>
      <c r="C100" s="250" t="s">
        <v>655</v>
      </c>
      <c r="D100" s="248"/>
      <c r="E100" s="249"/>
      <c r="F100" s="247"/>
      <c r="G100" s="248"/>
      <c r="H100" s="248"/>
      <c r="I100" s="249"/>
      <c r="J100" s="247"/>
      <c r="K100" s="248"/>
      <c r="L100" s="248"/>
      <c r="M100" s="249"/>
      <c r="N100" s="564"/>
      <c r="O100" s="565"/>
      <c r="P100" s="565"/>
      <c r="Q100" s="565"/>
      <c r="R100" s="561"/>
      <c r="S100" s="553"/>
      <c r="T100" s="553"/>
      <c r="U100" s="553">
        <f t="shared" si="19"/>
        <v>112946.66738643085</v>
      </c>
      <c r="V100" s="561"/>
      <c r="W100" s="553"/>
      <c r="X100" s="553"/>
      <c r="Y100" s="553">
        <f t="shared" si="20"/>
        <v>77295.052545924133</v>
      </c>
      <c r="Z100" s="561"/>
      <c r="AA100" s="553"/>
      <c r="AB100" s="553"/>
      <c r="AC100" s="553">
        <f t="shared" si="23"/>
        <v>103574.83869944004</v>
      </c>
      <c r="AD100" s="561"/>
      <c r="AE100" s="563"/>
      <c r="AG100" s="351" t="s">
        <v>762</v>
      </c>
      <c r="AH100" s="655">
        <f t="shared" ref="AH100:AL100" si="29">AH28</f>
        <v>0</v>
      </c>
      <c r="AI100" s="654">
        <f t="shared" si="29"/>
        <v>0</v>
      </c>
      <c r="AJ100" s="654">
        <f t="shared" si="29"/>
        <v>342262.62844372983</v>
      </c>
      <c r="AK100" s="654">
        <f t="shared" si="29"/>
        <v>576490.06040107564</v>
      </c>
      <c r="AL100" s="656">
        <f t="shared" si="29"/>
        <v>890353.20797513635</v>
      </c>
      <c r="AN100" s="663">
        <f t="shared" ref="AN100:AP103" si="30">AO100</f>
        <v>1.5</v>
      </c>
      <c r="AO100" s="665">
        <f>('State DisAgg LFx10 (2014)'!H100+'State DisAgg LFx10 (2014)'!H123+(('State DisAgg LFx10 (2014)'!H170/4)+('State DisAgg LFx10 (2014)'!I170/3)+('State DisAgg LFx10 (2014)'!J170/2)+'State DisAgg LFx10 (2014)'!K170)/4)/3</f>
        <v>1.5</v>
      </c>
      <c r="AP100" s="665">
        <f>('State DisAgg LFx10 (2014)'!L110+'State DisAgg LFx10 (2014)'!L133+'State DisAgg LFx10 (2014)'!L146+(('State DisAgg LFx10 (2014)'!L180/4)+('State DisAgg LFx10 (2014)'!M180/3)+('State DisAgg LFx10 (2014)'!N180/2)+'State DisAgg LFx10 (2014)'!O180)/4)/4</f>
        <v>1.8</v>
      </c>
      <c r="AQ100" s="665">
        <f>('State DisAgg LFx10 (2014)'!P110+'State DisAgg LFx10 (2014)'!P133+'State DisAgg LFx10 (2014)'!P156+(('State DisAgg LFx10 (2014)'!P180/4)+('State DisAgg LFx10 (2014)'!Q180/3)+('State DisAgg LFx10 (2014)'!R180/2)+'State DisAgg LFx10 (2014)'!S180)/4)/4</f>
        <v>2.0020833333333337</v>
      </c>
      <c r="AR100" s="666">
        <f>('State DisAgg LFx10 (2014)'!T110+'State DisAgg LFx10 (2014)'!T133+'State DisAgg LFx10 (2014)'!T146+(('State DisAgg LFx10 (2014)'!T180/4)+('State DisAgg LFx10 (2014)'!U180/3)+('State DisAgg LFx10 (2014)'!V180/2)+'State DisAgg LFx10 (2014)'!W180)/4)/4</f>
        <v>2.7895833333333333</v>
      </c>
    </row>
    <row r="101" spans="1:44" ht="12.95" customHeight="1" thickBot="1">
      <c r="A101" s="885"/>
      <c r="B101" s="885"/>
      <c r="C101" s="250" t="s">
        <v>656</v>
      </c>
      <c r="D101" s="248"/>
      <c r="E101" s="249"/>
      <c r="F101" s="247"/>
      <c r="G101" s="248"/>
      <c r="H101" s="248"/>
      <c r="I101" s="249"/>
      <c r="J101" s="247"/>
      <c r="K101" s="248"/>
      <c r="L101" s="248"/>
      <c r="M101" s="249"/>
      <c r="N101" s="564"/>
      <c r="O101" s="565"/>
      <c r="P101" s="565"/>
      <c r="Q101" s="565"/>
      <c r="R101" s="561"/>
      <c r="S101" s="553"/>
      <c r="T101" s="553"/>
      <c r="U101" s="553">
        <f t="shared" si="19"/>
        <v>117521.04129365715</v>
      </c>
      <c r="V101" s="561"/>
      <c r="W101" s="553"/>
      <c r="X101" s="553"/>
      <c r="Y101" s="553">
        <f t="shared" si="20"/>
        <v>104718.41877496288</v>
      </c>
      <c r="Z101" s="561"/>
      <c r="AA101" s="553"/>
      <c r="AB101" s="553"/>
      <c r="AC101" s="553">
        <f t="shared" si="23"/>
        <v>108090.36878654666</v>
      </c>
      <c r="AD101" s="561"/>
      <c r="AE101" s="563"/>
      <c r="AG101" s="351" t="s">
        <v>763</v>
      </c>
      <c r="AH101" s="655">
        <f t="shared" ref="AH101:AL101" si="31">AH29</f>
        <v>0</v>
      </c>
      <c r="AI101" s="654">
        <f t="shared" si="31"/>
        <v>0</v>
      </c>
      <c r="AJ101" s="654">
        <f t="shared" si="31"/>
        <v>356124.3675565368</v>
      </c>
      <c r="AK101" s="654">
        <f t="shared" si="31"/>
        <v>673452.90929884859</v>
      </c>
      <c r="AL101" s="656">
        <f t="shared" si="31"/>
        <v>1000999.481379293</v>
      </c>
      <c r="AN101" s="663">
        <f t="shared" si="30"/>
        <v>1.2333333333333334</v>
      </c>
      <c r="AO101" s="665">
        <f>('State DisAgg LFx10 (2014)'!H101+'State DisAgg LFx10 (2014)'!H124+(('State DisAgg LFx10 (2014)'!H171/4)+('State DisAgg LFx10 (2014)'!I171/3)+('State DisAgg LFx10 (2014)'!J171/2)+'State DisAgg LFx10 (2014)'!K171)/4)/3</f>
        <v>1.2333333333333334</v>
      </c>
      <c r="AP101" s="665">
        <f>('State DisAgg LFx10 (2014)'!L111+'State DisAgg LFx10 (2014)'!L134+'State DisAgg LFx10 (2014)'!L147+(('State DisAgg LFx10 (2014)'!L181/4)+('State DisAgg LFx10 (2014)'!M181/3)+('State DisAgg LFx10 (2014)'!N181/2)+'State DisAgg LFx10 (2014)'!O181)/4)/4</f>
        <v>1.55</v>
      </c>
      <c r="AQ101" s="665">
        <f>('State DisAgg LFx10 (2014)'!P111+'State DisAgg LFx10 (2014)'!P134+'State DisAgg LFx10 (2014)'!P157+(('State DisAgg LFx10 (2014)'!P181/4)+('State DisAgg LFx10 (2014)'!Q181/3)+('State DisAgg LFx10 (2014)'!R181/2)+'State DisAgg LFx10 (2014)'!S181)/4)/4</f>
        <v>2.1656249999999999</v>
      </c>
      <c r="AR101" s="666">
        <f>('State DisAgg LFx10 (2014)'!T111+'State DisAgg LFx10 (2014)'!T134+'State DisAgg LFx10 (2014)'!T147+(('State DisAgg LFx10 (2014)'!T181/4)+('State DisAgg LFx10 (2014)'!U181/3)+('State DisAgg LFx10 (2014)'!V181/2)+'State DisAgg LFx10 (2014)'!W181)/4)/4</f>
        <v>2.7697916666666669</v>
      </c>
    </row>
    <row r="102" spans="1:44" ht="12.95" customHeight="1" thickBot="1">
      <c r="A102" s="885"/>
      <c r="B102" s="885"/>
      <c r="C102" s="250" t="s">
        <v>657</v>
      </c>
      <c r="D102" s="248"/>
      <c r="E102" s="249"/>
      <c r="F102" s="247"/>
      <c r="G102" s="248"/>
      <c r="H102" s="248"/>
      <c r="I102" s="249"/>
      <c r="J102" s="247"/>
      <c r="K102" s="248"/>
      <c r="L102" s="248"/>
      <c r="M102" s="249"/>
      <c r="N102" s="564"/>
      <c r="O102" s="565"/>
      <c r="P102" s="565"/>
      <c r="Q102" s="566"/>
      <c r="R102" s="564"/>
      <c r="S102" s="565"/>
      <c r="T102" s="565"/>
      <c r="U102" s="566"/>
      <c r="V102" s="564"/>
      <c r="W102" s="565"/>
      <c r="X102" s="565"/>
      <c r="Y102" s="566"/>
      <c r="Z102" s="561"/>
      <c r="AA102" s="553"/>
      <c r="AB102" s="553"/>
      <c r="AC102" s="553">
        <f t="shared" si="23"/>
        <v>84622.177209846675</v>
      </c>
      <c r="AD102" s="561"/>
      <c r="AE102" s="563"/>
      <c r="AG102" s="351" t="s">
        <v>1098</v>
      </c>
      <c r="AH102" s="655">
        <f t="shared" ref="AH102:AL102" si="32">AH30</f>
        <v>0</v>
      </c>
      <c r="AI102" s="654">
        <f t="shared" si="32"/>
        <v>0</v>
      </c>
      <c r="AJ102" s="654">
        <f t="shared" si="32"/>
        <v>0</v>
      </c>
      <c r="AK102" s="654">
        <f t="shared" si="32"/>
        <v>0</v>
      </c>
      <c r="AL102" s="656">
        <f t="shared" si="32"/>
        <v>256430.84002983838</v>
      </c>
      <c r="AN102" s="663">
        <f t="shared" si="30"/>
        <v>1.85</v>
      </c>
      <c r="AO102" s="665">
        <f t="shared" si="30"/>
        <v>1.85</v>
      </c>
      <c r="AP102" s="665">
        <f t="shared" si="30"/>
        <v>1.85</v>
      </c>
      <c r="AQ102" s="665">
        <f>AR102</f>
        <v>1.85</v>
      </c>
      <c r="AR102" s="666">
        <f>('State DisAgg LFx10 (2014)'!T112+'State DisAgg LFx10 (2014)'!T135+'State DisAgg LFx10 (2014)'!T148+(('State DisAgg LFx10 (2014)'!T182/4)+('State DisAgg LFx10 (2014)'!U182/3)+('State DisAgg LFx10 (2014)'!V182/2)+'State DisAgg LFx10 (2014)'!W182)/4)/4</f>
        <v>1.85</v>
      </c>
    </row>
    <row r="103" spans="1:44" ht="12.95" customHeight="1" thickBot="1">
      <c r="A103" s="885"/>
      <c r="B103" s="885"/>
      <c r="C103" s="250" t="s">
        <v>658</v>
      </c>
      <c r="D103" s="248"/>
      <c r="E103" s="249"/>
      <c r="F103" s="247"/>
      <c r="G103" s="248"/>
      <c r="H103" s="248"/>
      <c r="I103" s="249"/>
      <c r="J103" s="247"/>
      <c r="K103" s="248"/>
      <c r="L103" s="248"/>
      <c r="M103" s="249"/>
      <c r="N103" s="564"/>
      <c r="O103" s="565"/>
      <c r="P103" s="565"/>
      <c r="Q103" s="566"/>
      <c r="R103" s="564"/>
      <c r="S103" s="565"/>
      <c r="T103" s="565"/>
      <c r="U103" s="566"/>
      <c r="V103" s="564"/>
      <c r="W103" s="565"/>
      <c r="X103" s="565"/>
      <c r="Y103" s="566"/>
      <c r="Z103" s="561"/>
      <c r="AA103" s="553"/>
      <c r="AB103" s="553"/>
      <c r="AC103" s="553">
        <f t="shared" si="23"/>
        <v>115215.76586000671</v>
      </c>
      <c r="AD103" s="561"/>
      <c r="AE103" s="563"/>
      <c r="AG103" s="351" t="s">
        <v>1099</v>
      </c>
      <c r="AH103" s="657">
        <f t="shared" ref="AH103:AL103" si="33">AH31</f>
        <v>0</v>
      </c>
      <c r="AI103" s="658">
        <f t="shared" si="33"/>
        <v>0</v>
      </c>
      <c r="AJ103" s="658">
        <f t="shared" si="33"/>
        <v>0</v>
      </c>
      <c r="AK103" s="658">
        <f t="shared" si="33"/>
        <v>0</v>
      </c>
      <c r="AL103" s="659">
        <f t="shared" si="33"/>
        <v>349138.68442426273</v>
      </c>
      <c r="AN103" s="667">
        <f t="shared" si="30"/>
        <v>1.9249999999999998</v>
      </c>
      <c r="AO103" s="668">
        <f t="shared" si="30"/>
        <v>1.9249999999999998</v>
      </c>
      <c r="AP103" s="668">
        <f t="shared" si="30"/>
        <v>1.9249999999999998</v>
      </c>
      <c r="AQ103" s="668">
        <f>AR103</f>
        <v>1.9249999999999998</v>
      </c>
      <c r="AR103" s="669">
        <f>('State DisAgg LFx10 (2014)'!T113+'State DisAgg LFx10 (2014)'!T136+'State DisAgg LFx10 (2014)'!T149+(('State DisAgg LFx10 (2014)'!T183/4)+('State DisAgg LFx10 (2014)'!U183/3)+('State DisAgg LFx10 (2014)'!V183/2)+'State DisAgg LFx10 (2014)'!W183)/4)/4</f>
        <v>1.9249999999999998</v>
      </c>
    </row>
    <row r="104" spans="1:44" ht="12.95" hidden="1" customHeight="1" thickBot="1">
      <c r="A104" s="885"/>
      <c r="B104" s="885"/>
      <c r="C104" s="9" t="s">
        <v>295</v>
      </c>
      <c r="D104" s="241" t="s">
        <v>632</v>
      </c>
      <c r="E104" s="241" t="s">
        <v>632</v>
      </c>
      <c r="F104" s="243" t="s">
        <v>646</v>
      </c>
      <c r="G104" s="241" t="s">
        <v>646</v>
      </c>
      <c r="H104" s="241" t="s">
        <v>646</v>
      </c>
      <c r="I104" s="244" t="s">
        <v>646</v>
      </c>
      <c r="J104" s="195">
        <f>'State DisAgg LFx10 (2015)'!D94</f>
        <v>2</v>
      </c>
      <c r="K104" s="196"/>
      <c r="L104" s="196"/>
      <c r="M104" s="197"/>
      <c r="N104" s="195"/>
      <c r="O104" s="196">
        <f>'State DisAgg LFx10 (2015)'!H104</f>
        <v>2</v>
      </c>
      <c r="P104" s="196"/>
      <c r="Q104" s="197"/>
      <c r="R104" s="195"/>
      <c r="S104" s="196"/>
      <c r="T104" s="196"/>
      <c r="U104" s="197">
        <f>'State DisAgg LFx10 (2015)'!L104</f>
        <v>2.9</v>
      </c>
      <c r="V104" s="195"/>
      <c r="W104" s="196"/>
      <c r="X104" s="196"/>
      <c r="Y104" s="197">
        <f>'State DisAgg LFx10 (2015)'!P104</f>
        <v>4</v>
      </c>
      <c r="Z104" s="195"/>
      <c r="AA104" s="196"/>
      <c r="AB104" s="196"/>
      <c r="AC104" s="197">
        <f>'State DisAgg LFx10 (2015)'!T104</f>
        <v>0</v>
      </c>
      <c r="AD104" s="195"/>
      <c r="AE104" s="197"/>
      <c r="AO104" s="665">
        <f>('State DisAgg LFx10 (2014)'!H104+'State DisAgg LFx10 (2014)'!H127+(('State DisAgg LFx10 (2014)'!H174/4)+('State DisAgg LFx10 (2014)'!I174/3)+('State DisAgg LFx10 (2014)'!J174/2)+'State DisAgg LFx10 (2014)'!K174)/4)/3</f>
        <v>1.6666666666666667</v>
      </c>
    </row>
    <row r="105" spans="1:44" ht="12.95" hidden="1" customHeight="1" thickBot="1">
      <c r="A105" s="885"/>
      <c r="B105" s="885"/>
      <c r="C105" s="9" t="s">
        <v>296</v>
      </c>
      <c r="D105" s="241" t="s">
        <v>632</v>
      </c>
      <c r="E105" s="241" t="s">
        <v>632</v>
      </c>
      <c r="F105" s="243" t="s">
        <v>646</v>
      </c>
      <c r="G105" s="241" t="s">
        <v>646</v>
      </c>
      <c r="H105" s="241" t="s">
        <v>646</v>
      </c>
      <c r="I105" s="244" t="s">
        <v>646</v>
      </c>
      <c r="J105" s="195">
        <f>'State DisAgg LFx10 (2015)'!D95</f>
        <v>2.2000000000000002</v>
      </c>
      <c r="K105" s="196"/>
      <c r="L105" s="196"/>
      <c r="M105" s="197"/>
      <c r="N105" s="195"/>
      <c r="O105" s="196">
        <f>'State DisAgg LFx10 (2015)'!H105</f>
        <v>2.1</v>
      </c>
      <c r="P105" s="196"/>
      <c r="Q105" s="197"/>
      <c r="R105" s="195"/>
      <c r="S105" s="196"/>
      <c r="T105" s="196"/>
      <c r="U105" s="197">
        <f>'State DisAgg LFx10 (2015)'!L105</f>
        <v>2.6</v>
      </c>
      <c r="V105" s="195"/>
      <c r="W105" s="196"/>
      <c r="X105" s="196"/>
      <c r="Y105" s="197">
        <f>'State DisAgg LFx10 (2015)'!P105</f>
        <v>3.2</v>
      </c>
      <c r="Z105" s="195"/>
      <c r="AA105" s="196"/>
      <c r="AB105" s="196"/>
      <c r="AC105" s="197">
        <f>'State DisAgg LFx10 (2015)'!T105</f>
        <v>0</v>
      </c>
      <c r="AD105" s="195"/>
      <c r="AE105" s="197"/>
      <c r="AO105" s="665">
        <f>('State DisAgg LFx10 (2014)'!H105+'State DisAgg LFx10 (2014)'!H128+(('State DisAgg LFx10 (2014)'!H175/4)+('State DisAgg LFx10 (2014)'!I175/3)+('State DisAgg LFx10 (2014)'!J175/2)+'State DisAgg LFx10 (2014)'!K175)/4)/3</f>
        <v>1.6541666666666668</v>
      </c>
    </row>
    <row r="106" spans="1:44" ht="12.95" hidden="1" customHeight="1" thickBot="1">
      <c r="A106" s="885"/>
      <c r="B106" s="885"/>
      <c r="C106" s="9" t="s">
        <v>297</v>
      </c>
      <c r="D106" s="241" t="s">
        <v>632</v>
      </c>
      <c r="E106" s="241" t="s">
        <v>632</v>
      </c>
      <c r="F106" s="243" t="s">
        <v>646</v>
      </c>
      <c r="G106" s="241" t="s">
        <v>646</v>
      </c>
      <c r="H106" s="241" t="s">
        <v>646</v>
      </c>
      <c r="I106" s="244" t="s">
        <v>646</v>
      </c>
      <c r="J106" s="195">
        <f>'State DisAgg LFx10 (2015)'!D96</f>
        <v>2.1</v>
      </c>
      <c r="K106" s="196"/>
      <c r="L106" s="196"/>
      <c r="M106" s="197"/>
      <c r="N106" s="195"/>
      <c r="O106" s="196">
        <f>'State DisAgg LFx10 (2015)'!H106</f>
        <v>3</v>
      </c>
      <c r="P106" s="196"/>
      <c r="Q106" s="197"/>
      <c r="R106" s="195"/>
      <c r="S106" s="196"/>
      <c r="T106" s="196"/>
      <c r="U106" s="197">
        <f>'State DisAgg LFx10 (2015)'!L106</f>
        <v>2.9</v>
      </c>
      <c r="V106" s="195"/>
      <c r="W106" s="196"/>
      <c r="X106" s="196"/>
      <c r="Y106" s="197">
        <f>'State DisAgg LFx10 (2015)'!P106</f>
        <v>3.1</v>
      </c>
      <c r="Z106" s="195"/>
      <c r="AA106" s="196"/>
      <c r="AB106" s="196"/>
      <c r="AC106" s="197">
        <f>'State DisAgg LFx10 (2015)'!T106</f>
        <v>0</v>
      </c>
      <c r="AD106" s="195"/>
      <c r="AE106" s="197"/>
      <c r="AO106" s="665">
        <f>('State DisAgg LFx10 (2014)'!H106+'State DisAgg LFx10 (2014)'!H129+(('State DisAgg LFx10 (2014)'!H176/4)+('State DisAgg LFx10 (2014)'!I176/3)+('State DisAgg LFx10 (2014)'!J176/2)+'State DisAgg LFx10 (2014)'!K176)/4)/3</f>
        <v>2.0694444444444442</v>
      </c>
    </row>
    <row r="107" spans="1:44" ht="12.95" hidden="1" customHeight="1" thickBot="1">
      <c r="A107" s="885"/>
      <c r="B107" s="885"/>
      <c r="C107" s="9" t="s">
        <v>298</v>
      </c>
      <c r="D107" s="241" t="s">
        <v>632</v>
      </c>
      <c r="E107" s="241" t="s">
        <v>632</v>
      </c>
      <c r="F107" s="243" t="s">
        <v>646</v>
      </c>
      <c r="G107" s="241" t="s">
        <v>646</v>
      </c>
      <c r="H107" s="241" t="s">
        <v>646</v>
      </c>
      <c r="I107" s="244" t="s">
        <v>646</v>
      </c>
      <c r="J107" s="195">
        <f>'State DisAgg LFx10 (2015)'!D97</f>
        <v>1.9</v>
      </c>
      <c r="K107" s="196"/>
      <c r="L107" s="196"/>
      <c r="M107" s="197"/>
      <c r="N107" s="195"/>
      <c r="O107" s="196">
        <f>'State DisAgg LFx10 (2015)'!H107</f>
        <v>2</v>
      </c>
      <c r="P107" s="196"/>
      <c r="Q107" s="197"/>
      <c r="R107" s="195"/>
      <c r="S107" s="196"/>
      <c r="T107" s="196"/>
      <c r="U107" s="197">
        <f>'State DisAgg LFx10 (2015)'!L107</f>
        <v>3</v>
      </c>
      <c r="V107" s="195"/>
      <c r="W107" s="196"/>
      <c r="X107" s="196"/>
      <c r="Y107" s="197">
        <f>'State DisAgg LFx10 (2015)'!P107</f>
        <v>2.8</v>
      </c>
      <c r="Z107" s="195"/>
      <c r="AA107" s="196"/>
      <c r="AB107" s="196"/>
      <c r="AC107" s="197">
        <f>'State DisAgg LFx10 (2015)'!T107</f>
        <v>0</v>
      </c>
      <c r="AD107" s="195"/>
      <c r="AE107" s="197"/>
      <c r="AO107" s="665">
        <f>('State DisAgg LFx10 (2014)'!H107+'State DisAgg LFx10 (2014)'!H130+(('State DisAgg LFx10 (2014)'!H177/4)+('State DisAgg LFx10 (2014)'!I177/3)+('State DisAgg LFx10 (2014)'!J177/2)+'State DisAgg LFx10 (2014)'!K177)/4)/3</f>
        <v>1.4027777777777777</v>
      </c>
    </row>
    <row r="108" spans="1:44" ht="12.95" hidden="1" customHeight="1" thickBot="1">
      <c r="A108" s="885"/>
      <c r="B108" s="885"/>
      <c r="C108" s="9" t="s">
        <v>299</v>
      </c>
      <c r="D108" s="241" t="s">
        <v>632</v>
      </c>
      <c r="E108" s="241" t="s">
        <v>632</v>
      </c>
      <c r="F108" s="243" t="s">
        <v>646</v>
      </c>
      <c r="G108" s="241" t="s">
        <v>646</v>
      </c>
      <c r="H108" s="241" t="s">
        <v>646</v>
      </c>
      <c r="I108" s="244" t="s">
        <v>646</v>
      </c>
      <c r="J108" s="195">
        <f>'State DisAgg LFx10 (2015)'!D98</f>
        <v>2.6</v>
      </c>
      <c r="K108" s="196"/>
      <c r="L108" s="196"/>
      <c r="M108" s="197"/>
      <c r="N108" s="195"/>
      <c r="O108" s="196">
        <f>'State DisAgg LFx10 (2015)'!H108</f>
        <v>3</v>
      </c>
      <c r="P108" s="196"/>
      <c r="Q108" s="197"/>
      <c r="R108" s="195"/>
      <c r="S108" s="196"/>
      <c r="T108" s="196"/>
      <c r="U108" s="197">
        <f>'State DisAgg LFx10 (2015)'!L108</f>
        <v>3</v>
      </c>
      <c r="V108" s="195"/>
      <c r="W108" s="196"/>
      <c r="X108" s="196"/>
      <c r="Y108" s="197">
        <f>'State DisAgg LFx10 (2015)'!P108</f>
        <v>3.5</v>
      </c>
      <c r="Z108" s="195"/>
      <c r="AA108" s="196"/>
      <c r="AB108" s="196"/>
      <c r="AC108" s="197">
        <f>'State DisAgg LFx10 (2015)'!T108</f>
        <v>0</v>
      </c>
      <c r="AD108" s="195"/>
      <c r="AE108" s="197"/>
      <c r="AO108" s="665">
        <f>('State DisAgg LFx10 (2014)'!H108+'State DisAgg LFx10 (2014)'!H131+(('State DisAgg LFx10 (2014)'!H178/4)+('State DisAgg LFx10 (2014)'!I178/3)+('State DisAgg LFx10 (2014)'!J178/2)+'State DisAgg LFx10 (2014)'!K178)/4)/3</f>
        <v>2.1041666666666665</v>
      </c>
    </row>
    <row r="109" spans="1:44" ht="24.75" hidden="1" thickBot="1">
      <c r="A109" s="885"/>
      <c r="B109" s="885"/>
      <c r="C109" s="9" t="s">
        <v>300</v>
      </c>
      <c r="D109" s="199"/>
      <c r="E109" s="200"/>
      <c r="F109" s="201"/>
      <c r="G109" s="199"/>
      <c r="H109" s="199"/>
      <c r="I109" s="200"/>
      <c r="J109" s="201"/>
      <c r="K109" s="199"/>
      <c r="L109" s="199"/>
      <c r="M109" s="200"/>
      <c r="N109" s="198"/>
      <c r="O109" s="217" t="s">
        <v>634</v>
      </c>
      <c r="P109" s="241" t="s">
        <v>632</v>
      </c>
      <c r="Q109" s="244" t="s">
        <v>646</v>
      </c>
      <c r="R109" s="195">
        <f>'State DisAgg LFx10 (2015)'!H99</f>
        <v>1.5</v>
      </c>
      <c r="S109" s="196"/>
      <c r="T109" s="196"/>
      <c r="U109" s="197">
        <f>'State DisAgg LFx10 (2015)'!L109</f>
        <v>1.5</v>
      </c>
      <c r="V109" s="195"/>
      <c r="W109" s="196"/>
      <c r="X109" s="196"/>
      <c r="Y109" s="197">
        <f>'State DisAgg LFx10 (2015)'!P109</f>
        <v>2.2000000000000002</v>
      </c>
      <c r="Z109" s="195"/>
      <c r="AA109" s="196"/>
      <c r="AB109" s="196"/>
      <c r="AC109" s="197">
        <f>'State DisAgg LFx10 (2015)'!T109</f>
        <v>0</v>
      </c>
      <c r="AD109" s="195"/>
      <c r="AE109" s="197"/>
      <c r="AO109" s="665">
        <f>('State DisAgg LFx10 (2014)'!H109+'State DisAgg LFx10 (2014)'!H132+(('State DisAgg LFx10 (2014)'!H179/4)+('State DisAgg LFx10 (2014)'!I179/3)+('State DisAgg LFx10 (2014)'!J179/2)+'State DisAgg LFx10 (2014)'!K179)/4)/3</f>
        <v>0</v>
      </c>
    </row>
    <row r="110" spans="1:44" ht="13.5" hidden="1" thickBot="1">
      <c r="A110" s="885"/>
      <c r="B110" s="885"/>
      <c r="C110" s="9" t="s">
        <v>301</v>
      </c>
      <c r="D110" s="199"/>
      <c r="E110" s="200"/>
      <c r="F110" s="201"/>
      <c r="G110" s="199"/>
      <c r="H110" s="199"/>
      <c r="I110" s="200"/>
      <c r="J110" s="201"/>
      <c r="K110" s="199"/>
      <c r="L110" s="199"/>
      <c r="M110" s="200"/>
      <c r="N110" s="198"/>
      <c r="O110" s="217" t="s">
        <v>634</v>
      </c>
      <c r="P110" s="241" t="s">
        <v>632</v>
      </c>
      <c r="Q110" s="244" t="s">
        <v>646</v>
      </c>
      <c r="R110" s="195">
        <f>'State DisAgg LFx10 (2015)'!H100</f>
        <v>2.8</v>
      </c>
      <c r="S110" s="196"/>
      <c r="T110" s="196"/>
      <c r="U110" s="197">
        <f>'State DisAgg LFx10 (2015)'!L110</f>
        <v>2.8</v>
      </c>
      <c r="V110" s="195"/>
      <c r="W110" s="196"/>
      <c r="X110" s="196"/>
      <c r="Y110" s="197">
        <f>'State DisAgg LFx10 (2015)'!P110</f>
        <v>2.2000000000000002</v>
      </c>
      <c r="Z110" s="195"/>
      <c r="AA110" s="196"/>
      <c r="AB110" s="196"/>
      <c r="AC110" s="197">
        <f>'State DisAgg LFx10 (2015)'!T110</f>
        <v>0</v>
      </c>
      <c r="AD110" s="195"/>
      <c r="AE110" s="197"/>
      <c r="AO110" s="665">
        <f>('State DisAgg LFx10 (2014)'!H110+'State DisAgg LFx10 (2014)'!H133+(('State DisAgg LFx10 (2014)'!H180/4)+('State DisAgg LFx10 (2014)'!I180/3)+('State DisAgg LFx10 (2014)'!J180/2)+'State DisAgg LFx10 (2014)'!K180)/4)/3</f>
        <v>0</v>
      </c>
    </row>
    <row r="111" spans="1:44" ht="13.5" hidden="1" thickBot="1">
      <c r="A111" s="885"/>
      <c r="B111" s="885"/>
      <c r="C111" s="9" t="s">
        <v>302</v>
      </c>
      <c r="D111" s="199"/>
      <c r="E111" s="200"/>
      <c r="F111" s="201"/>
      <c r="G111" s="199"/>
      <c r="H111" s="199"/>
      <c r="I111" s="200"/>
      <c r="J111" s="201"/>
      <c r="K111" s="199"/>
      <c r="L111" s="199"/>
      <c r="M111" s="200"/>
      <c r="N111" s="198"/>
      <c r="O111" s="217" t="s">
        <v>634</v>
      </c>
      <c r="P111" s="241" t="s">
        <v>632</v>
      </c>
      <c r="Q111" s="244" t="s">
        <v>646</v>
      </c>
      <c r="R111" s="195">
        <f>'State DisAgg LFx10 (2015)'!H101</f>
        <v>2.2000000000000002</v>
      </c>
      <c r="S111" s="196"/>
      <c r="T111" s="196"/>
      <c r="U111" s="197">
        <f>'State DisAgg LFx10 (2015)'!L111</f>
        <v>2.2000000000000002</v>
      </c>
      <c r="V111" s="195"/>
      <c r="W111" s="196"/>
      <c r="X111" s="196"/>
      <c r="Y111" s="197">
        <f>'State DisAgg LFx10 (2015)'!P111</f>
        <v>2.5</v>
      </c>
      <c r="Z111" s="195"/>
      <c r="AA111" s="196"/>
      <c r="AB111" s="196"/>
      <c r="AC111" s="197">
        <f>'State DisAgg LFx10 (2015)'!T111</f>
        <v>0</v>
      </c>
      <c r="AD111" s="195"/>
      <c r="AE111" s="197"/>
      <c r="AO111" s="665">
        <f>('State DisAgg LFx10 (2014)'!H111+'State DisAgg LFx10 (2014)'!H134+(('State DisAgg LFx10 (2014)'!H181/4)+('State DisAgg LFx10 (2014)'!I181/3)+('State DisAgg LFx10 (2014)'!J181/2)+'State DisAgg LFx10 (2014)'!K181)/4)/3</f>
        <v>0</v>
      </c>
    </row>
    <row r="112" spans="1:44" ht="24.75" hidden="1" thickBot="1">
      <c r="A112" s="885"/>
      <c r="B112" s="885"/>
      <c r="C112" s="9" t="s">
        <v>303</v>
      </c>
      <c r="D112" s="202"/>
      <c r="E112" s="203"/>
      <c r="F112" s="201"/>
      <c r="G112" s="202"/>
      <c r="H112" s="202"/>
      <c r="I112" s="203"/>
      <c r="J112" s="201"/>
      <c r="K112" s="202"/>
      <c r="L112" s="202"/>
      <c r="M112" s="203"/>
      <c r="N112" s="204"/>
      <c r="O112" s="214"/>
      <c r="P112" s="205"/>
      <c r="Q112" s="205"/>
      <c r="R112" s="201"/>
      <c r="S112" s="202"/>
      <c r="T112" s="202"/>
      <c r="U112" s="203"/>
      <c r="V112" s="242"/>
      <c r="W112" s="217" t="s">
        <v>633</v>
      </c>
      <c r="X112" s="241" t="s">
        <v>632</v>
      </c>
      <c r="Y112" s="197">
        <f>'State DisAgg LFx10 (2015)'!P102</f>
        <v>2.1</v>
      </c>
      <c r="Z112" s="195"/>
      <c r="AA112" s="196"/>
      <c r="AB112" s="196"/>
      <c r="AC112" s="197">
        <f>'State DisAgg LFx10 (2015)'!T112</f>
        <v>0</v>
      </c>
      <c r="AD112" s="195"/>
      <c r="AE112" s="197"/>
      <c r="AO112" s="665">
        <f>('State DisAgg LFx10 (2014)'!H112+'State DisAgg LFx10 (2014)'!H135+(('State DisAgg LFx10 (2014)'!H182/4)+('State DisAgg LFx10 (2014)'!I182/3)+('State DisAgg LFx10 (2014)'!J182/2)+'State DisAgg LFx10 (2014)'!K182)/4)/3</f>
        <v>0</v>
      </c>
    </row>
    <row r="113" spans="1:41" ht="13.5" hidden="1" thickBot="1">
      <c r="A113" s="885"/>
      <c r="B113" s="885"/>
      <c r="C113" s="9" t="s">
        <v>304</v>
      </c>
      <c r="D113" s="202"/>
      <c r="E113" s="203"/>
      <c r="F113" s="201"/>
      <c r="G113" s="202"/>
      <c r="H113" s="202"/>
      <c r="I113" s="203"/>
      <c r="J113" s="201"/>
      <c r="K113" s="202"/>
      <c r="L113" s="202"/>
      <c r="M113" s="203"/>
      <c r="N113" s="204"/>
      <c r="O113" s="205"/>
      <c r="P113" s="205"/>
      <c r="Q113" s="205"/>
      <c r="R113" s="201"/>
      <c r="S113" s="202"/>
      <c r="T113" s="202"/>
      <c r="U113" s="203"/>
      <c r="V113" s="242"/>
      <c r="W113" s="217" t="s">
        <v>633</v>
      </c>
      <c r="X113" s="241" t="s">
        <v>632</v>
      </c>
      <c r="Y113" s="197">
        <f>'State DisAgg LFx10 (2015)'!P103</f>
        <v>2.5</v>
      </c>
      <c r="Z113" s="195"/>
      <c r="AA113" s="196"/>
      <c r="AB113" s="196"/>
      <c r="AC113" s="197">
        <f>'State DisAgg LFx10 (2015)'!T113</f>
        <v>0</v>
      </c>
      <c r="AD113" s="195"/>
      <c r="AE113" s="197"/>
      <c r="AO113" s="665">
        <f>('State DisAgg LFx10 (2014)'!H113+'State DisAgg LFx10 (2014)'!H136+(('State DisAgg LFx10 (2014)'!H183/4)+('State DisAgg LFx10 (2014)'!I183/3)+('State DisAgg LFx10 (2014)'!J183/2)+'State DisAgg LFx10 (2014)'!K183)/4)/3</f>
        <v>0</v>
      </c>
    </row>
    <row r="114" spans="1:41" ht="12.95" hidden="1" customHeight="1" thickBot="1">
      <c r="A114" s="885"/>
      <c r="B114" s="298"/>
      <c r="C114" s="231"/>
      <c r="D114" s="232"/>
      <c r="E114" s="233"/>
      <c r="F114" s="234"/>
      <c r="G114" s="232"/>
      <c r="H114" s="232"/>
      <c r="I114" s="233"/>
      <c r="J114" s="234"/>
      <c r="K114" s="232"/>
      <c r="L114" s="232"/>
      <c r="M114" s="233"/>
      <c r="N114" s="234"/>
      <c r="O114" s="232"/>
      <c r="P114" s="232"/>
      <c r="Q114" s="233"/>
      <c r="R114" s="234"/>
      <c r="S114" s="232"/>
      <c r="T114" s="232"/>
      <c r="U114" s="233"/>
      <c r="V114" s="234"/>
      <c r="W114" s="232"/>
      <c r="X114" s="232"/>
      <c r="Y114" s="233"/>
      <c r="Z114" s="234"/>
      <c r="AA114" s="232"/>
      <c r="AB114" s="232"/>
      <c r="AC114" s="233"/>
      <c r="AD114" s="234"/>
      <c r="AE114" s="233"/>
      <c r="AO114" s="665">
        <f>('State DisAgg LFx10 (2014)'!H114+'State DisAgg LFx10 (2014)'!H137+(('State DisAgg LFx10 (2014)'!H184/4)+('State DisAgg LFx10 (2014)'!I184/3)+('State DisAgg LFx10 (2014)'!J184/2)+'State DisAgg LFx10 (2014)'!K184)/4)/3</f>
        <v>0</v>
      </c>
    </row>
    <row r="115" spans="1:41" ht="12.95" hidden="1" customHeight="1" thickBot="1">
      <c r="A115" s="885"/>
      <c r="B115" s="298"/>
      <c r="C115" s="231"/>
      <c r="D115" s="232"/>
      <c r="E115" s="233"/>
      <c r="F115" s="234"/>
      <c r="G115" s="232"/>
      <c r="H115" s="232"/>
      <c r="I115" s="233"/>
      <c r="J115" s="234"/>
      <c r="K115" s="232"/>
      <c r="L115" s="232"/>
      <c r="M115" s="233"/>
      <c r="N115" s="234"/>
      <c r="O115" s="232"/>
      <c r="P115" s="232"/>
      <c r="Q115" s="233"/>
      <c r="R115" s="234"/>
      <c r="S115" s="232"/>
      <c r="T115" s="232"/>
      <c r="U115" s="233"/>
      <c r="V115" s="234"/>
      <c r="W115" s="232"/>
      <c r="X115" s="232"/>
      <c r="Y115" s="233"/>
      <c r="Z115" s="234"/>
      <c r="AA115" s="232"/>
      <c r="AB115" s="232"/>
      <c r="AC115" s="233"/>
      <c r="AD115" s="234"/>
      <c r="AE115" s="233"/>
      <c r="AO115" s="665">
        <f>('State DisAgg LFx10 (2014)'!H115+'State DisAgg LFx10 (2014)'!H138+(('State DisAgg LFx10 (2014)'!H185/4)+('State DisAgg LFx10 (2014)'!I185/3)+('State DisAgg LFx10 (2014)'!J185/2)+'State DisAgg LFx10 (2014)'!K185)/4)/3</f>
        <v>0</v>
      </c>
    </row>
    <row r="116" spans="1:41" ht="12.95" customHeight="1" thickBot="1">
      <c r="A116" s="885"/>
      <c r="B116" s="3" t="s">
        <v>23</v>
      </c>
      <c r="C116" s="12"/>
      <c r="D116" s="1377">
        <v>2008</v>
      </c>
      <c r="E116" s="1378"/>
      <c r="F116" s="1372">
        <v>2009</v>
      </c>
      <c r="G116" s="1373"/>
      <c r="H116" s="1373"/>
      <c r="I116" s="1374"/>
      <c r="J116" s="1372">
        <v>2010</v>
      </c>
      <c r="K116" s="1373"/>
      <c r="L116" s="1373"/>
      <c r="M116" s="1374"/>
      <c r="N116" s="1372">
        <v>2011</v>
      </c>
      <c r="O116" s="1373"/>
      <c r="P116" s="1373"/>
      <c r="Q116" s="1374"/>
      <c r="R116" s="1372">
        <v>2012</v>
      </c>
      <c r="S116" s="1373"/>
      <c r="T116" s="1373"/>
      <c r="U116" s="1374"/>
      <c r="V116" s="1372">
        <v>2013</v>
      </c>
      <c r="W116" s="1373"/>
      <c r="X116" s="1373"/>
      <c r="Y116" s="1374"/>
      <c r="Z116" s="1372">
        <v>2014</v>
      </c>
      <c r="AA116" s="1373"/>
      <c r="AB116" s="1373"/>
      <c r="AC116" s="1374"/>
      <c r="AD116" s="1372">
        <v>2015</v>
      </c>
      <c r="AE116" s="1374"/>
    </row>
    <row r="117" spans="1:41" ht="13.5" thickBot="1">
      <c r="A117" s="885"/>
      <c r="B117" s="868" t="s">
        <v>56</v>
      </c>
      <c r="C117" s="250" t="s">
        <v>649</v>
      </c>
      <c r="D117" s="245"/>
      <c r="E117" s="246"/>
      <c r="F117" s="247"/>
      <c r="G117" s="245"/>
      <c r="H117" s="245"/>
      <c r="I117" s="246"/>
      <c r="J117" s="329" t="str">
        <f>'State Efficiency Ratios'!J117</f>
        <v>33% of total expenditure</v>
      </c>
      <c r="K117" s="245"/>
      <c r="L117" s="245"/>
      <c r="M117" s="246"/>
      <c r="N117" s="561"/>
      <c r="O117" s="553">
        <f>33%*O22</f>
        <v>446584.09978956816</v>
      </c>
      <c r="P117" s="553"/>
      <c r="Q117" s="562"/>
      <c r="R117" s="561"/>
      <c r="S117" s="553"/>
      <c r="T117" s="553"/>
      <c r="U117" s="553">
        <f t="shared" ref="U117:U124" si="34">33%*U22</f>
        <v>185750.00405503594</v>
      </c>
      <c r="V117" s="561"/>
      <c r="W117" s="553"/>
      <c r="X117" s="553"/>
      <c r="Y117" s="553">
        <f t="shared" ref="Y117:Y124" si="35">33%*Y22</f>
        <v>132896.42456009038</v>
      </c>
      <c r="Z117" s="561"/>
      <c r="AA117" s="553"/>
      <c r="AB117" s="553"/>
      <c r="AC117" s="553">
        <f t="shared" ref="AC117:AC126" si="36">33%*AC22</f>
        <v>126675.87795677669</v>
      </c>
      <c r="AD117" s="561"/>
      <c r="AE117" s="563"/>
    </row>
    <row r="118" spans="1:41" ht="13.5" thickBot="1">
      <c r="A118" s="885"/>
      <c r="B118" s="885"/>
      <c r="C118" s="250" t="s">
        <v>650</v>
      </c>
      <c r="D118" s="245"/>
      <c r="E118" s="246"/>
      <c r="F118" s="247"/>
      <c r="G118" s="245"/>
      <c r="H118" s="245"/>
      <c r="I118" s="246"/>
      <c r="J118" s="247"/>
      <c r="K118" s="245"/>
      <c r="L118" s="245"/>
      <c r="M118" s="246"/>
      <c r="N118" s="561"/>
      <c r="O118" s="553">
        <f t="shared" ref="O118:O121" si="37">33%*O23</f>
        <v>414040.60687356797</v>
      </c>
      <c r="P118" s="553"/>
      <c r="Q118" s="562"/>
      <c r="R118" s="561"/>
      <c r="S118" s="553"/>
      <c r="T118" s="553"/>
      <c r="U118" s="553">
        <f t="shared" si="34"/>
        <v>175791.64360293746</v>
      </c>
      <c r="V118" s="561"/>
      <c r="W118" s="553"/>
      <c r="X118" s="553"/>
      <c r="Y118" s="553">
        <f t="shared" si="35"/>
        <v>127618.58022186934</v>
      </c>
      <c r="Z118" s="561"/>
      <c r="AA118" s="553"/>
      <c r="AB118" s="553"/>
      <c r="AC118" s="553">
        <f t="shared" si="36"/>
        <v>112449.11194207336</v>
      </c>
      <c r="AD118" s="561"/>
      <c r="AE118" s="563"/>
    </row>
    <row r="119" spans="1:41" ht="13.5" thickBot="1">
      <c r="A119" s="885"/>
      <c r="B119" s="885"/>
      <c r="C119" s="250" t="s">
        <v>651</v>
      </c>
      <c r="D119" s="245"/>
      <c r="E119" s="246"/>
      <c r="F119" s="247"/>
      <c r="G119" s="245"/>
      <c r="H119" s="245"/>
      <c r="I119" s="246"/>
      <c r="J119" s="247"/>
      <c r="K119" s="245"/>
      <c r="L119" s="245"/>
      <c r="M119" s="246"/>
      <c r="N119" s="561"/>
      <c r="O119" s="553">
        <f t="shared" si="37"/>
        <v>429557.71388556814</v>
      </c>
      <c r="P119" s="553"/>
      <c r="Q119" s="562"/>
      <c r="R119" s="561"/>
      <c r="S119" s="553"/>
      <c r="T119" s="553"/>
      <c r="U119" s="553">
        <f t="shared" si="34"/>
        <v>205037.98512147079</v>
      </c>
      <c r="V119" s="561"/>
      <c r="W119" s="553"/>
      <c r="X119" s="553"/>
      <c r="Y119" s="553">
        <f t="shared" si="35"/>
        <v>138361.9875935739</v>
      </c>
      <c r="Z119" s="561"/>
      <c r="AA119" s="553"/>
      <c r="AB119" s="553"/>
      <c r="AC119" s="553">
        <f t="shared" si="36"/>
        <v>111906.16932840669</v>
      </c>
      <c r="AD119" s="561"/>
      <c r="AE119" s="563"/>
    </row>
    <row r="120" spans="1:41" ht="13.5" thickBot="1">
      <c r="A120" s="885"/>
      <c r="B120" s="885"/>
      <c r="C120" s="250" t="s">
        <v>652</v>
      </c>
      <c r="D120" s="245"/>
      <c r="E120" s="246"/>
      <c r="F120" s="247"/>
      <c r="G120" s="245"/>
      <c r="H120" s="245"/>
      <c r="I120" s="246"/>
      <c r="J120" s="247"/>
      <c r="K120" s="245"/>
      <c r="L120" s="245"/>
      <c r="M120" s="246"/>
      <c r="N120" s="561"/>
      <c r="O120" s="553">
        <f t="shared" si="37"/>
        <v>427164.80587356805</v>
      </c>
      <c r="P120" s="553"/>
      <c r="Q120" s="562"/>
      <c r="R120" s="561"/>
      <c r="S120" s="553"/>
      <c r="T120" s="553"/>
      <c r="U120" s="553">
        <f t="shared" si="34"/>
        <v>208031.32727682838</v>
      </c>
      <c r="V120" s="561"/>
      <c r="W120" s="553"/>
      <c r="X120" s="553"/>
      <c r="Y120" s="553">
        <f t="shared" si="35"/>
        <v>128550.1484139817</v>
      </c>
      <c r="Z120" s="561"/>
      <c r="AA120" s="553"/>
      <c r="AB120" s="553"/>
      <c r="AC120" s="553">
        <f t="shared" si="36"/>
        <v>126951.66552508004</v>
      </c>
      <c r="AD120" s="561"/>
      <c r="AE120" s="563"/>
    </row>
    <row r="121" spans="1:41" ht="13.5" thickBot="1">
      <c r="A121" s="885"/>
      <c r="B121" s="885"/>
      <c r="C121" s="250" t="s">
        <v>653</v>
      </c>
      <c r="D121" s="245"/>
      <c r="E121" s="246"/>
      <c r="F121" s="247"/>
      <c r="G121" s="245"/>
      <c r="H121" s="245"/>
      <c r="I121" s="246"/>
      <c r="J121" s="247"/>
      <c r="K121" s="245"/>
      <c r="L121" s="245"/>
      <c r="M121" s="246"/>
      <c r="N121" s="561"/>
      <c r="O121" s="553">
        <f t="shared" si="37"/>
        <v>476737.06740501133</v>
      </c>
      <c r="P121" s="553"/>
      <c r="Q121" s="562"/>
      <c r="R121" s="561"/>
      <c r="S121" s="553"/>
      <c r="T121" s="553"/>
      <c r="U121" s="553">
        <f t="shared" si="34"/>
        <v>275028.55684751412</v>
      </c>
      <c r="V121" s="561"/>
      <c r="W121" s="553"/>
      <c r="X121" s="553"/>
      <c r="Y121" s="553">
        <f t="shared" si="35"/>
        <v>148619.40064844623</v>
      </c>
      <c r="Z121" s="561"/>
      <c r="AA121" s="553"/>
      <c r="AB121" s="553"/>
      <c r="AC121" s="553">
        <f t="shared" si="36"/>
        <v>147354.87519798003</v>
      </c>
      <c r="AD121" s="561"/>
      <c r="AE121" s="563"/>
    </row>
    <row r="122" spans="1:41" ht="12.95" customHeight="1" thickBot="1">
      <c r="A122" s="885"/>
      <c r="B122" s="885"/>
      <c r="C122" s="250" t="s">
        <v>654</v>
      </c>
      <c r="D122" s="248"/>
      <c r="E122" s="249"/>
      <c r="F122" s="247"/>
      <c r="G122" s="248"/>
      <c r="H122" s="248"/>
      <c r="I122" s="249"/>
      <c r="J122" s="247"/>
      <c r="K122" s="248"/>
      <c r="L122" s="248"/>
      <c r="M122" s="249"/>
      <c r="N122" s="564"/>
      <c r="O122" s="565"/>
      <c r="P122" s="565"/>
      <c r="Q122" s="565"/>
      <c r="R122" s="561"/>
      <c r="S122" s="553"/>
      <c r="T122" s="553"/>
      <c r="U122" s="553">
        <f t="shared" si="34"/>
        <v>113450.1484685835</v>
      </c>
      <c r="V122" s="561"/>
      <c r="W122" s="553"/>
      <c r="X122" s="553"/>
      <c r="Y122" s="553">
        <f t="shared" si="35"/>
        <v>94630.508282779047</v>
      </c>
      <c r="Z122" s="561"/>
      <c r="AA122" s="553"/>
      <c r="AB122" s="553"/>
      <c r="AC122" s="553">
        <f t="shared" si="36"/>
        <v>128217.73338487335</v>
      </c>
      <c r="AD122" s="561"/>
      <c r="AE122" s="563"/>
    </row>
    <row r="123" spans="1:41" ht="12.95" customHeight="1" thickBot="1">
      <c r="A123" s="885"/>
      <c r="B123" s="885"/>
      <c r="C123" s="250" t="s">
        <v>655</v>
      </c>
      <c r="D123" s="248"/>
      <c r="E123" s="249"/>
      <c r="F123" s="247"/>
      <c r="G123" s="248"/>
      <c r="H123" s="248"/>
      <c r="I123" s="249"/>
      <c r="J123" s="247"/>
      <c r="K123" s="248"/>
      <c r="L123" s="248"/>
      <c r="M123" s="249"/>
      <c r="N123" s="564"/>
      <c r="O123" s="565"/>
      <c r="P123" s="565"/>
      <c r="Q123" s="565"/>
      <c r="R123" s="561"/>
      <c r="S123" s="553"/>
      <c r="T123" s="553"/>
      <c r="U123" s="553">
        <f t="shared" si="34"/>
        <v>112946.66738643085</v>
      </c>
      <c r="V123" s="561"/>
      <c r="W123" s="553"/>
      <c r="X123" s="553"/>
      <c r="Y123" s="553">
        <f t="shared" si="35"/>
        <v>77295.052545924133</v>
      </c>
      <c r="Z123" s="561"/>
      <c r="AA123" s="553"/>
      <c r="AB123" s="553"/>
      <c r="AC123" s="553">
        <f t="shared" si="36"/>
        <v>103574.83869944004</v>
      </c>
      <c r="AD123" s="561"/>
      <c r="AE123" s="563"/>
    </row>
    <row r="124" spans="1:41" ht="12.95" customHeight="1" thickBot="1">
      <c r="A124" s="885"/>
      <c r="B124" s="885"/>
      <c r="C124" s="250" t="s">
        <v>656</v>
      </c>
      <c r="D124" s="248"/>
      <c r="E124" s="249"/>
      <c r="F124" s="247"/>
      <c r="G124" s="248"/>
      <c r="H124" s="248"/>
      <c r="I124" s="249"/>
      <c r="J124" s="247"/>
      <c r="K124" s="248"/>
      <c r="L124" s="248"/>
      <c r="M124" s="249"/>
      <c r="N124" s="564"/>
      <c r="O124" s="565"/>
      <c r="P124" s="565"/>
      <c r="Q124" s="565"/>
      <c r="R124" s="561"/>
      <c r="S124" s="553"/>
      <c r="T124" s="553"/>
      <c r="U124" s="553">
        <f t="shared" si="34"/>
        <v>117521.04129365715</v>
      </c>
      <c r="V124" s="561"/>
      <c r="W124" s="553"/>
      <c r="X124" s="553"/>
      <c r="Y124" s="553">
        <f t="shared" si="35"/>
        <v>104718.41877496288</v>
      </c>
      <c r="Z124" s="561"/>
      <c r="AA124" s="553"/>
      <c r="AB124" s="553"/>
      <c r="AC124" s="553">
        <f t="shared" si="36"/>
        <v>108090.36878654666</v>
      </c>
      <c r="AD124" s="561"/>
      <c r="AE124" s="563"/>
    </row>
    <row r="125" spans="1:41" ht="12.95" customHeight="1" thickBot="1">
      <c r="A125" s="885"/>
      <c r="B125" s="885"/>
      <c r="C125" s="250" t="s">
        <v>657</v>
      </c>
      <c r="D125" s="248"/>
      <c r="E125" s="249"/>
      <c r="F125" s="247"/>
      <c r="G125" s="248"/>
      <c r="H125" s="248"/>
      <c r="I125" s="249"/>
      <c r="J125" s="247"/>
      <c r="K125" s="248"/>
      <c r="L125" s="248"/>
      <c r="M125" s="249"/>
      <c r="N125" s="564"/>
      <c r="O125" s="565"/>
      <c r="P125" s="565"/>
      <c r="Q125" s="566"/>
      <c r="R125" s="564"/>
      <c r="S125" s="565"/>
      <c r="T125" s="565"/>
      <c r="U125" s="566"/>
      <c r="V125" s="564"/>
      <c r="W125" s="565"/>
      <c r="X125" s="565"/>
      <c r="Y125" s="566"/>
      <c r="Z125" s="561"/>
      <c r="AA125" s="553"/>
      <c r="AB125" s="553"/>
      <c r="AC125" s="553">
        <f t="shared" si="36"/>
        <v>84622.177209846675</v>
      </c>
      <c r="AD125" s="561"/>
      <c r="AE125" s="563"/>
    </row>
    <row r="126" spans="1:41" ht="12.95" customHeight="1" thickBot="1">
      <c r="A126" s="885"/>
      <c r="B126" s="885"/>
      <c r="C126" s="250" t="s">
        <v>658</v>
      </c>
      <c r="D126" s="248"/>
      <c r="E126" s="249"/>
      <c r="F126" s="247"/>
      <c r="G126" s="248"/>
      <c r="H126" s="248"/>
      <c r="I126" s="249"/>
      <c r="J126" s="247"/>
      <c r="K126" s="248"/>
      <c r="L126" s="248"/>
      <c r="M126" s="249"/>
      <c r="N126" s="564"/>
      <c r="O126" s="565"/>
      <c r="P126" s="565"/>
      <c r="Q126" s="566"/>
      <c r="R126" s="564"/>
      <c r="S126" s="565"/>
      <c r="T126" s="565"/>
      <c r="U126" s="566"/>
      <c r="V126" s="564"/>
      <c r="W126" s="565"/>
      <c r="X126" s="565"/>
      <c r="Y126" s="566"/>
      <c r="Z126" s="561"/>
      <c r="AA126" s="553"/>
      <c r="AB126" s="553"/>
      <c r="AC126" s="553">
        <f t="shared" si="36"/>
        <v>115215.76586000671</v>
      </c>
      <c r="AD126" s="561"/>
      <c r="AE126" s="563"/>
    </row>
    <row r="127" spans="1:41" ht="12.95" hidden="1" customHeight="1" thickBot="1">
      <c r="A127" s="885"/>
      <c r="B127" s="885"/>
      <c r="C127" s="9" t="s">
        <v>295</v>
      </c>
      <c r="D127" s="241" t="s">
        <v>632</v>
      </c>
      <c r="E127" s="241" t="s">
        <v>632</v>
      </c>
      <c r="F127" s="243" t="s">
        <v>646</v>
      </c>
      <c r="G127" s="241" t="s">
        <v>646</v>
      </c>
      <c r="H127" s="241" t="s">
        <v>646</v>
      </c>
      <c r="I127" s="244" t="s">
        <v>646</v>
      </c>
      <c r="J127" s="195">
        <f>'State DisAgg LFx10 (2015)'!D117</f>
        <v>1</v>
      </c>
      <c r="K127" s="196"/>
      <c r="L127" s="196"/>
      <c r="M127" s="197"/>
      <c r="N127" s="195"/>
      <c r="O127" s="196">
        <f>'State DisAgg LFx10 (2015)'!H127</f>
        <v>3</v>
      </c>
      <c r="P127" s="196"/>
      <c r="Q127" s="197"/>
      <c r="R127" s="195"/>
      <c r="S127" s="196"/>
      <c r="T127" s="196"/>
      <c r="U127" s="197">
        <f>'State DisAgg LFx10 (2015)'!L127</f>
        <v>2.5</v>
      </c>
      <c r="V127" s="195"/>
      <c r="W127" s="196"/>
      <c r="X127" s="196"/>
      <c r="Y127" s="197">
        <f>'State DisAgg LFx10 (2015)'!P127</f>
        <v>3.3</v>
      </c>
      <c r="Z127" s="195"/>
      <c r="AA127" s="196"/>
      <c r="AB127" s="196"/>
      <c r="AC127" s="197">
        <f>'State DisAgg LFx10 (2015)'!T127</f>
        <v>0</v>
      </c>
      <c r="AD127" s="195"/>
      <c r="AE127" s="197"/>
    </row>
    <row r="128" spans="1:41" ht="12.95" hidden="1" customHeight="1" thickBot="1">
      <c r="A128" s="885"/>
      <c r="B128" s="885"/>
      <c r="C128" s="9" t="s">
        <v>296</v>
      </c>
      <c r="D128" s="241" t="s">
        <v>632</v>
      </c>
      <c r="E128" s="241" t="s">
        <v>632</v>
      </c>
      <c r="F128" s="243" t="s">
        <v>646</v>
      </c>
      <c r="G128" s="241" t="s">
        <v>646</v>
      </c>
      <c r="H128" s="241" t="s">
        <v>646</v>
      </c>
      <c r="I128" s="244" t="s">
        <v>646</v>
      </c>
      <c r="J128" s="195">
        <f>'State DisAgg LFx10 (2015)'!D118</f>
        <v>2.4</v>
      </c>
      <c r="K128" s="196"/>
      <c r="L128" s="196"/>
      <c r="M128" s="197"/>
      <c r="N128" s="195"/>
      <c r="O128" s="196">
        <f>'State DisAgg LFx10 (2015)'!H128</f>
        <v>2.8</v>
      </c>
      <c r="P128" s="196"/>
      <c r="Q128" s="197"/>
      <c r="R128" s="195"/>
      <c r="S128" s="196"/>
      <c r="T128" s="196"/>
      <c r="U128" s="197">
        <f>'State DisAgg LFx10 (2015)'!L128</f>
        <v>2.8</v>
      </c>
      <c r="V128" s="195"/>
      <c r="W128" s="196"/>
      <c r="X128" s="196"/>
      <c r="Y128" s="197">
        <f>'State DisAgg LFx10 (2015)'!P128</f>
        <v>4.0999999999999996</v>
      </c>
      <c r="Z128" s="195"/>
      <c r="AA128" s="196"/>
      <c r="AB128" s="196"/>
      <c r="AC128" s="197">
        <f>'State DisAgg LFx10 (2015)'!T128</f>
        <v>0</v>
      </c>
      <c r="AD128" s="195"/>
      <c r="AE128" s="197"/>
    </row>
    <row r="129" spans="1:31" ht="12.95" hidden="1" customHeight="1" thickBot="1">
      <c r="A129" s="885"/>
      <c r="B129" s="885"/>
      <c r="C129" s="9" t="s">
        <v>297</v>
      </c>
      <c r="D129" s="241" t="s">
        <v>632</v>
      </c>
      <c r="E129" s="241" t="s">
        <v>632</v>
      </c>
      <c r="F129" s="243" t="s">
        <v>646</v>
      </c>
      <c r="G129" s="241" t="s">
        <v>646</v>
      </c>
      <c r="H129" s="241" t="s">
        <v>646</v>
      </c>
      <c r="I129" s="244" t="s">
        <v>646</v>
      </c>
      <c r="J129" s="195">
        <f>'State DisAgg LFx10 (2015)'!D119</f>
        <v>2.2000000000000002</v>
      </c>
      <c r="K129" s="196"/>
      <c r="L129" s="196"/>
      <c r="M129" s="197"/>
      <c r="N129" s="195"/>
      <c r="O129" s="196">
        <f>'State DisAgg LFx10 (2015)'!H129</f>
        <v>3</v>
      </c>
      <c r="P129" s="196"/>
      <c r="Q129" s="197"/>
      <c r="R129" s="195"/>
      <c r="S129" s="196"/>
      <c r="T129" s="196"/>
      <c r="U129" s="197">
        <f>'State DisAgg LFx10 (2015)'!L129</f>
        <v>3.1</v>
      </c>
      <c r="V129" s="195"/>
      <c r="W129" s="196"/>
      <c r="X129" s="196"/>
      <c r="Y129" s="197">
        <f>'State DisAgg LFx10 (2015)'!P129</f>
        <v>3.3</v>
      </c>
      <c r="Z129" s="195"/>
      <c r="AA129" s="196"/>
      <c r="AB129" s="196"/>
      <c r="AC129" s="197">
        <f>'State DisAgg LFx10 (2015)'!T129</f>
        <v>0</v>
      </c>
      <c r="AD129" s="195"/>
      <c r="AE129" s="197"/>
    </row>
    <row r="130" spans="1:31" ht="12.95" hidden="1" customHeight="1" thickBot="1">
      <c r="A130" s="885"/>
      <c r="B130" s="885"/>
      <c r="C130" s="9" t="s">
        <v>298</v>
      </c>
      <c r="D130" s="241" t="s">
        <v>632</v>
      </c>
      <c r="E130" s="241" t="s">
        <v>632</v>
      </c>
      <c r="F130" s="243" t="s">
        <v>646</v>
      </c>
      <c r="G130" s="241" t="s">
        <v>646</v>
      </c>
      <c r="H130" s="241" t="s">
        <v>646</v>
      </c>
      <c r="I130" s="244" t="s">
        <v>646</v>
      </c>
      <c r="J130" s="195">
        <f>'State DisAgg LFx10 (2015)'!D120</f>
        <v>2</v>
      </c>
      <c r="K130" s="196"/>
      <c r="L130" s="196"/>
      <c r="M130" s="197"/>
      <c r="N130" s="195"/>
      <c r="O130" s="196">
        <f>'State DisAgg LFx10 (2015)'!H130</f>
        <v>2</v>
      </c>
      <c r="P130" s="196"/>
      <c r="Q130" s="197"/>
      <c r="R130" s="195"/>
      <c r="S130" s="196"/>
      <c r="T130" s="196"/>
      <c r="U130" s="197">
        <f>'State DisAgg LFx10 (2015)'!L130</f>
        <v>3.5</v>
      </c>
      <c r="V130" s="195"/>
      <c r="W130" s="196"/>
      <c r="X130" s="196"/>
      <c r="Y130" s="197">
        <f>'State DisAgg LFx10 (2015)'!P130</f>
        <v>3.5</v>
      </c>
      <c r="Z130" s="195"/>
      <c r="AA130" s="196"/>
      <c r="AB130" s="196"/>
      <c r="AC130" s="197">
        <f>'State DisAgg LFx10 (2015)'!T130</f>
        <v>0</v>
      </c>
      <c r="AD130" s="195"/>
      <c r="AE130" s="197"/>
    </row>
    <row r="131" spans="1:31" ht="12.95" hidden="1" customHeight="1" thickBot="1">
      <c r="A131" s="885"/>
      <c r="B131" s="885"/>
      <c r="C131" s="9" t="s">
        <v>299</v>
      </c>
      <c r="D131" s="241" t="s">
        <v>632</v>
      </c>
      <c r="E131" s="241" t="s">
        <v>632</v>
      </c>
      <c r="F131" s="243" t="s">
        <v>646</v>
      </c>
      <c r="G131" s="241" t="s">
        <v>646</v>
      </c>
      <c r="H131" s="241" t="s">
        <v>646</v>
      </c>
      <c r="I131" s="244" t="s">
        <v>646</v>
      </c>
      <c r="J131" s="195">
        <f>'State DisAgg LFx10 (2015)'!D121</f>
        <v>2.2999999999999998</v>
      </c>
      <c r="K131" s="196"/>
      <c r="L131" s="196"/>
      <c r="M131" s="197"/>
      <c r="N131" s="195"/>
      <c r="O131" s="196">
        <f>'State DisAgg LFx10 (2015)'!H131</f>
        <v>3</v>
      </c>
      <c r="P131" s="196"/>
      <c r="Q131" s="197"/>
      <c r="R131" s="195"/>
      <c r="S131" s="196"/>
      <c r="T131" s="196"/>
      <c r="U131" s="197">
        <f>'State DisAgg LFx10 (2015)'!L131</f>
        <v>2.9</v>
      </c>
      <c r="V131" s="195"/>
      <c r="W131" s="196"/>
      <c r="X131" s="196"/>
      <c r="Y131" s="197">
        <f>'State DisAgg LFx10 (2015)'!P131</f>
        <v>3.1</v>
      </c>
      <c r="Z131" s="195"/>
      <c r="AA131" s="196"/>
      <c r="AB131" s="196"/>
      <c r="AC131" s="197">
        <f>'State DisAgg LFx10 (2015)'!T131</f>
        <v>0</v>
      </c>
      <c r="AD131" s="195"/>
      <c r="AE131" s="197"/>
    </row>
    <row r="132" spans="1:31" ht="24.75" hidden="1" thickBot="1">
      <c r="A132" s="885"/>
      <c r="B132" s="885"/>
      <c r="C132" s="9" t="s">
        <v>300</v>
      </c>
      <c r="D132" s="199"/>
      <c r="E132" s="200"/>
      <c r="F132" s="201"/>
      <c r="G132" s="199"/>
      <c r="H132" s="199"/>
      <c r="I132" s="200"/>
      <c r="J132" s="201"/>
      <c r="K132" s="199"/>
      <c r="L132" s="199"/>
      <c r="M132" s="200"/>
      <c r="N132" s="198"/>
      <c r="O132" s="217" t="s">
        <v>634</v>
      </c>
      <c r="P132" s="241" t="s">
        <v>632</v>
      </c>
      <c r="Q132" s="244" t="s">
        <v>646</v>
      </c>
      <c r="R132" s="195">
        <f>'State DisAgg LFx10 (2015)'!H122</f>
        <v>1.6</v>
      </c>
      <c r="S132" s="196"/>
      <c r="T132" s="196"/>
      <c r="U132" s="197">
        <f>'State DisAgg LFx10 (2015)'!L132</f>
        <v>1.6</v>
      </c>
      <c r="V132" s="195"/>
      <c r="W132" s="196"/>
      <c r="X132" s="196"/>
      <c r="Y132" s="197">
        <f>'State DisAgg LFx10 (2015)'!P132</f>
        <v>1.9</v>
      </c>
      <c r="Z132" s="195"/>
      <c r="AA132" s="196"/>
      <c r="AB132" s="196"/>
      <c r="AC132" s="197">
        <f>'State DisAgg LFx10 (2015)'!T132</f>
        <v>0</v>
      </c>
      <c r="AD132" s="195"/>
      <c r="AE132" s="197"/>
    </row>
    <row r="133" spans="1:31" ht="13.5" hidden="1" thickBot="1">
      <c r="A133" s="885"/>
      <c r="B133" s="885"/>
      <c r="C133" s="9" t="s">
        <v>301</v>
      </c>
      <c r="D133" s="199"/>
      <c r="E133" s="200"/>
      <c r="F133" s="201"/>
      <c r="G133" s="199"/>
      <c r="H133" s="199"/>
      <c r="I133" s="200"/>
      <c r="J133" s="201"/>
      <c r="K133" s="199"/>
      <c r="L133" s="199"/>
      <c r="M133" s="200"/>
      <c r="N133" s="198"/>
      <c r="O133" s="217" t="s">
        <v>634</v>
      </c>
      <c r="P133" s="241" t="s">
        <v>632</v>
      </c>
      <c r="Q133" s="244" t="s">
        <v>646</v>
      </c>
      <c r="R133" s="195">
        <f>'State DisAgg LFx10 (2015)'!H123</f>
        <v>1.7</v>
      </c>
      <c r="S133" s="196"/>
      <c r="T133" s="196"/>
      <c r="U133" s="197">
        <f>'State DisAgg LFx10 (2015)'!L133</f>
        <v>1.7</v>
      </c>
      <c r="V133" s="195"/>
      <c r="W133" s="196"/>
      <c r="X133" s="196"/>
      <c r="Y133" s="197">
        <f>'State DisAgg LFx10 (2015)'!P133</f>
        <v>2.5</v>
      </c>
      <c r="Z133" s="195"/>
      <c r="AA133" s="196"/>
      <c r="AB133" s="196"/>
      <c r="AC133" s="197">
        <f>'State DisAgg LFx10 (2015)'!T133</f>
        <v>0</v>
      </c>
      <c r="AD133" s="195"/>
      <c r="AE133" s="197"/>
    </row>
    <row r="134" spans="1:31" ht="13.5" hidden="1" thickBot="1">
      <c r="A134" s="885"/>
      <c r="B134" s="885"/>
      <c r="C134" s="9" t="s">
        <v>302</v>
      </c>
      <c r="D134" s="199"/>
      <c r="E134" s="200"/>
      <c r="F134" s="201"/>
      <c r="G134" s="199"/>
      <c r="H134" s="199"/>
      <c r="I134" s="200"/>
      <c r="J134" s="201"/>
      <c r="K134" s="199"/>
      <c r="L134" s="199"/>
      <c r="M134" s="200"/>
      <c r="N134" s="198"/>
      <c r="O134" s="217" t="s">
        <v>634</v>
      </c>
      <c r="P134" s="241" t="s">
        <v>632</v>
      </c>
      <c r="Q134" s="244" t="s">
        <v>646</v>
      </c>
      <c r="R134" s="195">
        <f>'State DisAgg LFx10 (2015)'!H124</f>
        <v>1.5</v>
      </c>
      <c r="S134" s="196"/>
      <c r="T134" s="196"/>
      <c r="U134" s="197">
        <f>'State DisAgg LFx10 (2015)'!L134</f>
        <v>1.5</v>
      </c>
      <c r="V134" s="195"/>
      <c r="W134" s="196"/>
      <c r="X134" s="196"/>
      <c r="Y134" s="197">
        <f>'State DisAgg LFx10 (2015)'!P134</f>
        <v>2.2000000000000002</v>
      </c>
      <c r="Z134" s="195"/>
      <c r="AA134" s="196"/>
      <c r="AB134" s="196"/>
      <c r="AC134" s="197">
        <f>'State DisAgg LFx10 (2015)'!T134</f>
        <v>0</v>
      </c>
      <c r="AD134" s="195"/>
      <c r="AE134" s="197"/>
    </row>
    <row r="135" spans="1:31" ht="24.75" hidden="1" thickBot="1">
      <c r="A135" s="885"/>
      <c r="B135" s="885"/>
      <c r="C135" s="9" t="s">
        <v>303</v>
      </c>
      <c r="D135" s="202"/>
      <c r="E135" s="203"/>
      <c r="F135" s="201"/>
      <c r="G135" s="202"/>
      <c r="H135" s="202"/>
      <c r="I135" s="203"/>
      <c r="J135" s="201"/>
      <c r="K135" s="202"/>
      <c r="L135" s="202"/>
      <c r="M135" s="203"/>
      <c r="N135" s="204"/>
      <c r="O135" s="214"/>
      <c r="P135" s="205"/>
      <c r="Q135" s="205"/>
      <c r="R135" s="201"/>
      <c r="S135" s="202"/>
      <c r="T135" s="202"/>
      <c r="U135" s="203"/>
      <c r="V135" s="242"/>
      <c r="W135" s="217" t="s">
        <v>633</v>
      </c>
      <c r="X135" s="241" t="s">
        <v>632</v>
      </c>
      <c r="Y135" s="197">
        <f>'State DisAgg LFx10 (2015)'!P125</f>
        <v>2.2000000000000002</v>
      </c>
      <c r="Z135" s="195"/>
      <c r="AA135" s="196"/>
      <c r="AB135" s="196"/>
      <c r="AC135" s="197">
        <f>'State DisAgg LFx10 (2015)'!T135</f>
        <v>0</v>
      </c>
      <c r="AD135" s="195"/>
      <c r="AE135" s="197"/>
    </row>
    <row r="136" spans="1:31" ht="13.5" hidden="1" thickBot="1">
      <c r="A136" s="885"/>
      <c r="B136" s="885"/>
      <c r="C136" s="9" t="s">
        <v>304</v>
      </c>
      <c r="D136" s="202"/>
      <c r="E136" s="203"/>
      <c r="F136" s="201"/>
      <c r="G136" s="202"/>
      <c r="H136" s="202"/>
      <c r="I136" s="203"/>
      <c r="J136" s="201"/>
      <c r="K136" s="202"/>
      <c r="L136" s="202"/>
      <c r="M136" s="203"/>
      <c r="N136" s="204"/>
      <c r="O136" s="205"/>
      <c r="P136" s="205"/>
      <c r="Q136" s="205"/>
      <c r="R136" s="201"/>
      <c r="S136" s="202"/>
      <c r="T136" s="202"/>
      <c r="U136" s="203"/>
      <c r="V136" s="242"/>
      <c r="W136" s="217" t="s">
        <v>633</v>
      </c>
      <c r="X136" s="241" t="s">
        <v>632</v>
      </c>
      <c r="Y136" s="197">
        <f>'State DisAgg LFx10 (2015)'!P126</f>
        <v>2.2999999999999998</v>
      </c>
      <c r="Z136" s="195"/>
      <c r="AA136" s="196"/>
      <c r="AB136" s="196"/>
      <c r="AC136" s="197">
        <f>'State DisAgg LFx10 (2015)'!T136</f>
        <v>0</v>
      </c>
      <c r="AD136" s="195"/>
      <c r="AE136" s="197"/>
    </row>
    <row r="137" spans="1:31" ht="12.95" hidden="1" customHeight="1" thickBot="1">
      <c r="A137" s="885"/>
      <c r="B137" s="298"/>
      <c r="C137" s="231"/>
      <c r="D137" s="232"/>
      <c r="E137" s="233"/>
      <c r="F137" s="234"/>
      <c r="G137" s="232"/>
      <c r="H137" s="232"/>
      <c r="I137" s="233"/>
      <c r="J137" s="234"/>
      <c r="K137" s="232"/>
      <c r="L137" s="232"/>
      <c r="M137" s="233"/>
      <c r="N137" s="234"/>
      <c r="O137" s="232"/>
      <c r="P137" s="232"/>
      <c r="Q137" s="233"/>
      <c r="R137" s="234"/>
      <c r="S137" s="232"/>
      <c r="T137" s="232"/>
      <c r="U137" s="233"/>
      <c r="V137" s="234"/>
      <c r="W137" s="232"/>
      <c r="X137" s="232"/>
      <c r="Y137" s="233"/>
      <c r="Z137" s="234"/>
      <c r="AA137" s="232"/>
      <c r="AB137" s="232"/>
      <c r="AC137" s="233"/>
      <c r="AD137" s="234"/>
      <c r="AE137" s="233"/>
    </row>
    <row r="138" spans="1:31" ht="12.95" hidden="1" customHeight="1" thickBot="1">
      <c r="A138" s="885"/>
      <c r="B138" s="298"/>
      <c r="C138" s="231"/>
      <c r="D138" s="232"/>
      <c r="E138" s="233"/>
      <c r="F138" s="234"/>
      <c r="G138" s="232"/>
      <c r="H138" s="232"/>
      <c r="I138" s="233"/>
      <c r="J138" s="234"/>
      <c r="K138" s="232"/>
      <c r="L138" s="232"/>
      <c r="M138" s="233"/>
      <c r="N138" s="234"/>
      <c r="O138" s="232"/>
      <c r="P138" s="232"/>
      <c r="Q138" s="233"/>
      <c r="R138" s="234"/>
      <c r="S138" s="232"/>
      <c r="T138" s="232"/>
      <c r="U138" s="233"/>
      <c r="V138" s="234"/>
      <c r="W138" s="232"/>
      <c r="X138" s="232"/>
      <c r="Y138" s="233"/>
      <c r="Z138" s="234"/>
      <c r="AA138" s="232"/>
      <c r="AB138" s="232"/>
      <c r="AC138" s="233"/>
      <c r="AD138" s="234"/>
      <c r="AE138" s="233"/>
    </row>
    <row r="139" spans="1:31" ht="12.95" customHeight="1" thickBot="1">
      <c r="A139" s="885"/>
      <c r="B139" s="3" t="s">
        <v>38</v>
      </c>
      <c r="C139" s="12"/>
      <c r="D139" s="1377">
        <v>2008</v>
      </c>
      <c r="E139" s="1378"/>
      <c r="F139" s="1372">
        <v>2009</v>
      </c>
      <c r="G139" s="1373"/>
      <c r="H139" s="1373"/>
      <c r="I139" s="1374"/>
      <c r="J139" s="1372">
        <v>2010</v>
      </c>
      <c r="K139" s="1373"/>
      <c r="L139" s="1373"/>
      <c r="M139" s="1374"/>
      <c r="N139" s="1372">
        <v>2011</v>
      </c>
      <c r="O139" s="1373"/>
      <c r="P139" s="1373"/>
      <c r="Q139" s="1374"/>
      <c r="R139" s="1372">
        <v>2012</v>
      </c>
      <c r="S139" s="1373"/>
      <c r="T139" s="1373"/>
      <c r="U139" s="1374"/>
      <c r="V139" s="1372">
        <v>2013</v>
      </c>
      <c r="W139" s="1373"/>
      <c r="X139" s="1373"/>
      <c r="Y139" s="1374"/>
      <c r="Z139" s="1372">
        <v>2014</v>
      </c>
      <c r="AA139" s="1373"/>
      <c r="AB139" s="1373"/>
      <c r="AC139" s="1374"/>
      <c r="AD139" s="1372">
        <v>2015</v>
      </c>
      <c r="AE139" s="1374"/>
    </row>
    <row r="140" spans="1:31" ht="12.95" customHeight="1" thickBot="1">
      <c r="A140" s="885"/>
      <c r="B140" s="868" t="s">
        <v>155</v>
      </c>
      <c r="C140" s="250" t="s">
        <v>649</v>
      </c>
      <c r="D140" s="245"/>
      <c r="E140" s="246"/>
      <c r="F140" s="247"/>
      <c r="G140" s="245"/>
      <c r="H140" s="245"/>
      <c r="I140" s="246"/>
      <c r="J140" s="329" t="str">
        <f>'State Efficiency Ratios'!J140</f>
        <v>33% of total expenditure</v>
      </c>
      <c r="K140" s="245"/>
      <c r="L140" s="245"/>
      <c r="M140" s="246"/>
      <c r="N140" s="247"/>
      <c r="O140" s="245"/>
      <c r="P140" s="245"/>
      <c r="Q140" s="246"/>
      <c r="R140" s="247"/>
      <c r="S140" s="245"/>
      <c r="T140" s="245"/>
      <c r="U140" s="246"/>
      <c r="V140" s="561"/>
      <c r="W140" s="553"/>
      <c r="X140" s="553"/>
      <c r="Y140" s="553">
        <f>33%*Y22</f>
        <v>132896.42456009038</v>
      </c>
      <c r="Z140" s="561"/>
      <c r="AA140" s="553"/>
      <c r="AB140" s="553"/>
      <c r="AC140" s="553">
        <f t="shared" ref="AC140:AC149" si="38">33%*AC22</f>
        <v>126675.87795677669</v>
      </c>
      <c r="AD140" s="561"/>
      <c r="AE140" s="563"/>
    </row>
    <row r="141" spans="1:31" ht="12.95" customHeight="1" thickBot="1">
      <c r="A141" s="885"/>
      <c r="B141" s="885"/>
      <c r="C141" s="250" t="s">
        <v>650</v>
      </c>
      <c r="D141" s="245"/>
      <c r="E141" s="246"/>
      <c r="F141" s="247"/>
      <c r="G141" s="245"/>
      <c r="H141" s="245"/>
      <c r="I141" s="246"/>
      <c r="J141" s="247"/>
      <c r="K141" s="245"/>
      <c r="L141" s="245"/>
      <c r="M141" s="246"/>
      <c r="N141" s="247"/>
      <c r="O141" s="245"/>
      <c r="P141" s="245"/>
      <c r="Q141" s="246"/>
      <c r="R141" s="247"/>
      <c r="S141" s="245"/>
      <c r="T141" s="245"/>
      <c r="U141" s="246"/>
      <c r="V141" s="561"/>
      <c r="W141" s="553"/>
      <c r="X141" s="553"/>
      <c r="Y141" s="553">
        <f t="shared" ref="Y141:Y147" si="39">33%*Y23</f>
        <v>127618.58022186934</v>
      </c>
      <c r="Z141" s="561"/>
      <c r="AA141" s="553"/>
      <c r="AB141" s="553"/>
      <c r="AC141" s="553">
        <f t="shared" si="38"/>
        <v>112449.11194207336</v>
      </c>
      <c r="AD141" s="561"/>
      <c r="AE141" s="563"/>
    </row>
    <row r="142" spans="1:31" ht="12.95" customHeight="1" thickBot="1">
      <c r="A142" s="885"/>
      <c r="B142" s="885"/>
      <c r="C142" s="250" t="s">
        <v>651</v>
      </c>
      <c r="D142" s="245"/>
      <c r="E142" s="246"/>
      <c r="F142" s="247"/>
      <c r="G142" s="245"/>
      <c r="H142" s="245"/>
      <c r="I142" s="246"/>
      <c r="J142" s="247"/>
      <c r="K142" s="245"/>
      <c r="L142" s="245"/>
      <c r="M142" s="246"/>
      <c r="N142" s="247"/>
      <c r="O142" s="245"/>
      <c r="P142" s="245"/>
      <c r="Q142" s="246"/>
      <c r="R142" s="247"/>
      <c r="S142" s="245"/>
      <c r="T142" s="245"/>
      <c r="U142" s="246"/>
      <c r="V142" s="561"/>
      <c r="W142" s="553"/>
      <c r="X142" s="553"/>
      <c r="Y142" s="553">
        <f t="shared" si="39"/>
        <v>138361.9875935739</v>
      </c>
      <c r="Z142" s="561"/>
      <c r="AA142" s="553"/>
      <c r="AB142" s="553"/>
      <c r="AC142" s="553">
        <f t="shared" si="38"/>
        <v>111906.16932840669</v>
      </c>
      <c r="AD142" s="561"/>
      <c r="AE142" s="563"/>
    </row>
    <row r="143" spans="1:31" ht="12.95" customHeight="1" thickBot="1">
      <c r="A143" s="885"/>
      <c r="B143" s="885"/>
      <c r="C143" s="250" t="s">
        <v>652</v>
      </c>
      <c r="D143" s="245"/>
      <c r="E143" s="246"/>
      <c r="F143" s="247"/>
      <c r="G143" s="245"/>
      <c r="H143" s="245"/>
      <c r="I143" s="246"/>
      <c r="J143" s="247"/>
      <c r="K143" s="245"/>
      <c r="L143" s="245"/>
      <c r="M143" s="246"/>
      <c r="N143" s="247"/>
      <c r="O143" s="245"/>
      <c r="P143" s="245"/>
      <c r="Q143" s="246"/>
      <c r="R143" s="247"/>
      <c r="S143" s="245"/>
      <c r="T143" s="245"/>
      <c r="U143" s="246"/>
      <c r="V143" s="561"/>
      <c r="W143" s="553"/>
      <c r="X143" s="553"/>
      <c r="Y143" s="553">
        <f t="shared" si="39"/>
        <v>128550.1484139817</v>
      </c>
      <c r="Z143" s="561"/>
      <c r="AA143" s="553"/>
      <c r="AB143" s="553"/>
      <c r="AC143" s="553">
        <f t="shared" si="38"/>
        <v>126951.66552508004</v>
      </c>
      <c r="AD143" s="561"/>
      <c r="AE143" s="563"/>
    </row>
    <row r="144" spans="1:31" ht="12.95" customHeight="1" thickBot="1">
      <c r="A144" s="885"/>
      <c r="B144" s="885"/>
      <c r="C144" s="250" t="s">
        <v>653</v>
      </c>
      <c r="D144" s="245"/>
      <c r="E144" s="246"/>
      <c r="F144" s="247"/>
      <c r="G144" s="245"/>
      <c r="H144" s="245"/>
      <c r="I144" s="246"/>
      <c r="J144" s="247"/>
      <c r="K144" s="245"/>
      <c r="L144" s="245"/>
      <c r="M144" s="246"/>
      <c r="N144" s="247"/>
      <c r="O144" s="245"/>
      <c r="P144" s="245"/>
      <c r="Q144" s="246"/>
      <c r="R144" s="247"/>
      <c r="S144" s="245"/>
      <c r="T144" s="245"/>
      <c r="U144" s="246"/>
      <c r="V144" s="561"/>
      <c r="W144" s="553"/>
      <c r="X144" s="553"/>
      <c r="Y144" s="553">
        <f t="shared" si="39"/>
        <v>148619.40064844623</v>
      </c>
      <c r="Z144" s="561"/>
      <c r="AA144" s="553"/>
      <c r="AB144" s="553"/>
      <c r="AC144" s="553">
        <f t="shared" si="38"/>
        <v>147354.87519798003</v>
      </c>
      <c r="AD144" s="561"/>
      <c r="AE144" s="563"/>
    </row>
    <row r="145" spans="1:31" ht="12.95" customHeight="1" thickBot="1">
      <c r="A145" s="885"/>
      <c r="B145" s="885"/>
      <c r="C145" s="250" t="s">
        <v>654</v>
      </c>
      <c r="D145" s="248"/>
      <c r="E145" s="249"/>
      <c r="F145" s="247"/>
      <c r="G145" s="248"/>
      <c r="H145" s="248"/>
      <c r="I145" s="249"/>
      <c r="J145" s="247"/>
      <c r="K145" s="248"/>
      <c r="L145" s="248"/>
      <c r="M145" s="249"/>
      <c r="N145" s="247"/>
      <c r="O145" s="245"/>
      <c r="P145" s="245"/>
      <c r="Q145" s="246"/>
      <c r="R145" s="247"/>
      <c r="S145" s="245"/>
      <c r="T145" s="245"/>
      <c r="U145" s="246"/>
      <c r="V145" s="561"/>
      <c r="W145" s="553"/>
      <c r="X145" s="553"/>
      <c r="Y145" s="553">
        <f t="shared" si="39"/>
        <v>94630.508282779047</v>
      </c>
      <c r="Z145" s="561"/>
      <c r="AA145" s="553"/>
      <c r="AB145" s="553"/>
      <c r="AC145" s="553">
        <f t="shared" si="38"/>
        <v>128217.73338487335</v>
      </c>
      <c r="AD145" s="561"/>
      <c r="AE145" s="563"/>
    </row>
    <row r="146" spans="1:31" ht="12.95" customHeight="1" thickBot="1">
      <c r="A146" s="885"/>
      <c r="B146" s="885"/>
      <c r="C146" s="250" t="s">
        <v>655</v>
      </c>
      <c r="D146" s="248"/>
      <c r="E146" s="249"/>
      <c r="F146" s="247"/>
      <c r="G146" s="248"/>
      <c r="H146" s="248"/>
      <c r="I146" s="249"/>
      <c r="J146" s="247"/>
      <c r="K146" s="248"/>
      <c r="L146" s="248"/>
      <c r="M146" s="249"/>
      <c r="N146" s="247"/>
      <c r="O146" s="245"/>
      <c r="P146" s="245"/>
      <c r="Q146" s="246"/>
      <c r="R146" s="247"/>
      <c r="S146" s="245"/>
      <c r="T146" s="245"/>
      <c r="U146" s="246"/>
      <c r="V146" s="561"/>
      <c r="W146" s="553"/>
      <c r="X146" s="553"/>
      <c r="Y146" s="553">
        <f t="shared" si="39"/>
        <v>77295.052545924133</v>
      </c>
      <c r="Z146" s="561"/>
      <c r="AA146" s="553"/>
      <c r="AB146" s="553"/>
      <c r="AC146" s="553">
        <f t="shared" si="38"/>
        <v>103574.83869944004</v>
      </c>
      <c r="AD146" s="561"/>
      <c r="AE146" s="563"/>
    </row>
    <row r="147" spans="1:31" ht="12.95" customHeight="1" thickBot="1">
      <c r="A147" s="885"/>
      <c r="B147" s="885"/>
      <c r="C147" s="250" t="s">
        <v>656</v>
      </c>
      <c r="D147" s="248"/>
      <c r="E147" s="249"/>
      <c r="F147" s="247"/>
      <c r="G147" s="248"/>
      <c r="H147" s="248"/>
      <c r="I147" s="249"/>
      <c r="J147" s="247"/>
      <c r="K147" s="248"/>
      <c r="L147" s="248"/>
      <c r="M147" s="249"/>
      <c r="N147" s="247"/>
      <c r="O147" s="245"/>
      <c r="P147" s="245"/>
      <c r="Q147" s="246"/>
      <c r="R147" s="247"/>
      <c r="S147" s="245"/>
      <c r="T147" s="245"/>
      <c r="U147" s="246"/>
      <c r="V147" s="561"/>
      <c r="W147" s="553"/>
      <c r="X147" s="553"/>
      <c r="Y147" s="553">
        <f t="shared" si="39"/>
        <v>104718.41877496288</v>
      </c>
      <c r="Z147" s="561"/>
      <c r="AA147" s="553"/>
      <c r="AB147" s="553"/>
      <c r="AC147" s="553">
        <f t="shared" si="38"/>
        <v>108090.36878654666</v>
      </c>
      <c r="AD147" s="561"/>
      <c r="AE147" s="563"/>
    </row>
    <row r="148" spans="1:31" ht="12.95" customHeight="1" thickBot="1">
      <c r="A148" s="885"/>
      <c r="B148" s="885"/>
      <c r="C148" s="250" t="s">
        <v>657</v>
      </c>
      <c r="D148" s="248"/>
      <c r="E148" s="249"/>
      <c r="F148" s="247"/>
      <c r="G148" s="248"/>
      <c r="H148" s="248"/>
      <c r="I148" s="249"/>
      <c r="J148" s="247"/>
      <c r="K148" s="248"/>
      <c r="L148" s="248"/>
      <c r="M148" s="249"/>
      <c r="N148" s="247"/>
      <c r="O148" s="248"/>
      <c r="P148" s="248"/>
      <c r="Q148" s="249"/>
      <c r="R148" s="247"/>
      <c r="S148" s="248"/>
      <c r="T148" s="248"/>
      <c r="U148" s="249"/>
      <c r="V148" s="564"/>
      <c r="W148" s="565"/>
      <c r="X148" s="565"/>
      <c r="Y148" s="566"/>
      <c r="Z148" s="561"/>
      <c r="AA148" s="553"/>
      <c r="AB148" s="553"/>
      <c r="AC148" s="553">
        <f t="shared" si="38"/>
        <v>84622.177209846675</v>
      </c>
      <c r="AD148" s="561"/>
      <c r="AE148" s="563"/>
    </row>
    <row r="149" spans="1:31" ht="12.95" customHeight="1" thickBot="1">
      <c r="A149" s="885"/>
      <c r="B149" s="885"/>
      <c r="C149" s="250" t="s">
        <v>658</v>
      </c>
      <c r="D149" s="248"/>
      <c r="E149" s="249"/>
      <c r="F149" s="247"/>
      <c r="G149" s="248"/>
      <c r="H149" s="248"/>
      <c r="I149" s="249"/>
      <c r="J149" s="247"/>
      <c r="K149" s="248"/>
      <c r="L149" s="248"/>
      <c r="M149" s="249"/>
      <c r="N149" s="247"/>
      <c r="O149" s="248"/>
      <c r="P149" s="248"/>
      <c r="Q149" s="249"/>
      <c r="R149" s="247"/>
      <c r="S149" s="248"/>
      <c r="T149" s="248"/>
      <c r="U149" s="249"/>
      <c r="V149" s="564"/>
      <c r="W149" s="565"/>
      <c r="X149" s="565"/>
      <c r="Y149" s="566"/>
      <c r="Z149" s="561"/>
      <c r="AA149" s="553"/>
      <c r="AB149" s="553"/>
      <c r="AC149" s="553">
        <f t="shared" si="38"/>
        <v>115215.76586000671</v>
      </c>
      <c r="AD149" s="561"/>
      <c r="AE149" s="563"/>
    </row>
    <row r="150" spans="1:31" ht="13.5" hidden="1" thickBot="1">
      <c r="A150" s="885"/>
      <c r="B150" s="885"/>
      <c r="C150" s="9" t="s">
        <v>295</v>
      </c>
      <c r="D150" s="202"/>
      <c r="E150" s="203"/>
      <c r="F150" s="201"/>
      <c r="G150" s="202"/>
      <c r="H150" s="202"/>
      <c r="I150" s="203"/>
      <c r="J150" s="201"/>
      <c r="K150" s="202"/>
      <c r="L150" s="202"/>
      <c r="M150" s="203"/>
      <c r="N150" s="204"/>
      <c r="O150" s="214"/>
      <c r="P150" s="205"/>
      <c r="Q150" s="205"/>
      <c r="R150" s="201"/>
      <c r="S150" s="202"/>
      <c r="T150" s="202"/>
      <c r="U150" s="203"/>
      <c r="V150" s="195">
        <f>'State DisAgg LFx10 (2015)'!L140</f>
        <v>2.9</v>
      </c>
      <c r="W150" s="196"/>
      <c r="X150" s="196"/>
      <c r="Y150" s="197">
        <f>'State DisAgg LFx10 (2015)'!P150</f>
        <v>3.5</v>
      </c>
      <c r="Z150" s="195"/>
      <c r="AA150" s="196"/>
      <c r="AB150" s="196"/>
      <c r="AC150" s="197">
        <f>'State DisAgg LFx10 (2015)'!T150</f>
        <v>0</v>
      </c>
      <c r="AD150" s="195"/>
      <c r="AE150" s="197"/>
    </row>
    <row r="151" spans="1:31" ht="13.5" hidden="1" thickBot="1">
      <c r="A151" s="885"/>
      <c r="B151" s="885"/>
      <c r="C151" s="9" t="s">
        <v>296</v>
      </c>
      <c r="D151" s="202"/>
      <c r="E151" s="203"/>
      <c r="F151" s="201"/>
      <c r="G151" s="202"/>
      <c r="H151" s="202"/>
      <c r="I151" s="203"/>
      <c r="J151" s="201"/>
      <c r="K151" s="202"/>
      <c r="L151" s="202"/>
      <c r="M151" s="203"/>
      <c r="N151" s="204"/>
      <c r="O151" s="214"/>
      <c r="P151" s="205"/>
      <c r="Q151" s="205"/>
      <c r="R151" s="201"/>
      <c r="S151" s="202"/>
      <c r="T151" s="202"/>
      <c r="U151" s="203"/>
      <c r="V151" s="195">
        <f>'State DisAgg LFx10 (2015)'!L141</f>
        <v>3.4</v>
      </c>
      <c r="W151" s="196"/>
      <c r="X151" s="196"/>
      <c r="Y151" s="197">
        <f>'State DisAgg LFx10 (2015)'!P151</f>
        <v>3.4</v>
      </c>
      <c r="Z151" s="195"/>
      <c r="AA151" s="196"/>
      <c r="AB151" s="196"/>
      <c r="AC151" s="197">
        <f>'State DisAgg LFx10 (2015)'!T151</f>
        <v>0</v>
      </c>
      <c r="AD151" s="195"/>
      <c r="AE151" s="197"/>
    </row>
    <row r="152" spans="1:31" ht="13.5" hidden="1" thickBot="1">
      <c r="A152" s="885"/>
      <c r="B152" s="885"/>
      <c r="C152" s="9" t="s">
        <v>297</v>
      </c>
      <c r="D152" s="202"/>
      <c r="E152" s="203"/>
      <c r="F152" s="201"/>
      <c r="G152" s="202"/>
      <c r="H152" s="202"/>
      <c r="I152" s="203"/>
      <c r="J152" s="201"/>
      <c r="K152" s="202"/>
      <c r="L152" s="202"/>
      <c r="M152" s="203"/>
      <c r="N152" s="204"/>
      <c r="O152" s="214"/>
      <c r="P152" s="205"/>
      <c r="Q152" s="205"/>
      <c r="R152" s="201"/>
      <c r="S152" s="202"/>
      <c r="T152" s="202"/>
      <c r="U152" s="203"/>
      <c r="V152" s="195">
        <f>'State DisAgg LFx10 (2015)'!L142</f>
        <v>3.3</v>
      </c>
      <c r="W152" s="196"/>
      <c r="X152" s="196"/>
      <c r="Y152" s="197">
        <f>'State DisAgg LFx10 (2015)'!P152</f>
        <v>3.4</v>
      </c>
      <c r="Z152" s="195"/>
      <c r="AA152" s="196"/>
      <c r="AB152" s="196"/>
      <c r="AC152" s="197">
        <f>'State DisAgg LFx10 (2015)'!T152</f>
        <v>0</v>
      </c>
      <c r="AD152" s="195"/>
      <c r="AE152" s="197"/>
    </row>
    <row r="153" spans="1:31" ht="13.5" hidden="1" thickBot="1">
      <c r="A153" s="885"/>
      <c r="B153" s="885"/>
      <c r="C153" s="9" t="s">
        <v>298</v>
      </c>
      <c r="D153" s="202"/>
      <c r="E153" s="203"/>
      <c r="F153" s="201"/>
      <c r="G153" s="202"/>
      <c r="H153" s="202"/>
      <c r="I153" s="203"/>
      <c r="J153" s="201"/>
      <c r="K153" s="202"/>
      <c r="L153" s="202"/>
      <c r="M153" s="203"/>
      <c r="N153" s="204"/>
      <c r="O153" s="214"/>
      <c r="P153" s="205"/>
      <c r="Q153" s="205"/>
      <c r="R153" s="201"/>
      <c r="S153" s="202"/>
      <c r="T153" s="202"/>
      <c r="U153" s="203"/>
      <c r="V153" s="195">
        <f>'State DisAgg LFx10 (2015)'!L143</f>
        <v>2.8</v>
      </c>
      <c r="W153" s="196"/>
      <c r="X153" s="196"/>
      <c r="Y153" s="197">
        <f>'State DisAgg LFx10 (2015)'!P153</f>
        <v>3.7</v>
      </c>
      <c r="Z153" s="195"/>
      <c r="AA153" s="196"/>
      <c r="AB153" s="196"/>
      <c r="AC153" s="197">
        <f>'State DisAgg LFx10 (2015)'!T153</f>
        <v>0</v>
      </c>
      <c r="AD153" s="195"/>
      <c r="AE153" s="197"/>
    </row>
    <row r="154" spans="1:31" ht="13.5" hidden="1" thickBot="1">
      <c r="A154" s="885"/>
      <c r="B154" s="885"/>
      <c r="C154" s="9" t="s">
        <v>299</v>
      </c>
      <c r="D154" s="202"/>
      <c r="E154" s="203"/>
      <c r="F154" s="201"/>
      <c r="G154" s="202"/>
      <c r="H154" s="202"/>
      <c r="I154" s="203"/>
      <c r="J154" s="201"/>
      <c r="K154" s="202"/>
      <c r="L154" s="202"/>
      <c r="M154" s="203"/>
      <c r="N154" s="204"/>
      <c r="O154" s="214"/>
      <c r="P154" s="205"/>
      <c r="Q154" s="205"/>
      <c r="R154" s="201"/>
      <c r="S154" s="202"/>
      <c r="T154" s="202"/>
      <c r="U154" s="203"/>
      <c r="V154" s="195">
        <f>'State DisAgg LFx10 (2015)'!L144</f>
        <v>2.5</v>
      </c>
      <c r="W154" s="196"/>
      <c r="X154" s="196"/>
      <c r="Y154" s="197">
        <f>'State DisAgg LFx10 (2015)'!P154</f>
        <v>3.3</v>
      </c>
      <c r="Z154" s="195"/>
      <c r="AA154" s="196"/>
      <c r="AB154" s="196"/>
      <c r="AC154" s="197">
        <f>'State DisAgg LFx10 (2015)'!T154</f>
        <v>0</v>
      </c>
      <c r="AD154" s="195"/>
      <c r="AE154" s="197"/>
    </row>
    <row r="155" spans="1:31" ht="24.75" hidden="1" thickBot="1">
      <c r="A155" s="885"/>
      <c r="B155" s="885"/>
      <c r="C155" s="9" t="s">
        <v>300</v>
      </c>
      <c r="D155" s="202"/>
      <c r="E155" s="203"/>
      <c r="F155" s="201"/>
      <c r="G155" s="202"/>
      <c r="H155" s="202"/>
      <c r="I155" s="203"/>
      <c r="J155" s="201"/>
      <c r="K155" s="202"/>
      <c r="L155" s="202"/>
      <c r="M155" s="203"/>
      <c r="N155" s="204"/>
      <c r="O155" s="214"/>
      <c r="P155" s="205"/>
      <c r="Q155" s="205"/>
      <c r="R155" s="201"/>
      <c r="S155" s="202"/>
      <c r="T155" s="202"/>
      <c r="U155" s="203"/>
      <c r="V155" s="195">
        <f>'State DisAgg LFx10 (2015)'!L145</f>
        <v>2.6</v>
      </c>
      <c r="W155" s="196"/>
      <c r="X155" s="196"/>
      <c r="Y155" s="197">
        <f>'State DisAgg LFx10 (2015)'!P155</f>
        <v>2.2999999999999998</v>
      </c>
      <c r="Z155" s="195"/>
      <c r="AA155" s="196"/>
      <c r="AB155" s="196"/>
      <c r="AC155" s="197">
        <f>'State DisAgg LFx10 (2015)'!T155</f>
        <v>0</v>
      </c>
      <c r="AD155" s="195"/>
      <c r="AE155" s="197"/>
    </row>
    <row r="156" spans="1:31" ht="13.5" hidden="1" thickBot="1">
      <c r="A156" s="885"/>
      <c r="B156" s="885"/>
      <c r="C156" s="9" t="s">
        <v>301</v>
      </c>
      <c r="D156" s="202"/>
      <c r="E156" s="203"/>
      <c r="F156" s="201"/>
      <c r="G156" s="202"/>
      <c r="H156" s="202"/>
      <c r="I156" s="203"/>
      <c r="J156" s="201"/>
      <c r="K156" s="202"/>
      <c r="L156" s="202"/>
      <c r="M156" s="203"/>
      <c r="N156" s="204"/>
      <c r="O156" s="214"/>
      <c r="P156" s="205"/>
      <c r="Q156" s="205"/>
      <c r="R156" s="201"/>
      <c r="S156" s="202"/>
      <c r="T156" s="202"/>
      <c r="U156" s="203"/>
      <c r="V156" s="195">
        <f>'State DisAgg LFx10 (2015)'!L146</f>
        <v>2.7</v>
      </c>
      <c r="W156" s="196"/>
      <c r="X156" s="196"/>
      <c r="Y156" s="197">
        <f>'State DisAgg LFx10 (2015)'!P156</f>
        <v>3.1</v>
      </c>
      <c r="Z156" s="195"/>
      <c r="AA156" s="196"/>
      <c r="AB156" s="196"/>
      <c r="AC156" s="197">
        <f>'State DisAgg LFx10 (2015)'!T156</f>
        <v>0</v>
      </c>
      <c r="AD156" s="195"/>
      <c r="AE156" s="197"/>
    </row>
    <row r="157" spans="1:31" ht="13.5" hidden="1" thickBot="1">
      <c r="A157" s="885"/>
      <c r="B157" s="885"/>
      <c r="C157" s="9" t="s">
        <v>302</v>
      </c>
      <c r="D157" s="202"/>
      <c r="E157" s="203"/>
      <c r="F157" s="201"/>
      <c r="G157" s="202"/>
      <c r="H157" s="202"/>
      <c r="I157" s="203"/>
      <c r="J157" s="201"/>
      <c r="K157" s="202"/>
      <c r="L157" s="202"/>
      <c r="M157" s="203"/>
      <c r="N157" s="204"/>
      <c r="O157" s="214"/>
      <c r="P157" s="205"/>
      <c r="Q157" s="205"/>
      <c r="R157" s="201"/>
      <c r="S157" s="202"/>
      <c r="T157" s="202"/>
      <c r="U157" s="203"/>
      <c r="V157" s="195">
        <f>'State DisAgg LFx10 (2015)'!L147</f>
        <v>2.5</v>
      </c>
      <c r="W157" s="196"/>
      <c r="X157" s="196"/>
      <c r="Y157" s="197">
        <f>'State DisAgg LFx10 (2015)'!P157</f>
        <v>2.9</v>
      </c>
      <c r="Z157" s="195"/>
      <c r="AA157" s="196"/>
      <c r="AB157" s="196"/>
      <c r="AC157" s="197">
        <f>'State DisAgg LFx10 (2015)'!T157</f>
        <v>0</v>
      </c>
      <c r="AD157" s="195"/>
      <c r="AE157" s="197"/>
    </row>
    <row r="158" spans="1:31" ht="24.75" hidden="1" thickBot="1">
      <c r="A158" s="885"/>
      <c r="B158" s="885"/>
      <c r="C158" s="9" t="s">
        <v>303</v>
      </c>
      <c r="D158" s="202"/>
      <c r="E158" s="203"/>
      <c r="F158" s="201"/>
      <c r="G158" s="202"/>
      <c r="H158" s="202"/>
      <c r="I158" s="203"/>
      <c r="J158" s="201"/>
      <c r="K158" s="202"/>
      <c r="L158" s="202"/>
      <c r="M158" s="203"/>
      <c r="N158" s="204"/>
      <c r="O158" s="214"/>
      <c r="P158" s="205"/>
      <c r="Q158" s="205"/>
      <c r="R158" s="201"/>
      <c r="S158" s="202"/>
      <c r="T158" s="202"/>
      <c r="U158" s="203"/>
      <c r="V158" s="242"/>
      <c r="W158" s="217" t="s">
        <v>633</v>
      </c>
      <c r="X158" s="241" t="s">
        <v>632</v>
      </c>
      <c r="Y158" s="197">
        <f>'State DisAgg LFx10 (2015)'!P148</f>
        <v>3.1</v>
      </c>
      <c r="Z158" s="195"/>
      <c r="AA158" s="196"/>
      <c r="AB158" s="196"/>
      <c r="AC158" s="197">
        <f>'State DisAgg LFx10 (2015)'!T158</f>
        <v>0</v>
      </c>
      <c r="AD158" s="195"/>
      <c r="AE158" s="197"/>
    </row>
    <row r="159" spans="1:31" ht="13.5" hidden="1" thickBot="1">
      <c r="A159" s="885"/>
      <c r="B159" s="885"/>
      <c r="C159" s="9" t="s">
        <v>304</v>
      </c>
      <c r="D159" s="202"/>
      <c r="E159" s="203"/>
      <c r="F159" s="201"/>
      <c r="G159" s="202"/>
      <c r="H159" s="202"/>
      <c r="I159" s="203"/>
      <c r="J159" s="201"/>
      <c r="K159" s="202"/>
      <c r="L159" s="202"/>
      <c r="M159" s="203"/>
      <c r="N159" s="204"/>
      <c r="O159" s="205"/>
      <c r="P159" s="205"/>
      <c r="Q159" s="205"/>
      <c r="R159" s="201"/>
      <c r="S159" s="202"/>
      <c r="T159" s="202"/>
      <c r="U159" s="203"/>
      <c r="V159" s="242"/>
      <c r="W159" s="217" t="s">
        <v>633</v>
      </c>
      <c r="X159" s="241" t="s">
        <v>632</v>
      </c>
      <c r="Y159" s="197">
        <f>'State DisAgg LFx10 (2015)'!P149</f>
        <v>2.9</v>
      </c>
      <c r="Z159" s="195"/>
      <c r="AA159" s="196"/>
      <c r="AB159" s="196"/>
      <c r="AC159" s="197">
        <f>'State DisAgg LFx10 (2015)'!T159</f>
        <v>0</v>
      </c>
      <c r="AD159" s="195"/>
      <c r="AE159" s="197"/>
    </row>
    <row r="160" spans="1:31" ht="12.95" hidden="1" customHeight="1" thickBot="1">
      <c r="A160" s="885"/>
      <c r="B160" s="298"/>
      <c r="C160" s="231"/>
      <c r="D160" s="232"/>
      <c r="E160" s="233"/>
      <c r="F160" s="234"/>
      <c r="G160" s="232"/>
      <c r="H160" s="232"/>
      <c r="I160" s="233"/>
      <c r="J160" s="234"/>
      <c r="K160" s="232"/>
      <c r="L160" s="232"/>
      <c r="M160" s="233"/>
      <c r="N160" s="234"/>
      <c r="O160" s="232"/>
      <c r="P160" s="232"/>
      <c r="Q160" s="233"/>
      <c r="R160" s="234"/>
      <c r="S160" s="232"/>
      <c r="T160" s="232"/>
      <c r="U160" s="233"/>
      <c r="V160" s="234"/>
      <c r="W160" s="232"/>
      <c r="X160" s="232"/>
      <c r="Y160" s="233"/>
      <c r="Z160" s="234"/>
      <c r="AA160" s="232"/>
      <c r="AB160" s="232"/>
      <c r="AC160" s="233"/>
      <c r="AD160" s="234"/>
      <c r="AE160" s="233"/>
    </row>
    <row r="161" spans="1:43" ht="12.95" hidden="1" customHeight="1" thickBot="1">
      <c r="A161" s="885"/>
      <c r="B161" s="298"/>
      <c r="C161" s="231"/>
      <c r="D161" s="232"/>
      <c r="E161" s="233"/>
      <c r="F161" s="234"/>
      <c r="G161" s="232"/>
      <c r="H161" s="232"/>
      <c r="I161" s="233"/>
      <c r="J161" s="234"/>
      <c r="K161" s="232"/>
      <c r="L161" s="232"/>
      <c r="M161" s="233"/>
      <c r="N161" s="234"/>
      <c r="O161" s="232"/>
      <c r="P161" s="232"/>
      <c r="Q161" s="233"/>
      <c r="R161" s="234"/>
      <c r="S161" s="232"/>
      <c r="T161" s="232"/>
      <c r="U161" s="233"/>
      <c r="V161" s="234"/>
      <c r="W161" s="232"/>
      <c r="X161" s="232"/>
      <c r="Y161" s="233"/>
      <c r="Z161" s="234"/>
      <c r="AA161" s="232"/>
      <c r="AB161" s="232"/>
      <c r="AC161" s="233"/>
      <c r="AD161" s="234"/>
      <c r="AE161" s="233"/>
    </row>
    <row r="162" spans="1:43" ht="12.95" customHeight="1" thickBot="1">
      <c r="A162" s="885"/>
      <c r="B162" s="3" t="s">
        <v>39</v>
      </c>
      <c r="C162" s="12"/>
      <c r="D162" s="1377">
        <v>2008</v>
      </c>
      <c r="E162" s="1378"/>
      <c r="F162" s="1372">
        <v>2009</v>
      </c>
      <c r="G162" s="1373"/>
      <c r="H162" s="1373"/>
      <c r="I162" s="1374"/>
      <c r="J162" s="1372">
        <v>2010</v>
      </c>
      <c r="K162" s="1373"/>
      <c r="L162" s="1373"/>
      <c r="M162" s="1374"/>
      <c r="N162" s="1372">
        <v>2011</v>
      </c>
      <c r="O162" s="1373"/>
      <c r="P162" s="1373"/>
      <c r="Q162" s="1374"/>
      <c r="R162" s="1372">
        <v>2012</v>
      </c>
      <c r="S162" s="1373"/>
      <c r="T162" s="1373"/>
      <c r="U162" s="1374"/>
      <c r="V162" s="1372">
        <v>2013</v>
      </c>
      <c r="W162" s="1373"/>
      <c r="X162" s="1373"/>
      <c r="Y162" s="1374"/>
      <c r="Z162" s="1372">
        <v>2014</v>
      </c>
      <c r="AA162" s="1373"/>
      <c r="AB162" s="1373"/>
      <c r="AC162" s="1374"/>
      <c r="AD162" s="1372">
        <v>2015</v>
      </c>
      <c r="AE162" s="1374"/>
      <c r="AG162" s="686" t="s">
        <v>1031</v>
      </c>
      <c r="AH162" s="687" t="s">
        <v>1116</v>
      </c>
      <c r="AI162" s="687"/>
      <c r="AJ162" s="687"/>
      <c r="AK162" s="687"/>
      <c r="AL162" s="687"/>
      <c r="AM162" s="687"/>
    </row>
    <row r="163" spans="1:43" ht="12.95" customHeight="1" thickBot="1">
      <c r="A163" s="885"/>
      <c r="B163" s="978" t="s">
        <v>575</v>
      </c>
      <c r="C163" s="91"/>
      <c r="D163" s="1379" t="str">
        <f>'State Efficiency Ratios'!D163</f>
        <v>number, a), b), and c) combined (total)</v>
      </c>
      <c r="E163" s="1380"/>
      <c r="F163" s="1380"/>
      <c r="G163" s="1380"/>
      <c r="H163" s="1380"/>
      <c r="I163" s="1380"/>
      <c r="J163" s="1380"/>
      <c r="K163" s="1380"/>
      <c r="L163" s="1380"/>
      <c r="M163" s="1380"/>
      <c r="N163" s="1380"/>
      <c r="O163" s="1380"/>
      <c r="P163" s="1380"/>
      <c r="Q163" s="1380"/>
      <c r="R163" s="1380"/>
      <c r="S163" s="1380"/>
      <c r="T163" s="1380"/>
      <c r="U163" s="1380"/>
      <c r="V163" s="1380"/>
      <c r="W163" s="1380"/>
      <c r="X163" s="1380"/>
      <c r="Y163" s="1380"/>
      <c r="Z163" s="1380"/>
      <c r="AA163" s="1380"/>
      <c r="AB163" s="1380"/>
      <c r="AC163" s="1380"/>
      <c r="AD163" s="1380"/>
      <c r="AE163" s="1381"/>
      <c r="AI163" s="352" t="s">
        <v>1103</v>
      </c>
      <c r="AJ163" s="578" t="s">
        <v>1114</v>
      </c>
      <c r="AK163" s="358" t="s">
        <v>1115</v>
      </c>
    </row>
    <row r="164" spans="1:43" ht="12.95" customHeight="1" thickBot="1">
      <c r="A164" s="885"/>
      <c r="B164" s="979"/>
      <c r="C164" s="250" t="s">
        <v>649</v>
      </c>
      <c r="D164" s="245"/>
      <c r="E164" s="246"/>
      <c r="F164" s="247"/>
      <c r="G164" s="245"/>
      <c r="H164" s="245"/>
      <c r="I164" s="246"/>
      <c r="J164" s="329" t="str">
        <f>'State Efficiency Ratios'!J164</f>
        <v>50% of total expenditure</v>
      </c>
      <c r="K164" s="245"/>
      <c r="L164" s="245"/>
      <c r="M164" s="246"/>
      <c r="N164" s="561"/>
      <c r="O164" s="553">
        <f>50%*O22</f>
        <v>676642.57543873962</v>
      </c>
      <c r="P164" s="553"/>
      <c r="Q164" s="562"/>
      <c r="R164" s="561"/>
      <c r="S164" s="553"/>
      <c r="T164" s="553"/>
      <c r="U164" s="553">
        <f t="shared" ref="U164:U171" si="40">50%*U22</f>
        <v>281439.40008338779</v>
      </c>
      <c r="V164" s="561"/>
      <c r="W164" s="553"/>
      <c r="X164" s="553"/>
      <c r="Y164" s="553">
        <f t="shared" ref="Y164:Y171" si="41">50%*Y22</f>
        <v>201358.21903043994</v>
      </c>
      <c r="Z164" s="561"/>
      <c r="AA164" s="553"/>
      <c r="AB164" s="553"/>
      <c r="AC164" s="553">
        <f t="shared" ref="AC164:AC173" si="42">50%*AC22</f>
        <v>191933.14841935862</v>
      </c>
      <c r="AD164" s="561"/>
      <c r="AE164" s="563"/>
      <c r="AH164" s="351" t="s">
        <v>756</v>
      </c>
      <c r="AI164" s="680">
        <f t="shared" ref="AI164:AI171" si="43">O164+U164+Y164+AC164</f>
        <v>1351373.3429719259</v>
      </c>
      <c r="AJ164" s="684">
        <f>'State DisAgg LFx10 (2014)'!T174</f>
        <v>7</v>
      </c>
      <c r="AK164" s="681">
        <f>AI164/AJ164</f>
        <v>193053.33471027511</v>
      </c>
      <c r="AO164" s="351" t="s">
        <v>1123</v>
      </c>
      <c r="AP164" s="675" t="s">
        <v>1121</v>
      </c>
      <c r="AQ164" s="675" t="s">
        <v>1122</v>
      </c>
    </row>
    <row r="165" spans="1:43" ht="12.95" customHeight="1" thickBot="1">
      <c r="A165" s="885"/>
      <c r="B165" s="979"/>
      <c r="C165" s="250" t="s">
        <v>650</v>
      </c>
      <c r="D165" s="245"/>
      <c r="E165" s="246"/>
      <c r="F165" s="247"/>
      <c r="G165" s="245"/>
      <c r="H165" s="245"/>
      <c r="I165" s="246"/>
      <c r="J165" s="247"/>
      <c r="K165" s="245"/>
      <c r="L165" s="245"/>
      <c r="M165" s="246"/>
      <c r="N165" s="561"/>
      <c r="O165" s="553">
        <f t="shared" ref="O165:O168" si="44">50%*O23</f>
        <v>627334.25283873931</v>
      </c>
      <c r="P165" s="553"/>
      <c r="Q165" s="562"/>
      <c r="R165" s="561"/>
      <c r="S165" s="553"/>
      <c r="T165" s="553"/>
      <c r="U165" s="553">
        <f t="shared" si="40"/>
        <v>266350.97515596583</v>
      </c>
      <c r="V165" s="561"/>
      <c r="W165" s="553"/>
      <c r="X165" s="553"/>
      <c r="Y165" s="553">
        <f t="shared" si="41"/>
        <v>193361.48518465052</v>
      </c>
      <c r="Z165" s="561"/>
      <c r="AA165" s="553"/>
      <c r="AB165" s="553"/>
      <c r="AC165" s="553">
        <f t="shared" si="42"/>
        <v>170377.44233647478</v>
      </c>
      <c r="AD165" s="561"/>
      <c r="AE165" s="563"/>
      <c r="AH165" s="351" t="s">
        <v>757</v>
      </c>
      <c r="AI165" s="682">
        <f t="shared" si="43"/>
        <v>1257424.1555158303</v>
      </c>
      <c r="AJ165" s="685">
        <f>'State DisAgg LFx10 (2014)'!T175</f>
        <v>28</v>
      </c>
      <c r="AK165" s="683">
        <f t="shared" ref="AK165:AK171" si="45">AI165/AJ165</f>
        <v>44908.005554136798</v>
      </c>
      <c r="AO165" s="351" t="s">
        <v>756</v>
      </c>
      <c r="AP165" s="706">
        <f>('State DisAgg LFx10 (2014)'!T174-'State DisAgg LFx10 (2014)'!V174)/'State DisAgg LFx10 (2014)'!T174</f>
        <v>0.8571428571428571</v>
      </c>
      <c r="AQ165" s="703">
        <f>('State DisAgg LFx10 (2014)'!V174/'State DisAgg LFx10 (2014)'!T174)</f>
        <v>0.14285714285714285</v>
      </c>
    </row>
    <row r="166" spans="1:43" ht="12.95" customHeight="1" thickBot="1">
      <c r="A166" s="885"/>
      <c r="B166" s="979"/>
      <c r="C166" s="250" t="s">
        <v>651</v>
      </c>
      <c r="D166" s="245"/>
      <c r="E166" s="246"/>
      <c r="F166" s="247"/>
      <c r="G166" s="245"/>
      <c r="H166" s="245"/>
      <c r="I166" s="246"/>
      <c r="J166" s="247"/>
      <c r="K166" s="245"/>
      <c r="L166" s="245"/>
      <c r="M166" s="246"/>
      <c r="N166" s="561"/>
      <c r="O166" s="553">
        <f t="shared" si="44"/>
        <v>650845.02103873959</v>
      </c>
      <c r="P166" s="553"/>
      <c r="Q166" s="562"/>
      <c r="R166" s="561"/>
      <c r="S166" s="553"/>
      <c r="T166" s="553"/>
      <c r="U166" s="553">
        <f t="shared" si="40"/>
        <v>310663.61382041028</v>
      </c>
      <c r="V166" s="561"/>
      <c r="W166" s="553"/>
      <c r="X166" s="553"/>
      <c r="Y166" s="553">
        <f t="shared" si="41"/>
        <v>209639.37514177864</v>
      </c>
      <c r="Z166" s="561"/>
      <c r="AA166" s="553"/>
      <c r="AB166" s="553"/>
      <c r="AC166" s="553">
        <f t="shared" si="42"/>
        <v>169554.8020127374</v>
      </c>
      <c r="AD166" s="561"/>
      <c r="AE166" s="563"/>
      <c r="AH166" s="351" t="s">
        <v>758</v>
      </c>
      <c r="AI166" s="682">
        <f t="shared" si="43"/>
        <v>1340702.8120136659</v>
      </c>
      <c r="AJ166" s="685">
        <f>'State DisAgg LFx10 (2014)'!T176</f>
        <v>11</v>
      </c>
      <c r="AK166" s="683">
        <f t="shared" si="45"/>
        <v>121882.07381942417</v>
      </c>
      <c r="AO166" s="351" t="s">
        <v>757</v>
      </c>
      <c r="AP166" s="707">
        <f>('State DisAgg LFx10 (2014)'!T175-'State DisAgg LFx10 (2014)'!V175)/'State DisAgg LFx10 (2014)'!T175</f>
        <v>0.75</v>
      </c>
      <c r="AQ166" s="704">
        <f>('State DisAgg LFx10 (2014)'!V175/'State DisAgg LFx10 (2014)'!T175)</f>
        <v>0.25</v>
      </c>
    </row>
    <row r="167" spans="1:43" ht="12.95" customHeight="1" thickBot="1">
      <c r="A167" s="885"/>
      <c r="B167" s="979"/>
      <c r="C167" s="250" t="s">
        <v>652</v>
      </c>
      <c r="D167" s="245"/>
      <c r="E167" s="246"/>
      <c r="F167" s="247"/>
      <c r="G167" s="245"/>
      <c r="H167" s="245"/>
      <c r="I167" s="246"/>
      <c r="J167" s="247"/>
      <c r="K167" s="245"/>
      <c r="L167" s="245"/>
      <c r="M167" s="246"/>
      <c r="N167" s="561"/>
      <c r="O167" s="553">
        <f t="shared" si="44"/>
        <v>647219.40283873945</v>
      </c>
      <c r="P167" s="553"/>
      <c r="Q167" s="562"/>
      <c r="R167" s="561"/>
      <c r="S167" s="553"/>
      <c r="T167" s="553"/>
      <c r="U167" s="553">
        <f t="shared" si="40"/>
        <v>315198.98072246724</v>
      </c>
      <c r="V167" s="561"/>
      <c r="W167" s="553"/>
      <c r="X167" s="553"/>
      <c r="Y167" s="553">
        <f t="shared" si="41"/>
        <v>194772.95214239651</v>
      </c>
      <c r="Z167" s="561"/>
      <c r="AA167" s="553"/>
      <c r="AB167" s="553"/>
      <c r="AC167" s="553">
        <f t="shared" si="42"/>
        <v>192351.00837133339</v>
      </c>
      <c r="AD167" s="561"/>
      <c r="AE167" s="563"/>
      <c r="AH167" s="351" t="s">
        <v>759</v>
      </c>
      <c r="AI167" s="682">
        <f t="shared" si="43"/>
        <v>1349542.3440749366</v>
      </c>
      <c r="AJ167" s="685">
        <f>'State DisAgg LFx10 (2014)'!T177</f>
        <v>12</v>
      </c>
      <c r="AK167" s="683">
        <f t="shared" si="45"/>
        <v>112461.86200624472</v>
      </c>
      <c r="AO167" s="351" t="s">
        <v>758</v>
      </c>
      <c r="AP167" s="707">
        <f>('State DisAgg LFx10 (2014)'!T176-'State DisAgg LFx10 (2014)'!V176)/'State DisAgg LFx10 (2014)'!T176</f>
        <v>0.81818181818181823</v>
      </c>
      <c r="AQ167" s="704">
        <f>('State DisAgg LFx10 (2014)'!V176/'State DisAgg LFx10 (2014)'!T176)</f>
        <v>0.18181818181818182</v>
      </c>
    </row>
    <row r="168" spans="1:43" ht="13.5" thickBot="1">
      <c r="A168" s="885"/>
      <c r="B168" s="979"/>
      <c r="C168" s="250" t="s">
        <v>653</v>
      </c>
      <c r="D168" s="245"/>
      <c r="E168" s="246"/>
      <c r="F168" s="247"/>
      <c r="G168" s="245"/>
      <c r="H168" s="245"/>
      <c r="I168" s="246"/>
      <c r="J168" s="247"/>
      <c r="K168" s="245"/>
      <c r="L168" s="245"/>
      <c r="M168" s="246"/>
      <c r="N168" s="561"/>
      <c r="O168" s="553">
        <f t="shared" si="44"/>
        <v>722328.89000759285</v>
      </c>
      <c r="P168" s="553"/>
      <c r="Q168" s="562"/>
      <c r="R168" s="561"/>
      <c r="S168" s="553"/>
      <c r="T168" s="553"/>
      <c r="U168" s="553">
        <f t="shared" si="40"/>
        <v>416709.93461744563</v>
      </c>
      <c r="V168" s="561"/>
      <c r="W168" s="553"/>
      <c r="X168" s="553"/>
      <c r="Y168" s="553">
        <f t="shared" si="41"/>
        <v>225180.91007340336</v>
      </c>
      <c r="Z168" s="561"/>
      <c r="AA168" s="553"/>
      <c r="AB168" s="553"/>
      <c r="AC168" s="553">
        <f t="shared" si="42"/>
        <v>223264.96242118184</v>
      </c>
      <c r="AD168" s="561"/>
      <c r="AE168" s="563"/>
      <c r="AH168" s="351" t="s">
        <v>760</v>
      </c>
      <c r="AI168" s="682">
        <f t="shared" si="43"/>
        <v>1587484.6971196237</v>
      </c>
      <c r="AJ168" s="685">
        <f>'State DisAgg LFx10 (2014)'!T178</f>
        <v>13</v>
      </c>
      <c r="AK168" s="683">
        <f t="shared" si="45"/>
        <v>122114.20747074028</v>
      </c>
      <c r="AO168" s="351" t="s">
        <v>759</v>
      </c>
      <c r="AP168" s="707">
        <f>('State DisAgg LFx10 (2014)'!T177-'State DisAgg LFx10 (2014)'!V177)/'State DisAgg LFx10 (2014)'!T177</f>
        <v>0.33333333333333331</v>
      </c>
      <c r="AQ168" s="704">
        <f>('State DisAgg LFx10 (2014)'!V177/'State DisAgg LFx10 (2014)'!T177)</f>
        <v>0.66666666666666663</v>
      </c>
    </row>
    <row r="169" spans="1:43" ht="12.95" customHeight="1" thickBot="1">
      <c r="A169" s="885"/>
      <c r="B169" s="979"/>
      <c r="C169" s="250" t="s">
        <v>654</v>
      </c>
      <c r="D169" s="248"/>
      <c r="E169" s="249"/>
      <c r="F169" s="247"/>
      <c r="G169" s="248"/>
      <c r="H169" s="248"/>
      <c r="I169" s="249"/>
      <c r="J169" s="247"/>
      <c r="K169" s="248"/>
      <c r="L169" s="248"/>
      <c r="M169" s="249"/>
      <c r="N169" s="564"/>
      <c r="O169" s="565"/>
      <c r="P169" s="565"/>
      <c r="Q169" s="565"/>
      <c r="R169" s="561"/>
      <c r="S169" s="553"/>
      <c r="T169" s="553"/>
      <c r="U169" s="553">
        <f t="shared" si="40"/>
        <v>171894.16434633863</v>
      </c>
      <c r="V169" s="561"/>
      <c r="W169" s="553"/>
      <c r="X169" s="553"/>
      <c r="Y169" s="553">
        <f t="shared" si="41"/>
        <v>143379.55800421067</v>
      </c>
      <c r="Z169" s="561"/>
      <c r="AA169" s="553"/>
      <c r="AB169" s="553"/>
      <c r="AC169" s="553">
        <f t="shared" si="42"/>
        <v>194269.29300738385</v>
      </c>
      <c r="AD169" s="561"/>
      <c r="AE169" s="563"/>
      <c r="AH169" s="351" t="s">
        <v>761</v>
      </c>
      <c r="AI169" s="682">
        <f t="shared" si="43"/>
        <v>509543.01535793312</v>
      </c>
      <c r="AJ169" s="685">
        <f>'State DisAgg LFx10 (2014)'!T179</f>
        <v>3</v>
      </c>
      <c r="AK169" s="683">
        <f t="shared" si="45"/>
        <v>169847.6717859777</v>
      </c>
      <c r="AO169" s="351" t="s">
        <v>760</v>
      </c>
      <c r="AP169" s="707">
        <f>('State DisAgg LFx10 (2014)'!T178-'State DisAgg LFx10 (2014)'!V178)/'State DisAgg LFx10 (2014)'!T178</f>
        <v>0.76923076923076927</v>
      </c>
      <c r="AQ169" s="704">
        <f>('State DisAgg LFx10 (2014)'!V178/'State DisAgg LFx10 (2014)'!T178)</f>
        <v>0.23076923076923078</v>
      </c>
    </row>
    <row r="170" spans="1:43" ht="12.95" customHeight="1" thickBot="1">
      <c r="A170" s="885"/>
      <c r="B170" s="979"/>
      <c r="C170" s="250" t="s">
        <v>655</v>
      </c>
      <c r="D170" s="248"/>
      <c r="E170" s="249"/>
      <c r="F170" s="247"/>
      <c r="G170" s="248"/>
      <c r="H170" s="248"/>
      <c r="I170" s="249"/>
      <c r="J170" s="247"/>
      <c r="K170" s="248"/>
      <c r="L170" s="248"/>
      <c r="M170" s="249"/>
      <c r="N170" s="564"/>
      <c r="O170" s="565"/>
      <c r="P170" s="565"/>
      <c r="Q170" s="565"/>
      <c r="R170" s="561"/>
      <c r="S170" s="553"/>
      <c r="T170" s="553"/>
      <c r="U170" s="553">
        <f t="shared" si="40"/>
        <v>171131.31422186492</v>
      </c>
      <c r="V170" s="561"/>
      <c r="W170" s="553"/>
      <c r="X170" s="553"/>
      <c r="Y170" s="553">
        <f t="shared" si="41"/>
        <v>117113.71597867292</v>
      </c>
      <c r="Z170" s="561"/>
      <c r="AA170" s="553"/>
      <c r="AB170" s="553"/>
      <c r="AC170" s="553">
        <f t="shared" si="42"/>
        <v>156931.57378703036</v>
      </c>
      <c r="AD170" s="561"/>
      <c r="AE170" s="563"/>
      <c r="AH170" s="351" t="s">
        <v>762</v>
      </c>
      <c r="AI170" s="682">
        <f t="shared" si="43"/>
        <v>445176.60398756817</v>
      </c>
      <c r="AJ170" s="685">
        <f>'State DisAgg LFx10 (2014)'!T180</f>
        <v>4</v>
      </c>
      <c r="AK170" s="683">
        <f t="shared" si="45"/>
        <v>111294.15099689204</v>
      </c>
      <c r="AO170" s="351" t="s">
        <v>761</v>
      </c>
      <c r="AP170" s="707">
        <f>('State DisAgg LFx10 (2014)'!T179-'State DisAgg LFx10 (2014)'!V179)/'State DisAgg LFx10 (2014)'!T179</f>
        <v>1</v>
      </c>
      <c r="AQ170" s="704">
        <f>('State DisAgg LFx10 (2014)'!V179/'State DisAgg LFx10 (2014)'!T179)</f>
        <v>0</v>
      </c>
    </row>
    <row r="171" spans="1:43" ht="12.95" customHeight="1" thickBot="1">
      <c r="A171" s="885"/>
      <c r="B171" s="979"/>
      <c r="C171" s="250" t="s">
        <v>656</v>
      </c>
      <c r="D171" s="248"/>
      <c r="E171" s="249"/>
      <c r="F171" s="247"/>
      <c r="G171" s="248"/>
      <c r="H171" s="248"/>
      <c r="I171" s="249"/>
      <c r="J171" s="247"/>
      <c r="K171" s="248"/>
      <c r="L171" s="248"/>
      <c r="M171" s="249"/>
      <c r="N171" s="564"/>
      <c r="O171" s="565"/>
      <c r="P171" s="565"/>
      <c r="Q171" s="565"/>
      <c r="R171" s="561"/>
      <c r="S171" s="553"/>
      <c r="T171" s="553"/>
      <c r="U171" s="553">
        <f t="shared" si="40"/>
        <v>178062.1837782684</v>
      </c>
      <c r="V171" s="561"/>
      <c r="W171" s="553"/>
      <c r="X171" s="553"/>
      <c r="Y171" s="553">
        <f t="shared" si="41"/>
        <v>158664.27087115587</v>
      </c>
      <c r="Z171" s="561"/>
      <c r="AA171" s="553"/>
      <c r="AB171" s="553"/>
      <c r="AC171" s="553">
        <f t="shared" si="42"/>
        <v>163773.28604022221</v>
      </c>
      <c r="AD171" s="561"/>
      <c r="AE171" s="563"/>
      <c r="AH171" s="351" t="s">
        <v>763</v>
      </c>
      <c r="AI171" s="682">
        <f t="shared" si="43"/>
        <v>500499.74068964651</v>
      </c>
      <c r="AJ171" s="685">
        <f>'State DisAgg LFx10 (2014)'!T181</f>
        <v>11</v>
      </c>
      <c r="AK171" s="683">
        <f t="shared" si="45"/>
        <v>45499.976426331501</v>
      </c>
      <c r="AO171" s="351" t="s">
        <v>762</v>
      </c>
      <c r="AP171" s="707">
        <f>('State DisAgg LFx10 (2014)'!T180-'State DisAgg LFx10 (2014)'!V180)/'State DisAgg LFx10 (2014)'!T180</f>
        <v>0.75</v>
      </c>
      <c r="AQ171" s="704">
        <f>('State DisAgg LFx10 (2014)'!V180/'State DisAgg LFx10 (2014)'!T180)</f>
        <v>0.25</v>
      </c>
    </row>
    <row r="172" spans="1:43" ht="12.95" customHeight="1" thickBot="1">
      <c r="A172" s="885"/>
      <c r="B172" s="979"/>
      <c r="C172" s="250" t="s">
        <v>657</v>
      </c>
      <c r="D172" s="248"/>
      <c r="E172" s="249"/>
      <c r="F172" s="247"/>
      <c r="G172" s="248"/>
      <c r="H172" s="248"/>
      <c r="I172" s="249"/>
      <c r="J172" s="247"/>
      <c r="K172" s="248"/>
      <c r="L172" s="248"/>
      <c r="M172" s="249"/>
      <c r="N172" s="564"/>
      <c r="O172" s="565"/>
      <c r="P172" s="565"/>
      <c r="Q172" s="566"/>
      <c r="R172" s="564"/>
      <c r="S172" s="565"/>
      <c r="T172" s="565"/>
      <c r="U172" s="566"/>
      <c r="V172" s="564"/>
      <c r="W172" s="565"/>
      <c r="X172" s="565"/>
      <c r="Y172" s="566"/>
      <c r="Z172" s="561"/>
      <c r="AA172" s="553"/>
      <c r="AB172" s="553"/>
      <c r="AC172" s="553">
        <f t="shared" si="42"/>
        <v>128215.42001491919</v>
      </c>
      <c r="AD172" s="561"/>
      <c r="AE172" s="563"/>
      <c r="AH172" s="351" t="s">
        <v>1050</v>
      </c>
      <c r="AI172" s="688">
        <f>AVERAGE(AI164:AI171)</f>
        <v>1042718.3389663912</v>
      </c>
      <c r="AJ172" s="689">
        <f>AVERAGE(AJ164:AJ171)</f>
        <v>11.125</v>
      </c>
      <c r="AK172" s="690">
        <f>AVERAGE(AK164:AK171)</f>
        <v>115132.66034625279</v>
      </c>
      <c r="AO172" s="351" t="s">
        <v>763</v>
      </c>
      <c r="AP172" s="708">
        <f>('State DisAgg LFx10 (2014)'!T181-'State DisAgg LFx10 (2014)'!V181)/'State DisAgg LFx10 (2014)'!T181</f>
        <v>0.54545454545454541</v>
      </c>
      <c r="AQ172" s="705">
        <f>('State DisAgg LFx10 (2014)'!V181/'State DisAgg LFx10 (2014)'!T181)</f>
        <v>0.45454545454545453</v>
      </c>
    </row>
    <row r="173" spans="1:43" ht="12.95" customHeight="1" thickBot="1">
      <c r="A173" s="885"/>
      <c r="B173" s="979" t="s">
        <v>159</v>
      </c>
      <c r="C173" s="250" t="s">
        <v>658</v>
      </c>
      <c r="D173" s="248"/>
      <c r="E173" s="249"/>
      <c r="F173" s="247"/>
      <c r="G173" s="248"/>
      <c r="H173" s="248"/>
      <c r="I173" s="249"/>
      <c r="J173" s="247"/>
      <c r="K173" s="248"/>
      <c r="L173" s="248"/>
      <c r="M173" s="249"/>
      <c r="N173" s="564"/>
      <c r="O173" s="565"/>
      <c r="P173" s="565"/>
      <c r="Q173" s="566"/>
      <c r="R173" s="564"/>
      <c r="S173" s="565"/>
      <c r="T173" s="565"/>
      <c r="U173" s="566"/>
      <c r="V173" s="564"/>
      <c r="W173" s="565"/>
      <c r="X173" s="565"/>
      <c r="Y173" s="566"/>
      <c r="Z173" s="561"/>
      <c r="AA173" s="553"/>
      <c r="AB173" s="553"/>
      <c r="AC173" s="553">
        <f t="shared" si="42"/>
        <v>174569.34221213136</v>
      </c>
      <c r="AD173" s="561"/>
      <c r="AE173" s="563"/>
      <c r="AO173" s="351" t="s">
        <v>1050</v>
      </c>
      <c r="AP173" s="709">
        <f>AVERAGE(AP165:AP172)</f>
        <v>0.7279179154179154</v>
      </c>
      <c r="AQ173" s="710">
        <f>AVERAGE(AQ165:AQ172)</f>
        <v>0.2720820845820846</v>
      </c>
    </row>
    <row r="174" spans="1:43" ht="12.95" hidden="1" customHeight="1" thickBot="1">
      <c r="A174" s="885"/>
      <c r="B174" s="979"/>
      <c r="C174" s="9" t="s">
        <v>295</v>
      </c>
      <c r="D174" s="241" t="s">
        <v>632</v>
      </c>
      <c r="E174" s="241" t="s">
        <v>632</v>
      </c>
      <c r="F174" s="243" t="s">
        <v>646</v>
      </c>
      <c r="G174" s="241" t="s">
        <v>646</v>
      </c>
      <c r="H174" s="241" t="s">
        <v>646</v>
      </c>
      <c r="I174" s="244" t="s">
        <v>646</v>
      </c>
      <c r="J174" s="195">
        <f>'State DisAgg LFx10 (2015)'!D164</f>
        <v>0</v>
      </c>
      <c r="K174" s="196"/>
      <c r="L174" s="196"/>
      <c r="M174" s="197"/>
      <c r="N174" s="195"/>
      <c r="O174" s="196">
        <f>'State DisAgg LFx10 (2015)'!H174</f>
        <v>0</v>
      </c>
      <c r="P174" s="196"/>
      <c r="Q174" s="197"/>
      <c r="R174" s="195"/>
      <c r="S174" s="196"/>
      <c r="T174" s="196"/>
      <c r="U174" s="197">
        <f>'State DisAgg LFx10 (2015)'!L174</f>
        <v>5</v>
      </c>
      <c r="V174" s="195"/>
      <c r="W174" s="196"/>
      <c r="X174" s="196"/>
      <c r="Y174" s="197">
        <f>'State DisAgg LFx10 (2015)'!P174</f>
        <v>8</v>
      </c>
      <c r="Z174" s="195"/>
      <c r="AA174" s="196"/>
      <c r="AB174" s="196"/>
      <c r="AC174" s="197">
        <f>'State DisAgg LFx10 (2015)'!T174</f>
        <v>0</v>
      </c>
      <c r="AD174" s="195"/>
      <c r="AE174" s="197"/>
    </row>
    <row r="175" spans="1:43" ht="12.95" hidden="1" customHeight="1" thickBot="1">
      <c r="A175" s="885"/>
      <c r="B175" s="979"/>
      <c r="C175" s="9" t="s">
        <v>296</v>
      </c>
      <c r="D175" s="241" t="s">
        <v>632</v>
      </c>
      <c r="E175" s="241" t="s">
        <v>632</v>
      </c>
      <c r="F175" s="243" t="s">
        <v>646</v>
      </c>
      <c r="G175" s="241" t="s">
        <v>646</v>
      </c>
      <c r="H175" s="241" t="s">
        <v>646</v>
      </c>
      <c r="I175" s="244" t="s">
        <v>646</v>
      </c>
      <c r="J175" s="195">
        <f>'State DisAgg LFx10 (2015)'!D165</f>
        <v>0</v>
      </c>
      <c r="K175" s="196"/>
      <c r="L175" s="196"/>
      <c r="M175" s="197"/>
      <c r="N175" s="195"/>
      <c r="O175" s="196">
        <f>'State DisAgg LFx10 (2015)'!H175</f>
        <v>1</v>
      </c>
      <c r="P175" s="196"/>
      <c r="Q175" s="197"/>
      <c r="R175" s="195"/>
      <c r="S175" s="196"/>
      <c r="T175" s="196"/>
      <c r="U175" s="197">
        <f>'State DisAgg LFx10 (2015)'!L175</f>
        <v>6</v>
      </c>
      <c r="V175" s="195"/>
      <c r="W175" s="196"/>
      <c r="X175" s="196"/>
      <c r="Y175" s="197">
        <f>'State DisAgg LFx10 (2015)'!P175</f>
        <v>18</v>
      </c>
      <c r="Z175" s="195"/>
      <c r="AA175" s="196"/>
      <c r="AB175" s="196"/>
      <c r="AC175" s="197">
        <f>'State DisAgg LFx10 (2015)'!T175</f>
        <v>0</v>
      </c>
      <c r="AD175" s="195"/>
      <c r="AE175" s="197"/>
    </row>
    <row r="176" spans="1:43" ht="12.95" hidden="1" customHeight="1" thickBot="1">
      <c r="A176" s="885"/>
      <c r="B176" s="979" t="s">
        <v>576</v>
      </c>
      <c r="C176" s="9" t="s">
        <v>297</v>
      </c>
      <c r="D176" s="241" t="s">
        <v>632</v>
      </c>
      <c r="E176" s="241" t="s">
        <v>632</v>
      </c>
      <c r="F176" s="243" t="s">
        <v>646</v>
      </c>
      <c r="G176" s="241" t="s">
        <v>646</v>
      </c>
      <c r="H176" s="241" t="s">
        <v>646</v>
      </c>
      <c r="I176" s="244" t="s">
        <v>646</v>
      </c>
      <c r="J176" s="195">
        <f>'State DisAgg LFx10 (2015)'!D166</f>
        <v>0</v>
      </c>
      <c r="K176" s="196"/>
      <c r="L176" s="196"/>
      <c r="M176" s="197"/>
      <c r="N176" s="195"/>
      <c r="O176" s="196">
        <f>'State DisAgg LFx10 (2015)'!H176</f>
        <v>2</v>
      </c>
      <c r="P176" s="196"/>
      <c r="Q176" s="197"/>
      <c r="R176" s="195"/>
      <c r="S176" s="196"/>
      <c r="T176" s="196"/>
      <c r="U176" s="197">
        <f>'State DisAgg LFx10 (2015)'!L176</f>
        <v>6</v>
      </c>
      <c r="V176" s="195"/>
      <c r="W176" s="196"/>
      <c r="X176" s="196"/>
      <c r="Y176" s="197">
        <f>'State DisAgg LFx10 (2015)'!P176</f>
        <v>9</v>
      </c>
      <c r="Z176" s="195"/>
      <c r="AA176" s="196"/>
      <c r="AB176" s="196"/>
      <c r="AC176" s="197">
        <f>'State DisAgg LFx10 (2015)'!T176</f>
        <v>0</v>
      </c>
      <c r="AD176" s="195"/>
      <c r="AE176" s="197"/>
    </row>
    <row r="177" spans="1:44" ht="12.95" hidden="1" customHeight="1" thickBot="1">
      <c r="A177" s="885"/>
      <c r="B177" s="979"/>
      <c r="C177" s="9" t="s">
        <v>298</v>
      </c>
      <c r="D177" s="241" t="s">
        <v>632</v>
      </c>
      <c r="E177" s="241" t="s">
        <v>632</v>
      </c>
      <c r="F177" s="243" t="s">
        <v>646</v>
      </c>
      <c r="G177" s="241" t="s">
        <v>646</v>
      </c>
      <c r="H177" s="241" t="s">
        <v>646</v>
      </c>
      <c r="I177" s="244" t="s">
        <v>646</v>
      </c>
      <c r="J177" s="195">
        <f>'State DisAgg LFx10 (2015)'!D167</f>
        <v>0</v>
      </c>
      <c r="K177" s="196"/>
      <c r="L177" s="196"/>
      <c r="M177" s="197"/>
      <c r="N177" s="195"/>
      <c r="O177" s="196">
        <f>'State DisAgg LFx10 (2015)'!H177</f>
        <v>2</v>
      </c>
      <c r="P177" s="196"/>
      <c r="Q177" s="197"/>
      <c r="R177" s="195"/>
      <c r="S177" s="196"/>
      <c r="T177" s="196"/>
      <c r="U177" s="197">
        <f>'State DisAgg LFx10 (2015)'!L177</f>
        <v>7</v>
      </c>
      <c r="V177" s="195"/>
      <c r="W177" s="196"/>
      <c r="X177" s="196"/>
      <c r="Y177" s="197">
        <f>'State DisAgg LFx10 (2015)'!P177</f>
        <v>14</v>
      </c>
      <c r="Z177" s="195"/>
      <c r="AA177" s="196"/>
      <c r="AB177" s="196"/>
      <c r="AC177" s="197">
        <f>'State DisAgg LFx10 (2015)'!T177</f>
        <v>0</v>
      </c>
      <c r="AD177" s="195"/>
      <c r="AE177" s="197"/>
    </row>
    <row r="178" spans="1:44" ht="12.95" hidden="1" customHeight="1" thickBot="1">
      <c r="A178" s="885"/>
      <c r="B178" s="979"/>
      <c r="C178" s="9" t="s">
        <v>299</v>
      </c>
      <c r="D178" s="241" t="s">
        <v>632</v>
      </c>
      <c r="E178" s="241" t="s">
        <v>632</v>
      </c>
      <c r="F178" s="243" t="s">
        <v>646</v>
      </c>
      <c r="G178" s="241" t="s">
        <v>646</v>
      </c>
      <c r="H178" s="241" t="s">
        <v>646</v>
      </c>
      <c r="I178" s="244" t="s">
        <v>646</v>
      </c>
      <c r="J178" s="195">
        <f>'State DisAgg LFx10 (2015)'!D168</f>
        <v>0</v>
      </c>
      <c r="K178" s="196"/>
      <c r="L178" s="196"/>
      <c r="M178" s="197"/>
      <c r="N178" s="195"/>
      <c r="O178" s="196">
        <f>'State DisAgg LFx10 (2015)'!H178</f>
        <v>5</v>
      </c>
      <c r="P178" s="196"/>
      <c r="Q178" s="197"/>
      <c r="R178" s="195"/>
      <c r="S178" s="196"/>
      <c r="T178" s="196"/>
      <c r="U178" s="197">
        <f>'State DisAgg LFx10 (2015)'!L178</f>
        <v>5</v>
      </c>
      <c r="V178" s="195"/>
      <c r="W178" s="196"/>
      <c r="X178" s="196"/>
      <c r="Y178" s="197">
        <f>'State DisAgg LFx10 (2015)'!P178</f>
        <v>11</v>
      </c>
      <c r="Z178" s="195"/>
      <c r="AA178" s="196"/>
      <c r="AB178" s="196"/>
      <c r="AC178" s="197">
        <f>'State DisAgg LFx10 (2015)'!T178</f>
        <v>0</v>
      </c>
      <c r="AD178" s="195"/>
      <c r="AE178" s="197"/>
    </row>
    <row r="179" spans="1:44" ht="24.75" hidden="1" thickBot="1">
      <c r="A179" s="885"/>
      <c r="B179" s="979"/>
      <c r="C179" s="9" t="s">
        <v>300</v>
      </c>
      <c r="D179" s="199"/>
      <c r="E179" s="200"/>
      <c r="F179" s="201"/>
      <c r="G179" s="199"/>
      <c r="H179" s="199"/>
      <c r="I179" s="200"/>
      <c r="J179" s="201"/>
      <c r="K179" s="199"/>
      <c r="L179" s="199"/>
      <c r="M179" s="200"/>
      <c r="N179" s="198"/>
      <c r="O179" s="217" t="s">
        <v>634</v>
      </c>
      <c r="P179" s="241" t="s">
        <v>632</v>
      </c>
      <c r="Q179" s="244" t="s">
        <v>646</v>
      </c>
      <c r="R179" s="195">
        <f>'State DisAgg LFx10 (2015)'!H169</f>
        <v>0</v>
      </c>
      <c r="S179" s="196"/>
      <c r="T179" s="196"/>
      <c r="U179" s="197">
        <f>'State DisAgg LFx10 (2015)'!L179</f>
        <v>0</v>
      </c>
      <c r="V179" s="195"/>
      <c r="W179" s="196"/>
      <c r="X179" s="196"/>
      <c r="Y179" s="197">
        <f>'State DisAgg LFx10 (2015)'!P179</f>
        <v>2</v>
      </c>
      <c r="Z179" s="195"/>
      <c r="AA179" s="196"/>
      <c r="AB179" s="196"/>
      <c r="AC179" s="197">
        <f>'State DisAgg LFx10 (2015)'!T179</f>
        <v>0</v>
      </c>
      <c r="AD179" s="195"/>
      <c r="AE179" s="197"/>
    </row>
    <row r="180" spans="1:44" ht="13.5" hidden="1" thickBot="1">
      <c r="A180" s="885"/>
      <c r="B180" s="979"/>
      <c r="C180" s="9" t="s">
        <v>301</v>
      </c>
      <c r="D180" s="199"/>
      <c r="E180" s="200"/>
      <c r="F180" s="201"/>
      <c r="G180" s="199"/>
      <c r="H180" s="199"/>
      <c r="I180" s="200"/>
      <c r="J180" s="201"/>
      <c r="K180" s="199"/>
      <c r="L180" s="199"/>
      <c r="M180" s="200"/>
      <c r="N180" s="198"/>
      <c r="O180" s="217" t="s">
        <v>634</v>
      </c>
      <c r="P180" s="241" t="s">
        <v>632</v>
      </c>
      <c r="Q180" s="244" t="s">
        <v>646</v>
      </c>
      <c r="R180" s="195">
        <f>'State DisAgg LFx10 (2015)'!H170</f>
        <v>0</v>
      </c>
      <c r="S180" s="196"/>
      <c r="T180" s="196"/>
      <c r="U180" s="197">
        <f>'State DisAgg LFx10 (2015)'!L180</f>
        <v>0</v>
      </c>
      <c r="V180" s="195"/>
      <c r="W180" s="196"/>
      <c r="X180" s="196"/>
      <c r="Y180" s="197">
        <f>'State DisAgg LFx10 (2015)'!P180</f>
        <v>2</v>
      </c>
      <c r="Z180" s="195"/>
      <c r="AA180" s="196"/>
      <c r="AB180" s="196"/>
      <c r="AC180" s="197">
        <f>'State DisAgg LFx10 (2015)'!T180</f>
        <v>0</v>
      </c>
      <c r="AD180" s="195"/>
      <c r="AE180" s="197"/>
    </row>
    <row r="181" spans="1:44" ht="13.5" hidden="1" thickBot="1">
      <c r="A181" s="885"/>
      <c r="B181" s="979" t="s">
        <v>577</v>
      </c>
      <c r="C181" s="9" t="s">
        <v>302</v>
      </c>
      <c r="D181" s="199"/>
      <c r="E181" s="200"/>
      <c r="F181" s="201"/>
      <c r="G181" s="199"/>
      <c r="H181" s="199"/>
      <c r="I181" s="200"/>
      <c r="J181" s="201"/>
      <c r="K181" s="199"/>
      <c r="L181" s="199"/>
      <c r="M181" s="200"/>
      <c r="N181" s="198"/>
      <c r="O181" s="217" t="s">
        <v>634</v>
      </c>
      <c r="P181" s="241" t="s">
        <v>632</v>
      </c>
      <c r="Q181" s="244" t="s">
        <v>646</v>
      </c>
      <c r="R181" s="195">
        <f>'State DisAgg LFx10 (2015)'!H171</f>
        <v>0</v>
      </c>
      <c r="S181" s="196"/>
      <c r="T181" s="196"/>
      <c r="U181" s="197">
        <f>'State DisAgg LFx10 (2015)'!L181</f>
        <v>0</v>
      </c>
      <c r="V181" s="195"/>
      <c r="W181" s="196"/>
      <c r="X181" s="196"/>
      <c r="Y181" s="197">
        <f>'State DisAgg LFx10 (2015)'!P181</f>
        <v>11</v>
      </c>
      <c r="Z181" s="195"/>
      <c r="AA181" s="196"/>
      <c r="AB181" s="196"/>
      <c r="AC181" s="197">
        <f>'State DisAgg LFx10 (2015)'!T181</f>
        <v>0</v>
      </c>
      <c r="AD181" s="195"/>
      <c r="AE181" s="197"/>
    </row>
    <row r="182" spans="1:44" ht="24.75" hidden="1" thickBot="1">
      <c r="A182" s="885"/>
      <c r="B182" s="979"/>
      <c r="C182" s="9" t="s">
        <v>303</v>
      </c>
      <c r="D182" s="202"/>
      <c r="E182" s="203"/>
      <c r="F182" s="201"/>
      <c r="G182" s="202"/>
      <c r="H182" s="202"/>
      <c r="I182" s="203"/>
      <c r="J182" s="201"/>
      <c r="K182" s="202"/>
      <c r="L182" s="202"/>
      <c r="M182" s="203"/>
      <c r="N182" s="204"/>
      <c r="O182" s="214"/>
      <c r="P182" s="205"/>
      <c r="Q182" s="205"/>
      <c r="R182" s="201"/>
      <c r="S182" s="202"/>
      <c r="T182" s="202"/>
      <c r="U182" s="203"/>
      <c r="V182" s="242"/>
      <c r="W182" s="217" t="s">
        <v>633</v>
      </c>
      <c r="X182" s="241" t="s">
        <v>632</v>
      </c>
      <c r="Y182" s="197">
        <f>'State DisAgg LFx10 (2015)'!P172</f>
        <v>0</v>
      </c>
      <c r="Z182" s="195"/>
      <c r="AA182" s="196"/>
      <c r="AB182" s="196"/>
      <c r="AC182" s="197">
        <f>'State DisAgg LFx10 (2015)'!T182</f>
        <v>0</v>
      </c>
      <c r="AD182" s="195"/>
      <c r="AE182" s="197"/>
    </row>
    <row r="183" spans="1:44" ht="13.5" hidden="1" thickBot="1">
      <c r="A183" s="869"/>
      <c r="B183" s="1165"/>
      <c r="C183" s="9" t="s">
        <v>304</v>
      </c>
      <c r="D183" s="202"/>
      <c r="E183" s="203"/>
      <c r="F183" s="201"/>
      <c r="G183" s="202"/>
      <c r="H183" s="202"/>
      <c r="I183" s="203"/>
      <c r="J183" s="201"/>
      <c r="K183" s="202"/>
      <c r="L183" s="202"/>
      <c r="M183" s="203"/>
      <c r="N183" s="204"/>
      <c r="O183" s="205"/>
      <c r="P183" s="205"/>
      <c r="Q183" s="205"/>
      <c r="R183" s="201"/>
      <c r="S183" s="202"/>
      <c r="T183" s="202"/>
      <c r="U183" s="203"/>
      <c r="V183" s="242"/>
      <c r="W183" s="217" t="s">
        <v>633</v>
      </c>
      <c r="X183" s="241" t="s">
        <v>632</v>
      </c>
      <c r="Y183" s="197">
        <f>'State DisAgg LFx10 (2015)'!P173</f>
        <v>0</v>
      </c>
      <c r="Z183" s="195"/>
      <c r="AA183" s="196"/>
      <c r="AB183" s="196"/>
      <c r="AC183" s="197">
        <f>'State DisAgg LFx10 (2015)'!T183</f>
        <v>0</v>
      </c>
      <c r="AD183" s="195"/>
      <c r="AE183" s="197"/>
    </row>
    <row r="184" spans="1:44" ht="12.95" hidden="1" customHeight="1" thickBot="1">
      <c r="A184" s="231"/>
      <c r="B184" s="231"/>
      <c r="C184" s="231"/>
      <c r="D184" s="232"/>
      <c r="E184" s="233"/>
      <c r="F184" s="234"/>
      <c r="G184" s="232"/>
      <c r="H184" s="232"/>
      <c r="I184" s="233"/>
      <c r="J184" s="234"/>
      <c r="K184" s="232"/>
      <c r="L184" s="232"/>
      <c r="M184" s="233"/>
      <c r="N184" s="234"/>
      <c r="O184" s="232"/>
      <c r="P184" s="232"/>
      <c r="Q184" s="233"/>
      <c r="R184" s="234"/>
      <c r="S184" s="232"/>
      <c r="T184" s="232"/>
      <c r="U184" s="233"/>
      <c r="V184" s="234"/>
      <c r="W184" s="232"/>
      <c r="X184" s="232"/>
      <c r="Y184" s="233"/>
      <c r="Z184" s="234"/>
      <c r="AA184" s="232"/>
      <c r="AB184" s="232"/>
      <c r="AC184" s="233"/>
      <c r="AD184" s="234"/>
      <c r="AE184" s="233"/>
    </row>
    <row r="185" spans="1:44" ht="12.95" hidden="1" customHeight="1" thickBot="1">
      <c r="A185" s="231"/>
      <c r="B185" s="231"/>
      <c r="C185" s="231"/>
      <c r="D185" s="232"/>
      <c r="E185" s="233"/>
      <c r="F185" s="234"/>
      <c r="G185" s="232"/>
      <c r="H185" s="232"/>
      <c r="I185" s="233"/>
      <c r="J185" s="234"/>
      <c r="K185" s="232"/>
      <c r="L185" s="232"/>
      <c r="M185" s="233"/>
      <c r="N185" s="234"/>
      <c r="O185" s="232"/>
      <c r="P185" s="232"/>
      <c r="Q185" s="233"/>
      <c r="R185" s="234"/>
      <c r="S185" s="232"/>
      <c r="T185" s="232"/>
      <c r="U185" s="233"/>
      <c r="V185" s="234"/>
      <c r="W185" s="232"/>
      <c r="X185" s="232"/>
      <c r="Y185" s="233"/>
      <c r="Z185" s="234"/>
      <c r="AA185" s="232"/>
      <c r="AB185" s="232"/>
      <c r="AC185" s="233"/>
      <c r="AD185" s="234"/>
      <c r="AE185" s="233"/>
    </row>
    <row r="186" spans="1:44" ht="12.95" hidden="1" customHeight="1" thickBot="1">
      <c r="A186" s="231"/>
      <c r="B186" s="231"/>
      <c r="C186" s="231"/>
      <c r="D186" s="232"/>
      <c r="E186" s="233"/>
      <c r="F186" s="234"/>
      <c r="G186" s="232"/>
      <c r="H186" s="232"/>
      <c r="I186" s="233"/>
      <c r="J186" s="234"/>
      <c r="K186" s="232"/>
      <c r="L186" s="232"/>
      <c r="M186" s="233"/>
      <c r="N186" s="234"/>
      <c r="O186" s="232"/>
      <c r="P186" s="232"/>
      <c r="Q186" s="233"/>
      <c r="R186" s="234"/>
      <c r="S186" s="232"/>
      <c r="T186" s="232"/>
      <c r="U186" s="233"/>
      <c r="V186" s="234"/>
      <c r="W186" s="232"/>
      <c r="X186" s="232"/>
      <c r="Y186" s="233"/>
      <c r="Z186" s="234"/>
      <c r="AA186" s="232"/>
      <c r="AB186" s="232"/>
      <c r="AC186" s="233"/>
      <c r="AD186" s="234"/>
      <c r="AE186" s="233"/>
    </row>
    <row r="187" spans="1:44" ht="12.95" hidden="1" customHeight="1" thickBot="1">
      <c r="A187" s="231"/>
      <c r="B187" s="231"/>
      <c r="C187" s="231"/>
      <c r="D187" s="232"/>
      <c r="E187" s="233"/>
      <c r="F187" s="234"/>
      <c r="G187" s="232"/>
      <c r="H187" s="232"/>
      <c r="I187" s="233"/>
      <c r="J187" s="234"/>
      <c r="K187" s="232"/>
      <c r="L187" s="232"/>
      <c r="M187" s="233"/>
      <c r="N187" s="234"/>
      <c r="O187" s="232"/>
      <c r="P187" s="232"/>
      <c r="Q187" s="233"/>
      <c r="R187" s="234"/>
      <c r="S187" s="232"/>
      <c r="T187" s="232"/>
      <c r="U187" s="233"/>
      <c r="V187" s="234"/>
      <c r="W187" s="232"/>
      <c r="X187" s="232"/>
      <c r="Y187" s="233"/>
      <c r="Z187" s="234"/>
      <c r="AA187" s="232"/>
      <c r="AB187" s="232"/>
      <c r="AC187" s="233"/>
      <c r="AD187" s="234"/>
      <c r="AE187" s="233"/>
    </row>
    <row r="188" spans="1:44" ht="12.95" hidden="1" customHeight="1" thickBot="1">
      <c r="A188" s="231"/>
      <c r="B188" s="231"/>
      <c r="C188" s="231"/>
      <c r="D188" s="232"/>
      <c r="E188" s="233"/>
      <c r="F188" s="234"/>
      <c r="G188" s="232"/>
      <c r="H188" s="232"/>
      <c r="I188" s="233"/>
      <c r="J188" s="234"/>
      <c r="K188" s="232"/>
      <c r="L188" s="232"/>
      <c r="M188" s="233"/>
      <c r="N188" s="234"/>
      <c r="O188" s="232"/>
      <c r="P188" s="232"/>
      <c r="Q188" s="233"/>
      <c r="R188" s="234"/>
      <c r="S188" s="232"/>
      <c r="T188" s="232"/>
      <c r="U188" s="233"/>
      <c r="V188" s="234"/>
      <c r="W188" s="232"/>
      <c r="X188" s="232"/>
      <c r="Y188" s="233"/>
      <c r="Z188" s="234"/>
      <c r="AA188" s="232"/>
      <c r="AB188" s="232"/>
      <c r="AC188" s="233"/>
      <c r="AD188" s="234"/>
      <c r="AE188" s="233"/>
    </row>
    <row r="189" spans="1:44" ht="12.95" hidden="1" customHeight="1" thickBot="1">
      <c r="A189" s="231"/>
      <c r="B189" s="231"/>
      <c r="C189" s="231"/>
      <c r="D189" s="232"/>
      <c r="E189" s="233"/>
      <c r="F189" s="234"/>
      <c r="G189" s="232"/>
      <c r="H189" s="232"/>
      <c r="I189" s="233"/>
      <c r="J189" s="234"/>
      <c r="K189" s="232"/>
      <c r="L189" s="232"/>
      <c r="M189" s="233"/>
      <c r="N189" s="234"/>
      <c r="O189" s="232"/>
      <c r="P189" s="232"/>
      <c r="Q189" s="233"/>
      <c r="R189" s="234"/>
      <c r="S189" s="232"/>
      <c r="T189" s="232"/>
      <c r="U189" s="233"/>
      <c r="V189" s="234"/>
      <c r="W189" s="232"/>
      <c r="X189" s="232"/>
      <c r="Y189" s="233"/>
      <c r="Z189" s="234"/>
      <c r="AA189" s="232"/>
      <c r="AB189" s="232"/>
      <c r="AC189" s="233"/>
      <c r="AD189" s="234"/>
      <c r="AE189" s="233"/>
    </row>
    <row r="190" spans="1:44">
      <c r="A190" s="5"/>
      <c r="B190" s="5"/>
      <c r="C190" s="6"/>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row>
    <row r="191" spans="1:44" ht="13.5" thickBot="1">
      <c r="A191" s="21"/>
      <c r="B191" s="21"/>
      <c r="C191" s="22"/>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G191" s="357" t="s">
        <v>1108</v>
      </c>
      <c r="AH191" s="416" t="s">
        <v>1109</v>
      </c>
      <c r="AN191" s="416"/>
    </row>
    <row r="192" spans="1:44" ht="12.95" customHeight="1" thickBot="1">
      <c r="A192" s="300" t="s">
        <v>11</v>
      </c>
      <c r="B192" s="299" t="s">
        <v>16</v>
      </c>
      <c r="C192" s="8"/>
      <c r="D192" s="1377">
        <v>2008</v>
      </c>
      <c r="E192" s="1378"/>
      <c r="F192" s="1372">
        <v>2009</v>
      </c>
      <c r="G192" s="1373"/>
      <c r="H192" s="1373"/>
      <c r="I192" s="1374"/>
      <c r="J192" s="1372">
        <v>2010</v>
      </c>
      <c r="K192" s="1373"/>
      <c r="L192" s="1373"/>
      <c r="M192" s="1374"/>
      <c r="N192" s="1372">
        <v>2011</v>
      </c>
      <c r="O192" s="1373"/>
      <c r="P192" s="1373"/>
      <c r="Q192" s="1374"/>
      <c r="R192" s="1372">
        <v>2012</v>
      </c>
      <c r="S192" s="1373"/>
      <c r="T192" s="1373"/>
      <c r="U192" s="1374"/>
      <c r="V192" s="1372">
        <v>2013</v>
      </c>
      <c r="W192" s="1373"/>
      <c r="X192" s="1373"/>
      <c r="Y192" s="1374"/>
      <c r="Z192" s="1372">
        <v>2014</v>
      </c>
      <c r="AA192" s="1373"/>
      <c r="AB192" s="1373"/>
      <c r="AC192" s="1374"/>
      <c r="AD192" s="1372">
        <v>2015</v>
      </c>
      <c r="AE192" s="1374"/>
      <c r="AG192" s="351" t="s">
        <v>1050</v>
      </c>
      <c r="AH192" s="660">
        <f>(SUM(AH193:AH197))/5</f>
        <v>0</v>
      </c>
      <c r="AI192" s="661">
        <f>(SUM(AI193:AI197))/5</f>
        <v>277906.06802210584</v>
      </c>
      <c r="AJ192" s="661">
        <f>(SUM(AJ193:AJ200))/8</f>
        <v>280056.74941412633</v>
      </c>
      <c r="AK192" s="661">
        <f>(SUM(AK193:AK200))/8</f>
        <v>372356.92337881471</v>
      </c>
      <c r="AL192" s="662">
        <f>(SUM(AL193:AL200))/8</f>
        <v>450220.57563815813</v>
      </c>
      <c r="AN192" s="670">
        <f>(SUM(AN193:AN197))/5</f>
        <v>1.05</v>
      </c>
      <c r="AO192" s="671">
        <f>(SUM(AO193:AO200))/8</f>
        <v>1.4875</v>
      </c>
      <c r="AP192" s="671">
        <f>(SUM(AP193:AP200))/8</f>
        <v>1.6166666666666665</v>
      </c>
      <c r="AQ192" s="671">
        <f>(SUM(AQ193:AQ200))/8</f>
        <v>2.5125000000000002</v>
      </c>
      <c r="AR192" s="672">
        <f>(SUM(AR193:AR200))/8</f>
        <v>3.5929166666666665</v>
      </c>
    </row>
    <row r="193" spans="1:44" ht="12.95" customHeight="1" thickBot="1">
      <c r="A193" s="868" t="s">
        <v>57</v>
      </c>
      <c r="B193" s="868" t="s">
        <v>58</v>
      </c>
      <c r="C193" s="250" t="s">
        <v>649</v>
      </c>
      <c r="D193" s="245"/>
      <c r="E193" s="246"/>
      <c r="F193" s="247"/>
      <c r="G193" s="245"/>
      <c r="H193" s="245"/>
      <c r="I193" s="246"/>
      <c r="J193" s="247"/>
      <c r="K193" s="245"/>
      <c r="L193" s="245"/>
      <c r="M193" s="246"/>
      <c r="N193" s="567"/>
      <c r="O193" s="568">
        <v>99350.950715859828</v>
      </c>
      <c r="P193" s="568"/>
      <c r="Q193" s="569"/>
      <c r="R193" s="567"/>
      <c r="S193" s="568"/>
      <c r="T193" s="568"/>
      <c r="U193" s="568">
        <v>38026.972673405849</v>
      </c>
      <c r="V193" s="567"/>
      <c r="W193" s="568"/>
      <c r="X193" s="568"/>
      <c r="Y193" s="568">
        <v>35223.119591661336</v>
      </c>
      <c r="Z193" s="567"/>
      <c r="AA193" s="568"/>
      <c r="AB193" s="568"/>
      <c r="AC193" s="568">
        <v>28360.794651515153</v>
      </c>
      <c r="AD193" s="567"/>
      <c r="AE193" s="570"/>
      <c r="AG193" s="351" t="s">
        <v>756</v>
      </c>
      <c r="AH193" s="651">
        <v>0</v>
      </c>
      <c r="AI193" s="652">
        <f>O193+O216+O239</f>
        <v>298052.85214757948</v>
      </c>
      <c r="AJ193" s="652">
        <f>AI193+U193+U216+U239</f>
        <v>412133.77016779699</v>
      </c>
      <c r="AK193" s="652">
        <f>AJ193+Y193+Y216+Y239</f>
        <v>509522.48879278102</v>
      </c>
      <c r="AL193" s="653">
        <f>AK193+AC193+AC216+AC239</f>
        <v>590327.8954089426</v>
      </c>
      <c r="AN193" s="664">
        <f>('State DisAgg LFx10 (2014)'!D193+'State DisAgg LFx10 (2014)'!D216)/2</f>
        <v>1.25</v>
      </c>
      <c r="AO193" s="673">
        <f>('State DisAgg LFx10 (2014)'!H203+'State DisAgg LFx10 (2014)'!H226)/2</f>
        <v>1</v>
      </c>
      <c r="AP193" s="673">
        <f>('State DisAgg LFx10 (2014)'!L203+'State DisAgg LFx10 (2014)'!L226+('State DisAgg LFx10 (2014)'!L249/2))/3</f>
        <v>1.5999999999999999</v>
      </c>
      <c r="AQ193" s="673">
        <f>('State DisAgg LFx10 (2014)'!P203+'State DisAgg LFx10 (2014)'!P226+('State DisAgg LFx10 (2014)'!P249/2))/3</f>
        <v>2.8666666666666667</v>
      </c>
      <c r="AR193" s="679">
        <f>('State DisAgg LFx10 (2014)'!T203+'State DisAgg LFx10 (2014)'!T226+('State DisAgg LFx10 (2014)'!T249/3))/3</f>
        <v>4.2766666666666664</v>
      </c>
    </row>
    <row r="194" spans="1:44" ht="13.5" thickBot="1">
      <c r="A194" s="885"/>
      <c r="B194" s="885"/>
      <c r="C194" s="250" t="s">
        <v>650</v>
      </c>
      <c r="D194" s="245"/>
      <c r="E194" s="246"/>
      <c r="F194" s="247"/>
      <c r="G194" s="245"/>
      <c r="H194" s="245"/>
      <c r="I194" s="246"/>
      <c r="J194" s="247"/>
      <c r="K194" s="245"/>
      <c r="L194" s="245"/>
      <c r="M194" s="246"/>
      <c r="N194" s="567"/>
      <c r="O194" s="568">
        <v>88721.731236795502</v>
      </c>
      <c r="P194" s="568"/>
      <c r="Q194" s="569"/>
      <c r="R194" s="567"/>
      <c r="S194" s="568"/>
      <c r="T194" s="568"/>
      <c r="U194" s="568">
        <v>35223.119591661336</v>
      </c>
      <c r="V194" s="567"/>
      <c r="W194" s="568"/>
      <c r="X194" s="568"/>
      <c r="Y194" s="568">
        <v>32571.095026398179</v>
      </c>
      <c r="Z194" s="567"/>
      <c r="AA194" s="568"/>
      <c r="AB194" s="568"/>
      <c r="AC194" s="568">
        <v>32285.496310101014</v>
      </c>
      <c r="AD194" s="567"/>
      <c r="AE194" s="570"/>
      <c r="AG194" s="351" t="s">
        <v>757</v>
      </c>
      <c r="AH194" s="655">
        <v>0</v>
      </c>
      <c r="AI194" s="654">
        <f t="shared" ref="AI194:AI202" si="46">O194+O217+O240</f>
        <v>266165.19371038652</v>
      </c>
      <c r="AJ194" s="654">
        <f t="shared" ref="AJ194:AJ202" si="47">AI194+U194+U217+U240</f>
        <v>375237.1110445321</v>
      </c>
      <c r="AK194" s="654">
        <f t="shared" ref="AK194:AK202" si="48">AJ194+Y194+Y217+Y240</f>
        <v>470711.55947372667</v>
      </c>
      <c r="AL194" s="656">
        <f t="shared" ref="AL194:AL202" si="49">AK194+AC194+AC217+AC240</f>
        <v>554342.37651817105</v>
      </c>
      <c r="AN194" s="663">
        <f>('State DisAgg LFx10 (2014)'!D194+'State DisAgg LFx10 (2014)'!D217)/2</f>
        <v>1</v>
      </c>
      <c r="AO194" s="665">
        <f>('State DisAgg LFx10 (2014)'!H204+'State DisAgg LFx10 (2014)'!H227)/2</f>
        <v>2.5</v>
      </c>
      <c r="AP194" s="665">
        <f>('State DisAgg LFx10 (2014)'!L204+'State DisAgg LFx10 (2014)'!L227+('State DisAgg LFx10 (2014)'!L250/2))/3</f>
        <v>2.1333333333333333</v>
      </c>
      <c r="AQ194" s="665">
        <f>('State DisAgg LFx10 (2014)'!P204+'State DisAgg LFx10 (2014)'!P227+('State DisAgg LFx10 (2014)'!P250/2))/3</f>
        <v>3.7999999999999994</v>
      </c>
      <c r="AR194" s="666">
        <f>('State DisAgg LFx10 (2014)'!T204+'State DisAgg LFx10 (2014)'!T227+('State DisAgg LFx10 (2014)'!T250/2))/3</f>
        <v>4.333333333333333</v>
      </c>
    </row>
    <row r="195" spans="1:44" ht="13.5" thickBot="1">
      <c r="A195" s="885"/>
      <c r="B195" s="885"/>
      <c r="C195" s="250" t="s">
        <v>651</v>
      </c>
      <c r="D195" s="245"/>
      <c r="E195" s="246"/>
      <c r="F195" s="247"/>
      <c r="G195" s="245"/>
      <c r="H195" s="245"/>
      <c r="I195" s="246"/>
      <c r="J195" s="247"/>
      <c r="K195" s="245"/>
      <c r="L195" s="245"/>
      <c r="M195" s="246"/>
      <c r="N195" s="567"/>
      <c r="O195" s="568">
        <v>90317.991782292578</v>
      </c>
      <c r="P195" s="568"/>
      <c r="Q195" s="569"/>
      <c r="R195" s="567"/>
      <c r="S195" s="568"/>
      <c r="T195" s="568"/>
      <c r="U195" s="568">
        <v>32571.095026398179</v>
      </c>
      <c r="V195" s="567"/>
      <c r="W195" s="568"/>
      <c r="X195" s="568"/>
      <c r="Y195" s="568">
        <v>41102.420558846701</v>
      </c>
      <c r="Z195" s="567"/>
      <c r="AA195" s="568"/>
      <c r="AB195" s="568"/>
      <c r="AC195" s="568">
        <v>18032.980085858588</v>
      </c>
      <c r="AD195" s="567"/>
      <c r="AE195" s="570"/>
      <c r="AG195" s="351" t="s">
        <v>758</v>
      </c>
      <c r="AH195" s="655">
        <v>0</v>
      </c>
      <c r="AI195" s="654">
        <f t="shared" si="46"/>
        <v>270953.97534687771</v>
      </c>
      <c r="AJ195" s="654">
        <f t="shared" si="47"/>
        <v>376774.00641728065</v>
      </c>
      <c r="AK195" s="654">
        <f t="shared" si="48"/>
        <v>476528.24819382071</v>
      </c>
      <c r="AL195" s="656">
        <f t="shared" si="49"/>
        <v>552569.98917361873</v>
      </c>
      <c r="AN195" s="663">
        <f>('State DisAgg LFx10 (2014)'!D195+'State DisAgg LFx10 (2014)'!D218)/2</f>
        <v>1</v>
      </c>
      <c r="AO195" s="665">
        <f>('State DisAgg LFx10 (2014)'!H205+'State DisAgg LFx10 (2014)'!H228)/2</f>
        <v>1.4</v>
      </c>
      <c r="AP195" s="665">
        <f>('State DisAgg LFx10 (2014)'!L205+'State DisAgg LFx10 (2014)'!L228+('State DisAgg LFx10 (2014)'!L251/2))/3</f>
        <v>2.4</v>
      </c>
      <c r="AQ195" s="665">
        <f>('State DisAgg LFx10 (2014)'!P205+'State DisAgg LFx10 (2014)'!P228+('State DisAgg LFx10 (2014)'!P251/2))/3</f>
        <v>3</v>
      </c>
      <c r="AR195" s="666">
        <f>('State DisAgg LFx10 (2014)'!T205+'State DisAgg LFx10 (2014)'!T228+('State DisAgg LFx10 (2014)'!T251/2))/3</f>
        <v>4.0666666666666664</v>
      </c>
    </row>
    <row r="196" spans="1:44" ht="13.5" thickBot="1">
      <c r="A196" s="885"/>
      <c r="B196" s="885"/>
      <c r="C196" s="250" t="s">
        <v>652</v>
      </c>
      <c r="D196" s="245"/>
      <c r="E196" s="246"/>
      <c r="F196" s="247"/>
      <c r="G196" s="245"/>
      <c r="H196" s="245"/>
      <c r="I196" s="246"/>
      <c r="J196" s="247"/>
      <c r="K196" s="245"/>
      <c r="L196" s="245"/>
      <c r="M196" s="246"/>
      <c r="N196" s="567"/>
      <c r="O196" s="568">
        <v>85362.777804748737</v>
      </c>
      <c r="P196" s="568"/>
      <c r="Q196" s="569"/>
      <c r="R196" s="567"/>
      <c r="S196" s="568"/>
      <c r="T196" s="568"/>
      <c r="U196" s="568">
        <v>33978.869496009167</v>
      </c>
      <c r="V196" s="567"/>
      <c r="W196" s="568"/>
      <c r="X196" s="568"/>
      <c r="Y196" s="568">
        <v>33978.869496009167</v>
      </c>
      <c r="Z196" s="567"/>
      <c r="AA196" s="568"/>
      <c r="AB196" s="568"/>
      <c r="AC196" s="568">
        <v>28954.492308080811</v>
      </c>
      <c r="AD196" s="567"/>
      <c r="AE196" s="570"/>
      <c r="AG196" s="351" t="s">
        <v>759</v>
      </c>
      <c r="AH196" s="655">
        <v>0</v>
      </c>
      <c r="AI196" s="654">
        <f t="shared" si="46"/>
        <v>256088.33341424621</v>
      </c>
      <c r="AJ196" s="654">
        <f t="shared" si="47"/>
        <v>356192.01271262264</v>
      </c>
      <c r="AK196" s="654">
        <f t="shared" si="48"/>
        <v>445210.18130065018</v>
      </c>
      <c r="AL196" s="656">
        <f t="shared" si="49"/>
        <v>517014.25510873098</v>
      </c>
      <c r="AN196" s="663">
        <f>('State DisAgg LFx10 (2014)'!D196+'State DisAgg LFx10 (2014)'!D219)/2</f>
        <v>1</v>
      </c>
      <c r="AO196" s="665">
        <f>('State DisAgg LFx10 (2014)'!H206+'State DisAgg LFx10 (2014)'!H229)/2</f>
        <v>1.5</v>
      </c>
      <c r="AP196" s="665">
        <f>('State DisAgg LFx10 (2014)'!L206+'State DisAgg LFx10 (2014)'!L229+('State DisAgg LFx10 (2014)'!L252/2))/3</f>
        <v>2.4666666666666668</v>
      </c>
      <c r="AQ196" s="665">
        <f>('State DisAgg LFx10 (2014)'!P206+'State DisAgg LFx10 (2014)'!P229+('State DisAgg LFx10 (2014)'!P252/2))/3</f>
        <v>3.8333333333333335</v>
      </c>
      <c r="AR196" s="666">
        <f>('State DisAgg LFx10 (2014)'!T206+'State DisAgg LFx10 (2014)'!T229+('State DisAgg LFx10 (2014)'!T252/2))/3</f>
        <v>4.2</v>
      </c>
    </row>
    <row r="197" spans="1:44" ht="13.5" thickBot="1">
      <c r="A197" s="885"/>
      <c r="B197" s="885"/>
      <c r="C197" s="250" t="s">
        <v>653</v>
      </c>
      <c r="D197" s="245"/>
      <c r="E197" s="246"/>
      <c r="F197" s="247"/>
      <c r="G197" s="245"/>
      <c r="H197" s="245"/>
      <c r="I197" s="246"/>
      <c r="J197" s="247"/>
      <c r="K197" s="245"/>
      <c r="L197" s="245"/>
      <c r="M197" s="246"/>
      <c r="N197" s="567"/>
      <c r="O197" s="568">
        <v>99423.328497146373</v>
      </c>
      <c r="P197" s="568"/>
      <c r="Q197" s="569"/>
      <c r="R197" s="567"/>
      <c r="S197" s="568"/>
      <c r="T197" s="568"/>
      <c r="U197" s="568">
        <v>68664.001779533195</v>
      </c>
      <c r="V197" s="567"/>
      <c r="W197" s="568"/>
      <c r="X197" s="568"/>
      <c r="Y197" s="568">
        <v>68664.001779533195</v>
      </c>
      <c r="Z197" s="567"/>
      <c r="AA197" s="568"/>
      <c r="AB197" s="568"/>
      <c r="AC197" s="568">
        <v>43250.11256060606</v>
      </c>
      <c r="AD197" s="567"/>
      <c r="AE197" s="570"/>
      <c r="AG197" s="351" t="s">
        <v>760</v>
      </c>
      <c r="AH197" s="655">
        <v>0</v>
      </c>
      <c r="AI197" s="654">
        <f t="shared" si="46"/>
        <v>298269.98549143912</v>
      </c>
      <c r="AJ197" s="654">
        <f t="shared" si="47"/>
        <v>505167.00227100041</v>
      </c>
      <c r="AK197" s="654">
        <f t="shared" si="48"/>
        <v>645920.10595960007</v>
      </c>
      <c r="AL197" s="656">
        <f t="shared" si="49"/>
        <v>760589.13330303447</v>
      </c>
      <c r="AN197" s="663">
        <f>('State DisAgg LFx10 (2014)'!D197+'State DisAgg LFx10 (2014)'!D220)/2</f>
        <v>1</v>
      </c>
      <c r="AO197" s="665">
        <f>('State DisAgg LFx10 (2014)'!H207+'State DisAgg LFx10 (2014)'!H230)/2</f>
        <v>2.5</v>
      </c>
      <c r="AP197" s="665">
        <f>('State DisAgg LFx10 (2014)'!L207+'State DisAgg LFx10 (2014)'!L230+('State DisAgg LFx10 (2014)'!L253/2))/3</f>
        <v>2.1666666666666665</v>
      </c>
      <c r="AQ197" s="665">
        <f>('State DisAgg LFx10 (2014)'!P207+'State DisAgg LFx10 (2014)'!P230+('State DisAgg LFx10 (2014)'!P253/2))/3</f>
        <v>3.1999999999999997</v>
      </c>
      <c r="AR197" s="666">
        <f>('State DisAgg LFx10 (2014)'!T207+'State DisAgg LFx10 (2014)'!T230+('State DisAgg LFx10 (2014)'!T253/2))/3</f>
        <v>4.5333333333333332</v>
      </c>
    </row>
    <row r="198" spans="1:44" ht="12.95" customHeight="1" thickBot="1">
      <c r="A198" s="885"/>
      <c r="B198" s="885"/>
      <c r="C198" s="250" t="s">
        <v>654</v>
      </c>
      <c r="D198" s="248"/>
      <c r="E198" s="249"/>
      <c r="F198" s="247"/>
      <c r="G198" s="248"/>
      <c r="H198" s="248"/>
      <c r="I198" s="249"/>
      <c r="J198" s="247"/>
      <c r="K198" s="248"/>
      <c r="L198" s="248"/>
      <c r="M198" s="249"/>
      <c r="N198" s="571"/>
      <c r="O198" s="572"/>
      <c r="P198" s="572"/>
      <c r="Q198" s="572"/>
      <c r="R198" s="567"/>
      <c r="S198" s="568"/>
      <c r="T198" s="568"/>
      <c r="U198" s="568">
        <v>23618.589918981219</v>
      </c>
      <c r="V198" s="567"/>
      <c r="W198" s="568"/>
      <c r="X198" s="568"/>
      <c r="Y198" s="568">
        <v>39600.120806148028</v>
      </c>
      <c r="Z198" s="567"/>
      <c r="AA198" s="568"/>
      <c r="AB198" s="568"/>
      <c r="AC198" s="568">
        <v>23038.275843434341</v>
      </c>
      <c r="AD198" s="567"/>
      <c r="AE198" s="570"/>
      <c r="AG198" s="351" t="s">
        <v>761</v>
      </c>
      <c r="AH198" s="655">
        <v>0</v>
      </c>
      <c r="AI198" s="654">
        <f t="shared" si="46"/>
        <v>0</v>
      </c>
      <c r="AJ198" s="654">
        <f t="shared" si="47"/>
        <v>70855.769756943657</v>
      </c>
      <c r="AK198" s="654">
        <f t="shared" si="48"/>
        <v>156893.44227538776</v>
      </c>
      <c r="AL198" s="656">
        <f t="shared" si="49"/>
        <v>224821.09608346852</v>
      </c>
      <c r="AN198" s="663">
        <f>AO198</f>
        <v>1</v>
      </c>
      <c r="AO198" s="665">
        <f>('State DisAgg LFx10 (2014)'!H198+'State DisAgg LFx10 (2014)'!H221)/2</f>
        <v>1</v>
      </c>
      <c r="AP198" s="665">
        <f>('State DisAgg LFx10 (2014)'!L208+'State DisAgg LFx10 (2014)'!L231+('State DisAgg LFx10 (2014)'!L254/2))/3</f>
        <v>0.66666666666666663</v>
      </c>
      <c r="AQ198" s="665">
        <f>('State DisAgg LFx10 (2014)'!P208+'State DisAgg LFx10 (2014)'!P231+('State DisAgg LFx10 (2014)'!P254/2))/3</f>
        <v>1.0999999999999999</v>
      </c>
      <c r="AR198" s="666">
        <f>('State DisAgg LFx10 (2014)'!T208+'State DisAgg LFx10 (2014)'!T231+('State DisAgg LFx10 (2014)'!T254/2))/3</f>
        <v>2.1666666666666665</v>
      </c>
    </row>
    <row r="199" spans="1:44" ht="12.95" customHeight="1" thickBot="1">
      <c r="A199" s="885"/>
      <c r="B199" s="885"/>
      <c r="C199" s="250" t="s">
        <v>655</v>
      </c>
      <c r="D199" s="248"/>
      <c r="E199" s="249"/>
      <c r="F199" s="247"/>
      <c r="G199" s="248"/>
      <c r="H199" s="248"/>
      <c r="I199" s="249"/>
      <c r="J199" s="247"/>
      <c r="K199" s="248"/>
      <c r="L199" s="248"/>
      <c r="M199" s="249"/>
      <c r="N199" s="571"/>
      <c r="O199" s="572"/>
      <c r="P199" s="572"/>
      <c r="Q199" s="572"/>
      <c r="R199" s="567"/>
      <c r="S199" s="568"/>
      <c r="T199" s="568"/>
      <c r="U199" s="568">
        <v>23572.559633191748</v>
      </c>
      <c r="V199" s="567"/>
      <c r="W199" s="568"/>
      <c r="X199" s="568"/>
      <c r="Y199" s="568">
        <v>20926.760286765879</v>
      </c>
      <c r="Z199" s="567"/>
      <c r="AA199" s="568"/>
      <c r="AB199" s="568"/>
      <c r="AC199" s="568">
        <v>21626.966045454548</v>
      </c>
      <c r="AD199" s="567"/>
      <c r="AE199" s="570"/>
      <c r="AG199" s="351" t="s">
        <v>762</v>
      </c>
      <c r="AH199" s="655">
        <v>0</v>
      </c>
      <c r="AI199" s="654">
        <f t="shared" si="46"/>
        <v>0</v>
      </c>
      <c r="AJ199" s="654">
        <f t="shared" si="47"/>
        <v>70717.678899575243</v>
      </c>
      <c r="AK199" s="654">
        <f t="shared" si="48"/>
        <v>136107.38985987287</v>
      </c>
      <c r="AL199" s="656">
        <f t="shared" si="49"/>
        <v>205740.09412249914</v>
      </c>
      <c r="AN199" s="663">
        <f t="shared" ref="AN199:AP202" si="50">AO199</f>
        <v>1</v>
      </c>
      <c r="AO199" s="665">
        <f>('State DisAgg LFx10 (2014)'!H199+'State DisAgg LFx10 (2014)'!H222)/2</f>
        <v>1</v>
      </c>
      <c r="AP199" s="665">
        <f>('State DisAgg LFx10 (2014)'!L209+'State DisAgg LFx10 (2014)'!L232+('State DisAgg LFx10 (2014)'!L255/2))/3</f>
        <v>0.83333333333333337</v>
      </c>
      <c r="AQ199" s="665">
        <f>('State DisAgg LFx10 (2014)'!P209+'State DisAgg LFx10 (2014)'!P232+('State DisAgg LFx10 (2014)'!P255/2))/3</f>
        <v>0.66666666666666663</v>
      </c>
      <c r="AR199" s="666">
        <f>('State DisAgg LFx10 (2014)'!T209+'State DisAgg LFx10 (2014)'!T232+('State DisAgg LFx10 (2014)'!T255/2))/3</f>
        <v>2.1</v>
      </c>
    </row>
    <row r="200" spans="1:44" ht="12.95" customHeight="1" thickBot="1">
      <c r="A200" s="885"/>
      <c r="B200" s="885"/>
      <c r="C200" s="250" t="s">
        <v>656</v>
      </c>
      <c r="D200" s="248"/>
      <c r="E200" s="249"/>
      <c r="F200" s="247"/>
      <c r="G200" s="248"/>
      <c r="H200" s="248"/>
      <c r="I200" s="249"/>
      <c r="J200" s="247"/>
      <c r="K200" s="248"/>
      <c r="L200" s="248"/>
      <c r="M200" s="249"/>
      <c r="N200" s="571"/>
      <c r="O200" s="572"/>
      <c r="P200" s="572"/>
      <c r="Q200" s="572"/>
      <c r="R200" s="567"/>
      <c r="S200" s="568"/>
      <c r="T200" s="568"/>
      <c r="U200" s="568">
        <v>24458.881347753151</v>
      </c>
      <c r="V200" s="567"/>
      <c r="W200" s="568"/>
      <c r="X200" s="568"/>
      <c r="Y200" s="568">
        <v>23204.103372326521</v>
      </c>
      <c r="Z200" s="567"/>
      <c r="AA200" s="568"/>
      <c r="AB200" s="568"/>
      <c r="AC200" s="568">
        <v>17337.596146464646</v>
      </c>
      <c r="AD200" s="567"/>
      <c r="AE200" s="570"/>
      <c r="AG200" s="351" t="s">
        <v>763</v>
      </c>
      <c r="AH200" s="655">
        <v>0</v>
      </c>
      <c r="AI200" s="654">
        <f t="shared" si="46"/>
        <v>0</v>
      </c>
      <c r="AJ200" s="654">
        <f t="shared" si="47"/>
        <v>73376.644043259454</v>
      </c>
      <c r="AK200" s="654">
        <f t="shared" si="48"/>
        <v>137961.97117467836</v>
      </c>
      <c r="AL200" s="656">
        <f t="shared" si="49"/>
        <v>196359.76538679955</v>
      </c>
      <c r="AN200" s="663">
        <f t="shared" si="50"/>
        <v>1</v>
      </c>
      <c r="AO200" s="665">
        <f>('State DisAgg LFx10 (2014)'!H200+'State DisAgg LFx10 (2014)'!H223)/2</f>
        <v>1</v>
      </c>
      <c r="AP200" s="665">
        <f>('State DisAgg LFx10 (2014)'!L210+'State DisAgg LFx10 (2014)'!L233+('State DisAgg LFx10 (2014)'!L256/2))/3</f>
        <v>0.66666666666666663</v>
      </c>
      <c r="AQ200" s="665">
        <f>('State DisAgg LFx10 (2014)'!P210+'State DisAgg LFx10 (2014)'!P233+('State DisAgg LFx10 (2014)'!P256/2))/3</f>
        <v>1.6333333333333335</v>
      </c>
      <c r="AR200" s="666">
        <f>('State DisAgg LFx10 (2014)'!T210+'State DisAgg LFx10 (2014)'!T233+('State DisAgg LFx10 (2014)'!T256/2))/3</f>
        <v>3.0666666666666664</v>
      </c>
    </row>
    <row r="201" spans="1:44" ht="12.95" customHeight="1" thickBot="1">
      <c r="A201" s="885"/>
      <c r="B201" s="885"/>
      <c r="C201" s="250" t="s">
        <v>657</v>
      </c>
      <c r="D201" s="248"/>
      <c r="E201" s="249"/>
      <c r="F201" s="247"/>
      <c r="G201" s="248"/>
      <c r="H201" s="248"/>
      <c r="I201" s="249"/>
      <c r="J201" s="247"/>
      <c r="K201" s="248"/>
      <c r="L201" s="248"/>
      <c r="M201" s="249"/>
      <c r="N201" s="571"/>
      <c r="O201" s="572"/>
      <c r="P201" s="572"/>
      <c r="Q201" s="573"/>
      <c r="R201" s="571"/>
      <c r="S201" s="572"/>
      <c r="T201" s="572"/>
      <c r="U201" s="573"/>
      <c r="V201" s="571"/>
      <c r="W201" s="572"/>
      <c r="X201" s="572"/>
      <c r="Y201" s="573"/>
      <c r="Z201" s="567"/>
      <c r="AA201" s="568"/>
      <c r="AB201" s="568"/>
      <c r="AC201" s="568">
        <v>15053.349801010101</v>
      </c>
      <c r="AD201" s="567"/>
      <c r="AE201" s="570"/>
      <c r="AG201" s="351" t="s">
        <v>1098</v>
      </c>
      <c r="AH201" s="655">
        <v>0</v>
      </c>
      <c r="AI201" s="654">
        <f t="shared" si="46"/>
        <v>0</v>
      </c>
      <c r="AJ201" s="654">
        <f t="shared" si="47"/>
        <v>0</v>
      </c>
      <c r="AK201" s="654">
        <f t="shared" si="48"/>
        <v>0</v>
      </c>
      <c r="AL201" s="656">
        <f t="shared" si="49"/>
        <v>48678.380945454548</v>
      </c>
      <c r="AN201" s="663">
        <f t="shared" si="50"/>
        <v>1.0666666666666667</v>
      </c>
      <c r="AO201" s="665">
        <f t="shared" si="50"/>
        <v>1.0666666666666667</v>
      </c>
      <c r="AP201" s="665">
        <f t="shared" si="50"/>
        <v>1.0666666666666667</v>
      </c>
      <c r="AQ201" s="665">
        <f>AR201</f>
        <v>1.0666666666666667</v>
      </c>
      <c r="AR201" s="666">
        <f>('State DisAgg LFx10 (2014)'!T211+'State DisAgg LFx10 (2014)'!T234+('State DisAgg LFx10 (2014)'!T257/2))/3</f>
        <v>1.0666666666666667</v>
      </c>
    </row>
    <row r="202" spans="1:44" ht="12.95" customHeight="1" thickBot="1">
      <c r="A202" s="885"/>
      <c r="B202" s="885"/>
      <c r="C202" s="250" t="s">
        <v>658</v>
      </c>
      <c r="D202" s="248"/>
      <c r="E202" s="249"/>
      <c r="F202" s="247"/>
      <c r="G202" s="248"/>
      <c r="H202" s="248"/>
      <c r="I202" s="249"/>
      <c r="J202" s="247"/>
      <c r="K202" s="248"/>
      <c r="L202" s="248"/>
      <c r="M202" s="249"/>
      <c r="N202" s="571"/>
      <c r="O202" s="572"/>
      <c r="P202" s="572"/>
      <c r="Q202" s="573"/>
      <c r="R202" s="571"/>
      <c r="S202" s="572"/>
      <c r="T202" s="572"/>
      <c r="U202" s="573"/>
      <c r="V202" s="571"/>
      <c r="W202" s="572"/>
      <c r="X202" s="572"/>
      <c r="Y202" s="573"/>
      <c r="Z202" s="567"/>
      <c r="AA202" s="568"/>
      <c r="AB202" s="568"/>
      <c r="AC202" s="568">
        <v>17518.175691919194</v>
      </c>
      <c r="AD202" s="567"/>
      <c r="AE202" s="570"/>
      <c r="AG202" s="351" t="s">
        <v>1099</v>
      </c>
      <c r="AH202" s="657">
        <v>0</v>
      </c>
      <c r="AI202" s="658">
        <f t="shared" si="46"/>
        <v>0</v>
      </c>
      <c r="AJ202" s="658">
        <f t="shared" si="47"/>
        <v>0</v>
      </c>
      <c r="AK202" s="658">
        <f t="shared" si="48"/>
        <v>0</v>
      </c>
      <c r="AL202" s="659">
        <f t="shared" si="49"/>
        <v>52557.110474747475</v>
      </c>
      <c r="AN202" s="667">
        <f t="shared" si="50"/>
        <v>0.70000000000000007</v>
      </c>
      <c r="AO202" s="668">
        <f t="shared" si="50"/>
        <v>0.70000000000000007</v>
      </c>
      <c r="AP202" s="668">
        <f t="shared" si="50"/>
        <v>0.70000000000000007</v>
      </c>
      <c r="AQ202" s="668">
        <f>AR202</f>
        <v>0.70000000000000007</v>
      </c>
      <c r="AR202" s="669">
        <f>('State DisAgg LFx10 (2014)'!T212+'State DisAgg LFx10 (2014)'!T235+('State DisAgg LFx10 (2014)'!T258/2))/3</f>
        <v>0.70000000000000007</v>
      </c>
    </row>
    <row r="203" spans="1:44" ht="13.5" hidden="1" thickBot="1">
      <c r="A203" s="885"/>
      <c r="B203" s="885"/>
      <c r="C203" s="9" t="s">
        <v>295</v>
      </c>
      <c r="D203" s="241" t="s">
        <v>632</v>
      </c>
      <c r="E203" s="241" t="s">
        <v>632</v>
      </c>
      <c r="F203" s="243" t="s">
        <v>646</v>
      </c>
      <c r="G203" s="241" t="s">
        <v>646</v>
      </c>
      <c r="H203" s="241" t="s">
        <v>646</v>
      </c>
      <c r="I203" s="244" t="s">
        <v>646</v>
      </c>
      <c r="J203" s="195">
        <v>1</v>
      </c>
      <c r="K203" s="196"/>
      <c r="L203" s="196"/>
      <c r="M203" s="197"/>
      <c r="N203" s="314"/>
      <c r="O203" s="315">
        <v>2</v>
      </c>
      <c r="P203" s="315"/>
      <c r="Q203" s="316"/>
      <c r="R203" s="314"/>
      <c r="S203" s="315"/>
      <c r="T203" s="315"/>
      <c r="U203" s="316">
        <v>2</v>
      </c>
      <c r="V203" s="314"/>
      <c r="W203" s="315"/>
      <c r="X203" s="315"/>
      <c r="Y203" s="316">
        <v>3</v>
      </c>
      <c r="Z203" s="314"/>
      <c r="AA203" s="315"/>
      <c r="AB203" s="315"/>
      <c r="AC203" s="316">
        <v>0</v>
      </c>
      <c r="AD203" s="314"/>
      <c r="AE203" s="316"/>
    </row>
    <row r="204" spans="1:44" ht="13.5" hidden="1" thickBot="1">
      <c r="A204" s="885"/>
      <c r="B204" s="885"/>
      <c r="C204" s="9" t="s">
        <v>296</v>
      </c>
      <c r="D204" s="241" t="s">
        <v>632</v>
      </c>
      <c r="E204" s="241" t="s">
        <v>632</v>
      </c>
      <c r="F204" s="243" t="s">
        <v>646</v>
      </c>
      <c r="G204" s="241" t="s">
        <v>646</v>
      </c>
      <c r="H204" s="241" t="s">
        <v>646</v>
      </c>
      <c r="I204" s="244" t="s">
        <v>646</v>
      </c>
      <c r="J204" s="195">
        <v>1</v>
      </c>
      <c r="K204" s="196"/>
      <c r="L204" s="196"/>
      <c r="M204" s="197"/>
      <c r="N204" s="314"/>
      <c r="O204" s="315">
        <v>2</v>
      </c>
      <c r="P204" s="315"/>
      <c r="Q204" s="316"/>
      <c r="R204" s="314"/>
      <c r="S204" s="315"/>
      <c r="T204" s="315"/>
      <c r="U204" s="316">
        <v>2.7</v>
      </c>
      <c r="V204" s="314"/>
      <c r="W204" s="315"/>
      <c r="X204" s="315"/>
      <c r="Y204" s="316">
        <v>4.2</v>
      </c>
      <c r="Z204" s="314"/>
      <c r="AA204" s="315"/>
      <c r="AB204" s="315"/>
      <c r="AC204" s="316">
        <v>0</v>
      </c>
      <c r="AD204" s="314"/>
      <c r="AE204" s="316"/>
    </row>
    <row r="205" spans="1:44" ht="13.5" hidden="1" thickBot="1">
      <c r="A205" s="885"/>
      <c r="B205" s="885"/>
      <c r="C205" s="9" t="s">
        <v>297</v>
      </c>
      <c r="D205" s="241" t="s">
        <v>632</v>
      </c>
      <c r="E205" s="241" t="s">
        <v>632</v>
      </c>
      <c r="F205" s="243" t="s">
        <v>646</v>
      </c>
      <c r="G205" s="241" t="s">
        <v>646</v>
      </c>
      <c r="H205" s="241" t="s">
        <v>646</v>
      </c>
      <c r="I205" s="244" t="s">
        <v>646</v>
      </c>
      <c r="J205" s="195">
        <v>1</v>
      </c>
      <c r="K205" s="196"/>
      <c r="L205" s="196"/>
      <c r="M205" s="197"/>
      <c r="N205" s="314"/>
      <c r="O205" s="315">
        <v>1.4</v>
      </c>
      <c r="P205" s="315"/>
      <c r="Q205" s="316"/>
      <c r="R205" s="314"/>
      <c r="S205" s="315"/>
      <c r="T205" s="315"/>
      <c r="U205" s="316">
        <v>2.2999999999999998</v>
      </c>
      <c r="V205" s="314"/>
      <c r="W205" s="315"/>
      <c r="X205" s="315"/>
      <c r="Y205" s="316">
        <v>2.5</v>
      </c>
      <c r="Z205" s="314"/>
      <c r="AA205" s="315"/>
      <c r="AB205" s="315"/>
      <c r="AC205" s="316">
        <v>0</v>
      </c>
      <c r="AD205" s="314"/>
      <c r="AE205" s="316"/>
    </row>
    <row r="206" spans="1:44" ht="13.5" hidden="1" thickBot="1">
      <c r="A206" s="885"/>
      <c r="B206" s="885"/>
      <c r="C206" s="9" t="s">
        <v>298</v>
      </c>
      <c r="D206" s="241" t="s">
        <v>632</v>
      </c>
      <c r="E206" s="241" t="s">
        <v>632</v>
      </c>
      <c r="F206" s="243" t="s">
        <v>646</v>
      </c>
      <c r="G206" s="241" t="s">
        <v>646</v>
      </c>
      <c r="H206" s="241" t="s">
        <v>646</v>
      </c>
      <c r="I206" s="244" t="s">
        <v>646</v>
      </c>
      <c r="J206" s="195">
        <v>1</v>
      </c>
      <c r="K206" s="196"/>
      <c r="L206" s="196"/>
      <c r="M206" s="197"/>
      <c r="N206" s="314"/>
      <c r="O206" s="315">
        <v>2</v>
      </c>
      <c r="P206" s="315"/>
      <c r="Q206" s="316"/>
      <c r="R206" s="314"/>
      <c r="S206" s="315"/>
      <c r="T206" s="315"/>
      <c r="U206" s="316">
        <v>2.5</v>
      </c>
      <c r="V206" s="314"/>
      <c r="W206" s="315"/>
      <c r="X206" s="315"/>
      <c r="Y206" s="316">
        <v>3.5</v>
      </c>
      <c r="Z206" s="314"/>
      <c r="AA206" s="315"/>
      <c r="AB206" s="315"/>
      <c r="AC206" s="316">
        <v>0</v>
      </c>
      <c r="AD206" s="314"/>
      <c r="AE206" s="316"/>
    </row>
    <row r="207" spans="1:44" ht="13.5" hidden="1" thickBot="1">
      <c r="A207" s="885"/>
      <c r="B207" s="885"/>
      <c r="C207" s="9" t="s">
        <v>299</v>
      </c>
      <c r="D207" s="241" t="s">
        <v>632</v>
      </c>
      <c r="E207" s="241" t="s">
        <v>632</v>
      </c>
      <c r="F207" s="243" t="s">
        <v>646</v>
      </c>
      <c r="G207" s="241" t="s">
        <v>646</v>
      </c>
      <c r="H207" s="241" t="s">
        <v>646</v>
      </c>
      <c r="I207" s="244" t="s">
        <v>646</v>
      </c>
      <c r="J207" s="195">
        <v>1</v>
      </c>
      <c r="K207" s="196"/>
      <c r="L207" s="196"/>
      <c r="M207" s="197"/>
      <c r="N207" s="314"/>
      <c r="O207" s="315">
        <v>3</v>
      </c>
      <c r="P207" s="315"/>
      <c r="Q207" s="316"/>
      <c r="R207" s="314"/>
      <c r="S207" s="315"/>
      <c r="T207" s="315"/>
      <c r="U207" s="316">
        <v>3.1</v>
      </c>
      <c r="V207" s="314"/>
      <c r="W207" s="315"/>
      <c r="X207" s="315"/>
      <c r="Y207" s="316">
        <v>4</v>
      </c>
      <c r="Z207" s="314"/>
      <c r="AA207" s="315"/>
      <c r="AB207" s="315"/>
      <c r="AC207" s="316">
        <v>0</v>
      </c>
      <c r="AD207" s="314"/>
      <c r="AE207" s="316"/>
    </row>
    <row r="208" spans="1:44" ht="24.75" hidden="1" thickBot="1">
      <c r="A208" s="885"/>
      <c r="B208" s="885"/>
      <c r="C208" s="9" t="s">
        <v>300</v>
      </c>
      <c r="D208" s="199"/>
      <c r="E208" s="200"/>
      <c r="F208" s="201"/>
      <c r="G208" s="199"/>
      <c r="H208" s="199"/>
      <c r="I208" s="200"/>
      <c r="J208" s="201"/>
      <c r="K208" s="199"/>
      <c r="L208" s="199"/>
      <c r="M208" s="200"/>
      <c r="N208" s="318"/>
      <c r="O208" s="319" t="s">
        <v>634</v>
      </c>
      <c r="P208" s="312" t="s">
        <v>632</v>
      </c>
      <c r="Q208" s="313" t="s">
        <v>646</v>
      </c>
      <c r="R208" s="314">
        <v>1</v>
      </c>
      <c r="S208" s="315"/>
      <c r="T208" s="315"/>
      <c r="U208" s="316">
        <v>1</v>
      </c>
      <c r="V208" s="314"/>
      <c r="W208" s="315"/>
      <c r="X208" s="315"/>
      <c r="Y208" s="316">
        <v>1.2</v>
      </c>
      <c r="Z208" s="314"/>
      <c r="AA208" s="315"/>
      <c r="AB208" s="315"/>
      <c r="AC208" s="316">
        <v>0</v>
      </c>
      <c r="AD208" s="314"/>
      <c r="AE208" s="316"/>
    </row>
    <row r="209" spans="1:44" ht="13.5" hidden="1" thickBot="1">
      <c r="A209" s="885"/>
      <c r="B209" s="885"/>
      <c r="C209" s="9" t="s">
        <v>301</v>
      </c>
      <c r="D209" s="199"/>
      <c r="E209" s="200"/>
      <c r="F209" s="201"/>
      <c r="G209" s="199"/>
      <c r="H209" s="199"/>
      <c r="I209" s="200"/>
      <c r="J209" s="201"/>
      <c r="K209" s="199"/>
      <c r="L209" s="199"/>
      <c r="M209" s="200"/>
      <c r="N209" s="318"/>
      <c r="O209" s="319" t="s">
        <v>634</v>
      </c>
      <c r="P209" s="312" t="s">
        <v>632</v>
      </c>
      <c r="Q209" s="313" t="s">
        <v>646</v>
      </c>
      <c r="R209" s="314">
        <v>1</v>
      </c>
      <c r="S209" s="315"/>
      <c r="T209" s="315"/>
      <c r="U209" s="316">
        <v>1.5</v>
      </c>
      <c r="V209" s="314"/>
      <c r="W209" s="315"/>
      <c r="X209" s="315"/>
      <c r="Y209" s="316">
        <v>2.5</v>
      </c>
      <c r="Z209" s="314"/>
      <c r="AA209" s="315"/>
      <c r="AB209" s="315"/>
      <c r="AC209" s="316">
        <v>0</v>
      </c>
      <c r="AD209" s="314"/>
      <c r="AE209" s="316"/>
    </row>
    <row r="210" spans="1:44" ht="13.5" hidden="1" thickBot="1">
      <c r="A210" s="885"/>
      <c r="B210" s="885"/>
      <c r="C210" s="9" t="s">
        <v>302</v>
      </c>
      <c r="D210" s="199"/>
      <c r="E210" s="200"/>
      <c r="F210" s="201"/>
      <c r="G210" s="199"/>
      <c r="H210" s="199"/>
      <c r="I210" s="200"/>
      <c r="J210" s="201"/>
      <c r="K210" s="199"/>
      <c r="L210" s="199"/>
      <c r="M210" s="200"/>
      <c r="N210" s="318"/>
      <c r="O210" s="319" t="s">
        <v>634</v>
      </c>
      <c r="P210" s="312" t="s">
        <v>632</v>
      </c>
      <c r="Q210" s="313" t="s">
        <v>646</v>
      </c>
      <c r="R210" s="314">
        <v>1</v>
      </c>
      <c r="S210" s="315"/>
      <c r="T210" s="315"/>
      <c r="U210" s="316">
        <v>1</v>
      </c>
      <c r="V210" s="314"/>
      <c r="W210" s="315"/>
      <c r="X210" s="315"/>
      <c r="Y210" s="316">
        <v>1.8</v>
      </c>
      <c r="Z210" s="314"/>
      <c r="AA210" s="315"/>
      <c r="AB210" s="315"/>
      <c r="AC210" s="316">
        <v>0</v>
      </c>
      <c r="AD210" s="314"/>
      <c r="AE210" s="316"/>
    </row>
    <row r="211" spans="1:44" ht="24.75" hidden="1" thickBot="1">
      <c r="A211" s="885"/>
      <c r="B211" s="885"/>
      <c r="C211" s="9" t="s">
        <v>303</v>
      </c>
      <c r="D211" s="202"/>
      <c r="E211" s="203"/>
      <c r="F211" s="201"/>
      <c r="G211" s="202"/>
      <c r="H211" s="202"/>
      <c r="I211" s="203"/>
      <c r="J211" s="201"/>
      <c r="K211" s="202"/>
      <c r="L211" s="202"/>
      <c r="M211" s="203"/>
      <c r="N211" s="322"/>
      <c r="O211" s="323"/>
      <c r="P211" s="324"/>
      <c r="Q211" s="324"/>
      <c r="R211" s="317"/>
      <c r="S211" s="320"/>
      <c r="T211" s="320"/>
      <c r="U211" s="321"/>
      <c r="V211" s="325"/>
      <c r="W211" s="319" t="s">
        <v>633</v>
      </c>
      <c r="X211" s="312" t="s">
        <v>632</v>
      </c>
      <c r="Y211" s="316">
        <v>0</v>
      </c>
      <c r="Z211" s="314"/>
      <c r="AA211" s="315"/>
      <c r="AB211" s="315"/>
      <c r="AC211" s="316">
        <v>0</v>
      </c>
      <c r="AD211" s="314"/>
      <c r="AE211" s="316"/>
    </row>
    <row r="212" spans="1:44" ht="13.5" hidden="1" thickBot="1">
      <c r="A212" s="885"/>
      <c r="B212" s="885"/>
      <c r="C212" s="9" t="s">
        <v>304</v>
      </c>
      <c r="D212" s="202"/>
      <c r="E212" s="203"/>
      <c r="F212" s="201"/>
      <c r="G212" s="202"/>
      <c r="H212" s="202"/>
      <c r="I212" s="203"/>
      <c r="J212" s="201"/>
      <c r="K212" s="202"/>
      <c r="L212" s="202"/>
      <c r="M212" s="203"/>
      <c r="N212" s="322"/>
      <c r="O212" s="324"/>
      <c r="P212" s="324"/>
      <c r="Q212" s="324"/>
      <c r="R212" s="317"/>
      <c r="S212" s="320"/>
      <c r="T212" s="320"/>
      <c r="U212" s="321"/>
      <c r="V212" s="325"/>
      <c r="W212" s="319" t="s">
        <v>633</v>
      </c>
      <c r="X212" s="312" t="s">
        <v>632</v>
      </c>
      <c r="Y212" s="316">
        <v>0</v>
      </c>
      <c r="Z212" s="314"/>
      <c r="AA212" s="315"/>
      <c r="AB212" s="315"/>
      <c r="AC212" s="316">
        <v>0</v>
      </c>
      <c r="AD212" s="314"/>
      <c r="AE212" s="316"/>
    </row>
    <row r="213" spans="1:44" ht="12.95" hidden="1" customHeight="1" thickBot="1">
      <c r="A213" s="885"/>
      <c r="B213" s="298"/>
      <c r="C213" s="231"/>
      <c r="D213" s="232"/>
      <c r="E213" s="233"/>
      <c r="F213" s="234"/>
      <c r="G213" s="232"/>
      <c r="H213" s="232"/>
      <c r="I213" s="233"/>
      <c r="J213" s="234"/>
      <c r="K213" s="232"/>
      <c r="L213" s="232"/>
      <c r="M213" s="233"/>
      <c r="N213" s="328"/>
      <c r="O213" s="326"/>
      <c r="P213" s="326"/>
      <c r="Q213" s="327"/>
      <c r="R213" s="328"/>
      <c r="S213" s="326"/>
      <c r="T213" s="326"/>
      <c r="U213" s="327"/>
      <c r="V213" s="328"/>
      <c r="W213" s="326"/>
      <c r="X213" s="326"/>
      <c r="Y213" s="327"/>
      <c r="Z213" s="328"/>
      <c r="AA213" s="326"/>
      <c r="AB213" s="326"/>
      <c r="AC213" s="327"/>
      <c r="AD213" s="328"/>
      <c r="AE213" s="327"/>
    </row>
    <row r="214" spans="1:44" ht="12.95" hidden="1" customHeight="1" thickBot="1">
      <c r="A214" s="885"/>
      <c r="B214" s="298"/>
      <c r="C214" s="231"/>
      <c r="D214" s="232"/>
      <c r="E214" s="233"/>
      <c r="F214" s="234"/>
      <c r="G214" s="232"/>
      <c r="H214" s="232"/>
      <c r="I214" s="233"/>
      <c r="J214" s="234"/>
      <c r="K214" s="232"/>
      <c r="L214" s="232"/>
      <c r="M214" s="233"/>
      <c r="N214" s="328"/>
      <c r="O214" s="326"/>
      <c r="P214" s="326"/>
      <c r="Q214" s="327"/>
      <c r="R214" s="328"/>
      <c r="S214" s="326"/>
      <c r="T214" s="326"/>
      <c r="U214" s="327"/>
      <c r="V214" s="328"/>
      <c r="W214" s="326"/>
      <c r="X214" s="326"/>
      <c r="Y214" s="327"/>
      <c r="Z214" s="328"/>
      <c r="AA214" s="326"/>
      <c r="AB214" s="326"/>
      <c r="AC214" s="327"/>
      <c r="AD214" s="328"/>
      <c r="AE214" s="327"/>
    </row>
    <row r="215" spans="1:44" ht="12.95" customHeight="1" thickBot="1">
      <c r="A215" s="885"/>
      <c r="B215" s="3" t="s">
        <v>17</v>
      </c>
      <c r="C215" s="12"/>
      <c r="D215" s="1377">
        <v>2008</v>
      </c>
      <c r="E215" s="1378"/>
      <c r="F215" s="1372">
        <v>2009</v>
      </c>
      <c r="G215" s="1373"/>
      <c r="H215" s="1373"/>
      <c r="I215" s="1374"/>
      <c r="J215" s="1372">
        <v>2010</v>
      </c>
      <c r="K215" s="1373"/>
      <c r="L215" s="1373"/>
      <c r="M215" s="1374"/>
      <c r="N215" s="1372">
        <v>2011</v>
      </c>
      <c r="O215" s="1373"/>
      <c r="P215" s="1373"/>
      <c r="Q215" s="1374"/>
      <c r="R215" s="1372">
        <v>2012</v>
      </c>
      <c r="S215" s="1373"/>
      <c r="T215" s="1373"/>
      <c r="U215" s="1374"/>
      <c r="V215" s="1372">
        <v>2013</v>
      </c>
      <c r="W215" s="1373"/>
      <c r="X215" s="1373"/>
      <c r="Y215" s="1374"/>
      <c r="Z215" s="1372">
        <v>2014</v>
      </c>
      <c r="AA215" s="1373"/>
      <c r="AB215" s="1373"/>
      <c r="AC215" s="1374"/>
      <c r="AD215" s="1372">
        <v>2015</v>
      </c>
      <c r="AE215" s="1374"/>
    </row>
    <row r="216" spans="1:44" ht="13.5" thickBot="1">
      <c r="A216" s="885"/>
      <c r="B216" s="868" t="s">
        <v>59</v>
      </c>
      <c r="C216" s="250" t="s">
        <v>649</v>
      </c>
      <c r="D216" s="245"/>
      <c r="E216" s="246"/>
      <c r="F216" s="247"/>
      <c r="G216" s="245"/>
      <c r="H216" s="245"/>
      <c r="I216" s="246"/>
      <c r="J216" s="247"/>
      <c r="K216" s="245"/>
      <c r="L216" s="245"/>
      <c r="M216" s="246"/>
      <c r="N216" s="567"/>
      <c r="O216" s="568">
        <v>99350.950715859828</v>
      </c>
      <c r="P216" s="568"/>
      <c r="Q216" s="569"/>
      <c r="R216" s="567"/>
      <c r="S216" s="568"/>
      <c r="T216" s="568"/>
      <c r="U216" s="568">
        <v>38026.972673405849</v>
      </c>
      <c r="V216" s="567"/>
      <c r="W216" s="568"/>
      <c r="X216" s="568"/>
      <c r="Y216" s="568">
        <v>28864.67964166134</v>
      </c>
      <c r="Z216" s="567"/>
      <c r="AA216" s="568"/>
      <c r="AB216" s="568"/>
      <c r="AC216" s="568">
        <v>19697.064651515153</v>
      </c>
      <c r="AD216" s="567"/>
      <c r="AE216" s="570"/>
      <c r="AG216" s="351" t="s">
        <v>1124</v>
      </c>
      <c r="AH216" s="748">
        <f>SUM(AH193:AH197)/5</f>
        <v>0</v>
      </c>
      <c r="AI216" s="748">
        <f t="shared" ref="AI216:AR216" si="51">SUM(AI193:AI197)/5</f>
        <v>277906.06802210584</v>
      </c>
      <c r="AJ216" s="748">
        <f t="shared" si="51"/>
        <v>405100.7805226465</v>
      </c>
      <c r="AK216" s="748">
        <f t="shared" si="51"/>
        <v>509578.51674411574</v>
      </c>
      <c r="AL216" s="748">
        <f t="shared" si="51"/>
        <v>594968.72990249959</v>
      </c>
      <c r="AN216" s="749">
        <f t="shared" si="51"/>
        <v>1.05</v>
      </c>
      <c r="AO216" s="749">
        <f t="shared" si="51"/>
        <v>1.78</v>
      </c>
      <c r="AP216" s="749">
        <f t="shared" si="51"/>
        <v>2.1533333333333333</v>
      </c>
      <c r="AQ216" s="749">
        <f t="shared" si="51"/>
        <v>3.34</v>
      </c>
      <c r="AR216" s="749">
        <f t="shared" si="51"/>
        <v>4.2819999999999991</v>
      </c>
    </row>
    <row r="217" spans="1:44" ht="13.5" thickBot="1">
      <c r="A217" s="885"/>
      <c r="B217" s="885"/>
      <c r="C217" s="250" t="s">
        <v>650</v>
      </c>
      <c r="D217" s="245"/>
      <c r="E217" s="246"/>
      <c r="F217" s="247"/>
      <c r="G217" s="245"/>
      <c r="H217" s="245"/>
      <c r="I217" s="246"/>
      <c r="J217" s="247"/>
      <c r="K217" s="245"/>
      <c r="L217" s="245"/>
      <c r="M217" s="246"/>
      <c r="N217" s="567"/>
      <c r="O217" s="568">
        <v>88721.731236795502</v>
      </c>
      <c r="P217" s="568"/>
      <c r="Q217" s="569"/>
      <c r="R217" s="567"/>
      <c r="S217" s="568"/>
      <c r="T217" s="568"/>
      <c r="U217" s="568">
        <v>36924.398871242112</v>
      </c>
      <c r="V217" s="567"/>
      <c r="W217" s="568"/>
      <c r="X217" s="568"/>
      <c r="Y217" s="568">
        <v>31251.358326398178</v>
      </c>
      <c r="Z217" s="567"/>
      <c r="AA217" s="568"/>
      <c r="AB217" s="568"/>
      <c r="AC217" s="568">
        <v>20660.106310101011</v>
      </c>
      <c r="AD217" s="567"/>
      <c r="AE217" s="570"/>
      <c r="AG217" s="351" t="s">
        <v>1125</v>
      </c>
      <c r="AH217" s="748">
        <f>SUM(AH198:AH200)/3</f>
        <v>0</v>
      </c>
      <c r="AI217" s="748">
        <f t="shared" ref="AI217:AR217" si="52">SUM(AI198:AI200)/3</f>
        <v>0</v>
      </c>
      <c r="AJ217" s="748">
        <f t="shared" si="52"/>
        <v>71650.030899926103</v>
      </c>
      <c r="AK217" s="748">
        <f t="shared" si="52"/>
        <v>143654.26776997966</v>
      </c>
      <c r="AL217" s="748">
        <f t="shared" si="52"/>
        <v>208973.65186425575</v>
      </c>
      <c r="AN217" s="749">
        <f t="shared" si="52"/>
        <v>1</v>
      </c>
      <c r="AO217" s="749">
        <f t="shared" si="52"/>
        <v>1</v>
      </c>
      <c r="AP217" s="749">
        <f t="shared" si="52"/>
        <v>0.72222222222222221</v>
      </c>
      <c r="AQ217" s="749">
        <f t="shared" si="52"/>
        <v>1.1333333333333335</v>
      </c>
      <c r="AR217" s="749">
        <f t="shared" si="52"/>
        <v>2.4444444444444442</v>
      </c>
    </row>
    <row r="218" spans="1:44" ht="13.5" thickBot="1">
      <c r="A218" s="885"/>
      <c r="B218" s="885"/>
      <c r="C218" s="250" t="s">
        <v>651</v>
      </c>
      <c r="D218" s="245"/>
      <c r="E218" s="246"/>
      <c r="F218" s="247"/>
      <c r="G218" s="245"/>
      <c r="H218" s="245"/>
      <c r="I218" s="246"/>
      <c r="J218" s="247"/>
      <c r="K218" s="245"/>
      <c r="L218" s="245"/>
      <c r="M218" s="246"/>
      <c r="N218" s="567"/>
      <c r="O218" s="568">
        <v>90317.991782292578</v>
      </c>
      <c r="P218" s="568"/>
      <c r="Q218" s="569"/>
      <c r="R218" s="567"/>
      <c r="S218" s="568"/>
      <c r="T218" s="568"/>
      <c r="U218" s="568">
        <v>36624.468022002344</v>
      </c>
      <c r="V218" s="567"/>
      <c r="W218" s="568"/>
      <c r="X218" s="568"/>
      <c r="Y218" s="568">
        <v>33037.430608846698</v>
      </c>
      <c r="Z218" s="567"/>
      <c r="AA218" s="568"/>
      <c r="AB218" s="568"/>
      <c r="AC218" s="568">
        <v>17778.050085858587</v>
      </c>
      <c r="AD218" s="567"/>
      <c r="AE218" s="570"/>
    </row>
    <row r="219" spans="1:44" ht="13.5" thickBot="1">
      <c r="A219" s="885"/>
      <c r="B219" s="885"/>
      <c r="C219" s="250" t="s">
        <v>652</v>
      </c>
      <c r="D219" s="245"/>
      <c r="E219" s="246"/>
      <c r="F219" s="247"/>
      <c r="G219" s="245"/>
      <c r="H219" s="245"/>
      <c r="I219" s="246"/>
      <c r="J219" s="247"/>
      <c r="K219" s="245"/>
      <c r="L219" s="245"/>
      <c r="M219" s="246"/>
      <c r="N219" s="567"/>
      <c r="O219" s="568">
        <v>85362.777804748737</v>
      </c>
      <c r="P219" s="568"/>
      <c r="Q219" s="569"/>
      <c r="R219" s="567"/>
      <c r="S219" s="568"/>
      <c r="T219" s="568"/>
      <c r="U219" s="568">
        <v>33062.404901183632</v>
      </c>
      <c r="V219" s="567"/>
      <c r="W219" s="568"/>
      <c r="X219" s="568"/>
      <c r="Y219" s="568">
        <v>28834.019546009171</v>
      </c>
      <c r="Z219" s="567"/>
      <c r="AA219" s="568"/>
      <c r="AB219" s="568"/>
      <c r="AC219" s="568">
        <v>20620.242308080808</v>
      </c>
      <c r="AD219" s="567"/>
      <c r="AE219" s="570"/>
    </row>
    <row r="220" spans="1:44" ht="13.5" thickBot="1">
      <c r="A220" s="885"/>
      <c r="B220" s="885"/>
      <c r="C220" s="250" t="s">
        <v>653</v>
      </c>
      <c r="D220" s="245"/>
      <c r="E220" s="246"/>
      <c r="F220" s="247"/>
      <c r="G220" s="245"/>
      <c r="H220" s="245"/>
      <c r="I220" s="246"/>
      <c r="J220" s="247"/>
      <c r="K220" s="245"/>
      <c r="L220" s="245"/>
      <c r="M220" s="246"/>
      <c r="N220" s="567"/>
      <c r="O220" s="568">
        <v>99423.328497146373</v>
      </c>
      <c r="P220" s="568"/>
      <c r="Q220" s="569"/>
      <c r="R220" s="567"/>
      <c r="S220" s="568"/>
      <c r="T220" s="568"/>
      <c r="U220" s="568">
        <v>69116.507500014035</v>
      </c>
      <c r="V220" s="567"/>
      <c r="W220" s="568"/>
      <c r="X220" s="568"/>
      <c r="Y220" s="568">
        <v>44773.110079533188</v>
      </c>
      <c r="Z220" s="567"/>
      <c r="AA220" s="568"/>
      <c r="AB220" s="568"/>
      <c r="AC220" s="568">
        <v>38669.742560606057</v>
      </c>
      <c r="AD220" s="567"/>
      <c r="AE220" s="570"/>
    </row>
    <row r="221" spans="1:44" ht="12.95" customHeight="1" thickBot="1">
      <c r="A221" s="885"/>
      <c r="B221" s="885"/>
      <c r="C221" s="250" t="s">
        <v>654</v>
      </c>
      <c r="D221" s="248"/>
      <c r="E221" s="249"/>
      <c r="F221" s="247"/>
      <c r="G221" s="248"/>
      <c r="H221" s="248"/>
      <c r="I221" s="249"/>
      <c r="J221" s="247"/>
      <c r="K221" s="248"/>
      <c r="L221" s="248"/>
      <c r="M221" s="249"/>
      <c r="N221" s="571"/>
      <c r="O221" s="572"/>
      <c r="P221" s="572"/>
      <c r="Q221" s="572"/>
      <c r="R221" s="567"/>
      <c r="S221" s="568"/>
      <c r="T221" s="568"/>
      <c r="U221" s="568">
        <v>23618.589918981219</v>
      </c>
      <c r="V221" s="567"/>
      <c r="W221" s="568"/>
      <c r="X221" s="568"/>
      <c r="Y221" s="568">
        <v>25701.40085614803</v>
      </c>
      <c r="Z221" s="567"/>
      <c r="AA221" s="568"/>
      <c r="AB221" s="568"/>
      <c r="AC221" s="568">
        <v>22013.685843434341</v>
      </c>
      <c r="AD221" s="567"/>
      <c r="AE221" s="570"/>
    </row>
    <row r="222" spans="1:44" ht="12.95" customHeight="1" thickBot="1">
      <c r="A222" s="885"/>
      <c r="B222" s="885"/>
      <c r="C222" s="250" t="s">
        <v>655</v>
      </c>
      <c r="D222" s="248"/>
      <c r="E222" s="249"/>
      <c r="F222" s="247"/>
      <c r="G222" s="248"/>
      <c r="H222" s="248"/>
      <c r="I222" s="249"/>
      <c r="J222" s="247"/>
      <c r="K222" s="248"/>
      <c r="L222" s="248"/>
      <c r="M222" s="249"/>
      <c r="N222" s="571"/>
      <c r="O222" s="572"/>
      <c r="P222" s="572"/>
      <c r="Q222" s="572"/>
      <c r="R222" s="567"/>
      <c r="S222" s="568"/>
      <c r="T222" s="568"/>
      <c r="U222" s="568">
        <v>23572.559633191748</v>
      </c>
      <c r="V222" s="567"/>
      <c r="W222" s="568"/>
      <c r="X222" s="568"/>
      <c r="Y222" s="568">
        <v>23709.31033676588</v>
      </c>
      <c r="Z222" s="567"/>
      <c r="AA222" s="568"/>
      <c r="AB222" s="568"/>
      <c r="AC222" s="568">
        <v>23407.206045454546</v>
      </c>
      <c r="AD222" s="567"/>
      <c r="AE222" s="570"/>
    </row>
    <row r="223" spans="1:44" ht="12.95" customHeight="1" thickBot="1">
      <c r="A223" s="885"/>
      <c r="B223" s="885"/>
      <c r="C223" s="250" t="s">
        <v>656</v>
      </c>
      <c r="D223" s="248"/>
      <c r="E223" s="249"/>
      <c r="F223" s="247"/>
      <c r="G223" s="248"/>
      <c r="H223" s="248"/>
      <c r="I223" s="249"/>
      <c r="J223" s="247"/>
      <c r="K223" s="248"/>
      <c r="L223" s="248"/>
      <c r="M223" s="249"/>
      <c r="N223" s="571"/>
      <c r="O223" s="572"/>
      <c r="P223" s="572"/>
      <c r="Q223" s="572"/>
      <c r="R223" s="567"/>
      <c r="S223" s="568"/>
      <c r="T223" s="568"/>
      <c r="U223" s="568">
        <v>24458.881347753151</v>
      </c>
      <c r="V223" s="567"/>
      <c r="W223" s="568"/>
      <c r="X223" s="568"/>
      <c r="Y223" s="568">
        <v>20627.583422326519</v>
      </c>
      <c r="Z223" s="567"/>
      <c r="AA223" s="568"/>
      <c r="AB223" s="568"/>
      <c r="AC223" s="568">
        <v>14830.096146464646</v>
      </c>
      <c r="AD223" s="567"/>
      <c r="AE223" s="570"/>
    </row>
    <row r="224" spans="1:44" ht="12.95" customHeight="1" thickBot="1">
      <c r="A224" s="885"/>
      <c r="B224" s="885"/>
      <c r="C224" s="250" t="s">
        <v>657</v>
      </c>
      <c r="D224" s="248"/>
      <c r="E224" s="249"/>
      <c r="F224" s="247"/>
      <c r="G224" s="248"/>
      <c r="H224" s="248"/>
      <c r="I224" s="249"/>
      <c r="J224" s="247"/>
      <c r="K224" s="248"/>
      <c r="L224" s="248"/>
      <c r="M224" s="249"/>
      <c r="N224" s="571"/>
      <c r="O224" s="572"/>
      <c r="P224" s="572"/>
      <c r="Q224" s="573"/>
      <c r="R224" s="571"/>
      <c r="S224" s="572"/>
      <c r="T224" s="572"/>
      <c r="U224" s="573"/>
      <c r="V224" s="571"/>
      <c r="W224" s="572"/>
      <c r="X224" s="572"/>
      <c r="Y224" s="573"/>
      <c r="Z224" s="567"/>
      <c r="AA224" s="568"/>
      <c r="AB224" s="568"/>
      <c r="AC224" s="568">
        <v>14611.349801010103</v>
      </c>
      <c r="AD224" s="567"/>
      <c r="AE224" s="570"/>
    </row>
    <row r="225" spans="1:31" ht="12.95" customHeight="1" thickBot="1">
      <c r="A225" s="885"/>
      <c r="B225" s="885"/>
      <c r="C225" s="250" t="s">
        <v>658</v>
      </c>
      <c r="D225" s="248"/>
      <c r="E225" s="249"/>
      <c r="F225" s="247"/>
      <c r="G225" s="248"/>
      <c r="H225" s="248"/>
      <c r="I225" s="249"/>
      <c r="J225" s="247"/>
      <c r="K225" s="248"/>
      <c r="L225" s="248"/>
      <c r="M225" s="249"/>
      <c r="N225" s="571"/>
      <c r="O225" s="572"/>
      <c r="P225" s="572"/>
      <c r="Q225" s="573"/>
      <c r="R225" s="571"/>
      <c r="S225" s="572"/>
      <c r="T225" s="572"/>
      <c r="U225" s="573"/>
      <c r="V225" s="571"/>
      <c r="W225" s="572"/>
      <c r="X225" s="572"/>
      <c r="Y225" s="573"/>
      <c r="Z225" s="567"/>
      <c r="AA225" s="568"/>
      <c r="AB225" s="568"/>
      <c r="AC225" s="568">
        <v>14565.045691919189</v>
      </c>
      <c r="AD225" s="567"/>
      <c r="AE225" s="570"/>
    </row>
    <row r="226" spans="1:31" ht="13.5" hidden="1" thickBot="1">
      <c r="A226" s="885"/>
      <c r="B226" s="885"/>
      <c r="C226" s="9" t="s">
        <v>295</v>
      </c>
      <c r="D226" s="241" t="s">
        <v>632</v>
      </c>
      <c r="E226" s="241" t="s">
        <v>632</v>
      </c>
      <c r="F226" s="243" t="s">
        <v>646</v>
      </c>
      <c r="G226" s="241" t="s">
        <v>646</v>
      </c>
      <c r="H226" s="241" t="s">
        <v>646</v>
      </c>
      <c r="I226" s="244" t="s">
        <v>646</v>
      </c>
      <c r="J226" s="195">
        <v>1.5</v>
      </c>
      <c r="K226" s="196"/>
      <c r="L226" s="196"/>
      <c r="M226" s="197"/>
      <c r="N226" s="314"/>
      <c r="O226" s="315">
        <v>0</v>
      </c>
      <c r="P226" s="315"/>
      <c r="Q226" s="316"/>
      <c r="R226" s="314"/>
      <c r="S226" s="315"/>
      <c r="T226" s="315"/>
      <c r="U226" s="316">
        <v>2.2999999999999998</v>
      </c>
      <c r="V226" s="314"/>
      <c r="W226" s="315"/>
      <c r="X226" s="315"/>
      <c r="Y226" s="316">
        <v>3.1</v>
      </c>
      <c r="Z226" s="314"/>
      <c r="AA226" s="315"/>
      <c r="AB226" s="315"/>
      <c r="AC226" s="316">
        <v>0</v>
      </c>
      <c r="AD226" s="314"/>
      <c r="AE226" s="316"/>
    </row>
    <row r="227" spans="1:31" ht="13.5" hidden="1" thickBot="1">
      <c r="A227" s="885"/>
      <c r="B227" s="885"/>
      <c r="C227" s="9" t="s">
        <v>296</v>
      </c>
      <c r="D227" s="241" t="s">
        <v>632</v>
      </c>
      <c r="E227" s="241" t="s">
        <v>632</v>
      </c>
      <c r="F227" s="243" t="s">
        <v>646</v>
      </c>
      <c r="G227" s="241" t="s">
        <v>646</v>
      </c>
      <c r="H227" s="241" t="s">
        <v>646</v>
      </c>
      <c r="I227" s="244" t="s">
        <v>646</v>
      </c>
      <c r="J227" s="195">
        <v>1</v>
      </c>
      <c r="K227" s="196"/>
      <c r="L227" s="196"/>
      <c r="M227" s="197"/>
      <c r="N227" s="314"/>
      <c r="O227" s="315">
        <v>3</v>
      </c>
      <c r="P227" s="315"/>
      <c r="Q227" s="316"/>
      <c r="R227" s="314"/>
      <c r="S227" s="315"/>
      <c r="T227" s="315"/>
      <c r="U227" s="316">
        <v>2.7</v>
      </c>
      <c r="V227" s="314"/>
      <c r="W227" s="315"/>
      <c r="X227" s="315"/>
      <c r="Y227" s="316">
        <v>4.3</v>
      </c>
      <c r="Z227" s="314"/>
      <c r="AA227" s="315"/>
      <c r="AB227" s="315"/>
      <c r="AC227" s="316">
        <v>0</v>
      </c>
      <c r="AD227" s="314"/>
      <c r="AE227" s="316"/>
    </row>
    <row r="228" spans="1:31" ht="13.5" hidden="1" thickBot="1">
      <c r="A228" s="885"/>
      <c r="B228" s="885"/>
      <c r="C228" s="9" t="s">
        <v>297</v>
      </c>
      <c r="D228" s="241" t="s">
        <v>632</v>
      </c>
      <c r="E228" s="241" t="s">
        <v>632</v>
      </c>
      <c r="F228" s="243" t="s">
        <v>646</v>
      </c>
      <c r="G228" s="241" t="s">
        <v>646</v>
      </c>
      <c r="H228" s="241" t="s">
        <v>646</v>
      </c>
      <c r="I228" s="244" t="s">
        <v>646</v>
      </c>
      <c r="J228" s="195">
        <v>1</v>
      </c>
      <c r="K228" s="196"/>
      <c r="L228" s="196"/>
      <c r="M228" s="197"/>
      <c r="N228" s="314"/>
      <c r="O228" s="315">
        <v>1.4</v>
      </c>
      <c r="P228" s="315"/>
      <c r="Q228" s="316"/>
      <c r="R228" s="314"/>
      <c r="S228" s="315"/>
      <c r="T228" s="315"/>
      <c r="U228" s="316">
        <v>2.9</v>
      </c>
      <c r="V228" s="314"/>
      <c r="W228" s="315"/>
      <c r="X228" s="315"/>
      <c r="Y228" s="316">
        <v>3</v>
      </c>
      <c r="Z228" s="314"/>
      <c r="AA228" s="315"/>
      <c r="AB228" s="315"/>
      <c r="AC228" s="316">
        <v>0</v>
      </c>
      <c r="AD228" s="314"/>
      <c r="AE228" s="316"/>
    </row>
    <row r="229" spans="1:31" ht="13.5" hidden="1" thickBot="1">
      <c r="A229" s="885"/>
      <c r="B229" s="885"/>
      <c r="C229" s="9" t="s">
        <v>298</v>
      </c>
      <c r="D229" s="241" t="s">
        <v>632</v>
      </c>
      <c r="E229" s="241" t="s">
        <v>632</v>
      </c>
      <c r="F229" s="243" t="s">
        <v>646</v>
      </c>
      <c r="G229" s="241" t="s">
        <v>646</v>
      </c>
      <c r="H229" s="241" t="s">
        <v>646</v>
      </c>
      <c r="I229" s="244" t="s">
        <v>646</v>
      </c>
      <c r="J229" s="195">
        <v>1</v>
      </c>
      <c r="K229" s="196"/>
      <c r="L229" s="196"/>
      <c r="M229" s="197"/>
      <c r="N229" s="314"/>
      <c r="O229" s="315">
        <v>1</v>
      </c>
      <c r="P229" s="315"/>
      <c r="Q229" s="316"/>
      <c r="R229" s="314"/>
      <c r="S229" s="315"/>
      <c r="T229" s="315"/>
      <c r="U229" s="316">
        <v>3.4</v>
      </c>
      <c r="V229" s="314"/>
      <c r="W229" s="315"/>
      <c r="X229" s="315"/>
      <c r="Y229" s="316">
        <v>3.8</v>
      </c>
      <c r="Z229" s="314"/>
      <c r="AA229" s="315"/>
      <c r="AB229" s="315"/>
      <c r="AC229" s="316">
        <v>0</v>
      </c>
      <c r="AD229" s="314"/>
      <c r="AE229" s="316"/>
    </row>
    <row r="230" spans="1:31" ht="13.5" hidden="1" thickBot="1">
      <c r="A230" s="885"/>
      <c r="B230" s="885"/>
      <c r="C230" s="9" t="s">
        <v>299</v>
      </c>
      <c r="D230" s="241" t="s">
        <v>632</v>
      </c>
      <c r="E230" s="241" t="s">
        <v>632</v>
      </c>
      <c r="F230" s="243" t="s">
        <v>646</v>
      </c>
      <c r="G230" s="241" t="s">
        <v>646</v>
      </c>
      <c r="H230" s="241" t="s">
        <v>646</v>
      </c>
      <c r="I230" s="244" t="s">
        <v>646</v>
      </c>
      <c r="J230" s="195">
        <v>1</v>
      </c>
      <c r="K230" s="196"/>
      <c r="L230" s="196"/>
      <c r="M230" s="197"/>
      <c r="N230" s="314"/>
      <c r="O230" s="315">
        <v>2</v>
      </c>
      <c r="P230" s="315"/>
      <c r="Q230" s="316"/>
      <c r="R230" s="314"/>
      <c r="S230" s="315"/>
      <c r="T230" s="315"/>
      <c r="U230" s="316">
        <v>2.9</v>
      </c>
      <c r="V230" s="314"/>
      <c r="W230" s="315"/>
      <c r="X230" s="315"/>
      <c r="Y230" s="316">
        <v>3.5</v>
      </c>
      <c r="Z230" s="314"/>
      <c r="AA230" s="315"/>
      <c r="AB230" s="315"/>
      <c r="AC230" s="316">
        <v>0</v>
      </c>
      <c r="AD230" s="314"/>
      <c r="AE230" s="316"/>
    </row>
    <row r="231" spans="1:31" ht="24.75" hidden="1" thickBot="1">
      <c r="A231" s="885"/>
      <c r="B231" s="885"/>
      <c r="C231" s="9" t="s">
        <v>300</v>
      </c>
      <c r="D231" s="199"/>
      <c r="E231" s="200"/>
      <c r="F231" s="201"/>
      <c r="G231" s="199"/>
      <c r="H231" s="199"/>
      <c r="I231" s="200"/>
      <c r="J231" s="201"/>
      <c r="K231" s="199"/>
      <c r="L231" s="199"/>
      <c r="M231" s="200"/>
      <c r="N231" s="318"/>
      <c r="O231" s="319" t="s">
        <v>634</v>
      </c>
      <c r="P231" s="312" t="s">
        <v>632</v>
      </c>
      <c r="Q231" s="313" t="s">
        <v>646</v>
      </c>
      <c r="R231" s="314">
        <v>1</v>
      </c>
      <c r="S231" s="315"/>
      <c r="T231" s="315"/>
      <c r="U231" s="316">
        <v>1</v>
      </c>
      <c r="V231" s="314"/>
      <c r="W231" s="315"/>
      <c r="X231" s="315"/>
      <c r="Y231" s="316">
        <v>1.1000000000000001</v>
      </c>
      <c r="Z231" s="314"/>
      <c r="AA231" s="315"/>
      <c r="AB231" s="315"/>
      <c r="AC231" s="316">
        <v>0</v>
      </c>
      <c r="AD231" s="314"/>
      <c r="AE231" s="316"/>
    </row>
    <row r="232" spans="1:31" ht="13.5" hidden="1" thickBot="1">
      <c r="A232" s="885"/>
      <c r="B232" s="885"/>
      <c r="C232" s="9" t="s">
        <v>301</v>
      </c>
      <c r="D232" s="199"/>
      <c r="E232" s="200"/>
      <c r="F232" s="201"/>
      <c r="G232" s="199"/>
      <c r="H232" s="199"/>
      <c r="I232" s="200"/>
      <c r="J232" s="201"/>
      <c r="K232" s="199"/>
      <c r="L232" s="199"/>
      <c r="M232" s="200"/>
      <c r="N232" s="318"/>
      <c r="O232" s="319" t="s">
        <v>634</v>
      </c>
      <c r="P232" s="312" t="s">
        <v>632</v>
      </c>
      <c r="Q232" s="313" t="s">
        <v>646</v>
      </c>
      <c r="R232" s="314">
        <v>1</v>
      </c>
      <c r="S232" s="315"/>
      <c r="T232" s="315"/>
      <c r="U232" s="316">
        <v>1</v>
      </c>
      <c r="V232" s="314"/>
      <c r="W232" s="315"/>
      <c r="X232" s="315"/>
      <c r="Y232" s="316">
        <v>2.2999999999999998</v>
      </c>
      <c r="Z232" s="314"/>
      <c r="AA232" s="315"/>
      <c r="AB232" s="315"/>
      <c r="AC232" s="316">
        <v>0</v>
      </c>
      <c r="AD232" s="314"/>
      <c r="AE232" s="316"/>
    </row>
    <row r="233" spans="1:31" ht="13.5" hidden="1" thickBot="1">
      <c r="A233" s="885"/>
      <c r="B233" s="885"/>
      <c r="C233" s="9" t="s">
        <v>302</v>
      </c>
      <c r="D233" s="199"/>
      <c r="E233" s="200"/>
      <c r="F233" s="201"/>
      <c r="G233" s="199"/>
      <c r="H233" s="199"/>
      <c r="I233" s="200"/>
      <c r="J233" s="201"/>
      <c r="K233" s="199"/>
      <c r="L233" s="199"/>
      <c r="M233" s="200"/>
      <c r="N233" s="318"/>
      <c r="O233" s="319" t="s">
        <v>634</v>
      </c>
      <c r="P233" s="312" t="s">
        <v>632</v>
      </c>
      <c r="Q233" s="313" t="s">
        <v>646</v>
      </c>
      <c r="R233" s="314">
        <v>1</v>
      </c>
      <c r="S233" s="315"/>
      <c r="T233" s="315"/>
      <c r="U233" s="316">
        <v>1</v>
      </c>
      <c r="V233" s="314"/>
      <c r="W233" s="315"/>
      <c r="X233" s="315"/>
      <c r="Y233" s="316">
        <v>1.7</v>
      </c>
      <c r="Z233" s="314"/>
      <c r="AA233" s="315"/>
      <c r="AB233" s="315"/>
      <c r="AC233" s="316">
        <v>0</v>
      </c>
      <c r="AD233" s="314"/>
      <c r="AE233" s="316"/>
    </row>
    <row r="234" spans="1:31" ht="24.75" hidden="1" thickBot="1">
      <c r="A234" s="885"/>
      <c r="B234" s="885"/>
      <c r="C234" s="9" t="s">
        <v>303</v>
      </c>
      <c r="D234" s="202"/>
      <c r="E234" s="203"/>
      <c r="F234" s="201"/>
      <c r="G234" s="202"/>
      <c r="H234" s="202"/>
      <c r="I234" s="203"/>
      <c r="J234" s="201"/>
      <c r="K234" s="202"/>
      <c r="L234" s="202"/>
      <c r="M234" s="203"/>
      <c r="N234" s="322"/>
      <c r="O234" s="323"/>
      <c r="P234" s="324"/>
      <c r="Q234" s="324"/>
      <c r="R234" s="317"/>
      <c r="S234" s="320"/>
      <c r="T234" s="320"/>
      <c r="U234" s="321"/>
      <c r="V234" s="325"/>
      <c r="W234" s="319" t="s">
        <v>633</v>
      </c>
      <c r="X234" s="312" t="s">
        <v>632</v>
      </c>
      <c r="Y234" s="316">
        <v>0</v>
      </c>
      <c r="Z234" s="314"/>
      <c r="AA234" s="315"/>
      <c r="AB234" s="315"/>
      <c r="AC234" s="316">
        <v>0</v>
      </c>
      <c r="AD234" s="314"/>
      <c r="AE234" s="316"/>
    </row>
    <row r="235" spans="1:31" ht="13.5" hidden="1" thickBot="1">
      <c r="A235" s="885"/>
      <c r="B235" s="885"/>
      <c r="C235" s="9" t="s">
        <v>304</v>
      </c>
      <c r="D235" s="202"/>
      <c r="E235" s="203"/>
      <c r="F235" s="201"/>
      <c r="G235" s="202"/>
      <c r="H235" s="202"/>
      <c r="I235" s="203"/>
      <c r="J235" s="201"/>
      <c r="K235" s="202"/>
      <c r="L235" s="202"/>
      <c r="M235" s="203"/>
      <c r="N235" s="322"/>
      <c r="O235" s="324"/>
      <c r="P235" s="324"/>
      <c r="Q235" s="324"/>
      <c r="R235" s="317"/>
      <c r="S235" s="320"/>
      <c r="T235" s="320"/>
      <c r="U235" s="321"/>
      <c r="V235" s="325"/>
      <c r="W235" s="319" t="s">
        <v>633</v>
      </c>
      <c r="X235" s="312" t="s">
        <v>632</v>
      </c>
      <c r="Y235" s="316">
        <v>0</v>
      </c>
      <c r="Z235" s="314"/>
      <c r="AA235" s="315"/>
      <c r="AB235" s="315"/>
      <c r="AC235" s="316">
        <v>0</v>
      </c>
      <c r="AD235" s="314"/>
      <c r="AE235" s="316"/>
    </row>
    <row r="236" spans="1:31" ht="12.95" hidden="1" customHeight="1" thickBot="1">
      <c r="A236" s="885"/>
      <c r="B236" s="298"/>
      <c r="C236" s="231"/>
      <c r="D236" s="232"/>
      <c r="E236" s="233"/>
      <c r="F236" s="234"/>
      <c r="G236" s="232"/>
      <c r="H236" s="232"/>
      <c r="I236" s="233"/>
      <c r="J236" s="234"/>
      <c r="K236" s="232"/>
      <c r="L236" s="232"/>
      <c r="M236" s="233"/>
      <c r="N236" s="328"/>
      <c r="O236" s="326"/>
      <c r="P236" s="326"/>
      <c r="Q236" s="327"/>
      <c r="R236" s="328"/>
      <c r="S236" s="326"/>
      <c r="T236" s="326"/>
      <c r="U236" s="327"/>
      <c r="V236" s="328"/>
      <c r="W236" s="326"/>
      <c r="X236" s="326"/>
      <c r="Y236" s="327"/>
      <c r="Z236" s="328"/>
      <c r="AA236" s="326"/>
      <c r="AB236" s="326"/>
      <c r="AC236" s="327"/>
      <c r="AD236" s="328"/>
      <c r="AE236" s="327"/>
    </row>
    <row r="237" spans="1:31" ht="12.95" hidden="1" customHeight="1" thickBot="1">
      <c r="A237" s="885"/>
      <c r="B237" s="298"/>
      <c r="C237" s="231"/>
      <c r="D237" s="232"/>
      <c r="E237" s="233"/>
      <c r="F237" s="234"/>
      <c r="G237" s="232"/>
      <c r="H237" s="232"/>
      <c r="I237" s="233"/>
      <c r="J237" s="234"/>
      <c r="K237" s="232"/>
      <c r="L237" s="232"/>
      <c r="M237" s="233"/>
      <c r="N237" s="328"/>
      <c r="O237" s="326"/>
      <c r="P237" s="326"/>
      <c r="Q237" s="327"/>
      <c r="R237" s="328"/>
      <c r="S237" s="326"/>
      <c r="T237" s="326"/>
      <c r="U237" s="327"/>
      <c r="V237" s="328"/>
      <c r="W237" s="326"/>
      <c r="X237" s="326"/>
      <c r="Y237" s="327"/>
      <c r="Z237" s="328"/>
      <c r="AA237" s="326"/>
      <c r="AB237" s="326"/>
      <c r="AC237" s="327"/>
      <c r="AD237" s="328"/>
      <c r="AE237" s="327"/>
    </row>
    <row r="238" spans="1:31" ht="12.95" customHeight="1" thickBot="1">
      <c r="A238" s="885"/>
      <c r="B238" s="3" t="s">
        <v>18</v>
      </c>
      <c r="C238" s="12"/>
      <c r="D238" s="1377">
        <v>2008</v>
      </c>
      <c r="E238" s="1378"/>
      <c r="F238" s="1372">
        <v>2009</v>
      </c>
      <c r="G238" s="1373"/>
      <c r="H238" s="1373"/>
      <c r="I238" s="1374"/>
      <c r="J238" s="1372">
        <v>2010</v>
      </c>
      <c r="K238" s="1373"/>
      <c r="L238" s="1373"/>
      <c r="M238" s="1374"/>
      <c r="N238" s="1372">
        <v>2011</v>
      </c>
      <c r="O238" s="1373"/>
      <c r="P238" s="1373"/>
      <c r="Q238" s="1374"/>
      <c r="R238" s="1372">
        <v>2012</v>
      </c>
      <c r="S238" s="1373"/>
      <c r="T238" s="1373"/>
      <c r="U238" s="1374"/>
      <c r="V238" s="1372">
        <v>2013</v>
      </c>
      <c r="W238" s="1373"/>
      <c r="X238" s="1373"/>
      <c r="Y238" s="1374"/>
      <c r="Z238" s="1372">
        <v>2014</v>
      </c>
      <c r="AA238" s="1373"/>
      <c r="AB238" s="1373"/>
      <c r="AC238" s="1374"/>
      <c r="AD238" s="1372">
        <v>2015</v>
      </c>
      <c r="AE238" s="1374"/>
    </row>
    <row r="239" spans="1:31" ht="13.5" thickBot="1">
      <c r="A239" s="885"/>
      <c r="B239" s="868" t="s">
        <v>60</v>
      </c>
      <c r="C239" s="250" t="s">
        <v>649</v>
      </c>
      <c r="D239" s="245"/>
      <c r="E239" s="246"/>
      <c r="F239" s="247"/>
      <c r="G239" s="245"/>
      <c r="H239" s="245"/>
      <c r="I239" s="246"/>
      <c r="J239" s="247"/>
      <c r="K239" s="245"/>
      <c r="L239" s="245"/>
      <c r="M239" s="246"/>
      <c r="N239" s="567"/>
      <c r="O239" s="568">
        <v>99350.950715859828</v>
      </c>
      <c r="P239" s="568"/>
      <c r="Q239" s="569"/>
      <c r="R239" s="567"/>
      <c r="S239" s="568"/>
      <c r="T239" s="568"/>
      <c r="U239" s="568">
        <v>38026.972673405849</v>
      </c>
      <c r="V239" s="567"/>
      <c r="W239" s="568"/>
      <c r="X239" s="568"/>
      <c r="Y239" s="568">
        <v>33300.919391661337</v>
      </c>
      <c r="Z239" s="567"/>
      <c r="AA239" s="568"/>
      <c r="AB239" s="568"/>
      <c r="AC239" s="568">
        <v>32747.547313131312</v>
      </c>
      <c r="AD239" s="567"/>
      <c r="AE239" s="570"/>
    </row>
    <row r="240" spans="1:31" ht="13.5" thickBot="1">
      <c r="A240" s="885"/>
      <c r="B240" s="885"/>
      <c r="C240" s="250" t="s">
        <v>650</v>
      </c>
      <c r="D240" s="245"/>
      <c r="E240" s="246"/>
      <c r="F240" s="247"/>
      <c r="G240" s="245"/>
      <c r="H240" s="245"/>
      <c r="I240" s="246"/>
      <c r="J240" s="247"/>
      <c r="K240" s="245"/>
      <c r="L240" s="245"/>
      <c r="M240" s="246"/>
      <c r="N240" s="567"/>
      <c r="O240" s="568">
        <v>88721.731236795502</v>
      </c>
      <c r="P240" s="568"/>
      <c r="Q240" s="569"/>
      <c r="R240" s="567"/>
      <c r="S240" s="568"/>
      <c r="T240" s="568"/>
      <c r="U240" s="568">
        <v>36924.398871242112</v>
      </c>
      <c r="V240" s="567"/>
      <c r="W240" s="568"/>
      <c r="X240" s="568"/>
      <c r="Y240" s="568">
        <v>31651.995076398183</v>
      </c>
      <c r="Z240" s="567"/>
      <c r="AA240" s="568"/>
      <c r="AB240" s="568"/>
      <c r="AC240" s="568">
        <v>30685.214424242429</v>
      </c>
      <c r="AD240" s="567"/>
      <c r="AE240" s="570"/>
    </row>
    <row r="241" spans="1:31" ht="13.5" thickBot="1">
      <c r="A241" s="885"/>
      <c r="B241" s="885"/>
      <c r="C241" s="250" t="s">
        <v>651</v>
      </c>
      <c r="D241" s="245"/>
      <c r="E241" s="246"/>
      <c r="F241" s="247"/>
      <c r="G241" s="245"/>
      <c r="H241" s="245"/>
      <c r="I241" s="246"/>
      <c r="J241" s="247"/>
      <c r="K241" s="245"/>
      <c r="L241" s="245"/>
      <c r="M241" s="246"/>
      <c r="N241" s="567"/>
      <c r="O241" s="568">
        <v>90317.991782292578</v>
      </c>
      <c r="P241" s="568"/>
      <c r="Q241" s="569"/>
      <c r="R241" s="567"/>
      <c r="S241" s="568"/>
      <c r="T241" s="568"/>
      <c r="U241" s="568">
        <v>36624.468022002344</v>
      </c>
      <c r="V241" s="567"/>
      <c r="W241" s="568"/>
      <c r="X241" s="568"/>
      <c r="Y241" s="568">
        <v>25614.390608846697</v>
      </c>
      <c r="Z241" s="567"/>
      <c r="AA241" s="568"/>
      <c r="AB241" s="568"/>
      <c r="AC241" s="568">
        <v>40230.71080808081</v>
      </c>
      <c r="AD241" s="567"/>
      <c r="AE241" s="570"/>
    </row>
    <row r="242" spans="1:31" ht="13.5" thickBot="1">
      <c r="A242" s="885"/>
      <c r="B242" s="885"/>
      <c r="C242" s="250" t="s">
        <v>652</v>
      </c>
      <c r="D242" s="245"/>
      <c r="E242" s="246"/>
      <c r="F242" s="247"/>
      <c r="G242" s="245"/>
      <c r="H242" s="245"/>
      <c r="I242" s="246"/>
      <c r="J242" s="247"/>
      <c r="K242" s="245"/>
      <c r="L242" s="245"/>
      <c r="M242" s="246"/>
      <c r="N242" s="567"/>
      <c r="O242" s="568">
        <v>85362.777804748737</v>
      </c>
      <c r="P242" s="568"/>
      <c r="Q242" s="569"/>
      <c r="R242" s="567"/>
      <c r="S242" s="568"/>
      <c r="T242" s="568"/>
      <c r="U242" s="568">
        <v>33062.404901183632</v>
      </c>
      <c r="V242" s="567"/>
      <c r="W242" s="568"/>
      <c r="X242" s="568"/>
      <c r="Y242" s="568">
        <v>26205.279546009166</v>
      </c>
      <c r="Z242" s="567"/>
      <c r="AA242" s="568"/>
      <c r="AB242" s="568"/>
      <c r="AC242" s="568">
        <v>22229.339191919193</v>
      </c>
      <c r="AD242" s="567"/>
      <c r="AE242" s="570"/>
    </row>
    <row r="243" spans="1:31" ht="13.5" thickBot="1">
      <c r="A243" s="885"/>
      <c r="B243" s="885"/>
      <c r="C243" s="250" t="s">
        <v>653</v>
      </c>
      <c r="D243" s="245"/>
      <c r="E243" s="246"/>
      <c r="F243" s="247"/>
      <c r="G243" s="245"/>
      <c r="H243" s="245"/>
      <c r="I243" s="246"/>
      <c r="J243" s="247"/>
      <c r="K243" s="245"/>
      <c r="L243" s="245"/>
      <c r="M243" s="246"/>
      <c r="N243" s="567"/>
      <c r="O243" s="568">
        <v>99423.328497146373</v>
      </c>
      <c r="P243" s="568"/>
      <c r="Q243" s="569"/>
      <c r="R243" s="567"/>
      <c r="S243" s="568"/>
      <c r="T243" s="568"/>
      <c r="U243" s="568">
        <v>69116.507500014035</v>
      </c>
      <c r="V243" s="567"/>
      <c r="W243" s="568"/>
      <c r="X243" s="568"/>
      <c r="Y243" s="568">
        <v>27315.991829533195</v>
      </c>
      <c r="Z243" s="567"/>
      <c r="AA243" s="568"/>
      <c r="AB243" s="568"/>
      <c r="AC243" s="568">
        <v>32749.172222222223</v>
      </c>
      <c r="AD243" s="567"/>
      <c r="AE243" s="570"/>
    </row>
    <row r="244" spans="1:31" ht="12.95" customHeight="1" thickBot="1">
      <c r="A244" s="885"/>
      <c r="B244" s="885"/>
      <c r="C244" s="250" t="s">
        <v>654</v>
      </c>
      <c r="D244" s="248"/>
      <c r="E244" s="249"/>
      <c r="F244" s="247"/>
      <c r="G244" s="248"/>
      <c r="H244" s="248"/>
      <c r="I244" s="249"/>
      <c r="J244" s="247"/>
      <c r="K244" s="248"/>
      <c r="L244" s="248"/>
      <c r="M244" s="249"/>
      <c r="N244" s="571"/>
      <c r="O244" s="572"/>
      <c r="P244" s="572"/>
      <c r="Q244" s="572"/>
      <c r="R244" s="567"/>
      <c r="S244" s="568"/>
      <c r="T244" s="568"/>
      <c r="U244" s="568">
        <v>23618.589918981219</v>
      </c>
      <c r="V244" s="567"/>
      <c r="W244" s="568"/>
      <c r="X244" s="568"/>
      <c r="Y244" s="568">
        <v>20736.15085614803</v>
      </c>
      <c r="Z244" s="567"/>
      <c r="AA244" s="568"/>
      <c r="AB244" s="568"/>
      <c r="AC244" s="568">
        <v>22875.692121212123</v>
      </c>
      <c r="AD244" s="567"/>
      <c r="AE244" s="570"/>
    </row>
    <row r="245" spans="1:31" ht="12.95" customHeight="1" thickBot="1">
      <c r="A245" s="885"/>
      <c r="B245" s="885"/>
      <c r="C245" s="250" t="s">
        <v>655</v>
      </c>
      <c r="D245" s="248"/>
      <c r="E245" s="249"/>
      <c r="F245" s="247"/>
      <c r="G245" s="248"/>
      <c r="H245" s="248"/>
      <c r="I245" s="249"/>
      <c r="J245" s="247"/>
      <c r="K245" s="248"/>
      <c r="L245" s="248"/>
      <c r="M245" s="249"/>
      <c r="N245" s="571"/>
      <c r="O245" s="572"/>
      <c r="P245" s="572"/>
      <c r="Q245" s="572"/>
      <c r="R245" s="567"/>
      <c r="S245" s="568"/>
      <c r="T245" s="568"/>
      <c r="U245" s="568">
        <v>23572.559633191748</v>
      </c>
      <c r="V245" s="567"/>
      <c r="W245" s="568"/>
      <c r="X245" s="568"/>
      <c r="Y245" s="568">
        <v>20753.640336765879</v>
      </c>
      <c r="Z245" s="567"/>
      <c r="AA245" s="568"/>
      <c r="AB245" s="568"/>
      <c r="AC245" s="568">
        <v>24598.532171717172</v>
      </c>
      <c r="AD245" s="567"/>
      <c r="AE245" s="570"/>
    </row>
    <row r="246" spans="1:31" ht="12.95" customHeight="1" thickBot="1">
      <c r="A246" s="885"/>
      <c r="B246" s="885"/>
      <c r="C246" s="250" t="s">
        <v>656</v>
      </c>
      <c r="D246" s="248"/>
      <c r="E246" s="249"/>
      <c r="F246" s="247"/>
      <c r="G246" s="248"/>
      <c r="H246" s="248"/>
      <c r="I246" s="249"/>
      <c r="J246" s="247"/>
      <c r="K246" s="248"/>
      <c r="L246" s="248"/>
      <c r="M246" s="249"/>
      <c r="N246" s="571"/>
      <c r="O246" s="572"/>
      <c r="P246" s="572"/>
      <c r="Q246" s="572"/>
      <c r="R246" s="567"/>
      <c r="S246" s="568"/>
      <c r="T246" s="568"/>
      <c r="U246" s="568">
        <v>24458.881347753151</v>
      </c>
      <c r="V246" s="567"/>
      <c r="W246" s="568"/>
      <c r="X246" s="568"/>
      <c r="Y246" s="568">
        <v>20753.640336765879</v>
      </c>
      <c r="Z246" s="567"/>
      <c r="AA246" s="568"/>
      <c r="AB246" s="568"/>
      <c r="AC246" s="568">
        <v>26230.101919191922</v>
      </c>
      <c r="AD246" s="567"/>
      <c r="AE246" s="570"/>
    </row>
    <row r="247" spans="1:31" ht="12.95" customHeight="1" thickBot="1">
      <c r="A247" s="885"/>
      <c r="B247" s="885"/>
      <c r="C247" s="250" t="s">
        <v>657</v>
      </c>
      <c r="D247" s="248"/>
      <c r="E247" s="249"/>
      <c r="F247" s="247"/>
      <c r="G247" s="248"/>
      <c r="H247" s="248"/>
      <c r="I247" s="249"/>
      <c r="J247" s="247"/>
      <c r="K247" s="248"/>
      <c r="L247" s="248"/>
      <c r="M247" s="249"/>
      <c r="N247" s="571"/>
      <c r="O247" s="572"/>
      <c r="P247" s="572"/>
      <c r="Q247" s="573"/>
      <c r="R247" s="571"/>
      <c r="S247" s="572"/>
      <c r="T247" s="572"/>
      <c r="U247" s="573"/>
      <c r="V247" s="571"/>
      <c r="W247" s="572"/>
      <c r="X247" s="572"/>
      <c r="Y247" s="573"/>
      <c r="Z247" s="567"/>
      <c r="AA247" s="568"/>
      <c r="AB247" s="568"/>
      <c r="AC247" s="568">
        <v>19013.681343434342</v>
      </c>
      <c r="AD247" s="567"/>
      <c r="AE247" s="570"/>
    </row>
    <row r="248" spans="1:31" ht="12.95" customHeight="1" thickBot="1">
      <c r="A248" s="885"/>
      <c r="B248" s="885"/>
      <c r="C248" s="250" t="s">
        <v>658</v>
      </c>
      <c r="D248" s="248"/>
      <c r="E248" s="249"/>
      <c r="F248" s="247"/>
      <c r="G248" s="248"/>
      <c r="H248" s="248"/>
      <c r="I248" s="249"/>
      <c r="J248" s="247"/>
      <c r="K248" s="248"/>
      <c r="L248" s="248"/>
      <c r="M248" s="249"/>
      <c r="N248" s="571"/>
      <c r="O248" s="572"/>
      <c r="P248" s="572"/>
      <c r="Q248" s="573"/>
      <c r="R248" s="571"/>
      <c r="S248" s="572"/>
      <c r="T248" s="572"/>
      <c r="U248" s="573"/>
      <c r="V248" s="571"/>
      <c r="W248" s="572"/>
      <c r="X248" s="572"/>
      <c r="Y248" s="573"/>
      <c r="Z248" s="567"/>
      <c r="AA248" s="568"/>
      <c r="AB248" s="568"/>
      <c r="AC248" s="568">
        <v>20473.889090909091</v>
      </c>
      <c r="AD248" s="567"/>
      <c r="AE248" s="570"/>
    </row>
    <row r="249" spans="1:31" ht="12.95" hidden="1" customHeight="1" thickBot="1">
      <c r="A249" s="885"/>
      <c r="B249" s="885"/>
      <c r="C249" s="9" t="s">
        <v>295</v>
      </c>
      <c r="D249" s="241" t="s">
        <v>632</v>
      </c>
      <c r="E249" s="241" t="s">
        <v>632</v>
      </c>
      <c r="F249" s="243" t="s">
        <v>646</v>
      </c>
      <c r="G249" s="241" t="s">
        <v>646</v>
      </c>
      <c r="H249" s="241" t="s">
        <v>646</v>
      </c>
      <c r="I249" s="244" t="s">
        <v>646</v>
      </c>
      <c r="J249" s="195">
        <v>0</v>
      </c>
      <c r="K249" s="196"/>
      <c r="L249" s="196"/>
      <c r="M249" s="197"/>
      <c r="N249" s="314"/>
      <c r="O249" s="315">
        <v>0</v>
      </c>
      <c r="P249" s="315"/>
      <c r="Q249" s="316"/>
      <c r="R249" s="314"/>
      <c r="S249" s="315"/>
      <c r="T249" s="315"/>
      <c r="U249" s="316">
        <v>1</v>
      </c>
      <c r="V249" s="314"/>
      <c r="W249" s="315"/>
      <c r="X249" s="315"/>
      <c r="Y249" s="316">
        <v>4</v>
      </c>
      <c r="Z249" s="314"/>
      <c r="AA249" s="315"/>
      <c r="AB249" s="315"/>
      <c r="AC249" s="316">
        <v>0</v>
      </c>
      <c r="AD249" s="314"/>
      <c r="AE249" s="316"/>
    </row>
    <row r="250" spans="1:31" ht="12.95" hidden="1" customHeight="1" thickBot="1">
      <c r="A250" s="885"/>
      <c r="B250" s="885"/>
      <c r="C250" s="9" t="s">
        <v>296</v>
      </c>
      <c r="D250" s="241" t="s">
        <v>632</v>
      </c>
      <c r="E250" s="241" t="s">
        <v>632</v>
      </c>
      <c r="F250" s="243" t="s">
        <v>646</v>
      </c>
      <c r="G250" s="241" t="s">
        <v>646</v>
      </c>
      <c r="H250" s="241" t="s">
        <v>646</v>
      </c>
      <c r="I250" s="244" t="s">
        <v>646</v>
      </c>
      <c r="J250" s="195">
        <v>0</v>
      </c>
      <c r="K250" s="196"/>
      <c r="L250" s="196"/>
      <c r="M250" s="197"/>
      <c r="N250" s="314"/>
      <c r="O250" s="315">
        <v>5</v>
      </c>
      <c r="P250" s="315"/>
      <c r="Q250" s="316"/>
      <c r="R250" s="314"/>
      <c r="S250" s="315"/>
      <c r="T250" s="315"/>
      <c r="U250" s="316">
        <v>2</v>
      </c>
      <c r="V250" s="314"/>
      <c r="W250" s="315"/>
      <c r="X250" s="315"/>
      <c r="Y250" s="316">
        <v>7</v>
      </c>
      <c r="Z250" s="314"/>
      <c r="AA250" s="315"/>
      <c r="AB250" s="315"/>
      <c r="AC250" s="316">
        <v>0</v>
      </c>
      <c r="AD250" s="314"/>
      <c r="AE250" s="316"/>
    </row>
    <row r="251" spans="1:31" ht="13.5" hidden="1" thickBot="1">
      <c r="A251" s="885"/>
      <c r="B251" s="885"/>
      <c r="C251" s="9" t="s">
        <v>297</v>
      </c>
      <c r="D251" s="241" t="s">
        <v>632</v>
      </c>
      <c r="E251" s="241" t="s">
        <v>632</v>
      </c>
      <c r="F251" s="243" t="s">
        <v>646</v>
      </c>
      <c r="G251" s="241" t="s">
        <v>646</v>
      </c>
      <c r="H251" s="241" t="s">
        <v>646</v>
      </c>
      <c r="I251" s="244" t="s">
        <v>646</v>
      </c>
      <c r="J251" s="195">
        <v>0</v>
      </c>
      <c r="K251" s="196"/>
      <c r="L251" s="196"/>
      <c r="M251" s="197"/>
      <c r="N251" s="314"/>
      <c r="O251" s="315">
        <v>2</v>
      </c>
      <c r="P251" s="315"/>
      <c r="Q251" s="316"/>
      <c r="R251" s="314"/>
      <c r="S251" s="315"/>
      <c r="T251" s="315"/>
      <c r="U251" s="316">
        <v>4</v>
      </c>
      <c r="V251" s="314"/>
      <c r="W251" s="315"/>
      <c r="X251" s="315"/>
      <c r="Y251" s="316">
        <v>5</v>
      </c>
      <c r="Z251" s="314"/>
      <c r="AA251" s="315"/>
      <c r="AB251" s="315"/>
      <c r="AC251" s="316">
        <v>0</v>
      </c>
      <c r="AD251" s="314"/>
      <c r="AE251" s="316"/>
    </row>
    <row r="252" spans="1:31" ht="13.5" hidden="1" thickBot="1">
      <c r="A252" s="885"/>
      <c r="B252" s="885"/>
      <c r="C252" s="9" t="s">
        <v>298</v>
      </c>
      <c r="D252" s="241" t="s">
        <v>632</v>
      </c>
      <c r="E252" s="241" t="s">
        <v>632</v>
      </c>
      <c r="F252" s="243" t="s">
        <v>646</v>
      </c>
      <c r="G252" s="241" t="s">
        <v>646</v>
      </c>
      <c r="H252" s="241" t="s">
        <v>646</v>
      </c>
      <c r="I252" s="244" t="s">
        <v>646</v>
      </c>
      <c r="J252" s="195">
        <v>1</v>
      </c>
      <c r="K252" s="196"/>
      <c r="L252" s="196"/>
      <c r="M252" s="197"/>
      <c r="N252" s="314"/>
      <c r="O252" s="315">
        <v>1</v>
      </c>
      <c r="P252" s="315"/>
      <c r="Q252" s="316"/>
      <c r="R252" s="314"/>
      <c r="S252" s="315"/>
      <c r="T252" s="315"/>
      <c r="U252" s="316">
        <v>3</v>
      </c>
      <c r="V252" s="314"/>
      <c r="W252" s="315"/>
      <c r="X252" s="315"/>
      <c r="Y252" s="316">
        <v>4</v>
      </c>
      <c r="Z252" s="314"/>
      <c r="AA252" s="315"/>
      <c r="AB252" s="315"/>
      <c r="AC252" s="316">
        <v>0</v>
      </c>
      <c r="AD252" s="314"/>
      <c r="AE252" s="316"/>
    </row>
    <row r="253" spans="1:31" ht="13.5" hidden="1" thickBot="1">
      <c r="A253" s="885"/>
      <c r="B253" s="885"/>
      <c r="C253" s="9" t="s">
        <v>299</v>
      </c>
      <c r="D253" s="241" t="s">
        <v>632</v>
      </c>
      <c r="E253" s="241" t="s">
        <v>632</v>
      </c>
      <c r="F253" s="243" t="s">
        <v>646</v>
      </c>
      <c r="G253" s="241" t="s">
        <v>646</v>
      </c>
      <c r="H253" s="241" t="s">
        <v>646</v>
      </c>
      <c r="I253" s="244" t="s">
        <v>646</v>
      </c>
      <c r="J253" s="195">
        <v>0</v>
      </c>
      <c r="K253" s="196"/>
      <c r="L253" s="196"/>
      <c r="M253" s="197"/>
      <c r="N253" s="314"/>
      <c r="O253" s="315">
        <v>0</v>
      </c>
      <c r="P253" s="315"/>
      <c r="Q253" s="316"/>
      <c r="R253" s="314"/>
      <c r="S253" s="315"/>
      <c r="T253" s="315"/>
      <c r="U253" s="316">
        <v>1</v>
      </c>
      <c r="V253" s="314"/>
      <c r="W253" s="315"/>
      <c r="X253" s="315"/>
      <c r="Y253" s="316">
        <v>7</v>
      </c>
      <c r="Z253" s="314"/>
      <c r="AA253" s="315"/>
      <c r="AB253" s="315"/>
      <c r="AC253" s="316">
        <v>0</v>
      </c>
      <c r="AD253" s="314"/>
      <c r="AE253" s="316"/>
    </row>
    <row r="254" spans="1:31" ht="24.75" hidden="1" thickBot="1">
      <c r="A254" s="885"/>
      <c r="B254" s="885"/>
      <c r="C254" s="9" t="s">
        <v>300</v>
      </c>
      <c r="D254" s="199"/>
      <c r="E254" s="200"/>
      <c r="F254" s="201"/>
      <c r="G254" s="199"/>
      <c r="H254" s="199"/>
      <c r="I254" s="200"/>
      <c r="J254" s="201"/>
      <c r="K254" s="199"/>
      <c r="L254" s="199"/>
      <c r="M254" s="200"/>
      <c r="N254" s="318"/>
      <c r="O254" s="319" t="s">
        <v>634</v>
      </c>
      <c r="P254" s="312" t="s">
        <v>632</v>
      </c>
      <c r="Q254" s="313" t="s">
        <v>646</v>
      </c>
      <c r="R254" s="314">
        <v>0</v>
      </c>
      <c r="S254" s="315"/>
      <c r="T254" s="315"/>
      <c r="U254" s="316">
        <v>0</v>
      </c>
      <c r="V254" s="314"/>
      <c r="W254" s="315"/>
      <c r="X254" s="315"/>
      <c r="Y254" s="316">
        <v>1</v>
      </c>
      <c r="Z254" s="314"/>
      <c r="AA254" s="315"/>
      <c r="AB254" s="315"/>
      <c r="AC254" s="316">
        <v>0</v>
      </c>
      <c r="AD254" s="314"/>
      <c r="AE254" s="316"/>
    </row>
    <row r="255" spans="1:31" ht="13.5" hidden="1" thickBot="1">
      <c r="A255" s="885"/>
      <c r="B255" s="885"/>
      <c r="C255" s="9" t="s">
        <v>301</v>
      </c>
      <c r="D255" s="199"/>
      <c r="E255" s="200"/>
      <c r="F255" s="201"/>
      <c r="G255" s="199"/>
      <c r="H255" s="199"/>
      <c r="I255" s="200"/>
      <c r="J255" s="201"/>
      <c r="K255" s="199"/>
      <c r="L255" s="199"/>
      <c r="M255" s="200"/>
      <c r="N255" s="318"/>
      <c r="O255" s="319" t="s">
        <v>634</v>
      </c>
      <c r="P255" s="312" t="s">
        <v>632</v>
      </c>
      <c r="Q255" s="313" t="s">
        <v>646</v>
      </c>
      <c r="R255" s="314">
        <v>0</v>
      </c>
      <c r="S255" s="315"/>
      <c r="T255" s="315"/>
      <c r="U255" s="316">
        <v>0</v>
      </c>
      <c r="V255" s="314"/>
      <c r="W255" s="315"/>
      <c r="X255" s="315"/>
      <c r="Y255" s="316">
        <v>0</v>
      </c>
      <c r="Z255" s="314"/>
      <c r="AA255" s="315"/>
      <c r="AB255" s="315"/>
      <c r="AC255" s="316">
        <v>0</v>
      </c>
      <c r="AD255" s="314"/>
      <c r="AE255" s="316"/>
    </row>
    <row r="256" spans="1:31" ht="13.5" hidden="1" thickBot="1">
      <c r="A256" s="885"/>
      <c r="B256" s="885"/>
      <c r="C256" s="9" t="s">
        <v>302</v>
      </c>
      <c r="D256" s="199"/>
      <c r="E256" s="200"/>
      <c r="F256" s="201"/>
      <c r="G256" s="199"/>
      <c r="H256" s="199"/>
      <c r="I256" s="200"/>
      <c r="J256" s="201"/>
      <c r="K256" s="199"/>
      <c r="L256" s="199"/>
      <c r="M256" s="200"/>
      <c r="N256" s="318"/>
      <c r="O256" s="319" t="s">
        <v>634</v>
      </c>
      <c r="P256" s="312" t="s">
        <v>632</v>
      </c>
      <c r="Q256" s="313" t="s">
        <v>646</v>
      </c>
      <c r="R256" s="314">
        <v>0</v>
      </c>
      <c r="S256" s="315"/>
      <c r="T256" s="315"/>
      <c r="U256" s="316">
        <v>0</v>
      </c>
      <c r="V256" s="314"/>
      <c r="W256" s="315"/>
      <c r="X256" s="315"/>
      <c r="Y256" s="316">
        <v>3</v>
      </c>
      <c r="Z256" s="314"/>
      <c r="AA256" s="315"/>
      <c r="AB256" s="315"/>
      <c r="AC256" s="316">
        <v>0</v>
      </c>
      <c r="AD256" s="314"/>
      <c r="AE256" s="316"/>
    </row>
    <row r="257" spans="1:44" ht="24.75" hidden="1" thickBot="1">
      <c r="A257" s="885"/>
      <c r="B257" s="885"/>
      <c r="C257" s="9" t="s">
        <v>303</v>
      </c>
      <c r="D257" s="202"/>
      <c r="E257" s="203"/>
      <c r="F257" s="201"/>
      <c r="G257" s="202"/>
      <c r="H257" s="202"/>
      <c r="I257" s="203"/>
      <c r="J257" s="201"/>
      <c r="K257" s="202"/>
      <c r="L257" s="202"/>
      <c r="M257" s="203"/>
      <c r="N257" s="322"/>
      <c r="O257" s="323"/>
      <c r="P257" s="324"/>
      <c r="Q257" s="324"/>
      <c r="R257" s="317"/>
      <c r="S257" s="320"/>
      <c r="T257" s="320"/>
      <c r="U257" s="321"/>
      <c r="V257" s="325"/>
      <c r="W257" s="319" t="s">
        <v>633</v>
      </c>
      <c r="X257" s="312" t="s">
        <v>632</v>
      </c>
      <c r="Y257" s="316">
        <v>0</v>
      </c>
      <c r="Z257" s="314"/>
      <c r="AA257" s="315"/>
      <c r="AB257" s="315"/>
      <c r="AC257" s="316">
        <v>0</v>
      </c>
      <c r="AD257" s="314"/>
      <c r="AE257" s="316"/>
    </row>
    <row r="258" spans="1:44" ht="13.5" hidden="1" thickBot="1">
      <c r="A258" s="869"/>
      <c r="B258" s="869"/>
      <c r="C258" s="9" t="s">
        <v>304</v>
      </c>
      <c r="D258" s="202"/>
      <c r="E258" s="203"/>
      <c r="F258" s="201"/>
      <c r="G258" s="202"/>
      <c r="H258" s="202"/>
      <c r="I258" s="203"/>
      <c r="J258" s="201"/>
      <c r="K258" s="202"/>
      <c r="L258" s="202"/>
      <c r="M258" s="203"/>
      <c r="N258" s="322"/>
      <c r="O258" s="324"/>
      <c r="P258" s="324"/>
      <c r="Q258" s="324"/>
      <c r="R258" s="317"/>
      <c r="S258" s="320"/>
      <c r="T258" s="320"/>
      <c r="U258" s="321"/>
      <c r="V258" s="325"/>
      <c r="W258" s="319" t="s">
        <v>633</v>
      </c>
      <c r="X258" s="312" t="s">
        <v>632</v>
      </c>
      <c r="Y258" s="316">
        <v>0</v>
      </c>
      <c r="Z258" s="314"/>
      <c r="AA258" s="315"/>
      <c r="AB258" s="315"/>
      <c r="AC258" s="316">
        <v>0</v>
      </c>
      <c r="AD258" s="314"/>
      <c r="AE258" s="316"/>
    </row>
    <row r="259" spans="1:44" ht="12.95" hidden="1" customHeight="1" thickBot="1">
      <c r="A259" s="231"/>
      <c r="B259" s="231"/>
      <c r="C259" s="231"/>
      <c r="D259" s="232"/>
      <c r="E259" s="233"/>
      <c r="F259" s="234"/>
      <c r="G259" s="232"/>
      <c r="H259" s="232"/>
      <c r="I259" s="233"/>
      <c r="J259" s="234"/>
      <c r="K259" s="232"/>
      <c r="L259" s="232"/>
      <c r="M259" s="233"/>
      <c r="N259" s="328"/>
      <c r="O259" s="326"/>
      <c r="P259" s="326"/>
      <c r="Q259" s="327"/>
      <c r="R259" s="328"/>
      <c r="S259" s="326"/>
      <c r="T259" s="326"/>
      <c r="U259" s="327"/>
      <c r="V259" s="328"/>
      <c r="W259" s="326"/>
      <c r="X259" s="326"/>
      <c r="Y259" s="327"/>
      <c r="Z259" s="328"/>
      <c r="AA259" s="326"/>
      <c r="AB259" s="326"/>
      <c r="AC259" s="327"/>
      <c r="AD259" s="328"/>
      <c r="AE259" s="327"/>
    </row>
    <row r="260" spans="1:44" ht="12.95" hidden="1" customHeight="1" thickBot="1">
      <c r="A260" s="231"/>
      <c r="B260" s="231"/>
      <c r="C260" s="231"/>
      <c r="D260" s="232"/>
      <c r="E260" s="233"/>
      <c r="F260" s="234"/>
      <c r="G260" s="232"/>
      <c r="H260" s="232"/>
      <c r="I260" s="233"/>
      <c r="J260" s="234"/>
      <c r="K260" s="232"/>
      <c r="L260" s="232"/>
      <c r="M260" s="233"/>
      <c r="N260" s="328"/>
      <c r="O260" s="326"/>
      <c r="P260" s="326"/>
      <c r="Q260" s="327"/>
      <c r="R260" s="328"/>
      <c r="S260" s="326"/>
      <c r="T260" s="326"/>
      <c r="U260" s="327"/>
      <c r="V260" s="328"/>
      <c r="W260" s="326"/>
      <c r="X260" s="326"/>
      <c r="Y260" s="327"/>
      <c r="Z260" s="328"/>
      <c r="AA260" s="326"/>
      <c r="AB260" s="326"/>
      <c r="AC260" s="327"/>
      <c r="AD260" s="328"/>
      <c r="AE260" s="327"/>
    </row>
    <row r="261" spans="1:44" ht="12.95" hidden="1" customHeight="1" thickBot="1">
      <c r="A261" s="231"/>
      <c r="B261" s="231"/>
      <c r="C261" s="231"/>
      <c r="D261" s="232"/>
      <c r="E261" s="233"/>
      <c r="F261" s="234"/>
      <c r="G261" s="232"/>
      <c r="H261" s="232"/>
      <c r="I261" s="233"/>
      <c r="J261" s="234"/>
      <c r="K261" s="232"/>
      <c r="L261" s="232"/>
      <c r="M261" s="233"/>
      <c r="N261" s="328"/>
      <c r="O261" s="326"/>
      <c r="P261" s="326"/>
      <c r="Q261" s="327"/>
      <c r="R261" s="328"/>
      <c r="S261" s="326"/>
      <c r="T261" s="326"/>
      <c r="U261" s="327"/>
      <c r="V261" s="328"/>
      <c r="W261" s="326"/>
      <c r="X261" s="326"/>
      <c r="Y261" s="327"/>
      <c r="Z261" s="328"/>
      <c r="AA261" s="326"/>
      <c r="AB261" s="326"/>
      <c r="AC261" s="327"/>
      <c r="AD261" s="328"/>
      <c r="AE261" s="327"/>
    </row>
    <row r="262" spans="1:44" ht="12.95" hidden="1" customHeight="1" thickBot="1">
      <c r="A262" s="231"/>
      <c r="B262" s="231"/>
      <c r="C262" s="231"/>
      <c r="D262" s="232"/>
      <c r="E262" s="233"/>
      <c r="F262" s="234"/>
      <c r="G262" s="232"/>
      <c r="H262" s="232"/>
      <c r="I262" s="233"/>
      <c r="J262" s="234"/>
      <c r="K262" s="232"/>
      <c r="L262" s="232"/>
      <c r="M262" s="233"/>
      <c r="N262" s="328"/>
      <c r="O262" s="326"/>
      <c r="P262" s="326"/>
      <c r="Q262" s="327"/>
      <c r="R262" s="328"/>
      <c r="S262" s="326"/>
      <c r="T262" s="326"/>
      <c r="U262" s="327"/>
      <c r="V262" s="328"/>
      <c r="W262" s="326"/>
      <c r="X262" s="326"/>
      <c r="Y262" s="327"/>
      <c r="Z262" s="328"/>
      <c r="AA262" s="326"/>
      <c r="AB262" s="326"/>
      <c r="AC262" s="327"/>
      <c r="AD262" s="328"/>
      <c r="AE262" s="327"/>
    </row>
    <row r="263" spans="1:44" ht="12.95" hidden="1" customHeight="1" thickBot="1">
      <c r="A263" s="231"/>
      <c r="B263" s="231"/>
      <c r="C263" s="231"/>
      <c r="D263" s="232"/>
      <c r="E263" s="233"/>
      <c r="F263" s="234"/>
      <c r="G263" s="232"/>
      <c r="H263" s="232"/>
      <c r="I263" s="233"/>
      <c r="J263" s="234"/>
      <c r="K263" s="232"/>
      <c r="L263" s="232"/>
      <c r="M263" s="233"/>
      <c r="N263" s="328"/>
      <c r="O263" s="326"/>
      <c r="P263" s="326"/>
      <c r="Q263" s="327"/>
      <c r="R263" s="328"/>
      <c r="S263" s="326"/>
      <c r="T263" s="326"/>
      <c r="U263" s="327"/>
      <c r="V263" s="328"/>
      <c r="W263" s="326"/>
      <c r="X263" s="326"/>
      <c r="Y263" s="327"/>
      <c r="Z263" s="328"/>
      <c r="AA263" s="326"/>
      <c r="AB263" s="326"/>
      <c r="AC263" s="327"/>
      <c r="AD263" s="328"/>
      <c r="AE263" s="327"/>
    </row>
    <row r="264" spans="1:44" ht="12.95" hidden="1" customHeight="1" thickBot="1">
      <c r="A264" s="231"/>
      <c r="B264" s="231"/>
      <c r="C264" s="231"/>
      <c r="D264" s="232"/>
      <c r="E264" s="233"/>
      <c r="F264" s="234"/>
      <c r="G264" s="232"/>
      <c r="H264" s="232"/>
      <c r="I264" s="233"/>
      <c r="J264" s="234"/>
      <c r="K264" s="232"/>
      <c r="L264" s="232"/>
      <c r="M264" s="233"/>
      <c r="N264" s="328"/>
      <c r="O264" s="326"/>
      <c r="P264" s="326"/>
      <c r="Q264" s="327"/>
      <c r="R264" s="328"/>
      <c r="S264" s="326"/>
      <c r="T264" s="326"/>
      <c r="U264" s="327"/>
      <c r="V264" s="328"/>
      <c r="W264" s="326"/>
      <c r="X264" s="326"/>
      <c r="Y264" s="327"/>
      <c r="Z264" s="328"/>
      <c r="AA264" s="326"/>
      <c r="AB264" s="326"/>
      <c r="AC264" s="327"/>
      <c r="AD264" s="328"/>
      <c r="AE264" s="327"/>
    </row>
    <row r="265" spans="1:44">
      <c r="A265" s="5"/>
      <c r="B265" s="5"/>
      <c r="C265" s="6"/>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row>
    <row r="266" spans="1:44" ht="13.5" thickBot="1">
      <c r="A266" s="5"/>
      <c r="B266" s="5"/>
      <c r="C266" s="6"/>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G266" s="357" t="s">
        <v>1110</v>
      </c>
      <c r="AH266" s="416" t="s">
        <v>1109</v>
      </c>
    </row>
    <row r="267" spans="1:44" ht="12.95" customHeight="1" thickBot="1">
      <c r="A267" s="300" t="s">
        <v>15</v>
      </c>
      <c r="B267" s="299" t="s">
        <v>19</v>
      </c>
      <c r="C267" s="8"/>
      <c r="D267" s="1377">
        <v>2008</v>
      </c>
      <c r="E267" s="1378"/>
      <c r="F267" s="1372">
        <v>2009</v>
      </c>
      <c r="G267" s="1373"/>
      <c r="H267" s="1373"/>
      <c r="I267" s="1374"/>
      <c r="J267" s="1372">
        <v>2010</v>
      </c>
      <c r="K267" s="1373"/>
      <c r="L267" s="1373"/>
      <c r="M267" s="1374"/>
      <c r="N267" s="1372">
        <v>2011</v>
      </c>
      <c r="O267" s="1373"/>
      <c r="P267" s="1373"/>
      <c r="Q267" s="1374"/>
      <c r="R267" s="1372">
        <v>2012</v>
      </c>
      <c r="S267" s="1373"/>
      <c r="T267" s="1373"/>
      <c r="U267" s="1374"/>
      <c r="V267" s="1372">
        <v>2013</v>
      </c>
      <c r="W267" s="1373"/>
      <c r="X267" s="1373"/>
      <c r="Y267" s="1374"/>
      <c r="Z267" s="1372">
        <v>2014</v>
      </c>
      <c r="AA267" s="1373"/>
      <c r="AB267" s="1373"/>
      <c r="AC267" s="1374"/>
      <c r="AD267" s="1372">
        <v>2015</v>
      </c>
      <c r="AE267" s="1374"/>
      <c r="AG267" s="351" t="s">
        <v>1050</v>
      </c>
      <c r="AH267" s="660">
        <f>(SUM(AH268:AH272))/5</f>
        <v>0</v>
      </c>
      <c r="AI267" s="661">
        <f>(SUM(AI268:AI272))/5</f>
        <v>227361.88754883982</v>
      </c>
      <c r="AJ267" s="661">
        <f>(SUM(AJ268:AJ275))/8</f>
        <v>246251.79408844016</v>
      </c>
      <c r="AK267" s="661">
        <f>(SUM(AK268:AK275))/8</f>
        <v>323411.89774358575</v>
      </c>
      <c r="AL267" s="662">
        <f>(SUM(AL268:AL275))/8</f>
        <v>405895.17802112736</v>
      </c>
      <c r="AN267" s="676">
        <f>(SUM(AN268:AN272))/5</f>
        <v>1</v>
      </c>
      <c r="AO267" s="677">
        <f>(SUM(AO268:AO275))/8</f>
        <v>1.03125</v>
      </c>
      <c r="AP267" s="677">
        <f>(SUM(AP268:AP275))/8</f>
        <v>1.5972222222222219</v>
      </c>
      <c r="AQ267" s="677">
        <f>(SUM(AQ268:AQ275))/8</f>
        <v>2.458333333333333</v>
      </c>
      <c r="AR267" s="678">
        <f>(SUM(AR268:AR275))/8</f>
        <v>3.2048611111111116</v>
      </c>
    </row>
    <row r="268" spans="1:44" ht="12.95" customHeight="1" thickBot="1">
      <c r="A268" s="868" t="s">
        <v>61</v>
      </c>
      <c r="B268" s="868" t="s">
        <v>62</v>
      </c>
      <c r="C268" s="250" t="s">
        <v>649</v>
      </c>
      <c r="D268" s="245"/>
      <c r="E268" s="246"/>
      <c r="F268" s="247"/>
      <c r="G268" s="245"/>
      <c r="H268" s="245"/>
      <c r="I268" s="246"/>
      <c r="J268" s="247"/>
      <c r="K268" s="245"/>
      <c r="L268" s="245"/>
      <c r="M268" s="246"/>
      <c r="N268" s="567"/>
      <c r="O268" s="568">
        <v>60371.463774367847</v>
      </c>
      <c r="P268" s="568"/>
      <c r="Q268" s="569"/>
      <c r="R268" s="567"/>
      <c r="S268" s="568"/>
      <c r="T268" s="568"/>
      <c r="U268" s="568">
        <v>28147.620476721055</v>
      </c>
      <c r="V268" s="567"/>
      <c r="W268" s="568"/>
      <c r="X268" s="568"/>
      <c r="Y268" s="568">
        <v>23052.027476187017</v>
      </c>
      <c r="Z268" s="567"/>
      <c r="AA268" s="568"/>
      <c r="AB268" s="568"/>
      <c r="AC268" s="568">
        <v>41718.744654545459</v>
      </c>
      <c r="AD268" s="567"/>
      <c r="AE268" s="570"/>
      <c r="AG268" s="351" t="s">
        <v>756</v>
      </c>
      <c r="AH268" s="651">
        <v>0</v>
      </c>
      <c r="AI268" s="652">
        <f>O268+O291+O314</f>
        <v>241485.85509747139</v>
      </c>
      <c r="AJ268" s="652">
        <f>AI268+U268+U291+U314</f>
        <v>354076.33700435556</v>
      </c>
      <c r="AK268" s="652">
        <f>AJ268+Y268+Y291+Y314</f>
        <v>435587.03935910366</v>
      </c>
      <c r="AL268" s="653">
        <f>AK268+AC268+AC291+AC314</f>
        <v>524908.68741165916</v>
      </c>
      <c r="AN268" s="664">
        <f>('State DisAgg LFx10 (2014)'!D268+'State DisAgg LFx10 (2014)'!D291)/2</f>
        <v>1</v>
      </c>
      <c r="AO268" s="673">
        <f>('State DisAgg LFx10 (2014)'!H278+'State DisAgg LFx10 (2014)'!H301)/2</f>
        <v>0</v>
      </c>
      <c r="AP268" s="673">
        <f>('State DisAgg LFx10 (2014)'!L278+'State DisAgg LFx10 (2014)'!L301+('State DisAgg LFx10 (2014)'!L324/3))/3</f>
        <v>1.7</v>
      </c>
      <c r="AQ268" s="673">
        <f>('State DisAgg LFx10 (2014)'!P278+'State DisAgg LFx10 (2014)'!P301+('State DisAgg LFx10 (2014)'!P324/3))/3</f>
        <v>2.6999999999999997</v>
      </c>
      <c r="AR268" s="674">
        <f>('State DisAgg LFx10 (2014)'!T278+'State DisAgg LFx10 (2014)'!T301+('State DisAgg LFx10 (2014)'!T324/3))/3</f>
        <v>3.6944444444444446</v>
      </c>
    </row>
    <row r="269" spans="1:44" ht="13.5" thickBot="1">
      <c r="A269" s="885"/>
      <c r="B269" s="885"/>
      <c r="C269" s="250" t="s">
        <v>650</v>
      </c>
      <c r="D269" s="245"/>
      <c r="E269" s="246"/>
      <c r="F269" s="247"/>
      <c r="G269" s="245"/>
      <c r="H269" s="245"/>
      <c r="I269" s="246"/>
      <c r="J269" s="247"/>
      <c r="K269" s="245"/>
      <c r="L269" s="245"/>
      <c r="M269" s="246"/>
      <c r="N269" s="567"/>
      <c r="O269" s="568">
        <v>55403.361064192402</v>
      </c>
      <c r="P269" s="568"/>
      <c r="Q269" s="569"/>
      <c r="R269" s="567"/>
      <c r="S269" s="568"/>
      <c r="T269" s="568"/>
      <c r="U269" s="568">
        <v>26468.055916764915</v>
      </c>
      <c r="V269" s="567"/>
      <c r="W269" s="568"/>
      <c r="X269" s="568"/>
      <c r="Y269" s="568">
        <v>32085.84565092386</v>
      </c>
      <c r="Z269" s="567"/>
      <c r="AA269" s="568"/>
      <c r="AB269" s="568"/>
      <c r="AC269" s="568">
        <v>31128.856310060608</v>
      </c>
      <c r="AD269" s="567"/>
      <c r="AE269" s="570"/>
      <c r="AG269" s="351" t="s">
        <v>757</v>
      </c>
      <c r="AH269" s="655">
        <v>0</v>
      </c>
      <c r="AI269" s="654">
        <f t="shared" ref="AI269:AI277" si="53">O269+O292+O315</f>
        <v>221613.44425676961</v>
      </c>
      <c r="AJ269" s="654">
        <f t="shared" ref="AJ269:AJ277" si="54">AI269+U269+U292+U315</f>
        <v>327485.66792382929</v>
      </c>
      <c r="AK269" s="654">
        <f t="shared" ref="AK269:AK277" si="55">AJ269+Y269+Y292+Y315</f>
        <v>411895.70872752467</v>
      </c>
      <c r="AL269" s="656">
        <f t="shared" ref="AL269:AL277" si="56">AK269+AC269+AC292+AC315</f>
        <v>489472.30707592866</v>
      </c>
      <c r="AN269" s="663">
        <f>('State DisAgg LFx10 (2014)'!D269+'State DisAgg LFx10 (2014)'!D292)/2</f>
        <v>1</v>
      </c>
      <c r="AO269" s="665">
        <f>('State DisAgg LFx10 (2014)'!H279+'State DisAgg LFx10 (2014)'!H302)/2</f>
        <v>1.75</v>
      </c>
      <c r="AP269" s="665">
        <f>('State DisAgg LFx10 (2014)'!L279+'State DisAgg LFx10 (2014)'!L302+('State DisAgg LFx10 (2014)'!L325/3))/3</f>
        <v>2.2222222222222223</v>
      </c>
      <c r="AQ269" s="665">
        <f>('State DisAgg LFx10 (2014)'!P279+'State DisAgg LFx10 (2014)'!P302+('State DisAgg LFx10 (2014)'!P325/3))/3</f>
        <v>3.2999999999999994</v>
      </c>
      <c r="AR269" s="666">
        <f>('State DisAgg LFx10 (2014)'!T279+'State DisAgg LFx10 (2014)'!T302+('State DisAgg LFx10 (2014)'!T325/3))/3</f>
        <v>3.9333333333333336</v>
      </c>
    </row>
    <row r="270" spans="1:44" ht="13.5" thickBot="1">
      <c r="A270" s="885"/>
      <c r="B270" s="885"/>
      <c r="C270" s="250" t="s">
        <v>651</v>
      </c>
      <c r="D270" s="245"/>
      <c r="E270" s="246"/>
      <c r="F270" s="247"/>
      <c r="G270" s="245"/>
      <c r="H270" s="245"/>
      <c r="I270" s="246"/>
      <c r="J270" s="247"/>
      <c r="K270" s="245"/>
      <c r="L270" s="245"/>
      <c r="M270" s="246"/>
      <c r="N270" s="567"/>
      <c r="O270" s="568">
        <v>55644.546511911707</v>
      </c>
      <c r="P270" s="568"/>
      <c r="Q270" s="569"/>
      <c r="R270" s="567"/>
      <c r="S270" s="568"/>
      <c r="T270" s="568"/>
      <c r="U270" s="568">
        <v>27449.621438168426</v>
      </c>
      <c r="V270" s="567"/>
      <c r="W270" s="568"/>
      <c r="X270" s="568"/>
      <c r="Y270" s="568">
        <v>59120.311073372373</v>
      </c>
      <c r="Z270" s="567"/>
      <c r="AA270" s="568"/>
      <c r="AB270" s="568"/>
      <c r="AC270" s="568">
        <v>24736.850086323233</v>
      </c>
      <c r="AD270" s="567"/>
      <c r="AE270" s="570"/>
      <c r="AG270" s="351" t="s">
        <v>758</v>
      </c>
      <c r="AH270" s="655">
        <v>0</v>
      </c>
      <c r="AI270" s="654">
        <f t="shared" si="53"/>
        <v>222578.18604764683</v>
      </c>
      <c r="AJ270" s="654">
        <f t="shared" si="54"/>
        <v>332376.67180032056</v>
      </c>
      <c r="AK270" s="654">
        <f t="shared" si="55"/>
        <v>447170.00629381003</v>
      </c>
      <c r="AL270" s="656">
        <f t="shared" si="56"/>
        <v>517298.07294625446</v>
      </c>
      <c r="AN270" s="663">
        <f>('State DisAgg LFx10 (2014)'!D270+'State DisAgg LFx10 (2014)'!D293)/2</f>
        <v>1</v>
      </c>
      <c r="AO270" s="665">
        <f>('State DisAgg LFx10 (2014)'!H280+'State DisAgg LFx10 (2014)'!H303)/2</f>
        <v>1</v>
      </c>
      <c r="AP270" s="665">
        <f>('State DisAgg LFx10 (2014)'!L280+'State DisAgg LFx10 (2014)'!L303+('State DisAgg LFx10 (2014)'!L326/3))/3</f>
        <v>2.0555555555555558</v>
      </c>
      <c r="AQ270" s="665">
        <f>('State DisAgg LFx10 (2014)'!P280+'State DisAgg LFx10 (2014)'!P303+('State DisAgg LFx10 (2014)'!P326/3))/3</f>
        <v>2.5333333333333332</v>
      </c>
      <c r="AR270" s="666">
        <f>('State DisAgg LFx10 (2014)'!T280+'State DisAgg LFx10 (2014)'!T303+('State DisAgg LFx10 (2014)'!T326/3))/3</f>
        <v>3.1888888888888887</v>
      </c>
    </row>
    <row r="271" spans="1:44" ht="13.5" thickBot="1">
      <c r="A271" s="885"/>
      <c r="B271" s="885"/>
      <c r="C271" s="250" t="s">
        <v>652</v>
      </c>
      <c r="D271" s="245"/>
      <c r="E271" s="246"/>
      <c r="F271" s="247"/>
      <c r="G271" s="245"/>
      <c r="H271" s="245"/>
      <c r="I271" s="246"/>
      <c r="J271" s="247"/>
      <c r="K271" s="245"/>
      <c r="L271" s="245"/>
      <c r="M271" s="246"/>
      <c r="N271" s="567"/>
      <c r="O271" s="568">
        <v>54099.98930770118</v>
      </c>
      <c r="P271" s="568"/>
      <c r="Q271" s="569"/>
      <c r="R271" s="567"/>
      <c r="S271" s="568"/>
      <c r="T271" s="568"/>
      <c r="U271" s="568">
        <v>29023.197930887723</v>
      </c>
      <c r="V271" s="567"/>
      <c r="W271" s="568"/>
      <c r="X271" s="568"/>
      <c r="Y271" s="568">
        <v>16648.857380534842</v>
      </c>
      <c r="Z271" s="567"/>
      <c r="AA271" s="568"/>
      <c r="AB271" s="568"/>
      <c r="AC271" s="568">
        <v>23251.612308555556</v>
      </c>
      <c r="AD271" s="567"/>
      <c r="AE271" s="570"/>
      <c r="AG271" s="351" t="s">
        <v>759</v>
      </c>
      <c r="AH271" s="655">
        <v>0</v>
      </c>
      <c r="AI271" s="654">
        <f t="shared" si="53"/>
        <v>216399.95723080472</v>
      </c>
      <c r="AJ271" s="654">
        <f t="shared" si="54"/>
        <v>332492.7489543556</v>
      </c>
      <c r="AK271" s="654">
        <f t="shared" si="55"/>
        <v>406460.25717649504</v>
      </c>
      <c r="AL271" s="656">
        <f t="shared" si="56"/>
        <v>500427.18519259605</v>
      </c>
      <c r="AN271" s="663">
        <f>('State DisAgg LFx10 (2014)'!D271+'State DisAgg LFx10 (2014)'!D294)/2</f>
        <v>1</v>
      </c>
      <c r="AO271" s="665">
        <f>('State DisAgg LFx10 (2014)'!H281+'State DisAgg LFx10 (2014)'!H304)/2</f>
        <v>1.5</v>
      </c>
      <c r="AP271" s="665">
        <f>('State DisAgg LFx10 (2014)'!L281+'State DisAgg LFx10 (2014)'!L304+('State DisAgg LFx10 (2014)'!L327/3))/3</f>
        <v>2.6444444444444444</v>
      </c>
      <c r="AQ271" s="665">
        <f>('State DisAgg LFx10 (2014)'!P281+'State DisAgg LFx10 (2014)'!P304+('State DisAgg LFx10 (2014)'!P327/3))/3</f>
        <v>3.4888888888888889</v>
      </c>
      <c r="AR271" s="666">
        <f>('State DisAgg LFx10 (2014)'!T281+'State DisAgg LFx10 (2014)'!T304+('State DisAgg LFx10 (2014)'!T327/3))/3</f>
        <v>3.5</v>
      </c>
    </row>
    <row r="272" spans="1:44" ht="13.5" thickBot="1">
      <c r="A272" s="885"/>
      <c r="B272" s="885"/>
      <c r="C272" s="250" t="s">
        <v>653</v>
      </c>
      <c r="D272" s="245"/>
      <c r="E272" s="246"/>
      <c r="F272" s="247"/>
      <c r="G272" s="245"/>
      <c r="H272" s="245"/>
      <c r="I272" s="246"/>
      <c r="J272" s="247"/>
      <c r="K272" s="245"/>
      <c r="L272" s="245"/>
      <c r="M272" s="246"/>
      <c r="N272" s="567"/>
      <c r="O272" s="568">
        <v>58682.998777876623</v>
      </c>
      <c r="P272" s="568"/>
      <c r="Q272" s="569"/>
      <c r="R272" s="567"/>
      <c r="S272" s="568"/>
      <c r="T272" s="568"/>
      <c r="U272" s="568">
        <v>42608.756788343861</v>
      </c>
      <c r="V272" s="567"/>
      <c r="W272" s="568"/>
      <c r="X272" s="568"/>
      <c r="Y272" s="568">
        <v>20569.843414058865</v>
      </c>
      <c r="Z272" s="567"/>
      <c r="AA272" s="568"/>
      <c r="AB272" s="568"/>
      <c r="AC272" s="568">
        <v>50130.962560424246</v>
      </c>
      <c r="AD272" s="567"/>
      <c r="AE272" s="570"/>
      <c r="AG272" s="351" t="s">
        <v>760</v>
      </c>
      <c r="AH272" s="655">
        <v>0</v>
      </c>
      <c r="AI272" s="654">
        <f t="shared" si="53"/>
        <v>234731.99511150649</v>
      </c>
      <c r="AJ272" s="654">
        <f t="shared" si="54"/>
        <v>405167.02226488193</v>
      </c>
      <c r="AK272" s="654">
        <f t="shared" si="55"/>
        <v>479665.38712111738</v>
      </c>
      <c r="AL272" s="656">
        <f t="shared" si="56"/>
        <v>588930.42114600632</v>
      </c>
      <c r="AN272" s="663">
        <f>('State DisAgg LFx10 (2014)'!D272+'State DisAgg LFx10 (2014)'!D295)/2</f>
        <v>1</v>
      </c>
      <c r="AO272" s="665">
        <f>('State DisAgg LFx10 (2014)'!H282+'State DisAgg LFx10 (2014)'!H305)/2</f>
        <v>1</v>
      </c>
      <c r="AP272" s="665">
        <f>('State DisAgg LFx10 (2014)'!L282+'State DisAgg LFx10 (2014)'!L305+('State DisAgg LFx10 (2014)'!L328/3))/3</f>
        <v>2.1555555555555554</v>
      </c>
      <c r="AQ272" s="665">
        <f>('State DisAgg LFx10 (2014)'!P282+'State DisAgg LFx10 (2014)'!P305+('State DisAgg LFx10 (2014)'!P328/3))/3</f>
        <v>2.9777777777777779</v>
      </c>
      <c r="AR272" s="666">
        <f>('State DisAgg LFx10 (2014)'!T282+'State DisAgg LFx10 (2014)'!T305+('State DisAgg LFx10 (2014)'!T328/3))/3</f>
        <v>4.1000000000000005</v>
      </c>
    </row>
    <row r="273" spans="1:44" ht="12.95" customHeight="1" thickBot="1">
      <c r="A273" s="885"/>
      <c r="B273" s="885"/>
      <c r="C273" s="250" t="s">
        <v>654</v>
      </c>
      <c r="D273" s="248"/>
      <c r="E273" s="249"/>
      <c r="F273" s="247"/>
      <c r="G273" s="248"/>
      <c r="H273" s="248"/>
      <c r="I273" s="249"/>
      <c r="J273" s="247"/>
      <c r="K273" s="248"/>
      <c r="L273" s="248"/>
      <c r="M273" s="249"/>
      <c r="N273" s="571"/>
      <c r="O273" s="572"/>
      <c r="P273" s="572"/>
      <c r="Q273" s="572"/>
      <c r="R273" s="567"/>
      <c r="S273" s="568"/>
      <c r="T273" s="568"/>
      <c r="U273" s="568">
        <v>17991.257794235913</v>
      </c>
      <c r="V273" s="567"/>
      <c r="W273" s="568"/>
      <c r="X273" s="568"/>
      <c r="Y273" s="568">
        <v>31637.1172561393</v>
      </c>
      <c r="Z273" s="567"/>
      <c r="AA273" s="568"/>
      <c r="AB273" s="568"/>
      <c r="AC273" s="568">
        <v>33034.355843595957</v>
      </c>
      <c r="AD273" s="567"/>
      <c r="AE273" s="570"/>
      <c r="AG273" s="351" t="s">
        <v>761</v>
      </c>
      <c r="AH273" s="655">
        <v>0</v>
      </c>
      <c r="AI273" s="654">
        <f t="shared" si="53"/>
        <v>0</v>
      </c>
      <c r="AJ273" s="654">
        <f t="shared" si="54"/>
        <v>71965.031176943652</v>
      </c>
      <c r="AK273" s="654">
        <f t="shared" si="55"/>
        <v>146038.75240150088</v>
      </c>
      <c r="AL273" s="656">
        <f t="shared" si="56"/>
        <v>230338.99082101602</v>
      </c>
      <c r="AN273" s="663">
        <f>AO273</f>
        <v>1</v>
      </c>
      <c r="AO273" s="665">
        <f>('State DisAgg LFx10 (2014)'!H273+'State DisAgg LFx10 (2014)'!H296)/2</f>
        <v>1</v>
      </c>
      <c r="AP273" s="665">
        <f>('State DisAgg LFx10 (2014)'!L283+'State DisAgg LFx10 (2014)'!L306+('State DisAgg LFx10 (2014)'!L329/3))/3</f>
        <v>0.66666666666666663</v>
      </c>
      <c r="AQ273" s="665">
        <f>('State DisAgg LFx10 (2014)'!P283+'State DisAgg LFx10 (2014)'!P306+('State DisAgg LFx10 (2014)'!P329/3))/3</f>
        <v>1.6666666666666667</v>
      </c>
      <c r="AR273" s="666">
        <f>('State DisAgg LFx10 (2014)'!T283+'State DisAgg LFx10 (2014)'!T306+('State DisAgg LFx10 (2014)'!T329/3))/3</f>
        <v>1.7777777777777777</v>
      </c>
    </row>
    <row r="274" spans="1:44" ht="12.95" customHeight="1" thickBot="1">
      <c r="A274" s="885"/>
      <c r="B274" s="885"/>
      <c r="C274" s="250" t="s">
        <v>655</v>
      </c>
      <c r="D274" s="248"/>
      <c r="E274" s="249"/>
      <c r="F274" s="247"/>
      <c r="G274" s="248"/>
      <c r="H274" s="248"/>
      <c r="I274" s="249"/>
      <c r="J274" s="247"/>
      <c r="K274" s="248"/>
      <c r="L274" s="248"/>
      <c r="M274" s="249"/>
      <c r="N274" s="571"/>
      <c r="O274" s="572"/>
      <c r="P274" s="572"/>
      <c r="Q274" s="572"/>
      <c r="R274" s="567"/>
      <c r="S274" s="568"/>
      <c r="T274" s="568"/>
      <c r="U274" s="568">
        <v>17943.208154893811</v>
      </c>
      <c r="V274" s="567"/>
      <c r="W274" s="568"/>
      <c r="X274" s="568"/>
      <c r="Y274" s="568">
        <v>17768.335476757151</v>
      </c>
      <c r="Z274" s="567"/>
      <c r="AA274" s="568"/>
      <c r="AB274" s="568"/>
      <c r="AC274" s="568">
        <v>21949.636044959596</v>
      </c>
      <c r="AD274" s="567"/>
      <c r="AE274" s="570"/>
      <c r="AG274" s="351" t="s">
        <v>762</v>
      </c>
      <c r="AH274" s="655">
        <v>0</v>
      </c>
      <c r="AI274" s="654">
        <f t="shared" si="53"/>
        <v>0</v>
      </c>
      <c r="AJ274" s="654">
        <f t="shared" si="54"/>
        <v>71772.832619575245</v>
      </c>
      <c r="AK274" s="654">
        <f t="shared" si="55"/>
        <v>125687.14047660386</v>
      </c>
      <c r="AL274" s="656">
        <f t="shared" si="56"/>
        <v>191099.0940968261</v>
      </c>
      <c r="AN274" s="663">
        <f t="shared" ref="AN274:AP277" si="57">AO274</f>
        <v>1</v>
      </c>
      <c r="AO274" s="665">
        <f>('State DisAgg LFx10 (2014)'!H274+'State DisAgg LFx10 (2014)'!H297)/2</f>
        <v>1</v>
      </c>
      <c r="AP274" s="665">
        <f>('State DisAgg LFx10 (2014)'!L284+'State DisAgg LFx10 (2014)'!L307+('State DisAgg LFx10 (2014)'!L330/3))/3</f>
        <v>0.66666666666666663</v>
      </c>
      <c r="AQ274" s="665">
        <f>('State DisAgg LFx10 (2014)'!P284+'State DisAgg LFx10 (2014)'!P307+('State DisAgg LFx10 (2014)'!P330/3))/3</f>
        <v>0.70000000000000007</v>
      </c>
      <c r="AR274" s="666">
        <f>('State DisAgg LFx10 (2014)'!T284+'State DisAgg LFx10 (2014)'!T307+('State DisAgg LFx10 (2014)'!T330/3))/3</f>
        <v>2.3000000000000003</v>
      </c>
    </row>
    <row r="275" spans="1:44" ht="12.95" customHeight="1" thickBot="1">
      <c r="A275" s="885"/>
      <c r="B275" s="885"/>
      <c r="C275" s="250" t="s">
        <v>656</v>
      </c>
      <c r="D275" s="248"/>
      <c r="E275" s="249"/>
      <c r="F275" s="247"/>
      <c r="G275" s="248"/>
      <c r="H275" s="248"/>
      <c r="I275" s="249"/>
      <c r="J275" s="247"/>
      <c r="K275" s="248"/>
      <c r="L275" s="248"/>
      <c r="M275" s="249"/>
      <c r="N275" s="571"/>
      <c r="O275" s="572"/>
      <c r="P275" s="572"/>
      <c r="Q275" s="572"/>
      <c r="R275" s="567"/>
      <c r="S275" s="568"/>
      <c r="T275" s="568"/>
      <c r="U275" s="568">
        <v>18669.510240814863</v>
      </c>
      <c r="V275" s="567"/>
      <c r="W275" s="568"/>
      <c r="X275" s="568"/>
      <c r="Y275" s="568">
        <v>11921.176182317793</v>
      </c>
      <c r="Z275" s="567"/>
      <c r="AA275" s="568"/>
      <c r="AB275" s="568"/>
      <c r="AC275" s="568">
        <v>28792.176146636364</v>
      </c>
      <c r="AD275" s="567"/>
      <c r="AE275" s="570"/>
      <c r="AG275" s="351" t="s">
        <v>763</v>
      </c>
      <c r="AH275" s="655">
        <v>0</v>
      </c>
      <c r="AI275" s="654">
        <f t="shared" si="53"/>
        <v>0</v>
      </c>
      <c r="AJ275" s="654">
        <f t="shared" si="54"/>
        <v>74678.040963259453</v>
      </c>
      <c r="AK275" s="654">
        <f t="shared" si="55"/>
        <v>134790.89039253062</v>
      </c>
      <c r="AL275" s="656">
        <f t="shared" si="56"/>
        <v>204686.66547873267</v>
      </c>
      <c r="AN275" s="663">
        <f t="shared" si="57"/>
        <v>1</v>
      </c>
      <c r="AO275" s="665">
        <f>('State DisAgg LFx10 (2014)'!H275+'State DisAgg LFx10 (2014)'!H298)/2</f>
        <v>1</v>
      </c>
      <c r="AP275" s="665">
        <f>('State DisAgg LFx10 (2014)'!L285+'State DisAgg LFx10 (2014)'!L308+('State DisAgg LFx10 (2014)'!L331/3))/3</f>
        <v>0.66666666666666663</v>
      </c>
      <c r="AQ275" s="665">
        <f>('State DisAgg LFx10 (2014)'!P285+'State DisAgg LFx10 (2014)'!P308+('State DisAgg LFx10 (2014)'!P331/3))/3</f>
        <v>2.3000000000000003</v>
      </c>
      <c r="AR275" s="666">
        <f>('State DisAgg LFx10 (2014)'!T285+'State DisAgg LFx10 (2014)'!T308+('State DisAgg LFx10 (2014)'!T331/3))/3</f>
        <v>3.1444444444444444</v>
      </c>
    </row>
    <row r="276" spans="1:44" ht="12.95" customHeight="1" thickBot="1">
      <c r="A276" s="885"/>
      <c r="B276" s="885"/>
      <c r="C276" s="250" t="s">
        <v>657</v>
      </c>
      <c r="D276" s="248"/>
      <c r="E276" s="249"/>
      <c r="F276" s="247"/>
      <c r="G276" s="248"/>
      <c r="H276" s="248"/>
      <c r="I276" s="249"/>
      <c r="J276" s="247"/>
      <c r="K276" s="248"/>
      <c r="L276" s="248"/>
      <c r="M276" s="249"/>
      <c r="N276" s="571"/>
      <c r="O276" s="572"/>
      <c r="P276" s="572"/>
      <c r="Q276" s="573"/>
      <c r="R276" s="571"/>
      <c r="S276" s="572"/>
      <c r="T276" s="572"/>
      <c r="U276" s="573"/>
      <c r="V276" s="571"/>
      <c r="W276" s="572"/>
      <c r="X276" s="572"/>
      <c r="Y276" s="573"/>
      <c r="Z276" s="567"/>
      <c r="AA276" s="568"/>
      <c r="AB276" s="568"/>
      <c r="AC276" s="568">
        <v>14840.379801131312</v>
      </c>
      <c r="AD276" s="567"/>
      <c r="AE276" s="570"/>
      <c r="AG276" s="351" t="s">
        <v>1098</v>
      </c>
      <c r="AH276" s="655">
        <v>0</v>
      </c>
      <c r="AI276" s="654">
        <f t="shared" si="53"/>
        <v>0</v>
      </c>
      <c r="AJ276" s="654">
        <f t="shared" si="54"/>
        <v>0</v>
      </c>
      <c r="AK276" s="654">
        <f t="shared" si="55"/>
        <v>0</v>
      </c>
      <c r="AL276" s="656">
        <f t="shared" si="56"/>
        <v>51586.634415393943</v>
      </c>
      <c r="AN276" s="663">
        <f t="shared" si="57"/>
        <v>0.66666666666666663</v>
      </c>
      <c r="AO276" s="665">
        <f t="shared" si="57"/>
        <v>0.66666666666666663</v>
      </c>
      <c r="AP276" s="665">
        <f t="shared" si="57"/>
        <v>0.66666666666666663</v>
      </c>
      <c r="AQ276" s="665">
        <f>AR276</f>
        <v>0.66666666666666663</v>
      </c>
      <c r="AR276" s="666">
        <f>('State DisAgg LFx10 (2014)'!T286+'State DisAgg LFx10 (2014)'!T309+('State DisAgg LFx10 (2014)'!T332/3))/3</f>
        <v>0.66666666666666663</v>
      </c>
    </row>
    <row r="277" spans="1:44" ht="12.95" customHeight="1" thickBot="1">
      <c r="A277" s="885"/>
      <c r="B277" s="885"/>
      <c r="C277" s="250" t="s">
        <v>658</v>
      </c>
      <c r="D277" s="248"/>
      <c r="E277" s="249"/>
      <c r="F277" s="247"/>
      <c r="G277" s="248"/>
      <c r="H277" s="248"/>
      <c r="I277" s="249"/>
      <c r="J277" s="247"/>
      <c r="K277" s="248"/>
      <c r="L277" s="248"/>
      <c r="M277" s="249"/>
      <c r="N277" s="571"/>
      <c r="O277" s="572"/>
      <c r="P277" s="572"/>
      <c r="Q277" s="573"/>
      <c r="R277" s="571"/>
      <c r="S277" s="572"/>
      <c r="T277" s="572"/>
      <c r="U277" s="573"/>
      <c r="V277" s="571"/>
      <c r="W277" s="572"/>
      <c r="X277" s="572"/>
      <c r="Y277" s="573"/>
      <c r="Z277" s="567"/>
      <c r="AA277" s="568"/>
      <c r="AB277" s="568"/>
      <c r="AC277" s="568">
        <v>14565.045692282829</v>
      </c>
      <c r="AD277" s="567"/>
      <c r="AE277" s="570"/>
      <c r="AG277" s="351" t="s">
        <v>1099</v>
      </c>
      <c r="AH277" s="657">
        <v>0</v>
      </c>
      <c r="AI277" s="658">
        <f t="shared" si="53"/>
        <v>0</v>
      </c>
      <c r="AJ277" s="658">
        <f t="shared" si="54"/>
        <v>0</v>
      </c>
      <c r="AK277" s="658">
        <f t="shared" si="55"/>
        <v>0</v>
      </c>
      <c r="AL277" s="659">
        <f t="shared" si="56"/>
        <v>57368.906248202024</v>
      </c>
      <c r="AN277" s="667">
        <f t="shared" si="57"/>
        <v>0.70000000000000007</v>
      </c>
      <c r="AO277" s="668">
        <f t="shared" si="57"/>
        <v>0.70000000000000007</v>
      </c>
      <c r="AP277" s="668">
        <f t="shared" si="57"/>
        <v>0.70000000000000007</v>
      </c>
      <c r="AQ277" s="668">
        <f>AR277</f>
        <v>0.70000000000000007</v>
      </c>
      <c r="AR277" s="669">
        <f>('State DisAgg LFx10 (2014)'!T287+'State DisAgg LFx10 (2014)'!T310+('State DisAgg LFx10 (2014)'!T333/3))/3</f>
        <v>0.70000000000000007</v>
      </c>
    </row>
    <row r="278" spans="1:44" ht="13.5" hidden="1" thickBot="1">
      <c r="A278" s="885"/>
      <c r="B278" s="885"/>
      <c r="C278" s="9" t="s">
        <v>295</v>
      </c>
      <c r="D278" s="241" t="s">
        <v>632</v>
      </c>
      <c r="E278" s="241" t="s">
        <v>632</v>
      </c>
      <c r="F278" s="243" t="s">
        <v>646</v>
      </c>
      <c r="G278" s="241" t="s">
        <v>646</v>
      </c>
      <c r="H278" s="241" t="s">
        <v>646</v>
      </c>
      <c r="I278" s="244" t="s">
        <v>646</v>
      </c>
      <c r="J278" s="195">
        <v>1</v>
      </c>
      <c r="K278" s="196"/>
      <c r="L278" s="196"/>
      <c r="M278" s="197"/>
      <c r="N278" s="314"/>
      <c r="O278" s="315">
        <v>0</v>
      </c>
      <c r="P278" s="315"/>
      <c r="Q278" s="316"/>
      <c r="R278" s="314"/>
      <c r="S278" s="315"/>
      <c r="T278" s="315"/>
      <c r="U278" s="316">
        <v>1.3</v>
      </c>
      <c r="V278" s="314"/>
      <c r="W278" s="315"/>
      <c r="X278" s="315"/>
      <c r="Y278" s="316">
        <v>3.2</v>
      </c>
      <c r="Z278" s="314"/>
      <c r="AA278" s="315"/>
      <c r="AB278" s="315"/>
      <c r="AC278" s="316">
        <v>0</v>
      </c>
      <c r="AD278" s="314"/>
      <c r="AE278" s="316"/>
    </row>
    <row r="279" spans="1:44" ht="13.5" hidden="1" thickBot="1">
      <c r="A279" s="885"/>
      <c r="B279" s="885"/>
      <c r="C279" s="9" t="s">
        <v>296</v>
      </c>
      <c r="D279" s="241" t="s">
        <v>632</v>
      </c>
      <c r="E279" s="241" t="s">
        <v>632</v>
      </c>
      <c r="F279" s="243" t="s">
        <v>646</v>
      </c>
      <c r="G279" s="241" t="s">
        <v>646</v>
      </c>
      <c r="H279" s="241" t="s">
        <v>646</v>
      </c>
      <c r="I279" s="244" t="s">
        <v>646</v>
      </c>
      <c r="J279" s="195">
        <v>1</v>
      </c>
      <c r="K279" s="196"/>
      <c r="L279" s="196"/>
      <c r="M279" s="197"/>
      <c r="N279" s="314"/>
      <c r="O279" s="315">
        <v>2</v>
      </c>
      <c r="P279" s="315"/>
      <c r="Q279" s="316"/>
      <c r="R279" s="314"/>
      <c r="S279" s="315"/>
      <c r="T279" s="315"/>
      <c r="U279" s="316">
        <v>2.8</v>
      </c>
      <c r="V279" s="314"/>
      <c r="W279" s="315"/>
      <c r="X279" s="315"/>
      <c r="Y279" s="316">
        <v>4.0999999999999996</v>
      </c>
      <c r="Z279" s="314"/>
      <c r="AA279" s="315"/>
      <c r="AB279" s="315"/>
      <c r="AC279" s="316">
        <v>0</v>
      </c>
      <c r="AD279" s="314"/>
      <c r="AE279" s="316"/>
    </row>
    <row r="280" spans="1:44" ht="13.5" hidden="1" thickBot="1">
      <c r="A280" s="885"/>
      <c r="B280" s="885"/>
      <c r="C280" s="9" t="s">
        <v>297</v>
      </c>
      <c r="D280" s="241" t="s">
        <v>632</v>
      </c>
      <c r="E280" s="241" t="s">
        <v>632</v>
      </c>
      <c r="F280" s="243" t="s">
        <v>646</v>
      </c>
      <c r="G280" s="241" t="s">
        <v>646</v>
      </c>
      <c r="H280" s="241" t="s">
        <v>646</v>
      </c>
      <c r="I280" s="244" t="s">
        <v>646</v>
      </c>
      <c r="J280" s="195">
        <v>1</v>
      </c>
      <c r="K280" s="196"/>
      <c r="L280" s="196"/>
      <c r="M280" s="197"/>
      <c r="N280" s="314"/>
      <c r="O280" s="315">
        <v>1</v>
      </c>
      <c r="P280" s="315"/>
      <c r="Q280" s="316"/>
      <c r="R280" s="314"/>
      <c r="S280" s="315"/>
      <c r="T280" s="315"/>
      <c r="U280" s="316">
        <v>2.5</v>
      </c>
      <c r="V280" s="314"/>
      <c r="W280" s="315"/>
      <c r="X280" s="315"/>
      <c r="Y280" s="316">
        <v>2.2999999999999998</v>
      </c>
      <c r="Z280" s="314"/>
      <c r="AA280" s="315"/>
      <c r="AB280" s="315"/>
      <c r="AC280" s="316">
        <v>0</v>
      </c>
      <c r="AD280" s="314"/>
      <c r="AE280" s="316"/>
    </row>
    <row r="281" spans="1:44" ht="13.5" hidden="1" thickBot="1">
      <c r="A281" s="885"/>
      <c r="B281" s="885"/>
      <c r="C281" s="9" t="s">
        <v>298</v>
      </c>
      <c r="D281" s="241" t="s">
        <v>632</v>
      </c>
      <c r="E281" s="241" t="s">
        <v>632</v>
      </c>
      <c r="F281" s="243" t="s">
        <v>646</v>
      </c>
      <c r="G281" s="241" t="s">
        <v>646</v>
      </c>
      <c r="H281" s="241" t="s">
        <v>646</v>
      </c>
      <c r="I281" s="244" t="s">
        <v>646</v>
      </c>
      <c r="J281" s="195">
        <v>1</v>
      </c>
      <c r="K281" s="196"/>
      <c r="L281" s="196"/>
      <c r="M281" s="197"/>
      <c r="N281" s="314"/>
      <c r="O281" s="315">
        <v>2</v>
      </c>
      <c r="P281" s="315"/>
      <c r="Q281" s="316"/>
      <c r="R281" s="314"/>
      <c r="S281" s="315"/>
      <c r="T281" s="315"/>
      <c r="U281" s="316">
        <v>3</v>
      </c>
      <c r="V281" s="314"/>
      <c r="W281" s="315"/>
      <c r="X281" s="315"/>
      <c r="Y281" s="316">
        <v>3.6</v>
      </c>
      <c r="Z281" s="314"/>
      <c r="AA281" s="315"/>
      <c r="AB281" s="315"/>
      <c r="AC281" s="316">
        <v>0</v>
      </c>
      <c r="AD281" s="314"/>
      <c r="AE281" s="316"/>
    </row>
    <row r="282" spans="1:44" ht="13.5" hidden="1" thickBot="1">
      <c r="A282" s="885"/>
      <c r="B282" s="885"/>
      <c r="C282" s="9" t="s">
        <v>299</v>
      </c>
      <c r="D282" s="241" t="s">
        <v>632</v>
      </c>
      <c r="E282" s="241" t="s">
        <v>632</v>
      </c>
      <c r="F282" s="243" t="s">
        <v>646</v>
      </c>
      <c r="G282" s="241" t="s">
        <v>646</v>
      </c>
      <c r="H282" s="241" t="s">
        <v>646</v>
      </c>
      <c r="I282" s="244" t="s">
        <v>646</v>
      </c>
      <c r="J282" s="195">
        <v>1</v>
      </c>
      <c r="K282" s="196"/>
      <c r="L282" s="196"/>
      <c r="M282" s="197"/>
      <c r="N282" s="314"/>
      <c r="O282" s="315">
        <v>1</v>
      </c>
      <c r="P282" s="315"/>
      <c r="Q282" s="316"/>
      <c r="R282" s="314"/>
      <c r="S282" s="315"/>
      <c r="T282" s="315"/>
      <c r="U282" s="316">
        <v>2.9</v>
      </c>
      <c r="V282" s="314"/>
      <c r="W282" s="315"/>
      <c r="X282" s="315"/>
      <c r="Y282" s="316">
        <v>3.6</v>
      </c>
      <c r="Z282" s="314"/>
      <c r="AA282" s="315"/>
      <c r="AB282" s="315"/>
      <c r="AC282" s="316">
        <v>0</v>
      </c>
      <c r="AD282" s="314"/>
      <c r="AE282" s="316"/>
    </row>
    <row r="283" spans="1:44" ht="24.75" hidden="1" thickBot="1">
      <c r="A283" s="885"/>
      <c r="B283" s="885"/>
      <c r="C283" s="9" t="s">
        <v>300</v>
      </c>
      <c r="D283" s="199"/>
      <c r="E283" s="200"/>
      <c r="F283" s="201"/>
      <c r="G283" s="199"/>
      <c r="H283" s="199"/>
      <c r="I283" s="200"/>
      <c r="J283" s="201"/>
      <c r="K283" s="199"/>
      <c r="L283" s="199"/>
      <c r="M283" s="200"/>
      <c r="N283" s="318"/>
      <c r="O283" s="319" t="s">
        <v>634</v>
      </c>
      <c r="P283" s="312" t="s">
        <v>632</v>
      </c>
      <c r="Q283" s="313" t="s">
        <v>646</v>
      </c>
      <c r="R283" s="314">
        <v>1</v>
      </c>
      <c r="S283" s="315"/>
      <c r="T283" s="315"/>
      <c r="U283" s="316">
        <v>1</v>
      </c>
      <c r="V283" s="314"/>
      <c r="W283" s="315"/>
      <c r="X283" s="315"/>
      <c r="Y283" s="316">
        <v>1.2</v>
      </c>
      <c r="Z283" s="314"/>
      <c r="AA283" s="315"/>
      <c r="AB283" s="315"/>
      <c r="AC283" s="316">
        <v>0</v>
      </c>
      <c r="AD283" s="314"/>
      <c r="AE283" s="316"/>
    </row>
    <row r="284" spans="1:44" ht="13.5" hidden="1" thickBot="1">
      <c r="A284" s="885"/>
      <c r="B284" s="885"/>
      <c r="C284" s="9" t="s">
        <v>301</v>
      </c>
      <c r="D284" s="199"/>
      <c r="E284" s="200"/>
      <c r="F284" s="201"/>
      <c r="G284" s="199"/>
      <c r="H284" s="199"/>
      <c r="I284" s="200"/>
      <c r="J284" s="201"/>
      <c r="K284" s="199"/>
      <c r="L284" s="199"/>
      <c r="M284" s="200"/>
      <c r="N284" s="318"/>
      <c r="O284" s="319" t="s">
        <v>634</v>
      </c>
      <c r="P284" s="312" t="s">
        <v>632</v>
      </c>
      <c r="Q284" s="313" t="s">
        <v>646</v>
      </c>
      <c r="R284" s="314">
        <v>1</v>
      </c>
      <c r="S284" s="315"/>
      <c r="T284" s="315"/>
      <c r="U284" s="316">
        <v>1</v>
      </c>
      <c r="V284" s="314"/>
      <c r="W284" s="315"/>
      <c r="X284" s="315"/>
      <c r="Y284" s="316">
        <v>2</v>
      </c>
      <c r="Z284" s="314"/>
      <c r="AA284" s="315"/>
      <c r="AB284" s="315"/>
      <c r="AC284" s="316">
        <v>0</v>
      </c>
      <c r="AD284" s="314"/>
      <c r="AE284" s="316"/>
    </row>
    <row r="285" spans="1:44" ht="13.5" hidden="1" thickBot="1">
      <c r="A285" s="885"/>
      <c r="B285" s="885"/>
      <c r="C285" s="9" t="s">
        <v>302</v>
      </c>
      <c r="D285" s="199"/>
      <c r="E285" s="200"/>
      <c r="F285" s="201"/>
      <c r="G285" s="199"/>
      <c r="H285" s="199"/>
      <c r="I285" s="200"/>
      <c r="J285" s="201"/>
      <c r="K285" s="199"/>
      <c r="L285" s="199"/>
      <c r="M285" s="200"/>
      <c r="N285" s="318"/>
      <c r="O285" s="319" t="s">
        <v>634</v>
      </c>
      <c r="P285" s="312" t="s">
        <v>632</v>
      </c>
      <c r="Q285" s="313" t="s">
        <v>646</v>
      </c>
      <c r="R285" s="314">
        <v>1</v>
      </c>
      <c r="S285" s="315"/>
      <c r="T285" s="315"/>
      <c r="U285" s="316">
        <v>1</v>
      </c>
      <c r="V285" s="314"/>
      <c r="W285" s="315"/>
      <c r="X285" s="315"/>
      <c r="Y285" s="316">
        <v>2</v>
      </c>
      <c r="Z285" s="314"/>
      <c r="AA285" s="315"/>
      <c r="AB285" s="315"/>
      <c r="AC285" s="316">
        <v>0</v>
      </c>
      <c r="AD285" s="314"/>
      <c r="AE285" s="316"/>
    </row>
    <row r="286" spans="1:44" ht="24.75" hidden="1" thickBot="1">
      <c r="A286" s="885"/>
      <c r="B286" s="885"/>
      <c r="C286" s="9" t="s">
        <v>303</v>
      </c>
      <c r="D286" s="202"/>
      <c r="E286" s="203"/>
      <c r="F286" s="201"/>
      <c r="G286" s="202"/>
      <c r="H286" s="202"/>
      <c r="I286" s="203"/>
      <c r="J286" s="201"/>
      <c r="K286" s="202"/>
      <c r="L286" s="202"/>
      <c r="M286" s="203"/>
      <c r="N286" s="322"/>
      <c r="O286" s="323"/>
      <c r="P286" s="324"/>
      <c r="Q286" s="324"/>
      <c r="R286" s="317"/>
      <c r="S286" s="320"/>
      <c r="T286" s="320"/>
      <c r="U286" s="321"/>
      <c r="V286" s="325"/>
      <c r="W286" s="319" t="s">
        <v>633</v>
      </c>
      <c r="X286" s="312" t="s">
        <v>632</v>
      </c>
      <c r="Y286" s="316">
        <v>0</v>
      </c>
      <c r="Z286" s="314"/>
      <c r="AA286" s="315"/>
      <c r="AB286" s="315"/>
      <c r="AC286" s="316">
        <v>0</v>
      </c>
      <c r="AD286" s="314"/>
      <c r="AE286" s="316"/>
    </row>
    <row r="287" spans="1:44" ht="13.5" hidden="1" thickBot="1">
      <c r="A287" s="885"/>
      <c r="B287" s="885"/>
      <c r="C287" s="9" t="s">
        <v>304</v>
      </c>
      <c r="D287" s="202"/>
      <c r="E287" s="203"/>
      <c r="F287" s="201"/>
      <c r="G287" s="202"/>
      <c r="H287" s="202"/>
      <c r="I287" s="203"/>
      <c r="J287" s="201"/>
      <c r="K287" s="202"/>
      <c r="L287" s="202"/>
      <c r="M287" s="203"/>
      <c r="N287" s="322"/>
      <c r="O287" s="324"/>
      <c r="P287" s="324"/>
      <c r="Q287" s="324"/>
      <c r="R287" s="317"/>
      <c r="S287" s="320"/>
      <c r="T287" s="320"/>
      <c r="U287" s="321"/>
      <c r="V287" s="325"/>
      <c r="W287" s="319" t="s">
        <v>633</v>
      </c>
      <c r="X287" s="312" t="s">
        <v>632</v>
      </c>
      <c r="Y287" s="316">
        <v>0</v>
      </c>
      <c r="Z287" s="314"/>
      <c r="AA287" s="315"/>
      <c r="AB287" s="315"/>
      <c r="AC287" s="316">
        <v>0</v>
      </c>
      <c r="AD287" s="314"/>
      <c r="AE287" s="316"/>
    </row>
    <row r="288" spans="1:44" ht="12.95" hidden="1" customHeight="1" thickBot="1">
      <c r="A288" s="885"/>
      <c r="B288" s="298"/>
      <c r="C288" s="231"/>
      <c r="D288" s="232"/>
      <c r="E288" s="233"/>
      <c r="F288" s="234"/>
      <c r="G288" s="232"/>
      <c r="H288" s="232"/>
      <c r="I288" s="233"/>
      <c r="J288" s="234"/>
      <c r="K288" s="232"/>
      <c r="L288" s="232"/>
      <c r="M288" s="233"/>
      <c r="N288" s="328"/>
      <c r="O288" s="326"/>
      <c r="P288" s="326"/>
      <c r="Q288" s="327"/>
      <c r="R288" s="328"/>
      <c r="S288" s="326"/>
      <c r="T288" s="326"/>
      <c r="U288" s="327"/>
      <c r="V288" s="328"/>
      <c r="W288" s="326"/>
      <c r="X288" s="326"/>
      <c r="Y288" s="327"/>
      <c r="Z288" s="328"/>
      <c r="AA288" s="326"/>
      <c r="AB288" s="326"/>
      <c r="AC288" s="327"/>
      <c r="AD288" s="328"/>
      <c r="AE288" s="327"/>
    </row>
    <row r="289" spans="1:44" ht="12.95" hidden="1" customHeight="1" thickBot="1">
      <c r="A289" s="885"/>
      <c r="B289" s="298"/>
      <c r="C289" s="231"/>
      <c r="D289" s="232"/>
      <c r="E289" s="233"/>
      <c r="F289" s="234"/>
      <c r="G289" s="232"/>
      <c r="H289" s="232"/>
      <c r="I289" s="233"/>
      <c r="J289" s="234"/>
      <c r="K289" s="232"/>
      <c r="L289" s="232"/>
      <c r="M289" s="233"/>
      <c r="N289" s="328"/>
      <c r="O289" s="326"/>
      <c r="P289" s="326"/>
      <c r="Q289" s="327"/>
      <c r="R289" s="328"/>
      <c r="S289" s="326"/>
      <c r="T289" s="326"/>
      <c r="U289" s="327"/>
      <c r="V289" s="328"/>
      <c r="W289" s="326"/>
      <c r="X289" s="326"/>
      <c r="Y289" s="327"/>
      <c r="Z289" s="328"/>
      <c r="AA289" s="326"/>
      <c r="AB289" s="326"/>
      <c r="AC289" s="327"/>
      <c r="AD289" s="328"/>
      <c r="AE289" s="327"/>
    </row>
    <row r="290" spans="1:44" ht="12.95" customHeight="1" thickBot="1">
      <c r="A290" s="885"/>
      <c r="B290" s="3" t="s">
        <v>20</v>
      </c>
      <c r="C290" s="12"/>
      <c r="D290" s="1377">
        <v>2008</v>
      </c>
      <c r="E290" s="1378"/>
      <c r="F290" s="1372">
        <v>2009</v>
      </c>
      <c r="G290" s="1373"/>
      <c r="H290" s="1373"/>
      <c r="I290" s="1374"/>
      <c r="J290" s="1372">
        <v>2010</v>
      </c>
      <c r="K290" s="1373"/>
      <c r="L290" s="1373"/>
      <c r="M290" s="1374"/>
      <c r="N290" s="1372">
        <v>2011</v>
      </c>
      <c r="O290" s="1373"/>
      <c r="P290" s="1373"/>
      <c r="Q290" s="1374"/>
      <c r="R290" s="1372">
        <v>2012</v>
      </c>
      <c r="S290" s="1373"/>
      <c r="T290" s="1373"/>
      <c r="U290" s="1374"/>
      <c r="V290" s="1372">
        <v>2013</v>
      </c>
      <c r="W290" s="1373"/>
      <c r="X290" s="1373"/>
      <c r="Y290" s="1374"/>
      <c r="Z290" s="1372">
        <v>2014</v>
      </c>
      <c r="AA290" s="1373"/>
      <c r="AB290" s="1373"/>
      <c r="AC290" s="1374"/>
      <c r="AD290" s="1372">
        <v>2015</v>
      </c>
      <c r="AE290" s="1374"/>
    </row>
    <row r="291" spans="1:44" ht="13.5" thickBot="1">
      <c r="A291" s="885"/>
      <c r="B291" s="868" t="s">
        <v>59</v>
      </c>
      <c r="C291" s="250" t="s">
        <v>649</v>
      </c>
      <c r="D291" s="245"/>
      <c r="E291" s="246"/>
      <c r="F291" s="247"/>
      <c r="G291" s="245"/>
      <c r="H291" s="245"/>
      <c r="I291" s="246"/>
      <c r="J291" s="247"/>
      <c r="K291" s="245"/>
      <c r="L291" s="245"/>
      <c r="M291" s="246"/>
      <c r="N291" s="567"/>
      <c r="O291" s="568">
        <v>60371.463774367847</v>
      </c>
      <c r="P291" s="568"/>
      <c r="Q291" s="569"/>
      <c r="R291" s="567"/>
      <c r="S291" s="568"/>
      <c r="T291" s="568"/>
      <c r="U291" s="568">
        <v>28147.620476721055</v>
      </c>
      <c r="V291" s="567"/>
      <c r="W291" s="568"/>
      <c r="X291" s="568"/>
      <c r="Y291" s="568">
        <v>17299.307126187014</v>
      </c>
      <c r="Z291" s="567"/>
      <c r="AA291" s="568"/>
      <c r="AB291" s="568"/>
      <c r="AC291" s="568">
        <v>17098.044651545453</v>
      </c>
      <c r="AD291" s="567"/>
      <c r="AE291" s="570"/>
      <c r="AG291" s="351" t="s">
        <v>1124</v>
      </c>
      <c r="AH291" s="748">
        <f>SUM(AH268:AH272)/5</f>
        <v>0</v>
      </c>
      <c r="AI291" s="748">
        <f t="shared" ref="AI291:AL291" si="58">SUM(AI268:AI272)/5</f>
        <v>227361.88754883982</v>
      </c>
      <c r="AJ291" s="748">
        <f t="shared" si="58"/>
        <v>350319.68958954856</v>
      </c>
      <c r="AK291" s="748">
        <f t="shared" si="58"/>
        <v>436155.67973561009</v>
      </c>
      <c r="AL291" s="748">
        <f t="shared" si="58"/>
        <v>524207.3347544889</v>
      </c>
      <c r="AN291" s="749">
        <f t="shared" ref="AN291:AR291" si="59">SUM(AN268:AN272)/5</f>
        <v>1</v>
      </c>
      <c r="AO291" s="749">
        <f t="shared" si="59"/>
        <v>1.05</v>
      </c>
      <c r="AP291" s="749">
        <f t="shared" si="59"/>
        <v>2.1555555555555554</v>
      </c>
      <c r="AQ291" s="749">
        <f t="shared" si="59"/>
        <v>2.9999999999999996</v>
      </c>
      <c r="AR291" s="749">
        <f t="shared" si="59"/>
        <v>3.6833333333333336</v>
      </c>
    </row>
    <row r="292" spans="1:44" ht="13.5" thickBot="1">
      <c r="A292" s="885"/>
      <c r="B292" s="885"/>
      <c r="C292" s="250" t="s">
        <v>650</v>
      </c>
      <c r="D292" s="245"/>
      <c r="E292" s="246"/>
      <c r="F292" s="247"/>
      <c r="G292" s="245"/>
      <c r="H292" s="245"/>
      <c r="I292" s="246"/>
      <c r="J292" s="247"/>
      <c r="K292" s="245"/>
      <c r="L292" s="245"/>
      <c r="M292" s="246"/>
      <c r="N292" s="567"/>
      <c r="O292" s="568">
        <v>55403.361064192402</v>
      </c>
      <c r="P292" s="568"/>
      <c r="Q292" s="569"/>
      <c r="R292" s="567"/>
      <c r="S292" s="568"/>
      <c r="T292" s="568"/>
      <c r="U292" s="568">
        <v>26468.055916764915</v>
      </c>
      <c r="V292" s="567"/>
      <c r="W292" s="568"/>
      <c r="X292" s="568"/>
      <c r="Y292" s="568">
        <v>17315.112550923855</v>
      </c>
      <c r="Z292" s="567"/>
      <c r="AA292" s="568"/>
      <c r="AB292" s="568"/>
      <c r="AC292" s="568">
        <v>17411.896310060605</v>
      </c>
      <c r="AD292" s="567"/>
      <c r="AE292" s="570"/>
      <c r="AG292" s="351" t="s">
        <v>1125</v>
      </c>
      <c r="AH292" s="748">
        <f>SUM(AH273:AH275)/3</f>
        <v>0</v>
      </c>
      <c r="AI292" s="748">
        <f t="shared" ref="AI292:AL292" si="60">SUM(AI273:AI275)/3</f>
        <v>0</v>
      </c>
      <c r="AJ292" s="748">
        <f t="shared" si="60"/>
        <v>72805.301586592788</v>
      </c>
      <c r="AK292" s="748">
        <f t="shared" si="60"/>
        <v>135505.59442354515</v>
      </c>
      <c r="AL292" s="748">
        <f t="shared" si="60"/>
        <v>208708.25013219161</v>
      </c>
      <c r="AN292" s="749">
        <f t="shared" ref="AN292:AR292" si="61">SUM(AN273:AN275)/3</f>
        <v>1</v>
      </c>
      <c r="AO292" s="749">
        <f t="shared" si="61"/>
        <v>1</v>
      </c>
      <c r="AP292" s="749">
        <f t="shared" si="61"/>
        <v>0.66666666666666663</v>
      </c>
      <c r="AQ292" s="749">
        <f t="shared" si="61"/>
        <v>1.5555555555555556</v>
      </c>
      <c r="AR292" s="749">
        <f t="shared" si="61"/>
        <v>2.407407407407407</v>
      </c>
    </row>
    <row r="293" spans="1:44" ht="13.5" thickBot="1">
      <c r="A293" s="885"/>
      <c r="B293" s="885"/>
      <c r="C293" s="250" t="s">
        <v>651</v>
      </c>
      <c r="D293" s="245"/>
      <c r="E293" s="246"/>
      <c r="F293" s="247"/>
      <c r="G293" s="245"/>
      <c r="H293" s="245"/>
      <c r="I293" s="246"/>
      <c r="J293" s="247"/>
      <c r="K293" s="245"/>
      <c r="L293" s="245"/>
      <c r="M293" s="246"/>
      <c r="N293" s="567"/>
      <c r="O293" s="568">
        <v>55644.546511911707</v>
      </c>
      <c r="P293" s="568"/>
      <c r="Q293" s="569"/>
      <c r="R293" s="567"/>
      <c r="S293" s="568"/>
      <c r="T293" s="568"/>
      <c r="U293" s="568">
        <v>27449.621438168426</v>
      </c>
      <c r="V293" s="567"/>
      <c r="W293" s="568"/>
      <c r="X293" s="568"/>
      <c r="Y293" s="568">
        <v>18766.02547337237</v>
      </c>
      <c r="Z293" s="567"/>
      <c r="AA293" s="568"/>
      <c r="AB293" s="568"/>
      <c r="AC293" s="568">
        <v>16082.870086323233</v>
      </c>
      <c r="AD293" s="567"/>
      <c r="AE293" s="570"/>
    </row>
    <row r="294" spans="1:44" ht="13.5" thickBot="1">
      <c r="A294" s="885"/>
      <c r="B294" s="885"/>
      <c r="C294" s="250" t="s">
        <v>652</v>
      </c>
      <c r="D294" s="245"/>
      <c r="E294" s="246"/>
      <c r="F294" s="247"/>
      <c r="G294" s="245"/>
      <c r="H294" s="245"/>
      <c r="I294" s="246"/>
      <c r="J294" s="247"/>
      <c r="K294" s="245"/>
      <c r="L294" s="245"/>
      <c r="M294" s="246"/>
      <c r="N294" s="567"/>
      <c r="O294" s="568">
        <v>54099.98930770118</v>
      </c>
      <c r="P294" s="568"/>
      <c r="Q294" s="569"/>
      <c r="R294" s="567"/>
      <c r="S294" s="568"/>
      <c r="T294" s="568"/>
      <c r="U294" s="568">
        <v>29023.197930887723</v>
      </c>
      <c r="V294" s="567"/>
      <c r="W294" s="568"/>
      <c r="X294" s="568"/>
      <c r="Y294" s="568">
        <v>23179.026280534843</v>
      </c>
      <c r="Z294" s="567"/>
      <c r="AA294" s="568"/>
      <c r="AB294" s="568"/>
      <c r="AC294" s="568">
        <v>41925.602308555557</v>
      </c>
      <c r="AD294" s="567"/>
      <c r="AE294" s="570"/>
    </row>
    <row r="295" spans="1:44" ht="13.5" thickBot="1">
      <c r="A295" s="885"/>
      <c r="B295" s="885"/>
      <c r="C295" s="250" t="s">
        <v>653</v>
      </c>
      <c r="D295" s="245"/>
      <c r="E295" s="246"/>
      <c r="F295" s="247"/>
      <c r="G295" s="245"/>
      <c r="H295" s="245"/>
      <c r="I295" s="246"/>
      <c r="J295" s="247"/>
      <c r="K295" s="245"/>
      <c r="L295" s="245"/>
      <c r="M295" s="246"/>
      <c r="N295" s="567"/>
      <c r="O295" s="568">
        <v>58682.998777876623</v>
      </c>
      <c r="P295" s="568"/>
      <c r="Q295" s="569"/>
      <c r="R295" s="567"/>
      <c r="S295" s="568"/>
      <c r="T295" s="568"/>
      <c r="U295" s="568">
        <v>42608.756788343861</v>
      </c>
      <c r="V295" s="567"/>
      <c r="W295" s="568"/>
      <c r="X295" s="568"/>
      <c r="Y295" s="568">
        <v>16749.295064058868</v>
      </c>
      <c r="Z295" s="567"/>
      <c r="AA295" s="568"/>
      <c r="AB295" s="568"/>
      <c r="AC295" s="568">
        <v>23623.82256042424</v>
      </c>
      <c r="AD295" s="567"/>
      <c r="AE295" s="570"/>
    </row>
    <row r="296" spans="1:44" ht="12.95" customHeight="1" thickBot="1">
      <c r="A296" s="885"/>
      <c r="B296" s="885"/>
      <c r="C296" s="250" t="s">
        <v>654</v>
      </c>
      <c r="D296" s="248"/>
      <c r="E296" s="249"/>
      <c r="F296" s="247"/>
      <c r="G296" s="248"/>
      <c r="H296" s="248"/>
      <c r="I296" s="249"/>
      <c r="J296" s="247"/>
      <c r="K296" s="248"/>
      <c r="L296" s="248"/>
      <c r="M296" s="249"/>
      <c r="N296" s="571"/>
      <c r="O296" s="572"/>
      <c r="P296" s="572"/>
      <c r="Q296" s="572"/>
      <c r="R296" s="567"/>
      <c r="S296" s="568"/>
      <c r="T296" s="568"/>
      <c r="U296" s="568">
        <v>17991.257794235913</v>
      </c>
      <c r="V296" s="567"/>
      <c r="W296" s="568"/>
      <c r="X296" s="568"/>
      <c r="Y296" s="568">
        <v>15961.129656139303</v>
      </c>
      <c r="Z296" s="567"/>
      <c r="AA296" s="568"/>
      <c r="AB296" s="568"/>
      <c r="AC296" s="568">
        <v>17041.51584359596</v>
      </c>
      <c r="AD296" s="567"/>
      <c r="AE296" s="570"/>
    </row>
    <row r="297" spans="1:44" ht="12.95" customHeight="1" thickBot="1">
      <c r="A297" s="885"/>
      <c r="B297" s="885"/>
      <c r="C297" s="250" t="s">
        <v>655</v>
      </c>
      <c r="D297" s="248"/>
      <c r="E297" s="249"/>
      <c r="F297" s="247"/>
      <c r="G297" s="248"/>
      <c r="H297" s="248"/>
      <c r="I297" s="249"/>
      <c r="J297" s="247"/>
      <c r="K297" s="248"/>
      <c r="L297" s="248"/>
      <c r="M297" s="249"/>
      <c r="N297" s="571"/>
      <c r="O297" s="572"/>
      <c r="P297" s="572"/>
      <c r="Q297" s="572"/>
      <c r="R297" s="567"/>
      <c r="S297" s="568"/>
      <c r="T297" s="568"/>
      <c r="U297" s="568">
        <v>17943.208154893811</v>
      </c>
      <c r="V297" s="567"/>
      <c r="W297" s="568"/>
      <c r="X297" s="568"/>
      <c r="Y297" s="568">
        <v>12047.617876757153</v>
      </c>
      <c r="Z297" s="567"/>
      <c r="AA297" s="568"/>
      <c r="AB297" s="568"/>
      <c r="AC297" s="568">
        <v>16578.066044959596</v>
      </c>
      <c r="AD297" s="567"/>
      <c r="AE297" s="570"/>
    </row>
    <row r="298" spans="1:44" ht="12.95" customHeight="1" thickBot="1">
      <c r="A298" s="885"/>
      <c r="B298" s="885"/>
      <c r="C298" s="250" t="s">
        <v>656</v>
      </c>
      <c r="D298" s="248"/>
      <c r="E298" s="249"/>
      <c r="F298" s="247"/>
      <c r="G298" s="248"/>
      <c r="H298" s="248"/>
      <c r="I298" s="249"/>
      <c r="J298" s="247"/>
      <c r="K298" s="248"/>
      <c r="L298" s="248"/>
      <c r="M298" s="249"/>
      <c r="N298" s="571"/>
      <c r="O298" s="572"/>
      <c r="P298" s="572"/>
      <c r="Q298" s="572"/>
      <c r="R298" s="567"/>
      <c r="S298" s="568"/>
      <c r="T298" s="568"/>
      <c r="U298" s="568">
        <v>18669.510240814863</v>
      </c>
      <c r="V298" s="567"/>
      <c r="W298" s="568"/>
      <c r="X298" s="568"/>
      <c r="Y298" s="568">
        <v>11918.688582317793</v>
      </c>
      <c r="Z298" s="567"/>
      <c r="AA298" s="568"/>
      <c r="AB298" s="568"/>
      <c r="AC298" s="568">
        <v>14442.406146636366</v>
      </c>
      <c r="AD298" s="567"/>
      <c r="AE298" s="570"/>
    </row>
    <row r="299" spans="1:44" ht="12.95" customHeight="1" thickBot="1">
      <c r="A299" s="885"/>
      <c r="B299" s="885"/>
      <c r="C299" s="250" t="s">
        <v>657</v>
      </c>
      <c r="D299" s="248"/>
      <c r="E299" s="249"/>
      <c r="F299" s="247"/>
      <c r="G299" s="248"/>
      <c r="H299" s="248"/>
      <c r="I299" s="249"/>
      <c r="J299" s="247"/>
      <c r="K299" s="248"/>
      <c r="L299" s="248"/>
      <c r="M299" s="249"/>
      <c r="N299" s="571"/>
      <c r="O299" s="572"/>
      <c r="P299" s="572"/>
      <c r="Q299" s="573"/>
      <c r="R299" s="571"/>
      <c r="S299" s="572"/>
      <c r="T299" s="572"/>
      <c r="U299" s="573"/>
      <c r="V299" s="571"/>
      <c r="W299" s="572"/>
      <c r="X299" s="572"/>
      <c r="Y299" s="573"/>
      <c r="Z299" s="567"/>
      <c r="AA299" s="568"/>
      <c r="AB299" s="568"/>
      <c r="AC299" s="568">
        <v>15112.349801131313</v>
      </c>
      <c r="AD299" s="567"/>
      <c r="AE299" s="570"/>
    </row>
    <row r="300" spans="1:44" ht="12.95" customHeight="1" thickBot="1">
      <c r="A300" s="885"/>
      <c r="B300" s="885"/>
      <c r="C300" s="250" t="s">
        <v>658</v>
      </c>
      <c r="D300" s="248"/>
      <c r="E300" s="249"/>
      <c r="F300" s="247"/>
      <c r="G300" s="248"/>
      <c r="H300" s="248"/>
      <c r="I300" s="249"/>
      <c r="J300" s="247"/>
      <c r="K300" s="248"/>
      <c r="L300" s="248"/>
      <c r="M300" s="249"/>
      <c r="N300" s="571"/>
      <c r="O300" s="572"/>
      <c r="P300" s="572"/>
      <c r="Q300" s="573"/>
      <c r="R300" s="571"/>
      <c r="S300" s="572"/>
      <c r="T300" s="572"/>
      <c r="U300" s="573"/>
      <c r="V300" s="571"/>
      <c r="W300" s="572"/>
      <c r="X300" s="572"/>
      <c r="Y300" s="573"/>
      <c r="Z300" s="567"/>
      <c r="AA300" s="568"/>
      <c r="AB300" s="568"/>
      <c r="AC300" s="568">
        <v>16565.045692282831</v>
      </c>
      <c r="AD300" s="567"/>
      <c r="AE300" s="570"/>
    </row>
    <row r="301" spans="1:44" ht="13.5" hidden="1" thickBot="1">
      <c r="A301" s="885"/>
      <c r="B301" s="885"/>
      <c r="C301" s="9" t="s">
        <v>295</v>
      </c>
      <c r="D301" s="241" t="s">
        <v>632</v>
      </c>
      <c r="E301" s="241" t="s">
        <v>632</v>
      </c>
      <c r="F301" s="243" t="s">
        <v>646</v>
      </c>
      <c r="G301" s="241" t="s">
        <v>646</v>
      </c>
      <c r="H301" s="241" t="s">
        <v>646</v>
      </c>
      <c r="I301" s="244" t="s">
        <v>646</v>
      </c>
      <c r="J301" s="195">
        <v>1</v>
      </c>
      <c r="K301" s="196"/>
      <c r="L301" s="196"/>
      <c r="M301" s="197"/>
      <c r="N301" s="314"/>
      <c r="O301" s="315">
        <v>0</v>
      </c>
      <c r="P301" s="315"/>
      <c r="Q301" s="316"/>
      <c r="R301" s="314"/>
      <c r="S301" s="315"/>
      <c r="T301" s="315"/>
      <c r="U301" s="316">
        <v>2.8</v>
      </c>
      <c r="V301" s="314"/>
      <c r="W301" s="315"/>
      <c r="X301" s="315"/>
      <c r="Y301" s="316">
        <v>3</v>
      </c>
      <c r="Z301" s="314"/>
      <c r="AA301" s="315"/>
      <c r="AB301" s="315"/>
      <c r="AC301" s="316">
        <v>0</v>
      </c>
      <c r="AD301" s="314"/>
      <c r="AE301" s="316"/>
    </row>
    <row r="302" spans="1:44" ht="13.5" hidden="1" thickBot="1">
      <c r="A302" s="885"/>
      <c r="B302" s="885"/>
      <c r="C302" s="9" t="s">
        <v>296</v>
      </c>
      <c r="D302" s="241" t="s">
        <v>632</v>
      </c>
      <c r="E302" s="241" t="s">
        <v>632</v>
      </c>
      <c r="F302" s="243" t="s">
        <v>646</v>
      </c>
      <c r="G302" s="241" t="s">
        <v>646</v>
      </c>
      <c r="H302" s="241" t="s">
        <v>646</v>
      </c>
      <c r="I302" s="244" t="s">
        <v>646</v>
      </c>
      <c r="J302" s="195">
        <v>1</v>
      </c>
      <c r="K302" s="196"/>
      <c r="L302" s="196"/>
      <c r="M302" s="197"/>
      <c r="N302" s="314"/>
      <c r="O302" s="315">
        <v>1.5</v>
      </c>
      <c r="P302" s="315"/>
      <c r="Q302" s="316"/>
      <c r="R302" s="314"/>
      <c r="S302" s="315"/>
      <c r="T302" s="315"/>
      <c r="U302" s="316">
        <v>3.2</v>
      </c>
      <c r="V302" s="314"/>
      <c r="W302" s="315"/>
      <c r="X302" s="315"/>
      <c r="Y302" s="316">
        <v>3.8</v>
      </c>
      <c r="Z302" s="314"/>
      <c r="AA302" s="315"/>
      <c r="AB302" s="315"/>
      <c r="AC302" s="316">
        <v>0</v>
      </c>
      <c r="AD302" s="314"/>
      <c r="AE302" s="316"/>
    </row>
    <row r="303" spans="1:44" ht="13.5" hidden="1" thickBot="1">
      <c r="A303" s="885"/>
      <c r="B303" s="885"/>
      <c r="C303" s="9" t="s">
        <v>297</v>
      </c>
      <c r="D303" s="241" t="s">
        <v>632</v>
      </c>
      <c r="E303" s="241" t="s">
        <v>632</v>
      </c>
      <c r="F303" s="243" t="s">
        <v>646</v>
      </c>
      <c r="G303" s="241" t="s">
        <v>646</v>
      </c>
      <c r="H303" s="241" t="s">
        <v>646</v>
      </c>
      <c r="I303" s="244" t="s">
        <v>646</v>
      </c>
      <c r="J303" s="195">
        <v>1</v>
      </c>
      <c r="K303" s="196"/>
      <c r="L303" s="196"/>
      <c r="M303" s="197"/>
      <c r="N303" s="314"/>
      <c r="O303" s="315">
        <v>1</v>
      </c>
      <c r="P303" s="315"/>
      <c r="Q303" s="316"/>
      <c r="R303" s="314"/>
      <c r="S303" s="315"/>
      <c r="T303" s="315"/>
      <c r="U303" s="316">
        <v>2</v>
      </c>
      <c r="V303" s="314"/>
      <c r="W303" s="315"/>
      <c r="X303" s="315"/>
      <c r="Y303" s="316">
        <v>2.6</v>
      </c>
      <c r="Z303" s="314"/>
      <c r="AA303" s="315"/>
      <c r="AB303" s="315"/>
      <c r="AC303" s="316">
        <v>0</v>
      </c>
      <c r="AD303" s="314"/>
      <c r="AE303" s="316"/>
    </row>
    <row r="304" spans="1:44" ht="13.5" hidden="1" thickBot="1">
      <c r="A304" s="885"/>
      <c r="B304" s="885"/>
      <c r="C304" s="9" t="s">
        <v>298</v>
      </c>
      <c r="D304" s="241" t="s">
        <v>632</v>
      </c>
      <c r="E304" s="241" t="s">
        <v>632</v>
      </c>
      <c r="F304" s="243" t="s">
        <v>646</v>
      </c>
      <c r="G304" s="241" t="s">
        <v>646</v>
      </c>
      <c r="H304" s="241" t="s">
        <v>646</v>
      </c>
      <c r="I304" s="244" t="s">
        <v>646</v>
      </c>
      <c r="J304" s="195">
        <v>1</v>
      </c>
      <c r="K304" s="196"/>
      <c r="L304" s="196"/>
      <c r="M304" s="197"/>
      <c r="N304" s="314"/>
      <c r="O304" s="315">
        <v>1</v>
      </c>
      <c r="P304" s="315"/>
      <c r="Q304" s="316"/>
      <c r="R304" s="314"/>
      <c r="S304" s="315"/>
      <c r="T304" s="315"/>
      <c r="U304" s="316">
        <v>3.6</v>
      </c>
      <c r="V304" s="314"/>
      <c r="W304" s="315"/>
      <c r="X304" s="315"/>
      <c r="Y304" s="316">
        <v>4</v>
      </c>
      <c r="Z304" s="314"/>
      <c r="AA304" s="315"/>
      <c r="AB304" s="315"/>
      <c r="AC304" s="316">
        <v>0</v>
      </c>
      <c r="AD304" s="314"/>
      <c r="AE304" s="316"/>
    </row>
    <row r="305" spans="1:31" ht="13.5" hidden="1" thickBot="1">
      <c r="A305" s="885"/>
      <c r="B305" s="885"/>
      <c r="C305" s="9" t="s">
        <v>299</v>
      </c>
      <c r="D305" s="241" t="s">
        <v>632</v>
      </c>
      <c r="E305" s="241" t="s">
        <v>632</v>
      </c>
      <c r="F305" s="243" t="s">
        <v>646</v>
      </c>
      <c r="G305" s="241" t="s">
        <v>646</v>
      </c>
      <c r="H305" s="241" t="s">
        <v>646</v>
      </c>
      <c r="I305" s="244" t="s">
        <v>646</v>
      </c>
      <c r="J305" s="195">
        <v>1</v>
      </c>
      <c r="K305" s="196"/>
      <c r="L305" s="196"/>
      <c r="M305" s="197"/>
      <c r="N305" s="314"/>
      <c r="O305" s="315">
        <v>1</v>
      </c>
      <c r="P305" s="315"/>
      <c r="Q305" s="316"/>
      <c r="R305" s="314"/>
      <c r="S305" s="315"/>
      <c r="T305" s="315"/>
      <c r="U305" s="316">
        <v>2.9</v>
      </c>
      <c r="V305" s="314"/>
      <c r="W305" s="315"/>
      <c r="X305" s="315"/>
      <c r="Y305" s="316">
        <v>3.5</v>
      </c>
      <c r="Z305" s="314"/>
      <c r="AA305" s="315"/>
      <c r="AB305" s="315"/>
      <c r="AC305" s="316">
        <v>0</v>
      </c>
      <c r="AD305" s="314"/>
      <c r="AE305" s="316"/>
    </row>
    <row r="306" spans="1:31" ht="24.75" hidden="1" thickBot="1">
      <c r="A306" s="885"/>
      <c r="B306" s="885"/>
      <c r="C306" s="9" t="s">
        <v>300</v>
      </c>
      <c r="D306" s="199"/>
      <c r="E306" s="200"/>
      <c r="F306" s="201"/>
      <c r="G306" s="199"/>
      <c r="H306" s="199"/>
      <c r="I306" s="200"/>
      <c r="J306" s="201"/>
      <c r="K306" s="199"/>
      <c r="L306" s="199"/>
      <c r="M306" s="200"/>
      <c r="N306" s="318"/>
      <c r="O306" s="319" t="s">
        <v>634</v>
      </c>
      <c r="P306" s="312" t="s">
        <v>632</v>
      </c>
      <c r="Q306" s="313" t="s">
        <v>646</v>
      </c>
      <c r="R306" s="314">
        <v>1</v>
      </c>
      <c r="S306" s="315"/>
      <c r="T306" s="315"/>
      <c r="U306" s="316">
        <v>1</v>
      </c>
      <c r="V306" s="314"/>
      <c r="W306" s="315"/>
      <c r="X306" s="315"/>
      <c r="Y306" s="316">
        <v>1</v>
      </c>
      <c r="Z306" s="314"/>
      <c r="AA306" s="315"/>
      <c r="AB306" s="315"/>
      <c r="AC306" s="316">
        <v>0</v>
      </c>
      <c r="AD306" s="314"/>
      <c r="AE306" s="316"/>
    </row>
    <row r="307" spans="1:31" ht="13.5" hidden="1" thickBot="1">
      <c r="A307" s="885"/>
      <c r="B307" s="885"/>
      <c r="C307" s="9" t="s">
        <v>301</v>
      </c>
      <c r="D307" s="199"/>
      <c r="E307" s="200"/>
      <c r="F307" s="201"/>
      <c r="G307" s="199"/>
      <c r="H307" s="199"/>
      <c r="I307" s="200"/>
      <c r="J307" s="201"/>
      <c r="K307" s="199"/>
      <c r="L307" s="199"/>
      <c r="M307" s="200"/>
      <c r="N307" s="318"/>
      <c r="O307" s="319" t="s">
        <v>634</v>
      </c>
      <c r="P307" s="312" t="s">
        <v>632</v>
      </c>
      <c r="Q307" s="313" t="s">
        <v>646</v>
      </c>
      <c r="R307" s="314">
        <v>1</v>
      </c>
      <c r="S307" s="315"/>
      <c r="T307" s="315"/>
      <c r="U307" s="316">
        <v>1</v>
      </c>
      <c r="V307" s="314"/>
      <c r="W307" s="315"/>
      <c r="X307" s="315"/>
      <c r="Y307" s="316">
        <v>1.8</v>
      </c>
      <c r="Z307" s="314"/>
      <c r="AA307" s="315"/>
      <c r="AB307" s="315"/>
      <c r="AC307" s="316">
        <v>0</v>
      </c>
      <c r="AD307" s="314"/>
      <c r="AE307" s="316"/>
    </row>
    <row r="308" spans="1:31" ht="13.5" hidden="1" thickBot="1">
      <c r="A308" s="885"/>
      <c r="B308" s="885"/>
      <c r="C308" s="9" t="s">
        <v>302</v>
      </c>
      <c r="D308" s="199"/>
      <c r="E308" s="200"/>
      <c r="F308" s="201"/>
      <c r="G308" s="199"/>
      <c r="H308" s="199"/>
      <c r="I308" s="200"/>
      <c r="J308" s="201"/>
      <c r="K308" s="199"/>
      <c r="L308" s="199"/>
      <c r="M308" s="200"/>
      <c r="N308" s="318"/>
      <c r="O308" s="319" t="s">
        <v>634</v>
      </c>
      <c r="P308" s="312" t="s">
        <v>632</v>
      </c>
      <c r="Q308" s="313" t="s">
        <v>646</v>
      </c>
      <c r="R308" s="314">
        <v>1</v>
      </c>
      <c r="S308" s="315"/>
      <c r="T308" s="315"/>
      <c r="U308" s="316">
        <v>1</v>
      </c>
      <c r="V308" s="314"/>
      <c r="W308" s="315"/>
      <c r="X308" s="315"/>
      <c r="Y308" s="316">
        <v>2</v>
      </c>
      <c r="Z308" s="314"/>
      <c r="AA308" s="315"/>
      <c r="AB308" s="315"/>
      <c r="AC308" s="316">
        <v>0</v>
      </c>
      <c r="AD308" s="314"/>
      <c r="AE308" s="316"/>
    </row>
    <row r="309" spans="1:31" ht="24.75" hidden="1" thickBot="1">
      <c r="A309" s="885"/>
      <c r="B309" s="885"/>
      <c r="C309" s="9" t="s">
        <v>303</v>
      </c>
      <c r="D309" s="202"/>
      <c r="E309" s="203"/>
      <c r="F309" s="201"/>
      <c r="G309" s="202"/>
      <c r="H309" s="202"/>
      <c r="I309" s="203"/>
      <c r="J309" s="201"/>
      <c r="K309" s="202"/>
      <c r="L309" s="202"/>
      <c r="M309" s="203"/>
      <c r="N309" s="322"/>
      <c r="O309" s="323"/>
      <c r="P309" s="324"/>
      <c r="Q309" s="324"/>
      <c r="R309" s="317"/>
      <c r="S309" s="320"/>
      <c r="T309" s="320"/>
      <c r="U309" s="321"/>
      <c r="V309" s="325"/>
      <c r="W309" s="319" t="s">
        <v>633</v>
      </c>
      <c r="X309" s="312" t="s">
        <v>632</v>
      </c>
      <c r="Y309" s="316">
        <v>0</v>
      </c>
      <c r="Z309" s="314"/>
      <c r="AA309" s="315"/>
      <c r="AB309" s="315"/>
      <c r="AC309" s="316">
        <v>0</v>
      </c>
      <c r="AD309" s="314"/>
      <c r="AE309" s="316"/>
    </row>
    <row r="310" spans="1:31" ht="13.5" hidden="1" thickBot="1">
      <c r="A310" s="885"/>
      <c r="B310" s="885"/>
      <c r="C310" s="9" t="s">
        <v>304</v>
      </c>
      <c r="D310" s="202"/>
      <c r="E310" s="203"/>
      <c r="F310" s="201"/>
      <c r="G310" s="202"/>
      <c r="H310" s="202"/>
      <c r="I310" s="203"/>
      <c r="J310" s="201"/>
      <c r="K310" s="202"/>
      <c r="L310" s="202"/>
      <c r="M310" s="203"/>
      <c r="N310" s="322"/>
      <c r="O310" s="324"/>
      <c r="P310" s="324"/>
      <c r="Q310" s="324"/>
      <c r="R310" s="317"/>
      <c r="S310" s="320"/>
      <c r="T310" s="320"/>
      <c r="U310" s="321"/>
      <c r="V310" s="325"/>
      <c r="W310" s="319" t="s">
        <v>633</v>
      </c>
      <c r="X310" s="312" t="s">
        <v>632</v>
      </c>
      <c r="Y310" s="316">
        <v>0</v>
      </c>
      <c r="Z310" s="314"/>
      <c r="AA310" s="315"/>
      <c r="AB310" s="315"/>
      <c r="AC310" s="316">
        <v>0</v>
      </c>
      <c r="AD310" s="314"/>
      <c r="AE310" s="316"/>
    </row>
    <row r="311" spans="1:31" ht="12.95" hidden="1" customHeight="1" thickBot="1">
      <c r="A311" s="885"/>
      <c r="B311" s="298"/>
      <c r="C311" s="231"/>
      <c r="D311" s="232"/>
      <c r="E311" s="233"/>
      <c r="F311" s="234"/>
      <c r="G311" s="232"/>
      <c r="H311" s="232"/>
      <c r="I311" s="233"/>
      <c r="J311" s="234"/>
      <c r="K311" s="232"/>
      <c r="L311" s="232"/>
      <c r="M311" s="233"/>
      <c r="N311" s="328"/>
      <c r="O311" s="326"/>
      <c r="P311" s="326"/>
      <c r="Q311" s="327"/>
      <c r="R311" s="328"/>
      <c r="S311" s="326"/>
      <c r="T311" s="326"/>
      <c r="U311" s="327"/>
      <c r="V311" s="328"/>
      <c r="W311" s="326"/>
      <c r="X311" s="326"/>
      <c r="Y311" s="327"/>
      <c r="Z311" s="328"/>
      <c r="AA311" s="326"/>
      <c r="AB311" s="326"/>
      <c r="AC311" s="327"/>
      <c r="AD311" s="328"/>
      <c r="AE311" s="327"/>
    </row>
    <row r="312" spans="1:31" ht="12.95" hidden="1" customHeight="1" thickBot="1">
      <c r="A312" s="885"/>
      <c r="B312" s="298"/>
      <c r="C312" s="231"/>
      <c r="D312" s="232"/>
      <c r="E312" s="233"/>
      <c r="F312" s="234"/>
      <c r="G312" s="232"/>
      <c r="H312" s="232"/>
      <c r="I312" s="233"/>
      <c r="J312" s="234"/>
      <c r="K312" s="232"/>
      <c r="L312" s="232"/>
      <c r="M312" s="233"/>
      <c r="N312" s="328"/>
      <c r="O312" s="326"/>
      <c r="P312" s="326"/>
      <c r="Q312" s="327"/>
      <c r="R312" s="328"/>
      <c r="S312" s="326"/>
      <c r="T312" s="326"/>
      <c r="U312" s="327"/>
      <c r="V312" s="328"/>
      <c r="W312" s="326"/>
      <c r="X312" s="326"/>
      <c r="Y312" s="327"/>
      <c r="Z312" s="328"/>
      <c r="AA312" s="326"/>
      <c r="AB312" s="326"/>
      <c r="AC312" s="327"/>
      <c r="AD312" s="328"/>
      <c r="AE312" s="327"/>
    </row>
    <row r="313" spans="1:31" ht="12.95" customHeight="1" thickBot="1">
      <c r="A313" s="885"/>
      <c r="B313" s="3" t="s">
        <v>21</v>
      </c>
      <c r="C313" s="12"/>
      <c r="D313" s="1377">
        <v>2008</v>
      </c>
      <c r="E313" s="1378"/>
      <c r="F313" s="1372">
        <v>2009</v>
      </c>
      <c r="G313" s="1373"/>
      <c r="H313" s="1373"/>
      <c r="I313" s="1374"/>
      <c r="J313" s="1372">
        <v>2010</v>
      </c>
      <c r="K313" s="1373"/>
      <c r="L313" s="1373"/>
      <c r="M313" s="1374"/>
      <c r="N313" s="1372">
        <v>2011</v>
      </c>
      <c r="O313" s="1373"/>
      <c r="P313" s="1373"/>
      <c r="Q313" s="1374"/>
      <c r="R313" s="1372">
        <v>2012</v>
      </c>
      <c r="S313" s="1373"/>
      <c r="T313" s="1373"/>
      <c r="U313" s="1374"/>
      <c r="V313" s="1372">
        <v>2013</v>
      </c>
      <c r="W313" s="1373"/>
      <c r="X313" s="1373"/>
      <c r="Y313" s="1374"/>
      <c r="Z313" s="1372">
        <v>2014</v>
      </c>
      <c r="AA313" s="1373"/>
      <c r="AB313" s="1373"/>
      <c r="AC313" s="1374"/>
      <c r="AD313" s="1372">
        <v>2015</v>
      </c>
      <c r="AE313" s="1374"/>
    </row>
    <row r="314" spans="1:31" ht="13.5" thickBot="1">
      <c r="A314" s="885"/>
      <c r="B314" s="868" t="s">
        <v>63</v>
      </c>
      <c r="C314" s="250" t="s">
        <v>649</v>
      </c>
      <c r="D314" s="245"/>
      <c r="E314" s="246"/>
      <c r="F314" s="247"/>
      <c r="G314" s="245"/>
      <c r="H314" s="245"/>
      <c r="I314" s="246"/>
      <c r="J314" s="247"/>
      <c r="K314" s="245"/>
      <c r="L314" s="245"/>
      <c r="M314" s="246"/>
      <c r="N314" s="567"/>
      <c r="O314" s="568">
        <v>120742.92754873569</v>
      </c>
      <c r="P314" s="568"/>
      <c r="Q314" s="569"/>
      <c r="R314" s="567"/>
      <c r="S314" s="568"/>
      <c r="T314" s="568"/>
      <c r="U314" s="568">
        <v>56295.240953442109</v>
      </c>
      <c r="V314" s="567"/>
      <c r="W314" s="568"/>
      <c r="X314" s="568"/>
      <c r="Y314" s="568">
        <v>41159.367752374019</v>
      </c>
      <c r="Z314" s="567"/>
      <c r="AA314" s="568"/>
      <c r="AB314" s="568"/>
      <c r="AC314" s="568">
        <v>30504.858746464644</v>
      </c>
      <c r="AD314" s="567"/>
      <c r="AE314" s="570"/>
    </row>
    <row r="315" spans="1:31" ht="13.5" thickBot="1">
      <c r="A315" s="885"/>
      <c r="B315" s="885"/>
      <c r="C315" s="250" t="s">
        <v>650</v>
      </c>
      <c r="D315" s="245"/>
      <c r="E315" s="246"/>
      <c r="F315" s="247"/>
      <c r="G315" s="245"/>
      <c r="H315" s="245"/>
      <c r="I315" s="246"/>
      <c r="J315" s="247"/>
      <c r="K315" s="245"/>
      <c r="L315" s="245"/>
      <c r="M315" s="246"/>
      <c r="N315" s="567"/>
      <c r="O315" s="568">
        <v>110806.7221283848</v>
      </c>
      <c r="P315" s="568"/>
      <c r="Q315" s="569"/>
      <c r="R315" s="567"/>
      <c r="S315" s="568"/>
      <c r="T315" s="568"/>
      <c r="U315" s="568">
        <v>52936.111833529831</v>
      </c>
      <c r="V315" s="567"/>
      <c r="W315" s="568"/>
      <c r="X315" s="568"/>
      <c r="Y315" s="568">
        <v>35009.082601847709</v>
      </c>
      <c r="Z315" s="567"/>
      <c r="AA315" s="568"/>
      <c r="AB315" s="568"/>
      <c r="AC315" s="568">
        <v>29035.845728282831</v>
      </c>
      <c r="AD315" s="567"/>
      <c r="AE315" s="570"/>
    </row>
    <row r="316" spans="1:31" ht="13.5" thickBot="1">
      <c r="A316" s="885"/>
      <c r="B316" s="885"/>
      <c r="C316" s="250" t="s">
        <v>651</v>
      </c>
      <c r="D316" s="245"/>
      <c r="E316" s="246"/>
      <c r="F316" s="247"/>
      <c r="G316" s="245"/>
      <c r="H316" s="245"/>
      <c r="I316" s="246"/>
      <c r="J316" s="247"/>
      <c r="K316" s="245"/>
      <c r="L316" s="245"/>
      <c r="M316" s="246"/>
      <c r="N316" s="567"/>
      <c r="O316" s="568">
        <v>111289.09302382341</v>
      </c>
      <c r="P316" s="568"/>
      <c r="Q316" s="569"/>
      <c r="R316" s="567"/>
      <c r="S316" s="568"/>
      <c r="T316" s="568"/>
      <c r="U316" s="568">
        <v>54899.242876336852</v>
      </c>
      <c r="V316" s="567"/>
      <c r="W316" s="568"/>
      <c r="X316" s="568"/>
      <c r="Y316" s="568">
        <v>36906.997946744741</v>
      </c>
      <c r="Z316" s="567"/>
      <c r="AA316" s="568"/>
      <c r="AB316" s="568"/>
      <c r="AC316" s="568">
        <v>29308.346479797976</v>
      </c>
      <c r="AD316" s="567"/>
      <c r="AE316" s="570"/>
    </row>
    <row r="317" spans="1:31" ht="13.5" thickBot="1">
      <c r="A317" s="885"/>
      <c r="B317" s="885"/>
      <c r="C317" s="250" t="s">
        <v>652</v>
      </c>
      <c r="D317" s="245"/>
      <c r="E317" s="246"/>
      <c r="F317" s="247"/>
      <c r="G317" s="245"/>
      <c r="H317" s="245"/>
      <c r="I317" s="246"/>
      <c r="J317" s="247"/>
      <c r="K317" s="245"/>
      <c r="L317" s="245"/>
      <c r="M317" s="246"/>
      <c r="N317" s="567"/>
      <c r="O317" s="568">
        <v>108199.97861540236</v>
      </c>
      <c r="P317" s="568"/>
      <c r="Q317" s="569"/>
      <c r="R317" s="567"/>
      <c r="S317" s="568"/>
      <c r="T317" s="568"/>
      <c r="U317" s="568">
        <v>58046.395861775447</v>
      </c>
      <c r="V317" s="567"/>
      <c r="W317" s="568"/>
      <c r="X317" s="568"/>
      <c r="Y317" s="568">
        <v>34139.624561069686</v>
      </c>
      <c r="Z317" s="567"/>
      <c r="AA317" s="568"/>
      <c r="AB317" s="568"/>
      <c r="AC317" s="568">
        <v>28789.713398989901</v>
      </c>
      <c r="AD317" s="567"/>
      <c r="AE317" s="570"/>
    </row>
    <row r="318" spans="1:31" ht="13.5" thickBot="1">
      <c r="A318" s="885"/>
      <c r="B318" s="885"/>
      <c r="C318" s="250" t="s">
        <v>653</v>
      </c>
      <c r="D318" s="245"/>
      <c r="E318" s="246"/>
      <c r="F318" s="247"/>
      <c r="G318" s="245"/>
      <c r="H318" s="245"/>
      <c r="I318" s="246"/>
      <c r="J318" s="247"/>
      <c r="K318" s="245"/>
      <c r="L318" s="245"/>
      <c r="M318" s="246"/>
      <c r="N318" s="567"/>
      <c r="O318" s="568">
        <v>117365.99755575325</v>
      </c>
      <c r="P318" s="568"/>
      <c r="Q318" s="569"/>
      <c r="R318" s="567"/>
      <c r="S318" s="568"/>
      <c r="T318" s="568"/>
      <c r="U318" s="568">
        <v>85217.513576687721</v>
      </c>
      <c r="V318" s="567"/>
      <c r="W318" s="568"/>
      <c r="X318" s="568"/>
      <c r="Y318" s="568">
        <v>37179.226378117732</v>
      </c>
      <c r="Z318" s="567"/>
      <c r="AA318" s="568"/>
      <c r="AB318" s="568"/>
      <c r="AC318" s="568">
        <v>35510.248904040403</v>
      </c>
      <c r="AD318" s="567"/>
      <c r="AE318" s="570"/>
    </row>
    <row r="319" spans="1:31" ht="12.95" customHeight="1" thickBot="1">
      <c r="A319" s="885"/>
      <c r="B319" s="885"/>
      <c r="C319" s="250" t="s">
        <v>654</v>
      </c>
      <c r="D319" s="248"/>
      <c r="E319" s="249"/>
      <c r="F319" s="247"/>
      <c r="G319" s="248"/>
      <c r="H319" s="248"/>
      <c r="I319" s="249"/>
      <c r="J319" s="247"/>
      <c r="K319" s="248"/>
      <c r="L319" s="248"/>
      <c r="M319" s="249"/>
      <c r="N319" s="571"/>
      <c r="O319" s="572"/>
      <c r="P319" s="572"/>
      <c r="Q319" s="572"/>
      <c r="R319" s="567"/>
      <c r="S319" s="568"/>
      <c r="T319" s="568"/>
      <c r="U319" s="568">
        <v>35982.515588471826</v>
      </c>
      <c r="V319" s="567"/>
      <c r="W319" s="568"/>
      <c r="X319" s="568"/>
      <c r="Y319" s="568">
        <v>26475.474312278606</v>
      </c>
      <c r="Z319" s="567"/>
      <c r="AA319" s="568"/>
      <c r="AB319" s="568"/>
      <c r="AC319" s="568">
        <v>34224.366732323237</v>
      </c>
      <c r="AD319" s="567"/>
      <c r="AE319" s="570"/>
    </row>
    <row r="320" spans="1:31" ht="12.95" customHeight="1" thickBot="1">
      <c r="A320" s="885"/>
      <c r="B320" s="885"/>
      <c r="C320" s="250" t="s">
        <v>655</v>
      </c>
      <c r="D320" s="248"/>
      <c r="E320" s="249"/>
      <c r="F320" s="247"/>
      <c r="G320" s="248"/>
      <c r="H320" s="248"/>
      <c r="I320" s="249"/>
      <c r="J320" s="247"/>
      <c r="K320" s="248"/>
      <c r="L320" s="248"/>
      <c r="M320" s="249"/>
      <c r="N320" s="571"/>
      <c r="O320" s="572"/>
      <c r="P320" s="572"/>
      <c r="Q320" s="572"/>
      <c r="R320" s="567"/>
      <c r="S320" s="568"/>
      <c r="T320" s="568"/>
      <c r="U320" s="568">
        <v>35886.416309787623</v>
      </c>
      <c r="V320" s="567"/>
      <c r="W320" s="568"/>
      <c r="X320" s="568"/>
      <c r="Y320" s="568">
        <v>24098.354503514303</v>
      </c>
      <c r="Z320" s="567"/>
      <c r="AA320" s="568"/>
      <c r="AB320" s="568"/>
      <c r="AC320" s="568">
        <v>26884.25153030303</v>
      </c>
      <c r="AD320" s="567"/>
      <c r="AE320" s="570"/>
    </row>
    <row r="321" spans="1:31" ht="12.95" customHeight="1" thickBot="1">
      <c r="A321" s="885"/>
      <c r="B321" s="885"/>
      <c r="C321" s="250" t="s">
        <v>656</v>
      </c>
      <c r="D321" s="248"/>
      <c r="E321" s="249"/>
      <c r="F321" s="247"/>
      <c r="G321" s="248"/>
      <c r="H321" s="248"/>
      <c r="I321" s="249"/>
      <c r="J321" s="247"/>
      <c r="K321" s="248"/>
      <c r="L321" s="248"/>
      <c r="M321" s="249"/>
      <c r="N321" s="571"/>
      <c r="O321" s="572"/>
      <c r="P321" s="572"/>
      <c r="Q321" s="572"/>
      <c r="R321" s="567"/>
      <c r="S321" s="568"/>
      <c r="T321" s="568"/>
      <c r="U321" s="568">
        <v>37339.020481629726</v>
      </c>
      <c r="V321" s="567"/>
      <c r="W321" s="568"/>
      <c r="X321" s="568"/>
      <c r="Y321" s="568">
        <v>36272.984664635587</v>
      </c>
      <c r="Z321" s="567"/>
      <c r="AA321" s="568"/>
      <c r="AB321" s="568"/>
      <c r="AC321" s="568">
        <v>26661.192792929294</v>
      </c>
      <c r="AD321" s="567"/>
      <c r="AE321" s="570"/>
    </row>
    <row r="322" spans="1:31" ht="12.95" customHeight="1" thickBot="1">
      <c r="A322" s="885"/>
      <c r="B322" s="885"/>
      <c r="C322" s="250" t="s">
        <v>657</v>
      </c>
      <c r="D322" s="248"/>
      <c r="E322" s="249"/>
      <c r="F322" s="247"/>
      <c r="G322" s="248"/>
      <c r="H322" s="248"/>
      <c r="I322" s="249"/>
      <c r="J322" s="247"/>
      <c r="K322" s="248"/>
      <c r="L322" s="248"/>
      <c r="M322" s="249"/>
      <c r="N322" s="571"/>
      <c r="O322" s="572"/>
      <c r="P322" s="572"/>
      <c r="Q322" s="573"/>
      <c r="R322" s="571"/>
      <c r="S322" s="572"/>
      <c r="T322" s="572"/>
      <c r="U322" s="573"/>
      <c r="V322" s="571"/>
      <c r="W322" s="572"/>
      <c r="X322" s="572"/>
      <c r="Y322" s="573"/>
      <c r="Z322" s="567"/>
      <c r="AA322" s="568"/>
      <c r="AB322" s="568"/>
      <c r="AC322" s="568">
        <v>21633.904813131314</v>
      </c>
      <c r="AD322" s="567"/>
      <c r="AE322" s="570"/>
    </row>
    <row r="323" spans="1:31" ht="12.95" customHeight="1" thickBot="1">
      <c r="A323" s="885"/>
      <c r="B323" s="885"/>
      <c r="C323" s="250" t="s">
        <v>658</v>
      </c>
      <c r="D323" s="248"/>
      <c r="E323" s="249"/>
      <c r="F323" s="247"/>
      <c r="G323" s="248"/>
      <c r="H323" s="248"/>
      <c r="I323" s="249"/>
      <c r="J323" s="247"/>
      <c r="K323" s="248"/>
      <c r="L323" s="248"/>
      <c r="M323" s="249"/>
      <c r="N323" s="571"/>
      <c r="O323" s="572"/>
      <c r="P323" s="572"/>
      <c r="Q323" s="573"/>
      <c r="R323" s="571"/>
      <c r="S323" s="572"/>
      <c r="T323" s="572"/>
      <c r="U323" s="573"/>
      <c r="V323" s="571"/>
      <c r="W323" s="572"/>
      <c r="X323" s="572"/>
      <c r="Y323" s="573"/>
      <c r="Z323" s="567"/>
      <c r="AA323" s="568"/>
      <c r="AB323" s="568"/>
      <c r="AC323" s="568">
        <v>26238.814863636366</v>
      </c>
      <c r="AD323" s="567"/>
      <c r="AE323" s="570"/>
    </row>
    <row r="324" spans="1:31" ht="12.95" hidden="1" customHeight="1" thickBot="1">
      <c r="A324" s="885"/>
      <c r="B324" s="885"/>
      <c r="C324" s="9" t="s">
        <v>295</v>
      </c>
      <c r="D324" s="241" t="s">
        <v>632</v>
      </c>
      <c r="E324" s="241" t="s">
        <v>632</v>
      </c>
      <c r="F324" s="243" t="s">
        <v>646</v>
      </c>
      <c r="G324" s="241" t="s">
        <v>646</v>
      </c>
      <c r="H324" s="241" t="s">
        <v>646</v>
      </c>
      <c r="I324" s="244" t="s">
        <v>646</v>
      </c>
      <c r="J324" s="195">
        <v>0</v>
      </c>
      <c r="K324" s="196"/>
      <c r="L324" s="196"/>
      <c r="M324" s="197"/>
      <c r="N324" s="314"/>
      <c r="O324" s="315">
        <v>0</v>
      </c>
      <c r="P324" s="315"/>
      <c r="Q324" s="316"/>
      <c r="R324" s="314"/>
      <c r="S324" s="315"/>
      <c r="T324" s="315"/>
      <c r="U324" s="316">
        <v>3</v>
      </c>
      <c r="V324" s="314"/>
      <c r="W324" s="315"/>
      <c r="X324" s="315"/>
      <c r="Y324" s="316">
        <v>4</v>
      </c>
      <c r="Z324" s="314"/>
      <c r="AA324" s="315"/>
      <c r="AB324" s="315"/>
      <c r="AC324" s="316">
        <v>0</v>
      </c>
      <c r="AD324" s="314"/>
      <c r="AE324" s="316"/>
    </row>
    <row r="325" spans="1:31" ht="12.95" hidden="1" customHeight="1" thickBot="1">
      <c r="A325" s="885"/>
      <c r="B325" s="885"/>
      <c r="C325" s="9" t="s">
        <v>296</v>
      </c>
      <c r="D325" s="241" t="s">
        <v>632</v>
      </c>
      <c r="E325" s="241" t="s">
        <v>632</v>
      </c>
      <c r="F325" s="243" t="s">
        <v>646</v>
      </c>
      <c r="G325" s="241" t="s">
        <v>646</v>
      </c>
      <c r="H325" s="241" t="s">
        <v>646</v>
      </c>
      <c r="I325" s="244" t="s">
        <v>646</v>
      </c>
      <c r="J325" s="195">
        <v>0</v>
      </c>
      <c r="K325" s="196"/>
      <c r="L325" s="196"/>
      <c r="M325" s="197"/>
      <c r="N325" s="314"/>
      <c r="O325" s="315">
        <v>2</v>
      </c>
      <c r="P325" s="315"/>
      <c r="Q325" s="316"/>
      <c r="R325" s="314"/>
      <c r="S325" s="315"/>
      <c r="T325" s="315"/>
      <c r="U325" s="316">
        <v>2</v>
      </c>
      <c r="V325" s="314"/>
      <c r="W325" s="315"/>
      <c r="X325" s="315"/>
      <c r="Y325" s="316">
        <v>6</v>
      </c>
      <c r="Z325" s="314"/>
      <c r="AA325" s="315"/>
      <c r="AB325" s="315"/>
      <c r="AC325" s="316">
        <v>0</v>
      </c>
      <c r="AD325" s="314"/>
      <c r="AE325" s="316"/>
    </row>
    <row r="326" spans="1:31" ht="13.5" hidden="1" thickBot="1">
      <c r="A326" s="885"/>
      <c r="B326" s="885"/>
      <c r="C326" s="9" t="s">
        <v>297</v>
      </c>
      <c r="D326" s="241" t="s">
        <v>632</v>
      </c>
      <c r="E326" s="241" t="s">
        <v>632</v>
      </c>
      <c r="F326" s="243" t="s">
        <v>646</v>
      </c>
      <c r="G326" s="241" t="s">
        <v>646</v>
      </c>
      <c r="H326" s="241" t="s">
        <v>646</v>
      </c>
      <c r="I326" s="244" t="s">
        <v>646</v>
      </c>
      <c r="J326" s="195">
        <v>0</v>
      </c>
      <c r="K326" s="196"/>
      <c r="L326" s="196"/>
      <c r="M326" s="197"/>
      <c r="N326" s="314"/>
      <c r="O326" s="315">
        <v>2</v>
      </c>
      <c r="P326" s="315"/>
      <c r="Q326" s="316"/>
      <c r="R326" s="314"/>
      <c r="S326" s="315"/>
      <c r="T326" s="315"/>
      <c r="U326" s="316">
        <v>5</v>
      </c>
      <c r="V326" s="314"/>
      <c r="W326" s="315"/>
      <c r="X326" s="315"/>
      <c r="Y326" s="316">
        <v>9</v>
      </c>
      <c r="Z326" s="314"/>
      <c r="AA326" s="315"/>
      <c r="AB326" s="315"/>
      <c r="AC326" s="316">
        <v>0</v>
      </c>
      <c r="AD326" s="314"/>
      <c r="AE326" s="316"/>
    </row>
    <row r="327" spans="1:31" ht="13.5" hidden="1" thickBot="1">
      <c r="A327" s="885"/>
      <c r="B327" s="885"/>
      <c r="C327" s="9" t="s">
        <v>298</v>
      </c>
      <c r="D327" s="241" t="s">
        <v>632</v>
      </c>
      <c r="E327" s="241" t="s">
        <v>632</v>
      </c>
      <c r="F327" s="243" t="s">
        <v>646</v>
      </c>
      <c r="G327" s="241" t="s">
        <v>646</v>
      </c>
      <c r="H327" s="241" t="s">
        <v>646</v>
      </c>
      <c r="I327" s="244" t="s">
        <v>646</v>
      </c>
      <c r="J327" s="195">
        <v>0</v>
      </c>
      <c r="K327" s="196"/>
      <c r="L327" s="196"/>
      <c r="M327" s="197"/>
      <c r="N327" s="314"/>
      <c r="O327" s="315">
        <v>2</v>
      </c>
      <c r="P327" s="315"/>
      <c r="Q327" s="316"/>
      <c r="R327" s="314"/>
      <c r="S327" s="315"/>
      <c r="T327" s="315"/>
      <c r="U327" s="316">
        <v>4</v>
      </c>
      <c r="V327" s="314"/>
      <c r="W327" s="315"/>
      <c r="X327" s="315"/>
      <c r="Y327" s="316">
        <v>6</v>
      </c>
      <c r="Z327" s="314"/>
      <c r="AA327" s="315"/>
      <c r="AB327" s="315"/>
      <c r="AC327" s="316">
        <v>0</v>
      </c>
      <c r="AD327" s="314"/>
      <c r="AE327" s="316"/>
    </row>
    <row r="328" spans="1:31" ht="13.5" hidden="1" thickBot="1">
      <c r="A328" s="885"/>
      <c r="B328" s="885"/>
      <c r="C328" s="9" t="s">
        <v>299</v>
      </c>
      <c r="D328" s="241" t="s">
        <v>632</v>
      </c>
      <c r="E328" s="241" t="s">
        <v>632</v>
      </c>
      <c r="F328" s="243" t="s">
        <v>646</v>
      </c>
      <c r="G328" s="241" t="s">
        <v>646</v>
      </c>
      <c r="H328" s="241" t="s">
        <v>646</v>
      </c>
      <c r="I328" s="244" t="s">
        <v>646</v>
      </c>
      <c r="J328" s="195">
        <v>0</v>
      </c>
      <c r="K328" s="196"/>
      <c r="L328" s="196"/>
      <c r="M328" s="197"/>
      <c r="N328" s="314"/>
      <c r="O328" s="315">
        <v>1</v>
      </c>
      <c r="P328" s="315"/>
      <c r="Q328" s="316"/>
      <c r="R328" s="314"/>
      <c r="S328" s="315"/>
      <c r="T328" s="315"/>
      <c r="U328" s="316">
        <v>2</v>
      </c>
      <c r="V328" s="314"/>
      <c r="W328" s="315"/>
      <c r="X328" s="315"/>
      <c r="Y328" s="316">
        <v>7</v>
      </c>
      <c r="Z328" s="314"/>
      <c r="AA328" s="315"/>
      <c r="AB328" s="315"/>
      <c r="AC328" s="316">
        <v>0</v>
      </c>
      <c r="AD328" s="314"/>
      <c r="AE328" s="316"/>
    </row>
    <row r="329" spans="1:31" ht="24.75" hidden="1" thickBot="1">
      <c r="A329" s="885"/>
      <c r="B329" s="885"/>
      <c r="C329" s="9" t="s">
        <v>300</v>
      </c>
      <c r="D329" s="199"/>
      <c r="E329" s="200"/>
      <c r="F329" s="201"/>
      <c r="G329" s="199"/>
      <c r="H329" s="199"/>
      <c r="I329" s="200"/>
      <c r="J329" s="201"/>
      <c r="K329" s="199"/>
      <c r="L329" s="199"/>
      <c r="M329" s="200"/>
      <c r="N329" s="318"/>
      <c r="O329" s="319" t="s">
        <v>634</v>
      </c>
      <c r="P329" s="312" t="s">
        <v>632</v>
      </c>
      <c r="Q329" s="313" t="s">
        <v>646</v>
      </c>
      <c r="R329" s="314">
        <v>0</v>
      </c>
      <c r="S329" s="315"/>
      <c r="T329" s="315"/>
      <c r="U329" s="316">
        <v>0</v>
      </c>
      <c r="V329" s="314"/>
      <c r="W329" s="315"/>
      <c r="X329" s="315"/>
      <c r="Y329" s="316">
        <v>0</v>
      </c>
      <c r="Z329" s="314"/>
      <c r="AA329" s="315"/>
      <c r="AB329" s="315"/>
      <c r="AC329" s="316">
        <v>0</v>
      </c>
      <c r="AD329" s="314"/>
      <c r="AE329" s="316"/>
    </row>
    <row r="330" spans="1:31" ht="13.5" hidden="1" thickBot="1">
      <c r="A330" s="885"/>
      <c r="B330" s="885"/>
      <c r="C330" s="9" t="s">
        <v>301</v>
      </c>
      <c r="D330" s="199"/>
      <c r="E330" s="200"/>
      <c r="F330" s="201"/>
      <c r="G330" s="199"/>
      <c r="H330" s="199"/>
      <c r="I330" s="200"/>
      <c r="J330" s="201"/>
      <c r="K330" s="199"/>
      <c r="L330" s="199"/>
      <c r="M330" s="200"/>
      <c r="N330" s="318"/>
      <c r="O330" s="319" t="s">
        <v>634</v>
      </c>
      <c r="P330" s="312" t="s">
        <v>632</v>
      </c>
      <c r="Q330" s="313" t="s">
        <v>646</v>
      </c>
      <c r="R330" s="314">
        <v>0</v>
      </c>
      <c r="S330" s="315"/>
      <c r="T330" s="315"/>
      <c r="U330" s="316">
        <v>0</v>
      </c>
      <c r="V330" s="314"/>
      <c r="W330" s="315"/>
      <c r="X330" s="315"/>
      <c r="Y330" s="316">
        <v>0</v>
      </c>
      <c r="Z330" s="314"/>
      <c r="AA330" s="315"/>
      <c r="AB330" s="315"/>
      <c r="AC330" s="316">
        <v>0</v>
      </c>
      <c r="AD330" s="314"/>
      <c r="AE330" s="316"/>
    </row>
    <row r="331" spans="1:31" ht="13.5" hidden="1" thickBot="1">
      <c r="A331" s="885"/>
      <c r="B331" s="885"/>
      <c r="C331" s="9" t="s">
        <v>302</v>
      </c>
      <c r="D331" s="199"/>
      <c r="E331" s="200"/>
      <c r="F331" s="201"/>
      <c r="G331" s="199"/>
      <c r="H331" s="199"/>
      <c r="I331" s="200"/>
      <c r="J331" s="201"/>
      <c r="K331" s="199"/>
      <c r="L331" s="199"/>
      <c r="M331" s="200"/>
      <c r="N331" s="318"/>
      <c r="O331" s="319" t="s">
        <v>634</v>
      </c>
      <c r="P331" s="312" t="s">
        <v>632</v>
      </c>
      <c r="Q331" s="313" t="s">
        <v>646</v>
      </c>
      <c r="R331" s="314">
        <v>0</v>
      </c>
      <c r="S331" s="315"/>
      <c r="T331" s="315"/>
      <c r="U331" s="316">
        <v>0</v>
      </c>
      <c r="V331" s="314"/>
      <c r="W331" s="315"/>
      <c r="X331" s="315"/>
      <c r="Y331" s="316">
        <v>3</v>
      </c>
      <c r="Z331" s="314"/>
      <c r="AA331" s="315"/>
      <c r="AB331" s="315"/>
      <c r="AC331" s="316">
        <v>0</v>
      </c>
      <c r="AD331" s="314"/>
      <c r="AE331" s="316"/>
    </row>
    <row r="332" spans="1:31" ht="24.75" hidden="1" thickBot="1">
      <c r="A332" s="885"/>
      <c r="B332" s="885"/>
      <c r="C332" s="9" t="s">
        <v>303</v>
      </c>
      <c r="D332" s="202"/>
      <c r="E332" s="203"/>
      <c r="F332" s="201"/>
      <c r="G332" s="202"/>
      <c r="H332" s="202"/>
      <c r="I332" s="203"/>
      <c r="J332" s="201"/>
      <c r="K332" s="202"/>
      <c r="L332" s="202"/>
      <c r="M332" s="203"/>
      <c r="N332" s="322"/>
      <c r="O332" s="323"/>
      <c r="P332" s="324"/>
      <c r="Q332" s="324"/>
      <c r="R332" s="317"/>
      <c r="S332" s="320"/>
      <c r="T332" s="320"/>
      <c r="U332" s="321"/>
      <c r="V332" s="325"/>
      <c r="W332" s="319" t="s">
        <v>633</v>
      </c>
      <c r="X332" s="312" t="s">
        <v>632</v>
      </c>
      <c r="Y332" s="316">
        <v>0</v>
      </c>
      <c r="Z332" s="314"/>
      <c r="AA332" s="315"/>
      <c r="AB332" s="315"/>
      <c r="AC332" s="316">
        <v>0</v>
      </c>
      <c r="AD332" s="314"/>
      <c r="AE332" s="316"/>
    </row>
    <row r="333" spans="1:31" ht="13.5" hidden="1" thickBot="1">
      <c r="A333" s="869"/>
      <c r="B333" s="869"/>
      <c r="C333" s="9" t="s">
        <v>304</v>
      </c>
      <c r="D333" s="202"/>
      <c r="E333" s="203"/>
      <c r="F333" s="201"/>
      <c r="G333" s="202"/>
      <c r="H333" s="202"/>
      <c r="I333" s="203"/>
      <c r="J333" s="201"/>
      <c r="K333" s="202"/>
      <c r="L333" s="202"/>
      <c r="M333" s="203"/>
      <c r="N333" s="322"/>
      <c r="O333" s="324"/>
      <c r="P333" s="324"/>
      <c r="Q333" s="324"/>
      <c r="R333" s="317"/>
      <c r="S333" s="320"/>
      <c r="T333" s="320"/>
      <c r="U333" s="321"/>
      <c r="V333" s="325"/>
      <c r="W333" s="319" t="s">
        <v>633</v>
      </c>
      <c r="X333" s="312" t="s">
        <v>632</v>
      </c>
      <c r="Y333" s="316">
        <v>0</v>
      </c>
      <c r="Z333" s="314"/>
      <c r="AA333" s="315"/>
      <c r="AB333" s="315"/>
      <c r="AC333" s="316">
        <v>0</v>
      </c>
      <c r="AD333" s="314"/>
      <c r="AE333" s="316"/>
    </row>
    <row r="334" spans="1:31" ht="12.95" hidden="1" customHeight="1" thickBot="1">
      <c r="A334" s="231"/>
      <c r="B334" s="231"/>
      <c r="C334" s="231"/>
      <c r="D334" s="232"/>
      <c r="E334" s="233"/>
      <c r="F334" s="234"/>
      <c r="G334" s="232"/>
      <c r="H334" s="232"/>
      <c r="I334" s="233"/>
      <c r="J334" s="234"/>
      <c r="K334" s="232"/>
      <c r="L334" s="232"/>
      <c r="M334" s="233"/>
      <c r="N334" s="328"/>
      <c r="O334" s="326"/>
      <c r="P334" s="326"/>
      <c r="Q334" s="327"/>
      <c r="R334" s="328"/>
      <c r="S334" s="326"/>
      <c r="T334" s="326"/>
      <c r="U334" s="327"/>
      <c r="V334" s="328"/>
      <c r="W334" s="326"/>
      <c r="X334" s="326"/>
      <c r="Y334" s="327"/>
      <c r="Z334" s="328"/>
      <c r="AA334" s="326"/>
      <c r="AB334" s="326"/>
      <c r="AC334" s="327"/>
      <c r="AD334" s="328"/>
      <c r="AE334" s="327"/>
    </row>
    <row r="335" spans="1:31" ht="12.95" hidden="1" customHeight="1" thickBot="1">
      <c r="A335" s="231"/>
      <c r="B335" s="231"/>
      <c r="C335" s="231"/>
      <c r="D335" s="232"/>
      <c r="E335" s="233"/>
      <c r="F335" s="234"/>
      <c r="G335" s="232"/>
      <c r="H335" s="232"/>
      <c r="I335" s="233"/>
      <c r="J335" s="234"/>
      <c r="K335" s="232"/>
      <c r="L335" s="232"/>
      <c r="M335" s="233"/>
      <c r="N335" s="328"/>
      <c r="O335" s="326"/>
      <c r="P335" s="326"/>
      <c r="Q335" s="327"/>
      <c r="R335" s="328"/>
      <c r="S335" s="326"/>
      <c r="T335" s="326"/>
      <c r="U335" s="327"/>
      <c r="V335" s="328"/>
      <c r="W335" s="326"/>
      <c r="X335" s="326"/>
      <c r="Y335" s="327"/>
      <c r="Z335" s="328"/>
      <c r="AA335" s="326"/>
      <c r="AB335" s="326"/>
      <c r="AC335" s="327"/>
      <c r="AD335" s="328"/>
      <c r="AE335" s="327"/>
    </row>
    <row r="336" spans="1:31" ht="12.95" hidden="1" customHeight="1" thickBot="1">
      <c r="A336" s="231"/>
      <c r="B336" s="231"/>
      <c r="C336" s="231"/>
      <c r="D336" s="232"/>
      <c r="E336" s="233"/>
      <c r="F336" s="234"/>
      <c r="G336" s="232"/>
      <c r="H336" s="232"/>
      <c r="I336" s="233"/>
      <c r="J336" s="234"/>
      <c r="K336" s="232"/>
      <c r="L336" s="232"/>
      <c r="M336" s="233"/>
      <c r="N336" s="328"/>
      <c r="O336" s="326"/>
      <c r="P336" s="326"/>
      <c r="Q336" s="327"/>
      <c r="R336" s="328"/>
      <c r="S336" s="326"/>
      <c r="T336" s="326"/>
      <c r="U336" s="327"/>
      <c r="V336" s="328"/>
      <c r="W336" s="326"/>
      <c r="X336" s="326"/>
      <c r="Y336" s="327"/>
      <c r="Z336" s="328"/>
      <c r="AA336" s="326"/>
      <c r="AB336" s="326"/>
      <c r="AC336" s="327"/>
      <c r="AD336" s="328"/>
      <c r="AE336" s="327"/>
    </row>
    <row r="337" spans="1:44" ht="12.95" hidden="1" customHeight="1" thickBot="1">
      <c r="A337" s="231"/>
      <c r="B337" s="231"/>
      <c r="C337" s="231"/>
      <c r="D337" s="232"/>
      <c r="E337" s="233"/>
      <c r="F337" s="234"/>
      <c r="G337" s="232"/>
      <c r="H337" s="232"/>
      <c r="I337" s="233"/>
      <c r="J337" s="234"/>
      <c r="K337" s="232"/>
      <c r="L337" s="232"/>
      <c r="M337" s="233"/>
      <c r="N337" s="328"/>
      <c r="O337" s="326"/>
      <c r="P337" s="326"/>
      <c r="Q337" s="327"/>
      <c r="R337" s="328"/>
      <c r="S337" s="326"/>
      <c r="T337" s="326"/>
      <c r="U337" s="327"/>
      <c r="V337" s="328"/>
      <c r="W337" s="326"/>
      <c r="X337" s="326"/>
      <c r="Y337" s="327"/>
      <c r="Z337" s="328"/>
      <c r="AA337" s="326"/>
      <c r="AB337" s="326"/>
      <c r="AC337" s="327"/>
      <c r="AD337" s="328"/>
      <c r="AE337" s="327"/>
    </row>
    <row r="338" spans="1:44" ht="12.95" hidden="1" customHeight="1" thickBot="1">
      <c r="A338" s="231"/>
      <c r="B338" s="231"/>
      <c r="C338" s="231"/>
      <c r="D338" s="232"/>
      <c r="E338" s="233"/>
      <c r="F338" s="234"/>
      <c r="G338" s="232"/>
      <c r="H338" s="232"/>
      <c r="I338" s="233"/>
      <c r="J338" s="234"/>
      <c r="K338" s="232"/>
      <c r="L338" s="232"/>
      <c r="M338" s="233"/>
      <c r="N338" s="328"/>
      <c r="O338" s="326"/>
      <c r="P338" s="326"/>
      <c r="Q338" s="327"/>
      <c r="R338" s="328"/>
      <c r="S338" s="326"/>
      <c r="T338" s="326"/>
      <c r="U338" s="327"/>
      <c r="V338" s="328"/>
      <c r="W338" s="326"/>
      <c r="X338" s="326"/>
      <c r="Y338" s="327"/>
      <c r="Z338" s="328"/>
      <c r="AA338" s="326"/>
      <c r="AB338" s="326"/>
      <c r="AC338" s="327"/>
      <c r="AD338" s="328"/>
      <c r="AE338" s="327"/>
    </row>
    <row r="339" spans="1:44" ht="12.95" hidden="1" customHeight="1" thickBot="1">
      <c r="A339" s="231"/>
      <c r="B339" s="231"/>
      <c r="C339" s="231"/>
      <c r="D339" s="232"/>
      <c r="E339" s="233"/>
      <c r="F339" s="234"/>
      <c r="G339" s="232"/>
      <c r="H339" s="232"/>
      <c r="I339" s="233"/>
      <c r="J339" s="234"/>
      <c r="K339" s="232"/>
      <c r="L339" s="232"/>
      <c r="M339" s="233"/>
      <c r="N339" s="328"/>
      <c r="O339" s="326"/>
      <c r="P339" s="326"/>
      <c r="Q339" s="327"/>
      <c r="R339" s="328"/>
      <c r="S339" s="326"/>
      <c r="T339" s="326"/>
      <c r="U339" s="327"/>
      <c r="V339" s="328"/>
      <c r="W339" s="326"/>
      <c r="X339" s="326"/>
      <c r="Y339" s="327"/>
      <c r="Z339" s="328"/>
      <c r="AA339" s="326"/>
      <c r="AB339" s="326"/>
      <c r="AC339" s="327"/>
      <c r="AD339" s="328"/>
      <c r="AE339" s="327"/>
    </row>
    <row r="341" spans="1:44" ht="13.5" thickBot="1">
      <c r="AG341" s="357" t="s">
        <v>1111</v>
      </c>
      <c r="AH341" s="416" t="s">
        <v>1109</v>
      </c>
    </row>
    <row r="342" spans="1:44" ht="12.95" customHeight="1" thickBot="1">
      <c r="A342" s="300" t="s">
        <v>26</v>
      </c>
      <c r="B342" s="299" t="s">
        <v>29</v>
      </c>
      <c r="C342" s="8"/>
      <c r="D342" s="1377">
        <v>2008</v>
      </c>
      <c r="E342" s="1378"/>
      <c r="F342" s="1372">
        <v>2009</v>
      </c>
      <c r="G342" s="1373"/>
      <c r="H342" s="1373"/>
      <c r="I342" s="1374"/>
      <c r="J342" s="1372">
        <v>2010</v>
      </c>
      <c r="K342" s="1373"/>
      <c r="L342" s="1373"/>
      <c r="M342" s="1374"/>
      <c r="N342" s="1372">
        <v>2011</v>
      </c>
      <c r="O342" s="1373"/>
      <c r="P342" s="1373"/>
      <c r="Q342" s="1374"/>
      <c r="R342" s="1372">
        <v>2012</v>
      </c>
      <c r="S342" s="1373"/>
      <c r="T342" s="1373"/>
      <c r="U342" s="1374"/>
      <c r="V342" s="1372">
        <v>2013</v>
      </c>
      <c r="W342" s="1373"/>
      <c r="X342" s="1373"/>
      <c r="Y342" s="1374"/>
      <c r="Z342" s="1372">
        <v>2014</v>
      </c>
      <c r="AA342" s="1373"/>
      <c r="AB342" s="1373"/>
      <c r="AC342" s="1374"/>
      <c r="AD342" s="1372">
        <v>2015</v>
      </c>
      <c r="AE342" s="1374"/>
      <c r="AG342" s="351" t="s">
        <v>1050</v>
      </c>
      <c r="AH342" s="660">
        <f>(SUM(AH343:AH347))/5</f>
        <v>0</v>
      </c>
      <c r="AI342" s="661">
        <f>(SUM(AI343:AI347))/5</f>
        <v>136335.28887965789</v>
      </c>
      <c r="AJ342" s="661">
        <f>(SUM(AJ343:AJ350))/8</f>
        <v>140941.61253506382</v>
      </c>
      <c r="AK342" s="661">
        <f>(SUM(AK343:AK350))/8</f>
        <v>248710.58600548358</v>
      </c>
      <c r="AL342" s="662">
        <f>(SUM(AL343:AL350))/8</f>
        <v>364264.63894614018</v>
      </c>
      <c r="AN342" s="676">
        <f>(SUM(AN343:AN347))/5</f>
        <v>2.5000000000000001E-2</v>
      </c>
      <c r="AO342" s="677">
        <f>(SUM(AO343:AO350))/8</f>
        <v>0.2421875</v>
      </c>
      <c r="AP342" s="677">
        <f>(SUM(AP343:AP350))/8</f>
        <v>1.471875</v>
      </c>
      <c r="AQ342" s="677">
        <f>(SUM(AQ343:AQ350))/8</f>
        <v>2.0003906249999996</v>
      </c>
      <c r="AR342" s="678">
        <f>(SUM(AR343:AR350))/8</f>
        <v>2.6921874999999997</v>
      </c>
    </row>
    <row r="343" spans="1:44" ht="12.95" customHeight="1" thickBot="1">
      <c r="A343" s="868" t="s">
        <v>64</v>
      </c>
      <c r="B343" s="868" t="s">
        <v>156</v>
      </c>
      <c r="C343" s="9"/>
      <c r="D343" s="1379" t="s">
        <v>714</v>
      </c>
      <c r="E343" s="1380"/>
      <c r="F343" s="1380"/>
      <c r="G343" s="1380"/>
      <c r="H343" s="1380"/>
      <c r="I343" s="1380"/>
      <c r="J343" s="1380"/>
      <c r="K343" s="1380"/>
      <c r="L343" s="1380"/>
      <c r="M343" s="1380"/>
      <c r="N343" s="1380"/>
      <c r="O343" s="1380"/>
      <c r="P343" s="1380"/>
      <c r="Q343" s="1380"/>
      <c r="R343" s="1380"/>
      <c r="S343" s="1380"/>
      <c r="T343" s="1380"/>
      <c r="U343" s="1380"/>
      <c r="V343" s="1380"/>
      <c r="W343" s="1380"/>
      <c r="X343" s="1380"/>
      <c r="Y343" s="1380"/>
      <c r="Z343" s="1380"/>
      <c r="AA343" s="1380"/>
      <c r="AB343" s="1380"/>
      <c r="AC343" s="1380"/>
      <c r="AD343" s="1380"/>
      <c r="AE343" s="1381"/>
      <c r="AG343" s="351" t="s">
        <v>756</v>
      </c>
      <c r="AH343" s="651">
        <v>0</v>
      </c>
      <c r="AI343" s="652">
        <f>O344+O368</f>
        <v>133419.65788597369</v>
      </c>
      <c r="AJ343" s="652">
        <f>AI343+U344+U368</f>
        <v>197000.4696136908</v>
      </c>
      <c r="AK343" s="652">
        <f>AJ343+Y344+Y368+Y392+Y415</f>
        <v>292449.64390236186</v>
      </c>
      <c r="AL343" s="653">
        <f>AK343+AC344+AC368+AC392+AC415</f>
        <v>396232.53893367504</v>
      </c>
      <c r="AN343" s="664">
        <f>((SUM('State DisAgg LFx10 (2014)'!D344:G344)/4/4)+(SUM('State DisAgg LFx10 (2014)'!D368:G368)/4/4))/2</f>
        <v>0</v>
      </c>
      <c r="AO343" s="673">
        <f>((SUM('State DisAgg LFx10 (2014)'!H354:K354)/4/4)+(SUM('State DisAgg LFx10 (2014)'!H368:K368)/4/4))/2</f>
        <v>0.1875</v>
      </c>
      <c r="AP343" s="673">
        <f>((SUM('State DisAgg LFx10 (2014)'!L354:O354)/4/4)+(SUM('State DisAgg LFx10 (2014)'!L378:O378)/4/4)+(SUM('State DisAgg LFx10 (2014)'!L392:O392)/40)+'State DisAgg LFx10 (2014)'!L415)/4</f>
        <v>2.0531250000000001</v>
      </c>
      <c r="AQ343" s="673">
        <f>((SUM('State DisAgg LFx10 (2014)'!P354:S354)/4/4)+(SUM('State DisAgg LFx10 (2014)'!P378:S378)/4/4)+(SUM('State DisAgg LFx10 (2014)'!P402:S402)/40)+'State DisAgg LFx10 (2014)'!P425)/4</f>
        <v>2.609375</v>
      </c>
      <c r="AR343" s="674">
        <f>((SUM('State DisAgg LFx10 (2014)'!T354:W354)/4/4)+(SUM('State DisAgg LFx10 (2014)'!T378:W378)/4/4)+(SUM('State DisAgg LFx10 (2014)'!T402:W402)/40)+'State DisAgg LFx10 (2014)'!T425)/4</f>
        <v>2.6906249999999998</v>
      </c>
    </row>
    <row r="344" spans="1:44" ht="13.5" thickBot="1">
      <c r="A344" s="885"/>
      <c r="B344" s="885"/>
      <c r="C344" s="250" t="s">
        <v>649</v>
      </c>
      <c r="D344" s="245"/>
      <c r="E344" s="246"/>
      <c r="F344" s="247"/>
      <c r="G344" s="245"/>
      <c r="H344" s="245"/>
      <c r="I344" s="246"/>
      <c r="J344" s="247"/>
      <c r="K344" s="245"/>
      <c r="L344" s="245"/>
      <c r="M344" s="246"/>
      <c r="N344" s="567"/>
      <c r="O344" s="568">
        <v>66709.828942986846</v>
      </c>
      <c r="P344" s="568"/>
      <c r="Q344" s="569"/>
      <c r="R344" s="567"/>
      <c r="S344" s="568"/>
      <c r="T344" s="568"/>
      <c r="U344" s="568">
        <v>31790.405863858556</v>
      </c>
      <c r="V344" s="567"/>
      <c r="W344" s="568"/>
      <c r="X344" s="568"/>
      <c r="Y344" s="568">
        <v>28360.484609667765</v>
      </c>
      <c r="Z344" s="567"/>
      <c r="AA344" s="568"/>
      <c r="AB344" s="568"/>
      <c r="AC344" s="568">
        <v>18057.80129191919</v>
      </c>
      <c r="AD344" s="567"/>
      <c r="AE344" s="570"/>
      <c r="AG344" s="351" t="s">
        <v>757</v>
      </c>
      <c r="AH344" s="655">
        <v>0</v>
      </c>
      <c r="AI344" s="654">
        <f t="shared" ref="AI344:AI352" si="62">O345+O369</f>
        <v>126486.61981228946</v>
      </c>
      <c r="AJ344" s="654">
        <f t="shared" ref="AJ344:AJ352" si="63">AI344+U345+U369</f>
        <v>178691.54284790132</v>
      </c>
      <c r="AK344" s="654">
        <f t="shared" ref="AK344:AK352" si="64">AJ344+Y345+Y369+Y393+Y416</f>
        <v>289738.02561551973</v>
      </c>
      <c r="AL344" s="656">
        <f t="shared" ref="AL344:AL352" si="65">AK344+AC345+AC369+AC393+AC416</f>
        <v>391088.57493774197</v>
      </c>
      <c r="AN344" s="663">
        <f>((SUM('State DisAgg LFx10 (2014)'!D345:G345)/4/4)+(SUM('State DisAgg LFx10 (2014)'!D369:G369)/4/4))/2</f>
        <v>0</v>
      </c>
      <c r="AO344" s="665">
        <f>((SUM('State DisAgg LFx10 (2014)'!H355:K355)/4/4)+(SUM('State DisAgg LFx10 (2014)'!H369:K369)/4/4))/2</f>
        <v>0.4375</v>
      </c>
      <c r="AP344" s="665">
        <f>((SUM('State DisAgg LFx10 (2014)'!L355:O355)/4/4)+(SUM('State DisAgg LFx10 (2014)'!L379:O379)/4/4)+(SUM('State DisAgg LFx10 (2014)'!L393:O393)/40)+'State DisAgg LFx10 (2014)'!L416)/4</f>
        <v>2.1156250000000001</v>
      </c>
      <c r="AQ344" s="665">
        <f>((SUM('State DisAgg LFx10 (2014)'!P355:S355)/4/4)+(SUM('State DisAgg LFx10 (2014)'!P379:S379)/4/4)+(SUM('State DisAgg LFx10 (2014)'!P403:S403)/40)+'State DisAgg LFx10 (2014)'!P426)/4</f>
        <v>2.4437500000000001</v>
      </c>
      <c r="AR344" s="666">
        <f>((SUM('State DisAgg LFx10 (2014)'!T355:W355)/4/4)+(SUM('State DisAgg LFx10 (2014)'!T379:W379)/4/4)+(SUM('State DisAgg LFx10 (2014)'!T403:W403)/40)+'State DisAgg LFx10 (2014)'!T426)/4</f>
        <v>2.7718750000000001</v>
      </c>
    </row>
    <row r="345" spans="1:44" ht="13.5" thickBot="1">
      <c r="A345" s="885"/>
      <c r="B345" s="885"/>
      <c r="C345" s="250" t="s">
        <v>650</v>
      </c>
      <c r="D345" s="245"/>
      <c r="E345" s="246"/>
      <c r="F345" s="247"/>
      <c r="G345" s="245"/>
      <c r="H345" s="245"/>
      <c r="I345" s="246"/>
      <c r="J345" s="247"/>
      <c r="K345" s="245"/>
      <c r="L345" s="245"/>
      <c r="M345" s="246"/>
      <c r="N345" s="567"/>
      <c r="O345" s="568">
        <v>63243.309906144728</v>
      </c>
      <c r="P345" s="568"/>
      <c r="Q345" s="569"/>
      <c r="R345" s="567"/>
      <c r="S345" s="568"/>
      <c r="T345" s="568"/>
      <c r="U345" s="568">
        <v>26102.461517805921</v>
      </c>
      <c r="V345" s="567"/>
      <c r="W345" s="568"/>
      <c r="X345" s="568"/>
      <c r="Y345" s="568">
        <v>35486.852979404604</v>
      </c>
      <c r="Z345" s="567"/>
      <c r="AA345" s="568"/>
      <c r="AB345" s="568"/>
      <c r="AC345" s="568">
        <v>18229.858273737376</v>
      </c>
      <c r="AD345" s="567"/>
      <c r="AE345" s="570"/>
      <c r="AG345" s="351" t="s">
        <v>758</v>
      </c>
      <c r="AH345" s="655">
        <v>0</v>
      </c>
      <c r="AI345" s="654">
        <f t="shared" si="62"/>
        <v>141982.00585439472</v>
      </c>
      <c r="AJ345" s="654">
        <f t="shared" si="63"/>
        <v>200555.89854263814</v>
      </c>
      <c r="AK345" s="654">
        <f t="shared" si="64"/>
        <v>338617.81308005063</v>
      </c>
      <c r="AL345" s="656">
        <f t="shared" si="65"/>
        <v>432735.33586287894</v>
      </c>
      <c r="AN345" s="663">
        <f>((SUM('State DisAgg LFx10 (2014)'!D346:G346)/4/4)+(SUM('State DisAgg LFx10 (2014)'!D370:G370)/4/4))/2</f>
        <v>0.125</v>
      </c>
      <c r="AO345" s="665">
        <f>((SUM('State DisAgg LFx10 (2014)'!H356:K356)/4/4)+(SUM('State DisAgg LFx10 (2014)'!H370:K370)/4/4))/2</f>
        <v>0.40625</v>
      </c>
      <c r="AP345" s="665">
        <f>((SUM('State DisAgg LFx10 (2014)'!L356:O356)/4/4)+(SUM('State DisAgg LFx10 (2014)'!L380:O380)/4/4)+(SUM('State DisAgg LFx10 (2014)'!L394:O394)/40)+'State DisAgg LFx10 (2014)'!L417)/4</f>
        <v>1.8125</v>
      </c>
      <c r="AQ345" s="665">
        <f>((SUM('State DisAgg LFx10 (2014)'!P356:S356)/4/4)+(SUM('State DisAgg LFx10 (2014)'!P380:S380)/4/4)+(SUM('State DisAgg LFx10 (2014)'!P404:S404)/40)+'State DisAgg LFx10 (2014)'!P427)/4</f>
        <v>2.015625</v>
      </c>
      <c r="AR345" s="666">
        <f>((SUM('State DisAgg LFx10 (2014)'!T356:W356)/4/4)+(SUM('State DisAgg LFx10 (2014)'!T380:W380)/4/4)+(SUM('State DisAgg LFx10 (2014)'!T404:W404)/40)+'State DisAgg LFx10 (2014)'!T427)/4</f>
        <v>3.05</v>
      </c>
    </row>
    <row r="346" spans="1:44" ht="13.5" thickBot="1">
      <c r="A346" s="885"/>
      <c r="B346" s="885"/>
      <c r="C346" s="250" t="s">
        <v>651</v>
      </c>
      <c r="D346" s="245"/>
      <c r="E346" s="246"/>
      <c r="F346" s="247"/>
      <c r="G346" s="245"/>
      <c r="H346" s="245"/>
      <c r="I346" s="246"/>
      <c r="J346" s="247"/>
      <c r="K346" s="245"/>
      <c r="L346" s="245"/>
      <c r="M346" s="246"/>
      <c r="N346" s="567"/>
      <c r="O346" s="568">
        <v>70991.002927197362</v>
      </c>
      <c r="P346" s="568"/>
      <c r="Q346" s="569"/>
      <c r="R346" s="567"/>
      <c r="S346" s="568"/>
      <c r="T346" s="568"/>
      <c r="U346" s="568">
        <v>29286.946344121712</v>
      </c>
      <c r="V346" s="567"/>
      <c r="W346" s="568"/>
      <c r="X346" s="568"/>
      <c r="Y346" s="568">
        <v>43588.312171853118</v>
      </c>
      <c r="Z346" s="567"/>
      <c r="AA346" s="568"/>
      <c r="AB346" s="568"/>
      <c r="AC346" s="568">
        <v>17327.716297979798</v>
      </c>
      <c r="AD346" s="567"/>
      <c r="AE346" s="570"/>
      <c r="AG346" s="351" t="s">
        <v>759</v>
      </c>
      <c r="AH346" s="655">
        <v>0</v>
      </c>
      <c r="AI346" s="654">
        <f t="shared" si="62"/>
        <v>135793.15128597367</v>
      </c>
      <c r="AJ346" s="654">
        <f t="shared" si="63"/>
        <v>199230.28306369076</v>
      </c>
      <c r="AK346" s="654">
        <f t="shared" si="64"/>
        <v>314526.97646975308</v>
      </c>
      <c r="AL346" s="656">
        <f t="shared" si="65"/>
        <v>426296.07465662173</v>
      </c>
      <c r="AN346" s="663">
        <f>((SUM('State DisAgg LFx10 (2014)'!D347:G347)/4/4)+(SUM('State DisAgg LFx10 (2014)'!D371:G371)/4/4))/2</f>
        <v>0</v>
      </c>
      <c r="AO346" s="665">
        <f>((SUM('State DisAgg LFx10 (2014)'!H357:K357)/4/4)+(SUM('State DisAgg LFx10 (2014)'!H371:K371)/4/4))/2</f>
        <v>0.46875</v>
      </c>
      <c r="AP346" s="665">
        <f>((SUM('State DisAgg LFx10 (2014)'!L357:O357)/4/4)+(SUM('State DisAgg LFx10 (2014)'!L381:O381)/4/4)+(SUM('State DisAgg LFx10 (2014)'!L395:O395)/40)+'State DisAgg LFx10 (2014)'!L418)/4</f>
        <v>1.734375</v>
      </c>
      <c r="AQ346" s="665">
        <f>((SUM('State DisAgg LFx10 (2014)'!P357:S357)/4/4)+(SUM('State DisAgg LFx10 (2014)'!P381:S381)/4/4)+(SUM('State DisAgg LFx10 (2014)'!P405:S405)/40)+'State DisAgg LFx10 (2014)'!P428)/4</f>
        <v>2.5218750000000001</v>
      </c>
      <c r="AR346" s="666">
        <f>((SUM('State DisAgg LFx10 (2014)'!T357:W357)/4/4)+(SUM('State DisAgg LFx10 (2014)'!T381:W381)/4/4)+(SUM('State DisAgg LFx10 (2014)'!T405:W405)/40)+'State DisAgg LFx10 (2014)'!T428)/4</f>
        <v>2.7218749999999998</v>
      </c>
    </row>
    <row r="347" spans="1:44" ht="13.5" thickBot="1">
      <c r="A347" s="885"/>
      <c r="B347" s="885"/>
      <c r="C347" s="250" t="s">
        <v>652</v>
      </c>
      <c r="D347" s="245"/>
      <c r="E347" s="246"/>
      <c r="F347" s="247"/>
      <c r="G347" s="245"/>
      <c r="H347" s="245"/>
      <c r="I347" s="246"/>
      <c r="J347" s="247"/>
      <c r="K347" s="245"/>
      <c r="L347" s="245"/>
      <c r="M347" s="246"/>
      <c r="N347" s="567"/>
      <c r="O347" s="568">
        <v>67896.575642986834</v>
      </c>
      <c r="P347" s="568"/>
      <c r="Q347" s="569"/>
      <c r="R347" s="567"/>
      <c r="S347" s="568"/>
      <c r="T347" s="568"/>
      <c r="U347" s="568">
        <v>31718.565888858549</v>
      </c>
      <c r="V347" s="567"/>
      <c r="W347" s="568"/>
      <c r="X347" s="568"/>
      <c r="Y347" s="568">
        <v>30018.969389015587</v>
      </c>
      <c r="Z347" s="567"/>
      <c r="AA347" s="568"/>
      <c r="AB347" s="568"/>
      <c r="AC347" s="568">
        <v>17266.82958080808</v>
      </c>
      <c r="AD347" s="567"/>
      <c r="AE347" s="570"/>
      <c r="AG347" s="351" t="s">
        <v>760</v>
      </c>
      <c r="AH347" s="655">
        <v>0</v>
      </c>
      <c r="AI347" s="654">
        <f t="shared" si="62"/>
        <v>143995.00955965789</v>
      </c>
      <c r="AJ347" s="654">
        <f t="shared" si="63"/>
        <v>239055.13987948024</v>
      </c>
      <c r="AK347" s="654">
        <f t="shared" si="64"/>
        <v>381525.21791963861</v>
      </c>
      <c r="AL347" s="656">
        <f t="shared" si="65"/>
        <v>534639.96994489117</v>
      </c>
      <c r="AN347" s="663">
        <f>((SUM('State DisAgg LFx10 (2014)'!D348:G348)/4/4)+(SUM('State DisAgg LFx10 (2014)'!D372:G372)/4/4))/2</f>
        <v>0</v>
      </c>
      <c r="AO347" s="665">
        <f>((SUM('State DisAgg LFx10 (2014)'!H358:K358)/4/4)+(SUM('State DisAgg LFx10 (2014)'!H372:K372)/4/4))/2</f>
        <v>0.40625</v>
      </c>
      <c r="AP347" s="665">
        <f>((SUM('State DisAgg LFx10 (2014)'!L358:O358)/4/4)+(SUM('State DisAgg LFx10 (2014)'!L382:O382)/4/4)+(SUM('State DisAgg LFx10 (2014)'!L396:O396)/40)+'State DisAgg LFx10 (2014)'!L419)/4</f>
        <v>1.5687500000000001</v>
      </c>
      <c r="AQ347" s="665">
        <f>((SUM('State DisAgg LFx10 (2014)'!P358:S358)/4/4)+(SUM('State DisAgg LFx10 (2014)'!P382:S382)/4/4)+(SUM('State DisAgg LFx10 (2014)'!P406:S406)/40)+'State DisAgg LFx10 (2014)'!P429)/4</f>
        <v>2.3187499999999996</v>
      </c>
      <c r="AR347" s="666">
        <f>((SUM('State DisAgg LFx10 (2014)'!T358:W358)/4/4)+(SUM('State DisAgg LFx10 (2014)'!T382:W382)/4/4)+(SUM('State DisAgg LFx10 (2014)'!T406:W406)/40)+'State DisAgg LFx10 (2014)'!T429)/4</f>
        <v>2.6218750000000002</v>
      </c>
    </row>
    <row r="348" spans="1:44" ht="13.5" thickBot="1">
      <c r="A348" s="885"/>
      <c r="B348" s="885"/>
      <c r="C348" s="250" t="s">
        <v>653</v>
      </c>
      <c r="D348" s="245"/>
      <c r="E348" s="246"/>
      <c r="F348" s="247"/>
      <c r="G348" s="245"/>
      <c r="H348" s="245"/>
      <c r="I348" s="246"/>
      <c r="J348" s="247"/>
      <c r="K348" s="245"/>
      <c r="L348" s="245"/>
      <c r="M348" s="246"/>
      <c r="N348" s="567"/>
      <c r="O348" s="568">
        <v>71997.504779828945</v>
      </c>
      <c r="P348" s="568"/>
      <c r="Q348" s="569"/>
      <c r="R348" s="567"/>
      <c r="S348" s="568"/>
      <c r="T348" s="568"/>
      <c r="U348" s="568">
        <v>47530.065159911188</v>
      </c>
      <c r="V348" s="567"/>
      <c r="W348" s="568"/>
      <c r="X348" s="568"/>
      <c r="Y348" s="568">
        <v>45051.454922539604</v>
      </c>
      <c r="Z348" s="567"/>
      <c r="AA348" s="568"/>
      <c r="AB348" s="568"/>
      <c r="AC348" s="568">
        <v>18977.205994949494</v>
      </c>
      <c r="AD348" s="567"/>
      <c r="AE348" s="570"/>
      <c r="AG348" s="351" t="s">
        <v>761</v>
      </c>
      <c r="AH348" s="655">
        <v>0</v>
      </c>
      <c r="AI348" s="654">
        <f t="shared" si="62"/>
        <v>0</v>
      </c>
      <c r="AJ348" s="654">
        <f t="shared" si="63"/>
        <v>37305.911710159206</v>
      </c>
      <c r="AK348" s="654">
        <f t="shared" si="64"/>
        <v>123670.1161722426</v>
      </c>
      <c r="AL348" s="656">
        <f t="shared" si="65"/>
        <v>265139.9249651719</v>
      </c>
      <c r="AN348" s="663">
        <f>AO348</f>
        <v>3.125E-2</v>
      </c>
      <c r="AO348" s="665">
        <f>((SUM('State DisAgg LFx10 (2014)'!H359:K359)/4/4)+(SUM('State DisAgg LFx10 (2014)'!H373:K373)/4/4))/2</f>
        <v>3.125E-2</v>
      </c>
      <c r="AP348" s="665">
        <f>((SUM('State DisAgg LFx10 (2014)'!L359:O359)/4/4)+(SUM('State DisAgg LFx10 (2014)'!L383:O383)/4/4)+(SUM('State DisAgg LFx10 (2014)'!L397:O397)/40)+'State DisAgg LFx10 (2014)'!L420)/4</f>
        <v>0.703125</v>
      </c>
      <c r="AQ348" s="665">
        <f>((SUM('State DisAgg LFx10 (2014)'!P359:S359)/4/4)+(SUM('State DisAgg LFx10 (2014)'!P383:S383)/4/4)+(SUM('State DisAgg LFx10 (2014)'!P407:S407)/40)+'State DisAgg LFx10 (2014)'!P430)/4</f>
        <v>1.10625</v>
      </c>
      <c r="AR348" s="666">
        <f>((SUM('State DisAgg LFx10 (2014)'!T359:W359)/4/4)+(SUM('State DisAgg LFx10 (2014)'!T383:W383)/4/4)+(SUM('State DisAgg LFx10 (2014)'!T407:W407)/40)+'State DisAgg LFx10 (2014)'!T430)/4</f>
        <v>2.8468749999999998</v>
      </c>
    </row>
    <row r="349" spans="1:44" ht="12.95" customHeight="1" thickBot="1">
      <c r="A349" s="885"/>
      <c r="B349" s="885"/>
      <c r="C349" s="250" t="s">
        <v>654</v>
      </c>
      <c r="D349" s="248"/>
      <c r="E349" s="249"/>
      <c r="F349" s="247"/>
      <c r="G349" s="248"/>
      <c r="H349" s="248"/>
      <c r="I349" s="249"/>
      <c r="J349" s="247"/>
      <c r="K349" s="248"/>
      <c r="L349" s="248"/>
      <c r="M349" s="249"/>
      <c r="N349" s="571"/>
      <c r="O349" s="572"/>
      <c r="P349" s="572"/>
      <c r="Q349" s="572"/>
      <c r="R349" s="567"/>
      <c r="S349" s="568"/>
      <c r="T349" s="568"/>
      <c r="U349" s="568">
        <v>18652.955855079603</v>
      </c>
      <c r="V349" s="567"/>
      <c r="W349" s="568"/>
      <c r="X349" s="568"/>
      <c r="Y349" s="568">
        <v>43409.813090520853</v>
      </c>
      <c r="Z349" s="567"/>
      <c r="AA349" s="568"/>
      <c r="AB349" s="568"/>
      <c r="AC349" s="568">
        <v>28097.836550505046</v>
      </c>
      <c r="AD349" s="567"/>
      <c r="AE349" s="570"/>
      <c r="AG349" s="351" t="s">
        <v>762</v>
      </c>
      <c r="AH349" s="655">
        <v>0</v>
      </c>
      <c r="AI349" s="654">
        <f t="shared" si="62"/>
        <v>0</v>
      </c>
      <c r="AJ349" s="654">
        <f t="shared" si="63"/>
        <v>37142.940728580259</v>
      </c>
      <c r="AK349" s="654">
        <f t="shared" si="64"/>
        <v>106907.14560313504</v>
      </c>
      <c r="AL349" s="656">
        <f t="shared" si="65"/>
        <v>210917.35767889261</v>
      </c>
      <c r="AN349" s="663">
        <f t="shared" ref="AN349:AP352" si="66">AO349</f>
        <v>0</v>
      </c>
      <c r="AO349" s="665">
        <f>((SUM('State DisAgg LFx10 (2014)'!H360:K360)/4/4)+(SUM('State DisAgg LFx10 (2014)'!H374:K374)/4/4))/2</f>
        <v>0</v>
      </c>
      <c r="AP349" s="665">
        <f>((SUM('State DisAgg LFx10 (2014)'!L360:O360)/4/4)+(SUM('State DisAgg LFx10 (2014)'!L384:O384)/4/4)+(SUM('State DisAgg LFx10 (2014)'!L398:O398)/40)+'State DisAgg LFx10 (2014)'!L421)/4</f>
        <v>0.90625</v>
      </c>
      <c r="AQ349" s="665">
        <f>((SUM('State DisAgg LFx10 (2014)'!P360:S360)/4/4)+(SUM('State DisAgg LFx10 (2014)'!P384:S384)/4/4)+(SUM('State DisAgg LFx10 (2014)'!P408:S408)/40)+'State DisAgg LFx10 (2014)'!P431)/4</f>
        <v>1.371875</v>
      </c>
      <c r="AR349" s="666">
        <f>((SUM('State DisAgg LFx10 (2014)'!T360:W360)/4/4)+(SUM('State DisAgg LFx10 (2014)'!T384:W384)/4/4)+(SUM('State DisAgg LFx10 (2014)'!T408:W408)/40)+'State DisAgg LFx10 (2014)'!T431)/4</f>
        <v>2.2000000000000002</v>
      </c>
    </row>
    <row r="350" spans="1:44" ht="12.95" customHeight="1" thickBot="1">
      <c r="A350" s="885"/>
      <c r="B350" s="885"/>
      <c r="C350" s="250" t="s">
        <v>655</v>
      </c>
      <c r="D350" s="248"/>
      <c r="E350" s="249"/>
      <c r="F350" s="247"/>
      <c r="G350" s="248"/>
      <c r="H350" s="248"/>
      <c r="I350" s="249"/>
      <c r="J350" s="247"/>
      <c r="K350" s="248"/>
      <c r="L350" s="248"/>
      <c r="M350" s="249"/>
      <c r="N350" s="571"/>
      <c r="O350" s="572"/>
      <c r="P350" s="572"/>
      <c r="Q350" s="572"/>
      <c r="R350" s="567"/>
      <c r="S350" s="568"/>
      <c r="T350" s="568"/>
      <c r="U350" s="568">
        <v>18571.47036429013</v>
      </c>
      <c r="V350" s="567"/>
      <c r="W350" s="568"/>
      <c r="X350" s="568"/>
      <c r="Y350" s="568">
        <v>30989.474756138698</v>
      </c>
      <c r="Z350" s="567"/>
      <c r="AA350" s="568"/>
      <c r="AB350" s="568"/>
      <c r="AC350" s="568">
        <v>17539.944075757576</v>
      </c>
      <c r="AD350" s="567"/>
      <c r="AE350" s="570"/>
      <c r="AG350" s="351" t="s">
        <v>763</v>
      </c>
      <c r="AH350" s="655">
        <v>0</v>
      </c>
      <c r="AI350" s="654">
        <f t="shared" si="62"/>
        <v>0</v>
      </c>
      <c r="AJ350" s="654">
        <f t="shared" si="63"/>
        <v>38550.713894369735</v>
      </c>
      <c r="AK350" s="654">
        <f t="shared" si="64"/>
        <v>142249.74928116711</v>
      </c>
      <c r="AL350" s="656">
        <f t="shared" si="65"/>
        <v>257067.33458924788</v>
      </c>
      <c r="AN350" s="663">
        <f t="shared" si="66"/>
        <v>0</v>
      </c>
      <c r="AO350" s="665">
        <f>((SUM('State DisAgg LFx10 (2014)'!H361:K361)/4/4)+(SUM('State DisAgg LFx10 (2014)'!H375:K375)/4/4))/2</f>
        <v>0</v>
      </c>
      <c r="AP350" s="665">
        <f>((SUM('State DisAgg LFx10 (2014)'!L361:O361)/4/4)+(SUM('State DisAgg LFx10 (2014)'!L385:O385)/4/4)+(SUM('State DisAgg LFx10 (2014)'!L399:O399)/40)+'State DisAgg LFx10 (2014)'!L422)/4</f>
        <v>0.88124999999999998</v>
      </c>
      <c r="AQ350" s="665">
        <f>((SUM('State DisAgg LFx10 (2014)'!P361:S361)/4/4)+(SUM('State DisAgg LFx10 (2014)'!P385:S385)/4/4)+(SUM('State DisAgg LFx10 (2014)'!P409:S409)/40)+'State DisAgg LFx10 (2014)'!P432)/4</f>
        <v>1.6156250000000001</v>
      </c>
      <c r="AR350" s="666">
        <f>((SUM('State DisAgg LFx10 (2014)'!T361:W361)/4/4)+(SUM('State DisAgg LFx10 (2014)'!T385:W385)/4/4)+(SUM('State DisAgg LFx10 (2014)'!T409:W409)/40)+'State DisAgg LFx10 (2014)'!T432)/4</f>
        <v>2.6343749999999999</v>
      </c>
    </row>
    <row r="351" spans="1:44" ht="12.95" customHeight="1" thickBot="1">
      <c r="A351" s="885"/>
      <c r="B351" s="885"/>
      <c r="C351" s="250" t="s">
        <v>656</v>
      </c>
      <c r="D351" s="248"/>
      <c r="E351" s="249"/>
      <c r="F351" s="247"/>
      <c r="G351" s="248"/>
      <c r="H351" s="248"/>
      <c r="I351" s="249"/>
      <c r="J351" s="247"/>
      <c r="K351" s="248"/>
      <c r="L351" s="248"/>
      <c r="M351" s="249"/>
      <c r="N351" s="571"/>
      <c r="O351" s="572"/>
      <c r="P351" s="572"/>
      <c r="Q351" s="572"/>
      <c r="R351" s="567"/>
      <c r="S351" s="568"/>
      <c r="T351" s="568"/>
      <c r="U351" s="568">
        <v>19275.356947184868</v>
      </c>
      <c r="V351" s="567"/>
      <c r="W351" s="568"/>
      <c r="X351" s="568"/>
      <c r="Y351" s="568">
        <v>32382.54974669934</v>
      </c>
      <c r="Z351" s="567"/>
      <c r="AA351" s="568"/>
      <c r="AB351" s="568"/>
      <c r="AC351" s="568">
        <v>15629.922611111111</v>
      </c>
      <c r="AD351" s="567"/>
      <c r="AE351" s="570"/>
      <c r="AG351" s="351" t="s">
        <v>1098</v>
      </c>
      <c r="AH351" s="655">
        <v>0</v>
      </c>
      <c r="AI351" s="654">
        <f t="shared" si="62"/>
        <v>0</v>
      </c>
      <c r="AJ351" s="654">
        <f t="shared" si="63"/>
        <v>0</v>
      </c>
      <c r="AK351" s="654">
        <f t="shared" si="64"/>
        <v>0</v>
      </c>
      <c r="AL351" s="656">
        <f t="shared" si="65"/>
        <v>100517.26232828284</v>
      </c>
      <c r="AN351" s="663">
        <f t="shared" si="66"/>
        <v>2.0249999999999999</v>
      </c>
      <c r="AO351" s="665">
        <f t="shared" si="66"/>
        <v>2.0249999999999999</v>
      </c>
      <c r="AP351" s="665">
        <f t="shared" si="66"/>
        <v>2.0249999999999999</v>
      </c>
      <c r="AQ351" s="665">
        <f>AR351</f>
        <v>2.0249999999999999</v>
      </c>
      <c r="AR351" s="666">
        <f>((SUM('State DisAgg LFx10 (2014)'!T362:W362)/4)+(SUM('State DisAgg LFx10 (2014)'!T386:W386)/4)+(SUM('State DisAgg LFx10 (2014)'!T410:W410)/40)+'State DisAgg LFx10 (2014)'!T433)/4</f>
        <v>2.0249999999999999</v>
      </c>
    </row>
    <row r="352" spans="1:44" ht="12.95" customHeight="1" thickBot="1">
      <c r="A352" s="885"/>
      <c r="B352" s="885"/>
      <c r="C352" s="250" t="s">
        <v>657</v>
      </c>
      <c r="D352" s="248"/>
      <c r="E352" s="249"/>
      <c r="F352" s="247"/>
      <c r="G352" s="248"/>
      <c r="H352" s="248"/>
      <c r="I352" s="249"/>
      <c r="J352" s="247"/>
      <c r="K352" s="248"/>
      <c r="L352" s="248"/>
      <c r="M352" s="249"/>
      <c r="N352" s="571"/>
      <c r="O352" s="572"/>
      <c r="P352" s="572"/>
      <c r="Q352" s="573"/>
      <c r="R352" s="571"/>
      <c r="S352" s="572"/>
      <c r="T352" s="572"/>
      <c r="U352" s="573"/>
      <c r="V352" s="571"/>
      <c r="W352" s="572"/>
      <c r="X352" s="572"/>
      <c r="Y352" s="573"/>
      <c r="Z352" s="567"/>
      <c r="AA352" s="568"/>
      <c r="AB352" s="568"/>
      <c r="AC352" s="568">
        <v>14892.970085858586</v>
      </c>
      <c r="AD352" s="567"/>
      <c r="AE352" s="570"/>
      <c r="AG352" s="351" t="s">
        <v>1099</v>
      </c>
      <c r="AH352" s="657">
        <v>0</v>
      </c>
      <c r="AI352" s="658">
        <f t="shared" si="62"/>
        <v>0</v>
      </c>
      <c r="AJ352" s="658">
        <f t="shared" si="63"/>
        <v>0</v>
      </c>
      <c r="AK352" s="658">
        <f t="shared" si="64"/>
        <v>0</v>
      </c>
      <c r="AL352" s="659">
        <f t="shared" si="65"/>
        <v>97150.301318181824</v>
      </c>
      <c r="AN352" s="667">
        <f t="shared" si="66"/>
        <v>1.8187500000000001</v>
      </c>
      <c r="AO352" s="668">
        <f t="shared" si="66"/>
        <v>1.8187500000000001</v>
      </c>
      <c r="AP352" s="668">
        <f t="shared" si="66"/>
        <v>1.8187500000000001</v>
      </c>
      <c r="AQ352" s="668">
        <f>AR352</f>
        <v>1.8187500000000001</v>
      </c>
      <c r="AR352" s="669">
        <f>((SUM('State DisAgg LFx10 (2014)'!T363:W363)/4)+(SUM('State DisAgg LFx10 (2014)'!T387:W387)/4)+(SUM('State DisAgg LFx10 (2014)'!T411:W411)/40)+'State DisAgg LFx10 (2014)'!T434)/4</f>
        <v>1.8187500000000001</v>
      </c>
    </row>
    <row r="353" spans="1:44" ht="12.95" customHeight="1" thickBot="1">
      <c r="A353" s="885"/>
      <c r="B353" s="298" t="s">
        <v>151</v>
      </c>
      <c r="C353" s="250" t="s">
        <v>658</v>
      </c>
      <c r="D353" s="248"/>
      <c r="E353" s="249"/>
      <c r="F353" s="247"/>
      <c r="G353" s="248"/>
      <c r="H353" s="248"/>
      <c r="I353" s="249"/>
      <c r="J353" s="247"/>
      <c r="K353" s="248"/>
      <c r="L353" s="248"/>
      <c r="M353" s="249"/>
      <c r="N353" s="571"/>
      <c r="O353" s="572"/>
      <c r="P353" s="572"/>
      <c r="Q353" s="573"/>
      <c r="R353" s="571"/>
      <c r="S353" s="572"/>
      <c r="T353" s="572"/>
      <c r="U353" s="573"/>
      <c r="V353" s="571"/>
      <c r="W353" s="572"/>
      <c r="X353" s="572"/>
      <c r="Y353" s="573"/>
      <c r="Z353" s="567"/>
      <c r="AA353" s="568"/>
      <c r="AB353" s="568"/>
      <c r="AC353" s="568">
        <v>18194.348318181819</v>
      </c>
      <c r="AD353" s="567"/>
      <c r="AE353" s="570"/>
    </row>
    <row r="354" spans="1:44" ht="12.95" hidden="1" customHeight="1" thickBot="1">
      <c r="A354" s="885"/>
      <c r="B354" s="298" t="s">
        <v>150</v>
      </c>
      <c r="C354" s="9" t="s">
        <v>295</v>
      </c>
      <c r="D354" s="241" t="s">
        <v>632</v>
      </c>
      <c r="E354" s="241" t="s">
        <v>632</v>
      </c>
      <c r="F354" s="243" t="s">
        <v>646</v>
      </c>
      <c r="G354" s="241" t="s">
        <v>646</v>
      </c>
      <c r="H354" s="241" t="s">
        <v>646</v>
      </c>
      <c r="I354" s="244" t="s">
        <v>646</v>
      </c>
      <c r="J354" s="195">
        <v>0</v>
      </c>
      <c r="K354" s="196"/>
      <c r="L354" s="196"/>
      <c r="M354" s="197"/>
      <c r="N354" s="314"/>
      <c r="O354" s="315">
        <v>0</v>
      </c>
      <c r="P354" s="315"/>
      <c r="Q354" s="316"/>
      <c r="R354" s="314"/>
      <c r="S354" s="315"/>
      <c r="T354" s="315"/>
      <c r="U354" s="316">
        <v>5</v>
      </c>
      <c r="V354" s="314"/>
      <c r="W354" s="315"/>
      <c r="X354" s="315"/>
      <c r="Y354" s="316">
        <v>12</v>
      </c>
      <c r="Z354" s="314"/>
      <c r="AA354" s="315"/>
      <c r="AB354" s="315"/>
      <c r="AC354" s="316">
        <v>0</v>
      </c>
      <c r="AD354" s="314"/>
      <c r="AE354" s="316"/>
    </row>
    <row r="355" spans="1:44" ht="12.95" hidden="1" customHeight="1" thickBot="1">
      <c r="A355" s="885"/>
      <c r="B355" s="885" t="s">
        <v>149</v>
      </c>
      <c r="C355" s="9" t="s">
        <v>296</v>
      </c>
      <c r="D355" s="241" t="s">
        <v>632</v>
      </c>
      <c r="E355" s="241" t="s">
        <v>632</v>
      </c>
      <c r="F355" s="243" t="s">
        <v>646</v>
      </c>
      <c r="G355" s="241" t="s">
        <v>646</v>
      </c>
      <c r="H355" s="241" t="s">
        <v>646</v>
      </c>
      <c r="I355" s="244" t="s">
        <v>646</v>
      </c>
      <c r="J355" s="195">
        <v>0</v>
      </c>
      <c r="K355" s="196"/>
      <c r="L355" s="196"/>
      <c r="M355" s="197"/>
      <c r="N355" s="314"/>
      <c r="O355" s="315">
        <v>2</v>
      </c>
      <c r="P355" s="315"/>
      <c r="Q355" s="316"/>
      <c r="R355" s="314"/>
      <c r="S355" s="315"/>
      <c r="T355" s="315"/>
      <c r="U355" s="316">
        <v>6</v>
      </c>
      <c r="V355" s="314"/>
      <c r="W355" s="315"/>
      <c r="X355" s="315"/>
      <c r="Y355" s="316">
        <v>12</v>
      </c>
      <c r="Z355" s="314"/>
      <c r="AA355" s="315"/>
      <c r="AB355" s="315"/>
      <c r="AC355" s="316">
        <v>0</v>
      </c>
      <c r="AD355" s="314"/>
      <c r="AE355" s="316"/>
    </row>
    <row r="356" spans="1:44" ht="12.95" hidden="1" customHeight="1" thickBot="1">
      <c r="A356" s="885"/>
      <c r="B356" s="885"/>
      <c r="C356" s="9" t="s">
        <v>297</v>
      </c>
      <c r="D356" s="241" t="s">
        <v>632</v>
      </c>
      <c r="E356" s="241" t="s">
        <v>632</v>
      </c>
      <c r="F356" s="243" t="s">
        <v>646</v>
      </c>
      <c r="G356" s="241" t="s">
        <v>646</v>
      </c>
      <c r="H356" s="241" t="s">
        <v>646</v>
      </c>
      <c r="I356" s="244" t="s">
        <v>646</v>
      </c>
      <c r="J356" s="195">
        <v>2</v>
      </c>
      <c r="K356" s="196"/>
      <c r="L356" s="196"/>
      <c r="M356" s="197"/>
      <c r="N356" s="314"/>
      <c r="O356" s="315">
        <v>3</v>
      </c>
      <c r="P356" s="315"/>
      <c r="Q356" s="316"/>
      <c r="R356" s="314"/>
      <c r="S356" s="315"/>
      <c r="T356" s="315"/>
      <c r="U356" s="316">
        <v>5</v>
      </c>
      <c r="V356" s="314"/>
      <c r="W356" s="315"/>
      <c r="X356" s="315"/>
      <c r="Y356" s="316">
        <v>9</v>
      </c>
      <c r="Z356" s="314"/>
      <c r="AA356" s="315"/>
      <c r="AB356" s="315"/>
      <c r="AC356" s="316">
        <v>0</v>
      </c>
      <c r="AD356" s="314"/>
      <c r="AE356" s="316"/>
    </row>
    <row r="357" spans="1:44" ht="12.95" hidden="1" customHeight="1" thickBot="1">
      <c r="A357" s="885"/>
      <c r="B357" s="885"/>
      <c r="C357" s="9" t="s">
        <v>298</v>
      </c>
      <c r="D357" s="241" t="s">
        <v>632</v>
      </c>
      <c r="E357" s="241" t="s">
        <v>632</v>
      </c>
      <c r="F357" s="243" t="s">
        <v>646</v>
      </c>
      <c r="G357" s="241" t="s">
        <v>646</v>
      </c>
      <c r="H357" s="241" t="s">
        <v>646</v>
      </c>
      <c r="I357" s="244" t="s">
        <v>646</v>
      </c>
      <c r="J357" s="195">
        <v>0</v>
      </c>
      <c r="K357" s="196"/>
      <c r="L357" s="196"/>
      <c r="M357" s="197"/>
      <c r="N357" s="314"/>
      <c r="O357" s="315">
        <v>3</v>
      </c>
      <c r="P357" s="315"/>
      <c r="Q357" s="316"/>
      <c r="R357" s="314"/>
      <c r="S357" s="315"/>
      <c r="T357" s="315"/>
      <c r="U357" s="316">
        <v>6</v>
      </c>
      <c r="V357" s="314"/>
      <c r="W357" s="315"/>
      <c r="X357" s="315"/>
      <c r="Y357" s="316">
        <v>13</v>
      </c>
      <c r="Z357" s="314"/>
      <c r="AA357" s="315"/>
      <c r="AB357" s="315"/>
      <c r="AC357" s="316">
        <v>0</v>
      </c>
      <c r="AD357" s="314"/>
      <c r="AE357" s="316"/>
    </row>
    <row r="358" spans="1:44" ht="12.95" hidden="1" customHeight="1" thickBot="1">
      <c r="A358" s="885"/>
      <c r="B358" s="885"/>
      <c r="C358" s="9" t="s">
        <v>299</v>
      </c>
      <c r="D358" s="241" t="s">
        <v>632</v>
      </c>
      <c r="E358" s="241" t="s">
        <v>632</v>
      </c>
      <c r="F358" s="243" t="s">
        <v>646</v>
      </c>
      <c r="G358" s="241" t="s">
        <v>646</v>
      </c>
      <c r="H358" s="241" t="s">
        <v>646</v>
      </c>
      <c r="I358" s="244" t="s">
        <v>646</v>
      </c>
      <c r="J358" s="195">
        <v>0</v>
      </c>
      <c r="K358" s="196"/>
      <c r="L358" s="196"/>
      <c r="M358" s="197"/>
      <c r="N358" s="314"/>
      <c r="O358" s="315">
        <v>3</v>
      </c>
      <c r="P358" s="315"/>
      <c r="Q358" s="316"/>
      <c r="R358" s="314"/>
      <c r="S358" s="315"/>
      <c r="T358" s="315"/>
      <c r="U358" s="316">
        <v>5</v>
      </c>
      <c r="V358" s="314"/>
      <c r="W358" s="315"/>
      <c r="X358" s="315"/>
      <c r="Y358" s="316">
        <v>8</v>
      </c>
      <c r="Z358" s="314"/>
      <c r="AA358" s="315"/>
      <c r="AB358" s="315"/>
      <c r="AC358" s="316">
        <v>0</v>
      </c>
      <c r="AD358" s="314"/>
      <c r="AE358" s="316"/>
    </row>
    <row r="359" spans="1:44" ht="24.75" hidden="1" thickBot="1">
      <c r="A359" s="885"/>
      <c r="B359" s="885"/>
      <c r="C359" s="9" t="s">
        <v>300</v>
      </c>
      <c r="D359" s="199"/>
      <c r="E359" s="200"/>
      <c r="F359" s="201"/>
      <c r="G359" s="199"/>
      <c r="H359" s="199"/>
      <c r="I359" s="200"/>
      <c r="J359" s="201"/>
      <c r="K359" s="199"/>
      <c r="L359" s="199"/>
      <c r="M359" s="200"/>
      <c r="N359" s="318"/>
      <c r="O359" s="319" t="s">
        <v>634</v>
      </c>
      <c r="P359" s="312" t="s">
        <v>632</v>
      </c>
      <c r="Q359" s="313" t="s">
        <v>646</v>
      </c>
      <c r="R359" s="314">
        <v>2</v>
      </c>
      <c r="S359" s="315"/>
      <c r="T359" s="315"/>
      <c r="U359" s="316">
        <v>2</v>
      </c>
      <c r="V359" s="314"/>
      <c r="W359" s="315"/>
      <c r="X359" s="315"/>
      <c r="Y359" s="316">
        <v>9</v>
      </c>
      <c r="Z359" s="314"/>
      <c r="AA359" s="315"/>
      <c r="AB359" s="315"/>
      <c r="AC359" s="316">
        <v>0</v>
      </c>
      <c r="AD359" s="314"/>
      <c r="AE359" s="316"/>
    </row>
    <row r="360" spans="1:44" ht="13.5" hidden="1" thickBot="1">
      <c r="A360" s="885"/>
      <c r="B360" s="885"/>
      <c r="C360" s="9" t="s">
        <v>301</v>
      </c>
      <c r="D360" s="199"/>
      <c r="E360" s="200"/>
      <c r="F360" s="201"/>
      <c r="G360" s="199"/>
      <c r="H360" s="199"/>
      <c r="I360" s="200"/>
      <c r="J360" s="201"/>
      <c r="K360" s="199"/>
      <c r="L360" s="199"/>
      <c r="M360" s="200"/>
      <c r="N360" s="318"/>
      <c r="O360" s="319" t="s">
        <v>634</v>
      </c>
      <c r="P360" s="312" t="s">
        <v>632</v>
      </c>
      <c r="Q360" s="313" t="s">
        <v>646</v>
      </c>
      <c r="R360" s="314">
        <v>0</v>
      </c>
      <c r="S360" s="315"/>
      <c r="T360" s="315"/>
      <c r="U360" s="316">
        <v>0</v>
      </c>
      <c r="V360" s="314"/>
      <c r="W360" s="315"/>
      <c r="X360" s="315"/>
      <c r="Y360" s="316">
        <v>9</v>
      </c>
      <c r="Z360" s="314"/>
      <c r="AA360" s="315"/>
      <c r="AB360" s="315"/>
      <c r="AC360" s="316">
        <v>0</v>
      </c>
      <c r="AD360" s="314"/>
      <c r="AE360" s="316"/>
    </row>
    <row r="361" spans="1:44" ht="13.5" hidden="1" thickBot="1">
      <c r="A361" s="885"/>
      <c r="B361" s="885"/>
      <c r="C361" s="9" t="s">
        <v>302</v>
      </c>
      <c r="D361" s="199"/>
      <c r="E361" s="200"/>
      <c r="F361" s="201"/>
      <c r="G361" s="199"/>
      <c r="H361" s="199"/>
      <c r="I361" s="200"/>
      <c r="J361" s="201"/>
      <c r="K361" s="199"/>
      <c r="L361" s="199"/>
      <c r="M361" s="200"/>
      <c r="N361" s="318"/>
      <c r="O361" s="319" t="s">
        <v>634</v>
      </c>
      <c r="P361" s="312" t="s">
        <v>632</v>
      </c>
      <c r="Q361" s="313" t="s">
        <v>646</v>
      </c>
      <c r="R361" s="314">
        <v>0</v>
      </c>
      <c r="S361" s="315"/>
      <c r="T361" s="315"/>
      <c r="U361" s="316">
        <v>0</v>
      </c>
      <c r="V361" s="314"/>
      <c r="W361" s="315"/>
      <c r="X361" s="315"/>
      <c r="Y361" s="316">
        <v>11</v>
      </c>
      <c r="Z361" s="314"/>
      <c r="AA361" s="315"/>
      <c r="AB361" s="315"/>
      <c r="AC361" s="316">
        <v>0</v>
      </c>
      <c r="AD361" s="314"/>
      <c r="AE361" s="316"/>
    </row>
    <row r="362" spans="1:44" ht="24.75" hidden="1" thickBot="1">
      <c r="A362" s="885"/>
      <c r="B362" s="885"/>
      <c r="C362" s="9" t="s">
        <v>303</v>
      </c>
      <c r="D362" s="202"/>
      <c r="E362" s="203"/>
      <c r="F362" s="201"/>
      <c r="G362" s="202"/>
      <c r="H362" s="202"/>
      <c r="I362" s="203"/>
      <c r="J362" s="201"/>
      <c r="K362" s="202"/>
      <c r="L362" s="202"/>
      <c r="M362" s="203"/>
      <c r="N362" s="322"/>
      <c r="O362" s="323"/>
      <c r="P362" s="324"/>
      <c r="Q362" s="324"/>
      <c r="R362" s="317"/>
      <c r="S362" s="320"/>
      <c r="T362" s="320"/>
      <c r="U362" s="321"/>
      <c r="V362" s="325"/>
      <c r="W362" s="319" t="s">
        <v>633</v>
      </c>
      <c r="X362" s="312" t="s">
        <v>632</v>
      </c>
      <c r="Y362" s="316">
        <v>0</v>
      </c>
      <c r="Z362" s="314"/>
      <c r="AA362" s="315"/>
      <c r="AB362" s="315"/>
      <c r="AC362" s="316">
        <v>0</v>
      </c>
      <c r="AD362" s="314"/>
      <c r="AE362" s="316"/>
    </row>
    <row r="363" spans="1:44" ht="13.5" hidden="1" thickBot="1">
      <c r="A363" s="885"/>
      <c r="B363" s="885"/>
      <c r="C363" s="9" t="s">
        <v>304</v>
      </c>
      <c r="D363" s="202"/>
      <c r="E363" s="203"/>
      <c r="F363" s="201"/>
      <c r="G363" s="202"/>
      <c r="H363" s="202"/>
      <c r="I363" s="203"/>
      <c r="J363" s="201"/>
      <c r="K363" s="202"/>
      <c r="L363" s="202"/>
      <c r="M363" s="203"/>
      <c r="N363" s="322"/>
      <c r="O363" s="324"/>
      <c r="P363" s="324"/>
      <c r="Q363" s="324"/>
      <c r="R363" s="317"/>
      <c r="S363" s="320"/>
      <c r="T363" s="320"/>
      <c r="U363" s="321"/>
      <c r="V363" s="325"/>
      <c r="W363" s="319" t="s">
        <v>633</v>
      </c>
      <c r="X363" s="312" t="s">
        <v>632</v>
      </c>
      <c r="Y363" s="316">
        <v>0</v>
      </c>
      <c r="Z363" s="314"/>
      <c r="AA363" s="315"/>
      <c r="AB363" s="315"/>
      <c r="AC363" s="316">
        <v>0</v>
      </c>
      <c r="AD363" s="314"/>
      <c r="AE363" s="316"/>
    </row>
    <row r="364" spans="1:44" ht="12.95" hidden="1" customHeight="1" thickBot="1">
      <c r="A364" s="885"/>
      <c r="B364" s="298"/>
      <c r="C364" s="231"/>
      <c r="D364" s="232"/>
      <c r="E364" s="233"/>
      <c r="F364" s="234"/>
      <c r="G364" s="232"/>
      <c r="H364" s="232"/>
      <c r="I364" s="233"/>
      <c r="J364" s="234"/>
      <c r="K364" s="232"/>
      <c r="L364" s="232"/>
      <c r="M364" s="233"/>
      <c r="N364" s="328"/>
      <c r="O364" s="326"/>
      <c r="P364" s="326"/>
      <c r="Q364" s="327"/>
      <c r="R364" s="328"/>
      <c r="S364" s="326"/>
      <c r="T364" s="326"/>
      <c r="U364" s="327"/>
      <c r="V364" s="328"/>
      <c r="W364" s="326"/>
      <c r="X364" s="326"/>
      <c r="Y364" s="327"/>
      <c r="Z364" s="328"/>
      <c r="AA364" s="326"/>
      <c r="AB364" s="326"/>
      <c r="AC364" s="327"/>
      <c r="AD364" s="328"/>
      <c r="AE364" s="327"/>
    </row>
    <row r="365" spans="1:44" ht="12.95" hidden="1" customHeight="1" thickBot="1">
      <c r="A365" s="885"/>
      <c r="B365" s="298"/>
      <c r="C365" s="231"/>
      <c r="D365" s="232"/>
      <c r="E365" s="233"/>
      <c r="F365" s="234"/>
      <c r="G365" s="232"/>
      <c r="H365" s="232"/>
      <c r="I365" s="233"/>
      <c r="J365" s="234"/>
      <c r="K365" s="232"/>
      <c r="L365" s="232"/>
      <c r="M365" s="233"/>
      <c r="N365" s="328"/>
      <c r="O365" s="326"/>
      <c r="P365" s="326"/>
      <c r="Q365" s="327"/>
      <c r="R365" s="328"/>
      <c r="S365" s="326"/>
      <c r="T365" s="326"/>
      <c r="U365" s="327"/>
      <c r="V365" s="328"/>
      <c r="W365" s="326"/>
      <c r="X365" s="326"/>
      <c r="Y365" s="327"/>
      <c r="Z365" s="328"/>
      <c r="AA365" s="326"/>
      <c r="AB365" s="326"/>
      <c r="AC365" s="327"/>
      <c r="AD365" s="328"/>
      <c r="AE365" s="327"/>
    </row>
    <row r="366" spans="1:44" ht="12.95" customHeight="1" thickBot="1">
      <c r="A366" s="885"/>
      <c r="B366" s="3" t="s">
        <v>30</v>
      </c>
      <c r="C366" s="12"/>
      <c r="D366" s="1377">
        <v>2008</v>
      </c>
      <c r="E366" s="1378"/>
      <c r="F366" s="1372">
        <v>2009</v>
      </c>
      <c r="G366" s="1373"/>
      <c r="H366" s="1373"/>
      <c r="I366" s="1374"/>
      <c r="J366" s="1372">
        <v>2010</v>
      </c>
      <c r="K366" s="1373"/>
      <c r="L366" s="1373"/>
      <c r="M366" s="1374"/>
      <c r="N366" s="1372">
        <v>2011</v>
      </c>
      <c r="O366" s="1373"/>
      <c r="P366" s="1373"/>
      <c r="Q366" s="1374"/>
      <c r="R366" s="1372">
        <v>2012</v>
      </c>
      <c r="S366" s="1373"/>
      <c r="T366" s="1373"/>
      <c r="U366" s="1374"/>
      <c r="V366" s="1372">
        <v>2013</v>
      </c>
      <c r="W366" s="1373"/>
      <c r="X366" s="1373"/>
      <c r="Y366" s="1374"/>
      <c r="Z366" s="1372">
        <v>2014</v>
      </c>
      <c r="AA366" s="1373"/>
      <c r="AB366" s="1373"/>
      <c r="AC366" s="1374"/>
      <c r="AD366" s="1372">
        <v>2015</v>
      </c>
      <c r="AE366" s="1374"/>
      <c r="AG366" s="351" t="s">
        <v>1124</v>
      </c>
      <c r="AH366" s="748">
        <f>SUM(AH343:AH347)/5</f>
        <v>0</v>
      </c>
      <c r="AI366" s="748">
        <f t="shared" ref="AI366:AL366" si="67">SUM(AI343:AI347)/5</f>
        <v>136335.28887965789</v>
      </c>
      <c r="AJ366" s="748">
        <f t="shared" si="67"/>
        <v>202906.66678948025</v>
      </c>
      <c r="AK366" s="748">
        <f t="shared" si="67"/>
        <v>323371.53539746476</v>
      </c>
      <c r="AL366" s="748">
        <f t="shared" si="67"/>
        <v>436198.49886716175</v>
      </c>
      <c r="AN366" s="749">
        <f t="shared" ref="AN366:AR366" si="68">SUM(AN343:AN347)/5</f>
        <v>2.5000000000000001E-2</v>
      </c>
      <c r="AO366" s="749">
        <f t="shared" si="68"/>
        <v>0.38124999999999998</v>
      </c>
      <c r="AP366" s="749">
        <f t="shared" si="68"/>
        <v>1.8568750000000001</v>
      </c>
      <c r="AQ366" s="749">
        <f t="shared" si="68"/>
        <v>2.381875</v>
      </c>
      <c r="AR366" s="749">
        <f t="shared" si="68"/>
        <v>2.7712499999999998</v>
      </c>
    </row>
    <row r="367" spans="1:44" ht="12.95" customHeight="1" thickBot="1">
      <c r="A367" s="885"/>
      <c r="B367" s="868" t="s">
        <v>157</v>
      </c>
      <c r="C367" s="23"/>
      <c r="D367" s="1379" t="s">
        <v>714</v>
      </c>
      <c r="E367" s="1380"/>
      <c r="F367" s="1380"/>
      <c r="G367" s="1380"/>
      <c r="H367" s="1380"/>
      <c r="I367" s="1380"/>
      <c r="J367" s="1380"/>
      <c r="K367" s="1380"/>
      <c r="L367" s="1380"/>
      <c r="M367" s="1380"/>
      <c r="N367" s="1380"/>
      <c r="O367" s="1380"/>
      <c r="P367" s="1380"/>
      <c r="Q367" s="1380"/>
      <c r="R367" s="1380"/>
      <c r="S367" s="1380"/>
      <c r="T367" s="1380"/>
      <c r="U367" s="1380"/>
      <c r="V367" s="1380"/>
      <c r="W367" s="1380"/>
      <c r="X367" s="1380"/>
      <c r="Y367" s="1380"/>
      <c r="Z367" s="1380"/>
      <c r="AA367" s="1380"/>
      <c r="AB367" s="1380"/>
      <c r="AC367" s="1380"/>
      <c r="AD367" s="1380"/>
      <c r="AE367" s="1381"/>
      <c r="AG367" s="351" t="s">
        <v>1125</v>
      </c>
      <c r="AH367" s="748">
        <f>SUM(AH348:AH350)/3</f>
        <v>0</v>
      </c>
      <c r="AI367" s="748">
        <f t="shared" ref="AI367:AL367" si="69">SUM(AI348:AI350)/3</f>
        <v>0</v>
      </c>
      <c r="AJ367" s="748">
        <f t="shared" si="69"/>
        <v>37666.5221110364</v>
      </c>
      <c r="AK367" s="748">
        <f t="shared" si="69"/>
        <v>124275.67035218158</v>
      </c>
      <c r="AL367" s="748">
        <f t="shared" si="69"/>
        <v>244374.87241110415</v>
      </c>
      <c r="AN367" s="749">
        <f t="shared" ref="AN367:AR367" si="70">SUM(AN348:AN350)/3</f>
        <v>1.0416666666666666E-2</v>
      </c>
      <c r="AO367" s="749">
        <f t="shared" si="70"/>
        <v>1.0416666666666666E-2</v>
      </c>
      <c r="AP367" s="749">
        <f t="shared" si="70"/>
        <v>0.83020833333333333</v>
      </c>
      <c r="AQ367" s="749">
        <f t="shared" si="70"/>
        <v>1.3645833333333333</v>
      </c>
      <c r="AR367" s="749">
        <f t="shared" si="70"/>
        <v>2.5604166666666668</v>
      </c>
    </row>
    <row r="368" spans="1:44" ht="13.5" thickBot="1">
      <c r="A368" s="885"/>
      <c r="B368" s="885"/>
      <c r="C368" s="250" t="s">
        <v>649</v>
      </c>
      <c r="D368" s="245"/>
      <c r="E368" s="246"/>
      <c r="F368" s="247"/>
      <c r="G368" s="245"/>
      <c r="H368" s="245"/>
      <c r="I368" s="246"/>
      <c r="J368" s="247"/>
      <c r="K368" s="245"/>
      <c r="L368" s="245"/>
      <c r="M368" s="246"/>
      <c r="N368" s="567"/>
      <c r="O368" s="568">
        <v>66709.828942986846</v>
      </c>
      <c r="P368" s="568"/>
      <c r="Q368" s="569"/>
      <c r="R368" s="567"/>
      <c r="S368" s="568"/>
      <c r="T368" s="568"/>
      <c r="U368" s="568">
        <v>31790.405863858556</v>
      </c>
      <c r="V368" s="567"/>
      <c r="W368" s="568"/>
      <c r="X368" s="568"/>
      <c r="Y368" s="568">
        <v>21111.992809667761</v>
      </c>
      <c r="Z368" s="567"/>
      <c r="AA368" s="568"/>
      <c r="AB368" s="568"/>
      <c r="AC368" s="568">
        <v>16572.291291919191</v>
      </c>
      <c r="AD368" s="567"/>
      <c r="AE368" s="570"/>
    </row>
    <row r="369" spans="1:31" ht="13.5" thickBot="1">
      <c r="A369" s="885"/>
      <c r="B369" s="885"/>
      <c r="C369" s="250" t="s">
        <v>650</v>
      </c>
      <c r="D369" s="245"/>
      <c r="E369" s="246"/>
      <c r="F369" s="247"/>
      <c r="G369" s="245"/>
      <c r="H369" s="245"/>
      <c r="I369" s="246"/>
      <c r="J369" s="247"/>
      <c r="K369" s="245"/>
      <c r="L369" s="245"/>
      <c r="M369" s="246"/>
      <c r="N369" s="567"/>
      <c r="O369" s="568">
        <v>63243.309906144728</v>
      </c>
      <c r="P369" s="568"/>
      <c r="Q369" s="569"/>
      <c r="R369" s="567"/>
      <c r="S369" s="568"/>
      <c r="T369" s="568"/>
      <c r="U369" s="568">
        <v>26102.461517805921</v>
      </c>
      <c r="V369" s="567"/>
      <c r="W369" s="568"/>
      <c r="X369" s="568"/>
      <c r="Y369" s="568">
        <v>34539.312429404607</v>
      </c>
      <c r="Z369" s="567"/>
      <c r="AA369" s="568"/>
      <c r="AB369" s="568"/>
      <c r="AC369" s="568">
        <v>22789.298273737375</v>
      </c>
      <c r="AD369" s="567"/>
      <c r="AE369" s="570"/>
    </row>
    <row r="370" spans="1:31" ht="13.5" thickBot="1">
      <c r="A370" s="885"/>
      <c r="B370" s="885"/>
      <c r="C370" s="250" t="s">
        <v>651</v>
      </c>
      <c r="D370" s="245"/>
      <c r="E370" s="246"/>
      <c r="F370" s="247"/>
      <c r="G370" s="245"/>
      <c r="H370" s="245"/>
      <c r="I370" s="246"/>
      <c r="J370" s="247"/>
      <c r="K370" s="245"/>
      <c r="L370" s="245"/>
      <c r="M370" s="246"/>
      <c r="N370" s="567"/>
      <c r="O370" s="568">
        <v>70991.002927197362</v>
      </c>
      <c r="P370" s="568"/>
      <c r="Q370" s="569"/>
      <c r="R370" s="567"/>
      <c r="S370" s="568"/>
      <c r="T370" s="568"/>
      <c r="U370" s="568">
        <v>29286.946344121712</v>
      </c>
      <c r="V370" s="567"/>
      <c r="W370" s="568"/>
      <c r="X370" s="568"/>
      <c r="Y370" s="568">
        <v>28216.195371853115</v>
      </c>
      <c r="Z370" s="567"/>
      <c r="AA370" s="568"/>
      <c r="AB370" s="568"/>
      <c r="AC370" s="568">
        <v>19587.896297979798</v>
      </c>
      <c r="AD370" s="567"/>
      <c r="AE370" s="570"/>
    </row>
    <row r="371" spans="1:31" ht="13.5" thickBot="1">
      <c r="A371" s="885"/>
      <c r="B371" s="885"/>
      <c r="C371" s="250" t="s">
        <v>652</v>
      </c>
      <c r="D371" s="245"/>
      <c r="E371" s="246"/>
      <c r="F371" s="247"/>
      <c r="G371" s="245"/>
      <c r="H371" s="245"/>
      <c r="I371" s="246"/>
      <c r="J371" s="247"/>
      <c r="K371" s="245"/>
      <c r="L371" s="245"/>
      <c r="M371" s="246"/>
      <c r="N371" s="567"/>
      <c r="O371" s="568">
        <v>67896.575642986834</v>
      </c>
      <c r="P371" s="568"/>
      <c r="Q371" s="569"/>
      <c r="R371" s="567"/>
      <c r="S371" s="568"/>
      <c r="T371" s="568"/>
      <c r="U371" s="568">
        <v>31718.565888858549</v>
      </c>
      <c r="V371" s="567"/>
      <c r="W371" s="568"/>
      <c r="X371" s="568"/>
      <c r="Y371" s="568">
        <v>30843.616339015593</v>
      </c>
      <c r="Z371" s="567"/>
      <c r="AA371" s="568"/>
      <c r="AB371" s="568"/>
      <c r="AC371" s="568">
        <v>33349.419580808084</v>
      </c>
      <c r="AD371" s="567"/>
      <c r="AE371" s="570"/>
    </row>
    <row r="372" spans="1:31" ht="13.5" thickBot="1">
      <c r="A372" s="885"/>
      <c r="B372" s="885"/>
      <c r="C372" s="250" t="s">
        <v>653</v>
      </c>
      <c r="D372" s="245"/>
      <c r="E372" s="246"/>
      <c r="F372" s="247"/>
      <c r="G372" s="245"/>
      <c r="H372" s="245"/>
      <c r="I372" s="246"/>
      <c r="J372" s="247"/>
      <c r="K372" s="245"/>
      <c r="L372" s="245"/>
      <c r="M372" s="246"/>
      <c r="N372" s="567"/>
      <c r="O372" s="568">
        <v>71997.504779828945</v>
      </c>
      <c r="P372" s="568"/>
      <c r="Q372" s="569"/>
      <c r="R372" s="567"/>
      <c r="S372" s="568"/>
      <c r="T372" s="568"/>
      <c r="U372" s="568">
        <v>47530.065159911188</v>
      </c>
      <c r="V372" s="567"/>
      <c r="W372" s="568"/>
      <c r="X372" s="568"/>
      <c r="Y372" s="568">
        <v>40217.126872539608</v>
      </c>
      <c r="Z372" s="567"/>
      <c r="AA372" s="568"/>
      <c r="AB372" s="568"/>
      <c r="AC372" s="568">
        <v>37701.085994949492</v>
      </c>
      <c r="AD372" s="567"/>
      <c r="AE372" s="570"/>
    </row>
    <row r="373" spans="1:31" ht="13.5" thickBot="1">
      <c r="A373" s="885"/>
      <c r="B373" s="885"/>
      <c r="C373" s="250" t="s">
        <v>654</v>
      </c>
      <c r="D373" s="248"/>
      <c r="E373" s="249"/>
      <c r="F373" s="247"/>
      <c r="G373" s="248"/>
      <c r="H373" s="248"/>
      <c r="I373" s="249"/>
      <c r="J373" s="247"/>
      <c r="K373" s="248"/>
      <c r="L373" s="248"/>
      <c r="M373" s="249"/>
      <c r="N373" s="571"/>
      <c r="O373" s="572"/>
      <c r="P373" s="572"/>
      <c r="Q373" s="572"/>
      <c r="R373" s="567"/>
      <c r="S373" s="568"/>
      <c r="T373" s="568"/>
      <c r="U373" s="568">
        <v>18652.955855079603</v>
      </c>
      <c r="V373" s="567"/>
      <c r="W373" s="568"/>
      <c r="X373" s="568"/>
      <c r="Y373" s="568">
        <v>12727.096290520849</v>
      </c>
      <c r="Z373" s="567"/>
      <c r="AA373" s="568"/>
      <c r="AB373" s="568"/>
      <c r="AC373" s="568">
        <v>34600.436550505052</v>
      </c>
      <c r="AD373" s="567"/>
      <c r="AE373" s="570"/>
    </row>
    <row r="374" spans="1:31" ht="13.5" thickBot="1">
      <c r="A374" s="885"/>
      <c r="B374" s="885"/>
      <c r="C374" s="250" t="s">
        <v>655</v>
      </c>
      <c r="D374" s="248"/>
      <c r="E374" s="249"/>
      <c r="F374" s="247"/>
      <c r="G374" s="248"/>
      <c r="H374" s="248"/>
      <c r="I374" s="249"/>
      <c r="J374" s="247"/>
      <c r="K374" s="248"/>
      <c r="L374" s="248"/>
      <c r="M374" s="249"/>
      <c r="N374" s="571"/>
      <c r="O374" s="572"/>
      <c r="P374" s="572"/>
      <c r="Q374" s="572"/>
      <c r="R374" s="567"/>
      <c r="S374" s="568"/>
      <c r="T374" s="568"/>
      <c r="U374" s="568">
        <v>18571.47036429013</v>
      </c>
      <c r="V374" s="567"/>
      <c r="W374" s="568"/>
      <c r="X374" s="568"/>
      <c r="Y374" s="568">
        <v>12735.117956138698</v>
      </c>
      <c r="Z374" s="567"/>
      <c r="AA374" s="568"/>
      <c r="AB374" s="568"/>
      <c r="AC374" s="568">
        <v>21367.084075757575</v>
      </c>
      <c r="AD374" s="567"/>
      <c r="AE374" s="570"/>
    </row>
    <row r="375" spans="1:31" ht="13.5" thickBot="1">
      <c r="A375" s="885"/>
      <c r="B375" s="885"/>
      <c r="C375" s="250" t="s">
        <v>656</v>
      </c>
      <c r="D375" s="248"/>
      <c r="E375" s="249"/>
      <c r="F375" s="247"/>
      <c r="G375" s="248"/>
      <c r="H375" s="248"/>
      <c r="I375" s="249"/>
      <c r="J375" s="247"/>
      <c r="K375" s="248"/>
      <c r="L375" s="248"/>
      <c r="M375" s="249"/>
      <c r="N375" s="571"/>
      <c r="O375" s="572"/>
      <c r="P375" s="572"/>
      <c r="Q375" s="572"/>
      <c r="R375" s="567"/>
      <c r="S375" s="568"/>
      <c r="T375" s="568"/>
      <c r="U375" s="568">
        <v>19275.356947184868</v>
      </c>
      <c r="V375" s="567"/>
      <c r="W375" s="568"/>
      <c r="X375" s="568"/>
      <c r="Y375" s="568">
        <v>32382.54974669934</v>
      </c>
      <c r="Z375" s="567"/>
      <c r="AA375" s="568"/>
      <c r="AB375" s="568"/>
      <c r="AC375" s="568">
        <v>30379.662611111111</v>
      </c>
      <c r="AD375" s="567"/>
      <c r="AE375" s="570"/>
    </row>
    <row r="376" spans="1:31" ht="13.5" thickBot="1">
      <c r="A376" s="885"/>
      <c r="B376" s="298" t="s">
        <v>151</v>
      </c>
      <c r="C376" s="250" t="s">
        <v>657</v>
      </c>
      <c r="D376" s="248"/>
      <c r="E376" s="249"/>
      <c r="F376" s="247"/>
      <c r="G376" s="248"/>
      <c r="H376" s="248"/>
      <c r="I376" s="249"/>
      <c r="J376" s="247"/>
      <c r="K376" s="248"/>
      <c r="L376" s="248"/>
      <c r="M376" s="249"/>
      <c r="N376" s="571"/>
      <c r="O376" s="572"/>
      <c r="P376" s="572"/>
      <c r="Q376" s="573"/>
      <c r="R376" s="571"/>
      <c r="S376" s="572"/>
      <c r="T376" s="572"/>
      <c r="U376" s="573"/>
      <c r="V376" s="571"/>
      <c r="W376" s="572"/>
      <c r="X376" s="572"/>
      <c r="Y376" s="573"/>
      <c r="Z376" s="567"/>
      <c r="AA376" s="568"/>
      <c r="AB376" s="568"/>
      <c r="AC376" s="568">
        <v>15551.080085858586</v>
      </c>
      <c r="AD376" s="567"/>
      <c r="AE376" s="570"/>
    </row>
    <row r="377" spans="1:31" ht="13.5" thickBot="1">
      <c r="A377" s="885"/>
      <c r="B377" s="298" t="s">
        <v>150</v>
      </c>
      <c r="C377" s="250" t="s">
        <v>658</v>
      </c>
      <c r="D377" s="248"/>
      <c r="E377" s="249"/>
      <c r="F377" s="247"/>
      <c r="G377" s="248"/>
      <c r="H377" s="248"/>
      <c r="I377" s="249"/>
      <c r="J377" s="247"/>
      <c r="K377" s="248"/>
      <c r="L377" s="248"/>
      <c r="M377" s="249"/>
      <c r="N377" s="571"/>
      <c r="O377" s="572"/>
      <c r="P377" s="572"/>
      <c r="Q377" s="573"/>
      <c r="R377" s="571"/>
      <c r="S377" s="572"/>
      <c r="T377" s="572"/>
      <c r="U377" s="573"/>
      <c r="V377" s="571"/>
      <c r="W377" s="572"/>
      <c r="X377" s="572"/>
      <c r="Y377" s="573"/>
      <c r="Z377" s="567"/>
      <c r="AA377" s="568"/>
      <c r="AB377" s="568"/>
      <c r="AC377" s="568">
        <v>18884.348318181819</v>
      </c>
      <c r="AD377" s="567"/>
      <c r="AE377" s="570"/>
    </row>
    <row r="378" spans="1:31" ht="12.95" hidden="1" customHeight="1" thickBot="1">
      <c r="A378" s="885"/>
      <c r="B378" s="885" t="s">
        <v>152</v>
      </c>
      <c r="C378" s="9" t="s">
        <v>295</v>
      </c>
      <c r="D378" s="241" t="s">
        <v>632</v>
      </c>
      <c r="E378" s="241" t="s">
        <v>632</v>
      </c>
      <c r="F378" s="243" t="s">
        <v>646</v>
      </c>
      <c r="G378" s="241" t="s">
        <v>646</v>
      </c>
      <c r="H378" s="241" t="s">
        <v>646</v>
      </c>
      <c r="I378" s="244" t="s">
        <v>646</v>
      </c>
      <c r="J378" s="195">
        <v>0</v>
      </c>
      <c r="K378" s="196"/>
      <c r="L378" s="196"/>
      <c r="M378" s="197"/>
      <c r="N378" s="314"/>
      <c r="O378" s="315">
        <v>3</v>
      </c>
      <c r="P378" s="315"/>
      <c r="Q378" s="316"/>
      <c r="R378" s="314"/>
      <c r="S378" s="315"/>
      <c r="T378" s="315"/>
      <c r="U378" s="316">
        <v>5</v>
      </c>
      <c r="V378" s="314"/>
      <c r="W378" s="315"/>
      <c r="X378" s="315"/>
      <c r="Y378" s="316">
        <v>12</v>
      </c>
      <c r="Z378" s="314"/>
      <c r="AA378" s="315"/>
      <c r="AB378" s="315"/>
      <c r="AC378" s="316">
        <v>0</v>
      </c>
      <c r="AD378" s="314"/>
      <c r="AE378" s="316"/>
    </row>
    <row r="379" spans="1:31" ht="13.5" hidden="1" thickBot="1">
      <c r="A379" s="885"/>
      <c r="B379" s="885"/>
      <c r="C379" s="9" t="s">
        <v>296</v>
      </c>
      <c r="D379" s="241" t="s">
        <v>632</v>
      </c>
      <c r="E379" s="241" t="s">
        <v>632</v>
      </c>
      <c r="F379" s="243" t="s">
        <v>646</v>
      </c>
      <c r="G379" s="241" t="s">
        <v>646</v>
      </c>
      <c r="H379" s="241" t="s">
        <v>646</v>
      </c>
      <c r="I379" s="244" t="s">
        <v>646</v>
      </c>
      <c r="J379" s="195">
        <v>0</v>
      </c>
      <c r="K379" s="196"/>
      <c r="L379" s="196"/>
      <c r="M379" s="197"/>
      <c r="N379" s="314"/>
      <c r="O379" s="315">
        <v>3</v>
      </c>
      <c r="P379" s="315"/>
      <c r="Q379" s="316"/>
      <c r="R379" s="314"/>
      <c r="S379" s="315"/>
      <c r="T379" s="315"/>
      <c r="U379" s="316">
        <v>7</v>
      </c>
      <c r="V379" s="314"/>
      <c r="W379" s="315"/>
      <c r="X379" s="315"/>
      <c r="Y379" s="316">
        <v>8</v>
      </c>
      <c r="Z379" s="314"/>
      <c r="AA379" s="315"/>
      <c r="AB379" s="315"/>
      <c r="AC379" s="316">
        <v>0</v>
      </c>
      <c r="AD379" s="314"/>
      <c r="AE379" s="316"/>
    </row>
    <row r="380" spans="1:31" ht="13.5" hidden="1" thickBot="1">
      <c r="A380" s="885"/>
      <c r="B380" s="885"/>
      <c r="C380" s="9" t="s">
        <v>297</v>
      </c>
      <c r="D380" s="241" t="s">
        <v>632</v>
      </c>
      <c r="E380" s="241" t="s">
        <v>632</v>
      </c>
      <c r="F380" s="243" t="s">
        <v>646</v>
      </c>
      <c r="G380" s="241" t="s">
        <v>646</v>
      </c>
      <c r="H380" s="241" t="s">
        <v>646</v>
      </c>
      <c r="I380" s="244" t="s">
        <v>646</v>
      </c>
      <c r="J380" s="195">
        <v>2</v>
      </c>
      <c r="K380" s="196"/>
      <c r="L380" s="196"/>
      <c r="M380" s="197"/>
      <c r="N380" s="314"/>
      <c r="O380" s="315">
        <v>3</v>
      </c>
      <c r="P380" s="315"/>
      <c r="Q380" s="316"/>
      <c r="R380" s="314"/>
      <c r="S380" s="315"/>
      <c r="T380" s="315"/>
      <c r="U380" s="316">
        <v>4</v>
      </c>
      <c r="V380" s="314"/>
      <c r="W380" s="315"/>
      <c r="X380" s="315"/>
      <c r="Y380" s="316">
        <v>7</v>
      </c>
      <c r="Z380" s="314"/>
      <c r="AA380" s="315"/>
      <c r="AB380" s="315"/>
      <c r="AC380" s="316">
        <v>0</v>
      </c>
      <c r="AD380" s="314"/>
      <c r="AE380" s="316"/>
    </row>
    <row r="381" spans="1:31" ht="13.5" hidden="1" thickBot="1">
      <c r="A381" s="885"/>
      <c r="B381" s="885"/>
      <c r="C381" s="9" t="s">
        <v>298</v>
      </c>
      <c r="D381" s="241" t="s">
        <v>632</v>
      </c>
      <c r="E381" s="241" t="s">
        <v>632</v>
      </c>
      <c r="F381" s="243" t="s">
        <v>646</v>
      </c>
      <c r="G381" s="241" t="s">
        <v>646</v>
      </c>
      <c r="H381" s="241" t="s">
        <v>646</v>
      </c>
      <c r="I381" s="244" t="s">
        <v>646</v>
      </c>
      <c r="J381" s="195">
        <v>0</v>
      </c>
      <c r="K381" s="196"/>
      <c r="L381" s="196"/>
      <c r="M381" s="197"/>
      <c r="N381" s="314"/>
      <c r="O381" s="315">
        <v>2</v>
      </c>
      <c r="P381" s="315"/>
      <c r="Q381" s="316"/>
      <c r="R381" s="314"/>
      <c r="S381" s="315"/>
      <c r="T381" s="315"/>
      <c r="U381" s="316">
        <v>3</v>
      </c>
      <c r="V381" s="314"/>
      <c r="W381" s="315"/>
      <c r="X381" s="315"/>
      <c r="Y381" s="316">
        <v>11</v>
      </c>
      <c r="Z381" s="314"/>
      <c r="AA381" s="315"/>
      <c r="AB381" s="315"/>
      <c r="AC381" s="316">
        <v>0</v>
      </c>
      <c r="AD381" s="314"/>
      <c r="AE381" s="316"/>
    </row>
    <row r="382" spans="1:31" ht="13.5" hidden="1" thickBot="1">
      <c r="A382" s="885"/>
      <c r="B382" s="885"/>
      <c r="C382" s="9" t="s">
        <v>299</v>
      </c>
      <c r="D382" s="241" t="s">
        <v>632</v>
      </c>
      <c r="E382" s="241" t="s">
        <v>632</v>
      </c>
      <c r="F382" s="243" t="s">
        <v>646</v>
      </c>
      <c r="G382" s="241" t="s">
        <v>646</v>
      </c>
      <c r="H382" s="241" t="s">
        <v>646</v>
      </c>
      <c r="I382" s="244" t="s">
        <v>646</v>
      </c>
      <c r="J382" s="195">
        <v>0</v>
      </c>
      <c r="K382" s="196"/>
      <c r="L382" s="196"/>
      <c r="M382" s="197"/>
      <c r="N382" s="314"/>
      <c r="O382" s="315">
        <v>3</v>
      </c>
      <c r="P382" s="315"/>
      <c r="Q382" s="316"/>
      <c r="R382" s="314"/>
      <c r="S382" s="315"/>
      <c r="T382" s="315"/>
      <c r="U382" s="316">
        <v>4</v>
      </c>
      <c r="V382" s="314"/>
      <c r="W382" s="315"/>
      <c r="X382" s="315"/>
      <c r="Y382" s="316">
        <v>7</v>
      </c>
      <c r="Z382" s="314"/>
      <c r="AA382" s="315"/>
      <c r="AB382" s="315"/>
      <c r="AC382" s="316">
        <v>0</v>
      </c>
      <c r="AD382" s="314"/>
      <c r="AE382" s="316"/>
    </row>
    <row r="383" spans="1:31" ht="24.75" hidden="1" thickBot="1">
      <c r="A383" s="885"/>
      <c r="B383" s="885"/>
      <c r="C383" s="9" t="s">
        <v>300</v>
      </c>
      <c r="D383" s="199"/>
      <c r="E383" s="200"/>
      <c r="F383" s="201"/>
      <c r="G383" s="199"/>
      <c r="H383" s="199"/>
      <c r="I383" s="200"/>
      <c r="J383" s="201"/>
      <c r="K383" s="199"/>
      <c r="L383" s="199"/>
      <c r="M383" s="200"/>
      <c r="N383" s="318"/>
      <c r="O383" s="319" t="s">
        <v>634</v>
      </c>
      <c r="P383" s="312" t="s">
        <v>632</v>
      </c>
      <c r="Q383" s="313" t="s">
        <v>646</v>
      </c>
      <c r="R383" s="314">
        <v>1</v>
      </c>
      <c r="S383" s="315"/>
      <c r="T383" s="315"/>
      <c r="U383" s="316">
        <v>1</v>
      </c>
      <c r="V383" s="314"/>
      <c r="W383" s="315"/>
      <c r="X383" s="315"/>
      <c r="Y383" s="316">
        <v>2</v>
      </c>
      <c r="Z383" s="314"/>
      <c r="AA383" s="315"/>
      <c r="AB383" s="315"/>
      <c r="AC383" s="316">
        <v>0</v>
      </c>
      <c r="AD383" s="314"/>
      <c r="AE383" s="316"/>
    </row>
    <row r="384" spans="1:31" ht="13.5" hidden="1" thickBot="1">
      <c r="A384" s="885"/>
      <c r="B384" s="885"/>
      <c r="C384" s="9" t="s">
        <v>301</v>
      </c>
      <c r="D384" s="199"/>
      <c r="E384" s="200"/>
      <c r="F384" s="201"/>
      <c r="G384" s="199"/>
      <c r="H384" s="199"/>
      <c r="I384" s="200"/>
      <c r="J384" s="201"/>
      <c r="K384" s="199"/>
      <c r="L384" s="199"/>
      <c r="M384" s="200"/>
      <c r="N384" s="318"/>
      <c r="O384" s="319" t="s">
        <v>634</v>
      </c>
      <c r="P384" s="312" t="s">
        <v>632</v>
      </c>
      <c r="Q384" s="313" t="s">
        <v>646</v>
      </c>
      <c r="R384" s="314">
        <v>0</v>
      </c>
      <c r="S384" s="315"/>
      <c r="T384" s="315"/>
      <c r="U384" s="316">
        <v>0</v>
      </c>
      <c r="V384" s="314"/>
      <c r="W384" s="315"/>
      <c r="X384" s="315"/>
      <c r="Y384" s="316">
        <v>2</v>
      </c>
      <c r="Z384" s="314"/>
      <c r="AA384" s="315"/>
      <c r="AB384" s="315"/>
      <c r="AC384" s="316">
        <v>0</v>
      </c>
      <c r="AD384" s="314"/>
      <c r="AE384" s="316"/>
    </row>
    <row r="385" spans="1:31" ht="13.5" hidden="1" thickBot="1">
      <c r="A385" s="885"/>
      <c r="B385" s="885"/>
      <c r="C385" s="9" t="s">
        <v>302</v>
      </c>
      <c r="D385" s="199"/>
      <c r="E385" s="200"/>
      <c r="F385" s="201"/>
      <c r="G385" s="199"/>
      <c r="H385" s="199"/>
      <c r="I385" s="200"/>
      <c r="J385" s="201"/>
      <c r="K385" s="199"/>
      <c r="L385" s="199"/>
      <c r="M385" s="200"/>
      <c r="N385" s="318"/>
      <c r="O385" s="319" t="s">
        <v>634</v>
      </c>
      <c r="P385" s="312" t="s">
        <v>632</v>
      </c>
      <c r="Q385" s="313" t="s">
        <v>646</v>
      </c>
      <c r="R385" s="314">
        <v>0</v>
      </c>
      <c r="S385" s="315"/>
      <c r="T385" s="315"/>
      <c r="U385" s="316">
        <v>0</v>
      </c>
      <c r="V385" s="314"/>
      <c r="W385" s="315"/>
      <c r="X385" s="315"/>
      <c r="Y385" s="316">
        <v>5</v>
      </c>
      <c r="Z385" s="314"/>
      <c r="AA385" s="315"/>
      <c r="AB385" s="315"/>
      <c r="AC385" s="316">
        <v>0</v>
      </c>
      <c r="AD385" s="314"/>
      <c r="AE385" s="316"/>
    </row>
    <row r="386" spans="1:31" ht="24.75" hidden="1" thickBot="1">
      <c r="A386" s="885"/>
      <c r="B386" s="885"/>
      <c r="C386" s="9" t="s">
        <v>303</v>
      </c>
      <c r="D386" s="202"/>
      <c r="E386" s="203"/>
      <c r="F386" s="201"/>
      <c r="G386" s="202"/>
      <c r="H386" s="202"/>
      <c r="I386" s="203"/>
      <c r="J386" s="201"/>
      <c r="K386" s="202"/>
      <c r="L386" s="202"/>
      <c r="M386" s="203"/>
      <c r="N386" s="322"/>
      <c r="O386" s="323"/>
      <c r="P386" s="324"/>
      <c r="Q386" s="324"/>
      <c r="R386" s="317"/>
      <c r="S386" s="320"/>
      <c r="T386" s="320"/>
      <c r="U386" s="321"/>
      <c r="V386" s="325"/>
      <c r="W386" s="319" t="s">
        <v>633</v>
      </c>
      <c r="X386" s="312" t="s">
        <v>632</v>
      </c>
      <c r="Y386" s="316">
        <v>0</v>
      </c>
      <c r="Z386" s="314"/>
      <c r="AA386" s="315"/>
      <c r="AB386" s="315"/>
      <c r="AC386" s="316">
        <v>0</v>
      </c>
      <c r="AD386" s="314"/>
      <c r="AE386" s="316"/>
    </row>
    <row r="387" spans="1:31" ht="13.5" hidden="1" thickBot="1">
      <c r="A387" s="885"/>
      <c r="B387" s="885"/>
      <c r="C387" s="9" t="s">
        <v>304</v>
      </c>
      <c r="D387" s="202"/>
      <c r="E387" s="203"/>
      <c r="F387" s="201"/>
      <c r="G387" s="202"/>
      <c r="H387" s="202"/>
      <c r="I387" s="203"/>
      <c r="J387" s="201"/>
      <c r="K387" s="202"/>
      <c r="L387" s="202"/>
      <c r="M387" s="203"/>
      <c r="N387" s="322"/>
      <c r="O387" s="324"/>
      <c r="P387" s="324"/>
      <c r="Q387" s="324"/>
      <c r="R387" s="317"/>
      <c r="S387" s="320"/>
      <c r="T387" s="320"/>
      <c r="U387" s="321"/>
      <c r="V387" s="325"/>
      <c r="W387" s="319" t="s">
        <v>633</v>
      </c>
      <c r="X387" s="312" t="s">
        <v>632</v>
      </c>
      <c r="Y387" s="316">
        <v>0</v>
      </c>
      <c r="Z387" s="314"/>
      <c r="AA387" s="315"/>
      <c r="AB387" s="315"/>
      <c r="AC387" s="316">
        <v>0</v>
      </c>
      <c r="AD387" s="314"/>
      <c r="AE387" s="316"/>
    </row>
    <row r="388" spans="1:31" ht="12.95" hidden="1" customHeight="1" thickBot="1">
      <c r="A388" s="885"/>
      <c r="B388" s="298"/>
      <c r="C388" s="231"/>
      <c r="D388" s="232"/>
      <c r="E388" s="233"/>
      <c r="F388" s="234"/>
      <c r="G388" s="232"/>
      <c r="H388" s="232"/>
      <c r="I388" s="233"/>
      <c r="J388" s="234"/>
      <c r="K388" s="232"/>
      <c r="L388" s="232"/>
      <c r="M388" s="233"/>
      <c r="N388" s="328"/>
      <c r="O388" s="326"/>
      <c r="P388" s="326"/>
      <c r="Q388" s="327"/>
      <c r="R388" s="328"/>
      <c r="S388" s="326"/>
      <c r="T388" s="326"/>
      <c r="U388" s="327"/>
      <c r="V388" s="328"/>
      <c r="W388" s="326"/>
      <c r="X388" s="326"/>
      <c r="Y388" s="327"/>
      <c r="Z388" s="328"/>
      <c r="AA388" s="326"/>
      <c r="AB388" s="326"/>
      <c r="AC388" s="327"/>
      <c r="AD388" s="328"/>
      <c r="AE388" s="327"/>
    </row>
    <row r="389" spans="1:31" ht="12.95" hidden="1" customHeight="1" thickBot="1">
      <c r="A389" s="885"/>
      <c r="B389" s="298"/>
      <c r="C389" s="231"/>
      <c r="D389" s="232"/>
      <c r="E389" s="233"/>
      <c r="F389" s="234"/>
      <c r="G389" s="232"/>
      <c r="H389" s="232"/>
      <c r="I389" s="233"/>
      <c r="J389" s="234"/>
      <c r="K389" s="232"/>
      <c r="L389" s="232"/>
      <c r="M389" s="233"/>
      <c r="N389" s="328"/>
      <c r="O389" s="326"/>
      <c r="P389" s="326"/>
      <c r="Q389" s="327"/>
      <c r="R389" s="328"/>
      <c r="S389" s="326"/>
      <c r="T389" s="326"/>
      <c r="U389" s="327"/>
      <c r="V389" s="328"/>
      <c r="W389" s="326"/>
      <c r="X389" s="326"/>
      <c r="Y389" s="327"/>
      <c r="Z389" s="328"/>
      <c r="AA389" s="326"/>
      <c r="AB389" s="326"/>
      <c r="AC389" s="327"/>
      <c r="AD389" s="328"/>
      <c r="AE389" s="327"/>
    </row>
    <row r="390" spans="1:31" ht="12.95" customHeight="1" thickBot="1">
      <c r="A390" s="885"/>
      <c r="B390" s="3" t="s">
        <v>31</v>
      </c>
      <c r="C390" s="12"/>
      <c r="D390" s="1377">
        <v>2008</v>
      </c>
      <c r="E390" s="1378"/>
      <c r="F390" s="1372">
        <v>2009</v>
      </c>
      <c r="G390" s="1373"/>
      <c r="H390" s="1373"/>
      <c r="I390" s="1374"/>
      <c r="J390" s="1372">
        <v>2010</v>
      </c>
      <c r="K390" s="1373"/>
      <c r="L390" s="1373"/>
      <c r="M390" s="1374"/>
      <c r="N390" s="1372">
        <v>2011</v>
      </c>
      <c r="O390" s="1373"/>
      <c r="P390" s="1373"/>
      <c r="Q390" s="1374"/>
      <c r="R390" s="1372">
        <v>2012</v>
      </c>
      <c r="S390" s="1373"/>
      <c r="T390" s="1373"/>
      <c r="U390" s="1374"/>
      <c r="V390" s="1372">
        <v>2013</v>
      </c>
      <c r="W390" s="1373"/>
      <c r="X390" s="1373"/>
      <c r="Y390" s="1374"/>
      <c r="Z390" s="1372">
        <v>2014</v>
      </c>
      <c r="AA390" s="1373"/>
      <c r="AB390" s="1373"/>
      <c r="AC390" s="1374"/>
      <c r="AD390" s="1372">
        <v>2015</v>
      </c>
      <c r="AE390" s="1374"/>
    </row>
    <row r="391" spans="1:31" ht="12.95" customHeight="1" thickBot="1">
      <c r="A391" s="1375"/>
      <c r="B391" s="868" t="s">
        <v>421</v>
      </c>
      <c r="C391" s="23"/>
      <c r="D391" s="1379" t="s">
        <v>717</v>
      </c>
      <c r="E391" s="1380"/>
      <c r="F391" s="1380"/>
      <c r="G391" s="1380"/>
      <c r="H391" s="1380"/>
      <c r="I391" s="1380"/>
      <c r="J391" s="1380"/>
      <c r="K391" s="1380"/>
      <c r="L391" s="1380"/>
      <c r="M391" s="1380"/>
      <c r="N391" s="1380"/>
      <c r="O391" s="1380"/>
      <c r="P391" s="1380"/>
      <c r="Q391" s="1380"/>
      <c r="R391" s="1380"/>
      <c r="S391" s="1380"/>
      <c r="T391" s="1380"/>
      <c r="U391" s="1380"/>
      <c r="V391" s="1380"/>
      <c r="W391" s="1380"/>
      <c r="X391" s="1380"/>
      <c r="Y391" s="1380"/>
      <c r="Z391" s="1380"/>
      <c r="AA391" s="1380"/>
      <c r="AB391" s="1380"/>
      <c r="AC391" s="1380"/>
      <c r="AD391" s="1380"/>
      <c r="AE391" s="1381"/>
    </row>
    <row r="392" spans="1:31" ht="12.95" customHeight="1" thickBot="1">
      <c r="A392" s="1375"/>
      <c r="B392" s="885"/>
      <c r="C392" s="250" t="s">
        <v>649</v>
      </c>
      <c r="D392" s="245"/>
      <c r="E392" s="246"/>
      <c r="F392" s="247"/>
      <c r="G392" s="245"/>
      <c r="H392" s="245"/>
      <c r="I392" s="246"/>
      <c r="J392" s="247"/>
      <c r="K392" s="245"/>
      <c r="L392" s="245"/>
      <c r="M392" s="246"/>
      <c r="N392" s="309"/>
      <c r="O392" s="310"/>
      <c r="P392" s="310"/>
      <c r="Q392" s="311"/>
      <c r="R392" s="309"/>
      <c r="S392" s="310"/>
      <c r="T392" s="310"/>
      <c r="U392" s="311"/>
      <c r="V392" s="309"/>
      <c r="W392" s="568"/>
      <c r="X392" s="568"/>
      <c r="Y392" s="568">
        <v>21175.940309667763</v>
      </c>
      <c r="Z392" s="567"/>
      <c r="AA392" s="568"/>
      <c r="AB392" s="568"/>
      <c r="AC392" s="568">
        <v>31045.071291919194</v>
      </c>
      <c r="AD392" s="567"/>
      <c r="AE392" s="570"/>
    </row>
    <row r="393" spans="1:31" ht="12.95" customHeight="1" thickBot="1">
      <c r="A393" s="1375"/>
      <c r="B393" s="885"/>
      <c r="C393" s="250" t="s">
        <v>650</v>
      </c>
      <c r="D393" s="245"/>
      <c r="E393" s="246"/>
      <c r="F393" s="247"/>
      <c r="G393" s="245"/>
      <c r="H393" s="245"/>
      <c r="I393" s="246"/>
      <c r="J393" s="247"/>
      <c r="K393" s="245"/>
      <c r="L393" s="245"/>
      <c r="M393" s="246"/>
      <c r="N393" s="309"/>
      <c r="O393" s="310"/>
      <c r="P393" s="310"/>
      <c r="Q393" s="311"/>
      <c r="R393" s="309"/>
      <c r="S393" s="310"/>
      <c r="T393" s="310"/>
      <c r="U393" s="311"/>
      <c r="V393" s="309"/>
      <c r="W393" s="568"/>
      <c r="X393" s="568"/>
      <c r="Y393" s="568">
        <v>23598.341179404604</v>
      </c>
      <c r="Z393" s="567"/>
      <c r="AA393" s="568"/>
      <c r="AB393" s="568"/>
      <c r="AC393" s="568">
        <v>23407.818273737375</v>
      </c>
      <c r="AD393" s="567"/>
      <c r="AE393" s="570"/>
    </row>
    <row r="394" spans="1:31" ht="12.95" customHeight="1" thickBot="1">
      <c r="A394" s="1375"/>
      <c r="B394" s="885"/>
      <c r="C394" s="250" t="s">
        <v>651</v>
      </c>
      <c r="D394" s="245"/>
      <c r="E394" s="246"/>
      <c r="F394" s="247"/>
      <c r="G394" s="245"/>
      <c r="H394" s="245"/>
      <c r="I394" s="246"/>
      <c r="J394" s="247"/>
      <c r="K394" s="245"/>
      <c r="L394" s="245"/>
      <c r="M394" s="246"/>
      <c r="N394" s="309"/>
      <c r="O394" s="310"/>
      <c r="P394" s="310"/>
      <c r="Q394" s="311"/>
      <c r="R394" s="309"/>
      <c r="S394" s="310"/>
      <c r="T394" s="310"/>
      <c r="U394" s="311"/>
      <c r="V394" s="309"/>
      <c r="W394" s="568"/>
      <c r="X394" s="568"/>
      <c r="Y394" s="568">
        <v>25968.361621853117</v>
      </c>
      <c r="Z394" s="567"/>
      <c r="AA394" s="568"/>
      <c r="AB394" s="568"/>
      <c r="AC394" s="568">
        <v>18923.936297979799</v>
      </c>
      <c r="AD394" s="567"/>
      <c r="AE394" s="570"/>
    </row>
    <row r="395" spans="1:31" ht="12.95" customHeight="1" thickBot="1">
      <c r="A395" s="1375"/>
      <c r="B395" s="885"/>
      <c r="C395" s="250" t="s">
        <v>652</v>
      </c>
      <c r="D395" s="245"/>
      <c r="E395" s="246"/>
      <c r="F395" s="247"/>
      <c r="G395" s="245"/>
      <c r="H395" s="245"/>
      <c r="I395" s="246"/>
      <c r="J395" s="247"/>
      <c r="K395" s="245"/>
      <c r="L395" s="245"/>
      <c r="M395" s="246"/>
      <c r="N395" s="309"/>
      <c r="O395" s="310"/>
      <c r="P395" s="310"/>
      <c r="Q395" s="311"/>
      <c r="R395" s="309"/>
      <c r="S395" s="310"/>
      <c r="T395" s="310"/>
      <c r="U395" s="311"/>
      <c r="V395" s="309"/>
      <c r="W395" s="568"/>
      <c r="X395" s="568"/>
      <c r="Y395" s="568">
        <v>36880.326339015584</v>
      </c>
      <c r="Z395" s="567"/>
      <c r="AA395" s="568"/>
      <c r="AB395" s="568"/>
      <c r="AC395" s="568">
        <v>30943.50958080808</v>
      </c>
      <c r="AD395" s="567"/>
      <c r="AE395" s="570"/>
    </row>
    <row r="396" spans="1:31" ht="12.95" customHeight="1" thickBot="1">
      <c r="A396" s="1375"/>
      <c r="B396" s="885"/>
      <c r="C396" s="250" t="s">
        <v>653</v>
      </c>
      <c r="D396" s="245"/>
      <c r="E396" s="246"/>
      <c r="F396" s="247"/>
      <c r="G396" s="245"/>
      <c r="H396" s="245"/>
      <c r="I396" s="246"/>
      <c r="J396" s="247"/>
      <c r="K396" s="245"/>
      <c r="L396" s="245"/>
      <c r="M396" s="246"/>
      <c r="N396" s="309"/>
      <c r="O396" s="310"/>
      <c r="P396" s="310"/>
      <c r="Q396" s="311"/>
      <c r="R396" s="309"/>
      <c r="S396" s="310"/>
      <c r="T396" s="310"/>
      <c r="U396" s="311"/>
      <c r="V396" s="309"/>
      <c r="W396" s="568"/>
      <c r="X396" s="568"/>
      <c r="Y396" s="568">
        <v>39046.609372539613</v>
      </c>
      <c r="Z396" s="567"/>
      <c r="AA396" s="568"/>
      <c r="AB396" s="568"/>
      <c r="AC396" s="568">
        <v>56689.135994949494</v>
      </c>
      <c r="AD396" s="567"/>
      <c r="AE396" s="570"/>
    </row>
    <row r="397" spans="1:31" ht="12.95" customHeight="1" thickBot="1">
      <c r="A397" s="1375"/>
      <c r="B397" s="885"/>
      <c r="C397" s="250" t="s">
        <v>654</v>
      </c>
      <c r="D397" s="248"/>
      <c r="E397" s="249"/>
      <c r="F397" s="247"/>
      <c r="G397" s="248"/>
      <c r="H397" s="248"/>
      <c r="I397" s="249"/>
      <c r="J397" s="247"/>
      <c r="K397" s="248"/>
      <c r="L397" s="248"/>
      <c r="M397" s="249"/>
      <c r="N397" s="309"/>
      <c r="O397" s="310"/>
      <c r="P397" s="310"/>
      <c r="Q397" s="311"/>
      <c r="R397" s="309"/>
      <c r="S397" s="310"/>
      <c r="T397" s="310"/>
      <c r="U397" s="311"/>
      <c r="V397" s="309"/>
      <c r="W397" s="568"/>
      <c r="X397" s="568"/>
      <c r="Y397" s="568">
        <v>17500.198790520848</v>
      </c>
      <c r="Z397" s="567"/>
      <c r="AA397" s="568"/>
      <c r="AB397" s="568"/>
      <c r="AC397" s="568">
        <v>43379.206550505056</v>
      </c>
      <c r="AD397" s="567"/>
      <c r="AE397" s="570"/>
    </row>
    <row r="398" spans="1:31" ht="12.95" customHeight="1" thickBot="1">
      <c r="A398" s="1375"/>
      <c r="B398" s="885"/>
      <c r="C398" s="250" t="s">
        <v>655</v>
      </c>
      <c r="D398" s="248"/>
      <c r="E398" s="249"/>
      <c r="F398" s="247"/>
      <c r="G398" s="248"/>
      <c r="H398" s="248"/>
      <c r="I398" s="249"/>
      <c r="J398" s="247"/>
      <c r="K398" s="248"/>
      <c r="L398" s="248"/>
      <c r="M398" s="249"/>
      <c r="N398" s="309"/>
      <c r="O398" s="310"/>
      <c r="P398" s="310"/>
      <c r="Q398" s="311"/>
      <c r="R398" s="309"/>
      <c r="S398" s="310"/>
      <c r="T398" s="310"/>
      <c r="U398" s="311"/>
      <c r="V398" s="309"/>
      <c r="W398" s="568"/>
      <c r="X398" s="568"/>
      <c r="Y398" s="568">
        <v>13304.494206138697</v>
      </c>
      <c r="Z398" s="567"/>
      <c r="AA398" s="568"/>
      <c r="AB398" s="568"/>
      <c r="AC398" s="568">
        <v>20380.314075757575</v>
      </c>
      <c r="AD398" s="567"/>
      <c r="AE398" s="570"/>
    </row>
    <row r="399" spans="1:31" ht="12.95" customHeight="1" thickBot="1">
      <c r="A399" s="1375"/>
      <c r="B399" s="885"/>
      <c r="C399" s="250" t="s">
        <v>656</v>
      </c>
      <c r="D399" s="248"/>
      <c r="E399" s="249"/>
      <c r="F399" s="247"/>
      <c r="G399" s="248"/>
      <c r="H399" s="248"/>
      <c r="I399" s="249"/>
      <c r="J399" s="247"/>
      <c r="K399" s="248"/>
      <c r="L399" s="248"/>
      <c r="M399" s="249"/>
      <c r="N399" s="309"/>
      <c r="O399" s="310"/>
      <c r="P399" s="310"/>
      <c r="Q399" s="311"/>
      <c r="R399" s="309"/>
      <c r="S399" s="310"/>
      <c r="T399" s="310"/>
      <c r="U399" s="311"/>
      <c r="V399" s="309"/>
      <c r="W399" s="568"/>
      <c r="X399" s="568"/>
      <c r="Y399" s="568">
        <v>26325.59294669934</v>
      </c>
      <c r="Z399" s="567"/>
      <c r="AA399" s="568"/>
      <c r="AB399" s="568"/>
      <c r="AC399" s="568">
        <v>17866.322611111111</v>
      </c>
      <c r="AD399" s="567"/>
      <c r="AE399" s="570"/>
    </row>
    <row r="400" spans="1:31" ht="12.95" customHeight="1" thickBot="1">
      <c r="A400" s="1375"/>
      <c r="B400" s="885"/>
      <c r="C400" s="250" t="s">
        <v>657</v>
      </c>
      <c r="D400" s="248"/>
      <c r="E400" s="249"/>
      <c r="F400" s="247"/>
      <c r="G400" s="248"/>
      <c r="H400" s="248"/>
      <c r="I400" s="249"/>
      <c r="J400" s="247"/>
      <c r="K400" s="248"/>
      <c r="L400" s="248"/>
      <c r="M400" s="249"/>
      <c r="N400" s="309"/>
      <c r="O400" s="310"/>
      <c r="P400" s="310"/>
      <c r="Q400" s="311"/>
      <c r="R400" s="309"/>
      <c r="S400" s="310"/>
      <c r="T400" s="310"/>
      <c r="U400" s="311"/>
      <c r="V400" s="309"/>
      <c r="W400" s="572"/>
      <c r="X400" s="572"/>
      <c r="Y400" s="573"/>
      <c r="Z400" s="567"/>
      <c r="AA400" s="568"/>
      <c r="AB400" s="568"/>
      <c r="AC400" s="568">
        <v>15928.123570707072</v>
      </c>
      <c r="AD400" s="567"/>
      <c r="AE400" s="570"/>
    </row>
    <row r="401" spans="1:31" ht="12.95" customHeight="1" thickBot="1">
      <c r="A401" s="1375"/>
      <c r="B401" s="885" t="s">
        <v>179</v>
      </c>
      <c r="C401" s="250" t="s">
        <v>658</v>
      </c>
      <c r="D401" s="248"/>
      <c r="E401" s="249"/>
      <c r="F401" s="247"/>
      <c r="G401" s="248"/>
      <c r="H401" s="248"/>
      <c r="I401" s="249"/>
      <c r="J401" s="247"/>
      <c r="K401" s="248"/>
      <c r="L401" s="248"/>
      <c r="M401" s="249"/>
      <c r="N401" s="309"/>
      <c r="O401" s="310"/>
      <c r="P401" s="310"/>
      <c r="Q401" s="311"/>
      <c r="R401" s="309"/>
      <c r="S401" s="310"/>
      <c r="T401" s="310"/>
      <c r="U401" s="311"/>
      <c r="V401" s="309"/>
      <c r="W401" s="572"/>
      <c r="X401" s="572"/>
      <c r="Y401" s="573"/>
      <c r="Z401" s="567"/>
      <c r="AA401" s="568"/>
      <c r="AB401" s="568"/>
      <c r="AC401" s="568">
        <v>20365.178318181817</v>
      </c>
      <c r="AD401" s="567"/>
      <c r="AE401" s="570"/>
    </row>
    <row r="402" spans="1:31" ht="12.95" hidden="1" customHeight="1" thickBot="1">
      <c r="A402" s="1375"/>
      <c r="B402" s="885"/>
      <c r="C402" s="9" t="s">
        <v>295</v>
      </c>
      <c r="D402" s="202"/>
      <c r="E402" s="203"/>
      <c r="F402" s="201"/>
      <c r="G402" s="202"/>
      <c r="H402" s="202"/>
      <c r="I402" s="203"/>
      <c r="J402" s="201"/>
      <c r="K402" s="202"/>
      <c r="L402" s="202"/>
      <c r="M402" s="203"/>
      <c r="N402" s="322"/>
      <c r="O402" s="323"/>
      <c r="P402" s="324"/>
      <c r="Q402" s="324"/>
      <c r="R402" s="317"/>
      <c r="S402" s="320"/>
      <c r="T402" s="320"/>
      <c r="U402" s="316">
        <v>60</v>
      </c>
      <c r="V402" s="314"/>
      <c r="W402" s="315"/>
      <c r="X402" s="315"/>
      <c r="Y402" s="316">
        <v>76</v>
      </c>
      <c r="Z402" s="314"/>
      <c r="AA402" s="315"/>
      <c r="AB402" s="315"/>
      <c r="AC402" s="316">
        <v>0</v>
      </c>
      <c r="AD402" s="314"/>
      <c r="AE402" s="316"/>
    </row>
    <row r="403" spans="1:31" ht="13.5" hidden="1" thickBot="1">
      <c r="A403" s="1375"/>
      <c r="B403" s="885"/>
      <c r="C403" s="9" t="s">
        <v>296</v>
      </c>
      <c r="D403" s="202"/>
      <c r="E403" s="203"/>
      <c r="F403" s="201"/>
      <c r="G403" s="202"/>
      <c r="H403" s="202"/>
      <c r="I403" s="203"/>
      <c r="J403" s="201"/>
      <c r="K403" s="202"/>
      <c r="L403" s="202"/>
      <c r="M403" s="203"/>
      <c r="N403" s="322"/>
      <c r="O403" s="323"/>
      <c r="P403" s="324"/>
      <c r="Q403" s="324"/>
      <c r="R403" s="317"/>
      <c r="S403" s="320"/>
      <c r="T403" s="320"/>
      <c r="U403" s="316">
        <v>69</v>
      </c>
      <c r="V403" s="314"/>
      <c r="W403" s="315"/>
      <c r="X403" s="315"/>
      <c r="Y403" s="316">
        <v>83</v>
      </c>
      <c r="Z403" s="314"/>
      <c r="AA403" s="315"/>
      <c r="AB403" s="315"/>
      <c r="AC403" s="316">
        <v>0</v>
      </c>
      <c r="AD403" s="314"/>
      <c r="AE403" s="316"/>
    </row>
    <row r="404" spans="1:31" ht="13.5" hidden="1" thickBot="1">
      <c r="A404" s="1375"/>
      <c r="B404" s="885"/>
      <c r="C404" s="9" t="s">
        <v>297</v>
      </c>
      <c r="D404" s="202"/>
      <c r="E404" s="203"/>
      <c r="F404" s="201"/>
      <c r="G404" s="202"/>
      <c r="H404" s="202"/>
      <c r="I404" s="203"/>
      <c r="J404" s="201"/>
      <c r="K404" s="202"/>
      <c r="L404" s="202"/>
      <c r="M404" s="203"/>
      <c r="N404" s="322"/>
      <c r="O404" s="323"/>
      <c r="P404" s="324"/>
      <c r="Q404" s="324"/>
      <c r="R404" s="317"/>
      <c r="S404" s="320"/>
      <c r="T404" s="320"/>
      <c r="U404" s="316">
        <v>50</v>
      </c>
      <c r="V404" s="314"/>
      <c r="W404" s="315"/>
      <c r="X404" s="315"/>
      <c r="Y404" s="316">
        <v>85</v>
      </c>
      <c r="Z404" s="314"/>
      <c r="AA404" s="315"/>
      <c r="AB404" s="315"/>
      <c r="AC404" s="316">
        <v>0</v>
      </c>
      <c r="AD404" s="314"/>
      <c r="AE404" s="316"/>
    </row>
    <row r="405" spans="1:31" ht="13.5" hidden="1" thickBot="1">
      <c r="A405" s="1375"/>
      <c r="B405" s="885"/>
      <c r="C405" s="9" t="s">
        <v>298</v>
      </c>
      <c r="D405" s="202"/>
      <c r="E405" s="203"/>
      <c r="F405" s="201"/>
      <c r="G405" s="202"/>
      <c r="H405" s="202"/>
      <c r="I405" s="203"/>
      <c r="J405" s="201"/>
      <c r="K405" s="202"/>
      <c r="L405" s="202"/>
      <c r="M405" s="203"/>
      <c r="N405" s="322"/>
      <c r="O405" s="323"/>
      <c r="P405" s="324"/>
      <c r="Q405" s="324"/>
      <c r="R405" s="317"/>
      <c r="S405" s="320"/>
      <c r="T405" s="320"/>
      <c r="U405" s="316">
        <v>50</v>
      </c>
      <c r="V405" s="314"/>
      <c r="W405" s="315"/>
      <c r="X405" s="315"/>
      <c r="Y405" s="316">
        <v>66</v>
      </c>
      <c r="Z405" s="314"/>
      <c r="AA405" s="315"/>
      <c r="AB405" s="315"/>
      <c r="AC405" s="316">
        <v>0</v>
      </c>
      <c r="AD405" s="314"/>
      <c r="AE405" s="316"/>
    </row>
    <row r="406" spans="1:31" ht="13.5" hidden="1" thickBot="1">
      <c r="A406" s="1375"/>
      <c r="B406" s="885"/>
      <c r="C406" s="9" t="s">
        <v>299</v>
      </c>
      <c r="D406" s="202"/>
      <c r="E406" s="203"/>
      <c r="F406" s="201"/>
      <c r="G406" s="202"/>
      <c r="H406" s="202"/>
      <c r="I406" s="203"/>
      <c r="J406" s="201"/>
      <c r="K406" s="202"/>
      <c r="L406" s="202"/>
      <c r="M406" s="203"/>
      <c r="N406" s="322"/>
      <c r="O406" s="323"/>
      <c r="P406" s="324"/>
      <c r="Q406" s="324"/>
      <c r="R406" s="317"/>
      <c r="S406" s="320"/>
      <c r="T406" s="320"/>
      <c r="U406" s="316">
        <v>20</v>
      </c>
      <c r="V406" s="314"/>
      <c r="W406" s="315"/>
      <c r="X406" s="315"/>
      <c r="Y406" s="316">
        <v>70</v>
      </c>
      <c r="Z406" s="314"/>
      <c r="AA406" s="315"/>
      <c r="AB406" s="315"/>
      <c r="AC406" s="316">
        <v>0</v>
      </c>
      <c r="AD406" s="314"/>
      <c r="AE406" s="316"/>
    </row>
    <row r="407" spans="1:31" ht="12.95" hidden="1" customHeight="1" thickBot="1">
      <c r="A407" s="1375"/>
      <c r="B407" s="885"/>
      <c r="C407" s="9" t="s">
        <v>300</v>
      </c>
      <c r="D407" s="202"/>
      <c r="E407" s="203"/>
      <c r="F407" s="201"/>
      <c r="G407" s="202"/>
      <c r="H407" s="202"/>
      <c r="I407" s="203"/>
      <c r="J407" s="201"/>
      <c r="K407" s="202"/>
      <c r="L407" s="202"/>
      <c r="M407" s="203"/>
      <c r="N407" s="322"/>
      <c r="O407" s="323"/>
      <c r="P407" s="324"/>
      <c r="Q407" s="324"/>
      <c r="R407" s="317"/>
      <c r="S407" s="320"/>
      <c r="T407" s="320"/>
      <c r="U407" s="316">
        <v>20</v>
      </c>
      <c r="V407" s="314"/>
      <c r="W407" s="315"/>
      <c r="X407" s="315"/>
      <c r="Y407" s="316">
        <v>30</v>
      </c>
      <c r="Z407" s="314"/>
      <c r="AA407" s="315"/>
      <c r="AB407" s="315"/>
      <c r="AC407" s="316">
        <v>0</v>
      </c>
      <c r="AD407" s="314"/>
      <c r="AE407" s="316"/>
    </row>
    <row r="408" spans="1:31" ht="12.95" hidden="1" customHeight="1" thickBot="1">
      <c r="A408" s="1375"/>
      <c r="B408" s="885"/>
      <c r="C408" s="9" t="s">
        <v>301</v>
      </c>
      <c r="D408" s="202"/>
      <c r="E408" s="203"/>
      <c r="F408" s="201"/>
      <c r="G408" s="202"/>
      <c r="H408" s="202"/>
      <c r="I408" s="203"/>
      <c r="J408" s="201"/>
      <c r="K408" s="202"/>
      <c r="L408" s="202"/>
      <c r="M408" s="203"/>
      <c r="N408" s="322"/>
      <c r="O408" s="323"/>
      <c r="P408" s="324"/>
      <c r="Q408" s="324"/>
      <c r="R408" s="317"/>
      <c r="S408" s="320"/>
      <c r="T408" s="320"/>
      <c r="U408" s="316">
        <v>25</v>
      </c>
      <c r="V408" s="314"/>
      <c r="W408" s="315"/>
      <c r="X408" s="315"/>
      <c r="Y408" s="316">
        <v>40</v>
      </c>
      <c r="Z408" s="314"/>
      <c r="AA408" s="315"/>
      <c r="AB408" s="315"/>
      <c r="AC408" s="316">
        <v>0</v>
      </c>
      <c r="AD408" s="314"/>
      <c r="AE408" s="316"/>
    </row>
    <row r="409" spans="1:31" ht="12.95" hidden="1" customHeight="1" thickBot="1">
      <c r="A409" s="1375"/>
      <c r="B409" s="885"/>
      <c r="C409" s="9" t="s">
        <v>302</v>
      </c>
      <c r="D409" s="202"/>
      <c r="E409" s="203"/>
      <c r="F409" s="201"/>
      <c r="G409" s="202"/>
      <c r="H409" s="202"/>
      <c r="I409" s="203"/>
      <c r="J409" s="201"/>
      <c r="K409" s="202"/>
      <c r="L409" s="202"/>
      <c r="M409" s="203"/>
      <c r="N409" s="322"/>
      <c r="O409" s="323"/>
      <c r="P409" s="324"/>
      <c r="Q409" s="324"/>
      <c r="R409" s="317"/>
      <c r="S409" s="320"/>
      <c r="T409" s="320"/>
      <c r="U409" s="316">
        <v>40</v>
      </c>
      <c r="V409" s="314"/>
      <c r="W409" s="315"/>
      <c r="X409" s="315"/>
      <c r="Y409" s="316">
        <v>58</v>
      </c>
      <c r="Z409" s="314"/>
      <c r="AA409" s="315"/>
      <c r="AB409" s="315"/>
      <c r="AC409" s="316">
        <v>0</v>
      </c>
      <c r="AD409" s="314"/>
      <c r="AE409" s="316"/>
    </row>
    <row r="410" spans="1:31" ht="24.75" hidden="1" thickBot="1">
      <c r="A410" s="1375"/>
      <c r="B410" s="885"/>
      <c r="C410" s="9" t="s">
        <v>303</v>
      </c>
      <c r="D410" s="202"/>
      <c r="E410" s="203"/>
      <c r="F410" s="201"/>
      <c r="G410" s="202"/>
      <c r="H410" s="202"/>
      <c r="I410" s="203"/>
      <c r="J410" s="201"/>
      <c r="K410" s="202"/>
      <c r="L410" s="202"/>
      <c r="M410" s="203"/>
      <c r="N410" s="322"/>
      <c r="O410" s="323"/>
      <c r="P410" s="324"/>
      <c r="Q410" s="324"/>
      <c r="R410" s="317"/>
      <c r="S410" s="320"/>
      <c r="T410" s="320"/>
      <c r="U410" s="321"/>
      <c r="V410" s="325"/>
      <c r="W410" s="319" t="s">
        <v>633</v>
      </c>
      <c r="X410" s="312" t="s">
        <v>632</v>
      </c>
      <c r="Y410" s="316">
        <v>0</v>
      </c>
      <c r="Z410" s="314"/>
      <c r="AA410" s="315"/>
      <c r="AB410" s="315"/>
      <c r="AC410" s="316">
        <v>0</v>
      </c>
      <c r="AD410" s="314"/>
      <c r="AE410" s="316"/>
    </row>
    <row r="411" spans="1:31" ht="13.5" hidden="1" thickBot="1">
      <c r="A411" s="1375"/>
      <c r="B411" s="885"/>
      <c r="C411" s="9" t="s">
        <v>304</v>
      </c>
      <c r="D411" s="202"/>
      <c r="E411" s="203"/>
      <c r="F411" s="201"/>
      <c r="G411" s="202"/>
      <c r="H411" s="202"/>
      <c r="I411" s="203"/>
      <c r="J411" s="201"/>
      <c r="K411" s="202"/>
      <c r="L411" s="202"/>
      <c r="M411" s="203"/>
      <c r="N411" s="322"/>
      <c r="O411" s="324"/>
      <c r="P411" s="324"/>
      <c r="Q411" s="324"/>
      <c r="R411" s="317"/>
      <c r="S411" s="320"/>
      <c r="T411" s="320"/>
      <c r="U411" s="321"/>
      <c r="V411" s="325"/>
      <c r="W411" s="319" t="s">
        <v>633</v>
      </c>
      <c r="X411" s="312" t="s">
        <v>632</v>
      </c>
      <c r="Y411" s="316">
        <v>0</v>
      </c>
      <c r="Z411" s="314"/>
      <c r="AA411" s="315"/>
      <c r="AB411" s="315"/>
      <c r="AC411" s="316">
        <v>0</v>
      </c>
      <c r="AD411" s="314"/>
      <c r="AE411" s="316"/>
    </row>
    <row r="412" spans="1:31" ht="12.95" hidden="1" customHeight="1" thickBot="1">
      <c r="A412" s="1375"/>
      <c r="B412" s="298"/>
      <c r="C412" s="231"/>
      <c r="D412" s="232"/>
      <c r="E412" s="233"/>
      <c r="F412" s="234"/>
      <c r="G412" s="232"/>
      <c r="H412" s="232"/>
      <c r="I412" s="233"/>
      <c r="J412" s="234"/>
      <c r="K412" s="232"/>
      <c r="L412" s="232"/>
      <c r="M412" s="233"/>
      <c r="N412" s="328"/>
      <c r="O412" s="326"/>
      <c r="P412" s="326"/>
      <c r="Q412" s="327"/>
      <c r="R412" s="328"/>
      <c r="S412" s="326"/>
      <c r="T412" s="326"/>
      <c r="U412" s="327"/>
      <c r="V412" s="328"/>
      <c r="W412" s="326"/>
      <c r="X412" s="326"/>
      <c r="Y412" s="327"/>
      <c r="Z412" s="328"/>
      <c r="AA412" s="326"/>
      <c r="AB412" s="326"/>
      <c r="AC412" s="327"/>
      <c r="AD412" s="328"/>
      <c r="AE412" s="327"/>
    </row>
    <row r="413" spans="1:31" ht="12.95" hidden="1" customHeight="1" thickBot="1">
      <c r="A413" s="1375"/>
      <c r="B413" s="298"/>
      <c r="C413" s="231"/>
      <c r="D413" s="232"/>
      <c r="E413" s="233"/>
      <c r="F413" s="234"/>
      <c r="G413" s="232"/>
      <c r="H413" s="232"/>
      <c r="I413" s="233"/>
      <c r="J413" s="234"/>
      <c r="K413" s="232"/>
      <c r="L413" s="232"/>
      <c r="M413" s="233"/>
      <c r="N413" s="328"/>
      <c r="O413" s="326"/>
      <c r="P413" s="326"/>
      <c r="Q413" s="327"/>
      <c r="R413" s="328"/>
      <c r="S413" s="326"/>
      <c r="T413" s="326"/>
      <c r="U413" s="327"/>
      <c r="V413" s="328"/>
      <c r="W413" s="326"/>
      <c r="X413" s="326"/>
      <c r="Y413" s="327"/>
      <c r="Z413" s="328"/>
      <c r="AA413" s="326"/>
      <c r="AB413" s="326"/>
      <c r="AC413" s="327"/>
      <c r="AD413" s="328"/>
      <c r="AE413" s="327"/>
    </row>
    <row r="414" spans="1:31" ht="12.95" customHeight="1" thickBot="1">
      <c r="A414" s="885"/>
      <c r="B414" s="3" t="s">
        <v>40</v>
      </c>
      <c r="C414" s="12"/>
      <c r="D414" s="1377">
        <v>2008</v>
      </c>
      <c r="E414" s="1378"/>
      <c r="F414" s="1372">
        <v>2009</v>
      </c>
      <c r="G414" s="1373"/>
      <c r="H414" s="1373"/>
      <c r="I414" s="1374"/>
      <c r="J414" s="1372">
        <v>2010</v>
      </c>
      <c r="K414" s="1373"/>
      <c r="L414" s="1373"/>
      <c r="M414" s="1374"/>
      <c r="N414" s="1372">
        <v>2011</v>
      </c>
      <c r="O414" s="1373"/>
      <c r="P414" s="1373"/>
      <c r="Q414" s="1374"/>
      <c r="R414" s="1372">
        <v>2012</v>
      </c>
      <c r="S414" s="1373"/>
      <c r="T414" s="1373"/>
      <c r="U414" s="1374"/>
      <c r="V414" s="1372">
        <v>2013</v>
      </c>
      <c r="W414" s="1373"/>
      <c r="X414" s="1373"/>
      <c r="Y414" s="1374"/>
      <c r="Z414" s="1372">
        <v>2014</v>
      </c>
      <c r="AA414" s="1373"/>
      <c r="AB414" s="1373"/>
      <c r="AC414" s="1374"/>
      <c r="AD414" s="1372">
        <v>2015</v>
      </c>
      <c r="AE414" s="1374"/>
    </row>
    <row r="415" spans="1:31" ht="12.95" customHeight="1" thickBot="1">
      <c r="A415" s="885"/>
      <c r="B415" s="868" t="s">
        <v>644</v>
      </c>
      <c r="C415" s="250" t="s">
        <v>649</v>
      </c>
      <c r="D415" s="245"/>
      <c r="E415" s="246"/>
      <c r="F415" s="247"/>
      <c r="G415" s="245"/>
      <c r="H415" s="245"/>
      <c r="I415" s="246"/>
      <c r="J415" s="247"/>
      <c r="K415" s="245"/>
      <c r="L415" s="245"/>
      <c r="M415" s="246"/>
      <c r="N415" s="309"/>
      <c r="O415" s="310"/>
      <c r="P415" s="310"/>
      <c r="Q415" s="311"/>
      <c r="R415" s="309"/>
      <c r="S415" s="310"/>
      <c r="T415" s="310"/>
      <c r="U415" s="311"/>
      <c r="V415" s="309"/>
      <c r="W415" s="568"/>
      <c r="X415" s="568"/>
      <c r="Y415" s="568">
        <v>24800.75655966776</v>
      </c>
      <c r="Z415" s="567"/>
      <c r="AA415" s="568"/>
      <c r="AB415" s="568"/>
      <c r="AC415" s="568">
        <v>38107.731155555557</v>
      </c>
      <c r="AD415" s="567"/>
      <c r="AE415" s="570"/>
    </row>
    <row r="416" spans="1:31" ht="12.95" customHeight="1" thickBot="1">
      <c r="A416" s="885"/>
      <c r="B416" s="885"/>
      <c r="C416" s="250" t="s">
        <v>650</v>
      </c>
      <c r="D416" s="245"/>
      <c r="E416" s="246"/>
      <c r="F416" s="247"/>
      <c r="G416" s="245"/>
      <c r="H416" s="245"/>
      <c r="I416" s="246"/>
      <c r="J416" s="247"/>
      <c r="K416" s="245"/>
      <c r="L416" s="245"/>
      <c r="M416" s="246"/>
      <c r="N416" s="309"/>
      <c r="O416" s="310"/>
      <c r="P416" s="310"/>
      <c r="Q416" s="311"/>
      <c r="R416" s="309"/>
      <c r="S416" s="310"/>
      <c r="T416" s="310"/>
      <c r="U416" s="311"/>
      <c r="V416" s="309"/>
      <c r="W416" s="568"/>
      <c r="X416" s="568"/>
      <c r="Y416" s="568">
        <v>17421.976179404603</v>
      </c>
      <c r="Z416" s="567"/>
      <c r="AA416" s="568"/>
      <c r="AB416" s="568"/>
      <c r="AC416" s="568">
        <v>36923.574501010109</v>
      </c>
      <c r="AD416" s="567"/>
      <c r="AE416" s="570"/>
    </row>
    <row r="417" spans="1:31" ht="12.95" customHeight="1" thickBot="1">
      <c r="A417" s="885"/>
      <c r="B417" s="885"/>
      <c r="C417" s="250" t="s">
        <v>651</v>
      </c>
      <c r="D417" s="245"/>
      <c r="E417" s="246"/>
      <c r="F417" s="247"/>
      <c r="G417" s="245"/>
      <c r="H417" s="245"/>
      <c r="I417" s="246"/>
      <c r="J417" s="247"/>
      <c r="K417" s="245"/>
      <c r="L417" s="245"/>
      <c r="M417" s="246"/>
      <c r="N417" s="309"/>
      <c r="O417" s="310"/>
      <c r="P417" s="310"/>
      <c r="Q417" s="311"/>
      <c r="R417" s="309"/>
      <c r="S417" s="310"/>
      <c r="T417" s="310"/>
      <c r="U417" s="311"/>
      <c r="V417" s="309"/>
      <c r="W417" s="568"/>
      <c r="X417" s="568"/>
      <c r="Y417" s="568">
        <v>40289.045371853113</v>
      </c>
      <c r="Z417" s="567"/>
      <c r="AA417" s="568"/>
      <c r="AB417" s="568"/>
      <c r="AC417" s="568">
        <v>38277.97388888889</v>
      </c>
      <c r="AD417" s="567"/>
      <c r="AE417" s="570"/>
    </row>
    <row r="418" spans="1:31" ht="12.95" customHeight="1" thickBot="1">
      <c r="A418" s="885"/>
      <c r="B418" s="885"/>
      <c r="C418" s="250" t="s">
        <v>652</v>
      </c>
      <c r="D418" s="245"/>
      <c r="E418" s="246"/>
      <c r="F418" s="247"/>
      <c r="G418" s="245"/>
      <c r="H418" s="245"/>
      <c r="I418" s="246"/>
      <c r="J418" s="247"/>
      <c r="K418" s="245"/>
      <c r="L418" s="245"/>
      <c r="M418" s="246"/>
      <c r="N418" s="309"/>
      <c r="O418" s="310"/>
      <c r="P418" s="310"/>
      <c r="Q418" s="311"/>
      <c r="R418" s="309"/>
      <c r="S418" s="310"/>
      <c r="T418" s="310"/>
      <c r="U418" s="311"/>
      <c r="V418" s="309"/>
      <c r="W418" s="568"/>
      <c r="X418" s="568"/>
      <c r="Y418" s="568">
        <v>17553.781339015586</v>
      </c>
      <c r="Z418" s="567"/>
      <c r="AA418" s="568"/>
      <c r="AB418" s="568"/>
      <c r="AC418" s="568">
        <v>30209.339444444449</v>
      </c>
      <c r="AD418" s="567"/>
      <c r="AE418" s="570"/>
    </row>
    <row r="419" spans="1:31" ht="12.95" customHeight="1" thickBot="1">
      <c r="A419" s="885"/>
      <c r="B419" s="885"/>
      <c r="C419" s="250" t="s">
        <v>653</v>
      </c>
      <c r="D419" s="245"/>
      <c r="E419" s="246"/>
      <c r="F419" s="247"/>
      <c r="G419" s="245"/>
      <c r="H419" s="245"/>
      <c r="I419" s="246"/>
      <c r="J419" s="247"/>
      <c r="K419" s="245"/>
      <c r="L419" s="245"/>
      <c r="M419" s="246"/>
      <c r="N419" s="309"/>
      <c r="O419" s="310"/>
      <c r="P419" s="310"/>
      <c r="Q419" s="311"/>
      <c r="R419" s="309"/>
      <c r="S419" s="310"/>
      <c r="T419" s="310"/>
      <c r="U419" s="311"/>
      <c r="V419" s="309"/>
      <c r="W419" s="568"/>
      <c r="X419" s="568"/>
      <c r="Y419" s="568">
        <v>18154.886872539613</v>
      </c>
      <c r="Z419" s="567"/>
      <c r="AA419" s="568"/>
      <c r="AB419" s="568"/>
      <c r="AC419" s="568">
        <v>39747.324040404041</v>
      </c>
      <c r="AD419" s="567"/>
      <c r="AE419" s="570"/>
    </row>
    <row r="420" spans="1:31" ht="12.95" customHeight="1" thickBot="1">
      <c r="A420" s="885"/>
      <c r="B420" s="885"/>
      <c r="C420" s="250" t="s">
        <v>654</v>
      </c>
      <c r="D420" s="248"/>
      <c r="E420" s="249"/>
      <c r="F420" s="247"/>
      <c r="G420" s="248"/>
      <c r="H420" s="248"/>
      <c r="I420" s="249"/>
      <c r="J420" s="247"/>
      <c r="K420" s="248"/>
      <c r="L420" s="248"/>
      <c r="M420" s="249"/>
      <c r="N420" s="309"/>
      <c r="O420" s="310"/>
      <c r="P420" s="310"/>
      <c r="Q420" s="311"/>
      <c r="R420" s="309"/>
      <c r="S420" s="310"/>
      <c r="T420" s="310"/>
      <c r="U420" s="311"/>
      <c r="V420" s="309"/>
      <c r="W420" s="568"/>
      <c r="X420" s="568"/>
      <c r="Y420" s="568">
        <v>12727.096290520849</v>
      </c>
      <c r="Z420" s="567"/>
      <c r="AA420" s="568"/>
      <c r="AB420" s="568"/>
      <c r="AC420" s="568">
        <v>35392.329141414142</v>
      </c>
      <c r="AD420" s="567"/>
      <c r="AE420" s="570"/>
    </row>
    <row r="421" spans="1:31" ht="12.95" customHeight="1" thickBot="1">
      <c r="A421" s="885"/>
      <c r="B421" s="885"/>
      <c r="C421" s="250" t="s">
        <v>655</v>
      </c>
      <c r="D421" s="248"/>
      <c r="E421" s="249"/>
      <c r="F421" s="247"/>
      <c r="G421" s="248"/>
      <c r="H421" s="248"/>
      <c r="I421" s="249"/>
      <c r="J421" s="247"/>
      <c r="K421" s="248"/>
      <c r="L421" s="248"/>
      <c r="M421" s="249"/>
      <c r="N421" s="309"/>
      <c r="O421" s="310"/>
      <c r="P421" s="310"/>
      <c r="Q421" s="311"/>
      <c r="R421" s="309"/>
      <c r="S421" s="310"/>
      <c r="T421" s="310"/>
      <c r="U421" s="311"/>
      <c r="V421" s="309"/>
      <c r="W421" s="568"/>
      <c r="X421" s="568"/>
      <c r="Y421" s="568">
        <v>12735.117956138698</v>
      </c>
      <c r="Z421" s="567"/>
      <c r="AA421" s="568"/>
      <c r="AB421" s="568"/>
      <c r="AC421" s="568">
        <v>44722.869848484843</v>
      </c>
      <c r="AD421" s="567"/>
      <c r="AE421" s="570"/>
    </row>
    <row r="422" spans="1:31" ht="12.95" customHeight="1" thickBot="1">
      <c r="A422" s="885"/>
      <c r="B422" s="885"/>
      <c r="C422" s="250" t="s">
        <v>656</v>
      </c>
      <c r="D422" s="248"/>
      <c r="E422" s="249"/>
      <c r="F422" s="247"/>
      <c r="G422" s="248"/>
      <c r="H422" s="248"/>
      <c r="I422" s="249"/>
      <c r="J422" s="247"/>
      <c r="K422" s="248"/>
      <c r="L422" s="248"/>
      <c r="M422" s="249"/>
      <c r="N422" s="309"/>
      <c r="O422" s="310"/>
      <c r="P422" s="310"/>
      <c r="Q422" s="311"/>
      <c r="R422" s="309"/>
      <c r="S422" s="310"/>
      <c r="T422" s="310"/>
      <c r="U422" s="311"/>
      <c r="V422" s="309"/>
      <c r="W422" s="568"/>
      <c r="X422" s="568"/>
      <c r="Y422" s="568">
        <v>12608.34294669934</v>
      </c>
      <c r="Z422" s="567"/>
      <c r="AA422" s="568"/>
      <c r="AB422" s="568"/>
      <c r="AC422" s="568">
        <v>50941.677474747477</v>
      </c>
      <c r="AD422" s="567"/>
      <c r="AE422" s="570"/>
    </row>
    <row r="423" spans="1:31" ht="12.95" customHeight="1" thickBot="1">
      <c r="A423" s="885"/>
      <c r="B423" s="885"/>
      <c r="C423" s="250" t="s">
        <v>657</v>
      </c>
      <c r="D423" s="248"/>
      <c r="E423" s="249"/>
      <c r="F423" s="247"/>
      <c r="G423" s="248"/>
      <c r="H423" s="248"/>
      <c r="I423" s="249"/>
      <c r="J423" s="247"/>
      <c r="K423" s="248"/>
      <c r="L423" s="248"/>
      <c r="M423" s="249"/>
      <c r="N423" s="309"/>
      <c r="O423" s="310"/>
      <c r="P423" s="310"/>
      <c r="Q423" s="311"/>
      <c r="R423" s="309"/>
      <c r="S423" s="310"/>
      <c r="T423" s="310"/>
      <c r="U423" s="311"/>
      <c r="V423" s="309"/>
      <c r="W423" s="572"/>
      <c r="X423" s="572"/>
      <c r="Y423" s="573"/>
      <c r="Z423" s="567"/>
      <c r="AA423" s="568"/>
      <c r="AB423" s="568"/>
      <c r="AC423" s="568">
        <v>54145.088585858597</v>
      </c>
      <c r="AD423" s="567"/>
      <c r="AE423" s="570"/>
    </row>
    <row r="424" spans="1:31" ht="12.95" customHeight="1" thickBot="1">
      <c r="A424" s="885"/>
      <c r="B424" s="885"/>
      <c r="C424" s="250" t="s">
        <v>658</v>
      </c>
      <c r="D424" s="248"/>
      <c r="E424" s="249"/>
      <c r="F424" s="247"/>
      <c r="G424" s="248"/>
      <c r="H424" s="248"/>
      <c r="I424" s="249"/>
      <c r="J424" s="247"/>
      <c r="K424" s="248"/>
      <c r="L424" s="248"/>
      <c r="M424" s="249"/>
      <c r="N424" s="309"/>
      <c r="O424" s="310"/>
      <c r="P424" s="310"/>
      <c r="Q424" s="311"/>
      <c r="R424" s="309"/>
      <c r="S424" s="310"/>
      <c r="T424" s="310"/>
      <c r="U424" s="311"/>
      <c r="V424" s="309"/>
      <c r="W424" s="572"/>
      <c r="X424" s="572"/>
      <c r="Y424" s="573"/>
      <c r="Z424" s="567"/>
      <c r="AA424" s="568"/>
      <c r="AB424" s="568"/>
      <c r="AC424" s="568">
        <v>39706.426363636368</v>
      </c>
      <c r="AD424" s="567"/>
      <c r="AE424" s="570"/>
    </row>
    <row r="425" spans="1:31" ht="13.5" hidden="1" thickBot="1">
      <c r="A425" s="885"/>
      <c r="B425" s="885"/>
      <c r="C425" s="9" t="s">
        <v>295</v>
      </c>
      <c r="D425" s="202"/>
      <c r="E425" s="203"/>
      <c r="F425" s="201"/>
      <c r="G425" s="202"/>
      <c r="H425" s="202"/>
      <c r="I425" s="203"/>
      <c r="J425" s="201"/>
      <c r="K425" s="202"/>
      <c r="L425" s="202"/>
      <c r="M425" s="203"/>
      <c r="N425" s="322"/>
      <c r="O425" s="323"/>
      <c r="P425" s="324"/>
      <c r="Q425" s="324"/>
      <c r="R425" s="317"/>
      <c r="S425" s="320"/>
      <c r="T425" s="320"/>
      <c r="U425" s="316">
        <v>3.9</v>
      </c>
      <c r="V425" s="314"/>
      <c r="W425" s="315"/>
      <c r="X425" s="315"/>
      <c r="Y425" s="316">
        <v>4.2</v>
      </c>
      <c r="Z425" s="314"/>
      <c r="AA425" s="315"/>
      <c r="AB425" s="315"/>
      <c r="AC425" s="316">
        <v>0</v>
      </c>
      <c r="AD425" s="314"/>
      <c r="AE425" s="316"/>
    </row>
    <row r="426" spans="1:31" ht="13.5" hidden="1" thickBot="1">
      <c r="A426" s="885"/>
      <c r="B426" s="885"/>
      <c r="C426" s="9" t="s">
        <v>296</v>
      </c>
      <c r="D426" s="202"/>
      <c r="E426" s="203"/>
      <c r="F426" s="201"/>
      <c r="G426" s="202"/>
      <c r="H426" s="202"/>
      <c r="I426" s="203"/>
      <c r="J426" s="201"/>
      <c r="K426" s="202"/>
      <c r="L426" s="202"/>
      <c r="M426" s="203"/>
      <c r="N426" s="322"/>
      <c r="O426" s="323"/>
      <c r="P426" s="324"/>
      <c r="Q426" s="324"/>
      <c r="R426" s="317"/>
      <c r="S426" s="320"/>
      <c r="T426" s="320"/>
      <c r="U426" s="316">
        <v>3.6</v>
      </c>
      <c r="V426" s="314"/>
      <c r="W426" s="315"/>
      <c r="X426" s="315"/>
      <c r="Y426" s="316">
        <v>3.8</v>
      </c>
      <c r="Z426" s="314"/>
      <c r="AA426" s="315"/>
      <c r="AB426" s="315"/>
      <c r="AC426" s="316">
        <v>0</v>
      </c>
      <c r="AD426" s="314"/>
      <c r="AE426" s="316"/>
    </row>
    <row r="427" spans="1:31" ht="13.5" hidden="1" thickBot="1">
      <c r="A427" s="885"/>
      <c r="B427" s="885"/>
      <c r="C427" s="9" t="s">
        <v>297</v>
      </c>
      <c r="D427" s="202"/>
      <c r="E427" s="203"/>
      <c r="F427" s="201"/>
      <c r="G427" s="202"/>
      <c r="H427" s="202"/>
      <c r="I427" s="203"/>
      <c r="J427" s="201"/>
      <c r="K427" s="202"/>
      <c r="L427" s="202"/>
      <c r="M427" s="203"/>
      <c r="N427" s="322"/>
      <c r="O427" s="323"/>
      <c r="P427" s="324"/>
      <c r="Q427" s="324"/>
      <c r="R427" s="317"/>
      <c r="S427" s="320"/>
      <c r="T427" s="320"/>
      <c r="U427" s="316">
        <v>3.5</v>
      </c>
      <c r="V427" s="314"/>
      <c r="W427" s="315"/>
      <c r="X427" s="315"/>
      <c r="Y427" s="316">
        <v>3.55</v>
      </c>
      <c r="Z427" s="314"/>
      <c r="AA427" s="315"/>
      <c r="AB427" s="315"/>
      <c r="AC427" s="316">
        <v>0</v>
      </c>
      <c r="AD427" s="314"/>
      <c r="AE427" s="316"/>
    </row>
    <row r="428" spans="1:31" ht="13.5" hidden="1" thickBot="1">
      <c r="A428" s="885"/>
      <c r="B428" s="885"/>
      <c r="C428" s="9" t="s">
        <v>298</v>
      </c>
      <c r="D428" s="202"/>
      <c r="E428" s="203"/>
      <c r="F428" s="201"/>
      <c r="G428" s="202"/>
      <c r="H428" s="202"/>
      <c r="I428" s="203"/>
      <c r="J428" s="201"/>
      <c r="K428" s="202"/>
      <c r="L428" s="202"/>
      <c r="M428" s="203"/>
      <c r="N428" s="322"/>
      <c r="O428" s="323"/>
      <c r="P428" s="324"/>
      <c r="Q428" s="324"/>
      <c r="R428" s="317"/>
      <c r="S428" s="320"/>
      <c r="T428" s="320"/>
      <c r="U428" s="316">
        <v>3</v>
      </c>
      <c r="V428" s="314"/>
      <c r="W428" s="315"/>
      <c r="X428" s="315"/>
      <c r="Y428" s="316">
        <v>3.9</v>
      </c>
      <c r="Z428" s="314"/>
      <c r="AA428" s="315"/>
      <c r="AB428" s="315"/>
      <c r="AC428" s="316">
        <v>0</v>
      </c>
      <c r="AD428" s="314"/>
      <c r="AE428" s="316"/>
    </row>
    <row r="429" spans="1:31" ht="13.5" hidden="1" thickBot="1">
      <c r="A429" s="885"/>
      <c r="B429" s="885"/>
      <c r="C429" s="9" t="s">
        <v>299</v>
      </c>
      <c r="D429" s="202"/>
      <c r="E429" s="203"/>
      <c r="F429" s="201"/>
      <c r="G429" s="202"/>
      <c r="H429" s="202"/>
      <c r="I429" s="203"/>
      <c r="J429" s="201"/>
      <c r="K429" s="202"/>
      <c r="L429" s="202"/>
      <c r="M429" s="203"/>
      <c r="N429" s="322"/>
      <c r="O429" s="323"/>
      <c r="P429" s="324"/>
      <c r="Q429" s="324"/>
      <c r="R429" s="317"/>
      <c r="S429" s="320"/>
      <c r="T429" s="320"/>
      <c r="U429" s="316">
        <v>3.4</v>
      </c>
      <c r="V429" s="314"/>
      <c r="W429" s="315"/>
      <c r="X429" s="315"/>
      <c r="Y429" s="316">
        <v>3.8</v>
      </c>
      <c r="Z429" s="314"/>
      <c r="AA429" s="315"/>
      <c r="AB429" s="315"/>
      <c r="AC429" s="316">
        <v>0</v>
      </c>
      <c r="AD429" s="314"/>
      <c r="AE429" s="316"/>
    </row>
    <row r="430" spans="1:31" ht="24.75" hidden="1" thickBot="1">
      <c r="A430" s="885"/>
      <c r="B430" s="885"/>
      <c r="C430" s="9" t="s">
        <v>300</v>
      </c>
      <c r="D430" s="202"/>
      <c r="E430" s="203"/>
      <c r="F430" s="201"/>
      <c r="G430" s="202"/>
      <c r="H430" s="202"/>
      <c r="I430" s="203"/>
      <c r="J430" s="201"/>
      <c r="K430" s="202"/>
      <c r="L430" s="202"/>
      <c r="M430" s="203"/>
      <c r="N430" s="322"/>
      <c r="O430" s="323"/>
      <c r="P430" s="324"/>
      <c r="Q430" s="324"/>
      <c r="R430" s="317"/>
      <c r="S430" s="320"/>
      <c r="T430" s="320"/>
      <c r="U430" s="316">
        <v>2</v>
      </c>
      <c r="V430" s="314"/>
      <c r="W430" s="315"/>
      <c r="X430" s="315"/>
      <c r="Y430" s="316">
        <v>2.2999999999999998</v>
      </c>
      <c r="Z430" s="314"/>
      <c r="AA430" s="315"/>
      <c r="AB430" s="315"/>
      <c r="AC430" s="316">
        <v>0</v>
      </c>
      <c r="AD430" s="314"/>
      <c r="AE430" s="316"/>
    </row>
    <row r="431" spans="1:31" ht="13.5" hidden="1" thickBot="1">
      <c r="A431" s="885"/>
      <c r="B431" s="885"/>
      <c r="C431" s="9" t="s">
        <v>301</v>
      </c>
      <c r="D431" s="202"/>
      <c r="E431" s="203"/>
      <c r="F431" s="201"/>
      <c r="G431" s="202"/>
      <c r="H431" s="202"/>
      <c r="I431" s="203"/>
      <c r="J431" s="201"/>
      <c r="K431" s="202"/>
      <c r="L431" s="202"/>
      <c r="M431" s="203"/>
      <c r="N431" s="322"/>
      <c r="O431" s="323"/>
      <c r="P431" s="324"/>
      <c r="Q431" s="324"/>
      <c r="R431" s="317"/>
      <c r="S431" s="320"/>
      <c r="T431" s="320"/>
      <c r="U431" s="316">
        <v>2.2000000000000002</v>
      </c>
      <c r="V431" s="314"/>
      <c r="W431" s="315"/>
      <c r="X431" s="315"/>
      <c r="Y431" s="316">
        <v>2.9</v>
      </c>
      <c r="Z431" s="314"/>
      <c r="AA431" s="315"/>
      <c r="AB431" s="315"/>
      <c r="AC431" s="316">
        <v>0</v>
      </c>
      <c r="AD431" s="314"/>
      <c r="AE431" s="316"/>
    </row>
    <row r="432" spans="1:31" ht="13.5" hidden="1" thickBot="1">
      <c r="A432" s="885"/>
      <c r="B432" s="885"/>
      <c r="C432" s="9" t="s">
        <v>302</v>
      </c>
      <c r="D432" s="202"/>
      <c r="E432" s="203"/>
      <c r="F432" s="201"/>
      <c r="G432" s="202"/>
      <c r="H432" s="202"/>
      <c r="I432" s="203"/>
      <c r="J432" s="201"/>
      <c r="K432" s="202"/>
      <c r="L432" s="202"/>
      <c r="M432" s="203"/>
      <c r="N432" s="322"/>
      <c r="O432" s="323"/>
      <c r="P432" s="324"/>
      <c r="Q432" s="324"/>
      <c r="R432" s="317"/>
      <c r="S432" s="320"/>
      <c r="T432" s="320"/>
      <c r="U432" s="316">
        <v>1.9</v>
      </c>
      <c r="V432" s="314"/>
      <c r="W432" s="315"/>
      <c r="X432" s="315"/>
      <c r="Y432" s="316">
        <v>2.4</v>
      </c>
      <c r="Z432" s="314"/>
      <c r="AA432" s="315"/>
      <c r="AB432" s="315"/>
      <c r="AC432" s="316">
        <v>0</v>
      </c>
      <c r="AD432" s="314"/>
      <c r="AE432" s="316"/>
    </row>
    <row r="433" spans="1:44" ht="24.75" hidden="1" thickBot="1">
      <c r="A433" s="885"/>
      <c r="B433" s="885"/>
      <c r="C433" s="9" t="s">
        <v>303</v>
      </c>
      <c r="D433" s="202"/>
      <c r="E433" s="203"/>
      <c r="F433" s="201"/>
      <c r="G433" s="202"/>
      <c r="H433" s="202"/>
      <c r="I433" s="203"/>
      <c r="J433" s="201"/>
      <c r="K433" s="202"/>
      <c r="L433" s="202"/>
      <c r="M433" s="203"/>
      <c r="N433" s="322"/>
      <c r="O433" s="323"/>
      <c r="P433" s="324"/>
      <c r="Q433" s="324"/>
      <c r="R433" s="317"/>
      <c r="S433" s="320"/>
      <c r="T433" s="320"/>
      <c r="U433" s="321"/>
      <c r="V433" s="325"/>
      <c r="W433" s="319" t="s">
        <v>633</v>
      </c>
      <c r="X433" s="312" t="s">
        <v>632</v>
      </c>
      <c r="Y433" s="316">
        <v>0</v>
      </c>
      <c r="Z433" s="314"/>
      <c r="AA433" s="315"/>
      <c r="AB433" s="315"/>
      <c r="AC433" s="316">
        <v>0</v>
      </c>
      <c r="AD433" s="314"/>
      <c r="AE433" s="316"/>
    </row>
    <row r="434" spans="1:44" ht="13.5" hidden="1" thickBot="1">
      <c r="A434" s="869"/>
      <c r="B434" s="869"/>
      <c r="C434" s="9" t="s">
        <v>304</v>
      </c>
      <c r="D434" s="202"/>
      <c r="E434" s="203"/>
      <c r="F434" s="201"/>
      <c r="G434" s="202"/>
      <c r="H434" s="202"/>
      <c r="I434" s="203"/>
      <c r="J434" s="201"/>
      <c r="K434" s="202"/>
      <c r="L434" s="202"/>
      <c r="M434" s="203"/>
      <c r="N434" s="322"/>
      <c r="O434" s="324"/>
      <c r="P434" s="324"/>
      <c r="Q434" s="324"/>
      <c r="R434" s="317"/>
      <c r="S434" s="320"/>
      <c r="T434" s="320"/>
      <c r="U434" s="321"/>
      <c r="V434" s="325"/>
      <c r="W434" s="319" t="s">
        <v>633</v>
      </c>
      <c r="X434" s="312" t="s">
        <v>632</v>
      </c>
      <c r="Y434" s="316">
        <v>0</v>
      </c>
      <c r="Z434" s="314"/>
      <c r="AA434" s="315"/>
      <c r="AB434" s="315"/>
      <c r="AC434" s="316">
        <v>0</v>
      </c>
      <c r="AD434" s="314"/>
      <c r="AE434" s="316"/>
    </row>
    <row r="435" spans="1:44" ht="12.95" hidden="1" customHeight="1" thickBot="1">
      <c r="A435" s="231"/>
      <c r="B435" s="231"/>
      <c r="C435" s="231"/>
      <c r="D435" s="232"/>
      <c r="E435" s="233"/>
      <c r="F435" s="234"/>
      <c r="G435" s="232"/>
      <c r="H435" s="232"/>
      <c r="I435" s="233"/>
      <c r="J435" s="234"/>
      <c r="K435" s="232"/>
      <c r="L435" s="232"/>
      <c r="M435" s="233"/>
      <c r="N435" s="328"/>
      <c r="O435" s="326"/>
      <c r="P435" s="326"/>
      <c r="Q435" s="327"/>
      <c r="R435" s="328"/>
      <c r="S435" s="326"/>
      <c r="T435" s="326"/>
      <c r="U435" s="327"/>
      <c r="V435" s="328"/>
      <c r="W435" s="326"/>
      <c r="X435" s="326"/>
      <c r="Y435" s="327"/>
      <c r="Z435" s="328"/>
      <c r="AA435" s="326"/>
      <c r="AB435" s="326"/>
      <c r="AC435" s="327"/>
      <c r="AD435" s="328"/>
      <c r="AE435" s="327"/>
    </row>
    <row r="436" spans="1:44" ht="12.95" hidden="1" customHeight="1" thickBot="1">
      <c r="A436" s="231"/>
      <c r="B436" s="231"/>
      <c r="C436" s="231"/>
      <c r="D436" s="232"/>
      <c r="E436" s="233"/>
      <c r="F436" s="234"/>
      <c r="G436" s="232"/>
      <c r="H436" s="232"/>
      <c r="I436" s="233"/>
      <c r="J436" s="234"/>
      <c r="K436" s="232"/>
      <c r="L436" s="232"/>
      <c r="M436" s="233"/>
      <c r="N436" s="328"/>
      <c r="O436" s="326"/>
      <c r="P436" s="326"/>
      <c r="Q436" s="327"/>
      <c r="R436" s="328"/>
      <c r="S436" s="326"/>
      <c r="T436" s="326"/>
      <c r="U436" s="327"/>
      <c r="V436" s="328"/>
      <c r="W436" s="326"/>
      <c r="X436" s="326"/>
      <c r="Y436" s="327"/>
      <c r="Z436" s="328"/>
      <c r="AA436" s="326"/>
      <c r="AB436" s="326"/>
      <c r="AC436" s="327"/>
      <c r="AD436" s="328"/>
      <c r="AE436" s="327"/>
    </row>
    <row r="437" spans="1:44" ht="12.95" hidden="1" customHeight="1" thickBot="1">
      <c r="A437" s="231"/>
      <c r="B437" s="231"/>
      <c r="C437" s="231"/>
      <c r="D437" s="232"/>
      <c r="E437" s="233"/>
      <c r="F437" s="234"/>
      <c r="G437" s="232"/>
      <c r="H437" s="232"/>
      <c r="I437" s="233"/>
      <c r="J437" s="234"/>
      <c r="K437" s="232"/>
      <c r="L437" s="232"/>
      <c r="M437" s="233"/>
      <c r="N437" s="328"/>
      <c r="O437" s="326"/>
      <c r="P437" s="326"/>
      <c r="Q437" s="327"/>
      <c r="R437" s="328"/>
      <c r="S437" s="326"/>
      <c r="T437" s="326"/>
      <c r="U437" s="327"/>
      <c r="V437" s="328"/>
      <c r="W437" s="326"/>
      <c r="X437" s="326"/>
      <c r="Y437" s="327"/>
      <c r="Z437" s="328"/>
      <c r="AA437" s="326"/>
      <c r="AB437" s="326"/>
      <c r="AC437" s="327"/>
      <c r="AD437" s="328"/>
      <c r="AE437" s="327"/>
    </row>
    <row r="438" spans="1:44" ht="12.95" hidden="1" customHeight="1" thickBot="1">
      <c r="A438" s="231"/>
      <c r="B438" s="231"/>
      <c r="C438" s="231"/>
      <c r="D438" s="232"/>
      <c r="E438" s="233"/>
      <c r="F438" s="234"/>
      <c r="G438" s="232"/>
      <c r="H438" s="232"/>
      <c r="I438" s="233"/>
      <c r="J438" s="234"/>
      <c r="K438" s="232"/>
      <c r="L438" s="232"/>
      <c r="M438" s="233"/>
      <c r="N438" s="328"/>
      <c r="O438" s="326"/>
      <c r="P438" s="326"/>
      <c r="Q438" s="327"/>
      <c r="R438" s="328"/>
      <c r="S438" s="326"/>
      <c r="T438" s="326"/>
      <c r="U438" s="327"/>
      <c r="V438" s="328"/>
      <c r="W438" s="326"/>
      <c r="X438" s="326"/>
      <c r="Y438" s="327"/>
      <c r="Z438" s="328"/>
      <c r="AA438" s="326"/>
      <c r="AB438" s="326"/>
      <c r="AC438" s="327"/>
      <c r="AD438" s="328"/>
      <c r="AE438" s="327"/>
    </row>
    <row r="439" spans="1:44" ht="12.95" hidden="1" customHeight="1" thickBot="1">
      <c r="A439" s="231"/>
      <c r="B439" s="231"/>
      <c r="C439" s="231"/>
      <c r="D439" s="232"/>
      <c r="E439" s="233"/>
      <c r="F439" s="234"/>
      <c r="G439" s="232"/>
      <c r="H439" s="232"/>
      <c r="I439" s="233"/>
      <c r="J439" s="234"/>
      <c r="K439" s="232"/>
      <c r="L439" s="232"/>
      <c r="M439" s="233"/>
      <c r="N439" s="328"/>
      <c r="O439" s="326"/>
      <c r="P439" s="326"/>
      <c r="Q439" s="327"/>
      <c r="R439" s="328"/>
      <c r="S439" s="326"/>
      <c r="T439" s="326"/>
      <c r="U439" s="327"/>
      <c r="V439" s="328"/>
      <c r="W439" s="326"/>
      <c r="X439" s="326"/>
      <c r="Y439" s="327"/>
      <c r="Z439" s="328"/>
      <c r="AA439" s="326"/>
      <c r="AB439" s="326"/>
      <c r="AC439" s="327"/>
      <c r="AD439" s="328"/>
      <c r="AE439" s="327"/>
    </row>
    <row r="440" spans="1:44" ht="12.95" hidden="1" customHeight="1" thickBot="1">
      <c r="A440" s="231"/>
      <c r="B440" s="231"/>
      <c r="C440" s="231"/>
      <c r="D440" s="232"/>
      <c r="E440" s="233"/>
      <c r="F440" s="234"/>
      <c r="G440" s="232"/>
      <c r="H440" s="232"/>
      <c r="I440" s="233"/>
      <c r="J440" s="234"/>
      <c r="K440" s="232"/>
      <c r="L440" s="232"/>
      <c r="M440" s="233"/>
      <c r="N440" s="328"/>
      <c r="O440" s="326"/>
      <c r="P440" s="326"/>
      <c r="Q440" s="327"/>
      <c r="R440" s="328"/>
      <c r="S440" s="326"/>
      <c r="T440" s="326"/>
      <c r="U440" s="327"/>
      <c r="V440" s="328"/>
      <c r="W440" s="326"/>
      <c r="X440" s="326"/>
      <c r="Y440" s="327"/>
      <c r="Z440" s="328"/>
      <c r="AA440" s="326"/>
      <c r="AB440" s="326"/>
      <c r="AC440" s="327"/>
      <c r="AD440" s="328"/>
      <c r="AE440" s="327"/>
    </row>
    <row r="441" spans="1:44">
      <c r="A441" s="5"/>
      <c r="B441" s="5"/>
      <c r="C441" s="6"/>
      <c r="D441" s="5"/>
      <c r="E441" s="5"/>
      <c r="F441" s="5"/>
      <c r="G441" s="5"/>
      <c r="H441" s="5"/>
      <c r="I441" s="5"/>
      <c r="J441" s="5"/>
      <c r="K441" s="5"/>
      <c r="L441" s="5"/>
      <c r="M441" s="5"/>
      <c r="N441" s="5"/>
      <c r="O441" s="5"/>
      <c r="P441" s="5"/>
      <c r="Q441" s="5"/>
      <c r="R441" s="5"/>
      <c r="S441" s="5"/>
      <c r="T441" s="5"/>
      <c r="U441" s="5"/>
      <c r="V441" s="5"/>
      <c r="W441" s="5"/>
      <c r="X441" s="5"/>
      <c r="Y441" s="5"/>
      <c r="Z441" s="5"/>
      <c r="AA441" s="5"/>
      <c r="AB441" s="5"/>
      <c r="AC441" s="5"/>
      <c r="AD441" s="5"/>
      <c r="AE441" s="5"/>
    </row>
    <row r="442" spans="1:44" ht="13.5" thickBot="1">
      <c r="A442" s="5"/>
      <c r="B442" s="5"/>
      <c r="C442" s="6"/>
      <c r="D442" s="5"/>
      <c r="E442" s="5"/>
      <c r="F442" s="5"/>
      <c r="G442" s="5"/>
      <c r="H442" s="5"/>
      <c r="I442" s="5"/>
      <c r="J442" s="5"/>
      <c r="K442" s="5"/>
      <c r="L442" s="5"/>
      <c r="M442" s="5"/>
      <c r="N442" s="5"/>
      <c r="O442" s="5"/>
      <c r="P442" s="5"/>
      <c r="Q442" s="5"/>
      <c r="R442" s="5"/>
      <c r="S442" s="5"/>
      <c r="T442" s="5"/>
      <c r="U442" s="5"/>
      <c r="V442" s="5"/>
      <c r="W442" s="5"/>
      <c r="X442" s="5"/>
      <c r="Y442" s="5"/>
      <c r="Z442" s="5"/>
      <c r="AA442" s="5"/>
      <c r="AB442" s="5"/>
      <c r="AC442" s="5"/>
      <c r="AD442" s="5"/>
      <c r="AE442" s="5"/>
      <c r="AG442" s="357" t="s">
        <v>1112</v>
      </c>
      <c r="AH442" s="416" t="s">
        <v>1109</v>
      </c>
    </row>
    <row r="443" spans="1:44" ht="12.95" customHeight="1" thickBot="1">
      <c r="A443" s="300" t="s">
        <v>28</v>
      </c>
      <c r="B443" s="299" t="s">
        <v>32</v>
      </c>
      <c r="C443" s="8"/>
      <c r="D443" s="1377">
        <v>2008</v>
      </c>
      <c r="E443" s="1378"/>
      <c r="F443" s="1372">
        <v>2009</v>
      </c>
      <c r="G443" s="1373"/>
      <c r="H443" s="1373"/>
      <c r="I443" s="1374"/>
      <c r="J443" s="1372">
        <v>2010</v>
      </c>
      <c r="K443" s="1373"/>
      <c r="L443" s="1373"/>
      <c r="M443" s="1374"/>
      <c r="N443" s="1372">
        <v>2011</v>
      </c>
      <c r="O443" s="1373"/>
      <c r="P443" s="1373"/>
      <c r="Q443" s="1374"/>
      <c r="R443" s="1372">
        <v>2012</v>
      </c>
      <c r="S443" s="1373"/>
      <c r="T443" s="1373"/>
      <c r="U443" s="1374"/>
      <c r="V443" s="1372">
        <v>2013</v>
      </c>
      <c r="W443" s="1373"/>
      <c r="X443" s="1373"/>
      <c r="Y443" s="1374"/>
      <c r="Z443" s="1372">
        <v>2014</v>
      </c>
      <c r="AA443" s="1373"/>
      <c r="AB443" s="1373"/>
      <c r="AC443" s="1374"/>
      <c r="AD443" s="1372">
        <v>2015</v>
      </c>
      <c r="AE443" s="1374"/>
      <c r="AG443" s="351" t="s">
        <v>1050</v>
      </c>
      <c r="AH443" s="660">
        <f>(SUM(AH444:AH448))/5</f>
        <v>0</v>
      </c>
      <c r="AI443" s="661">
        <f>(SUM(AI444:AI448))/5</f>
        <v>332584.69998497912</v>
      </c>
      <c r="AJ443" s="661">
        <f>(SUM(AJ444:AJ451))/8</f>
        <v>339089.44922043051</v>
      </c>
      <c r="AK443" s="661">
        <f>(SUM(AK444:AK451))/8</f>
        <v>422897.55041083251</v>
      </c>
      <c r="AL443" s="662">
        <f>(SUM(AL444:AL451))/8</f>
        <v>546788.14856361027</v>
      </c>
      <c r="AN443" s="676">
        <f>(SUM(AN444:AN448))/5</f>
        <v>0.96000000000000019</v>
      </c>
      <c r="AO443" s="677">
        <f>(SUM(AO444:AO451))/8</f>
        <v>1.5874999999999999</v>
      </c>
      <c r="AP443" s="677">
        <f>(SUM(AP444:AP451))/8</f>
        <v>1.93625</v>
      </c>
      <c r="AQ443" s="677">
        <f>(SUM(AQ444:AQ451))/8</f>
        <v>2.7324999999999999</v>
      </c>
      <c r="AR443" s="678">
        <f>(SUM(AR444:AR451))/8</f>
        <v>3.3981249999999998</v>
      </c>
    </row>
    <row r="444" spans="1:44" ht="12.95" customHeight="1" thickBot="1">
      <c r="A444" s="868" t="s">
        <v>65</v>
      </c>
      <c r="B444" s="868" t="s">
        <v>66</v>
      </c>
      <c r="C444" s="250" t="s">
        <v>649</v>
      </c>
      <c r="D444" s="245"/>
      <c r="E444" s="246"/>
      <c r="F444" s="247"/>
      <c r="G444" s="245"/>
      <c r="H444" s="245"/>
      <c r="I444" s="246"/>
      <c r="J444" s="247"/>
      <c r="K444" s="245"/>
      <c r="L444" s="245"/>
      <c r="M444" s="246"/>
      <c r="N444" s="567"/>
      <c r="O444" s="568">
        <v>64059.317515445451</v>
      </c>
      <c r="P444" s="568"/>
      <c r="Q444" s="569"/>
      <c r="R444" s="567"/>
      <c r="S444" s="568"/>
      <c r="T444" s="568"/>
      <c r="U444" s="568">
        <v>32025.085400199245</v>
      </c>
      <c r="V444" s="567"/>
      <c r="W444" s="568"/>
      <c r="X444" s="568"/>
      <c r="Y444" s="568">
        <v>23539.403152006813</v>
      </c>
      <c r="Z444" s="567"/>
      <c r="AA444" s="568"/>
      <c r="AB444" s="568"/>
      <c r="AC444" s="568">
        <v>16665.327724242423</v>
      </c>
      <c r="AD444" s="567"/>
      <c r="AE444" s="570"/>
      <c r="AG444" s="351" t="s">
        <v>756</v>
      </c>
      <c r="AH444" s="651">
        <v>0</v>
      </c>
      <c r="AI444" s="652">
        <f>O444+O467+O490+O513+O537</f>
        <v>320296.58757722727</v>
      </c>
      <c r="AJ444" s="652">
        <f>AI444+U444+U467+U490+U513+U537</f>
        <v>480422.0145782234</v>
      </c>
      <c r="AK444" s="652">
        <f>AJ444+Y444+Y467+Y490+Y513+Y537</f>
        <v>614695.28388825746</v>
      </c>
      <c r="AL444" s="653">
        <f>AK444+AC444+AC467+AC490+AC513+AC537</f>
        <v>761865.246532702</v>
      </c>
      <c r="AN444" s="664">
        <f>('State DisAgg LFx10 (2014)'!D444+'State DisAgg LFx10 (2014)'!D467+'State DisAgg LFx10 (2014)'!D490+'State DisAgg LFx10 (2014)'!D513+((('State DisAgg LFx10 (2014)'!D537/4)+('State DisAgg LFx10 (2014)'!G537/2))/2))/5</f>
        <v>0.8</v>
      </c>
      <c r="AO444" s="673">
        <f>('State DisAgg LFx10 (2014)'!H454+'State DisAgg LFx10 (2014)'!H477+'State DisAgg LFx10 (2014)'!H500+'State DisAgg LFx10 (2014)'!H523+((('State DisAgg LFx10 (2014)'!H537/4)+('State DisAgg LFx10 (2014)'!J537/2))/2))/5</f>
        <v>1.55</v>
      </c>
      <c r="AP444" s="673">
        <f>('State DisAgg LFx10 (2014)'!L454+'State DisAgg LFx10 (2014)'!L477+'State DisAgg LFx10 (2014)'!L500+'State DisAgg LFx10 (2014)'!L523+((('State DisAgg LFx10 (2014)'!L547/4)+('State DisAgg LFx10 (2014)'!N547/2))/2))/5</f>
        <v>2.1800000000000002</v>
      </c>
      <c r="AQ444" s="673">
        <f>('State DisAgg LFx10 (2014)'!P454+'State DisAgg LFx10 (2014)'!P477+'State DisAgg LFx10 (2014)'!P500+'State DisAgg LFx10 (2014)'!P523+((('State DisAgg LFx10 (2014)'!P547/4)+('State DisAgg LFx10 (2014)'!R547/2))/2))/5</f>
        <v>3.05</v>
      </c>
      <c r="AR444" s="674">
        <f>('State DisAgg LFx10 (2014)'!T454+'State DisAgg LFx10 (2014)'!T477+'State DisAgg LFx10 (2014)'!T500+'State DisAgg LFx10 (2014)'!T523+((('State DisAgg LFx10 (2014)'!T547/4)+('State DisAgg LFx10 (2014)'!V547/2))/2))/5</f>
        <v>3.1599999999999997</v>
      </c>
    </row>
    <row r="445" spans="1:44" ht="13.5" thickBot="1">
      <c r="A445" s="885"/>
      <c r="B445" s="885"/>
      <c r="C445" s="250" t="s">
        <v>650</v>
      </c>
      <c r="D445" s="245"/>
      <c r="E445" s="246"/>
      <c r="F445" s="247"/>
      <c r="G445" s="245"/>
      <c r="H445" s="245"/>
      <c r="I445" s="246"/>
      <c r="J445" s="247"/>
      <c r="K445" s="245"/>
      <c r="L445" s="245"/>
      <c r="M445" s="246"/>
      <c r="N445" s="567"/>
      <c r="O445" s="568">
        <v>57530.864730603331</v>
      </c>
      <c r="P445" s="568"/>
      <c r="Q445" s="569"/>
      <c r="R445" s="567"/>
      <c r="S445" s="568"/>
      <c r="T445" s="568"/>
      <c r="U445" s="568">
        <v>29510.828831146609</v>
      </c>
      <c r="V445" s="567"/>
      <c r="W445" s="568"/>
      <c r="X445" s="568"/>
      <c r="Y445" s="568">
        <v>19384.769642743653</v>
      </c>
      <c r="Z445" s="567"/>
      <c r="AA445" s="568"/>
      <c r="AB445" s="568"/>
      <c r="AC445" s="568">
        <v>17777.982639393944</v>
      </c>
      <c r="AD445" s="567"/>
      <c r="AE445" s="570"/>
      <c r="AG445" s="351" t="s">
        <v>757</v>
      </c>
      <c r="AH445" s="655">
        <v>0</v>
      </c>
      <c r="AI445" s="654">
        <f t="shared" ref="AI445:AI453" si="71">O445+O468+O491+O514+O538</f>
        <v>287654.32365301665</v>
      </c>
      <c r="AJ445" s="654">
        <f t="shared" ref="AJ445:AJ453" si="72">AI445+U445+U468+U491+U514+U538</f>
        <v>435208.46780874958</v>
      </c>
      <c r="AK445" s="654">
        <f t="shared" ref="AK445:AK453" si="73">AJ445+Y445+Y468+Y491+Y514+Y538</f>
        <v>535501.37707246793</v>
      </c>
      <c r="AL445" s="656">
        <f t="shared" ref="AL445:AL453" si="74">AK445+AC445+AC468+AC491+AC514+AC538</f>
        <v>636030.23466034676</v>
      </c>
      <c r="AN445" s="663">
        <f>('State DisAgg LFx10 (2014)'!D445+'State DisAgg LFx10 (2014)'!D468+'State DisAgg LFx10 (2014)'!D491+'State DisAgg LFx10 (2014)'!D514+((('State DisAgg LFx10 (2014)'!D538/4)+('State DisAgg LFx10 (2014)'!G538/2))/2))/5</f>
        <v>0.8</v>
      </c>
      <c r="AO445" s="665">
        <f>('State DisAgg LFx10 (2014)'!H455+'State DisAgg LFx10 (2014)'!H478+'State DisAgg LFx10 (2014)'!H501+'State DisAgg LFx10 (2014)'!H524+((('State DisAgg LFx10 (2014)'!H538/4)+('State DisAgg LFx10 (2014)'!J538/2))/2))/5</f>
        <v>1.72</v>
      </c>
      <c r="AP445" s="665">
        <f>('State DisAgg LFx10 (2014)'!L455+'State DisAgg LFx10 (2014)'!L478+'State DisAgg LFx10 (2014)'!L501+'State DisAgg LFx10 (2014)'!L524+((('State DisAgg LFx10 (2014)'!L548/4)+('State DisAgg LFx10 (2014)'!N548/2))/2))/5</f>
        <v>2.0550000000000002</v>
      </c>
      <c r="AQ445" s="665">
        <f>('State DisAgg LFx10 (2014)'!P455+'State DisAgg LFx10 (2014)'!P478+'State DisAgg LFx10 (2014)'!P501+'State DisAgg LFx10 (2014)'!P524+((('State DisAgg LFx10 (2014)'!P548/4)+('State DisAgg LFx10 (2014)'!R548/2))/2))/5</f>
        <v>3.2850000000000001</v>
      </c>
      <c r="AR445" s="666">
        <f>('State DisAgg LFx10 (2014)'!T455+'State DisAgg LFx10 (2014)'!T478+'State DisAgg LFx10 (2014)'!T501+'State DisAgg LFx10 (2014)'!T524+((('State DisAgg LFx10 (2014)'!T548/4)+('State DisAgg LFx10 (2014)'!V548/2))/2))/5</f>
        <v>3.9400000000000004</v>
      </c>
    </row>
    <row r="446" spans="1:44" ht="13.5" thickBot="1">
      <c r="A446" s="885"/>
      <c r="B446" s="885"/>
      <c r="C446" s="250" t="s">
        <v>651</v>
      </c>
      <c r="D446" s="245"/>
      <c r="E446" s="246"/>
      <c r="F446" s="247"/>
      <c r="G446" s="245"/>
      <c r="H446" s="245"/>
      <c r="I446" s="246"/>
      <c r="J446" s="247"/>
      <c r="K446" s="245"/>
      <c r="L446" s="245"/>
      <c r="M446" s="246"/>
      <c r="N446" s="567"/>
      <c r="O446" s="568">
        <v>62966.503423655959</v>
      </c>
      <c r="P446" s="568"/>
      <c r="Q446" s="569"/>
      <c r="R446" s="567"/>
      <c r="S446" s="568"/>
      <c r="T446" s="568"/>
      <c r="U446" s="568">
        <v>34038.900496129056</v>
      </c>
      <c r="V446" s="567"/>
      <c r="W446" s="568"/>
      <c r="X446" s="568"/>
      <c r="Y446" s="568">
        <v>22073.753241192164</v>
      </c>
      <c r="Z446" s="567"/>
      <c r="AA446" s="568"/>
      <c r="AB446" s="568"/>
      <c r="AC446" s="568">
        <v>30995.814530303032</v>
      </c>
      <c r="AD446" s="567"/>
      <c r="AE446" s="570"/>
      <c r="AG446" s="351" t="s">
        <v>758</v>
      </c>
      <c r="AH446" s="655">
        <v>0</v>
      </c>
      <c r="AI446" s="654">
        <f t="shared" si="71"/>
        <v>314832.51711827982</v>
      </c>
      <c r="AJ446" s="654">
        <f t="shared" si="72"/>
        <v>485027.01959892514</v>
      </c>
      <c r="AK446" s="654">
        <f t="shared" si="73"/>
        <v>578665.41185488587</v>
      </c>
      <c r="AL446" s="656">
        <f t="shared" si="74"/>
        <v>701118.24462256266</v>
      </c>
      <c r="AN446" s="663">
        <f>('State DisAgg LFx10 (2014)'!D446+'State DisAgg LFx10 (2014)'!D469+'State DisAgg LFx10 (2014)'!D492+'State DisAgg LFx10 (2014)'!D515+((('State DisAgg LFx10 (2014)'!D539/4)+('State DisAgg LFx10 (2014)'!G539/2))/2))/5</f>
        <v>0.8</v>
      </c>
      <c r="AO446" s="665">
        <f>('State DisAgg LFx10 (2014)'!H456+'State DisAgg LFx10 (2014)'!H479+'State DisAgg LFx10 (2014)'!H502+'State DisAgg LFx10 (2014)'!H525+((('State DisAgg LFx10 (2014)'!H539/4)+('State DisAgg LFx10 (2014)'!J539/2))/2))/5</f>
        <v>1.05</v>
      </c>
      <c r="AP446" s="665">
        <f>('State DisAgg LFx10 (2014)'!L456+'State DisAgg LFx10 (2014)'!L479+'State DisAgg LFx10 (2014)'!L502+'State DisAgg LFx10 (2014)'!L525+((('State DisAgg LFx10 (2014)'!L549/4)+('State DisAgg LFx10 (2014)'!N549/2))/2))/5</f>
        <v>1.9100000000000001</v>
      </c>
      <c r="AQ446" s="665">
        <f>('State DisAgg LFx10 (2014)'!P456+'State DisAgg LFx10 (2014)'!P479+'State DisAgg LFx10 (2014)'!P502+'State DisAgg LFx10 (2014)'!P525+((('State DisAgg LFx10 (2014)'!P549/4)+('State DisAgg LFx10 (2014)'!R549/2))/2))/5</f>
        <v>2.76</v>
      </c>
      <c r="AR446" s="666">
        <f>('State DisAgg LFx10 (2014)'!T456+'State DisAgg LFx10 (2014)'!T479+'State DisAgg LFx10 (2014)'!T502+'State DisAgg LFx10 (2014)'!T525+((('State DisAgg LFx10 (2014)'!T549/4)+('State DisAgg LFx10 (2014)'!V549/2))/2))/5</f>
        <v>3.0649999999999999</v>
      </c>
    </row>
    <row r="447" spans="1:44" ht="13.5" thickBot="1">
      <c r="A447" s="885"/>
      <c r="B447" s="885"/>
      <c r="C447" s="250" t="s">
        <v>652</v>
      </c>
      <c r="D447" s="245"/>
      <c r="E447" s="246"/>
      <c r="F447" s="247"/>
      <c r="G447" s="245"/>
      <c r="H447" s="245"/>
      <c r="I447" s="246"/>
      <c r="J447" s="247"/>
      <c r="K447" s="245"/>
      <c r="L447" s="245"/>
      <c r="M447" s="246"/>
      <c r="N447" s="567"/>
      <c r="O447" s="568">
        <v>65309.854315445438</v>
      </c>
      <c r="P447" s="568"/>
      <c r="Q447" s="569"/>
      <c r="R447" s="567"/>
      <c r="S447" s="568"/>
      <c r="T447" s="568"/>
      <c r="U447" s="568">
        <v>40784.072966865904</v>
      </c>
      <c r="V447" s="567"/>
      <c r="W447" s="568"/>
      <c r="X447" s="568"/>
      <c r="Y447" s="568">
        <v>20690.035356354638</v>
      </c>
      <c r="Z447" s="567"/>
      <c r="AA447" s="568"/>
      <c r="AB447" s="568"/>
      <c r="AC447" s="568">
        <v>24828.932257575758</v>
      </c>
      <c r="AD447" s="567"/>
      <c r="AE447" s="570"/>
      <c r="AG447" s="351" t="s">
        <v>759</v>
      </c>
      <c r="AH447" s="655">
        <v>0</v>
      </c>
      <c r="AI447" s="654">
        <f t="shared" si="71"/>
        <v>326549.27157722716</v>
      </c>
      <c r="AJ447" s="654">
        <f t="shared" si="72"/>
        <v>530469.63641155674</v>
      </c>
      <c r="AK447" s="654">
        <f t="shared" si="73"/>
        <v>631949.77799332992</v>
      </c>
      <c r="AL447" s="656">
        <f t="shared" si="74"/>
        <v>763137.84177110763</v>
      </c>
      <c r="AN447" s="663">
        <f>('State DisAgg LFx10 (2014)'!D447+'State DisAgg LFx10 (2014)'!D470+'State DisAgg LFx10 (2014)'!D493+'State DisAgg LFx10 (2014)'!D516+((('State DisAgg LFx10 (2014)'!D540/4)+('State DisAgg LFx10 (2014)'!G540/2))/2))/5</f>
        <v>1.2</v>
      </c>
      <c r="AO447" s="665">
        <f>('State DisAgg LFx10 (2014)'!H457+'State DisAgg LFx10 (2014)'!H480+'State DisAgg LFx10 (2014)'!H503+'State DisAgg LFx10 (2014)'!H526+((('State DisAgg LFx10 (2014)'!H540/4)+('State DisAgg LFx10 (2014)'!J540/2))/2))/5</f>
        <v>1.6</v>
      </c>
      <c r="AP447" s="665">
        <f>('State DisAgg LFx10 (2014)'!L457+'State DisAgg LFx10 (2014)'!L480+'State DisAgg LFx10 (2014)'!L503+'State DisAgg LFx10 (2014)'!L526+((('State DisAgg LFx10 (2014)'!L550/4)+('State DisAgg LFx10 (2014)'!N550/2))/2))/5</f>
        <v>2.145</v>
      </c>
      <c r="AQ447" s="665">
        <f>('State DisAgg LFx10 (2014)'!P457+'State DisAgg LFx10 (2014)'!P480+'State DisAgg LFx10 (2014)'!P503+'State DisAgg LFx10 (2014)'!P526+((('State DisAgg LFx10 (2014)'!P550/4)+('State DisAgg LFx10 (2014)'!R550/2))/2))/5</f>
        <v>2.77</v>
      </c>
      <c r="AR447" s="666">
        <f>('State DisAgg LFx10 (2014)'!T457+'State DisAgg LFx10 (2014)'!T480+'State DisAgg LFx10 (2014)'!T503+'State DisAgg LFx10 (2014)'!T526+((('State DisAgg LFx10 (2014)'!T550/4)+('State DisAgg LFx10 (2014)'!V550/2))/2))/5</f>
        <v>3.5649999999999999</v>
      </c>
    </row>
    <row r="448" spans="1:44" ht="13.5" thickBot="1">
      <c r="A448" s="885"/>
      <c r="B448" s="885"/>
      <c r="C448" s="250" t="s">
        <v>653</v>
      </c>
      <c r="D448" s="245"/>
      <c r="E448" s="246"/>
      <c r="F448" s="247"/>
      <c r="G448" s="245"/>
      <c r="H448" s="245"/>
      <c r="I448" s="246"/>
      <c r="J448" s="247"/>
      <c r="K448" s="245"/>
      <c r="L448" s="245"/>
      <c r="M448" s="246"/>
      <c r="N448" s="567"/>
      <c r="O448" s="568">
        <v>82718.159999828931</v>
      </c>
      <c r="P448" s="568"/>
      <c r="Q448" s="569"/>
      <c r="R448" s="567"/>
      <c r="S448" s="568"/>
      <c r="T448" s="568"/>
      <c r="U448" s="568">
        <v>34742.115387918537</v>
      </c>
      <c r="V448" s="567"/>
      <c r="W448" s="568"/>
      <c r="X448" s="568"/>
      <c r="Y448" s="568">
        <v>15033.934839878668</v>
      </c>
      <c r="Z448" s="567"/>
      <c r="AA448" s="568"/>
      <c r="AB448" s="568"/>
      <c r="AC448" s="568">
        <v>24901.468671717172</v>
      </c>
      <c r="AD448" s="567"/>
      <c r="AE448" s="570"/>
      <c r="AG448" s="351" t="s">
        <v>760</v>
      </c>
      <c r="AH448" s="655">
        <v>0</v>
      </c>
      <c r="AI448" s="654">
        <f t="shared" si="71"/>
        <v>413590.79999914463</v>
      </c>
      <c r="AJ448" s="654">
        <f t="shared" si="72"/>
        <v>587301.37693873735</v>
      </c>
      <c r="AK448" s="654">
        <f t="shared" si="73"/>
        <v>676410.87593813078</v>
      </c>
      <c r="AL448" s="656">
        <f t="shared" si="74"/>
        <v>803963.32476641366</v>
      </c>
      <c r="AN448" s="663">
        <f>('State DisAgg LFx10 (2014)'!D448+'State DisAgg LFx10 (2014)'!D471+'State DisAgg LFx10 (2014)'!D494+'State DisAgg LFx10 (2014)'!D517+((('State DisAgg LFx10 (2014)'!D541/4)+('State DisAgg LFx10 (2014)'!G541/2))/2))/5</f>
        <v>1.2</v>
      </c>
      <c r="AO448" s="665">
        <f>('State DisAgg LFx10 (2014)'!H458+'State DisAgg LFx10 (2014)'!H481+'State DisAgg LFx10 (2014)'!H504+'State DisAgg LFx10 (2014)'!H527+((('State DisAgg LFx10 (2014)'!H541/4)+('State DisAgg LFx10 (2014)'!J541/2))/2))/5</f>
        <v>2.4</v>
      </c>
      <c r="AP448" s="665">
        <f>('State DisAgg LFx10 (2014)'!L458+'State DisAgg LFx10 (2014)'!L481+'State DisAgg LFx10 (2014)'!L504+'State DisAgg LFx10 (2014)'!L527+((('State DisAgg LFx10 (2014)'!L551/4)+('State DisAgg LFx10 (2014)'!N551/2))/2))/5</f>
        <v>2.7199999999999998</v>
      </c>
      <c r="AQ448" s="665">
        <f>('State DisAgg LFx10 (2014)'!P458+'State DisAgg LFx10 (2014)'!P481+'State DisAgg LFx10 (2014)'!P504+'State DisAgg LFx10 (2014)'!P527+((('State DisAgg LFx10 (2014)'!P551/4)+('State DisAgg LFx10 (2014)'!R551/2))/2))/5</f>
        <v>3.3400000000000007</v>
      </c>
      <c r="AR448" s="666">
        <f>('State DisAgg LFx10 (2014)'!T458+'State DisAgg LFx10 (2014)'!T481+'State DisAgg LFx10 (2014)'!T504+'State DisAgg LFx10 (2014)'!T527+((('State DisAgg LFx10 (2014)'!T551/4)+('State DisAgg LFx10 (2014)'!V551/2))/2))/5</f>
        <v>3.5700000000000003</v>
      </c>
    </row>
    <row r="449" spans="1:44" ht="12.95" customHeight="1" thickBot="1">
      <c r="A449" s="885"/>
      <c r="B449" s="885"/>
      <c r="C449" s="250" t="s">
        <v>654</v>
      </c>
      <c r="D449" s="248"/>
      <c r="E449" s="249"/>
      <c r="F449" s="247"/>
      <c r="G449" s="248"/>
      <c r="H449" s="248"/>
      <c r="I449" s="249"/>
      <c r="J449" s="247"/>
      <c r="K449" s="248"/>
      <c r="L449" s="248"/>
      <c r="M449" s="249"/>
      <c r="N449" s="571"/>
      <c r="O449" s="572"/>
      <c r="P449" s="572"/>
      <c r="Q449" s="572"/>
      <c r="R449" s="567"/>
      <c r="S449" s="568"/>
      <c r="T449" s="568"/>
      <c r="U449" s="568">
        <v>12876.441237489304</v>
      </c>
      <c r="V449" s="567"/>
      <c r="W449" s="568"/>
      <c r="X449" s="568"/>
      <c r="Y449" s="568">
        <v>8483.0242038765427</v>
      </c>
      <c r="Z449" s="567"/>
      <c r="AA449" s="568"/>
      <c r="AB449" s="568"/>
      <c r="AC449" s="568">
        <v>26917.060338383839</v>
      </c>
      <c r="AD449" s="567"/>
      <c r="AE449" s="570"/>
      <c r="AG449" s="351" t="s">
        <v>761</v>
      </c>
      <c r="AH449" s="655">
        <v>0</v>
      </c>
      <c r="AI449" s="654">
        <f t="shared" si="71"/>
        <v>0</v>
      </c>
      <c r="AJ449" s="654">
        <f t="shared" si="72"/>
        <v>64382.206187446514</v>
      </c>
      <c r="AK449" s="654">
        <f t="shared" si="73"/>
        <v>106816.01200682923</v>
      </c>
      <c r="AL449" s="656">
        <f t="shared" si="74"/>
        <v>248208.55260278884</v>
      </c>
      <c r="AN449" s="663">
        <f>AO449</f>
        <v>1</v>
      </c>
      <c r="AO449" s="665">
        <f>('State DisAgg LFx10 (2014)'!H449+'State DisAgg LFx10 (2014)'!H472+'State DisAgg LFx10 (2014)'!H495+'State DisAgg LFx10 (2014)'!H518+((('State DisAgg LFx10 (2014)'!H532/4)+('State DisAgg LFx10 (2014)'!J532/2))/2))/5</f>
        <v>1</v>
      </c>
      <c r="AP449" s="665">
        <f>('State DisAgg LFx10 (2014)'!L459+'State DisAgg LFx10 (2014)'!L482+'State DisAgg LFx10 (2014)'!L505+'State DisAgg LFx10 (2014)'!L528+((('State DisAgg LFx10 (2014)'!L552/4)+('State DisAgg LFx10 (2014)'!N552/2))/2))/5</f>
        <v>1.1000000000000001</v>
      </c>
      <c r="AQ449" s="665">
        <f>('State DisAgg LFx10 (2014)'!P459+'State DisAgg LFx10 (2014)'!P482+'State DisAgg LFx10 (2014)'!P505+'State DisAgg LFx10 (2014)'!P528+((('State DisAgg LFx10 (2014)'!P552/4)+('State DisAgg LFx10 (2014)'!R552/2))/2))/5</f>
        <v>2.48</v>
      </c>
      <c r="AR449" s="666">
        <f>('State DisAgg LFx10 (2014)'!T459+'State DisAgg LFx10 (2014)'!T482+'State DisAgg LFx10 (2014)'!T505+'State DisAgg LFx10 (2014)'!T528+((('State DisAgg LFx10 (2014)'!T552/4)+('State DisAgg LFx10 (2014)'!V552/2))/2))/5</f>
        <v>3.1449999999999996</v>
      </c>
    </row>
    <row r="450" spans="1:44" ht="12.95" customHeight="1" thickBot="1">
      <c r="A450" s="885"/>
      <c r="B450" s="885"/>
      <c r="C450" s="250" t="s">
        <v>655</v>
      </c>
      <c r="D450" s="248"/>
      <c r="E450" s="249"/>
      <c r="F450" s="247"/>
      <c r="G450" s="248"/>
      <c r="H450" s="248"/>
      <c r="I450" s="249"/>
      <c r="J450" s="247"/>
      <c r="K450" s="248"/>
      <c r="L450" s="248"/>
      <c r="M450" s="249"/>
      <c r="N450" s="571"/>
      <c r="O450" s="572"/>
      <c r="P450" s="572"/>
      <c r="Q450" s="572"/>
      <c r="R450" s="567"/>
      <c r="S450" s="568"/>
      <c r="T450" s="568"/>
      <c r="U450" s="568">
        <v>12704.252373699832</v>
      </c>
      <c r="V450" s="567"/>
      <c r="W450" s="568"/>
      <c r="X450" s="568"/>
      <c r="Y450" s="568">
        <v>8540.5582904943913</v>
      </c>
      <c r="Z450" s="567"/>
      <c r="AA450" s="568"/>
      <c r="AB450" s="568"/>
      <c r="AC450" s="568">
        <v>17724.303974747476</v>
      </c>
      <c r="AD450" s="567"/>
      <c r="AE450" s="570"/>
      <c r="AG450" s="351" t="s">
        <v>762</v>
      </c>
      <c r="AH450" s="655">
        <v>0</v>
      </c>
      <c r="AI450" s="654">
        <f t="shared" si="71"/>
        <v>0</v>
      </c>
      <c r="AJ450" s="654">
        <f t="shared" si="72"/>
        <v>63521.261868499161</v>
      </c>
      <c r="AK450" s="654">
        <f t="shared" si="73"/>
        <v>106937.2181209711</v>
      </c>
      <c r="AL450" s="656">
        <f t="shared" si="74"/>
        <v>211012.98396945593</v>
      </c>
      <c r="AN450" s="663">
        <f t="shared" ref="AN450:AP453" si="75">AO450</f>
        <v>2.1</v>
      </c>
      <c r="AO450" s="665">
        <f>('State DisAgg LFx10 (2014)'!H450+'State DisAgg LFx10 (2014)'!H473+'State DisAgg LFx10 (2014)'!H496+'State DisAgg LFx10 (2014)'!H519+((('State DisAgg LFx10 (2014)'!H533/4)+('State DisAgg LFx10 (2014)'!J533/2))/2))/5</f>
        <v>2.1</v>
      </c>
      <c r="AP450" s="665">
        <f>('State DisAgg LFx10 (2014)'!L460+'State DisAgg LFx10 (2014)'!L483+'State DisAgg LFx10 (2014)'!L506+'State DisAgg LFx10 (2014)'!L529+((('State DisAgg LFx10 (2014)'!L553/4)+('State DisAgg LFx10 (2014)'!N553/2))/2))/5</f>
        <v>2.1</v>
      </c>
      <c r="AQ450" s="665">
        <f>('State DisAgg LFx10 (2014)'!P460+'State DisAgg LFx10 (2014)'!P483+'State DisAgg LFx10 (2014)'!P506+'State DisAgg LFx10 (2014)'!P529+((('State DisAgg LFx10 (2014)'!P553/4)+('State DisAgg LFx10 (2014)'!R553/2))/2))/5</f>
        <v>2.25</v>
      </c>
      <c r="AR450" s="666">
        <f>('State DisAgg LFx10 (2014)'!T460+'State DisAgg LFx10 (2014)'!T483+'State DisAgg LFx10 (2014)'!T506+'State DisAgg LFx10 (2014)'!T529+((('State DisAgg LFx10 (2014)'!T553/4)+('State DisAgg LFx10 (2014)'!V553/2))/2))/5</f>
        <v>3.6</v>
      </c>
    </row>
    <row r="451" spans="1:44" ht="12.95" customHeight="1" thickBot="1">
      <c r="A451" s="885"/>
      <c r="B451" s="885"/>
      <c r="C451" s="250" t="s">
        <v>656</v>
      </c>
      <c r="D451" s="248"/>
      <c r="E451" s="249"/>
      <c r="F451" s="247"/>
      <c r="G451" s="248"/>
      <c r="H451" s="248"/>
      <c r="I451" s="249"/>
      <c r="J451" s="247"/>
      <c r="K451" s="248"/>
      <c r="L451" s="248"/>
      <c r="M451" s="249"/>
      <c r="N451" s="571"/>
      <c r="O451" s="572"/>
      <c r="P451" s="572"/>
      <c r="Q451" s="572"/>
      <c r="R451" s="567"/>
      <c r="S451" s="568"/>
      <c r="T451" s="568"/>
      <c r="U451" s="568">
        <v>13276.722074261234</v>
      </c>
      <c r="V451" s="567"/>
      <c r="W451" s="568"/>
      <c r="X451" s="568"/>
      <c r="Y451" s="568">
        <v>8297.0438540550331</v>
      </c>
      <c r="Z451" s="567"/>
      <c r="AA451" s="568"/>
      <c r="AB451" s="568"/>
      <c r="AC451" s="568">
        <v>20056.956954545458</v>
      </c>
      <c r="AD451" s="567"/>
      <c r="AE451" s="570"/>
      <c r="AG451" s="351" t="s">
        <v>763</v>
      </c>
      <c r="AH451" s="655">
        <v>0</v>
      </c>
      <c r="AI451" s="654">
        <f t="shared" si="71"/>
        <v>0</v>
      </c>
      <c r="AJ451" s="654">
        <f t="shared" si="72"/>
        <v>66383.61037130616</v>
      </c>
      <c r="AK451" s="654">
        <f t="shared" si="73"/>
        <v>132204.44641178753</v>
      </c>
      <c r="AL451" s="656">
        <f t="shared" si="74"/>
        <v>248968.75958350473</v>
      </c>
      <c r="AN451" s="663">
        <f t="shared" si="75"/>
        <v>1.28</v>
      </c>
      <c r="AO451" s="665">
        <f>('State DisAgg LFx10 (2014)'!H451+'State DisAgg LFx10 (2014)'!H474+'State DisAgg LFx10 (2014)'!H497+'State DisAgg LFx10 (2014)'!H520+((('State DisAgg LFx10 (2014)'!H534/4)+('State DisAgg LFx10 (2014)'!J534/2))/2))/5</f>
        <v>1.28</v>
      </c>
      <c r="AP451" s="665">
        <f>('State DisAgg LFx10 (2014)'!L461+'State DisAgg LFx10 (2014)'!L484+'State DisAgg LFx10 (2014)'!L507+'State DisAgg LFx10 (2014)'!L530+((('State DisAgg LFx10 (2014)'!L554/4)+('State DisAgg LFx10 (2014)'!N554/2))/2))/5</f>
        <v>1.28</v>
      </c>
      <c r="AQ451" s="665">
        <f>('State DisAgg LFx10 (2014)'!P461+'State DisAgg LFx10 (2014)'!P484+'State DisAgg LFx10 (2014)'!P507+'State DisAgg LFx10 (2014)'!P530+((('State DisAgg LFx10 (2014)'!P554/4)+('State DisAgg LFx10 (2014)'!R554/2))/2))/5</f>
        <v>1.925</v>
      </c>
      <c r="AR451" s="666">
        <f>('State DisAgg LFx10 (2014)'!T461+'State DisAgg LFx10 (2014)'!T484+'State DisAgg LFx10 (2014)'!T507+'State DisAgg LFx10 (2014)'!T530+((('State DisAgg LFx10 (2014)'!T554/4)+('State DisAgg LFx10 (2014)'!V554/2))/2))/5</f>
        <v>3.1399999999999997</v>
      </c>
    </row>
    <row r="452" spans="1:44" ht="12.95" customHeight="1" thickBot="1">
      <c r="A452" s="885"/>
      <c r="B452" s="885"/>
      <c r="C452" s="250" t="s">
        <v>657</v>
      </c>
      <c r="D452" s="248"/>
      <c r="E452" s="249"/>
      <c r="F452" s="247"/>
      <c r="G452" s="248"/>
      <c r="H452" s="248"/>
      <c r="I452" s="249"/>
      <c r="J452" s="247"/>
      <c r="K452" s="248"/>
      <c r="L452" s="248"/>
      <c r="M452" s="249"/>
      <c r="N452" s="571"/>
      <c r="O452" s="572"/>
      <c r="P452" s="572"/>
      <c r="Q452" s="573"/>
      <c r="R452" s="571"/>
      <c r="S452" s="572"/>
      <c r="T452" s="572"/>
      <c r="U452" s="573"/>
      <c r="V452" s="571"/>
      <c r="W452" s="572"/>
      <c r="X452" s="572"/>
      <c r="Y452" s="573"/>
      <c r="Z452" s="567"/>
      <c r="AA452" s="568"/>
      <c r="AB452" s="568"/>
      <c r="AC452" s="568">
        <v>15938.95842929293</v>
      </c>
      <c r="AD452" s="567"/>
      <c r="AE452" s="570"/>
      <c r="AG452" s="351" t="s">
        <v>1098</v>
      </c>
      <c r="AH452" s="655">
        <v>0</v>
      </c>
      <c r="AI452" s="654">
        <f t="shared" si="71"/>
        <v>0</v>
      </c>
      <c r="AJ452" s="654">
        <f t="shared" si="72"/>
        <v>0</v>
      </c>
      <c r="AK452" s="654">
        <f t="shared" si="73"/>
        <v>0</v>
      </c>
      <c r="AL452" s="656">
        <f t="shared" si="74"/>
        <v>91361.735292929297</v>
      </c>
      <c r="AN452" s="663">
        <f t="shared" si="75"/>
        <v>1.02</v>
      </c>
      <c r="AO452" s="665">
        <f t="shared" si="75"/>
        <v>1.02</v>
      </c>
      <c r="AP452" s="665">
        <f t="shared" si="75"/>
        <v>1.02</v>
      </c>
      <c r="AQ452" s="665">
        <f>AR452</f>
        <v>1.02</v>
      </c>
      <c r="AR452" s="666">
        <f>('State DisAgg LFx10 (2014)'!T462+'State DisAgg LFx10 (2014)'!T485+'State DisAgg LFx10 (2014)'!T508+'State DisAgg LFx10 (2014)'!T531+((('State DisAgg LFx10 (2014)'!T555/4)+('State DisAgg LFx10 (2014)'!V555/2))/2))/5</f>
        <v>1.02</v>
      </c>
    </row>
    <row r="453" spans="1:44" ht="12.95" customHeight="1" thickBot="1">
      <c r="A453" s="885"/>
      <c r="B453" s="885"/>
      <c r="C453" s="250" t="s">
        <v>658</v>
      </c>
      <c r="D453" s="248"/>
      <c r="E453" s="249"/>
      <c r="F453" s="247"/>
      <c r="G453" s="248"/>
      <c r="H453" s="248"/>
      <c r="I453" s="249"/>
      <c r="J453" s="247"/>
      <c r="K453" s="248"/>
      <c r="L453" s="248"/>
      <c r="M453" s="249"/>
      <c r="N453" s="571"/>
      <c r="O453" s="572"/>
      <c r="P453" s="572"/>
      <c r="Q453" s="573"/>
      <c r="R453" s="571"/>
      <c r="S453" s="572"/>
      <c r="T453" s="572"/>
      <c r="U453" s="573"/>
      <c r="V453" s="571"/>
      <c r="W453" s="572"/>
      <c r="X453" s="572"/>
      <c r="Y453" s="573"/>
      <c r="Z453" s="567"/>
      <c r="AA453" s="568"/>
      <c r="AB453" s="568"/>
      <c r="AC453" s="568">
        <v>20101.175994949495</v>
      </c>
      <c r="AD453" s="567"/>
      <c r="AE453" s="570"/>
      <c r="AG453" s="351" t="s">
        <v>1099</v>
      </c>
      <c r="AH453" s="657">
        <v>0</v>
      </c>
      <c r="AI453" s="658">
        <f t="shared" si="71"/>
        <v>0</v>
      </c>
      <c r="AJ453" s="658">
        <f t="shared" si="72"/>
        <v>0</v>
      </c>
      <c r="AK453" s="658">
        <f t="shared" si="73"/>
        <v>0</v>
      </c>
      <c r="AL453" s="659">
        <f t="shared" si="74"/>
        <v>170632.78044444445</v>
      </c>
      <c r="AN453" s="667">
        <f t="shared" si="75"/>
        <v>1.19</v>
      </c>
      <c r="AO453" s="668">
        <f t="shared" si="75"/>
        <v>1.19</v>
      </c>
      <c r="AP453" s="668">
        <f t="shared" si="75"/>
        <v>1.19</v>
      </c>
      <c r="AQ453" s="668">
        <f>AR453</f>
        <v>1.19</v>
      </c>
      <c r="AR453" s="669">
        <f>('State DisAgg LFx10 (2014)'!T463+'State DisAgg LFx10 (2014)'!T486+'State DisAgg LFx10 (2014)'!T509+'State DisAgg LFx10 (2014)'!T532+((('State DisAgg LFx10 (2014)'!T556/4)+('State DisAgg LFx10 (2014)'!V556/2))/2))/5</f>
        <v>1.19</v>
      </c>
    </row>
    <row r="454" spans="1:44" ht="13.5" hidden="1" thickBot="1">
      <c r="A454" s="885"/>
      <c r="B454" s="885"/>
      <c r="C454" s="9" t="s">
        <v>295</v>
      </c>
      <c r="D454" s="241" t="s">
        <v>632</v>
      </c>
      <c r="E454" s="241" t="s">
        <v>632</v>
      </c>
      <c r="F454" s="243" t="s">
        <v>646</v>
      </c>
      <c r="G454" s="241" t="s">
        <v>646</v>
      </c>
      <c r="H454" s="241" t="s">
        <v>646</v>
      </c>
      <c r="I454" s="244" t="s">
        <v>646</v>
      </c>
      <c r="J454" s="195">
        <v>1</v>
      </c>
      <c r="K454" s="196"/>
      <c r="L454" s="196"/>
      <c r="M454" s="197"/>
      <c r="N454" s="314"/>
      <c r="O454" s="315">
        <v>1.5</v>
      </c>
      <c r="P454" s="315"/>
      <c r="Q454" s="316"/>
      <c r="R454" s="314"/>
      <c r="S454" s="315"/>
      <c r="T454" s="315"/>
      <c r="U454" s="316">
        <v>2.7</v>
      </c>
      <c r="V454" s="314"/>
      <c r="W454" s="315"/>
      <c r="X454" s="315"/>
      <c r="Y454" s="316">
        <v>2.8</v>
      </c>
      <c r="Z454" s="314"/>
      <c r="AA454" s="315"/>
      <c r="AB454" s="315"/>
      <c r="AC454" s="316">
        <v>0</v>
      </c>
      <c r="AD454" s="314"/>
      <c r="AE454" s="316"/>
    </row>
    <row r="455" spans="1:44" ht="13.5" hidden="1" thickBot="1">
      <c r="A455" s="885"/>
      <c r="B455" s="885"/>
      <c r="C455" s="9" t="s">
        <v>296</v>
      </c>
      <c r="D455" s="241" t="s">
        <v>632</v>
      </c>
      <c r="E455" s="241" t="s">
        <v>632</v>
      </c>
      <c r="F455" s="243" t="s">
        <v>646</v>
      </c>
      <c r="G455" s="241" t="s">
        <v>646</v>
      </c>
      <c r="H455" s="241" t="s">
        <v>646</v>
      </c>
      <c r="I455" s="244" t="s">
        <v>646</v>
      </c>
      <c r="J455" s="195">
        <v>1</v>
      </c>
      <c r="K455" s="196"/>
      <c r="L455" s="196"/>
      <c r="M455" s="197"/>
      <c r="N455" s="314"/>
      <c r="O455" s="315">
        <v>1.6</v>
      </c>
      <c r="P455" s="315"/>
      <c r="Q455" s="316"/>
      <c r="R455" s="314"/>
      <c r="S455" s="315"/>
      <c r="T455" s="315"/>
      <c r="U455" s="316">
        <v>2.2999999999999998</v>
      </c>
      <c r="V455" s="314"/>
      <c r="W455" s="315"/>
      <c r="X455" s="315"/>
      <c r="Y455" s="316">
        <v>3</v>
      </c>
      <c r="Z455" s="314"/>
      <c r="AA455" s="315"/>
      <c r="AB455" s="315"/>
      <c r="AC455" s="316">
        <v>0</v>
      </c>
      <c r="AD455" s="314"/>
      <c r="AE455" s="316"/>
    </row>
    <row r="456" spans="1:44" ht="13.5" hidden="1" thickBot="1">
      <c r="A456" s="885"/>
      <c r="B456" s="885"/>
      <c r="C456" s="9" t="s">
        <v>297</v>
      </c>
      <c r="D456" s="241" t="s">
        <v>632</v>
      </c>
      <c r="E456" s="241" t="s">
        <v>632</v>
      </c>
      <c r="F456" s="243" t="s">
        <v>646</v>
      </c>
      <c r="G456" s="241" t="s">
        <v>646</v>
      </c>
      <c r="H456" s="241" t="s">
        <v>646</v>
      </c>
      <c r="I456" s="244" t="s">
        <v>646</v>
      </c>
      <c r="J456" s="195">
        <v>1</v>
      </c>
      <c r="K456" s="196"/>
      <c r="L456" s="196"/>
      <c r="M456" s="197"/>
      <c r="N456" s="314"/>
      <c r="O456" s="315">
        <v>1.5</v>
      </c>
      <c r="P456" s="315"/>
      <c r="Q456" s="316"/>
      <c r="R456" s="314"/>
      <c r="S456" s="315"/>
      <c r="T456" s="315"/>
      <c r="U456" s="316">
        <v>2</v>
      </c>
      <c r="V456" s="314"/>
      <c r="W456" s="315"/>
      <c r="X456" s="315"/>
      <c r="Y456" s="316">
        <v>2.8</v>
      </c>
      <c r="Z456" s="314"/>
      <c r="AA456" s="315"/>
      <c r="AB456" s="315"/>
      <c r="AC456" s="316">
        <v>0</v>
      </c>
      <c r="AD456" s="314"/>
      <c r="AE456" s="316"/>
    </row>
    <row r="457" spans="1:44" ht="13.5" hidden="1" thickBot="1">
      <c r="A457" s="885"/>
      <c r="B457" s="885"/>
      <c r="C457" s="9" t="s">
        <v>298</v>
      </c>
      <c r="D457" s="241" t="s">
        <v>632</v>
      </c>
      <c r="E457" s="241" t="s">
        <v>632</v>
      </c>
      <c r="F457" s="243" t="s">
        <v>646</v>
      </c>
      <c r="G457" s="241" t="s">
        <v>646</v>
      </c>
      <c r="H457" s="241" t="s">
        <v>646</v>
      </c>
      <c r="I457" s="244" t="s">
        <v>646</v>
      </c>
      <c r="J457" s="195">
        <v>2</v>
      </c>
      <c r="K457" s="196"/>
      <c r="L457" s="196"/>
      <c r="M457" s="197"/>
      <c r="N457" s="314"/>
      <c r="O457" s="315">
        <v>2</v>
      </c>
      <c r="P457" s="315"/>
      <c r="Q457" s="316"/>
      <c r="R457" s="314"/>
      <c r="S457" s="315"/>
      <c r="T457" s="315"/>
      <c r="U457" s="316">
        <v>3.3</v>
      </c>
      <c r="V457" s="314"/>
      <c r="W457" s="315"/>
      <c r="X457" s="315"/>
      <c r="Y457" s="316">
        <v>3.5</v>
      </c>
      <c r="Z457" s="314"/>
      <c r="AA457" s="315"/>
      <c r="AB457" s="315"/>
      <c r="AC457" s="316">
        <v>0</v>
      </c>
      <c r="AD457" s="314"/>
      <c r="AE457" s="316"/>
    </row>
    <row r="458" spans="1:44" ht="13.5" hidden="1" thickBot="1">
      <c r="A458" s="885"/>
      <c r="B458" s="885"/>
      <c r="C458" s="9" t="s">
        <v>299</v>
      </c>
      <c r="D458" s="241" t="s">
        <v>632</v>
      </c>
      <c r="E458" s="241" t="s">
        <v>632</v>
      </c>
      <c r="F458" s="243" t="s">
        <v>646</v>
      </c>
      <c r="G458" s="241" t="s">
        <v>646</v>
      </c>
      <c r="H458" s="241" t="s">
        <v>646</v>
      </c>
      <c r="I458" s="244" t="s">
        <v>646</v>
      </c>
      <c r="J458" s="195">
        <v>1</v>
      </c>
      <c r="K458" s="196"/>
      <c r="L458" s="196"/>
      <c r="M458" s="197"/>
      <c r="N458" s="314"/>
      <c r="O458" s="315">
        <v>3</v>
      </c>
      <c r="P458" s="315"/>
      <c r="Q458" s="316"/>
      <c r="R458" s="314"/>
      <c r="S458" s="315"/>
      <c r="T458" s="315"/>
      <c r="U458" s="316">
        <v>3</v>
      </c>
      <c r="V458" s="314"/>
      <c r="W458" s="315"/>
      <c r="X458" s="315"/>
      <c r="Y458" s="316">
        <v>4</v>
      </c>
      <c r="Z458" s="314"/>
      <c r="AA458" s="315"/>
      <c r="AB458" s="315"/>
      <c r="AC458" s="316">
        <v>0</v>
      </c>
      <c r="AD458" s="314"/>
      <c r="AE458" s="316"/>
    </row>
    <row r="459" spans="1:44" ht="24.75" hidden="1" thickBot="1">
      <c r="A459" s="885"/>
      <c r="B459" s="885"/>
      <c r="C459" s="9" t="s">
        <v>300</v>
      </c>
      <c r="D459" s="199"/>
      <c r="E459" s="200"/>
      <c r="F459" s="201"/>
      <c r="G459" s="199"/>
      <c r="H459" s="199"/>
      <c r="I459" s="200"/>
      <c r="J459" s="201"/>
      <c r="K459" s="199"/>
      <c r="L459" s="199"/>
      <c r="M459" s="200"/>
      <c r="N459" s="318"/>
      <c r="O459" s="319" t="s">
        <v>634</v>
      </c>
      <c r="P459" s="312" t="s">
        <v>632</v>
      </c>
      <c r="Q459" s="313" t="s">
        <v>646</v>
      </c>
      <c r="R459" s="314">
        <v>1</v>
      </c>
      <c r="S459" s="315"/>
      <c r="T459" s="315"/>
      <c r="U459" s="316">
        <v>1</v>
      </c>
      <c r="V459" s="314"/>
      <c r="W459" s="315"/>
      <c r="X459" s="315"/>
      <c r="Y459" s="316">
        <v>3</v>
      </c>
      <c r="Z459" s="314"/>
      <c r="AA459" s="315"/>
      <c r="AB459" s="315"/>
      <c r="AC459" s="316">
        <v>0</v>
      </c>
      <c r="AD459" s="314"/>
      <c r="AE459" s="316"/>
    </row>
    <row r="460" spans="1:44" ht="13.5" hidden="1" thickBot="1">
      <c r="A460" s="885"/>
      <c r="B460" s="885"/>
      <c r="C460" s="9" t="s">
        <v>301</v>
      </c>
      <c r="D460" s="199"/>
      <c r="E460" s="200"/>
      <c r="F460" s="201"/>
      <c r="G460" s="199"/>
      <c r="H460" s="199"/>
      <c r="I460" s="200"/>
      <c r="J460" s="201"/>
      <c r="K460" s="199"/>
      <c r="L460" s="199"/>
      <c r="M460" s="200"/>
      <c r="N460" s="318"/>
      <c r="O460" s="319" t="s">
        <v>634</v>
      </c>
      <c r="P460" s="312" t="s">
        <v>632</v>
      </c>
      <c r="Q460" s="313" t="s">
        <v>646</v>
      </c>
      <c r="R460" s="314">
        <v>2.5</v>
      </c>
      <c r="S460" s="315"/>
      <c r="T460" s="315"/>
      <c r="U460" s="316">
        <v>2.5</v>
      </c>
      <c r="V460" s="314"/>
      <c r="W460" s="315"/>
      <c r="X460" s="315"/>
      <c r="Y460" s="316">
        <v>2.5</v>
      </c>
      <c r="Z460" s="314"/>
      <c r="AA460" s="315"/>
      <c r="AB460" s="315"/>
      <c r="AC460" s="316">
        <v>0</v>
      </c>
      <c r="AD460" s="314"/>
      <c r="AE460" s="316"/>
    </row>
    <row r="461" spans="1:44" ht="13.5" hidden="1" thickBot="1">
      <c r="A461" s="885"/>
      <c r="B461" s="885"/>
      <c r="C461" s="9" t="s">
        <v>302</v>
      </c>
      <c r="D461" s="199"/>
      <c r="E461" s="200"/>
      <c r="F461" s="201"/>
      <c r="G461" s="199"/>
      <c r="H461" s="199"/>
      <c r="I461" s="200"/>
      <c r="J461" s="201"/>
      <c r="K461" s="199"/>
      <c r="L461" s="199"/>
      <c r="M461" s="200"/>
      <c r="N461" s="318"/>
      <c r="O461" s="319" t="s">
        <v>634</v>
      </c>
      <c r="P461" s="312" t="s">
        <v>632</v>
      </c>
      <c r="Q461" s="313" t="s">
        <v>646</v>
      </c>
      <c r="R461" s="314">
        <v>1</v>
      </c>
      <c r="S461" s="315"/>
      <c r="T461" s="315"/>
      <c r="U461" s="316">
        <v>1</v>
      </c>
      <c r="V461" s="314"/>
      <c r="W461" s="315"/>
      <c r="X461" s="315"/>
      <c r="Y461" s="316">
        <v>2</v>
      </c>
      <c r="Z461" s="314"/>
      <c r="AA461" s="315"/>
      <c r="AB461" s="315"/>
      <c r="AC461" s="316">
        <v>0</v>
      </c>
      <c r="AD461" s="314"/>
      <c r="AE461" s="316"/>
    </row>
    <row r="462" spans="1:44" ht="24.75" hidden="1" thickBot="1">
      <c r="A462" s="885"/>
      <c r="B462" s="885"/>
      <c r="C462" s="9" t="s">
        <v>303</v>
      </c>
      <c r="D462" s="202"/>
      <c r="E462" s="203"/>
      <c r="F462" s="201"/>
      <c r="G462" s="202"/>
      <c r="H462" s="202"/>
      <c r="I462" s="203"/>
      <c r="J462" s="201"/>
      <c r="K462" s="202"/>
      <c r="L462" s="202"/>
      <c r="M462" s="203"/>
      <c r="N462" s="322"/>
      <c r="O462" s="323"/>
      <c r="P462" s="324"/>
      <c r="Q462" s="324"/>
      <c r="R462" s="317"/>
      <c r="S462" s="320"/>
      <c r="T462" s="320"/>
      <c r="U462" s="321"/>
      <c r="V462" s="325"/>
      <c r="W462" s="319" t="s">
        <v>633</v>
      </c>
      <c r="X462" s="312" t="s">
        <v>632</v>
      </c>
      <c r="Y462" s="316">
        <v>0</v>
      </c>
      <c r="Z462" s="314"/>
      <c r="AA462" s="315"/>
      <c r="AB462" s="315"/>
      <c r="AC462" s="316">
        <v>0</v>
      </c>
      <c r="AD462" s="314"/>
      <c r="AE462" s="316"/>
    </row>
    <row r="463" spans="1:44" ht="13.5" hidden="1" thickBot="1">
      <c r="A463" s="885"/>
      <c r="B463" s="885"/>
      <c r="C463" s="9" t="s">
        <v>304</v>
      </c>
      <c r="D463" s="202"/>
      <c r="E463" s="203"/>
      <c r="F463" s="201"/>
      <c r="G463" s="202"/>
      <c r="H463" s="202"/>
      <c r="I463" s="203"/>
      <c r="J463" s="201"/>
      <c r="K463" s="202"/>
      <c r="L463" s="202"/>
      <c r="M463" s="203"/>
      <c r="N463" s="322"/>
      <c r="O463" s="324"/>
      <c r="P463" s="324"/>
      <c r="Q463" s="324"/>
      <c r="R463" s="317"/>
      <c r="S463" s="320"/>
      <c r="T463" s="320"/>
      <c r="U463" s="321"/>
      <c r="V463" s="325"/>
      <c r="W463" s="319" t="s">
        <v>633</v>
      </c>
      <c r="X463" s="312" t="s">
        <v>632</v>
      </c>
      <c r="Y463" s="316">
        <v>0</v>
      </c>
      <c r="Z463" s="314"/>
      <c r="AA463" s="315"/>
      <c r="AB463" s="315"/>
      <c r="AC463" s="316">
        <v>0</v>
      </c>
      <c r="AD463" s="314"/>
      <c r="AE463" s="316"/>
    </row>
    <row r="464" spans="1:44" ht="12.95" hidden="1" customHeight="1" thickBot="1">
      <c r="A464" s="885"/>
      <c r="B464" s="298"/>
      <c r="C464" s="231"/>
      <c r="D464" s="232"/>
      <c r="E464" s="233"/>
      <c r="F464" s="234"/>
      <c r="G464" s="232"/>
      <c r="H464" s="232"/>
      <c r="I464" s="233"/>
      <c r="J464" s="234"/>
      <c r="K464" s="232"/>
      <c r="L464" s="232"/>
      <c r="M464" s="233"/>
      <c r="N464" s="328"/>
      <c r="O464" s="326"/>
      <c r="P464" s="326"/>
      <c r="Q464" s="327"/>
      <c r="R464" s="328"/>
      <c r="S464" s="326"/>
      <c r="T464" s="326"/>
      <c r="U464" s="327"/>
      <c r="V464" s="328"/>
      <c r="W464" s="326"/>
      <c r="X464" s="326"/>
      <c r="Y464" s="327"/>
      <c r="Z464" s="328"/>
      <c r="AA464" s="326"/>
      <c r="AB464" s="326"/>
      <c r="AC464" s="327"/>
      <c r="AD464" s="328"/>
      <c r="AE464" s="327"/>
    </row>
    <row r="465" spans="1:44" ht="12.95" hidden="1" customHeight="1" thickBot="1">
      <c r="A465" s="885"/>
      <c r="B465" s="298"/>
      <c r="C465" s="231"/>
      <c r="D465" s="232"/>
      <c r="E465" s="233"/>
      <c r="F465" s="234"/>
      <c r="G465" s="232"/>
      <c r="H465" s="232"/>
      <c r="I465" s="233"/>
      <c r="J465" s="234"/>
      <c r="K465" s="232"/>
      <c r="L465" s="232"/>
      <c r="M465" s="233"/>
      <c r="N465" s="328"/>
      <c r="O465" s="326"/>
      <c r="P465" s="326"/>
      <c r="Q465" s="327"/>
      <c r="R465" s="328"/>
      <c r="S465" s="326"/>
      <c r="T465" s="326"/>
      <c r="U465" s="327"/>
      <c r="V465" s="328"/>
      <c r="W465" s="326"/>
      <c r="X465" s="326"/>
      <c r="Y465" s="327"/>
      <c r="Z465" s="328"/>
      <c r="AA465" s="326"/>
      <c r="AB465" s="326"/>
      <c r="AC465" s="327"/>
      <c r="AD465" s="328"/>
      <c r="AE465" s="327"/>
    </row>
    <row r="466" spans="1:44" ht="12.95" customHeight="1" thickBot="1">
      <c r="A466" s="885"/>
      <c r="B466" s="3" t="s">
        <v>33</v>
      </c>
      <c r="C466" s="12"/>
      <c r="D466" s="1377">
        <v>2008</v>
      </c>
      <c r="E466" s="1378"/>
      <c r="F466" s="1372">
        <v>2009</v>
      </c>
      <c r="G466" s="1373"/>
      <c r="H466" s="1373"/>
      <c r="I466" s="1374"/>
      <c r="J466" s="1372">
        <v>2010</v>
      </c>
      <c r="K466" s="1373"/>
      <c r="L466" s="1373"/>
      <c r="M466" s="1374"/>
      <c r="N466" s="1372">
        <v>2011</v>
      </c>
      <c r="O466" s="1373"/>
      <c r="P466" s="1373"/>
      <c r="Q466" s="1374"/>
      <c r="R466" s="1372">
        <v>2012</v>
      </c>
      <c r="S466" s="1373"/>
      <c r="T466" s="1373"/>
      <c r="U466" s="1374"/>
      <c r="V466" s="1372">
        <v>2013</v>
      </c>
      <c r="W466" s="1373"/>
      <c r="X466" s="1373"/>
      <c r="Y466" s="1374"/>
      <c r="Z466" s="1372">
        <v>2014</v>
      </c>
      <c r="AA466" s="1373"/>
      <c r="AB466" s="1373"/>
      <c r="AC466" s="1374"/>
      <c r="AD466" s="1372">
        <v>2015</v>
      </c>
      <c r="AE466" s="1374"/>
    </row>
    <row r="467" spans="1:44" ht="13.5" thickBot="1">
      <c r="A467" s="885"/>
      <c r="B467" s="868" t="s">
        <v>67</v>
      </c>
      <c r="C467" s="250" t="s">
        <v>649</v>
      </c>
      <c r="D467" s="245"/>
      <c r="E467" s="246"/>
      <c r="F467" s="247"/>
      <c r="G467" s="245"/>
      <c r="H467" s="245"/>
      <c r="I467" s="246"/>
      <c r="J467" s="247"/>
      <c r="K467" s="245"/>
      <c r="L467" s="245"/>
      <c r="M467" s="246"/>
      <c r="N467" s="567"/>
      <c r="O467" s="568">
        <v>64059.317515445451</v>
      </c>
      <c r="P467" s="568"/>
      <c r="Q467" s="569"/>
      <c r="R467" s="567"/>
      <c r="S467" s="568"/>
      <c r="T467" s="568"/>
      <c r="U467" s="568">
        <v>32025.085400199245</v>
      </c>
      <c r="V467" s="567"/>
      <c r="W467" s="568"/>
      <c r="X467" s="568"/>
      <c r="Y467" s="568">
        <v>29927.010652006815</v>
      </c>
      <c r="Z467" s="567"/>
      <c r="AA467" s="568"/>
      <c r="AB467" s="568"/>
      <c r="AC467" s="568">
        <v>16665.327724242423</v>
      </c>
      <c r="AD467" s="567"/>
      <c r="AE467" s="570"/>
      <c r="AG467" s="351" t="s">
        <v>1124</v>
      </c>
      <c r="AH467" s="748">
        <f>SUM(AH444:AH448)/5</f>
        <v>0</v>
      </c>
      <c r="AI467" s="748">
        <f t="shared" ref="AI467:AL467" si="76">SUM(AI444:AI448)/5</f>
        <v>332584.69998497912</v>
      </c>
      <c r="AJ467" s="748">
        <f t="shared" si="76"/>
        <v>503685.70306723844</v>
      </c>
      <c r="AK467" s="748">
        <f t="shared" si="76"/>
        <v>607444.54534941446</v>
      </c>
      <c r="AL467" s="748">
        <f t="shared" si="76"/>
        <v>733222.97847062652</v>
      </c>
      <c r="AN467" s="749">
        <f t="shared" ref="AN467:AR467" si="77">SUM(AN444:AN448)/5</f>
        <v>0.96000000000000019</v>
      </c>
      <c r="AO467" s="749">
        <f t="shared" si="77"/>
        <v>1.6640000000000001</v>
      </c>
      <c r="AP467" s="749">
        <f t="shared" si="77"/>
        <v>2.2020000000000004</v>
      </c>
      <c r="AQ467" s="749">
        <f t="shared" si="77"/>
        <v>3.0409999999999995</v>
      </c>
      <c r="AR467" s="749">
        <f t="shared" si="77"/>
        <v>3.4599999999999995</v>
      </c>
    </row>
    <row r="468" spans="1:44" ht="13.5" thickBot="1">
      <c r="A468" s="885"/>
      <c r="B468" s="885"/>
      <c r="C468" s="250" t="s">
        <v>650</v>
      </c>
      <c r="D468" s="245"/>
      <c r="E468" s="246"/>
      <c r="F468" s="247"/>
      <c r="G468" s="245"/>
      <c r="H468" s="245"/>
      <c r="I468" s="246"/>
      <c r="J468" s="247"/>
      <c r="K468" s="245"/>
      <c r="L468" s="245"/>
      <c r="M468" s="246"/>
      <c r="N468" s="567"/>
      <c r="O468" s="568">
        <v>57530.864730603331</v>
      </c>
      <c r="P468" s="568"/>
      <c r="Q468" s="569"/>
      <c r="R468" s="567"/>
      <c r="S468" s="568"/>
      <c r="T468" s="568"/>
      <c r="U468" s="568">
        <v>29510.828831146609</v>
      </c>
      <c r="V468" s="567"/>
      <c r="W468" s="568"/>
      <c r="X468" s="568"/>
      <c r="Y468" s="568">
        <v>15411.572142743653</v>
      </c>
      <c r="Z468" s="567"/>
      <c r="AA468" s="568"/>
      <c r="AB468" s="568"/>
      <c r="AC468" s="568">
        <v>19946.07263939394</v>
      </c>
      <c r="AD468" s="567"/>
      <c r="AE468" s="570"/>
      <c r="AG468" s="351" t="s">
        <v>1125</v>
      </c>
      <c r="AH468" s="748">
        <f>SUM(AH449:AH451)/3</f>
        <v>0</v>
      </c>
      <c r="AI468" s="748">
        <f t="shared" ref="AI468:AL468" si="78">SUM(AI449:AI451)/3</f>
        <v>0</v>
      </c>
      <c r="AJ468" s="748">
        <f t="shared" si="78"/>
        <v>64762.359475750614</v>
      </c>
      <c r="AK468" s="748">
        <f t="shared" si="78"/>
        <v>115319.22551319595</v>
      </c>
      <c r="AL468" s="748">
        <f t="shared" si="78"/>
        <v>236063.43205191649</v>
      </c>
      <c r="AN468" s="749">
        <f t="shared" ref="AN468:AR468" si="79">SUM(AN449:AN451)/3</f>
        <v>1.46</v>
      </c>
      <c r="AO468" s="749">
        <f t="shared" si="79"/>
        <v>1.46</v>
      </c>
      <c r="AP468" s="749">
        <f t="shared" si="79"/>
        <v>1.4933333333333334</v>
      </c>
      <c r="AQ468" s="749">
        <f t="shared" si="79"/>
        <v>2.2183333333333333</v>
      </c>
      <c r="AR468" s="749">
        <f t="shared" si="79"/>
        <v>3.2949999999999995</v>
      </c>
    </row>
    <row r="469" spans="1:44" ht="13.5" thickBot="1">
      <c r="A469" s="885"/>
      <c r="B469" s="885"/>
      <c r="C469" s="250" t="s">
        <v>651</v>
      </c>
      <c r="D469" s="245"/>
      <c r="E469" s="246"/>
      <c r="F469" s="247"/>
      <c r="G469" s="245"/>
      <c r="H469" s="245"/>
      <c r="I469" s="246"/>
      <c r="J469" s="247"/>
      <c r="K469" s="245"/>
      <c r="L469" s="245"/>
      <c r="M469" s="246"/>
      <c r="N469" s="567"/>
      <c r="O469" s="568">
        <v>62966.503423655959</v>
      </c>
      <c r="P469" s="568"/>
      <c r="Q469" s="569"/>
      <c r="R469" s="567"/>
      <c r="S469" s="568"/>
      <c r="T469" s="568"/>
      <c r="U469" s="568">
        <v>34038.900496129056</v>
      </c>
      <c r="V469" s="567"/>
      <c r="W469" s="568"/>
      <c r="X469" s="568"/>
      <c r="Y469" s="568">
        <v>18941.511991192165</v>
      </c>
      <c r="Z469" s="567"/>
      <c r="AA469" s="568"/>
      <c r="AB469" s="568"/>
      <c r="AC469" s="568">
        <v>16118.364530303032</v>
      </c>
      <c r="AD469" s="567"/>
      <c r="AE469" s="570"/>
    </row>
    <row r="470" spans="1:44" ht="13.5" thickBot="1">
      <c r="A470" s="885"/>
      <c r="B470" s="885"/>
      <c r="C470" s="250" t="s">
        <v>652</v>
      </c>
      <c r="D470" s="245"/>
      <c r="E470" s="246"/>
      <c r="F470" s="247"/>
      <c r="G470" s="245"/>
      <c r="H470" s="245"/>
      <c r="I470" s="246"/>
      <c r="J470" s="247"/>
      <c r="K470" s="245"/>
      <c r="L470" s="245"/>
      <c r="M470" s="246"/>
      <c r="N470" s="567"/>
      <c r="O470" s="568">
        <v>65309.854315445438</v>
      </c>
      <c r="P470" s="568"/>
      <c r="Q470" s="569"/>
      <c r="R470" s="567"/>
      <c r="S470" s="568"/>
      <c r="T470" s="568"/>
      <c r="U470" s="568">
        <v>40784.072966865904</v>
      </c>
      <c r="V470" s="567"/>
      <c r="W470" s="568"/>
      <c r="X470" s="568"/>
      <c r="Y470" s="568">
        <v>15361.967856354639</v>
      </c>
      <c r="Z470" s="567"/>
      <c r="AA470" s="568"/>
      <c r="AB470" s="568"/>
      <c r="AC470" s="568">
        <v>20487.842257575758</v>
      </c>
      <c r="AD470" s="567"/>
      <c r="AE470" s="570"/>
    </row>
    <row r="471" spans="1:44" ht="13.5" thickBot="1">
      <c r="A471" s="885"/>
      <c r="B471" s="885"/>
      <c r="C471" s="250" t="s">
        <v>653</v>
      </c>
      <c r="D471" s="245"/>
      <c r="E471" s="246"/>
      <c r="F471" s="247"/>
      <c r="G471" s="245"/>
      <c r="H471" s="245"/>
      <c r="I471" s="246"/>
      <c r="J471" s="247"/>
      <c r="K471" s="245"/>
      <c r="L471" s="245"/>
      <c r="M471" s="246"/>
      <c r="N471" s="567"/>
      <c r="O471" s="568">
        <v>82718.159999828931</v>
      </c>
      <c r="P471" s="568"/>
      <c r="Q471" s="569"/>
      <c r="R471" s="567"/>
      <c r="S471" s="568"/>
      <c r="T471" s="568"/>
      <c r="U471" s="568">
        <v>34742.115387918537</v>
      </c>
      <c r="V471" s="567"/>
      <c r="W471" s="568"/>
      <c r="X471" s="568"/>
      <c r="Y471" s="568">
        <v>24199.767339878672</v>
      </c>
      <c r="Z471" s="567"/>
      <c r="AA471" s="568"/>
      <c r="AB471" s="568"/>
      <c r="AC471" s="568">
        <v>22799.438671717173</v>
      </c>
      <c r="AD471" s="567"/>
      <c r="AE471" s="570"/>
    </row>
    <row r="472" spans="1:44" ht="12.95" customHeight="1" thickBot="1">
      <c r="A472" s="885"/>
      <c r="B472" s="885"/>
      <c r="C472" s="250" t="s">
        <v>654</v>
      </c>
      <c r="D472" s="248"/>
      <c r="E472" s="249"/>
      <c r="F472" s="247"/>
      <c r="G472" s="248"/>
      <c r="H472" s="248"/>
      <c r="I472" s="249"/>
      <c r="J472" s="247"/>
      <c r="K472" s="248"/>
      <c r="L472" s="248"/>
      <c r="M472" s="249"/>
      <c r="N472" s="571"/>
      <c r="O472" s="572"/>
      <c r="P472" s="572"/>
      <c r="Q472" s="572"/>
      <c r="R472" s="567"/>
      <c r="S472" s="568"/>
      <c r="T472" s="568"/>
      <c r="U472" s="568">
        <v>12876.441237489304</v>
      </c>
      <c r="V472" s="567"/>
      <c r="W472" s="568"/>
      <c r="X472" s="568"/>
      <c r="Y472" s="568">
        <v>8483.0242038765427</v>
      </c>
      <c r="Z472" s="567"/>
      <c r="AA472" s="568"/>
      <c r="AB472" s="568"/>
      <c r="AC472" s="568">
        <v>43506.450338383846</v>
      </c>
      <c r="AD472" s="567"/>
      <c r="AE472" s="570"/>
    </row>
    <row r="473" spans="1:44" ht="12.95" customHeight="1" thickBot="1">
      <c r="A473" s="885"/>
      <c r="B473" s="885"/>
      <c r="C473" s="250" t="s">
        <v>655</v>
      </c>
      <c r="D473" s="248"/>
      <c r="E473" s="249"/>
      <c r="F473" s="247"/>
      <c r="G473" s="248"/>
      <c r="H473" s="248"/>
      <c r="I473" s="249"/>
      <c r="J473" s="247"/>
      <c r="K473" s="248"/>
      <c r="L473" s="248"/>
      <c r="M473" s="249"/>
      <c r="N473" s="571"/>
      <c r="O473" s="572"/>
      <c r="P473" s="572"/>
      <c r="Q473" s="572"/>
      <c r="R473" s="567"/>
      <c r="S473" s="568"/>
      <c r="T473" s="568"/>
      <c r="U473" s="568">
        <v>12704.252373699832</v>
      </c>
      <c r="V473" s="567"/>
      <c r="W473" s="568"/>
      <c r="X473" s="568"/>
      <c r="Y473" s="568">
        <v>8428.5582904943913</v>
      </c>
      <c r="Z473" s="567"/>
      <c r="AA473" s="568"/>
      <c r="AB473" s="568"/>
      <c r="AC473" s="568">
        <v>17521.083974747475</v>
      </c>
      <c r="AD473" s="567"/>
      <c r="AE473" s="570"/>
    </row>
    <row r="474" spans="1:44" ht="12.95" customHeight="1" thickBot="1">
      <c r="A474" s="885"/>
      <c r="B474" s="885"/>
      <c r="C474" s="250" t="s">
        <v>656</v>
      </c>
      <c r="D474" s="248"/>
      <c r="E474" s="249"/>
      <c r="F474" s="247"/>
      <c r="G474" s="248"/>
      <c r="H474" s="248"/>
      <c r="I474" s="249"/>
      <c r="J474" s="247"/>
      <c r="K474" s="248"/>
      <c r="L474" s="248"/>
      <c r="M474" s="249"/>
      <c r="N474" s="571"/>
      <c r="O474" s="572"/>
      <c r="P474" s="572"/>
      <c r="Q474" s="572"/>
      <c r="R474" s="567"/>
      <c r="S474" s="568"/>
      <c r="T474" s="568"/>
      <c r="U474" s="568">
        <v>13276.722074261234</v>
      </c>
      <c r="V474" s="567"/>
      <c r="W474" s="568"/>
      <c r="X474" s="568"/>
      <c r="Y474" s="568">
        <v>8297.0438540550331</v>
      </c>
      <c r="Z474" s="567"/>
      <c r="AA474" s="568"/>
      <c r="AB474" s="568"/>
      <c r="AC474" s="568">
        <v>16794.476954545455</v>
      </c>
      <c r="AD474" s="567"/>
      <c r="AE474" s="570"/>
    </row>
    <row r="475" spans="1:44" ht="12.95" customHeight="1" thickBot="1">
      <c r="A475" s="885"/>
      <c r="B475" s="885"/>
      <c r="C475" s="250" t="s">
        <v>657</v>
      </c>
      <c r="D475" s="248"/>
      <c r="E475" s="249"/>
      <c r="F475" s="247"/>
      <c r="G475" s="248"/>
      <c r="H475" s="248"/>
      <c r="I475" s="249"/>
      <c r="J475" s="247"/>
      <c r="K475" s="248"/>
      <c r="L475" s="248"/>
      <c r="M475" s="249"/>
      <c r="N475" s="571"/>
      <c r="O475" s="572"/>
      <c r="P475" s="572"/>
      <c r="Q475" s="573"/>
      <c r="R475" s="571"/>
      <c r="S475" s="572"/>
      <c r="T475" s="572"/>
      <c r="U475" s="573"/>
      <c r="V475" s="571"/>
      <c r="W475" s="572"/>
      <c r="X475" s="572"/>
      <c r="Y475" s="573"/>
      <c r="Z475" s="567"/>
      <c r="AA475" s="568"/>
      <c r="AB475" s="568"/>
      <c r="AC475" s="568">
        <v>15158.68842929293</v>
      </c>
      <c r="AD475" s="567"/>
      <c r="AE475" s="570"/>
    </row>
    <row r="476" spans="1:44" ht="12.95" customHeight="1" thickBot="1">
      <c r="A476" s="885"/>
      <c r="B476" s="885"/>
      <c r="C476" s="250" t="s">
        <v>658</v>
      </c>
      <c r="D476" s="248"/>
      <c r="E476" s="249"/>
      <c r="F476" s="247"/>
      <c r="G476" s="248"/>
      <c r="H476" s="248"/>
      <c r="I476" s="249"/>
      <c r="J476" s="247"/>
      <c r="K476" s="248"/>
      <c r="L476" s="248"/>
      <c r="M476" s="249"/>
      <c r="N476" s="571"/>
      <c r="O476" s="572"/>
      <c r="P476" s="572"/>
      <c r="Q476" s="573"/>
      <c r="R476" s="571"/>
      <c r="S476" s="572"/>
      <c r="T476" s="572"/>
      <c r="U476" s="573"/>
      <c r="V476" s="571"/>
      <c r="W476" s="572"/>
      <c r="X476" s="572"/>
      <c r="Y476" s="573"/>
      <c r="Z476" s="567"/>
      <c r="AA476" s="568"/>
      <c r="AB476" s="568"/>
      <c r="AC476" s="568">
        <v>27691.175994949495</v>
      </c>
      <c r="AD476" s="567"/>
      <c r="AE476" s="570"/>
    </row>
    <row r="477" spans="1:44" ht="13.5" hidden="1" thickBot="1">
      <c r="A477" s="885"/>
      <c r="B477" s="885"/>
      <c r="C477" s="9" t="s">
        <v>295</v>
      </c>
      <c r="D477" s="241" t="s">
        <v>632</v>
      </c>
      <c r="E477" s="241" t="s">
        <v>632</v>
      </c>
      <c r="F477" s="243" t="s">
        <v>646</v>
      </c>
      <c r="G477" s="241" t="s">
        <v>646</v>
      </c>
      <c r="H477" s="241" t="s">
        <v>646</v>
      </c>
      <c r="I477" s="244" t="s">
        <v>646</v>
      </c>
      <c r="J477" s="195">
        <v>1</v>
      </c>
      <c r="K477" s="196"/>
      <c r="L477" s="196"/>
      <c r="M477" s="197"/>
      <c r="N477" s="314"/>
      <c r="O477" s="315">
        <v>1.5</v>
      </c>
      <c r="P477" s="315"/>
      <c r="Q477" s="316"/>
      <c r="R477" s="314"/>
      <c r="S477" s="315"/>
      <c r="T477" s="315"/>
      <c r="U477" s="316">
        <v>3.3</v>
      </c>
      <c r="V477" s="314"/>
      <c r="W477" s="315"/>
      <c r="X477" s="315"/>
      <c r="Y477" s="316">
        <v>4.3</v>
      </c>
      <c r="Z477" s="314"/>
      <c r="AA477" s="315"/>
      <c r="AB477" s="315"/>
      <c r="AC477" s="316">
        <v>0</v>
      </c>
      <c r="AD477" s="314"/>
      <c r="AE477" s="316"/>
    </row>
    <row r="478" spans="1:44" ht="13.5" hidden="1" thickBot="1">
      <c r="A478" s="885"/>
      <c r="B478" s="885"/>
      <c r="C478" s="9" t="s">
        <v>296</v>
      </c>
      <c r="D478" s="241" t="s">
        <v>632</v>
      </c>
      <c r="E478" s="241" t="s">
        <v>632</v>
      </c>
      <c r="F478" s="243" t="s">
        <v>646</v>
      </c>
      <c r="G478" s="241" t="s">
        <v>646</v>
      </c>
      <c r="H478" s="241" t="s">
        <v>646</v>
      </c>
      <c r="I478" s="244" t="s">
        <v>646</v>
      </c>
      <c r="J478" s="195">
        <v>1</v>
      </c>
      <c r="K478" s="196"/>
      <c r="L478" s="196"/>
      <c r="M478" s="197"/>
      <c r="N478" s="314"/>
      <c r="O478" s="315">
        <v>2.8</v>
      </c>
      <c r="P478" s="315"/>
      <c r="Q478" s="316"/>
      <c r="R478" s="314"/>
      <c r="S478" s="315"/>
      <c r="T478" s="315"/>
      <c r="U478" s="316">
        <v>2</v>
      </c>
      <c r="V478" s="314"/>
      <c r="W478" s="315"/>
      <c r="X478" s="315"/>
      <c r="Y478" s="316">
        <v>4.3</v>
      </c>
      <c r="Z478" s="314"/>
      <c r="AA478" s="315"/>
      <c r="AB478" s="315"/>
      <c r="AC478" s="316">
        <v>0</v>
      </c>
      <c r="AD478" s="314"/>
      <c r="AE478" s="316"/>
    </row>
    <row r="479" spans="1:44" ht="13.5" hidden="1" thickBot="1">
      <c r="A479" s="885"/>
      <c r="B479" s="885"/>
      <c r="C479" s="9" t="s">
        <v>297</v>
      </c>
      <c r="D479" s="241" t="s">
        <v>632</v>
      </c>
      <c r="E479" s="241" t="s">
        <v>632</v>
      </c>
      <c r="F479" s="243" t="s">
        <v>646</v>
      </c>
      <c r="G479" s="241" t="s">
        <v>646</v>
      </c>
      <c r="H479" s="241" t="s">
        <v>646</v>
      </c>
      <c r="I479" s="244" t="s">
        <v>646</v>
      </c>
      <c r="J479" s="195">
        <v>1</v>
      </c>
      <c r="K479" s="196"/>
      <c r="L479" s="196"/>
      <c r="M479" s="197"/>
      <c r="N479" s="314"/>
      <c r="O479" s="315">
        <v>1</v>
      </c>
      <c r="P479" s="315"/>
      <c r="Q479" s="316"/>
      <c r="R479" s="314"/>
      <c r="S479" s="315"/>
      <c r="T479" s="315"/>
      <c r="U479" s="316">
        <v>2</v>
      </c>
      <c r="V479" s="314"/>
      <c r="W479" s="315"/>
      <c r="X479" s="315"/>
      <c r="Y479" s="316">
        <v>2.8</v>
      </c>
      <c r="Z479" s="314"/>
      <c r="AA479" s="315"/>
      <c r="AB479" s="315"/>
      <c r="AC479" s="316">
        <v>0</v>
      </c>
      <c r="AD479" s="314"/>
      <c r="AE479" s="316"/>
    </row>
    <row r="480" spans="1:44" ht="13.5" hidden="1" thickBot="1">
      <c r="A480" s="885"/>
      <c r="B480" s="885"/>
      <c r="C480" s="9" t="s">
        <v>298</v>
      </c>
      <c r="D480" s="241" t="s">
        <v>632</v>
      </c>
      <c r="E480" s="241" t="s">
        <v>632</v>
      </c>
      <c r="F480" s="243" t="s">
        <v>646</v>
      </c>
      <c r="G480" s="241" t="s">
        <v>646</v>
      </c>
      <c r="H480" s="241" t="s">
        <v>646</v>
      </c>
      <c r="I480" s="244" t="s">
        <v>646</v>
      </c>
      <c r="J480" s="195">
        <v>2</v>
      </c>
      <c r="K480" s="196"/>
      <c r="L480" s="196"/>
      <c r="M480" s="197"/>
      <c r="N480" s="314"/>
      <c r="O480" s="315">
        <v>1</v>
      </c>
      <c r="P480" s="315"/>
      <c r="Q480" s="316"/>
      <c r="R480" s="314"/>
      <c r="S480" s="315"/>
      <c r="T480" s="315"/>
      <c r="U480" s="316">
        <v>2.7</v>
      </c>
      <c r="V480" s="314"/>
      <c r="W480" s="315"/>
      <c r="X480" s="315"/>
      <c r="Y480" s="316">
        <v>3.5</v>
      </c>
      <c r="Z480" s="314"/>
      <c r="AA480" s="315"/>
      <c r="AB480" s="315"/>
      <c r="AC480" s="316">
        <v>0</v>
      </c>
      <c r="AD480" s="314"/>
      <c r="AE480" s="316"/>
    </row>
    <row r="481" spans="1:31" ht="13.5" hidden="1" thickBot="1">
      <c r="A481" s="885"/>
      <c r="B481" s="885"/>
      <c r="C481" s="9" t="s">
        <v>299</v>
      </c>
      <c r="D481" s="241" t="s">
        <v>632</v>
      </c>
      <c r="E481" s="241" t="s">
        <v>632</v>
      </c>
      <c r="F481" s="243" t="s">
        <v>646</v>
      </c>
      <c r="G481" s="241" t="s">
        <v>646</v>
      </c>
      <c r="H481" s="241" t="s">
        <v>646</v>
      </c>
      <c r="I481" s="244" t="s">
        <v>646</v>
      </c>
      <c r="J481" s="195">
        <v>1</v>
      </c>
      <c r="K481" s="196"/>
      <c r="L481" s="196"/>
      <c r="M481" s="197"/>
      <c r="N481" s="314"/>
      <c r="O481" s="315">
        <v>3</v>
      </c>
      <c r="P481" s="315"/>
      <c r="Q481" s="316"/>
      <c r="R481" s="314"/>
      <c r="S481" s="315"/>
      <c r="T481" s="315"/>
      <c r="U481" s="316">
        <v>3.3</v>
      </c>
      <c r="V481" s="314"/>
      <c r="W481" s="315"/>
      <c r="X481" s="315"/>
      <c r="Y481" s="316">
        <v>3.3</v>
      </c>
      <c r="Z481" s="314"/>
      <c r="AA481" s="315"/>
      <c r="AB481" s="315"/>
      <c r="AC481" s="316">
        <v>0</v>
      </c>
      <c r="AD481" s="314"/>
      <c r="AE481" s="316"/>
    </row>
    <row r="482" spans="1:31" ht="24.75" hidden="1" thickBot="1">
      <c r="A482" s="885"/>
      <c r="B482" s="885"/>
      <c r="C482" s="9" t="s">
        <v>300</v>
      </c>
      <c r="D482" s="199"/>
      <c r="E482" s="200"/>
      <c r="F482" s="201"/>
      <c r="G482" s="199"/>
      <c r="H482" s="199"/>
      <c r="I482" s="200"/>
      <c r="J482" s="201"/>
      <c r="K482" s="199"/>
      <c r="L482" s="199"/>
      <c r="M482" s="200"/>
      <c r="N482" s="318"/>
      <c r="O482" s="319" t="s">
        <v>634</v>
      </c>
      <c r="P482" s="312" t="s">
        <v>632</v>
      </c>
      <c r="Q482" s="313" t="s">
        <v>646</v>
      </c>
      <c r="R482" s="314">
        <v>2</v>
      </c>
      <c r="S482" s="315"/>
      <c r="T482" s="315"/>
      <c r="U482" s="316">
        <v>2</v>
      </c>
      <c r="V482" s="314"/>
      <c r="W482" s="315"/>
      <c r="X482" s="315"/>
      <c r="Y482" s="316">
        <v>3.3</v>
      </c>
      <c r="Z482" s="314"/>
      <c r="AA482" s="315"/>
      <c r="AB482" s="315"/>
      <c r="AC482" s="316">
        <v>0</v>
      </c>
      <c r="AD482" s="314"/>
      <c r="AE482" s="316"/>
    </row>
    <row r="483" spans="1:31" ht="13.5" hidden="1" thickBot="1">
      <c r="A483" s="885"/>
      <c r="B483" s="885"/>
      <c r="C483" s="9" t="s">
        <v>301</v>
      </c>
      <c r="D483" s="199"/>
      <c r="E483" s="200"/>
      <c r="F483" s="201"/>
      <c r="G483" s="199"/>
      <c r="H483" s="199"/>
      <c r="I483" s="200"/>
      <c r="J483" s="201"/>
      <c r="K483" s="199"/>
      <c r="L483" s="199"/>
      <c r="M483" s="200"/>
      <c r="N483" s="318"/>
      <c r="O483" s="319" t="s">
        <v>634</v>
      </c>
      <c r="P483" s="312" t="s">
        <v>632</v>
      </c>
      <c r="Q483" s="313" t="s">
        <v>646</v>
      </c>
      <c r="R483" s="314">
        <v>3.7</v>
      </c>
      <c r="S483" s="315"/>
      <c r="T483" s="315"/>
      <c r="U483" s="316">
        <v>3.7</v>
      </c>
      <c r="V483" s="314"/>
      <c r="W483" s="315"/>
      <c r="X483" s="315"/>
      <c r="Y483" s="316">
        <v>4.2</v>
      </c>
      <c r="Z483" s="314"/>
      <c r="AA483" s="315"/>
      <c r="AB483" s="315"/>
      <c r="AC483" s="316">
        <v>0</v>
      </c>
      <c r="AD483" s="314"/>
      <c r="AE483" s="316"/>
    </row>
    <row r="484" spans="1:31" ht="13.5" hidden="1" thickBot="1">
      <c r="A484" s="885"/>
      <c r="B484" s="885"/>
      <c r="C484" s="9" t="s">
        <v>302</v>
      </c>
      <c r="D484" s="199"/>
      <c r="E484" s="200"/>
      <c r="F484" s="201"/>
      <c r="G484" s="199"/>
      <c r="H484" s="199"/>
      <c r="I484" s="200"/>
      <c r="J484" s="201"/>
      <c r="K484" s="199"/>
      <c r="L484" s="199"/>
      <c r="M484" s="200"/>
      <c r="N484" s="318"/>
      <c r="O484" s="319" t="s">
        <v>634</v>
      </c>
      <c r="P484" s="312" t="s">
        <v>632</v>
      </c>
      <c r="Q484" s="313" t="s">
        <v>646</v>
      </c>
      <c r="R484" s="314">
        <v>1.7</v>
      </c>
      <c r="S484" s="315"/>
      <c r="T484" s="315"/>
      <c r="U484" s="316">
        <v>1.7</v>
      </c>
      <c r="V484" s="314"/>
      <c r="W484" s="315"/>
      <c r="X484" s="315"/>
      <c r="Y484" s="316">
        <v>2.2999999999999998</v>
      </c>
      <c r="Z484" s="314"/>
      <c r="AA484" s="315"/>
      <c r="AB484" s="315"/>
      <c r="AC484" s="316">
        <v>0</v>
      </c>
      <c r="AD484" s="314"/>
      <c r="AE484" s="316"/>
    </row>
    <row r="485" spans="1:31" ht="24.75" hidden="1" thickBot="1">
      <c r="A485" s="885"/>
      <c r="B485" s="885"/>
      <c r="C485" s="9" t="s">
        <v>303</v>
      </c>
      <c r="D485" s="202"/>
      <c r="E485" s="203"/>
      <c r="F485" s="201"/>
      <c r="G485" s="202"/>
      <c r="H485" s="202"/>
      <c r="I485" s="203"/>
      <c r="J485" s="201"/>
      <c r="K485" s="202"/>
      <c r="L485" s="202"/>
      <c r="M485" s="203"/>
      <c r="N485" s="322"/>
      <c r="O485" s="323"/>
      <c r="P485" s="324"/>
      <c r="Q485" s="324"/>
      <c r="R485" s="317"/>
      <c r="S485" s="320"/>
      <c r="T485" s="320"/>
      <c r="U485" s="321"/>
      <c r="V485" s="325"/>
      <c r="W485" s="319" t="s">
        <v>633</v>
      </c>
      <c r="X485" s="312" t="s">
        <v>632</v>
      </c>
      <c r="Y485" s="316">
        <v>0</v>
      </c>
      <c r="Z485" s="314"/>
      <c r="AA485" s="315"/>
      <c r="AB485" s="315"/>
      <c r="AC485" s="316">
        <v>0</v>
      </c>
      <c r="AD485" s="314"/>
      <c r="AE485" s="316"/>
    </row>
    <row r="486" spans="1:31" ht="13.5" hidden="1" thickBot="1">
      <c r="A486" s="885"/>
      <c r="B486" s="885"/>
      <c r="C486" s="9" t="s">
        <v>304</v>
      </c>
      <c r="D486" s="202"/>
      <c r="E486" s="203"/>
      <c r="F486" s="201"/>
      <c r="G486" s="202"/>
      <c r="H486" s="202"/>
      <c r="I486" s="203"/>
      <c r="J486" s="201"/>
      <c r="K486" s="202"/>
      <c r="L486" s="202"/>
      <c r="M486" s="203"/>
      <c r="N486" s="322"/>
      <c r="O486" s="324"/>
      <c r="P486" s="324"/>
      <c r="Q486" s="324"/>
      <c r="R486" s="317"/>
      <c r="S486" s="320"/>
      <c r="T486" s="320"/>
      <c r="U486" s="321"/>
      <c r="V486" s="325"/>
      <c r="W486" s="319" t="s">
        <v>633</v>
      </c>
      <c r="X486" s="312" t="s">
        <v>632</v>
      </c>
      <c r="Y486" s="316">
        <v>0</v>
      </c>
      <c r="Z486" s="314"/>
      <c r="AA486" s="315"/>
      <c r="AB486" s="315"/>
      <c r="AC486" s="316">
        <v>0</v>
      </c>
      <c r="AD486" s="314"/>
      <c r="AE486" s="316"/>
    </row>
    <row r="487" spans="1:31" ht="12.95" hidden="1" customHeight="1" thickBot="1">
      <c r="A487" s="885"/>
      <c r="B487" s="298"/>
      <c r="C487" s="231"/>
      <c r="D487" s="232"/>
      <c r="E487" s="233"/>
      <c r="F487" s="234"/>
      <c r="G487" s="232"/>
      <c r="H487" s="232"/>
      <c r="I487" s="233"/>
      <c r="J487" s="234"/>
      <c r="K487" s="232"/>
      <c r="L487" s="232"/>
      <c r="M487" s="233"/>
      <c r="N487" s="328"/>
      <c r="O487" s="326"/>
      <c r="P487" s="326"/>
      <c r="Q487" s="327"/>
      <c r="R487" s="328"/>
      <c r="S487" s="326"/>
      <c r="T487" s="326"/>
      <c r="U487" s="327"/>
      <c r="V487" s="328"/>
      <c r="W487" s="326"/>
      <c r="X487" s="326"/>
      <c r="Y487" s="327"/>
      <c r="Z487" s="328"/>
      <c r="AA487" s="326"/>
      <c r="AB487" s="326"/>
      <c r="AC487" s="327"/>
      <c r="AD487" s="328"/>
      <c r="AE487" s="327"/>
    </row>
    <row r="488" spans="1:31" ht="12.95" hidden="1" customHeight="1" thickBot="1">
      <c r="A488" s="885"/>
      <c r="B488" s="298"/>
      <c r="C488" s="231"/>
      <c r="D488" s="232"/>
      <c r="E488" s="233"/>
      <c r="F488" s="234"/>
      <c r="G488" s="232"/>
      <c r="H488" s="232"/>
      <c r="I488" s="233"/>
      <c r="J488" s="234"/>
      <c r="K488" s="232"/>
      <c r="L488" s="232"/>
      <c r="M488" s="233"/>
      <c r="N488" s="328"/>
      <c r="O488" s="326"/>
      <c r="P488" s="326"/>
      <c r="Q488" s="327"/>
      <c r="R488" s="328"/>
      <c r="S488" s="326"/>
      <c r="T488" s="326"/>
      <c r="U488" s="327"/>
      <c r="V488" s="328"/>
      <c r="W488" s="326"/>
      <c r="X488" s="326"/>
      <c r="Y488" s="327"/>
      <c r="Z488" s="328"/>
      <c r="AA488" s="326"/>
      <c r="AB488" s="326"/>
      <c r="AC488" s="327"/>
      <c r="AD488" s="328"/>
      <c r="AE488" s="327"/>
    </row>
    <row r="489" spans="1:31" ht="12.95" customHeight="1" thickBot="1">
      <c r="A489" s="885"/>
      <c r="B489" s="3" t="s">
        <v>34</v>
      </c>
      <c r="C489" s="12"/>
      <c r="D489" s="1377">
        <v>2008</v>
      </c>
      <c r="E489" s="1378"/>
      <c r="F489" s="1372">
        <v>2009</v>
      </c>
      <c r="G489" s="1373"/>
      <c r="H489" s="1373"/>
      <c r="I489" s="1374"/>
      <c r="J489" s="1372">
        <v>2010</v>
      </c>
      <c r="K489" s="1373"/>
      <c r="L489" s="1373"/>
      <c r="M489" s="1374"/>
      <c r="N489" s="1372">
        <v>2011</v>
      </c>
      <c r="O489" s="1373"/>
      <c r="P489" s="1373"/>
      <c r="Q489" s="1374"/>
      <c r="R489" s="1372">
        <v>2012</v>
      </c>
      <c r="S489" s="1373"/>
      <c r="T489" s="1373"/>
      <c r="U489" s="1374"/>
      <c r="V489" s="1372">
        <v>2013</v>
      </c>
      <c r="W489" s="1373"/>
      <c r="X489" s="1373"/>
      <c r="Y489" s="1374"/>
      <c r="Z489" s="1372">
        <v>2014</v>
      </c>
      <c r="AA489" s="1373"/>
      <c r="AB489" s="1373"/>
      <c r="AC489" s="1374"/>
      <c r="AD489" s="1372">
        <v>2015</v>
      </c>
      <c r="AE489" s="1374"/>
    </row>
    <row r="490" spans="1:31" ht="13.5" thickBot="1">
      <c r="A490" s="885"/>
      <c r="B490" s="868" t="s">
        <v>68</v>
      </c>
      <c r="C490" s="250" t="s">
        <v>649</v>
      </c>
      <c r="D490" s="245"/>
      <c r="E490" s="246"/>
      <c r="F490" s="247"/>
      <c r="G490" s="245"/>
      <c r="H490" s="245"/>
      <c r="I490" s="246"/>
      <c r="J490" s="247"/>
      <c r="K490" s="245"/>
      <c r="L490" s="245"/>
      <c r="M490" s="246"/>
      <c r="N490" s="567"/>
      <c r="O490" s="568">
        <v>64059.317515445451</v>
      </c>
      <c r="P490" s="568"/>
      <c r="Q490" s="569"/>
      <c r="R490" s="567"/>
      <c r="S490" s="568"/>
      <c r="T490" s="568"/>
      <c r="U490" s="568">
        <v>32025.085400199245</v>
      </c>
      <c r="V490" s="567"/>
      <c r="W490" s="568"/>
      <c r="X490" s="568"/>
      <c r="Y490" s="568">
        <v>16286.143152006814</v>
      </c>
      <c r="Z490" s="567"/>
      <c r="AA490" s="568"/>
      <c r="AB490" s="568"/>
      <c r="AC490" s="568">
        <v>20179.437724242423</v>
      </c>
      <c r="AD490" s="567"/>
      <c r="AE490" s="570"/>
    </row>
    <row r="491" spans="1:31" ht="13.5" thickBot="1">
      <c r="A491" s="885"/>
      <c r="B491" s="885"/>
      <c r="C491" s="250" t="s">
        <v>650</v>
      </c>
      <c r="D491" s="245"/>
      <c r="E491" s="246"/>
      <c r="F491" s="247"/>
      <c r="G491" s="245"/>
      <c r="H491" s="245"/>
      <c r="I491" s="246"/>
      <c r="J491" s="247"/>
      <c r="K491" s="245"/>
      <c r="L491" s="245"/>
      <c r="M491" s="246"/>
      <c r="N491" s="567"/>
      <c r="O491" s="568">
        <v>57530.864730603331</v>
      </c>
      <c r="P491" s="568"/>
      <c r="Q491" s="569"/>
      <c r="R491" s="567"/>
      <c r="S491" s="568"/>
      <c r="T491" s="568"/>
      <c r="U491" s="568">
        <v>29510.828831146609</v>
      </c>
      <c r="V491" s="567"/>
      <c r="W491" s="568"/>
      <c r="X491" s="568"/>
      <c r="Y491" s="568">
        <v>15590.790892743653</v>
      </c>
      <c r="Z491" s="567"/>
      <c r="AA491" s="568"/>
      <c r="AB491" s="568"/>
      <c r="AC491" s="568">
        <v>17014.772639393941</v>
      </c>
      <c r="AD491" s="567"/>
      <c r="AE491" s="570"/>
    </row>
    <row r="492" spans="1:31" ht="13.5" thickBot="1">
      <c r="A492" s="885"/>
      <c r="B492" s="885"/>
      <c r="C492" s="250" t="s">
        <v>651</v>
      </c>
      <c r="D492" s="245"/>
      <c r="E492" s="246"/>
      <c r="F492" s="247"/>
      <c r="G492" s="245"/>
      <c r="H492" s="245"/>
      <c r="I492" s="246"/>
      <c r="J492" s="247"/>
      <c r="K492" s="245"/>
      <c r="L492" s="245"/>
      <c r="M492" s="246"/>
      <c r="N492" s="567"/>
      <c r="O492" s="568">
        <v>62966.503423655959</v>
      </c>
      <c r="P492" s="568"/>
      <c r="Q492" s="569"/>
      <c r="R492" s="567"/>
      <c r="S492" s="568"/>
      <c r="T492" s="568"/>
      <c r="U492" s="568">
        <v>34038.900496129056</v>
      </c>
      <c r="V492" s="567"/>
      <c r="W492" s="568"/>
      <c r="X492" s="568"/>
      <c r="Y492" s="568">
        <v>15146.641991192166</v>
      </c>
      <c r="Z492" s="567"/>
      <c r="AA492" s="568"/>
      <c r="AB492" s="568"/>
      <c r="AC492" s="568">
        <v>17522.39453030303</v>
      </c>
      <c r="AD492" s="567"/>
      <c r="AE492" s="570"/>
    </row>
    <row r="493" spans="1:31" ht="13.5" thickBot="1">
      <c r="A493" s="885"/>
      <c r="B493" s="885"/>
      <c r="C493" s="250" t="s">
        <v>652</v>
      </c>
      <c r="D493" s="245"/>
      <c r="E493" s="246"/>
      <c r="F493" s="247"/>
      <c r="G493" s="245"/>
      <c r="H493" s="245"/>
      <c r="I493" s="246"/>
      <c r="J493" s="247"/>
      <c r="K493" s="245"/>
      <c r="L493" s="245"/>
      <c r="M493" s="246"/>
      <c r="N493" s="567"/>
      <c r="O493" s="568">
        <v>65309.854315445438</v>
      </c>
      <c r="P493" s="568"/>
      <c r="Q493" s="569"/>
      <c r="R493" s="567"/>
      <c r="S493" s="568"/>
      <c r="T493" s="568"/>
      <c r="U493" s="568">
        <v>40784.072966865904</v>
      </c>
      <c r="V493" s="567"/>
      <c r="W493" s="568"/>
      <c r="X493" s="568"/>
      <c r="Y493" s="568">
        <v>15271.730356354639</v>
      </c>
      <c r="Z493" s="567"/>
      <c r="AA493" s="568"/>
      <c r="AB493" s="568"/>
      <c r="AC493" s="568">
        <v>17705.612257575758</v>
      </c>
      <c r="AD493" s="567"/>
      <c r="AE493" s="570"/>
    </row>
    <row r="494" spans="1:31" ht="13.5" thickBot="1">
      <c r="A494" s="885"/>
      <c r="B494" s="885"/>
      <c r="C494" s="250" t="s">
        <v>653</v>
      </c>
      <c r="D494" s="245"/>
      <c r="E494" s="246"/>
      <c r="F494" s="247"/>
      <c r="G494" s="245"/>
      <c r="H494" s="245"/>
      <c r="I494" s="246"/>
      <c r="J494" s="247"/>
      <c r="K494" s="245"/>
      <c r="L494" s="245"/>
      <c r="M494" s="246"/>
      <c r="N494" s="567"/>
      <c r="O494" s="568">
        <v>82718.159999828931</v>
      </c>
      <c r="P494" s="568"/>
      <c r="Q494" s="569"/>
      <c r="R494" s="567"/>
      <c r="S494" s="568"/>
      <c r="T494" s="568"/>
      <c r="U494" s="568">
        <v>34742.115387918537</v>
      </c>
      <c r="V494" s="567"/>
      <c r="W494" s="568"/>
      <c r="X494" s="568"/>
      <c r="Y494" s="568">
        <v>15044.197339878669</v>
      </c>
      <c r="Z494" s="567"/>
      <c r="AA494" s="568"/>
      <c r="AB494" s="568"/>
      <c r="AC494" s="568">
        <v>24106.058671717175</v>
      </c>
      <c r="AD494" s="567"/>
      <c r="AE494" s="570"/>
    </row>
    <row r="495" spans="1:31" ht="12.95" customHeight="1" thickBot="1">
      <c r="A495" s="885"/>
      <c r="B495" s="885"/>
      <c r="C495" s="250" t="s">
        <v>654</v>
      </c>
      <c r="D495" s="248"/>
      <c r="E495" s="249"/>
      <c r="F495" s="247"/>
      <c r="G495" s="248"/>
      <c r="H495" s="248"/>
      <c r="I495" s="249"/>
      <c r="J495" s="247"/>
      <c r="K495" s="248"/>
      <c r="L495" s="248"/>
      <c r="M495" s="249"/>
      <c r="N495" s="571"/>
      <c r="O495" s="572"/>
      <c r="P495" s="572"/>
      <c r="Q495" s="572"/>
      <c r="R495" s="567"/>
      <c r="S495" s="568"/>
      <c r="T495" s="568"/>
      <c r="U495" s="568">
        <v>12876.441237489304</v>
      </c>
      <c r="V495" s="567"/>
      <c r="W495" s="568"/>
      <c r="X495" s="568"/>
      <c r="Y495" s="568">
        <v>8483.0242038765427</v>
      </c>
      <c r="Z495" s="567"/>
      <c r="AA495" s="568"/>
      <c r="AB495" s="568"/>
      <c r="AC495" s="568">
        <v>16514.530338383836</v>
      </c>
      <c r="AD495" s="567"/>
      <c r="AE495" s="570"/>
    </row>
    <row r="496" spans="1:31" ht="12.95" customHeight="1" thickBot="1">
      <c r="A496" s="885"/>
      <c r="B496" s="885"/>
      <c r="C496" s="250" t="s">
        <v>655</v>
      </c>
      <c r="D496" s="248"/>
      <c r="E496" s="249"/>
      <c r="F496" s="247"/>
      <c r="G496" s="248"/>
      <c r="H496" s="248"/>
      <c r="I496" s="249"/>
      <c r="J496" s="247"/>
      <c r="K496" s="248"/>
      <c r="L496" s="248"/>
      <c r="M496" s="249"/>
      <c r="N496" s="571"/>
      <c r="O496" s="572"/>
      <c r="P496" s="572"/>
      <c r="Q496" s="572"/>
      <c r="R496" s="567"/>
      <c r="S496" s="568"/>
      <c r="T496" s="568"/>
      <c r="U496" s="568">
        <v>12704.252373699832</v>
      </c>
      <c r="V496" s="567"/>
      <c r="W496" s="568"/>
      <c r="X496" s="568"/>
      <c r="Y496" s="568">
        <v>8428.5582904943913</v>
      </c>
      <c r="Z496" s="567"/>
      <c r="AA496" s="568"/>
      <c r="AB496" s="568"/>
      <c r="AC496" s="568">
        <v>18382.913974747476</v>
      </c>
      <c r="AD496" s="567"/>
      <c r="AE496" s="570"/>
    </row>
    <row r="497" spans="1:31" ht="12.95" customHeight="1" thickBot="1">
      <c r="A497" s="885"/>
      <c r="B497" s="885"/>
      <c r="C497" s="250" t="s">
        <v>656</v>
      </c>
      <c r="D497" s="248"/>
      <c r="E497" s="249"/>
      <c r="F497" s="247"/>
      <c r="G497" s="248"/>
      <c r="H497" s="248"/>
      <c r="I497" s="249"/>
      <c r="J497" s="247"/>
      <c r="K497" s="248"/>
      <c r="L497" s="248"/>
      <c r="M497" s="249"/>
      <c r="N497" s="571"/>
      <c r="O497" s="572"/>
      <c r="P497" s="572"/>
      <c r="Q497" s="572"/>
      <c r="R497" s="567"/>
      <c r="S497" s="568"/>
      <c r="T497" s="568"/>
      <c r="U497" s="568">
        <v>13276.722074261234</v>
      </c>
      <c r="V497" s="567"/>
      <c r="W497" s="568"/>
      <c r="X497" s="568"/>
      <c r="Y497" s="568">
        <v>27645.703854055031</v>
      </c>
      <c r="Z497" s="567"/>
      <c r="AA497" s="568"/>
      <c r="AB497" s="568"/>
      <c r="AC497" s="568">
        <v>26047.116954545458</v>
      </c>
      <c r="AD497" s="567"/>
      <c r="AE497" s="570"/>
    </row>
    <row r="498" spans="1:31" ht="12.95" customHeight="1" thickBot="1">
      <c r="A498" s="885"/>
      <c r="B498" s="885"/>
      <c r="C498" s="250" t="s">
        <v>657</v>
      </c>
      <c r="D498" s="248"/>
      <c r="E498" s="249"/>
      <c r="F498" s="247"/>
      <c r="G498" s="248"/>
      <c r="H498" s="248"/>
      <c r="I498" s="249"/>
      <c r="J498" s="247"/>
      <c r="K498" s="248"/>
      <c r="L498" s="248"/>
      <c r="M498" s="249"/>
      <c r="N498" s="571"/>
      <c r="O498" s="572"/>
      <c r="P498" s="572"/>
      <c r="Q498" s="573"/>
      <c r="R498" s="571"/>
      <c r="S498" s="572"/>
      <c r="T498" s="572"/>
      <c r="U498" s="573"/>
      <c r="V498" s="571"/>
      <c r="W498" s="572"/>
      <c r="X498" s="572"/>
      <c r="Y498" s="573"/>
      <c r="Z498" s="567"/>
      <c r="AA498" s="568"/>
      <c r="AB498" s="568"/>
      <c r="AC498" s="568">
        <v>15522.68842929293</v>
      </c>
      <c r="AD498" s="567"/>
      <c r="AE498" s="570"/>
    </row>
    <row r="499" spans="1:31" ht="12.95" customHeight="1" thickBot="1">
      <c r="A499" s="885"/>
      <c r="B499" s="885"/>
      <c r="C499" s="250" t="s">
        <v>658</v>
      </c>
      <c r="D499" s="248"/>
      <c r="E499" s="249"/>
      <c r="F499" s="247"/>
      <c r="G499" s="248"/>
      <c r="H499" s="248"/>
      <c r="I499" s="249"/>
      <c r="J499" s="247"/>
      <c r="K499" s="248"/>
      <c r="L499" s="248"/>
      <c r="M499" s="249"/>
      <c r="N499" s="571"/>
      <c r="O499" s="572"/>
      <c r="P499" s="572"/>
      <c r="Q499" s="573"/>
      <c r="R499" s="571"/>
      <c r="S499" s="572"/>
      <c r="T499" s="572"/>
      <c r="U499" s="573"/>
      <c r="V499" s="571"/>
      <c r="W499" s="572"/>
      <c r="X499" s="572"/>
      <c r="Y499" s="573"/>
      <c r="Z499" s="567"/>
      <c r="AA499" s="568"/>
      <c r="AB499" s="568"/>
      <c r="AC499" s="568">
        <v>24671.175994949495</v>
      </c>
      <c r="AD499" s="567"/>
      <c r="AE499" s="570"/>
    </row>
    <row r="500" spans="1:31" ht="13.5" hidden="1" thickBot="1">
      <c r="A500" s="885"/>
      <c r="B500" s="885"/>
      <c r="C500" s="9" t="s">
        <v>295</v>
      </c>
      <c r="D500" s="241" t="s">
        <v>632</v>
      </c>
      <c r="E500" s="241" t="s">
        <v>632</v>
      </c>
      <c r="F500" s="243" t="s">
        <v>646</v>
      </c>
      <c r="G500" s="241" t="s">
        <v>646</v>
      </c>
      <c r="H500" s="241" t="s">
        <v>646</v>
      </c>
      <c r="I500" s="244" t="s">
        <v>646</v>
      </c>
      <c r="J500" s="195">
        <v>1</v>
      </c>
      <c r="K500" s="196"/>
      <c r="L500" s="196"/>
      <c r="M500" s="197"/>
      <c r="N500" s="314"/>
      <c r="O500" s="315">
        <v>2.5</v>
      </c>
      <c r="P500" s="315"/>
      <c r="Q500" s="316"/>
      <c r="R500" s="314"/>
      <c r="S500" s="315"/>
      <c r="T500" s="315"/>
      <c r="U500" s="316">
        <v>2.2999999999999998</v>
      </c>
      <c r="V500" s="314"/>
      <c r="W500" s="315"/>
      <c r="X500" s="315"/>
      <c r="Y500" s="316">
        <v>3</v>
      </c>
      <c r="Z500" s="314"/>
      <c r="AA500" s="315"/>
      <c r="AB500" s="315"/>
      <c r="AC500" s="316">
        <v>0</v>
      </c>
      <c r="AD500" s="314"/>
      <c r="AE500" s="316"/>
    </row>
    <row r="501" spans="1:31" ht="13.5" hidden="1" thickBot="1">
      <c r="A501" s="885"/>
      <c r="B501" s="885"/>
      <c r="C501" s="9" t="s">
        <v>296</v>
      </c>
      <c r="D501" s="241" t="s">
        <v>632</v>
      </c>
      <c r="E501" s="241" t="s">
        <v>632</v>
      </c>
      <c r="F501" s="243" t="s">
        <v>646</v>
      </c>
      <c r="G501" s="241" t="s">
        <v>646</v>
      </c>
      <c r="H501" s="241" t="s">
        <v>646</v>
      </c>
      <c r="I501" s="244" t="s">
        <v>646</v>
      </c>
      <c r="J501" s="195">
        <v>1</v>
      </c>
      <c r="K501" s="196"/>
      <c r="L501" s="196"/>
      <c r="M501" s="197"/>
      <c r="N501" s="314"/>
      <c r="O501" s="315">
        <v>2</v>
      </c>
      <c r="P501" s="315"/>
      <c r="Q501" s="316"/>
      <c r="R501" s="314"/>
      <c r="S501" s="315"/>
      <c r="T501" s="315"/>
      <c r="U501" s="316">
        <v>2.2000000000000002</v>
      </c>
      <c r="V501" s="314"/>
      <c r="W501" s="315"/>
      <c r="X501" s="315"/>
      <c r="Y501" s="316">
        <v>3.1</v>
      </c>
      <c r="Z501" s="314"/>
      <c r="AA501" s="315"/>
      <c r="AB501" s="315"/>
      <c r="AC501" s="316">
        <v>0</v>
      </c>
      <c r="AD501" s="314"/>
      <c r="AE501" s="316"/>
    </row>
    <row r="502" spans="1:31" ht="13.5" hidden="1" thickBot="1">
      <c r="A502" s="885"/>
      <c r="B502" s="885"/>
      <c r="C502" s="9" t="s">
        <v>297</v>
      </c>
      <c r="D502" s="241" t="s">
        <v>632</v>
      </c>
      <c r="E502" s="241" t="s">
        <v>632</v>
      </c>
      <c r="F502" s="243" t="s">
        <v>646</v>
      </c>
      <c r="G502" s="241" t="s">
        <v>646</v>
      </c>
      <c r="H502" s="241" t="s">
        <v>646</v>
      </c>
      <c r="I502" s="244" t="s">
        <v>646</v>
      </c>
      <c r="J502" s="195">
        <v>1</v>
      </c>
      <c r="K502" s="196"/>
      <c r="L502" s="196"/>
      <c r="M502" s="197"/>
      <c r="N502" s="314"/>
      <c r="O502" s="315">
        <v>1</v>
      </c>
      <c r="P502" s="315"/>
      <c r="Q502" s="316"/>
      <c r="R502" s="314"/>
      <c r="S502" s="315"/>
      <c r="T502" s="315"/>
      <c r="U502" s="316">
        <v>2.2999999999999998</v>
      </c>
      <c r="V502" s="314"/>
      <c r="W502" s="315"/>
      <c r="X502" s="315"/>
      <c r="Y502" s="316">
        <v>2.9</v>
      </c>
      <c r="Z502" s="314"/>
      <c r="AA502" s="315"/>
      <c r="AB502" s="315"/>
      <c r="AC502" s="316">
        <v>0</v>
      </c>
      <c r="AD502" s="314"/>
      <c r="AE502" s="316"/>
    </row>
    <row r="503" spans="1:31" ht="13.5" hidden="1" thickBot="1">
      <c r="A503" s="885"/>
      <c r="B503" s="885"/>
      <c r="C503" s="9" t="s">
        <v>298</v>
      </c>
      <c r="D503" s="241" t="s">
        <v>632</v>
      </c>
      <c r="E503" s="241" t="s">
        <v>632</v>
      </c>
      <c r="F503" s="243" t="s">
        <v>646</v>
      </c>
      <c r="G503" s="241" t="s">
        <v>646</v>
      </c>
      <c r="H503" s="241" t="s">
        <v>646</v>
      </c>
      <c r="I503" s="244" t="s">
        <v>646</v>
      </c>
      <c r="J503" s="195">
        <v>1</v>
      </c>
      <c r="K503" s="196"/>
      <c r="L503" s="196"/>
      <c r="M503" s="197"/>
      <c r="N503" s="314"/>
      <c r="O503" s="315">
        <v>2</v>
      </c>
      <c r="P503" s="315"/>
      <c r="Q503" s="316"/>
      <c r="R503" s="314"/>
      <c r="S503" s="315"/>
      <c r="T503" s="315"/>
      <c r="U503" s="316">
        <v>1.6</v>
      </c>
      <c r="V503" s="314"/>
      <c r="W503" s="315"/>
      <c r="X503" s="315"/>
      <c r="Y503" s="316">
        <v>2.6</v>
      </c>
      <c r="Z503" s="314"/>
      <c r="AA503" s="315"/>
      <c r="AB503" s="315"/>
      <c r="AC503" s="316">
        <v>0</v>
      </c>
      <c r="AD503" s="314"/>
      <c r="AE503" s="316"/>
    </row>
    <row r="504" spans="1:31" ht="13.5" hidden="1" thickBot="1">
      <c r="A504" s="885"/>
      <c r="B504" s="885"/>
      <c r="C504" s="9" t="s">
        <v>299</v>
      </c>
      <c r="D504" s="241" t="s">
        <v>632</v>
      </c>
      <c r="E504" s="241" t="s">
        <v>632</v>
      </c>
      <c r="F504" s="243" t="s">
        <v>646</v>
      </c>
      <c r="G504" s="241" t="s">
        <v>646</v>
      </c>
      <c r="H504" s="241" t="s">
        <v>646</v>
      </c>
      <c r="I504" s="244" t="s">
        <v>646</v>
      </c>
      <c r="J504" s="195">
        <v>2</v>
      </c>
      <c r="K504" s="196"/>
      <c r="L504" s="196"/>
      <c r="M504" s="197"/>
      <c r="N504" s="314"/>
      <c r="O504" s="315">
        <v>3</v>
      </c>
      <c r="P504" s="315"/>
      <c r="Q504" s="316"/>
      <c r="R504" s="314"/>
      <c r="S504" s="315"/>
      <c r="T504" s="315"/>
      <c r="U504" s="316">
        <v>2.7</v>
      </c>
      <c r="V504" s="314"/>
      <c r="W504" s="315"/>
      <c r="X504" s="315"/>
      <c r="Y504" s="316">
        <v>3.1</v>
      </c>
      <c r="Z504" s="314"/>
      <c r="AA504" s="315"/>
      <c r="AB504" s="315"/>
      <c r="AC504" s="316">
        <v>0</v>
      </c>
      <c r="AD504" s="314"/>
      <c r="AE504" s="316"/>
    </row>
    <row r="505" spans="1:31" ht="24.75" hidden="1" thickBot="1">
      <c r="A505" s="885"/>
      <c r="B505" s="885"/>
      <c r="C505" s="9" t="s">
        <v>300</v>
      </c>
      <c r="D505" s="199"/>
      <c r="E505" s="200"/>
      <c r="F505" s="201"/>
      <c r="G505" s="199"/>
      <c r="H505" s="199"/>
      <c r="I505" s="200"/>
      <c r="J505" s="201"/>
      <c r="K505" s="199"/>
      <c r="L505" s="199"/>
      <c r="M505" s="200"/>
      <c r="N505" s="318"/>
      <c r="O505" s="319" t="s">
        <v>634</v>
      </c>
      <c r="P505" s="312" t="s">
        <v>632</v>
      </c>
      <c r="Q505" s="313" t="s">
        <v>646</v>
      </c>
      <c r="R505" s="314">
        <v>1</v>
      </c>
      <c r="S505" s="315"/>
      <c r="T505" s="315"/>
      <c r="U505" s="316">
        <v>1</v>
      </c>
      <c r="V505" s="314"/>
      <c r="W505" s="315"/>
      <c r="X505" s="315"/>
      <c r="Y505" s="316">
        <v>2.6</v>
      </c>
      <c r="Z505" s="314"/>
      <c r="AA505" s="315"/>
      <c r="AB505" s="315"/>
      <c r="AC505" s="316">
        <v>0</v>
      </c>
      <c r="AD505" s="314"/>
      <c r="AE505" s="316"/>
    </row>
    <row r="506" spans="1:31" ht="13.5" hidden="1" thickBot="1">
      <c r="A506" s="885"/>
      <c r="B506" s="885"/>
      <c r="C506" s="9" t="s">
        <v>301</v>
      </c>
      <c r="D506" s="199"/>
      <c r="E506" s="200"/>
      <c r="F506" s="201"/>
      <c r="G506" s="199"/>
      <c r="H506" s="199"/>
      <c r="I506" s="200"/>
      <c r="J506" s="201"/>
      <c r="K506" s="199"/>
      <c r="L506" s="199"/>
      <c r="M506" s="200"/>
      <c r="N506" s="318"/>
      <c r="O506" s="319" t="s">
        <v>634</v>
      </c>
      <c r="P506" s="312" t="s">
        <v>632</v>
      </c>
      <c r="Q506" s="313" t="s">
        <v>646</v>
      </c>
      <c r="R506" s="314">
        <v>2</v>
      </c>
      <c r="S506" s="315"/>
      <c r="T506" s="315"/>
      <c r="U506" s="316">
        <v>2</v>
      </c>
      <c r="V506" s="314"/>
      <c r="W506" s="315"/>
      <c r="X506" s="315"/>
      <c r="Y506" s="316">
        <v>3</v>
      </c>
      <c r="Z506" s="314"/>
      <c r="AA506" s="315"/>
      <c r="AB506" s="315"/>
      <c r="AC506" s="316">
        <v>0</v>
      </c>
      <c r="AD506" s="314"/>
      <c r="AE506" s="316"/>
    </row>
    <row r="507" spans="1:31" ht="13.5" hidden="1" thickBot="1">
      <c r="A507" s="885"/>
      <c r="B507" s="885"/>
      <c r="C507" s="9" t="s">
        <v>302</v>
      </c>
      <c r="D507" s="199"/>
      <c r="E507" s="200"/>
      <c r="F507" s="201"/>
      <c r="G507" s="199"/>
      <c r="H507" s="199"/>
      <c r="I507" s="200"/>
      <c r="J507" s="201"/>
      <c r="K507" s="199"/>
      <c r="L507" s="199"/>
      <c r="M507" s="200"/>
      <c r="N507" s="318"/>
      <c r="O507" s="319" t="s">
        <v>634</v>
      </c>
      <c r="P507" s="312" t="s">
        <v>632</v>
      </c>
      <c r="Q507" s="313" t="s">
        <v>646</v>
      </c>
      <c r="R507" s="314">
        <v>1.8</v>
      </c>
      <c r="S507" s="315"/>
      <c r="T507" s="315"/>
      <c r="U507" s="316">
        <v>1.8</v>
      </c>
      <c r="V507" s="314"/>
      <c r="W507" s="315"/>
      <c r="X507" s="315"/>
      <c r="Y507" s="316">
        <v>2.2999999999999998</v>
      </c>
      <c r="Z507" s="314"/>
      <c r="AA507" s="315"/>
      <c r="AB507" s="315"/>
      <c r="AC507" s="316">
        <v>0</v>
      </c>
      <c r="AD507" s="314"/>
      <c r="AE507" s="316"/>
    </row>
    <row r="508" spans="1:31" ht="24.75" hidden="1" thickBot="1">
      <c r="A508" s="885"/>
      <c r="B508" s="885"/>
      <c r="C508" s="9" t="s">
        <v>303</v>
      </c>
      <c r="D508" s="202"/>
      <c r="E508" s="203"/>
      <c r="F508" s="201"/>
      <c r="G508" s="202"/>
      <c r="H508" s="202"/>
      <c r="I508" s="203"/>
      <c r="J508" s="201"/>
      <c r="K508" s="202"/>
      <c r="L508" s="202"/>
      <c r="M508" s="203"/>
      <c r="N508" s="322"/>
      <c r="O508" s="323"/>
      <c r="P508" s="324"/>
      <c r="Q508" s="324"/>
      <c r="R508" s="317"/>
      <c r="S508" s="320"/>
      <c r="T508" s="320"/>
      <c r="U508" s="321"/>
      <c r="V508" s="325"/>
      <c r="W508" s="319" t="s">
        <v>633</v>
      </c>
      <c r="X508" s="312" t="s">
        <v>632</v>
      </c>
      <c r="Y508" s="316">
        <v>0</v>
      </c>
      <c r="Z508" s="314"/>
      <c r="AA508" s="315"/>
      <c r="AB508" s="315"/>
      <c r="AC508" s="316">
        <v>0</v>
      </c>
      <c r="AD508" s="314"/>
      <c r="AE508" s="316"/>
    </row>
    <row r="509" spans="1:31" ht="13.5" hidden="1" thickBot="1">
      <c r="A509" s="885"/>
      <c r="B509" s="885"/>
      <c r="C509" s="9" t="s">
        <v>304</v>
      </c>
      <c r="D509" s="202"/>
      <c r="E509" s="203"/>
      <c r="F509" s="201"/>
      <c r="G509" s="202"/>
      <c r="H509" s="202"/>
      <c r="I509" s="203"/>
      <c r="J509" s="201"/>
      <c r="K509" s="202"/>
      <c r="L509" s="202"/>
      <c r="M509" s="203"/>
      <c r="N509" s="322"/>
      <c r="O509" s="324"/>
      <c r="P509" s="324"/>
      <c r="Q509" s="324"/>
      <c r="R509" s="317"/>
      <c r="S509" s="320"/>
      <c r="T509" s="320"/>
      <c r="U509" s="321"/>
      <c r="V509" s="325"/>
      <c r="W509" s="319" t="s">
        <v>633</v>
      </c>
      <c r="X509" s="312" t="s">
        <v>632</v>
      </c>
      <c r="Y509" s="316">
        <v>0</v>
      </c>
      <c r="Z509" s="314"/>
      <c r="AA509" s="315"/>
      <c r="AB509" s="315"/>
      <c r="AC509" s="316">
        <v>0</v>
      </c>
      <c r="AD509" s="314"/>
      <c r="AE509" s="316"/>
    </row>
    <row r="510" spans="1:31" ht="12.95" hidden="1" customHeight="1" thickBot="1">
      <c r="A510" s="885"/>
      <c r="B510" s="298"/>
      <c r="C510" s="231"/>
      <c r="D510" s="232"/>
      <c r="E510" s="233"/>
      <c r="F510" s="234"/>
      <c r="G510" s="232"/>
      <c r="H510" s="232"/>
      <c r="I510" s="233"/>
      <c r="J510" s="234"/>
      <c r="K510" s="232"/>
      <c r="L510" s="232"/>
      <c r="M510" s="233"/>
      <c r="N510" s="328"/>
      <c r="O510" s="326"/>
      <c r="P510" s="326"/>
      <c r="Q510" s="327"/>
      <c r="R510" s="328"/>
      <c r="S510" s="326"/>
      <c r="T510" s="326"/>
      <c r="U510" s="327"/>
      <c r="V510" s="328"/>
      <c r="W510" s="326"/>
      <c r="X510" s="326"/>
      <c r="Y510" s="327"/>
      <c r="Z510" s="328"/>
      <c r="AA510" s="326"/>
      <c r="AB510" s="326"/>
      <c r="AC510" s="327"/>
      <c r="AD510" s="328"/>
      <c r="AE510" s="327"/>
    </row>
    <row r="511" spans="1:31" ht="12.95" hidden="1" customHeight="1" thickBot="1">
      <c r="A511" s="885"/>
      <c r="B511" s="298"/>
      <c r="C511" s="231"/>
      <c r="D511" s="232"/>
      <c r="E511" s="233"/>
      <c r="F511" s="234"/>
      <c r="G511" s="232"/>
      <c r="H511" s="232"/>
      <c r="I511" s="233"/>
      <c r="J511" s="234"/>
      <c r="K511" s="232"/>
      <c r="L511" s="232"/>
      <c r="M511" s="233"/>
      <c r="N511" s="328"/>
      <c r="O511" s="326"/>
      <c r="P511" s="326"/>
      <c r="Q511" s="327"/>
      <c r="R511" s="328"/>
      <c r="S511" s="326"/>
      <c r="T511" s="326"/>
      <c r="U511" s="327"/>
      <c r="V511" s="328"/>
      <c r="W511" s="326"/>
      <c r="X511" s="326"/>
      <c r="Y511" s="327"/>
      <c r="Z511" s="328"/>
      <c r="AA511" s="326"/>
      <c r="AB511" s="326"/>
      <c r="AC511" s="327"/>
      <c r="AD511" s="328"/>
      <c r="AE511" s="327"/>
    </row>
    <row r="512" spans="1:31" ht="12.95" customHeight="1" thickBot="1">
      <c r="A512" s="885"/>
      <c r="B512" s="3" t="s">
        <v>41</v>
      </c>
      <c r="C512" s="12"/>
      <c r="D512" s="1377">
        <v>2008</v>
      </c>
      <c r="E512" s="1378"/>
      <c r="F512" s="1372">
        <v>2009</v>
      </c>
      <c r="G512" s="1373"/>
      <c r="H512" s="1373"/>
      <c r="I512" s="1374"/>
      <c r="J512" s="1372">
        <v>2010</v>
      </c>
      <c r="K512" s="1373"/>
      <c r="L512" s="1373"/>
      <c r="M512" s="1374"/>
      <c r="N512" s="1372">
        <v>2011</v>
      </c>
      <c r="O512" s="1373"/>
      <c r="P512" s="1373"/>
      <c r="Q512" s="1374"/>
      <c r="R512" s="1372">
        <v>2012</v>
      </c>
      <c r="S512" s="1373"/>
      <c r="T512" s="1373"/>
      <c r="U512" s="1374"/>
      <c r="V512" s="1372">
        <v>2013</v>
      </c>
      <c r="W512" s="1373"/>
      <c r="X512" s="1373"/>
      <c r="Y512" s="1374"/>
      <c r="Z512" s="1372">
        <v>2014</v>
      </c>
      <c r="AA512" s="1373"/>
      <c r="AB512" s="1373"/>
      <c r="AC512" s="1374"/>
      <c r="AD512" s="1372">
        <v>2015</v>
      </c>
      <c r="AE512" s="1374"/>
    </row>
    <row r="513" spans="1:31" ht="13.5" thickBot="1">
      <c r="A513" s="885"/>
      <c r="B513" s="868" t="s">
        <v>69</v>
      </c>
      <c r="C513" s="250" t="s">
        <v>649</v>
      </c>
      <c r="D513" s="245"/>
      <c r="E513" s="246"/>
      <c r="F513" s="247"/>
      <c r="G513" s="245"/>
      <c r="H513" s="245"/>
      <c r="I513" s="246"/>
      <c r="J513" s="247"/>
      <c r="K513" s="245"/>
      <c r="L513" s="245"/>
      <c r="M513" s="246"/>
      <c r="N513" s="567"/>
      <c r="O513" s="568">
        <v>64059.317515445451</v>
      </c>
      <c r="P513" s="568"/>
      <c r="Q513" s="569"/>
      <c r="R513" s="567"/>
      <c r="S513" s="568"/>
      <c r="T513" s="568"/>
      <c r="U513" s="568">
        <v>32025.085400199245</v>
      </c>
      <c r="V513" s="567"/>
      <c r="W513" s="568"/>
      <c r="X513" s="568"/>
      <c r="Y513" s="568">
        <v>48192.561702006817</v>
      </c>
      <c r="Z513" s="567"/>
      <c r="AA513" s="568"/>
      <c r="AB513" s="568"/>
      <c r="AC513" s="568">
        <v>54781.571291919194</v>
      </c>
      <c r="AD513" s="567"/>
      <c r="AE513" s="570"/>
    </row>
    <row r="514" spans="1:31" ht="13.5" thickBot="1">
      <c r="A514" s="885"/>
      <c r="B514" s="885"/>
      <c r="C514" s="250" t="s">
        <v>650</v>
      </c>
      <c r="D514" s="245"/>
      <c r="E514" s="246"/>
      <c r="F514" s="247"/>
      <c r="G514" s="245"/>
      <c r="H514" s="245"/>
      <c r="I514" s="246"/>
      <c r="J514" s="247"/>
      <c r="K514" s="245"/>
      <c r="L514" s="245"/>
      <c r="M514" s="246"/>
      <c r="N514" s="567"/>
      <c r="O514" s="568">
        <v>57530.864730603331</v>
      </c>
      <c r="P514" s="568"/>
      <c r="Q514" s="569"/>
      <c r="R514" s="567"/>
      <c r="S514" s="568"/>
      <c r="T514" s="568"/>
      <c r="U514" s="568">
        <v>29510.828831146609</v>
      </c>
      <c r="V514" s="567"/>
      <c r="W514" s="568"/>
      <c r="X514" s="568"/>
      <c r="Y514" s="568">
        <v>15856.446942743652</v>
      </c>
      <c r="Z514" s="567"/>
      <c r="AA514" s="568"/>
      <c r="AB514" s="568"/>
      <c r="AC514" s="568">
        <v>16139.458273737375</v>
      </c>
      <c r="AD514" s="567"/>
      <c r="AE514" s="570"/>
    </row>
    <row r="515" spans="1:31" ht="13.5" thickBot="1">
      <c r="A515" s="885"/>
      <c r="B515" s="885"/>
      <c r="C515" s="250" t="s">
        <v>651</v>
      </c>
      <c r="D515" s="245"/>
      <c r="E515" s="246"/>
      <c r="F515" s="247"/>
      <c r="G515" s="245"/>
      <c r="H515" s="245"/>
      <c r="I515" s="246"/>
      <c r="J515" s="247"/>
      <c r="K515" s="245"/>
      <c r="L515" s="245"/>
      <c r="M515" s="246"/>
      <c r="N515" s="567"/>
      <c r="O515" s="568">
        <v>62966.503423655959</v>
      </c>
      <c r="P515" s="568"/>
      <c r="Q515" s="569"/>
      <c r="R515" s="567"/>
      <c r="S515" s="568"/>
      <c r="T515" s="568"/>
      <c r="U515" s="568">
        <v>34038.900496129056</v>
      </c>
      <c r="V515" s="567"/>
      <c r="W515" s="568"/>
      <c r="X515" s="568"/>
      <c r="Y515" s="568">
        <v>15449.224291192166</v>
      </c>
      <c r="Z515" s="567"/>
      <c r="AA515" s="568"/>
      <c r="AB515" s="568"/>
      <c r="AC515" s="568">
        <v>31614.356297979801</v>
      </c>
      <c r="AD515" s="567"/>
      <c r="AE515" s="570"/>
    </row>
    <row r="516" spans="1:31" ht="13.5" thickBot="1">
      <c r="A516" s="885"/>
      <c r="B516" s="885"/>
      <c r="C516" s="250" t="s">
        <v>652</v>
      </c>
      <c r="D516" s="245"/>
      <c r="E516" s="246"/>
      <c r="F516" s="247"/>
      <c r="G516" s="245"/>
      <c r="H516" s="245"/>
      <c r="I516" s="246"/>
      <c r="J516" s="247"/>
      <c r="K516" s="245"/>
      <c r="L516" s="245"/>
      <c r="M516" s="246"/>
      <c r="N516" s="567"/>
      <c r="O516" s="568">
        <v>65309.854315445438</v>
      </c>
      <c r="P516" s="568"/>
      <c r="Q516" s="569"/>
      <c r="R516" s="567"/>
      <c r="S516" s="568"/>
      <c r="T516" s="568"/>
      <c r="U516" s="568">
        <v>40784.072966865904</v>
      </c>
      <c r="V516" s="567"/>
      <c r="W516" s="568"/>
      <c r="X516" s="568"/>
      <c r="Y516" s="568">
        <v>23593.475156354638</v>
      </c>
      <c r="Z516" s="567"/>
      <c r="AA516" s="568"/>
      <c r="AB516" s="568"/>
      <c r="AC516" s="568">
        <v>17513.599580808084</v>
      </c>
      <c r="AD516" s="567"/>
      <c r="AE516" s="570"/>
    </row>
    <row r="517" spans="1:31" ht="13.5" thickBot="1">
      <c r="A517" s="885"/>
      <c r="B517" s="885"/>
      <c r="C517" s="250" t="s">
        <v>653</v>
      </c>
      <c r="D517" s="245"/>
      <c r="E517" s="246"/>
      <c r="F517" s="247"/>
      <c r="G517" s="245"/>
      <c r="H517" s="245"/>
      <c r="I517" s="246"/>
      <c r="J517" s="247"/>
      <c r="K517" s="245"/>
      <c r="L517" s="245"/>
      <c r="M517" s="246"/>
      <c r="N517" s="567"/>
      <c r="O517" s="568">
        <v>82718.159999828931</v>
      </c>
      <c r="P517" s="568"/>
      <c r="Q517" s="569"/>
      <c r="R517" s="567"/>
      <c r="S517" s="568"/>
      <c r="T517" s="568"/>
      <c r="U517" s="568">
        <v>34742.115387918537</v>
      </c>
      <c r="V517" s="567"/>
      <c r="W517" s="568"/>
      <c r="X517" s="568"/>
      <c r="Y517" s="568">
        <v>18589.79088987867</v>
      </c>
      <c r="Z517" s="567"/>
      <c r="AA517" s="568"/>
      <c r="AB517" s="568"/>
      <c r="AC517" s="568">
        <v>20389.905994949495</v>
      </c>
      <c r="AD517" s="567"/>
      <c r="AE517" s="570"/>
    </row>
    <row r="518" spans="1:31" ht="12.95" customHeight="1" thickBot="1">
      <c r="A518" s="885"/>
      <c r="B518" s="885"/>
      <c r="C518" s="250" t="s">
        <v>654</v>
      </c>
      <c r="D518" s="248"/>
      <c r="E518" s="249"/>
      <c r="F518" s="247"/>
      <c r="G518" s="248"/>
      <c r="H518" s="248"/>
      <c r="I518" s="249"/>
      <c r="J518" s="247"/>
      <c r="K518" s="248"/>
      <c r="L518" s="248"/>
      <c r="M518" s="249"/>
      <c r="N518" s="571"/>
      <c r="O518" s="572"/>
      <c r="P518" s="572"/>
      <c r="Q518" s="572"/>
      <c r="R518" s="567"/>
      <c r="S518" s="568"/>
      <c r="T518" s="568"/>
      <c r="U518" s="568">
        <v>12876.441237489304</v>
      </c>
      <c r="V518" s="567"/>
      <c r="W518" s="568"/>
      <c r="X518" s="568"/>
      <c r="Y518" s="568">
        <v>8501.7090038765436</v>
      </c>
      <c r="Z518" s="567"/>
      <c r="AA518" s="568"/>
      <c r="AB518" s="568"/>
      <c r="AC518" s="568">
        <v>15716.126550505051</v>
      </c>
      <c r="AD518" s="567"/>
      <c r="AE518" s="570"/>
    </row>
    <row r="519" spans="1:31" ht="12.95" customHeight="1" thickBot="1">
      <c r="A519" s="885"/>
      <c r="B519" s="885"/>
      <c r="C519" s="250" t="s">
        <v>655</v>
      </c>
      <c r="D519" s="248"/>
      <c r="E519" s="249"/>
      <c r="F519" s="247"/>
      <c r="G519" s="248"/>
      <c r="H519" s="248"/>
      <c r="I519" s="249"/>
      <c r="J519" s="247"/>
      <c r="K519" s="248"/>
      <c r="L519" s="248"/>
      <c r="M519" s="249"/>
      <c r="N519" s="571"/>
      <c r="O519" s="572"/>
      <c r="P519" s="572"/>
      <c r="Q519" s="572"/>
      <c r="R519" s="567"/>
      <c r="S519" s="568"/>
      <c r="T519" s="568"/>
      <c r="U519" s="568">
        <v>12704.252373699832</v>
      </c>
      <c r="V519" s="567"/>
      <c r="W519" s="568"/>
      <c r="X519" s="568"/>
      <c r="Y519" s="568">
        <v>9589.7230904943917</v>
      </c>
      <c r="Z519" s="567"/>
      <c r="AA519" s="568"/>
      <c r="AB519" s="568"/>
      <c r="AC519" s="568">
        <v>17038.944075757576</v>
      </c>
      <c r="AD519" s="567"/>
      <c r="AE519" s="570"/>
    </row>
    <row r="520" spans="1:31" ht="12.95" customHeight="1" thickBot="1">
      <c r="A520" s="885"/>
      <c r="B520" s="885"/>
      <c r="C520" s="250" t="s">
        <v>656</v>
      </c>
      <c r="D520" s="248"/>
      <c r="E520" s="249"/>
      <c r="F520" s="247"/>
      <c r="G520" s="248"/>
      <c r="H520" s="248"/>
      <c r="I520" s="249"/>
      <c r="J520" s="247"/>
      <c r="K520" s="248"/>
      <c r="L520" s="248"/>
      <c r="M520" s="249"/>
      <c r="N520" s="571"/>
      <c r="O520" s="572"/>
      <c r="P520" s="572"/>
      <c r="Q520" s="572"/>
      <c r="R520" s="567"/>
      <c r="S520" s="568"/>
      <c r="T520" s="568"/>
      <c r="U520" s="568">
        <v>13276.722074261234</v>
      </c>
      <c r="V520" s="567"/>
      <c r="W520" s="568"/>
      <c r="X520" s="568"/>
      <c r="Y520" s="568">
        <v>8304.3224040550322</v>
      </c>
      <c r="Z520" s="567"/>
      <c r="AA520" s="568"/>
      <c r="AB520" s="568"/>
      <c r="AC520" s="568">
        <v>24341.152611111116</v>
      </c>
      <c r="AD520" s="567"/>
      <c r="AE520" s="570"/>
    </row>
    <row r="521" spans="1:31" ht="12.95" customHeight="1" thickBot="1">
      <c r="A521" s="885"/>
      <c r="B521" s="885"/>
      <c r="C521" s="250" t="s">
        <v>657</v>
      </c>
      <c r="D521" s="248"/>
      <c r="E521" s="249"/>
      <c r="F521" s="247"/>
      <c r="G521" s="248"/>
      <c r="H521" s="248"/>
      <c r="I521" s="249"/>
      <c r="J521" s="247"/>
      <c r="K521" s="248"/>
      <c r="L521" s="248"/>
      <c r="M521" s="249"/>
      <c r="N521" s="571"/>
      <c r="O521" s="572"/>
      <c r="P521" s="572"/>
      <c r="Q521" s="573"/>
      <c r="R521" s="571"/>
      <c r="S521" s="572"/>
      <c r="T521" s="572"/>
      <c r="U521" s="573"/>
      <c r="V521" s="571"/>
      <c r="W521" s="572"/>
      <c r="X521" s="572"/>
      <c r="Y521" s="573"/>
      <c r="Z521" s="567"/>
      <c r="AA521" s="568"/>
      <c r="AB521" s="568"/>
      <c r="AC521" s="568">
        <v>25485.420085858586</v>
      </c>
      <c r="AD521" s="567"/>
      <c r="AE521" s="570"/>
    </row>
    <row r="522" spans="1:31" ht="12.95" customHeight="1" thickBot="1">
      <c r="A522" s="885"/>
      <c r="B522" s="885"/>
      <c r="C522" s="250" t="s">
        <v>658</v>
      </c>
      <c r="D522" s="248"/>
      <c r="E522" s="249"/>
      <c r="F522" s="247"/>
      <c r="G522" s="248"/>
      <c r="H522" s="248"/>
      <c r="I522" s="249"/>
      <c r="J522" s="247"/>
      <c r="K522" s="248"/>
      <c r="L522" s="248"/>
      <c r="M522" s="249"/>
      <c r="N522" s="571"/>
      <c r="O522" s="572"/>
      <c r="P522" s="572"/>
      <c r="Q522" s="573"/>
      <c r="R522" s="571"/>
      <c r="S522" s="572"/>
      <c r="T522" s="572"/>
      <c r="U522" s="573"/>
      <c r="V522" s="571"/>
      <c r="W522" s="572"/>
      <c r="X522" s="572"/>
      <c r="Y522" s="573"/>
      <c r="Z522" s="567"/>
      <c r="AA522" s="568"/>
      <c r="AB522" s="568"/>
      <c r="AC522" s="568">
        <v>28837.418318181819</v>
      </c>
      <c r="AD522" s="567"/>
      <c r="AE522" s="570"/>
    </row>
    <row r="523" spans="1:31" ht="13.5" hidden="1" thickBot="1">
      <c r="A523" s="885"/>
      <c r="B523" s="885"/>
      <c r="C523" s="9" t="s">
        <v>295</v>
      </c>
      <c r="D523" s="241" t="s">
        <v>632</v>
      </c>
      <c r="E523" s="241" t="s">
        <v>632</v>
      </c>
      <c r="F523" s="243" t="s">
        <v>646</v>
      </c>
      <c r="G523" s="241" t="s">
        <v>646</v>
      </c>
      <c r="H523" s="241" t="s">
        <v>646</v>
      </c>
      <c r="I523" s="244" t="s">
        <v>646</v>
      </c>
      <c r="J523" s="195">
        <v>1</v>
      </c>
      <c r="K523" s="196"/>
      <c r="L523" s="196"/>
      <c r="M523" s="197"/>
      <c r="N523" s="314"/>
      <c r="O523" s="315">
        <v>2</v>
      </c>
      <c r="P523" s="315"/>
      <c r="Q523" s="316"/>
      <c r="R523" s="314"/>
      <c r="S523" s="315"/>
      <c r="T523" s="315"/>
      <c r="U523" s="316">
        <v>1.6</v>
      </c>
      <c r="V523" s="314"/>
      <c r="W523" s="315"/>
      <c r="X523" s="315"/>
      <c r="Y523" s="316">
        <v>2.9</v>
      </c>
      <c r="Z523" s="314"/>
      <c r="AA523" s="315"/>
      <c r="AB523" s="315"/>
      <c r="AC523" s="316">
        <v>0</v>
      </c>
      <c r="AD523" s="314"/>
      <c r="AE523" s="316"/>
    </row>
    <row r="524" spans="1:31" ht="13.5" hidden="1" thickBot="1">
      <c r="A524" s="885"/>
      <c r="B524" s="885"/>
      <c r="C524" s="9" t="s">
        <v>296</v>
      </c>
      <c r="D524" s="241" t="s">
        <v>632</v>
      </c>
      <c r="E524" s="241" t="s">
        <v>632</v>
      </c>
      <c r="F524" s="243" t="s">
        <v>646</v>
      </c>
      <c r="G524" s="241" t="s">
        <v>646</v>
      </c>
      <c r="H524" s="241" t="s">
        <v>646</v>
      </c>
      <c r="I524" s="244" t="s">
        <v>646</v>
      </c>
      <c r="J524" s="195">
        <v>1</v>
      </c>
      <c r="K524" s="196"/>
      <c r="L524" s="196"/>
      <c r="M524" s="197"/>
      <c r="N524" s="314"/>
      <c r="O524" s="315">
        <v>1.7</v>
      </c>
      <c r="P524" s="315"/>
      <c r="Q524" s="316"/>
      <c r="R524" s="314"/>
      <c r="S524" s="315"/>
      <c r="T524" s="315"/>
      <c r="U524" s="316">
        <v>2.4</v>
      </c>
      <c r="V524" s="314"/>
      <c r="W524" s="315"/>
      <c r="X524" s="315"/>
      <c r="Y524" s="316">
        <v>3.9</v>
      </c>
      <c r="Z524" s="314"/>
      <c r="AA524" s="315"/>
      <c r="AB524" s="315"/>
      <c r="AC524" s="316">
        <v>0</v>
      </c>
      <c r="AD524" s="314"/>
      <c r="AE524" s="316"/>
    </row>
    <row r="525" spans="1:31" ht="13.5" hidden="1" thickBot="1">
      <c r="A525" s="885"/>
      <c r="B525" s="885"/>
      <c r="C525" s="9" t="s">
        <v>297</v>
      </c>
      <c r="D525" s="241" t="s">
        <v>632</v>
      </c>
      <c r="E525" s="241" t="s">
        <v>632</v>
      </c>
      <c r="F525" s="243" t="s">
        <v>646</v>
      </c>
      <c r="G525" s="241" t="s">
        <v>646</v>
      </c>
      <c r="H525" s="241" t="s">
        <v>646</v>
      </c>
      <c r="I525" s="244" t="s">
        <v>646</v>
      </c>
      <c r="J525" s="195">
        <v>1</v>
      </c>
      <c r="K525" s="196"/>
      <c r="L525" s="196"/>
      <c r="M525" s="197"/>
      <c r="N525" s="314"/>
      <c r="O525" s="315">
        <v>1</v>
      </c>
      <c r="P525" s="315"/>
      <c r="Q525" s="316"/>
      <c r="R525" s="314"/>
      <c r="S525" s="315"/>
      <c r="T525" s="315"/>
      <c r="U525" s="316">
        <v>2</v>
      </c>
      <c r="V525" s="314"/>
      <c r="W525" s="315"/>
      <c r="X525" s="315"/>
      <c r="Y525" s="316">
        <v>3.1</v>
      </c>
      <c r="Z525" s="314"/>
      <c r="AA525" s="315"/>
      <c r="AB525" s="315"/>
      <c r="AC525" s="316">
        <v>0</v>
      </c>
      <c r="AD525" s="314"/>
      <c r="AE525" s="316"/>
    </row>
    <row r="526" spans="1:31" ht="13.5" hidden="1" thickBot="1">
      <c r="A526" s="885"/>
      <c r="B526" s="885"/>
      <c r="C526" s="9" t="s">
        <v>298</v>
      </c>
      <c r="D526" s="241" t="s">
        <v>632</v>
      </c>
      <c r="E526" s="241" t="s">
        <v>632</v>
      </c>
      <c r="F526" s="243" t="s">
        <v>646</v>
      </c>
      <c r="G526" s="241" t="s">
        <v>646</v>
      </c>
      <c r="H526" s="241" t="s">
        <v>646</v>
      </c>
      <c r="I526" s="244" t="s">
        <v>646</v>
      </c>
      <c r="J526" s="195">
        <v>1</v>
      </c>
      <c r="K526" s="196"/>
      <c r="L526" s="196"/>
      <c r="M526" s="197"/>
      <c r="N526" s="314"/>
      <c r="O526" s="315">
        <v>2</v>
      </c>
      <c r="P526" s="315"/>
      <c r="Q526" s="316"/>
      <c r="R526" s="314"/>
      <c r="S526" s="315"/>
      <c r="T526" s="315"/>
      <c r="U526" s="316">
        <v>2</v>
      </c>
      <c r="V526" s="314"/>
      <c r="W526" s="315"/>
      <c r="X526" s="315"/>
      <c r="Y526" s="316">
        <v>2.2999999999999998</v>
      </c>
      <c r="Z526" s="314"/>
      <c r="AA526" s="315"/>
      <c r="AB526" s="315"/>
      <c r="AC526" s="316">
        <v>0</v>
      </c>
      <c r="AD526" s="314"/>
      <c r="AE526" s="316"/>
    </row>
    <row r="527" spans="1:31" ht="13.5" hidden="1" thickBot="1">
      <c r="A527" s="885"/>
      <c r="B527" s="885"/>
      <c r="C527" s="9" t="s">
        <v>299</v>
      </c>
      <c r="D527" s="241" t="s">
        <v>632</v>
      </c>
      <c r="E527" s="241" t="s">
        <v>632</v>
      </c>
      <c r="F527" s="243" t="s">
        <v>646</v>
      </c>
      <c r="G527" s="241" t="s">
        <v>646</v>
      </c>
      <c r="H527" s="241" t="s">
        <v>646</v>
      </c>
      <c r="I527" s="244" t="s">
        <v>646</v>
      </c>
      <c r="J527" s="195">
        <v>2</v>
      </c>
      <c r="K527" s="196"/>
      <c r="L527" s="196"/>
      <c r="M527" s="197"/>
      <c r="N527" s="314"/>
      <c r="O527" s="315">
        <v>2</v>
      </c>
      <c r="P527" s="315"/>
      <c r="Q527" s="316"/>
      <c r="R527" s="314"/>
      <c r="S527" s="315"/>
      <c r="T527" s="315"/>
      <c r="U527" s="316">
        <v>2.6</v>
      </c>
      <c r="V527" s="314"/>
      <c r="W527" s="315"/>
      <c r="X527" s="315"/>
      <c r="Y527" s="316">
        <v>2.9</v>
      </c>
      <c r="Z527" s="314"/>
      <c r="AA527" s="315"/>
      <c r="AB527" s="315"/>
      <c r="AC527" s="316">
        <v>0</v>
      </c>
      <c r="AD527" s="314"/>
      <c r="AE527" s="316"/>
    </row>
    <row r="528" spans="1:31" ht="24.75" hidden="1" thickBot="1">
      <c r="A528" s="885"/>
      <c r="B528" s="885"/>
      <c r="C528" s="9" t="s">
        <v>300</v>
      </c>
      <c r="D528" s="199"/>
      <c r="E528" s="200"/>
      <c r="F528" s="201"/>
      <c r="G528" s="199"/>
      <c r="H528" s="199"/>
      <c r="I528" s="200"/>
      <c r="J528" s="201"/>
      <c r="K528" s="199"/>
      <c r="L528" s="199"/>
      <c r="M528" s="200"/>
      <c r="N528" s="318"/>
      <c r="O528" s="319" t="s">
        <v>634</v>
      </c>
      <c r="P528" s="312" t="s">
        <v>632</v>
      </c>
      <c r="Q528" s="313" t="s">
        <v>646</v>
      </c>
      <c r="R528" s="314">
        <v>1</v>
      </c>
      <c r="S528" s="315"/>
      <c r="T528" s="315"/>
      <c r="U528" s="316">
        <v>1</v>
      </c>
      <c r="V528" s="314"/>
      <c r="W528" s="315"/>
      <c r="X528" s="315"/>
      <c r="Y528" s="316">
        <v>2.5</v>
      </c>
      <c r="Z528" s="314"/>
      <c r="AA528" s="315"/>
      <c r="AB528" s="315"/>
      <c r="AC528" s="316">
        <v>0</v>
      </c>
      <c r="AD528" s="314"/>
      <c r="AE528" s="316"/>
    </row>
    <row r="529" spans="1:31" ht="13.5" hidden="1" thickBot="1">
      <c r="A529" s="885"/>
      <c r="B529" s="885"/>
      <c r="C529" s="9" t="s">
        <v>301</v>
      </c>
      <c r="D529" s="199"/>
      <c r="E529" s="200"/>
      <c r="F529" s="201"/>
      <c r="G529" s="199"/>
      <c r="H529" s="199"/>
      <c r="I529" s="200"/>
      <c r="J529" s="201"/>
      <c r="K529" s="199"/>
      <c r="L529" s="199"/>
      <c r="M529" s="200"/>
      <c r="N529" s="318"/>
      <c r="O529" s="319" t="s">
        <v>634</v>
      </c>
      <c r="P529" s="312" t="s">
        <v>632</v>
      </c>
      <c r="Q529" s="313" t="s">
        <v>646</v>
      </c>
      <c r="R529" s="314">
        <v>2.2999999999999998</v>
      </c>
      <c r="S529" s="315"/>
      <c r="T529" s="315"/>
      <c r="U529" s="316">
        <v>2.2999999999999998</v>
      </c>
      <c r="V529" s="314"/>
      <c r="W529" s="315"/>
      <c r="X529" s="315"/>
      <c r="Y529" s="316">
        <v>3.8</v>
      </c>
      <c r="Z529" s="314"/>
      <c r="AA529" s="315"/>
      <c r="AB529" s="315"/>
      <c r="AC529" s="316">
        <v>0</v>
      </c>
      <c r="AD529" s="314"/>
      <c r="AE529" s="316"/>
    </row>
    <row r="530" spans="1:31" ht="13.5" hidden="1" thickBot="1">
      <c r="A530" s="885"/>
      <c r="B530" s="885"/>
      <c r="C530" s="9" t="s">
        <v>302</v>
      </c>
      <c r="D530" s="199"/>
      <c r="E530" s="200"/>
      <c r="F530" s="201"/>
      <c r="G530" s="199"/>
      <c r="H530" s="199"/>
      <c r="I530" s="200"/>
      <c r="J530" s="201"/>
      <c r="K530" s="199"/>
      <c r="L530" s="199"/>
      <c r="M530" s="200"/>
      <c r="N530" s="318"/>
      <c r="O530" s="319" t="s">
        <v>634</v>
      </c>
      <c r="P530" s="312" t="s">
        <v>632</v>
      </c>
      <c r="Q530" s="313" t="s">
        <v>646</v>
      </c>
      <c r="R530" s="314">
        <v>1.9</v>
      </c>
      <c r="S530" s="315"/>
      <c r="T530" s="315"/>
      <c r="U530" s="316">
        <v>1.9</v>
      </c>
      <c r="V530" s="314"/>
      <c r="W530" s="315"/>
      <c r="X530" s="315"/>
      <c r="Y530" s="316">
        <v>2.4</v>
      </c>
      <c r="Z530" s="314"/>
      <c r="AA530" s="315"/>
      <c r="AB530" s="315"/>
      <c r="AC530" s="316">
        <v>0</v>
      </c>
      <c r="AD530" s="314"/>
      <c r="AE530" s="316"/>
    </row>
    <row r="531" spans="1:31" ht="24.75" hidden="1" thickBot="1">
      <c r="A531" s="885"/>
      <c r="B531" s="885"/>
      <c r="C531" s="9" t="s">
        <v>303</v>
      </c>
      <c r="D531" s="202"/>
      <c r="E531" s="203"/>
      <c r="F531" s="201"/>
      <c r="G531" s="202"/>
      <c r="H531" s="202"/>
      <c r="I531" s="203"/>
      <c r="J531" s="201"/>
      <c r="K531" s="202"/>
      <c r="L531" s="202"/>
      <c r="M531" s="203"/>
      <c r="N531" s="322"/>
      <c r="O531" s="323"/>
      <c r="P531" s="324"/>
      <c r="Q531" s="324"/>
      <c r="R531" s="317"/>
      <c r="S531" s="320"/>
      <c r="T531" s="320"/>
      <c r="U531" s="321"/>
      <c r="V531" s="325"/>
      <c r="W531" s="319" t="s">
        <v>633</v>
      </c>
      <c r="X531" s="312" t="s">
        <v>632</v>
      </c>
      <c r="Y531" s="316">
        <v>0</v>
      </c>
      <c r="Z531" s="314"/>
      <c r="AA531" s="315"/>
      <c r="AB531" s="315"/>
      <c r="AC531" s="316">
        <v>0</v>
      </c>
      <c r="AD531" s="314"/>
      <c r="AE531" s="316"/>
    </row>
    <row r="532" spans="1:31" ht="13.5" hidden="1" thickBot="1">
      <c r="A532" s="885"/>
      <c r="B532" s="885"/>
      <c r="C532" s="9" t="s">
        <v>304</v>
      </c>
      <c r="D532" s="202"/>
      <c r="E532" s="203"/>
      <c r="F532" s="201"/>
      <c r="G532" s="202"/>
      <c r="H532" s="202"/>
      <c r="I532" s="203"/>
      <c r="J532" s="201"/>
      <c r="K532" s="202"/>
      <c r="L532" s="202"/>
      <c r="M532" s="203"/>
      <c r="N532" s="322"/>
      <c r="O532" s="324"/>
      <c r="P532" s="324"/>
      <c r="Q532" s="324"/>
      <c r="R532" s="317"/>
      <c r="S532" s="320"/>
      <c r="T532" s="320"/>
      <c r="U532" s="321"/>
      <c r="V532" s="325"/>
      <c r="W532" s="319" t="s">
        <v>633</v>
      </c>
      <c r="X532" s="312" t="s">
        <v>632</v>
      </c>
      <c r="Y532" s="316">
        <v>0</v>
      </c>
      <c r="Z532" s="314"/>
      <c r="AA532" s="315"/>
      <c r="AB532" s="315"/>
      <c r="AC532" s="316">
        <v>0</v>
      </c>
      <c r="AD532" s="314"/>
      <c r="AE532" s="316"/>
    </row>
    <row r="533" spans="1:31" ht="12.95" hidden="1" customHeight="1" thickBot="1">
      <c r="A533" s="885"/>
      <c r="B533" s="298"/>
      <c r="C533" s="231"/>
      <c r="D533" s="232"/>
      <c r="E533" s="233"/>
      <c r="F533" s="234"/>
      <c r="G533" s="232"/>
      <c r="H533" s="232"/>
      <c r="I533" s="233"/>
      <c r="J533" s="234"/>
      <c r="K533" s="232"/>
      <c r="L533" s="232"/>
      <c r="M533" s="233"/>
      <c r="N533" s="328"/>
      <c r="O533" s="326"/>
      <c r="P533" s="326"/>
      <c r="Q533" s="327"/>
      <c r="R533" s="328"/>
      <c r="S533" s="326"/>
      <c r="T533" s="326"/>
      <c r="U533" s="327"/>
      <c r="V533" s="328"/>
      <c r="W533" s="326"/>
      <c r="X533" s="326"/>
      <c r="Y533" s="327"/>
      <c r="Z533" s="328"/>
      <c r="AA533" s="326"/>
      <c r="AB533" s="326"/>
      <c r="AC533" s="327"/>
      <c r="AD533" s="328"/>
      <c r="AE533" s="327"/>
    </row>
    <row r="534" spans="1:31" ht="12.95" hidden="1" customHeight="1" thickBot="1">
      <c r="A534" s="885"/>
      <c r="B534" s="298"/>
      <c r="C534" s="231"/>
      <c r="D534" s="232"/>
      <c r="E534" s="233"/>
      <c r="F534" s="234"/>
      <c r="G534" s="232"/>
      <c r="H534" s="232"/>
      <c r="I534" s="233"/>
      <c r="J534" s="234"/>
      <c r="K534" s="232"/>
      <c r="L534" s="232"/>
      <c r="M534" s="233"/>
      <c r="N534" s="328"/>
      <c r="O534" s="326"/>
      <c r="P534" s="326"/>
      <c r="Q534" s="327"/>
      <c r="R534" s="328"/>
      <c r="S534" s="326"/>
      <c r="T534" s="326"/>
      <c r="U534" s="327"/>
      <c r="V534" s="328"/>
      <c r="W534" s="326"/>
      <c r="X534" s="326"/>
      <c r="Y534" s="327"/>
      <c r="Z534" s="328"/>
      <c r="AA534" s="326"/>
      <c r="AB534" s="326"/>
      <c r="AC534" s="327"/>
      <c r="AD534" s="328"/>
      <c r="AE534" s="327"/>
    </row>
    <row r="535" spans="1:31" ht="12.95" customHeight="1" thickBot="1">
      <c r="A535" s="885"/>
      <c r="B535" s="136" t="s">
        <v>42</v>
      </c>
      <c r="C535" s="28"/>
      <c r="D535" s="1377">
        <v>2008</v>
      </c>
      <c r="E535" s="1378"/>
      <c r="F535" s="1372">
        <v>2009</v>
      </c>
      <c r="G535" s="1373"/>
      <c r="H535" s="1373"/>
      <c r="I535" s="1374"/>
      <c r="J535" s="1372">
        <v>2010</v>
      </c>
      <c r="K535" s="1373"/>
      <c r="L535" s="1373"/>
      <c r="M535" s="1374"/>
      <c r="N535" s="1372">
        <v>2011</v>
      </c>
      <c r="O535" s="1373"/>
      <c r="P535" s="1373"/>
      <c r="Q535" s="1374"/>
      <c r="R535" s="1372">
        <v>2012</v>
      </c>
      <c r="S535" s="1373"/>
      <c r="T535" s="1373"/>
      <c r="U535" s="1374"/>
      <c r="V535" s="1372">
        <v>2013</v>
      </c>
      <c r="W535" s="1373"/>
      <c r="X535" s="1373"/>
      <c r="Y535" s="1374"/>
      <c r="Z535" s="1372">
        <v>2014</v>
      </c>
      <c r="AA535" s="1373"/>
      <c r="AB535" s="1373"/>
      <c r="AC535" s="1374"/>
      <c r="AD535" s="1372">
        <v>2015</v>
      </c>
      <c r="AE535" s="1374"/>
    </row>
    <row r="536" spans="1:31" ht="12.95" customHeight="1" thickBot="1">
      <c r="A536" s="1382"/>
      <c r="B536" s="868" t="s">
        <v>180</v>
      </c>
      <c r="C536" s="193"/>
      <c r="D536" s="1379" t="s">
        <v>718</v>
      </c>
      <c r="E536" s="1380"/>
      <c r="F536" s="1380"/>
      <c r="G536" s="1380"/>
      <c r="H536" s="1380"/>
      <c r="I536" s="1380"/>
      <c r="J536" s="1380"/>
      <c r="K536" s="1380"/>
      <c r="L536" s="1380"/>
      <c r="M536" s="1380"/>
      <c r="N536" s="1380"/>
      <c r="O536" s="1380"/>
      <c r="P536" s="1380"/>
      <c r="Q536" s="1380"/>
      <c r="R536" s="1380"/>
      <c r="S536" s="1380"/>
      <c r="T536" s="1380"/>
      <c r="U536" s="1380"/>
      <c r="V536" s="1380"/>
      <c r="W536" s="1380"/>
      <c r="X536" s="1380"/>
      <c r="Y536" s="1380"/>
      <c r="Z536" s="1380"/>
      <c r="AA536" s="1380"/>
      <c r="AB536" s="1380"/>
      <c r="AC536" s="1380"/>
      <c r="AD536" s="1380"/>
      <c r="AE536" s="1381"/>
    </row>
    <row r="537" spans="1:31" ht="13.5" thickBot="1">
      <c r="A537" s="1382"/>
      <c r="B537" s="885"/>
      <c r="C537" s="250" t="s">
        <v>649</v>
      </c>
      <c r="D537" s="245"/>
      <c r="E537" s="246"/>
      <c r="F537" s="247"/>
      <c r="G537" s="245"/>
      <c r="H537" s="245"/>
      <c r="I537" s="246"/>
      <c r="J537" s="247"/>
      <c r="K537" s="245"/>
      <c r="L537" s="245"/>
      <c r="M537" s="246"/>
      <c r="N537" s="567"/>
      <c r="O537" s="568">
        <v>64059.317515445451</v>
      </c>
      <c r="P537" s="568"/>
      <c r="Q537" s="569"/>
      <c r="R537" s="567"/>
      <c r="S537" s="568"/>
      <c r="T537" s="568"/>
      <c r="U537" s="568">
        <v>32025.085400199245</v>
      </c>
      <c r="V537" s="567"/>
      <c r="W537" s="568"/>
      <c r="X537" s="568"/>
      <c r="Y537" s="568">
        <v>16328.150652006814</v>
      </c>
      <c r="Z537" s="567"/>
      <c r="AA537" s="568"/>
      <c r="AB537" s="568"/>
      <c r="AC537" s="568">
        <v>38878.298179797988</v>
      </c>
      <c r="AD537" s="567"/>
      <c r="AE537" s="570"/>
    </row>
    <row r="538" spans="1:31" ht="13.5" thickBot="1">
      <c r="A538" s="1382"/>
      <c r="B538" s="885"/>
      <c r="C538" s="250" t="s">
        <v>650</v>
      </c>
      <c r="D538" s="245"/>
      <c r="E538" s="246"/>
      <c r="F538" s="247"/>
      <c r="G538" s="245"/>
      <c r="H538" s="245"/>
      <c r="I538" s="246"/>
      <c r="J538" s="247"/>
      <c r="K538" s="245"/>
      <c r="L538" s="245"/>
      <c r="M538" s="246"/>
      <c r="N538" s="567"/>
      <c r="O538" s="568">
        <v>57530.864730603331</v>
      </c>
      <c r="P538" s="568"/>
      <c r="Q538" s="569"/>
      <c r="R538" s="567"/>
      <c r="S538" s="568"/>
      <c r="T538" s="568"/>
      <c r="U538" s="568">
        <v>29510.828831146609</v>
      </c>
      <c r="V538" s="567"/>
      <c r="W538" s="568"/>
      <c r="X538" s="568"/>
      <c r="Y538" s="568">
        <v>34049.329642743651</v>
      </c>
      <c r="Z538" s="567"/>
      <c r="AA538" s="568"/>
      <c r="AB538" s="568"/>
      <c r="AC538" s="568">
        <v>29650.5713959596</v>
      </c>
      <c r="AD538" s="567"/>
      <c r="AE538" s="570"/>
    </row>
    <row r="539" spans="1:31" ht="13.5" thickBot="1">
      <c r="A539" s="1382"/>
      <c r="B539" s="885"/>
      <c r="C539" s="250" t="s">
        <v>651</v>
      </c>
      <c r="D539" s="245"/>
      <c r="E539" s="246"/>
      <c r="F539" s="247"/>
      <c r="G539" s="245"/>
      <c r="H539" s="245"/>
      <c r="I539" s="246"/>
      <c r="J539" s="247"/>
      <c r="K539" s="245"/>
      <c r="L539" s="245"/>
      <c r="M539" s="246"/>
      <c r="N539" s="567"/>
      <c r="O539" s="568">
        <v>62966.503423655959</v>
      </c>
      <c r="P539" s="568"/>
      <c r="Q539" s="569"/>
      <c r="R539" s="567"/>
      <c r="S539" s="568"/>
      <c r="T539" s="568"/>
      <c r="U539" s="568">
        <v>34038.900496129056</v>
      </c>
      <c r="V539" s="567"/>
      <c r="W539" s="568"/>
      <c r="X539" s="568"/>
      <c r="Y539" s="568">
        <v>22027.260741192164</v>
      </c>
      <c r="Z539" s="567"/>
      <c r="AA539" s="568"/>
      <c r="AB539" s="568"/>
      <c r="AC539" s="568">
        <v>26201.902878787878</v>
      </c>
      <c r="AD539" s="567"/>
      <c r="AE539" s="570"/>
    </row>
    <row r="540" spans="1:31" ht="13.5" thickBot="1">
      <c r="A540" s="1382"/>
      <c r="B540" s="885"/>
      <c r="C540" s="250" t="s">
        <v>652</v>
      </c>
      <c r="D540" s="245"/>
      <c r="E540" s="246"/>
      <c r="F540" s="247"/>
      <c r="G540" s="245"/>
      <c r="H540" s="245"/>
      <c r="I540" s="246"/>
      <c r="J540" s="247"/>
      <c r="K540" s="245"/>
      <c r="L540" s="245"/>
      <c r="M540" s="246"/>
      <c r="N540" s="567"/>
      <c r="O540" s="568">
        <v>65309.854315445438</v>
      </c>
      <c r="P540" s="568"/>
      <c r="Q540" s="569"/>
      <c r="R540" s="567"/>
      <c r="S540" s="568"/>
      <c r="T540" s="568"/>
      <c r="U540" s="568">
        <v>40784.072966865904</v>
      </c>
      <c r="V540" s="567"/>
      <c r="W540" s="568"/>
      <c r="X540" s="568"/>
      <c r="Y540" s="568">
        <v>26562.932856354637</v>
      </c>
      <c r="Z540" s="567"/>
      <c r="AA540" s="568"/>
      <c r="AB540" s="568"/>
      <c r="AC540" s="568">
        <v>50652.077424242423</v>
      </c>
      <c r="AD540" s="567"/>
      <c r="AE540" s="570"/>
    </row>
    <row r="541" spans="1:31" ht="13.5" thickBot="1">
      <c r="A541" s="1382"/>
      <c r="B541" s="885"/>
      <c r="C541" s="250" t="s">
        <v>653</v>
      </c>
      <c r="D541" s="245"/>
      <c r="E541" s="246"/>
      <c r="F541" s="247"/>
      <c r="G541" s="245"/>
      <c r="H541" s="245"/>
      <c r="I541" s="246"/>
      <c r="J541" s="247"/>
      <c r="K541" s="245"/>
      <c r="L541" s="245"/>
      <c r="M541" s="246"/>
      <c r="N541" s="567"/>
      <c r="O541" s="568">
        <v>82718.159999828931</v>
      </c>
      <c r="P541" s="568"/>
      <c r="Q541" s="569"/>
      <c r="R541" s="567"/>
      <c r="S541" s="568"/>
      <c r="T541" s="568"/>
      <c r="U541" s="568">
        <v>34742.115387918537</v>
      </c>
      <c r="V541" s="567"/>
      <c r="W541" s="568"/>
      <c r="X541" s="568"/>
      <c r="Y541" s="568">
        <v>16241.808589878667</v>
      </c>
      <c r="Z541" s="567"/>
      <c r="AA541" s="568"/>
      <c r="AB541" s="568"/>
      <c r="AC541" s="568">
        <v>35355.576818181813</v>
      </c>
      <c r="AD541" s="567"/>
      <c r="AE541" s="570"/>
    </row>
    <row r="542" spans="1:31" ht="12.95" customHeight="1" thickBot="1">
      <c r="A542" s="1382"/>
      <c r="B542" s="885"/>
      <c r="C542" s="250" t="s">
        <v>654</v>
      </c>
      <c r="D542" s="248"/>
      <c r="E542" s="249"/>
      <c r="F542" s="247"/>
      <c r="G542" s="248"/>
      <c r="H542" s="248"/>
      <c r="I542" s="249"/>
      <c r="J542" s="247"/>
      <c r="K542" s="248"/>
      <c r="L542" s="248"/>
      <c r="M542" s="249"/>
      <c r="N542" s="571"/>
      <c r="O542" s="572"/>
      <c r="P542" s="572"/>
      <c r="Q542" s="572"/>
      <c r="R542" s="567"/>
      <c r="S542" s="568"/>
      <c r="T542" s="568"/>
      <c r="U542" s="568">
        <v>12876.441237489304</v>
      </c>
      <c r="V542" s="567"/>
      <c r="W542" s="568"/>
      <c r="X542" s="568"/>
      <c r="Y542" s="568">
        <v>8483.0242038765427</v>
      </c>
      <c r="Z542" s="567"/>
      <c r="AA542" s="568"/>
      <c r="AB542" s="568"/>
      <c r="AC542" s="568">
        <v>38738.373030303032</v>
      </c>
      <c r="AD542" s="567"/>
      <c r="AE542" s="570"/>
    </row>
    <row r="543" spans="1:31" ht="12.95" customHeight="1" thickBot="1">
      <c r="A543" s="1382"/>
      <c r="B543" s="885" t="s">
        <v>178</v>
      </c>
      <c r="C543" s="250" t="s">
        <v>655</v>
      </c>
      <c r="D543" s="248"/>
      <c r="E543" s="249"/>
      <c r="F543" s="247"/>
      <c r="G543" s="248"/>
      <c r="H543" s="248"/>
      <c r="I543" s="249"/>
      <c r="J543" s="247"/>
      <c r="K543" s="248"/>
      <c r="L543" s="248"/>
      <c r="M543" s="249"/>
      <c r="N543" s="571"/>
      <c r="O543" s="572"/>
      <c r="P543" s="572"/>
      <c r="Q543" s="572"/>
      <c r="R543" s="567"/>
      <c r="S543" s="568"/>
      <c r="T543" s="568"/>
      <c r="U543" s="568">
        <v>12704.252373699832</v>
      </c>
      <c r="V543" s="567"/>
      <c r="W543" s="568"/>
      <c r="X543" s="568"/>
      <c r="Y543" s="568">
        <v>8428.5582904943913</v>
      </c>
      <c r="Z543" s="567"/>
      <c r="AA543" s="568"/>
      <c r="AB543" s="568"/>
      <c r="AC543" s="568">
        <v>33408.519848484852</v>
      </c>
      <c r="AD543" s="567"/>
      <c r="AE543" s="570"/>
    </row>
    <row r="544" spans="1:31" ht="12.95" customHeight="1" thickBot="1">
      <c r="A544" s="1382"/>
      <c r="B544" s="885"/>
      <c r="C544" s="250" t="s">
        <v>656</v>
      </c>
      <c r="D544" s="248"/>
      <c r="E544" s="249"/>
      <c r="F544" s="247"/>
      <c r="G544" s="248"/>
      <c r="H544" s="248"/>
      <c r="I544" s="249"/>
      <c r="J544" s="247"/>
      <c r="K544" s="248"/>
      <c r="L544" s="248"/>
      <c r="M544" s="249"/>
      <c r="N544" s="571"/>
      <c r="O544" s="572"/>
      <c r="P544" s="572"/>
      <c r="Q544" s="572"/>
      <c r="R544" s="567"/>
      <c r="S544" s="568"/>
      <c r="T544" s="568"/>
      <c r="U544" s="568">
        <v>13276.722074261234</v>
      </c>
      <c r="V544" s="567"/>
      <c r="W544" s="568"/>
      <c r="X544" s="568"/>
      <c r="Y544" s="568">
        <v>13276.722074261234</v>
      </c>
      <c r="Z544" s="567"/>
      <c r="AA544" s="568"/>
      <c r="AB544" s="568"/>
      <c r="AC544" s="568">
        <v>29524.609696969699</v>
      </c>
      <c r="AD544" s="567"/>
      <c r="AE544" s="570"/>
    </row>
    <row r="545" spans="1:31" ht="12.95" customHeight="1" thickBot="1">
      <c r="A545" s="1382"/>
      <c r="B545" s="885"/>
      <c r="C545" s="250" t="s">
        <v>657</v>
      </c>
      <c r="D545" s="248"/>
      <c r="E545" s="249"/>
      <c r="F545" s="247"/>
      <c r="G545" s="248"/>
      <c r="H545" s="248"/>
      <c r="I545" s="249"/>
      <c r="J545" s="247"/>
      <c r="K545" s="248"/>
      <c r="L545" s="248"/>
      <c r="M545" s="249"/>
      <c r="N545" s="571"/>
      <c r="O545" s="572"/>
      <c r="P545" s="572"/>
      <c r="Q545" s="573"/>
      <c r="R545" s="571"/>
      <c r="S545" s="572"/>
      <c r="T545" s="572"/>
      <c r="U545" s="573"/>
      <c r="V545" s="571"/>
      <c r="W545" s="572"/>
      <c r="X545" s="572"/>
      <c r="Y545" s="573"/>
      <c r="Z545" s="567"/>
      <c r="AA545" s="568"/>
      <c r="AB545" s="568"/>
      <c r="AC545" s="568">
        <v>19255.979919191919</v>
      </c>
      <c r="AD545" s="567"/>
      <c r="AE545" s="570"/>
    </row>
    <row r="546" spans="1:31" ht="12.95" customHeight="1" thickBot="1">
      <c r="A546" s="1382"/>
      <c r="B546" s="885"/>
      <c r="C546" s="250" t="s">
        <v>658</v>
      </c>
      <c r="D546" s="248"/>
      <c r="E546" s="249"/>
      <c r="F546" s="247"/>
      <c r="G546" s="248"/>
      <c r="H546" s="248"/>
      <c r="I546" s="249"/>
      <c r="J546" s="247"/>
      <c r="K546" s="248"/>
      <c r="L546" s="248"/>
      <c r="M546" s="249"/>
      <c r="N546" s="571"/>
      <c r="O546" s="572"/>
      <c r="P546" s="572"/>
      <c r="Q546" s="573"/>
      <c r="R546" s="571"/>
      <c r="S546" s="572"/>
      <c r="T546" s="572"/>
      <c r="U546" s="573"/>
      <c r="V546" s="571"/>
      <c r="W546" s="572"/>
      <c r="X546" s="572"/>
      <c r="Y546" s="573"/>
      <c r="Z546" s="567"/>
      <c r="AA546" s="568"/>
      <c r="AB546" s="568"/>
      <c r="AC546" s="568">
        <v>69331.834141414147</v>
      </c>
      <c r="AD546" s="567"/>
      <c r="AE546" s="570"/>
    </row>
    <row r="547" spans="1:31" ht="12.95" hidden="1" customHeight="1" thickBot="1">
      <c r="A547" s="1382"/>
      <c r="B547" s="885"/>
      <c r="C547" s="9" t="s">
        <v>295</v>
      </c>
      <c r="D547" s="241" t="s">
        <v>632</v>
      </c>
      <c r="E547" s="241" t="s">
        <v>632</v>
      </c>
      <c r="F547" s="243" t="s">
        <v>646</v>
      </c>
      <c r="G547" s="241" t="s">
        <v>646</v>
      </c>
      <c r="H547" s="241" t="s">
        <v>646</v>
      </c>
      <c r="I547" s="244" t="s">
        <v>646</v>
      </c>
      <c r="J547" s="195">
        <v>0</v>
      </c>
      <c r="K547" s="196"/>
      <c r="L547" s="196"/>
      <c r="M547" s="197"/>
      <c r="N547" s="314"/>
      <c r="O547" s="315">
        <v>0</v>
      </c>
      <c r="P547" s="315"/>
      <c r="Q547" s="316"/>
      <c r="R547" s="314"/>
      <c r="S547" s="315"/>
      <c r="T547" s="315"/>
      <c r="U547" s="316">
        <v>4</v>
      </c>
      <c r="V547" s="314"/>
      <c r="W547" s="315"/>
      <c r="X547" s="315"/>
      <c r="Y547" s="316">
        <v>7</v>
      </c>
      <c r="Z547" s="314"/>
      <c r="AA547" s="315"/>
      <c r="AB547" s="315"/>
      <c r="AC547" s="316">
        <v>0</v>
      </c>
      <c r="AD547" s="314"/>
      <c r="AE547" s="316"/>
    </row>
    <row r="548" spans="1:31" ht="12.95" hidden="1" customHeight="1" thickBot="1">
      <c r="A548" s="1382"/>
      <c r="B548" s="885"/>
      <c r="C548" s="9" t="s">
        <v>296</v>
      </c>
      <c r="D548" s="241" t="s">
        <v>632</v>
      </c>
      <c r="E548" s="241" t="s">
        <v>632</v>
      </c>
      <c r="F548" s="243" t="s">
        <v>646</v>
      </c>
      <c r="G548" s="241" t="s">
        <v>646</v>
      </c>
      <c r="H548" s="241" t="s">
        <v>646</v>
      </c>
      <c r="I548" s="244" t="s">
        <v>646</v>
      </c>
      <c r="J548" s="195">
        <v>0</v>
      </c>
      <c r="K548" s="196"/>
      <c r="L548" s="196"/>
      <c r="M548" s="197"/>
      <c r="N548" s="314"/>
      <c r="O548" s="315">
        <v>2</v>
      </c>
      <c r="P548" s="315"/>
      <c r="Q548" s="316"/>
      <c r="R548" s="314"/>
      <c r="S548" s="315"/>
      <c r="T548" s="315"/>
      <c r="U548" s="316">
        <v>5</v>
      </c>
      <c r="V548" s="314"/>
      <c r="W548" s="315"/>
      <c r="X548" s="315"/>
      <c r="Y548" s="316">
        <v>14</v>
      </c>
      <c r="Z548" s="314"/>
      <c r="AA548" s="315"/>
      <c r="AB548" s="315"/>
      <c r="AC548" s="316">
        <v>0</v>
      </c>
      <c r="AD548" s="314"/>
      <c r="AE548" s="316"/>
    </row>
    <row r="549" spans="1:31" ht="13.5" hidden="1" thickBot="1">
      <c r="A549" s="1382"/>
      <c r="B549" s="885"/>
      <c r="C549" s="9" t="s">
        <v>297</v>
      </c>
      <c r="D549" s="241" t="s">
        <v>632</v>
      </c>
      <c r="E549" s="241" t="s">
        <v>632</v>
      </c>
      <c r="F549" s="243" t="s">
        <v>646</v>
      </c>
      <c r="G549" s="241" t="s">
        <v>646</v>
      </c>
      <c r="H549" s="241" t="s">
        <v>646</v>
      </c>
      <c r="I549" s="244" t="s">
        <v>646</v>
      </c>
      <c r="J549" s="195">
        <v>0</v>
      </c>
      <c r="K549" s="196"/>
      <c r="L549" s="196"/>
      <c r="M549" s="197"/>
      <c r="N549" s="314"/>
      <c r="O549" s="315">
        <v>4</v>
      </c>
      <c r="P549" s="315"/>
      <c r="Q549" s="316"/>
      <c r="R549" s="314"/>
      <c r="S549" s="315"/>
      <c r="T549" s="315"/>
      <c r="U549" s="316">
        <v>6</v>
      </c>
      <c r="V549" s="314"/>
      <c r="W549" s="315"/>
      <c r="X549" s="315"/>
      <c r="Y549" s="316">
        <v>6</v>
      </c>
      <c r="Z549" s="314"/>
      <c r="AA549" s="315"/>
      <c r="AB549" s="315"/>
      <c r="AC549" s="316">
        <v>0</v>
      </c>
      <c r="AD549" s="314"/>
      <c r="AE549" s="316"/>
    </row>
    <row r="550" spans="1:31" ht="13.5" hidden="1" thickBot="1">
      <c r="A550" s="1382"/>
      <c r="B550" s="885"/>
      <c r="C550" s="9" t="s">
        <v>298</v>
      </c>
      <c r="D550" s="241" t="s">
        <v>632</v>
      </c>
      <c r="E550" s="241" t="s">
        <v>632</v>
      </c>
      <c r="F550" s="243" t="s">
        <v>646</v>
      </c>
      <c r="G550" s="241" t="s">
        <v>646</v>
      </c>
      <c r="H550" s="241" t="s">
        <v>646</v>
      </c>
      <c r="I550" s="244" t="s">
        <v>646</v>
      </c>
      <c r="J550" s="195">
        <v>0</v>
      </c>
      <c r="K550" s="196"/>
      <c r="L550" s="196"/>
      <c r="M550" s="197"/>
      <c r="N550" s="314"/>
      <c r="O550" s="315">
        <v>6</v>
      </c>
      <c r="P550" s="315"/>
      <c r="Q550" s="316"/>
      <c r="R550" s="314"/>
      <c r="S550" s="315"/>
      <c r="T550" s="315"/>
      <c r="U550" s="316">
        <v>7</v>
      </c>
      <c r="V550" s="314"/>
      <c r="W550" s="315"/>
      <c r="X550" s="315"/>
      <c r="Y550" s="316">
        <v>18</v>
      </c>
      <c r="Z550" s="314"/>
      <c r="AA550" s="315"/>
      <c r="AB550" s="315"/>
      <c r="AC550" s="316">
        <v>0</v>
      </c>
      <c r="AD550" s="314"/>
      <c r="AE550" s="316"/>
    </row>
    <row r="551" spans="1:31" ht="13.5" hidden="1" thickBot="1">
      <c r="A551" s="1382"/>
      <c r="B551" s="885"/>
      <c r="C551" s="9" t="s">
        <v>299</v>
      </c>
      <c r="D551" s="241" t="s">
        <v>632</v>
      </c>
      <c r="E551" s="241" t="s">
        <v>632</v>
      </c>
      <c r="F551" s="243" t="s">
        <v>646</v>
      </c>
      <c r="G551" s="241" t="s">
        <v>646</v>
      </c>
      <c r="H551" s="241" t="s">
        <v>646</v>
      </c>
      <c r="I551" s="244" t="s">
        <v>646</v>
      </c>
      <c r="J551" s="195">
        <v>0</v>
      </c>
      <c r="K551" s="196"/>
      <c r="L551" s="196"/>
      <c r="M551" s="197"/>
      <c r="N551" s="314"/>
      <c r="O551" s="315">
        <v>2</v>
      </c>
      <c r="P551" s="315"/>
      <c r="Q551" s="316"/>
      <c r="R551" s="314"/>
      <c r="S551" s="315"/>
      <c r="T551" s="315"/>
      <c r="U551" s="316">
        <v>4</v>
      </c>
      <c r="V551" s="314"/>
      <c r="W551" s="315"/>
      <c r="X551" s="315"/>
      <c r="Y551" s="316">
        <v>7</v>
      </c>
      <c r="Z551" s="314"/>
      <c r="AA551" s="315"/>
      <c r="AB551" s="315"/>
      <c r="AC551" s="316">
        <v>0</v>
      </c>
      <c r="AD551" s="314"/>
      <c r="AE551" s="316"/>
    </row>
    <row r="552" spans="1:31" ht="24.75" hidden="1" thickBot="1">
      <c r="A552" s="1382"/>
      <c r="B552" s="885"/>
      <c r="C552" s="9" t="s">
        <v>300</v>
      </c>
      <c r="D552" s="199"/>
      <c r="E552" s="200"/>
      <c r="F552" s="201"/>
      <c r="G552" s="199"/>
      <c r="H552" s="199"/>
      <c r="I552" s="200"/>
      <c r="J552" s="201"/>
      <c r="K552" s="199"/>
      <c r="L552" s="199"/>
      <c r="M552" s="200"/>
      <c r="N552" s="318"/>
      <c r="O552" s="319" t="s">
        <v>634</v>
      </c>
      <c r="P552" s="312" t="s">
        <v>632</v>
      </c>
      <c r="Q552" s="313" t="s">
        <v>646</v>
      </c>
      <c r="R552" s="314">
        <v>0</v>
      </c>
      <c r="S552" s="315"/>
      <c r="T552" s="315"/>
      <c r="U552" s="316">
        <v>2</v>
      </c>
      <c r="V552" s="314"/>
      <c r="W552" s="315"/>
      <c r="X552" s="315"/>
      <c r="Y552" s="316">
        <v>4</v>
      </c>
      <c r="Z552" s="314"/>
      <c r="AA552" s="315"/>
      <c r="AB552" s="315"/>
      <c r="AC552" s="316">
        <v>0</v>
      </c>
      <c r="AD552" s="314"/>
      <c r="AE552" s="316"/>
    </row>
    <row r="553" spans="1:31" ht="13.5" hidden="1" thickBot="1">
      <c r="A553" s="1382"/>
      <c r="B553" s="885"/>
      <c r="C553" s="9" t="s">
        <v>301</v>
      </c>
      <c r="D553" s="199"/>
      <c r="E553" s="200"/>
      <c r="F553" s="201"/>
      <c r="G553" s="199"/>
      <c r="H553" s="199"/>
      <c r="I553" s="200"/>
      <c r="J553" s="201"/>
      <c r="K553" s="199"/>
      <c r="L553" s="199"/>
      <c r="M553" s="200"/>
      <c r="N553" s="318"/>
      <c r="O553" s="319" t="s">
        <v>634</v>
      </c>
      <c r="P553" s="312" t="s">
        <v>632</v>
      </c>
      <c r="Q553" s="313" t="s">
        <v>646</v>
      </c>
      <c r="R553" s="314">
        <v>0</v>
      </c>
      <c r="S553" s="315"/>
      <c r="T553" s="315"/>
      <c r="U553" s="316">
        <v>0</v>
      </c>
      <c r="V553" s="314"/>
      <c r="W553" s="315"/>
      <c r="X553" s="315"/>
      <c r="Y553" s="316">
        <v>2</v>
      </c>
      <c r="Z553" s="314"/>
      <c r="AA553" s="315"/>
      <c r="AB553" s="315"/>
      <c r="AC553" s="316">
        <v>0</v>
      </c>
      <c r="AD553" s="314"/>
      <c r="AE553" s="316"/>
    </row>
    <row r="554" spans="1:31" ht="13.5" hidden="1" thickBot="1">
      <c r="A554" s="1382"/>
      <c r="B554" s="885"/>
      <c r="C554" s="9" t="s">
        <v>302</v>
      </c>
      <c r="D554" s="199"/>
      <c r="E554" s="200"/>
      <c r="F554" s="201"/>
      <c r="G554" s="199"/>
      <c r="H554" s="199"/>
      <c r="I554" s="200"/>
      <c r="J554" s="201"/>
      <c r="K554" s="199"/>
      <c r="L554" s="199"/>
      <c r="M554" s="200"/>
      <c r="N554" s="318"/>
      <c r="O554" s="319" t="s">
        <v>634</v>
      </c>
      <c r="P554" s="312" t="s">
        <v>632</v>
      </c>
      <c r="Q554" s="313" t="s">
        <v>646</v>
      </c>
      <c r="R554" s="314">
        <v>0</v>
      </c>
      <c r="S554" s="315"/>
      <c r="T554" s="315"/>
      <c r="U554" s="316">
        <v>0</v>
      </c>
      <c r="V554" s="314"/>
      <c r="W554" s="315"/>
      <c r="X554" s="315"/>
      <c r="Y554" s="316">
        <v>3</v>
      </c>
      <c r="Z554" s="314"/>
      <c r="AA554" s="315"/>
      <c r="AB554" s="315"/>
      <c r="AC554" s="316">
        <v>0</v>
      </c>
      <c r="AD554" s="314"/>
      <c r="AE554" s="316"/>
    </row>
    <row r="555" spans="1:31" ht="24.75" hidden="1" thickBot="1">
      <c r="A555" s="1382"/>
      <c r="B555" s="885"/>
      <c r="C555" s="9" t="s">
        <v>303</v>
      </c>
      <c r="D555" s="202"/>
      <c r="E555" s="203"/>
      <c r="F555" s="201"/>
      <c r="G555" s="202"/>
      <c r="H555" s="202"/>
      <c r="I555" s="203"/>
      <c r="J555" s="201"/>
      <c r="K555" s="202"/>
      <c r="L555" s="202"/>
      <c r="M555" s="203"/>
      <c r="N555" s="322"/>
      <c r="O555" s="323"/>
      <c r="P555" s="324"/>
      <c r="Q555" s="324"/>
      <c r="R555" s="317"/>
      <c r="S555" s="320"/>
      <c r="T555" s="320"/>
      <c r="U555" s="321"/>
      <c r="V555" s="325"/>
      <c r="W555" s="319" t="s">
        <v>633</v>
      </c>
      <c r="X555" s="312" t="s">
        <v>632</v>
      </c>
      <c r="Y555" s="316">
        <v>0</v>
      </c>
      <c r="Z555" s="314"/>
      <c r="AA555" s="315"/>
      <c r="AB555" s="315"/>
      <c r="AC555" s="316">
        <v>0</v>
      </c>
      <c r="AD555" s="314"/>
      <c r="AE555" s="316"/>
    </row>
    <row r="556" spans="1:31" ht="13.5" hidden="1" thickBot="1">
      <c r="A556" s="1383"/>
      <c r="B556" s="869"/>
      <c r="C556" s="9" t="s">
        <v>304</v>
      </c>
      <c r="D556" s="202"/>
      <c r="E556" s="203"/>
      <c r="F556" s="201"/>
      <c r="G556" s="202"/>
      <c r="H556" s="202"/>
      <c r="I556" s="203"/>
      <c r="J556" s="201"/>
      <c r="K556" s="202"/>
      <c r="L556" s="202"/>
      <c r="M556" s="203"/>
      <c r="N556" s="322"/>
      <c r="O556" s="324"/>
      <c r="P556" s="324"/>
      <c r="Q556" s="324"/>
      <c r="R556" s="317"/>
      <c r="S556" s="320"/>
      <c r="T556" s="320"/>
      <c r="U556" s="321"/>
      <c r="V556" s="325"/>
      <c r="W556" s="319" t="s">
        <v>633</v>
      </c>
      <c r="X556" s="312" t="s">
        <v>632</v>
      </c>
      <c r="Y556" s="316">
        <v>0</v>
      </c>
      <c r="Z556" s="314"/>
      <c r="AA556" s="315"/>
      <c r="AB556" s="315"/>
      <c r="AC556" s="316">
        <v>0</v>
      </c>
      <c r="AD556" s="314"/>
      <c r="AE556" s="316"/>
    </row>
    <row r="557" spans="1:31" ht="12.95" hidden="1" customHeight="1" thickBot="1">
      <c r="A557" s="231"/>
      <c r="B557" s="231"/>
      <c r="C557" s="231"/>
      <c r="D557" s="232"/>
      <c r="E557" s="233"/>
      <c r="F557" s="234"/>
      <c r="G557" s="232"/>
      <c r="H557" s="232"/>
      <c r="I557" s="233"/>
      <c r="J557" s="234"/>
      <c r="K557" s="232"/>
      <c r="L557" s="232"/>
      <c r="M557" s="233"/>
      <c r="N557" s="328"/>
      <c r="O557" s="326"/>
      <c r="P557" s="326"/>
      <c r="Q557" s="327"/>
      <c r="R557" s="328"/>
      <c r="S557" s="326"/>
      <c r="T557" s="326"/>
      <c r="U557" s="327"/>
      <c r="V557" s="328"/>
      <c r="W557" s="326"/>
      <c r="X557" s="326"/>
      <c r="Y557" s="327"/>
      <c r="Z557" s="328"/>
      <c r="AA557" s="326"/>
      <c r="AB557" s="326"/>
      <c r="AC557" s="327"/>
      <c r="AD557" s="328"/>
      <c r="AE557" s="327"/>
    </row>
    <row r="558" spans="1:31" ht="12.95" hidden="1" customHeight="1" thickBot="1">
      <c r="A558" s="231"/>
      <c r="B558" s="231"/>
      <c r="C558" s="231"/>
      <c r="D558" s="232"/>
      <c r="E558" s="233"/>
      <c r="F558" s="234"/>
      <c r="G558" s="232"/>
      <c r="H558" s="232"/>
      <c r="I558" s="233"/>
      <c r="J558" s="234"/>
      <c r="K558" s="232"/>
      <c r="L558" s="232"/>
      <c r="M558" s="233"/>
      <c r="N558" s="328"/>
      <c r="O558" s="326"/>
      <c r="P558" s="326"/>
      <c r="Q558" s="327"/>
      <c r="R558" s="328"/>
      <c r="S558" s="326"/>
      <c r="T558" s="326"/>
      <c r="U558" s="327"/>
      <c r="V558" s="328"/>
      <c r="W558" s="326"/>
      <c r="X558" s="326"/>
      <c r="Y558" s="327"/>
      <c r="Z558" s="328"/>
      <c r="AA558" s="326"/>
      <c r="AB558" s="326"/>
      <c r="AC558" s="327"/>
      <c r="AD558" s="328"/>
      <c r="AE558" s="327"/>
    </row>
    <row r="559" spans="1:31" ht="12.95" hidden="1" customHeight="1" thickBot="1">
      <c r="A559" s="231"/>
      <c r="B559" s="231"/>
      <c r="C559" s="231"/>
      <c r="D559" s="232"/>
      <c r="E559" s="233"/>
      <c r="F559" s="234"/>
      <c r="G559" s="232"/>
      <c r="H559" s="232"/>
      <c r="I559" s="233"/>
      <c r="J559" s="234"/>
      <c r="K559" s="232"/>
      <c r="L559" s="232"/>
      <c r="M559" s="233"/>
      <c r="N559" s="328"/>
      <c r="O559" s="326"/>
      <c r="P559" s="326"/>
      <c r="Q559" s="327"/>
      <c r="R559" s="328"/>
      <c r="S559" s="326"/>
      <c r="T559" s="326"/>
      <c r="U559" s="327"/>
      <c r="V559" s="328"/>
      <c r="W559" s="326"/>
      <c r="X559" s="326"/>
      <c r="Y559" s="327"/>
      <c r="Z559" s="328"/>
      <c r="AA559" s="326"/>
      <c r="AB559" s="326"/>
      <c r="AC559" s="327"/>
      <c r="AD559" s="328"/>
      <c r="AE559" s="327"/>
    </row>
    <row r="560" spans="1:31" ht="12.95" hidden="1" customHeight="1" thickBot="1">
      <c r="A560" s="231"/>
      <c r="B560" s="231"/>
      <c r="C560" s="231"/>
      <c r="D560" s="232"/>
      <c r="E560" s="233"/>
      <c r="F560" s="234"/>
      <c r="G560" s="232"/>
      <c r="H560" s="232"/>
      <c r="I560" s="233"/>
      <c r="J560" s="234"/>
      <c r="K560" s="232"/>
      <c r="L560" s="232"/>
      <c r="M560" s="233"/>
      <c r="N560" s="328"/>
      <c r="O560" s="326"/>
      <c r="P560" s="326"/>
      <c r="Q560" s="327"/>
      <c r="R560" s="328"/>
      <c r="S560" s="326"/>
      <c r="T560" s="326"/>
      <c r="U560" s="327"/>
      <c r="V560" s="328"/>
      <c r="W560" s="326"/>
      <c r="X560" s="326"/>
      <c r="Y560" s="327"/>
      <c r="Z560" s="328"/>
      <c r="AA560" s="326"/>
      <c r="AB560" s="326"/>
      <c r="AC560" s="327"/>
      <c r="AD560" s="328"/>
      <c r="AE560" s="327"/>
    </row>
    <row r="561" spans="1:44" ht="12.95" hidden="1" customHeight="1" thickBot="1">
      <c r="A561" s="231"/>
      <c r="B561" s="231"/>
      <c r="C561" s="231"/>
      <c r="D561" s="232"/>
      <c r="E561" s="233"/>
      <c r="F561" s="234"/>
      <c r="G561" s="232"/>
      <c r="H561" s="232"/>
      <c r="I561" s="233"/>
      <c r="J561" s="234"/>
      <c r="K561" s="232"/>
      <c r="L561" s="232"/>
      <c r="M561" s="233"/>
      <c r="N561" s="328"/>
      <c r="O561" s="326"/>
      <c r="P561" s="326"/>
      <c r="Q561" s="327"/>
      <c r="R561" s="328"/>
      <c r="S561" s="326"/>
      <c r="T561" s="326"/>
      <c r="U561" s="327"/>
      <c r="V561" s="328"/>
      <c r="W561" s="326"/>
      <c r="X561" s="326"/>
      <c r="Y561" s="327"/>
      <c r="Z561" s="328"/>
      <c r="AA561" s="326"/>
      <c r="AB561" s="326"/>
      <c r="AC561" s="327"/>
      <c r="AD561" s="328"/>
      <c r="AE561" s="327"/>
    </row>
    <row r="562" spans="1:44" ht="12.95" hidden="1" customHeight="1" thickBot="1">
      <c r="A562" s="231"/>
      <c r="B562" s="231"/>
      <c r="C562" s="231"/>
      <c r="D562" s="232"/>
      <c r="E562" s="233"/>
      <c r="F562" s="234"/>
      <c r="G562" s="232"/>
      <c r="H562" s="232"/>
      <c r="I562" s="233"/>
      <c r="J562" s="234"/>
      <c r="K562" s="232"/>
      <c r="L562" s="232"/>
      <c r="M562" s="233"/>
      <c r="N562" s="328"/>
      <c r="O562" s="326"/>
      <c r="P562" s="326"/>
      <c r="Q562" s="327"/>
      <c r="R562" s="328"/>
      <c r="S562" s="326"/>
      <c r="T562" s="326"/>
      <c r="U562" s="327"/>
      <c r="V562" s="328"/>
      <c r="W562" s="326"/>
      <c r="X562" s="326"/>
      <c r="Y562" s="327"/>
      <c r="Z562" s="328"/>
      <c r="AA562" s="326"/>
      <c r="AB562" s="326"/>
      <c r="AC562" s="327"/>
      <c r="AD562" s="328"/>
      <c r="AE562" s="327"/>
    </row>
    <row r="564" spans="1:44" ht="13.5" thickBot="1">
      <c r="AG564" s="357" t="s">
        <v>1113</v>
      </c>
      <c r="AH564" s="416" t="s">
        <v>1109</v>
      </c>
    </row>
    <row r="565" spans="1:44" ht="12.95" customHeight="1" thickBot="1">
      <c r="A565" s="300" t="s">
        <v>27</v>
      </c>
      <c r="B565" s="299" t="s">
        <v>35</v>
      </c>
      <c r="C565" s="8"/>
      <c r="D565" s="1377">
        <v>2008</v>
      </c>
      <c r="E565" s="1378"/>
      <c r="F565" s="1372">
        <v>2009</v>
      </c>
      <c r="G565" s="1373"/>
      <c r="H565" s="1373"/>
      <c r="I565" s="1374"/>
      <c r="J565" s="1372">
        <v>2010</v>
      </c>
      <c r="K565" s="1373"/>
      <c r="L565" s="1373"/>
      <c r="M565" s="1374"/>
      <c r="N565" s="1372">
        <v>2011</v>
      </c>
      <c r="O565" s="1373"/>
      <c r="P565" s="1373"/>
      <c r="Q565" s="1374"/>
      <c r="R565" s="1372">
        <v>2012</v>
      </c>
      <c r="S565" s="1373"/>
      <c r="T565" s="1373"/>
      <c r="U565" s="1374"/>
      <c r="V565" s="1372">
        <v>2013</v>
      </c>
      <c r="W565" s="1373"/>
      <c r="X565" s="1373"/>
      <c r="Y565" s="1374"/>
      <c r="Z565" s="1372">
        <v>2014</v>
      </c>
      <c r="AA565" s="1373"/>
      <c r="AB565" s="1373"/>
      <c r="AC565" s="1374"/>
      <c r="AD565" s="1372">
        <v>2015</v>
      </c>
      <c r="AE565" s="1374"/>
      <c r="AG565" s="351" t="s">
        <v>1050</v>
      </c>
      <c r="AH565" s="660">
        <f>(SUM(AH566:AH570))/5</f>
        <v>0</v>
      </c>
      <c r="AI565" s="661">
        <f>(SUM(AI566:AI570))/5</f>
        <v>263872.21503743774</v>
      </c>
      <c r="AJ565" s="661">
        <f>(SUM(AJ566:AJ573))/8</f>
        <v>217685.50708855409</v>
      </c>
      <c r="AK565" s="661">
        <f>(SUM(AK566:AK573))/8</f>
        <v>254487.93206498539</v>
      </c>
      <c r="AL565" s="662">
        <f>(SUM(AL566:AL573))/8</f>
        <v>296776.17394932883</v>
      </c>
      <c r="AN565" s="676">
        <f>(SUM(AN566:AN570))/5</f>
        <v>0.22500000000000001</v>
      </c>
      <c r="AO565" s="677">
        <f>(SUM(AO566:AO573))/8</f>
        <v>0.6875</v>
      </c>
      <c r="AP565" s="677">
        <f>(SUM(AP566:AP573))/8</f>
        <v>1.046875</v>
      </c>
      <c r="AQ565" s="677">
        <f>(SUM(AQ566:AQ573))/8</f>
        <v>1.2682291666666665</v>
      </c>
      <c r="AR565" s="678">
        <f>(SUM(AR566:AR573))/8</f>
        <v>2.174479166666667</v>
      </c>
    </row>
    <row r="566" spans="1:44" ht="12.95" customHeight="1" thickBot="1">
      <c r="A566" s="868" t="s">
        <v>70</v>
      </c>
      <c r="B566" s="868" t="s">
        <v>609</v>
      </c>
      <c r="C566" s="250" t="s">
        <v>649</v>
      </c>
      <c r="D566" s="245"/>
      <c r="E566" s="246"/>
      <c r="F566" s="247"/>
      <c r="G566" s="245"/>
      <c r="H566" s="245"/>
      <c r="I566" s="246"/>
      <c r="J566" s="247"/>
      <c r="K566" s="245"/>
      <c r="L566" s="245"/>
      <c r="M566" s="246"/>
      <c r="N566" s="567"/>
      <c r="O566" s="568">
        <v>89447.433592409085</v>
      </c>
      <c r="P566" s="568"/>
      <c r="Q566" s="569"/>
      <c r="R566" s="567"/>
      <c r="S566" s="568"/>
      <c r="T566" s="568"/>
      <c r="U566" s="568">
        <v>11625.344166800196</v>
      </c>
      <c r="V566" s="567"/>
      <c r="W566" s="568"/>
      <c r="X566" s="568"/>
      <c r="Y566" s="568">
        <v>8932.3834778816326</v>
      </c>
      <c r="Z566" s="567"/>
      <c r="AA566" s="568"/>
      <c r="AB566" s="568"/>
      <c r="AC566" s="568">
        <v>13730.399505555552</v>
      </c>
      <c r="AD566" s="567"/>
      <c r="AE566" s="570"/>
      <c r="AG566" s="351" t="s">
        <v>756</v>
      </c>
      <c r="AH566" s="651">
        <v>0</v>
      </c>
      <c r="AI566" s="652">
        <f>O566+O595</f>
        <v>268342.30077722727</v>
      </c>
      <c r="AJ566" s="652">
        <f>AI566+U566+U595</f>
        <v>303218.33327762788</v>
      </c>
      <c r="AK566" s="652">
        <f>AJ566+Y566+Y595</f>
        <v>335250.4007446061</v>
      </c>
      <c r="AL566" s="653">
        <f>AK566+AC566+AC595+AC624</f>
        <v>373046.37561177782</v>
      </c>
      <c r="AN566" s="664">
        <f>(('State DisAgg LFx10 (2014)'!D566/4)+('State DisAgg LFx10 (2014)'!D593/2))/2</f>
        <v>0</v>
      </c>
      <c r="AO566" s="673">
        <f>(('State DisAgg LFx10 (2014)'!H578/4)+('State DisAgg LFx10 (2014)'!H593/2))/2</f>
        <v>0.25</v>
      </c>
      <c r="AP566" s="673">
        <f>(('State DisAgg LFx10 (2014)'!L578/4)+('State DisAgg LFx10 (2014)'!L605/2))/2</f>
        <v>0.625</v>
      </c>
      <c r="AQ566" s="673">
        <f>(('State DisAgg LFx10 (2014)'!P578/4)+('State DisAgg LFx10 (2014)'!Q578/4)+('State DisAgg LFx10 (2014)'!R578/2)+('State DisAgg LFx10 (2014)'!S578/2)+('State DisAgg LFx10 (2014)'!P605/2)+('State DisAgg LFx10 (2014)'!Q605/2)+('State DisAgg LFx10 (2014)'!R605/1)+('State DisAgg LFx10 (2014)'!S605/1)+('State DisAgg LFx10 (2014)'!P620/2)+('State DisAgg LFx10 (2014)'!Q620/2)+('State DisAgg LFx10 (2014)'!R620/1)+('State DisAgg LFx10 (2014)'!S620/2))/4/3</f>
        <v>1.9583333333333333</v>
      </c>
      <c r="AR566" s="674">
        <f>(('State DisAgg LFx10 (2014)'!T578/4)+('State DisAgg LFx10 (2014)'!U578/4)+('State DisAgg LFx10 (2014)'!V578/2)+('State DisAgg LFx10 (2014)'!W578/2)+('State DisAgg LFx10 (2014)'!T605/2)+('State DisAgg LFx10 (2014)'!U605/2)+('State DisAgg LFx10 (2014)'!V605/1)+('State DisAgg LFx10 (2014)'!W605/1)+('State DisAgg LFx10 (2014)'!T632/2)+('State DisAgg LFx10 (2014)'!U632/2)+('State DisAgg LFx10 (2014)'!V632/1)+('State DisAgg LFx10 (2014)'!W632/2))/4/3</f>
        <v>1.625</v>
      </c>
    </row>
    <row r="567" spans="1:44" ht="13.5" thickBot="1">
      <c r="A567" s="885"/>
      <c r="B567" s="885"/>
      <c r="C567" s="250" t="s">
        <v>650</v>
      </c>
      <c r="D567" s="245"/>
      <c r="E567" s="246"/>
      <c r="F567" s="247"/>
      <c r="G567" s="245"/>
      <c r="H567" s="245"/>
      <c r="I567" s="246"/>
      <c r="J567" s="247"/>
      <c r="K567" s="245"/>
      <c r="L567" s="245"/>
      <c r="M567" s="246"/>
      <c r="N567" s="567"/>
      <c r="O567" s="568">
        <v>87020.342284338883</v>
      </c>
      <c r="P567" s="568"/>
      <c r="Q567" s="569"/>
      <c r="R567" s="567"/>
      <c r="S567" s="568"/>
      <c r="T567" s="568"/>
      <c r="U567" s="568">
        <v>13457.871036273882</v>
      </c>
      <c r="V567" s="567"/>
      <c r="W567" s="568"/>
      <c r="X567" s="568"/>
      <c r="Y567" s="568">
        <v>6911.3492652500527</v>
      </c>
      <c r="Z567" s="567"/>
      <c r="AA567" s="568"/>
      <c r="AB567" s="568"/>
      <c r="AC567" s="568">
        <v>16500.925132828281</v>
      </c>
      <c r="AD567" s="567"/>
      <c r="AE567" s="570"/>
      <c r="AG567" s="351" t="s">
        <v>757</v>
      </c>
      <c r="AH567" s="655">
        <v>0</v>
      </c>
      <c r="AI567" s="654">
        <f t="shared" ref="AI567:AI577" si="80">O567+O596</f>
        <v>261061.02685301664</v>
      </c>
      <c r="AJ567" s="654">
        <f t="shared" ref="AJ567:AJ577" si="81">AI567+U567+U596</f>
        <v>301434.63996183831</v>
      </c>
      <c r="AK567" s="654">
        <f t="shared" ref="AK567:AK577" si="82">AJ567+Y567+Y596</f>
        <v>329914.84354092181</v>
      </c>
      <c r="AL567" s="656">
        <f t="shared" ref="AL567:AL577" si="83">AK567+AC567+AC596+AC625</f>
        <v>376447.12223839655</v>
      </c>
      <c r="AN567" s="663">
        <f>(('State DisAgg LFx10 (2014)'!D567/4)+('State DisAgg LFx10 (2014)'!D594/2))/2</f>
        <v>0</v>
      </c>
      <c r="AO567" s="665">
        <f>(('State DisAgg LFx10 (2014)'!H579/4)+('State DisAgg LFx10 (2014)'!H594/2))/2</f>
        <v>0.375</v>
      </c>
      <c r="AP567" s="665">
        <f>(('State DisAgg LFx10 (2014)'!L579/4)+('State DisAgg LFx10 (2014)'!L606/2))/2</f>
        <v>1.25</v>
      </c>
      <c r="AQ567" s="665">
        <f>(('State DisAgg LFx10 (2014)'!P579/4)+('State DisAgg LFx10 (2014)'!Q579/4)+('State DisAgg LFx10 (2014)'!R579/2)+('State DisAgg LFx10 (2014)'!S579/2)+('State DisAgg LFx10 (2014)'!P606/2)+('State DisAgg LFx10 (2014)'!Q606/2)+('State DisAgg LFx10 (2014)'!R606/1)+('State DisAgg LFx10 (2014)'!S606/1)+('State DisAgg LFx10 (2014)'!P621/2)+('State DisAgg LFx10 (2014)'!Q621/2)+('State DisAgg LFx10 (2014)'!R621/1)+('State DisAgg LFx10 (2014)'!S621/2))/4/3</f>
        <v>1.6041666666666667</v>
      </c>
      <c r="AR567" s="666">
        <f>(('State DisAgg LFx10 (2014)'!T579/4)+('State DisAgg LFx10 (2014)'!U579/4)+('State DisAgg LFx10 (2014)'!V579/2)+('State DisAgg LFx10 (2014)'!W579/2)+('State DisAgg LFx10 (2014)'!T606/2)+('State DisAgg LFx10 (2014)'!U606/2)+('State DisAgg LFx10 (2014)'!V606/1)+('State DisAgg LFx10 (2014)'!W606/1)+('State DisAgg LFx10 (2014)'!T633/2)+('State DisAgg LFx10 (2014)'!U633/2)+('State DisAgg LFx10 (2014)'!V633/1)+('State DisAgg LFx10 (2014)'!W633/2))/4/3</f>
        <v>3.1666666666666665</v>
      </c>
    </row>
    <row r="568" spans="1:44" ht="13.5" thickBot="1">
      <c r="A568" s="885"/>
      <c r="B568" s="885"/>
      <c r="C568" s="250" t="s">
        <v>651</v>
      </c>
      <c r="D568" s="245"/>
      <c r="E568" s="246"/>
      <c r="F568" s="247"/>
      <c r="G568" s="245"/>
      <c r="H568" s="245"/>
      <c r="I568" s="246"/>
      <c r="J568" s="247"/>
      <c r="K568" s="245"/>
      <c r="L568" s="245"/>
      <c r="M568" s="246"/>
      <c r="N568" s="567"/>
      <c r="O568" s="568">
        <v>86551.820106093277</v>
      </c>
      <c r="P568" s="568"/>
      <c r="Q568" s="569"/>
      <c r="R568" s="567"/>
      <c r="S568" s="568"/>
      <c r="T568" s="568"/>
      <c r="U568" s="568">
        <v>33105.062212765108</v>
      </c>
      <c r="V568" s="567"/>
      <c r="W568" s="568"/>
      <c r="X568" s="568"/>
      <c r="Y568" s="568">
        <v>8732.0051819090913</v>
      </c>
      <c r="Z568" s="567"/>
      <c r="AA568" s="568"/>
      <c r="AB568" s="568"/>
      <c r="AC568" s="568">
        <v>13707.058593434349</v>
      </c>
      <c r="AD568" s="567"/>
      <c r="AE568" s="570"/>
      <c r="AG568" s="351" t="s">
        <v>758</v>
      </c>
      <c r="AH568" s="655">
        <v>0</v>
      </c>
      <c r="AI568" s="654">
        <f t="shared" si="80"/>
        <v>259655.46031827983</v>
      </c>
      <c r="AJ568" s="654">
        <f t="shared" si="81"/>
        <v>358970.64695657516</v>
      </c>
      <c r="AK568" s="654">
        <f t="shared" si="82"/>
        <v>390219.71828563575</v>
      </c>
      <c r="AL568" s="656">
        <f t="shared" si="83"/>
        <v>430180.51632856508</v>
      </c>
      <c r="AN568" s="663">
        <f>(('State DisAgg LFx10 (2014)'!D568/4)+('State DisAgg LFx10 (2014)'!D595/2))/2</f>
        <v>0.375</v>
      </c>
      <c r="AO568" s="665">
        <f>(('State DisAgg LFx10 (2014)'!H580/4)+('State DisAgg LFx10 (2014)'!H595/2))/2</f>
        <v>1.375</v>
      </c>
      <c r="AP568" s="665">
        <f>(('State DisAgg LFx10 (2014)'!L580/4)+('State DisAgg LFx10 (2014)'!L607/2))/2</f>
        <v>2</v>
      </c>
      <c r="AQ568" s="665">
        <f>(('State DisAgg LFx10 (2014)'!P580/4)+('State DisAgg LFx10 (2014)'!Q580/4)+('State DisAgg LFx10 (2014)'!R580/2)+('State DisAgg LFx10 (2014)'!S580/2)+('State DisAgg LFx10 (2014)'!P607/2)+('State DisAgg LFx10 (2014)'!Q607/2)+('State DisAgg LFx10 (2014)'!R607/1)+('State DisAgg LFx10 (2014)'!S607/1)+('State DisAgg LFx10 (2014)'!P622/2)+('State DisAgg LFx10 (2014)'!Q622/2)+('State DisAgg LFx10 (2014)'!R622/1)+('State DisAgg LFx10 (2014)'!S622/2))/4/3</f>
        <v>1.7083333333333333</v>
      </c>
      <c r="AR568" s="666">
        <f>(('State DisAgg LFx10 (2014)'!T580/4)+('State DisAgg LFx10 (2014)'!U580/4)+('State DisAgg LFx10 (2014)'!V580/2)+('State DisAgg LFx10 (2014)'!W580/2)+('State DisAgg LFx10 (2014)'!T607/2)+('State DisAgg LFx10 (2014)'!U607/2)+('State DisAgg LFx10 (2014)'!V607/1)+('State DisAgg LFx10 (2014)'!W607/1)+('State DisAgg LFx10 (2014)'!T634/2)+('State DisAgg LFx10 (2014)'!U634/2)+('State DisAgg LFx10 (2014)'!V634/1)+('State DisAgg LFx10 (2014)'!W634/2))/4/3</f>
        <v>2.2083333333333335</v>
      </c>
    </row>
    <row r="569" spans="1:44" ht="13.5" thickBot="1">
      <c r="A569" s="885"/>
      <c r="B569" s="885"/>
      <c r="C569" s="250" t="s">
        <v>652</v>
      </c>
      <c r="D569" s="245"/>
      <c r="E569" s="246"/>
      <c r="F569" s="247"/>
      <c r="G569" s="245"/>
      <c r="H569" s="245"/>
      <c r="I569" s="246"/>
      <c r="J569" s="247"/>
      <c r="K569" s="245"/>
      <c r="L569" s="245"/>
      <c r="M569" s="246"/>
      <c r="N569" s="567"/>
      <c r="O569" s="568">
        <v>89306.731592409065</v>
      </c>
      <c r="P569" s="568"/>
      <c r="Q569" s="569"/>
      <c r="R569" s="567"/>
      <c r="S569" s="568"/>
      <c r="T569" s="568"/>
      <c r="U569" s="568">
        <v>23072.954933466855</v>
      </c>
      <c r="V569" s="567"/>
      <c r="W569" s="568"/>
      <c r="X569" s="568"/>
      <c r="Y569" s="568">
        <v>33973.83508222946</v>
      </c>
      <c r="Z569" s="567"/>
      <c r="AA569" s="568"/>
      <c r="AB569" s="568"/>
      <c r="AC569" s="568">
        <v>15773.871967171719</v>
      </c>
      <c r="AD569" s="567"/>
      <c r="AE569" s="570"/>
      <c r="AG569" s="351" t="s">
        <v>759</v>
      </c>
      <c r="AH569" s="655">
        <v>0</v>
      </c>
      <c r="AI569" s="654">
        <f t="shared" si="80"/>
        <v>267920.19477722718</v>
      </c>
      <c r="AJ569" s="654">
        <f t="shared" si="81"/>
        <v>337139.05957762775</v>
      </c>
      <c r="AK569" s="654">
        <f t="shared" si="82"/>
        <v>393317.35685764946</v>
      </c>
      <c r="AL569" s="656">
        <f t="shared" si="83"/>
        <v>437521.03922381112</v>
      </c>
      <c r="AN569" s="663">
        <f>(('State DisAgg LFx10 (2014)'!D569/4)+('State DisAgg LFx10 (2014)'!D596/2))/2</f>
        <v>0</v>
      </c>
      <c r="AO569" s="665">
        <f>(('State DisAgg LFx10 (2014)'!H581/4)+('State DisAgg LFx10 (2014)'!H596/2))/2</f>
        <v>1.625</v>
      </c>
      <c r="AP569" s="665">
        <f>(('State DisAgg LFx10 (2014)'!L581/4)+('State DisAgg LFx10 (2014)'!L608/2))/2</f>
        <v>2.25</v>
      </c>
      <c r="AQ569" s="665">
        <f>(('State DisAgg LFx10 (2014)'!P581/4)+('State DisAgg LFx10 (2014)'!Q581/4)+('State DisAgg LFx10 (2014)'!R581/2)+('State DisAgg LFx10 (2014)'!S581/2)+('State DisAgg LFx10 (2014)'!P608/2)+('State DisAgg LFx10 (2014)'!Q608/2)+('State DisAgg LFx10 (2014)'!R608/1)+('State DisAgg LFx10 (2014)'!S608/1)+('State DisAgg LFx10 (2014)'!P623/2)+('State DisAgg LFx10 (2014)'!Q623/2)+('State DisAgg LFx10 (2014)'!R623/1)+('State DisAgg LFx10 (2014)'!S623/2))/4/3</f>
        <v>1.9166666666666667</v>
      </c>
      <c r="AR569" s="666">
        <f>(('State DisAgg LFx10 (2014)'!T581/4)+('State DisAgg LFx10 (2014)'!U581/4)+('State DisAgg LFx10 (2014)'!V581/2)+('State DisAgg LFx10 (2014)'!W581/2)+('State DisAgg LFx10 (2014)'!T608/2)+('State DisAgg LFx10 (2014)'!U608/2)+('State DisAgg LFx10 (2014)'!V608/1)+('State DisAgg LFx10 (2014)'!W608/1)+('State DisAgg LFx10 (2014)'!T635/2)+('State DisAgg LFx10 (2014)'!U635/2)+('State DisAgg LFx10 (2014)'!V635/1)+('State DisAgg LFx10 (2014)'!W635/2))/4/3</f>
        <v>3.0208333333333335</v>
      </c>
    </row>
    <row r="570" spans="1:44" ht="13.5" thickBot="1">
      <c r="A570" s="885"/>
      <c r="B570" s="885"/>
      <c r="C570" s="250" t="s">
        <v>653</v>
      </c>
      <c r="D570" s="245"/>
      <c r="E570" s="246"/>
      <c r="F570" s="247"/>
      <c r="G570" s="245"/>
      <c r="H570" s="245"/>
      <c r="I570" s="246"/>
      <c r="J570" s="247"/>
      <c r="K570" s="245"/>
      <c r="L570" s="245"/>
      <c r="M570" s="246"/>
      <c r="N570" s="567"/>
      <c r="O570" s="568">
        <v>87460.697487145924</v>
      </c>
      <c r="P570" s="568"/>
      <c r="Q570" s="569"/>
      <c r="R570" s="567"/>
      <c r="S570" s="568"/>
      <c r="T570" s="568"/>
      <c r="U570" s="568">
        <v>36563.996343993174</v>
      </c>
      <c r="V570" s="567"/>
      <c r="W570" s="568"/>
      <c r="X570" s="568"/>
      <c r="Y570" s="568">
        <v>25696.281963121903</v>
      </c>
      <c r="Z570" s="567"/>
      <c r="AA570" s="568"/>
      <c r="AB570" s="568"/>
      <c r="AC570" s="568">
        <v>19375.30819949495</v>
      </c>
      <c r="AD570" s="567"/>
      <c r="AE570" s="570"/>
      <c r="AG570" s="351" t="s">
        <v>760</v>
      </c>
      <c r="AH570" s="655">
        <v>0</v>
      </c>
      <c r="AI570" s="654">
        <f t="shared" si="80"/>
        <v>262382.0924614378</v>
      </c>
      <c r="AJ570" s="654">
        <f t="shared" si="81"/>
        <v>372074.08149341732</v>
      </c>
      <c r="AK570" s="654">
        <f t="shared" si="82"/>
        <v>424767.14941611636</v>
      </c>
      <c r="AL570" s="656">
        <f t="shared" si="83"/>
        <v>470051.02869136888</v>
      </c>
      <c r="AN570" s="663">
        <f>(('State DisAgg LFx10 (2014)'!D570/4)+('State DisAgg LFx10 (2014)'!D597/2))/2</f>
        <v>0.75</v>
      </c>
      <c r="AO570" s="665">
        <f>(('State DisAgg LFx10 (2014)'!H582/4)+('State DisAgg LFx10 (2014)'!H597/2))/2</f>
        <v>1.875</v>
      </c>
      <c r="AP570" s="665">
        <f>(('State DisAgg LFx10 (2014)'!L582/4)+('State DisAgg LFx10 (2014)'!L609/2))/2</f>
        <v>1.5</v>
      </c>
      <c r="AQ570" s="665">
        <f>(('State DisAgg LFx10 (2014)'!P582/4)+('State DisAgg LFx10 (2014)'!Q582/4)+('State DisAgg LFx10 (2014)'!R582/2)+('State DisAgg LFx10 (2014)'!S582/2)+('State DisAgg LFx10 (2014)'!P609/2)+('State DisAgg LFx10 (2014)'!Q609/2)+('State DisAgg LFx10 (2014)'!R609/1)+('State DisAgg LFx10 (2014)'!S609/1)+('State DisAgg LFx10 (2014)'!P624/2)+('State DisAgg LFx10 (2014)'!Q624/2)+('State DisAgg LFx10 (2014)'!R624/1)+('State DisAgg LFx10 (2014)'!S624/2))/4/3</f>
        <v>2.0625</v>
      </c>
      <c r="AR570" s="666">
        <f>(('State DisAgg LFx10 (2014)'!T582/4)+('State DisAgg LFx10 (2014)'!U582/4)+('State DisAgg LFx10 (2014)'!V582/2)+('State DisAgg LFx10 (2014)'!W582/2)+('State DisAgg LFx10 (2014)'!T609/2)+('State DisAgg LFx10 (2014)'!U609/2)+('State DisAgg LFx10 (2014)'!V609/1)+('State DisAgg LFx10 (2014)'!W609/1)+('State DisAgg LFx10 (2014)'!T636/2)+('State DisAgg LFx10 (2014)'!U636/2)+('State DisAgg LFx10 (2014)'!V636/1)+('State DisAgg LFx10 (2014)'!W636/2))/4/3</f>
        <v>3.1041666666666665</v>
      </c>
    </row>
    <row r="571" spans="1:44" ht="12.95" customHeight="1" thickBot="1">
      <c r="A571" s="885"/>
      <c r="B571" s="885"/>
      <c r="C571" s="250" t="s">
        <v>654</v>
      </c>
      <c r="D571" s="248"/>
      <c r="E571" s="249"/>
      <c r="F571" s="247"/>
      <c r="G571" s="248"/>
      <c r="H571" s="248"/>
      <c r="I571" s="249"/>
      <c r="J571" s="247"/>
      <c r="K571" s="248"/>
      <c r="L571" s="248"/>
      <c r="M571" s="249"/>
      <c r="N571" s="571"/>
      <c r="O571" s="572"/>
      <c r="P571" s="572"/>
      <c r="Q571" s="572"/>
      <c r="R571" s="567"/>
      <c r="S571" s="568"/>
      <c r="T571" s="568"/>
      <c r="U571" s="568">
        <v>7218.0936168747212</v>
      </c>
      <c r="V571" s="567"/>
      <c r="W571" s="568"/>
      <c r="X571" s="568"/>
      <c r="Y571" s="568">
        <v>4008.7665489540905</v>
      </c>
      <c r="Z571" s="567"/>
      <c r="AA571" s="568"/>
      <c r="AB571" s="568"/>
      <c r="AC571" s="568">
        <v>13608.758664141413</v>
      </c>
      <c r="AD571" s="567"/>
      <c r="AE571" s="570"/>
      <c r="AG571" s="351" t="s">
        <v>761</v>
      </c>
      <c r="AH571" s="655">
        <v>0</v>
      </c>
      <c r="AI571" s="654">
        <f t="shared" si="80"/>
        <v>0</v>
      </c>
      <c r="AJ571" s="654">
        <f t="shared" si="81"/>
        <v>21654.280850624164</v>
      </c>
      <c r="AK571" s="654">
        <f t="shared" si="82"/>
        <v>41692.085030819762</v>
      </c>
      <c r="AL571" s="656">
        <f t="shared" si="83"/>
        <v>79325.962205062184</v>
      </c>
      <c r="AN571" s="663">
        <f>AO571</f>
        <v>0</v>
      </c>
      <c r="AO571" s="665">
        <f>(('State DisAgg LFx10 (2014)'!H571/4)+('State DisAgg LFx10 (2014)'!H598/2))/2</f>
        <v>0</v>
      </c>
      <c r="AP571" s="665">
        <f>(('State DisAgg LFx10 (2014)'!L583/4)+('State DisAgg LFx10 (2014)'!L610/2))/2</f>
        <v>0.5</v>
      </c>
      <c r="AQ571" s="665">
        <f>(('State DisAgg LFx10 (2014)'!P583/4)+('State DisAgg LFx10 (2014)'!Q583/4)+('State DisAgg LFx10 (2014)'!R583/2)+('State DisAgg LFx10 (2014)'!S583/2)+('State DisAgg LFx10 (2014)'!P610/2)+('State DisAgg LFx10 (2014)'!Q610/2)+('State DisAgg LFx10 (2014)'!R610/1)+('State DisAgg LFx10 (2014)'!S610/1)+('State DisAgg LFx10 (2014)'!P625/2)+('State DisAgg LFx10 (2014)'!Q625/2)+('State DisAgg LFx10 (2014)'!R625/1)+('State DisAgg LFx10 (2014)'!S625/2))/4/3</f>
        <v>0.35416666666666669</v>
      </c>
      <c r="AR571" s="666">
        <f>(('State DisAgg LFx10 (2014)'!T583/4)+('State DisAgg LFx10 (2014)'!U583/4)+('State DisAgg LFx10 (2014)'!V583/2)+('State DisAgg LFx10 (2014)'!W583/2)+('State DisAgg LFx10 (2014)'!T610/2)+('State DisAgg LFx10 (2014)'!U610/2)+('State DisAgg LFx10 (2014)'!V610/1)+('State DisAgg LFx10 (2014)'!W610/1)+('State DisAgg LFx10 (2014)'!T637/2)+('State DisAgg LFx10 (2014)'!U637/2)+('State DisAgg LFx10 (2014)'!V637/1)+('State DisAgg LFx10 (2014)'!W637/2))/4/3</f>
        <v>0.64583333333333337</v>
      </c>
    </row>
    <row r="572" spans="1:44" ht="12.95" customHeight="1" thickBot="1">
      <c r="A572" s="885"/>
      <c r="B572" s="885"/>
      <c r="C572" s="250" t="s">
        <v>655</v>
      </c>
      <c r="D572" s="248"/>
      <c r="E572" s="249"/>
      <c r="F572" s="247"/>
      <c r="G572" s="248"/>
      <c r="H572" s="248"/>
      <c r="I572" s="249"/>
      <c r="J572" s="247"/>
      <c r="K572" s="248"/>
      <c r="L572" s="248"/>
      <c r="M572" s="249"/>
      <c r="N572" s="571"/>
      <c r="O572" s="572"/>
      <c r="P572" s="572"/>
      <c r="Q572" s="572"/>
      <c r="R572" s="567"/>
      <c r="S572" s="568"/>
      <c r="T572" s="568"/>
      <c r="U572" s="568">
        <v>7160.928438979985</v>
      </c>
      <c r="V572" s="567"/>
      <c r="W572" s="568"/>
      <c r="X572" s="568"/>
      <c r="Y572" s="568">
        <v>3542.6864190456236</v>
      </c>
      <c r="Z572" s="567"/>
      <c r="AA572" s="568"/>
      <c r="AB572" s="568"/>
      <c r="AC572" s="568">
        <v>15122.052143939396</v>
      </c>
      <c r="AD572" s="567"/>
      <c r="AE572" s="570"/>
      <c r="AG572" s="351" t="s">
        <v>762</v>
      </c>
      <c r="AH572" s="655">
        <v>0</v>
      </c>
      <c r="AI572" s="654">
        <f t="shared" si="80"/>
        <v>0</v>
      </c>
      <c r="AJ572" s="654">
        <f t="shared" si="81"/>
        <v>21482.785316939953</v>
      </c>
      <c r="AK572" s="654">
        <f t="shared" si="82"/>
        <v>41226.446607410158</v>
      </c>
      <c r="AL572" s="656">
        <f t="shared" si="83"/>
        <v>83617.782862460677</v>
      </c>
      <c r="AN572" s="663">
        <f t="shared" ref="AN572:AP575" si="84">AO572</f>
        <v>0</v>
      </c>
      <c r="AO572" s="665">
        <f>(('State DisAgg LFx10 (2014)'!H572/4)+('State DisAgg LFx10 (2014)'!H599/2))/2</f>
        <v>0</v>
      </c>
      <c r="AP572" s="665">
        <f>(('State DisAgg LFx10 (2014)'!L584/4)+('State DisAgg LFx10 (2014)'!L611/2))/2</f>
        <v>0.125</v>
      </c>
      <c r="AQ572" s="665">
        <f>(('State DisAgg LFx10 (2014)'!P584/4)+('State DisAgg LFx10 (2014)'!Q584/4)+('State DisAgg LFx10 (2014)'!R584/2)+('State DisAgg LFx10 (2014)'!S584/2)+('State DisAgg LFx10 (2014)'!P611/2)+('State DisAgg LFx10 (2014)'!Q611/2)+('State DisAgg LFx10 (2014)'!R611/1)+('State DisAgg LFx10 (2014)'!S611/1)+('State DisAgg LFx10 (2014)'!P626/2)+('State DisAgg LFx10 (2014)'!Q626/2)+('State DisAgg LFx10 (2014)'!R626/1)+('State DisAgg LFx10 (2014)'!S626/2))/4/3</f>
        <v>0.35416666666666669</v>
      </c>
      <c r="AR572" s="666">
        <f>(('State DisAgg LFx10 (2014)'!T584/4)+('State DisAgg LFx10 (2014)'!U584/4)+('State DisAgg LFx10 (2014)'!V584/2)+('State DisAgg LFx10 (2014)'!W584/2)+('State DisAgg LFx10 (2014)'!T611/2)+('State DisAgg LFx10 (2014)'!U611/2)+('State DisAgg LFx10 (2014)'!V611/1)+('State DisAgg LFx10 (2014)'!W611/1)+('State DisAgg LFx10 (2014)'!T638/2)+('State DisAgg LFx10 (2014)'!U638/2)+('State DisAgg LFx10 (2014)'!V638/1)+('State DisAgg LFx10 (2014)'!W638/2))/4/3</f>
        <v>2.2083333333333335</v>
      </c>
    </row>
    <row r="573" spans="1:44" ht="12.95" customHeight="1" thickBot="1">
      <c r="A573" s="885"/>
      <c r="B573" s="885"/>
      <c r="C573" s="250" t="s">
        <v>656</v>
      </c>
      <c r="D573" s="248"/>
      <c r="E573" s="249"/>
      <c r="F573" s="247"/>
      <c r="G573" s="248"/>
      <c r="H573" s="248"/>
      <c r="I573" s="249"/>
      <c r="J573" s="247"/>
      <c r="K573" s="248"/>
      <c r="L573" s="248"/>
      <c r="M573" s="249"/>
      <c r="N573" s="571"/>
      <c r="O573" s="572"/>
      <c r="P573" s="572"/>
      <c r="Q573" s="572"/>
      <c r="R573" s="567"/>
      <c r="S573" s="568"/>
      <c r="T573" s="568"/>
      <c r="U573" s="568">
        <v>8503.4097579273512</v>
      </c>
      <c r="V573" s="567"/>
      <c r="W573" s="568"/>
      <c r="X573" s="568"/>
      <c r="Y573" s="568">
        <v>37999.192409869422</v>
      </c>
      <c r="Z573" s="567"/>
      <c r="AA573" s="568"/>
      <c r="AB573" s="568"/>
      <c r="AC573" s="568">
        <v>16314.130588383836</v>
      </c>
      <c r="AD573" s="567"/>
      <c r="AE573" s="570"/>
      <c r="AG573" s="351" t="s">
        <v>763</v>
      </c>
      <c r="AH573" s="655">
        <v>0</v>
      </c>
      <c r="AI573" s="654">
        <f t="shared" si="80"/>
        <v>0</v>
      </c>
      <c r="AJ573" s="654">
        <f t="shared" si="81"/>
        <v>25510.229273782053</v>
      </c>
      <c r="AK573" s="654">
        <f t="shared" si="82"/>
        <v>79515.456036723655</v>
      </c>
      <c r="AL573" s="656">
        <f t="shared" si="83"/>
        <v>124019.56443318829</v>
      </c>
      <c r="AN573" s="663">
        <f t="shared" si="84"/>
        <v>0</v>
      </c>
      <c r="AO573" s="665">
        <f>(('State DisAgg LFx10 (2014)'!H573/4)+('State DisAgg LFx10 (2014)'!H600/2))/2</f>
        <v>0</v>
      </c>
      <c r="AP573" s="665">
        <f>(('State DisAgg LFx10 (2014)'!L585/4)+('State DisAgg LFx10 (2014)'!L612/2))/2</f>
        <v>0.125</v>
      </c>
      <c r="AQ573" s="665">
        <f>(('State DisAgg LFx10 (2014)'!P585/4)+('State DisAgg LFx10 (2014)'!Q585/4)+('State DisAgg LFx10 (2014)'!R585/2)+('State DisAgg LFx10 (2014)'!S585/2)+('State DisAgg LFx10 (2014)'!P612/2)+('State DisAgg LFx10 (2014)'!Q612/2)+('State DisAgg LFx10 (2014)'!R612/1)+('State DisAgg LFx10 (2014)'!S612/1)+('State DisAgg LFx10 (2014)'!P627/2)+('State DisAgg LFx10 (2014)'!Q627/2)+('State DisAgg LFx10 (2014)'!R627/1)+('State DisAgg LFx10 (2014)'!S627/2))/4/3</f>
        <v>0.1875</v>
      </c>
      <c r="AR573" s="666">
        <f>(('State DisAgg LFx10 (2014)'!T585/4)+('State DisAgg LFx10 (2014)'!U585/4)+('State DisAgg LFx10 (2014)'!V585/2)+('State DisAgg LFx10 (2014)'!W585/2)+('State DisAgg LFx10 (2014)'!T612/2)+('State DisAgg LFx10 (2014)'!U612/2)+('State DisAgg LFx10 (2014)'!V612/1)+('State DisAgg LFx10 (2014)'!W612/1)+('State DisAgg LFx10 (2014)'!T639/2)+('State DisAgg LFx10 (2014)'!U639/2)+('State DisAgg LFx10 (2014)'!V639/1)+('State DisAgg LFx10 (2014)'!W639/2))/4/3</f>
        <v>1.4166666666666667</v>
      </c>
    </row>
    <row r="574" spans="1:44" ht="12.95" customHeight="1" thickBot="1">
      <c r="A574" s="885"/>
      <c r="B574" s="885"/>
      <c r="C574" s="250" t="s">
        <v>657</v>
      </c>
      <c r="D574" s="248"/>
      <c r="E574" s="249"/>
      <c r="F574" s="247"/>
      <c r="G574" s="248"/>
      <c r="H574" s="248"/>
      <c r="I574" s="249"/>
      <c r="J574" s="247"/>
      <c r="K574" s="248"/>
      <c r="L574" s="248"/>
      <c r="M574" s="249"/>
      <c r="N574" s="571"/>
      <c r="O574" s="572"/>
      <c r="P574" s="572"/>
      <c r="Q574" s="573"/>
      <c r="R574" s="571"/>
      <c r="S574" s="572"/>
      <c r="T574" s="572"/>
      <c r="U574" s="573"/>
      <c r="V574" s="571"/>
      <c r="W574" s="572"/>
      <c r="X574" s="572"/>
      <c r="Y574" s="573"/>
      <c r="Z574" s="567"/>
      <c r="AA574" s="568"/>
      <c r="AB574" s="568"/>
      <c r="AC574" s="568">
        <v>14487.795354040401</v>
      </c>
      <c r="AD574" s="567"/>
      <c r="AE574" s="570"/>
      <c r="AG574" s="351" t="s">
        <v>1098</v>
      </c>
      <c r="AH574" s="655">
        <v>0</v>
      </c>
      <c r="AI574" s="654">
        <f t="shared" si="80"/>
        <v>0</v>
      </c>
      <c r="AJ574" s="654">
        <f t="shared" si="81"/>
        <v>0</v>
      </c>
      <c r="AK574" s="654">
        <f t="shared" si="82"/>
        <v>0</v>
      </c>
      <c r="AL574" s="656">
        <f t="shared" si="83"/>
        <v>39936.022978282825</v>
      </c>
      <c r="AN574" s="663">
        <f t="shared" si="84"/>
        <v>0</v>
      </c>
      <c r="AO574" s="665">
        <f t="shared" si="84"/>
        <v>0</v>
      </c>
      <c r="AP574" s="665">
        <f t="shared" si="84"/>
        <v>0</v>
      </c>
      <c r="AQ574" s="665">
        <f>AR574</f>
        <v>0</v>
      </c>
      <c r="AR574" s="666">
        <f>(('State DisAgg LFx10 (2014)'!T586/4)+('State DisAgg LFx10 (2014)'!U586/4)+('State DisAgg LFx10 (2014)'!V586/2)+('State DisAgg LFx10 (2014)'!W586/2)+('State DisAgg LFx10 (2014)'!T613/2)+('State DisAgg LFx10 (2014)'!U613/2)+('State DisAgg LFx10 (2014)'!V613/1)+('State DisAgg LFx10 (2014)'!W613/1)+('State DisAgg LFx10 (2014)'!T640/2)+('State DisAgg LFx10 (2014)'!U640/2)+('State DisAgg LFx10 (2014)'!V640/1)+('State DisAgg LFx10 (2014)'!W640/2))/4/3</f>
        <v>0</v>
      </c>
    </row>
    <row r="575" spans="1:44" ht="12.95" customHeight="1" thickBot="1">
      <c r="A575" s="885"/>
      <c r="B575" s="885"/>
      <c r="C575" s="250" t="s">
        <v>658</v>
      </c>
      <c r="D575" s="248"/>
      <c r="E575" s="249"/>
      <c r="F575" s="247"/>
      <c r="G575" s="248"/>
      <c r="H575" s="248"/>
      <c r="I575" s="249"/>
      <c r="J575" s="247"/>
      <c r="K575" s="248"/>
      <c r="L575" s="248"/>
      <c r="M575" s="249"/>
      <c r="N575" s="571"/>
      <c r="O575" s="572"/>
      <c r="P575" s="572"/>
      <c r="Q575" s="573"/>
      <c r="R575" s="571"/>
      <c r="S575" s="572"/>
      <c r="T575" s="572"/>
      <c r="U575" s="573"/>
      <c r="V575" s="571"/>
      <c r="W575" s="572"/>
      <c r="X575" s="572"/>
      <c r="Y575" s="573"/>
      <c r="Z575" s="567"/>
      <c r="AA575" s="568"/>
      <c r="AB575" s="568"/>
      <c r="AC575" s="568">
        <v>12846.742477272728</v>
      </c>
      <c r="AD575" s="567"/>
      <c r="AE575" s="570"/>
      <c r="AG575" s="351" t="s">
        <v>1099</v>
      </c>
      <c r="AH575" s="655">
        <v>0</v>
      </c>
      <c r="AI575" s="654">
        <f t="shared" si="80"/>
        <v>0</v>
      </c>
      <c r="AJ575" s="654">
        <f t="shared" si="81"/>
        <v>0</v>
      </c>
      <c r="AK575" s="654">
        <f t="shared" si="82"/>
        <v>0</v>
      </c>
      <c r="AL575" s="656">
        <f t="shared" si="83"/>
        <v>36521.601517676769</v>
      </c>
      <c r="AN575" s="667">
        <f t="shared" si="84"/>
        <v>0</v>
      </c>
      <c r="AO575" s="668">
        <f t="shared" si="84"/>
        <v>0</v>
      </c>
      <c r="AP575" s="668">
        <f t="shared" si="84"/>
        <v>0</v>
      </c>
      <c r="AQ575" s="668">
        <f>AR575</f>
        <v>0</v>
      </c>
      <c r="AR575" s="669">
        <f>(('State DisAgg LFx10 (2014)'!T587/4)+('State DisAgg LFx10 (2014)'!U587/4)+('State DisAgg LFx10 (2014)'!V587/2)+('State DisAgg LFx10 (2014)'!W587/2)+('State DisAgg LFx10 (2014)'!T614/2)+('State DisAgg LFx10 (2014)'!U614/2)+('State DisAgg LFx10 (2014)'!V614/1)+('State DisAgg LFx10 (2014)'!W614/1)+('State DisAgg LFx10 (2014)'!T641/2)+('State DisAgg LFx10 (2014)'!U641/2)+('State DisAgg LFx10 (2014)'!V641/1)+('State DisAgg LFx10 (2014)'!W641/2))/4/3</f>
        <v>0</v>
      </c>
    </row>
    <row r="576" spans="1:44" ht="13.5" thickBot="1">
      <c r="A576" s="885"/>
      <c r="B576" s="885"/>
      <c r="C576" s="250" t="s">
        <v>659</v>
      </c>
      <c r="D576" s="248"/>
      <c r="E576" s="249"/>
      <c r="F576" s="247"/>
      <c r="G576" s="248"/>
      <c r="H576" s="248"/>
      <c r="I576" s="249"/>
      <c r="J576" s="247"/>
      <c r="K576" s="248"/>
      <c r="L576" s="248"/>
      <c r="M576" s="249"/>
      <c r="N576" s="567"/>
      <c r="O576" s="568">
        <v>165165.25607999999</v>
      </c>
      <c r="P576" s="568"/>
      <c r="Q576" s="569"/>
      <c r="R576" s="567"/>
      <c r="S576" s="568"/>
      <c r="T576" s="568"/>
      <c r="U576" s="568">
        <v>140245.05752639999</v>
      </c>
      <c r="V576" s="567"/>
      <c r="W576" s="568"/>
      <c r="X576" s="568"/>
      <c r="Y576" s="568">
        <v>16755.507212</v>
      </c>
      <c r="Z576" s="567"/>
      <c r="AA576" s="568"/>
      <c r="AB576" s="568"/>
      <c r="AC576" s="568">
        <v>10338.825465404043</v>
      </c>
      <c r="AD576" s="567"/>
      <c r="AE576" s="570"/>
      <c r="AG576" s="351" t="s">
        <v>1100</v>
      </c>
      <c r="AH576" s="651">
        <v>0</v>
      </c>
      <c r="AI576" s="652">
        <f t="shared" si="80"/>
        <v>458439.48696000001</v>
      </c>
      <c r="AJ576" s="652">
        <f t="shared" si="81"/>
        <v>846565.13201279996</v>
      </c>
      <c r="AK576" s="652">
        <f t="shared" si="82"/>
        <v>880076.1464367999</v>
      </c>
      <c r="AL576" s="653">
        <f t="shared" si="83"/>
        <v>911429.60685245646</v>
      </c>
      <c r="AN576" s="664">
        <f>(('State DisAgg LFx10 (2014)'!D576/4)+('State DisAgg LFx10 (2014)'!D603/2))/2</f>
        <v>0</v>
      </c>
      <c r="AO576" s="673">
        <f>(('State DisAgg LFx10 (2014)'!H588/4)+('State DisAgg LFx10 (2014)'!H603/2))/2</f>
        <v>1.25</v>
      </c>
      <c r="AP576" s="673">
        <f>(('State DisAgg LFx10 (2014)'!L588/4)+('State DisAgg LFx10 (2014)'!L615/2))/2</f>
        <v>3.625</v>
      </c>
      <c r="AQ576" s="673">
        <f>(('State DisAgg LFx10 (2014)'!P588/4)+('State DisAgg LFx10 (2014)'!Q588/4)+('State DisAgg LFx10 (2014)'!R588/2)+('State DisAgg LFx10 (2014)'!S588/2)+('State DisAgg LFx10 (2014)'!P615/2)+('State DisAgg LFx10 (2014)'!Q615/2)+('State DisAgg LFx10 (2014)'!R615/1)+('State DisAgg LFx10 (2014)'!S615/1)+('State DisAgg LFx10 (2014)'!P630/2)+('State DisAgg LFx10 (2014)'!Q630/2)+('State DisAgg LFx10 (2014)'!R630/1)+('State DisAgg LFx10 (2014)'!S630/2))/4/3</f>
        <v>3.75</v>
      </c>
      <c r="AR576" s="674">
        <f>(('State DisAgg LFx10 (2014)'!T588/4)+('State DisAgg LFx10 (2014)'!U588/4)+('State DisAgg LFx10 (2014)'!V588/2)+('State DisAgg LFx10 (2014)'!W588/2)+('State DisAgg LFx10 (2014)'!T615/2)+('State DisAgg LFx10 (2014)'!U615/2)+('State DisAgg LFx10 (2014)'!V615/1)+('State DisAgg LFx10 (2014)'!W615/1)+('State DisAgg LFx10 (2014)'!T642/2)+('State DisAgg LFx10 (2014)'!U642/2)+('State DisAgg LFx10 (2014)'!V642/1)+('State DisAgg LFx10 (2014)'!W642/2))/4/3</f>
        <v>6.8125</v>
      </c>
    </row>
    <row r="577" spans="1:44" ht="13.5" thickBot="1">
      <c r="A577" s="885"/>
      <c r="B577" s="885"/>
      <c r="C577" s="250" t="s">
        <v>660</v>
      </c>
      <c r="D577" s="248"/>
      <c r="E577" s="249"/>
      <c r="F577" s="247"/>
      <c r="G577" s="248"/>
      <c r="H577" s="248"/>
      <c r="I577" s="249"/>
      <c r="J577" s="247"/>
      <c r="K577" s="248"/>
      <c r="L577" s="248"/>
      <c r="M577" s="249"/>
      <c r="N577" s="567"/>
      <c r="O577" s="568">
        <v>0</v>
      </c>
      <c r="P577" s="568"/>
      <c r="Q577" s="569"/>
      <c r="R577" s="567"/>
      <c r="S577" s="568"/>
      <c r="T577" s="568"/>
      <c r="U577" s="568">
        <v>0</v>
      </c>
      <c r="V577" s="567"/>
      <c r="W577" s="568"/>
      <c r="X577" s="568"/>
      <c r="Y577" s="568">
        <v>0</v>
      </c>
      <c r="Z577" s="567"/>
      <c r="AA577" s="568"/>
      <c r="AB577" s="568"/>
      <c r="AC577" s="568">
        <v>10338.825465404043</v>
      </c>
      <c r="AD577" s="567"/>
      <c r="AE577" s="570"/>
      <c r="AG577" s="351" t="s">
        <v>1101</v>
      </c>
      <c r="AH577" s="657">
        <v>0</v>
      </c>
      <c r="AI577" s="658">
        <f t="shared" si="80"/>
        <v>0</v>
      </c>
      <c r="AJ577" s="658">
        <f t="shared" si="81"/>
        <v>0</v>
      </c>
      <c r="AK577" s="658">
        <f t="shared" si="82"/>
        <v>6685</v>
      </c>
      <c r="AL577" s="659">
        <f t="shared" si="83"/>
        <v>39920.210415656577</v>
      </c>
      <c r="AN577" s="667">
        <f>(('State DisAgg LFx10 (2014)'!D577/4)+('State DisAgg LFx10 (2014)'!D604/2))/2</f>
        <v>0</v>
      </c>
      <c r="AO577" s="668">
        <f>(('State DisAgg LFx10 (2014)'!H589/4)+('State DisAgg LFx10 (2014)'!H604/2))/2</f>
        <v>0</v>
      </c>
      <c r="AP577" s="668">
        <f>(('State DisAgg LFx10 (2014)'!L589/4)+('State DisAgg LFx10 (2014)'!L616/2))/2</f>
        <v>0</v>
      </c>
      <c r="AQ577" s="668">
        <f>(('State DisAgg LFx10 (2014)'!P589/4)+('State DisAgg LFx10 (2014)'!Q589/4)+('State DisAgg LFx10 (2014)'!R589/2)+('State DisAgg LFx10 (2014)'!S589/2)+('State DisAgg LFx10 (2014)'!P616/2)+('State DisAgg LFx10 (2014)'!Q616/2)+('State DisAgg LFx10 (2014)'!R616/1)+('State DisAgg LFx10 (2014)'!S616/1)+('State DisAgg LFx10 (2014)'!P631/2)+('State DisAgg LFx10 (2014)'!Q631/2)+('State DisAgg LFx10 (2014)'!R631/1)+('State DisAgg LFx10 (2014)'!S631/2))/4/3</f>
        <v>2.3125</v>
      </c>
      <c r="AR577" s="669">
        <f>(('State DisAgg LFx10 (2014)'!T589/4)+('State DisAgg LFx10 (2014)'!U589/4)+('State DisAgg LFx10 (2014)'!V589/2)+('State DisAgg LFx10 (2014)'!W589/2)+('State DisAgg LFx10 (2014)'!T616/2)+('State DisAgg LFx10 (2014)'!U616/2)+('State DisAgg LFx10 (2014)'!V616/1)+('State DisAgg LFx10 (2014)'!W616/1)+('State DisAgg LFx10 (2014)'!T643/2)+('State DisAgg LFx10 (2014)'!U643/2)+('State DisAgg LFx10 (2014)'!V643/1)+('State DisAgg LFx10 (2014)'!W643/2))/4/3</f>
        <v>6</v>
      </c>
    </row>
    <row r="578" spans="1:44" ht="13.5" hidden="1" thickBot="1">
      <c r="A578" s="885"/>
      <c r="B578" s="885"/>
      <c r="C578" s="250" t="s">
        <v>661</v>
      </c>
      <c r="D578" s="248"/>
      <c r="E578" s="249"/>
      <c r="F578" s="247"/>
      <c r="G578" s="248"/>
      <c r="H578" s="248"/>
      <c r="I578" s="249"/>
      <c r="J578" s="247"/>
      <c r="K578" s="248"/>
      <c r="L578" s="248"/>
      <c r="M578" s="249"/>
      <c r="N578" s="309"/>
      <c r="O578" s="310"/>
      <c r="P578" s="310"/>
      <c r="Q578" s="311"/>
      <c r="R578" s="309"/>
      <c r="S578" s="310"/>
      <c r="T578" s="310"/>
      <c r="U578" s="311"/>
      <c r="V578" s="309"/>
      <c r="W578" s="310"/>
      <c r="X578" s="310"/>
      <c r="Y578" s="311"/>
      <c r="Z578" s="309"/>
      <c r="AA578" s="310"/>
      <c r="AB578" s="310"/>
      <c r="AC578" s="311"/>
      <c r="AD578" s="309"/>
      <c r="AE578" s="311"/>
    </row>
    <row r="579" spans="1:44" ht="13.5" hidden="1" thickBot="1">
      <c r="A579" s="885"/>
      <c r="B579" s="885"/>
      <c r="C579" s="9" t="s">
        <v>295</v>
      </c>
      <c r="D579" s="241" t="s">
        <v>632</v>
      </c>
      <c r="E579" s="241" t="s">
        <v>632</v>
      </c>
      <c r="F579" s="243" t="s">
        <v>646</v>
      </c>
      <c r="G579" s="241" t="s">
        <v>646</v>
      </c>
      <c r="H579" s="241" t="s">
        <v>646</v>
      </c>
      <c r="I579" s="244" t="s">
        <v>646</v>
      </c>
      <c r="J579" s="195">
        <v>0</v>
      </c>
      <c r="K579" s="196"/>
      <c r="L579" s="196"/>
      <c r="M579" s="197"/>
      <c r="N579" s="314"/>
      <c r="O579" s="315">
        <v>0</v>
      </c>
      <c r="P579" s="315"/>
      <c r="Q579" s="316"/>
      <c r="R579" s="314"/>
      <c r="S579" s="315"/>
      <c r="T579" s="315"/>
      <c r="U579" s="316">
        <v>3</v>
      </c>
      <c r="V579" s="314"/>
      <c r="W579" s="315"/>
      <c r="X579" s="315"/>
      <c r="Y579" s="316">
        <v>10</v>
      </c>
      <c r="Z579" s="314"/>
      <c r="AA579" s="315"/>
      <c r="AB579" s="315"/>
      <c r="AC579" s="316">
        <v>0</v>
      </c>
      <c r="AD579" s="314"/>
      <c r="AE579" s="316"/>
    </row>
    <row r="580" spans="1:44" ht="13.5" hidden="1" thickBot="1">
      <c r="A580" s="885"/>
      <c r="B580" s="885"/>
      <c r="C580" s="9" t="s">
        <v>296</v>
      </c>
      <c r="D580" s="241" t="s">
        <v>632</v>
      </c>
      <c r="E580" s="241" t="s">
        <v>632</v>
      </c>
      <c r="F580" s="243" t="s">
        <v>646</v>
      </c>
      <c r="G580" s="241" t="s">
        <v>646</v>
      </c>
      <c r="H580" s="241" t="s">
        <v>646</v>
      </c>
      <c r="I580" s="244" t="s">
        <v>646</v>
      </c>
      <c r="J580" s="195">
        <v>0</v>
      </c>
      <c r="K580" s="196"/>
      <c r="L580" s="196"/>
      <c r="M580" s="197"/>
      <c r="N580" s="314"/>
      <c r="O580" s="315">
        <v>1</v>
      </c>
      <c r="P580" s="315"/>
      <c r="Q580" s="316"/>
      <c r="R580" s="314"/>
      <c r="S580" s="315"/>
      <c r="T580" s="315"/>
      <c r="U580" s="316">
        <v>10</v>
      </c>
      <c r="V580" s="314"/>
      <c r="W580" s="315"/>
      <c r="X580" s="315"/>
      <c r="Y580" s="316">
        <v>18</v>
      </c>
      <c r="Z580" s="314"/>
      <c r="AA580" s="315"/>
      <c r="AB580" s="315"/>
      <c r="AC580" s="316">
        <v>0</v>
      </c>
      <c r="AD580" s="314"/>
      <c r="AE580" s="316"/>
    </row>
    <row r="581" spans="1:44" ht="13.5" hidden="1" thickBot="1">
      <c r="A581" s="885"/>
      <c r="B581" s="885"/>
      <c r="C581" s="9" t="s">
        <v>297</v>
      </c>
      <c r="D581" s="241" t="s">
        <v>632</v>
      </c>
      <c r="E581" s="241" t="s">
        <v>632</v>
      </c>
      <c r="F581" s="243" t="s">
        <v>646</v>
      </c>
      <c r="G581" s="241" t="s">
        <v>646</v>
      </c>
      <c r="H581" s="241" t="s">
        <v>646</v>
      </c>
      <c r="I581" s="244" t="s">
        <v>646</v>
      </c>
      <c r="J581" s="195">
        <v>3</v>
      </c>
      <c r="K581" s="196"/>
      <c r="L581" s="196"/>
      <c r="M581" s="197"/>
      <c r="N581" s="314"/>
      <c r="O581" s="315">
        <v>7</v>
      </c>
      <c r="P581" s="315"/>
      <c r="Q581" s="316"/>
      <c r="R581" s="314"/>
      <c r="S581" s="315"/>
      <c r="T581" s="315"/>
      <c r="U581" s="316">
        <v>8</v>
      </c>
      <c r="V581" s="314"/>
      <c r="W581" s="315"/>
      <c r="X581" s="315"/>
      <c r="Y581" s="316">
        <v>12</v>
      </c>
      <c r="Z581" s="314"/>
      <c r="AA581" s="315"/>
      <c r="AB581" s="315"/>
      <c r="AC581" s="316">
        <v>0</v>
      </c>
      <c r="AD581" s="314"/>
      <c r="AE581" s="316"/>
    </row>
    <row r="582" spans="1:44" ht="13.5" hidden="1" thickBot="1">
      <c r="A582" s="885"/>
      <c r="B582" s="885"/>
      <c r="C582" s="9" t="s">
        <v>298</v>
      </c>
      <c r="D582" s="241" t="s">
        <v>632</v>
      </c>
      <c r="E582" s="241" t="s">
        <v>632</v>
      </c>
      <c r="F582" s="243" t="s">
        <v>646</v>
      </c>
      <c r="G582" s="241" t="s">
        <v>646</v>
      </c>
      <c r="H582" s="241" t="s">
        <v>646</v>
      </c>
      <c r="I582" s="244" t="s">
        <v>646</v>
      </c>
      <c r="J582" s="195">
        <v>0</v>
      </c>
      <c r="K582" s="196"/>
      <c r="L582" s="196"/>
      <c r="M582" s="197"/>
      <c r="N582" s="314"/>
      <c r="O582" s="315">
        <v>3</v>
      </c>
      <c r="P582" s="315"/>
      <c r="Q582" s="316"/>
      <c r="R582" s="314"/>
      <c r="S582" s="315"/>
      <c r="T582" s="315"/>
      <c r="U582" s="316">
        <v>8</v>
      </c>
      <c r="V582" s="314"/>
      <c r="W582" s="315"/>
      <c r="X582" s="315"/>
      <c r="Y582" s="316">
        <v>13</v>
      </c>
      <c r="Z582" s="314"/>
      <c r="AA582" s="315"/>
      <c r="AB582" s="315"/>
      <c r="AC582" s="316">
        <v>0</v>
      </c>
      <c r="AD582" s="314"/>
      <c r="AE582" s="316"/>
    </row>
    <row r="583" spans="1:44" ht="13.5" hidden="1" thickBot="1">
      <c r="A583" s="885"/>
      <c r="B583" s="885"/>
      <c r="C583" s="9" t="s">
        <v>299</v>
      </c>
      <c r="D583" s="241" t="s">
        <v>632</v>
      </c>
      <c r="E583" s="241" t="s">
        <v>632</v>
      </c>
      <c r="F583" s="243" t="s">
        <v>646</v>
      </c>
      <c r="G583" s="241" t="s">
        <v>646</v>
      </c>
      <c r="H583" s="241" t="s">
        <v>646</v>
      </c>
      <c r="I583" s="244" t="s">
        <v>646</v>
      </c>
      <c r="J583" s="195">
        <v>2</v>
      </c>
      <c r="K583" s="196"/>
      <c r="L583" s="196"/>
      <c r="M583" s="197"/>
      <c r="N583" s="314"/>
      <c r="O583" s="315">
        <v>5</v>
      </c>
      <c r="P583" s="315"/>
      <c r="Q583" s="316"/>
      <c r="R583" s="314"/>
      <c r="S583" s="315"/>
      <c r="T583" s="315"/>
      <c r="U583" s="316">
        <v>8</v>
      </c>
      <c r="V583" s="314"/>
      <c r="W583" s="315"/>
      <c r="X583" s="315"/>
      <c r="Y583" s="316">
        <v>9</v>
      </c>
      <c r="Z583" s="314"/>
      <c r="AA583" s="315"/>
      <c r="AB583" s="315"/>
      <c r="AC583" s="316">
        <v>0</v>
      </c>
      <c r="AD583" s="314"/>
      <c r="AE583" s="316"/>
    </row>
    <row r="584" spans="1:44" ht="24.75" hidden="1" thickBot="1">
      <c r="A584" s="885"/>
      <c r="B584" s="885"/>
      <c r="C584" s="9" t="s">
        <v>300</v>
      </c>
      <c r="D584" s="199"/>
      <c r="E584" s="200"/>
      <c r="F584" s="201"/>
      <c r="G584" s="199"/>
      <c r="H584" s="199"/>
      <c r="I584" s="200"/>
      <c r="J584" s="201"/>
      <c r="K584" s="199"/>
      <c r="L584" s="199"/>
      <c r="M584" s="200"/>
      <c r="N584" s="318"/>
      <c r="O584" s="319" t="s">
        <v>634</v>
      </c>
      <c r="P584" s="312" t="s">
        <v>632</v>
      </c>
      <c r="Q584" s="313" t="s">
        <v>646</v>
      </c>
      <c r="R584" s="314">
        <v>0</v>
      </c>
      <c r="S584" s="315"/>
      <c r="T584" s="315"/>
      <c r="U584" s="316">
        <v>2</v>
      </c>
      <c r="V584" s="314"/>
      <c r="W584" s="315"/>
      <c r="X584" s="315"/>
      <c r="Y584" s="316">
        <v>2</v>
      </c>
      <c r="Z584" s="314"/>
      <c r="AA584" s="315"/>
      <c r="AB584" s="315"/>
      <c r="AC584" s="316">
        <v>0</v>
      </c>
      <c r="AD584" s="314"/>
      <c r="AE584" s="316"/>
    </row>
    <row r="585" spans="1:44" ht="13.5" hidden="1" thickBot="1">
      <c r="A585" s="885"/>
      <c r="B585" s="885"/>
      <c r="C585" s="9" t="s">
        <v>301</v>
      </c>
      <c r="D585" s="199"/>
      <c r="E585" s="200"/>
      <c r="F585" s="201"/>
      <c r="G585" s="199"/>
      <c r="H585" s="199"/>
      <c r="I585" s="200"/>
      <c r="J585" s="201"/>
      <c r="K585" s="199"/>
      <c r="L585" s="199"/>
      <c r="M585" s="200"/>
      <c r="N585" s="318"/>
      <c r="O585" s="319" t="s">
        <v>634</v>
      </c>
      <c r="P585" s="312" t="s">
        <v>632</v>
      </c>
      <c r="Q585" s="313" t="s">
        <v>646</v>
      </c>
      <c r="R585" s="314">
        <v>0</v>
      </c>
      <c r="S585" s="315"/>
      <c r="T585" s="315"/>
      <c r="U585" s="316">
        <v>1</v>
      </c>
      <c r="V585" s="314"/>
      <c r="W585" s="315"/>
      <c r="X585" s="315"/>
      <c r="Y585" s="316">
        <v>3</v>
      </c>
      <c r="Z585" s="314"/>
      <c r="AA585" s="315"/>
      <c r="AB585" s="315"/>
      <c r="AC585" s="316">
        <v>0</v>
      </c>
      <c r="AD585" s="314"/>
      <c r="AE585" s="316"/>
    </row>
    <row r="586" spans="1:44" ht="13.5" hidden="1" thickBot="1">
      <c r="A586" s="885"/>
      <c r="B586" s="885"/>
      <c r="C586" s="9" t="s">
        <v>302</v>
      </c>
      <c r="D586" s="199"/>
      <c r="E586" s="200"/>
      <c r="F586" s="201"/>
      <c r="G586" s="199"/>
      <c r="H586" s="199"/>
      <c r="I586" s="200"/>
      <c r="J586" s="201"/>
      <c r="K586" s="199"/>
      <c r="L586" s="199"/>
      <c r="M586" s="200"/>
      <c r="N586" s="318"/>
      <c r="O586" s="319" t="s">
        <v>634</v>
      </c>
      <c r="P586" s="312" t="s">
        <v>632</v>
      </c>
      <c r="Q586" s="313" t="s">
        <v>646</v>
      </c>
      <c r="R586" s="314">
        <v>0</v>
      </c>
      <c r="S586" s="315"/>
      <c r="T586" s="315"/>
      <c r="U586" s="316">
        <v>1</v>
      </c>
      <c r="V586" s="314"/>
      <c r="W586" s="315"/>
      <c r="X586" s="315"/>
      <c r="Y586" s="316">
        <v>1</v>
      </c>
      <c r="Z586" s="314"/>
      <c r="AA586" s="315"/>
      <c r="AB586" s="315"/>
      <c r="AC586" s="316">
        <v>0</v>
      </c>
      <c r="AD586" s="314"/>
      <c r="AE586" s="316"/>
    </row>
    <row r="587" spans="1:44" ht="24.75" hidden="1" thickBot="1">
      <c r="A587" s="885"/>
      <c r="B587" s="885"/>
      <c r="C587" s="9" t="s">
        <v>303</v>
      </c>
      <c r="D587" s="202"/>
      <c r="E587" s="203"/>
      <c r="F587" s="201"/>
      <c r="G587" s="202"/>
      <c r="H587" s="202"/>
      <c r="I587" s="203"/>
      <c r="J587" s="201"/>
      <c r="K587" s="202"/>
      <c r="L587" s="202"/>
      <c r="M587" s="203"/>
      <c r="N587" s="322"/>
      <c r="O587" s="323"/>
      <c r="P587" s="324"/>
      <c r="Q587" s="324"/>
      <c r="R587" s="317"/>
      <c r="S587" s="320"/>
      <c r="T587" s="320"/>
      <c r="U587" s="321"/>
      <c r="V587" s="325"/>
      <c r="W587" s="319" t="s">
        <v>633</v>
      </c>
      <c r="X587" s="312" t="s">
        <v>632</v>
      </c>
      <c r="Y587" s="316">
        <v>0</v>
      </c>
      <c r="Z587" s="314"/>
      <c r="AA587" s="315"/>
      <c r="AB587" s="315"/>
      <c r="AC587" s="316">
        <v>0</v>
      </c>
      <c r="AD587" s="314"/>
      <c r="AE587" s="316"/>
    </row>
    <row r="588" spans="1:44" ht="13.5" hidden="1" thickBot="1">
      <c r="A588" s="885"/>
      <c r="B588" s="885"/>
      <c r="C588" s="9" t="s">
        <v>304</v>
      </c>
      <c r="D588" s="202"/>
      <c r="E588" s="203"/>
      <c r="F588" s="201"/>
      <c r="G588" s="202"/>
      <c r="H588" s="202"/>
      <c r="I588" s="203"/>
      <c r="J588" s="201"/>
      <c r="K588" s="202"/>
      <c r="L588" s="202"/>
      <c r="M588" s="203"/>
      <c r="N588" s="322"/>
      <c r="O588" s="324"/>
      <c r="P588" s="324"/>
      <c r="Q588" s="324"/>
      <c r="R588" s="317"/>
      <c r="S588" s="320"/>
      <c r="T588" s="320"/>
      <c r="U588" s="321"/>
      <c r="V588" s="325"/>
      <c r="W588" s="319" t="s">
        <v>633</v>
      </c>
      <c r="X588" s="312" t="s">
        <v>632</v>
      </c>
      <c r="Y588" s="316">
        <v>0</v>
      </c>
      <c r="Z588" s="314"/>
      <c r="AA588" s="315"/>
      <c r="AB588" s="315"/>
      <c r="AC588" s="316">
        <v>0</v>
      </c>
      <c r="AD588" s="314"/>
      <c r="AE588" s="316"/>
    </row>
    <row r="589" spans="1:44" ht="13.5" hidden="1" thickBot="1">
      <c r="A589" s="885"/>
      <c r="B589" s="885"/>
      <c r="C589" s="9" t="s">
        <v>435</v>
      </c>
      <c r="D589" s="241" t="s">
        <v>632</v>
      </c>
      <c r="E589" s="241" t="s">
        <v>632</v>
      </c>
      <c r="F589" s="243" t="s">
        <v>646</v>
      </c>
      <c r="G589" s="241" t="s">
        <v>646</v>
      </c>
      <c r="H589" s="241" t="s">
        <v>646</v>
      </c>
      <c r="I589" s="244" t="s">
        <v>646</v>
      </c>
      <c r="J589" s="195">
        <v>0</v>
      </c>
      <c r="K589" s="196"/>
      <c r="L589" s="196"/>
      <c r="M589" s="197"/>
      <c r="N589" s="314"/>
      <c r="O589" s="315">
        <v>0</v>
      </c>
      <c r="P589" s="315"/>
      <c r="Q589" s="316"/>
      <c r="R589" s="314"/>
      <c r="S589" s="315"/>
      <c r="T589" s="315"/>
      <c r="U589" s="316">
        <v>0</v>
      </c>
      <c r="V589" s="314"/>
      <c r="W589" s="315"/>
      <c r="X589" s="315"/>
      <c r="Y589" s="316">
        <v>18</v>
      </c>
      <c r="Z589" s="314"/>
      <c r="AA589" s="315"/>
      <c r="AB589" s="315"/>
      <c r="AC589" s="316">
        <v>0</v>
      </c>
      <c r="AD589" s="314"/>
      <c r="AE589" s="316"/>
    </row>
    <row r="590" spans="1:44" ht="13.5" hidden="1" thickBot="1">
      <c r="A590" s="885"/>
      <c r="B590" s="885"/>
      <c r="C590" s="9" t="s">
        <v>642</v>
      </c>
      <c r="D590" s="241" t="s">
        <v>632</v>
      </c>
      <c r="E590" s="241" t="s">
        <v>632</v>
      </c>
      <c r="F590" s="243" t="s">
        <v>646</v>
      </c>
      <c r="G590" s="241" t="s">
        <v>646</v>
      </c>
      <c r="H590" s="241" t="s">
        <v>646</v>
      </c>
      <c r="I590" s="244" t="s">
        <v>646</v>
      </c>
      <c r="J590" s="195">
        <v>0</v>
      </c>
      <c r="K590" s="196"/>
      <c r="L590" s="196"/>
      <c r="M590" s="197"/>
      <c r="N590" s="314"/>
      <c r="O590" s="315">
        <v>0</v>
      </c>
      <c r="P590" s="315"/>
      <c r="Q590" s="316"/>
      <c r="R590" s="314"/>
      <c r="S590" s="315"/>
      <c r="T590" s="315"/>
      <c r="U590" s="316">
        <v>0</v>
      </c>
      <c r="V590" s="314"/>
      <c r="W590" s="315"/>
      <c r="X590" s="315"/>
      <c r="Y590" s="316">
        <v>16</v>
      </c>
      <c r="Z590" s="314"/>
      <c r="AA590" s="315"/>
      <c r="AB590" s="315"/>
      <c r="AC590" s="316">
        <v>0</v>
      </c>
      <c r="AD590" s="314"/>
      <c r="AE590" s="316"/>
    </row>
    <row r="591" spans="1:44" ht="24.75" hidden="1" thickBot="1">
      <c r="A591" s="885"/>
      <c r="B591" s="885"/>
      <c r="C591" s="9" t="s">
        <v>437</v>
      </c>
      <c r="D591" s="241" t="s">
        <v>632</v>
      </c>
      <c r="E591" s="241" t="s">
        <v>632</v>
      </c>
      <c r="F591" s="243" t="s">
        <v>646</v>
      </c>
      <c r="G591" s="241" t="s">
        <v>646</v>
      </c>
      <c r="H591" s="241" t="s">
        <v>646</v>
      </c>
      <c r="I591" s="244" t="s">
        <v>646</v>
      </c>
      <c r="J591" s="195">
        <v>0</v>
      </c>
      <c r="K591" s="196"/>
      <c r="L591" s="196"/>
      <c r="M591" s="197"/>
      <c r="N591" s="314"/>
      <c r="O591" s="315">
        <v>0</v>
      </c>
      <c r="P591" s="315"/>
      <c r="Q591" s="316"/>
      <c r="R591" s="314"/>
      <c r="S591" s="315"/>
      <c r="T591" s="315"/>
      <c r="U591" s="316">
        <v>0</v>
      </c>
      <c r="V591" s="314"/>
      <c r="W591" s="315"/>
      <c r="X591" s="315"/>
      <c r="Y591" s="316">
        <v>-35</v>
      </c>
      <c r="Z591" s="314"/>
      <c r="AA591" s="315"/>
      <c r="AB591" s="315"/>
      <c r="AC591" s="316">
        <v>0</v>
      </c>
      <c r="AD591" s="314"/>
      <c r="AE591" s="316"/>
    </row>
    <row r="592" spans="1:44" ht="12.95" hidden="1" customHeight="1" thickBot="1">
      <c r="A592" s="885"/>
      <c r="B592" s="298"/>
      <c r="C592" s="231"/>
      <c r="D592" s="232"/>
      <c r="E592" s="233"/>
      <c r="F592" s="234"/>
      <c r="G592" s="232"/>
      <c r="H592" s="232"/>
      <c r="I592" s="233"/>
      <c r="J592" s="234"/>
      <c r="K592" s="232"/>
      <c r="L592" s="232"/>
      <c r="M592" s="233"/>
      <c r="N592" s="328"/>
      <c r="O592" s="326"/>
      <c r="P592" s="326"/>
      <c r="Q592" s="327"/>
      <c r="R592" s="328"/>
      <c r="S592" s="326"/>
      <c r="T592" s="326"/>
      <c r="U592" s="327"/>
      <c r="V592" s="328"/>
      <c r="W592" s="326"/>
      <c r="X592" s="326"/>
      <c r="Y592" s="327"/>
      <c r="Z592" s="328"/>
      <c r="AA592" s="326"/>
      <c r="AB592" s="326"/>
      <c r="AC592" s="327"/>
      <c r="AD592" s="328"/>
      <c r="AE592" s="327"/>
    </row>
    <row r="593" spans="1:44" ht="12.95" hidden="1" customHeight="1" thickBot="1">
      <c r="A593" s="885"/>
      <c r="B593" s="298"/>
      <c r="C593" s="231"/>
      <c r="D593" s="232"/>
      <c r="E593" s="233"/>
      <c r="F593" s="234"/>
      <c r="G593" s="232"/>
      <c r="H593" s="232"/>
      <c r="I593" s="233"/>
      <c r="J593" s="234"/>
      <c r="K593" s="232"/>
      <c r="L593" s="232"/>
      <c r="M593" s="233"/>
      <c r="N593" s="328"/>
      <c r="O593" s="326"/>
      <c r="P593" s="326"/>
      <c r="Q593" s="327"/>
      <c r="R593" s="328"/>
      <c r="S593" s="326"/>
      <c r="T593" s="326"/>
      <c r="U593" s="327"/>
      <c r="V593" s="328"/>
      <c r="W593" s="326"/>
      <c r="X593" s="326"/>
      <c r="Y593" s="327"/>
      <c r="Z593" s="328"/>
      <c r="AA593" s="326"/>
      <c r="AB593" s="326"/>
      <c r="AC593" s="327"/>
      <c r="AD593" s="328"/>
      <c r="AE593" s="327"/>
    </row>
    <row r="594" spans="1:44" ht="12.95" customHeight="1" thickBot="1">
      <c r="A594" s="885"/>
      <c r="B594" s="3" t="s">
        <v>36</v>
      </c>
      <c r="C594" s="12"/>
      <c r="D594" s="1377">
        <v>2008</v>
      </c>
      <c r="E594" s="1378"/>
      <c r="F594" s="1372">
        <v>2009</v>
      </c>
      <c r="G594" s="1373"/>
      <c r="H594" s="1373"/>
      <c r="I594" s="1374"/>
      <c r="J594" s="1372">
        <v>2010</v>
      </c>
      <c r="K594" s="1373"/>
      <c r="L594" s="1373"/>
      <c r="M594" s="1374"/>
      <c r="N594" s="1372">
        <v>2011</v>
      </c>
      <c r="O594" s="1373"/>
      <c r="P594" s="1373"/>
      <c r="Q594" s="1374"/>
      <c r="R594" s="1372">
        <v>2012</v>
      </c>
      <c r="S594" s="1373"/>
      <c r="T594" s="1373"/>
      <c r="U594" s="1374"/>
      <c r="V594" s="1372">
        <v>2013</v>
      </c>
      <c r="W594" s="1373"/>
      <c r="X594" s="1373"/>
      <c r="Y594" s="1374"/>
      <c r="Z594" s="1372">
        <v>2014</v>
      </c>
      <c r="AA594" s="1373"/>
      <c r="AB594" s="1373"/>
      <c r="AC594" s="1374"/>
      <c r="AD594" s="1372">
        <v>2015</v>
      </c>
      <c r="AE594" s="1374"/>
    </row>
    <row r="595" spans="1:44" ht="13.5" thickBot="1">
      <c r="A595" s="885"/>
      <c r="B595" s="868" t="s">
        <v>601</v>
      </c>
      <c r="C595" s="250" t="s">
        <v>649</v>
      </c>
      <c r="D595" s="245"/>
      <c r="E595" s="246"/>
      <c r="F595" s="247"/>
      <c r="G595" s="245"/>
      <c r="H595" s="245"/>
      <c r="I595" s="246"/>
      <c r="J595" s="247"/>
      <c r="K595" s="245"/>
      <c r="L595" s="245"/>
      <c r="M595" s="246"/>
      <c r="N595" s="567"/>
      <c r="O595" s="568">
        <v>178894.86718481817</v>
      </c>
      <c r="P595" s="568"/>
      <c r="Q595" s="569"/>
      <c r="R595" s="567"/>
      <c r="S595" s="568"/>
      <c r="T595" s="568"/>
      <c r="U595" s="568">
        <v>23250.688333600392</v>
      </c>
      <c r="V595" s="567"/>
      <c r="W595" s="568"/>
      <c r="X595" s="568"/>
      <c r="Y595" s="568">
        <v>23099.6839890966</v>
      </c>
      <c r="Z595" s="567"/>
      <c r="AA595" s="568"/>
      <c r="AB595" s="568"/>
      <c r="AC595" s="568">
        <v>10011.575856060603</v>
      </c>
      <c r="AD595" s="567"/>
      <c r="AE595" s="570"/>
      <c r="AG595" s="351" t="s">
        <v>1124</v>
      </c>
      <c r="AH595" s="748">
        <f>SUM(AH566:AH570)/5</f>
        <v>0</v>
      </c>
      <c r="AI595" s="748">
        <f t="shared" ref="AI595:AR595" si="85">SUM(AI566:AI570)/5</f>
        <v>263872.21503743774</v>
      </c>
      <c r="AJ595" s="748">
        <f t="shared" si="85"/>
        <v>334567.35225341731</v>
      </c>
      <c r="AK595" s="748">
        <f t="shared" si="85"/>
        <v>374693.89376898587</v>
      </c>
      <c r="AL595" s="748">
        <f t="shared" si="85"/>
        <v>417449.21641878388</v>
      </c>
      <c r="AN595" s="749">
        <f t="shared" si="85"/>
        <v>0.22500000000000001</v>
      </c>
      <c r="AO595" s="749">
        <f t="shared" si="85"/>
        <v>1.1000000000000001</v>
      </c>
      <c r="AP595" s="749">
        <f t="shared" si="85"/>
        <v>1.5249999999999999</v>
      </c>
      <c r="AQ595" s="749">
        <f t="shared" si="85"/>
        <v>1.85</v>
      </c>
      <c r="AR595" s="749">
        <f t="shared" si="85"/>
        <v>2.625</v>
      </c>
    </row>
    <row r="596" spans="1:44" ht="13.5" thickBot="1">
      <c r="A596" s="885"/>
      <c r="B596" s="885"/>
      <c r="C596" s="250" t="s">
        <v>650</v>
      </c>
      <c r="D596" s="245"/>
      <c r="E596" s="246"/>
      <c r="F596" s="247"/>
      <c r="G596" s="245"/>
      <c r="H596" s="245"/>
      <c r="I596" s="246"/>
      <c r="J596" s="247"/>
      <c r="K596" s="245"/>
      <c r="L596" s="245"/>
      <c r="M596" s="246"/>
      <c r="N596" s="567"/>
      <c r="O596" s="568">
        <v>174040.68456867777</v>
      </c>
      <c r="P596" s="568"/>
      <c r="Q596" s="569"/>
      <c r="R596" s="567"/>
      <c r="S596" s="568"/>
      <c r="T596" s="568"/>
      <c r="U596" s="568">
        <v>26915.742072547764</v>
      </c>
      <c r="V596" s="567"/>
      <c r="W596" s="568"/>
      <c r="X596" s="568"/>
      <c r="Y596" s="568">
        <v>21568.854313833439</v>
      </c>
      <c r="Z596" s="567"/>
      <c r="AA596" s="568"/>
      <c r="AB596" s="568"/>
      <c r="AC596" s="568">
        <v>13301.318431818181</v>
      </c>
      <c r="AD596" s="567"/>
      <c r="AE596" s="570"/>
      <c r="AG596" s="351" t="s">
        <v>1125</v>
      </c>
      <c r="AH596" s="748">
        <f>SUM(AH571:AH573)/3</f>
        <v>0</v>
      </c>
      <c r="AI596" s="748">
        <f t="shared" ref="AI596:AR596" si="86">SUM(AI571:AI573)/3</f>
        <v>0</v>
      </c>
      <c r="AJ596" s="748">
        <f t="shared" si="86"/>
        <v>22882.431813782056</v>
      </c>
      <c r="AK596" s="748">
        <f t="shared" si="86"/>
        <v>54144.662558317861</v>
      </c>
      <c r="AL596" s="748">
        <f t="shared" si="86"/>
        <v>95654.436500237047</v>
      </c>
      <c r="AN596" s="749">
        <f t="shared" si="86"/>
        <v>0</v>
      </c>
      <c r="AO596" s="749">
        <f t="shared" si="86"/>
        <v>0</v>
      </c>
      <c r="AP596" s="749">
        <f t="shared" si="86"/>
        <v>0.25</v>
      </c>
      <c r="AQ596" s="749">
        <f t="shared" si="86"/>
        <v>0.2986111111111111</v>
      </c>
      <c r="AR596" s="749">
        <f t="shared" si="86"/>
        <v>1.4236111111111114</v>
      </c>
    </row>
    <row r="597" spans="1:44" ht="13.5" thickBot="1">
      <c r="A597" s="885"/>
      <c r="B597" s="885"/>
      <c r="C597" s="250" t="s">
        <v>651</v>
      </c>
      <c r="D597" s="245"/>
      <c r="E597" s="246"/>
      <c r="F597" s="247"/>
      <c r="G597" s="245"/>
      <c r="H597" s="245"/>
      <c r="I597" s="246"/>
      <c r="J597" s="247"/>
      <c r="K597" s="245"/>
      <c r="L597" s="245"/>
      <c r="M597" s="246"/>
      <c r="N597" s="567"/>
      <c r="O597" s="568">
        <v>173103.64021218655</v>
      </c>
      <c r="P597" s="568"/>
      <c r="Q597" s="569"/>
      <c r="R597" s="567"/>
      <c r="S597" s="568"/>
      <c r="T597" s="568"/>
      <c r="U597" s="568">
        <v>66210.124425530215</v>
      </c>
      <c r="V597" s="567"/>
      <c r="W597" s="568"/>
      <c r="X597" s="568"/>
      <c r="Y597" s="568">
        <v>22517.066147151516</v>
      </c>
      <c r="Z597" s="567"/>
      <c r="AA597" s="568"/>
      <c r="AB597" s="568"/>
      <c r="AC597" s="568">
        <v>11667.080856060611</v>
      </c>
      <c r="AD597" s="567"/>
      <c r="AE597" s="570"/>
    </row>
    <row r="598" spans="1:44" ht="13.5" thickBot="1">
      <c r="A598" s="885"/>
      <c r="B598" s="885"/>
      <c r="C598" s="250" t="s">
        <v>652</v>
      </c>
      <c r="D598" s="245"/>
      <c r="E598" s="246"/>
      <c r="F598" s="247"/>
      <c r="G598" s="245"/>
      <c r="H598" s="245"/>
      <c r="I598" s="246"/>
      <c r="J598" s="247"/>
      <c r="K598" s="245"/>
      <c r="L598" s="245"/>
      <c r="M598" s="246"/>
      <c r="N598" s="567"/>
      <c r="O598" s="568">
        <v>178613.46318481813</v>
      </c>
      <c r="P598" s="568"/>
      <c r="Q598" s="569"/>
      <c r="R598" s="567"/>
      <c r="S598" s="568"/>
      <c r="T598" s="568"/>
      <c r="U598" s="568">
        <v>46145.909866933711</v>
      </c>
      <c r="V598" s="567"/>
      <c r="W598" s="568"/>
      <c r="X598" s="568"/>
      <c r="Y598" s="568">
        <v>22204.462197792247</v>
      </c>
      <c r="Z598" s="567"/>
      <c r="AA598" s="568"/>
      <c r="AB598" s="568"/>
      <c r="AC598" s="568">
        <v>13155.618431818182</v>
      </c>
      <c r="AD598" s="567"/>
      <c r="AE598" s="570"/>
    </row>
    <row r="599" spans="1:44" ht="13.5" thickBot="1">
      <c r="A599" s="885"/>
      <c r="B599" s="885"/>
      <c r="C599" s="250" t="s">
        <v>653</v>
      </c>
      <c r="D599" s="245"/>
      <c r="E599" s="246"/>
      <c r="F599" s="247"/>
      <c r="G599" s="245"/>
      <c r="H599" s="245"/>
      <c r="I599" s="246"/>
      <c r="J599" s="247"/>
      <c r="K599" s="245"/>
      <c r="L599" s="245"/>
      <c r="M599" s="246"/>
      <c r="N599" s="567"/>
      <c r="O599" s="568">
        <v>174921.39497429185</v>
      </c>
      <c r="P599" s="568"/>
      <c r="Q599" s="569"/>
      <c r="R599" s="567"/>
      <c r="S599" s="568"/>
      <c r="T599" s="568"/>
      <c r="U599" s="568">
        <v>73127.992687986349</v>
      </c>
      <c r="V599" s="567"/>
      <c r="W599" s="568"/>
      <c r="X599" s="568"/>
      <c r="Y599" s="568">
        <v>26996.785959577148</v>
      </c>
      <c r="Z599" s="567"/>
      <c r="AA599" s="568"/>
      <c r="AB599" s="568"/>
      <c r="AC599" s="568">
        <v>10792.602876262627</v>
      </c>
      <c r="AD599" s="567"/>
      <c r="AE599" s="570"/>
    </row>
    <row r="600" spans="1:44" ht="12.95" customHeight="1" thickBot="1">
      <c r="A600" s="885"/>
      <c r="B600" s="885"/>
      <c r="C600" s="250" t="s">
        <v>654</v>
      </c>
      <c r="D600" s="248"/>
      <c r="E600" s="249"/>
      <c r="F600" s="247"/>
      <c r="G600" s="248"/>
      <c r="H600" s="248"/>
      <c r="I600" s="249"/>
      <c r="J600" s="247"/>
      <c r="K600" s="248"/>
      <c r="L600" s="248"/>
      <c r="M600" s="249"/>
      <c r="N600" s="571"/>
      <c r="O600" s="572"/>
      <c r="P600" s="572"/>
      <c r="Q600" s="572"/>
      <c r="R600" s="567"/>
      <c r="S600" s="568"/>
      <c r="T600" s="568"/>
      <c r="U600" s="568">
        <v>14436.187233749442</v>
      </c>
      <c r="V600" s="567"/>
      <c r="W600" s="568"/>
      <c r="X600" s="568"/>
      <c r="Y600" s="568">
        <v>16029.037631241512</v>
      </c>
      <c r="Z600" s="567"/>
      <c r="AA600" s="568"/>
      <c r="AB600" s="568"/>
      <c r="AC600" s="568">
        <v>10413.909845959593</v>
      </c>
      <c r="AD600" s="567"/>
      <c r="AE600" s="570"/>
    </row>
    <row r="601" spans="1:44" ht="12.95" customHeight="1" thickBot="1">
      <c r="A601" s="885"/>
      <c r="B601" s="885"/>
      <c r="C601" s="250" t="s">
        <v>655</v>
      </c>
      <c r="D601" s="248"/>
      <c r="E601" s="249"/>
      <c r="F601" s="247"/>
      <c r="G601" s="248"/>
      <c r="H601" s="248"/>
      <c r="I601" s="249"/>
      <c r="J601" s="247"/>
      <c r="K601" s="248"/>
      <c r="L601" s="248"/>
      <c r="M601" s="249"/>
      <c r="N601" s="571"/>
      <c r="O601" s="572"/>
      <c r="P601" s="572"/>
      <c r="Q601" s="572"/>
      <c r="R601" s="567"/>
      <c r="S601" s="568"/>
      <c r="T601" s="568"/>
      <c r="U601" s="568">
        <v>14321.85687795997</v>
      </c>
      <c r="V601" s="567"/>
      <c r="W601" s="568"/>
      <c r="X601" s="568"/>
      <c r="Y601" s="568">
        <v>16200.974871424582</v>
      </c>
      <c r="Z601" s="567"/>
      <c r="AA601" s="568"/>
      <c r="AB601" s="568"/>
      <c r="AC601" s="568">
        <v>12516.43196717172</v>
      </c>
      <c r="AD601" s="567"/>
      <c r="AE601" s="570"/>
    </row>
    <row r="602" spans="1:44" ht="12.95" customHeight="1" thickBot="1">
      <c r="A602" s="885"/>
      <c r="B602" s="885"/>
      <c r="C602" s="250" t="s">
        <v>656</v>
      </c>
      <c r="D602" s="248"/>
      <c r="E602" s="249"/>
      <c r="F602" s="247"/>
      <c r="G602" s="248"/>
      <c r="H602" s="248"/>
      <c r="I602" s="249"/>
      <c r="J602" s="247"/>
      <c r="K602" s="248"/>
      <c r="L602" s="248"/>
      <c r="M602" s="249"/>
      <c r="N602" s="571"/>
      <c r="O602" s="572"/>
      <c r="P602" s="572"/>
      <c r="Q602" s="572"/>
      <c r="R602" s="567"/>
      <c r="S602" s="568"/>
      <c r="T602" s="568"/>
      <c r="U602" s="568">
        <v>17006.819515854702</v>
      </c>
      <c r="V602" s="567"/>
      <c r="W602" s="568"/>
      <c r="X602" s="568"/>
      <c r="Y602" s="568">
        <v>16006.034353072177</v>
      </c>
      <c r="Z602" s="567"/>
      <c r="AA602" s="568"/>
      <c r="AB602" s="568"/>
      <c r="AC602" s="568">
        <v>11967.762219696966</v>
      </c>
      <c r="AD602" s="567"/>
      <c r="AE602" s="570"/>
    </row>
    <row r="603" spans="1:44" ht="12.95" customHeight="1" thickBot="1">
      <c r="A603" s="885"/>
      <c r="B603" s="885"/>
      <c r="C603" s="250" t="s">
        <v>657</v>
      </c>
      <c r="D603" s="248"/>
      <c r="E603" s="249"/>
      <c r="F603" s="247"/>
      <c r="G603" s="248"/>
      <c r="H603" s="248"/>
      <c r="I603" s="249"/>
      <c r="J603" s="247"/>
      <c r="K603" s="248"/>
      <c r="L603" s="248"/>
      <c r="M603" s="249"/>
      <c r="N603" s="571"/>
      <c r="O603" s="572"/>
      <c r="P603" s="572"/>
      <c r="Q603" s="573"/>
      <c r="R603" s="571"/>
      <c r="S603" s="572"/>
      <c r="T603" s="572"/>
      <c r="U603" s="573"/>
      <c r="V603" s="571"/>
      <c r="W603" s="572"/>
      <c r="X603" s="572"/>
      <c r="Y603" s="573"/>
      <c r="Z603" s="567"/>
      <c r="AA603" s="568"/>
      <c r="AB603" s="568"/>
      <c r="AC603" s="568">
        <v>11675.032270202017</v>
      </c>
      <c r="AD603" s="567"/>
      <c r="AE603" s="570"/>
    </row>
    <row r="604" spans="1:44" ht="12.95" customHeight="1" thickBot="1">
      <c r="A604" s="885"/>
      <c r="B604" s="885"/>
      <c r="C604" s="250" t="s">
        <v>658</v>
      </c>
      <c r="D604" s="248"/>
      <c r="E604" s="249"/>
      <c r="F604" s="247"/>
      <c r="G604" s="248"/>
      <c r="H604" s="248"/>
      <c r="I604" s="249"/>
      <c r="J604" s="247"/>
      <c r="K604" s="248"/>
      <c r="L604" s="248"/>
      <c r="M604" s="249"/>
      <c r="N604" s="571"/>
      <c r="O604" s="572"/>
      <c r="P604" s="572"/>
      <c r="Q604" s="573"/>
      <c r="R604" s="571"/>
      <c r="S604" s="572"/>
      <c r="T604" s="572"/>
      <c r="U604" s="573"/>
      <c r="V604" s="571"/>
      <c r="W604" s="572"/>
      <c r="X604" s="572"/>
      <c r="Y604" s="573"/>
      <c r="Z604" s="567"/>
      <c r="AA604" s="568"/>
      <c r="AB604" s="568"/>
      <c r="AC604" s="568">
        <v>10457.236563131317</v>
      </c>
      <c r="AD604" s="567"/>
      <c r="AE604" s="570"/>
    </row>
    <row r="605" spans="1:44" ht="13.5" thickBot="1">
      <c r="A605" s="885"/>
      <c r="B605" s="885"/>
      <c r="C605" s="250" t="s">
        <v>659</v>
      </c>
      <c r="D605" s="248"/>
      <c r="E605" s="249"/>
      <c r="F605" s="247"/>
      <c r="G605" s="248"/>
      <c r="H605" s="248"/>
      <c r="I605" s="249"/>
      <c r="J605" s="247"/>
      <c r="K605" s="248"/>
      <c r="L605" s="248"/>
      <c r="M605" s="249"/>
      <c r="N605" s="567"/>
      <c r="O605" s="568">
        <v>293274.23087999999</v>
      </c>
      <c r="P605" s="568"/>
      <c r="Q605" s="569"/>
      <c r="R605" s="567"/>
      <c r="S605" s="568"/>
      <c r="T605" s="568"/>
      <c r="U605" s="568">
        <v>247880.58752639999</v>
      </c>
      <c r="V605" s="567"/>
      <c r="W605" s="568"/>
      <c r="X605" s="568"/>
      <c r="Y605" s="568">
        <v>16755.507212</v>
      </c>
      <c r="Z605" s="567"/>
      <c r="AA605" s="568"/>
      <c r="AB605" s="568"/>
      <c r="AC605" s="568">
        <v>9213.3284848484873</v>
      </c>
      <c r="AD605" s="567"/>
      <c r="AE605" s="570"/>
    </row>
    <row r="606" spans="1:44" ht="13.5" thickBot="1">
      <c r="A606" s="885"/>
      <c r="B606" s="885"/>
      <c r="C606" s="250" t="s">
        <v>660</v>
      </c>
      <c r="D606" s="248"/>
      <c r="E606" s="249"/>
      <c r="F606" s="247"/>
      <c r="G606" s="248"/>
      <c r="H606" s="248"/>
      <c r="I606" s="249"/>
      <c r="J606" s="247"/>
      <c r="K606" s="248"/>
      <c r="L606" s="248"/>
      <c r="M606" s="249"/>
      <c r="N606" s="567"/>
      <c r="O606" s="568">
        <v>0</v>
      </c>
      <c r="P606" s="568"/>
      <c r="Q606" s="569"/>
      <c r="R606" s="567"/>
      <c r="S606" s="568"/>
      <c r="T606" s="568"/>
      <c r="U606" s="568">
        <v>0</v>
      </c>
      <c r="V606" s="567"/>
      <c r="W606" s="568"/>
      <c r="X606" s="568"/>
      <c r="Y606" s="568">
        <v>6685</v>
      </c>
      <c r="Z606" s="567"/>
      <c r="AA606" s="568"/>
      <c r="AB606" s="568"/>
      <c r="AC606" s="568">
        <v>11095.078484848487</v>
      </c>
      <c r="AD606" s="567"/>
      <c r="AE606" s="570"/>
    </row>
    <row r="607" spans="1:44" ht="13.5" hidden="1" thickBot="1">
      <c r="A607" s="885"/>
      <c r="B607" s="885"/>
      <c r="C607" s="250" t="s">
        <v>661</v>
      </c>
      <c r="D607" s="248"/>
      <c r="E607" s="249"/>
      <c r="F607" s="247"/>
      <c r="G607" s="248"/>
      <c r="H607" s="248"/>
      <c r="I607" s="249"/>
      <c r="J607" s="247"/>
      <c r="K607" s="248"/>
      <c r="L607" s="248"/>
      <c r="M607" s="249"/>
      <c r="N607" s="309"/>
      <c r="O607" s="310"/>
      <c r="P607" s="310"/>
      <c r="Q607" s="311"/>
      <c r="R607" s="309"/>
      <c r="S607" s="310"/>
      <c r="T607" s="310"/>
      <c r="U607" s="311"/>
      <c r="V607" s="309"/>
      <c r="W607" s="310"/>
      <c r="X607" s="310"/>
      <c r="Y607" s="311"/>
      <c r="Z607" s="309"/>
      <c r="AA607" s="310"/>
      <c r="AB607" s="310"/>
      <c r="AC607" s="311"/>
      <c r="AD607" s="309"/>
      <c r="AE607" s="311"/>
    </row>
    <row r="608" spans="1:44" ht="12.95" hidden="1" customHeight="1" thickBot="1">
      <c r="A608" s="885"/>
      <c r="B608" s="885"/>
      <c r="C608" s="9" t="s">
        <v>295</v>
      </c>
      <c r="D608" s="241" t="s">
        <v>632</v>
      </c>
      <c r="E608" s="241" t="s">
        <v>632</v>
      </c>
      <c r="F608" s="243" t="s">
        <v>646</v>
      </c>
      <c r="G608" s="241" t="s">
        <v>646</v>
      </c>
      <c r="H608" s="241" t="s">
        <v>646</v>
      </c>
      <c r="I608" s="244" t="s">
        <v>646</v>
      </c>
      <c r="J608" s="195">
        <v>0</v>
      </c>
      <c r="K608" s="196"/>
      <c r="L608" s="196"/>
      <c r="M608" s="197"/>
      <c r="N608" s="314"/>
      <c r="O608" s="315">
        <v>1</v>
      </c>
      <c r="P608" s="315"/>
      <c r="Q608" s="316"/>
      <c r="R608" s="314"/>
      <c r="S608" s="315"/>
      <c r="T608" s="315"/>
      <c r="U608" s="316">
        <v>1</v>
      </c>
      <c r="V608" s="314"/>
      <c r="W608" s="315"/>
      <c r="X608" s="315"/>
      <c r="Y608" s="316">
        <v>4</v>
      </c>
      <c r="Z608" s="314"/>
      <c r="AA608" s="315"/>
      <c r="AB608" s="315"/>
      <c r="AC608" s="316">
        <v>0</v>
      </c>
      <c r="AD608" s="314"/>
      <c r="AE608" s="316"/>
    </row>
    <row r="609" spans="1:31" ht="12.95" hidden="1" customHeight="1" thickBot="1">
      <c r="A609" s="885"/>
      <c r="B609" s="885"/>
      <c r="C609" s="9" t="s">
        <v>296</v>
      </c>
      <c r="D609" s="241" t="s">
        <v>632</v>
      </c>
      <c r="E609" s="241" t="s">
        <v>632</v>
      </c>
      <c r="F609" s="243" t="s">
        <v>646</v>
      </c>
      <c r="G609" s="241" t="s">
        <v>646</v>
      </c>
      <c r="H609" s="241" t="s">
        <v>646</v>
      </c>
      <c r="I609" s="244" t="s">
        <v>646</v>
      </c>
      <c r="J609" s="195">
        <v>0</v>
      </c>
      <c r="K609" s="196"/>
      <c r="L609" s="196"/>
      <c r="M609" s="197"/>
      <c r="N609" s="314"/>
      <c r="O609" s="315">
        <v>1</v>
      </c>
      <c r="P609" s="315"/>
      <c r="Q609" s="316"/>
      <c r="R609" s="314"/>
      <c r="S609" s="315"/>
      <c r="T609" s="315"/>
      <c r="U609" s="316">
        <v>0</v>
      </c>
      <c r="V609" s="314"/>
      <c r="W609" s="315"/>
      <c r="X609" s="315"/>
      <c r="Y609" s="316">
        <v>4</v>
      </c>
      <c r="Z609" s="314"/>
      <c r="AA609" s="315"/>
      <c r="AB609" s="315"/>
      <c r="AC609" s="316">
        <v>0</v>
      </c>
      <c r="AD609" s="314"/>
      <c r="AE609" s="316"/>
    </row>
    <row r="610" spans="1:31" ht="13.5" hidden="1" thickBot="1">
      <c r="A610" s="885"/>
      <c r="B610" s="885"/>
      <c r="C610" s="9" t="s">
        <v>297</v>
      </c>
      <c r="D610" s="241" t="s">
        <v>632</v>
      </c>
      <c r="E610" s="241" t="s">
        <v>632</v>
      </c>
      <c r="F610" s="243" t="s">
        <v>646</v>
      </c>
      <c r="G610" s="241" t="s">
        <v>646</v>
      </c>
      <c r="H610" s="241" t="s">
        <v>646</v>
      </c>
      <c r="I610" s="244" t="s">
        <v>646</v>
      </c>
      <c r="J610" s="195">
        <v>0</v>
      </c>
      <c r="K610" s="196"/>
      <c r="L610" s="196"/>
      <c r="M610" s="197"/>
      <c r="N610" s="314"/>
      <c r="O610" s="315">
        <v>2</v>
      </c>
      <c r="P610" s="315"/>
      <c r="Q610" s="316"/>
      <c r="R610" s="314"/>
      <c r="S610" s="315"/>
      <c r="T610" s="315"/>
      <c r="U610" s="316">
        <v>4</v>
      </c>
      <c r="V610" s="314"/>
      <c r="W610" s="315"/>
      <c r="X610" s="315"/>
      <c r="Y610" s="316">
        <v>5</v>
      </c>
      <c r="Z610" s="314"/>
      <c r="AA610" s="315"/>
      <c r="AB610" s="315"/>
      <c r="AC610" s="316">
        <v>0</v>
      </c>
      <c r="AD610" s="314"/>
      <c r="AE610" s="316"/>
    </row>
    <row r="611" spans="1:31" ht="13.5" hidden="1" thickBot="1">
      <c r="A611" s="885"/>
      <c r="B611" s="885"/>
      <c r="C611" s="9" t="s">
        <v>298</v>
      </c>
      <c r="D611" s="241" t="s">
        <v>632</v>
      </c>
      <c r="E611" s="241" t="s">
        <v>632</v>
      </c>
      <c r="F611" s="243" t="s">
        <v>646</v>
      </c>
      <c r="G611" s="241" t="s">
        <v>646</v>
      </c>
      <c r="H611" s="241" t="s">
        <v>646</v>
      </c>
      <c r="I611" s="244" t="s">
        <v>646</v>
      </c>
      <c r="J611" s="195">
        <v>0</v>
      </c>
      <c r="K611" s="196"/>
      <c r="L611" s="196"/>
      <c r="M611" s="197"/>
      <c r="N611" s="314"/>
      <c r="O611" s="315">
        <v>5</v>
      </c>
      <c r="P611" s="315"/>
      <c r="Q611" s="316"/>
      <c r="R611" s="314"/>
      <c r="S611" s="315"/>
      <c r="T611" s="315"/>
      <c r="U611" s="316">
        <v>5</v>
      </c>
      <c r="V611" s="314"/>
      <c r="W611" s="315"/>
      <c r="X611" s="315"/>
      <c r="Y611" s="316">
        <v>8</v>
      </c>
      <c r="Z611" s="314"/>
      <c r="AA611" s="315"/>
      <c r="AB611" s="315"/>
      <c r="AC611" s="316">
        <v>0</v>
      </c>
      <c r="AD611" s="314"/>
      <c r="AE611" s="316"/>
    </row>
    <row r="612" spans="1:31" ht="13.5" hidden="1" thickBot="1">
      <c r="A612" s="885"/>
      <c r="B612" s="885"/>
      <c r="C612" s="9" t="s">
        <v>299</v>
      </c>
      <c r="D612" s="241" t="s">
        <v>632</v>
      </c>
      <c r="E612" s="241" t="s">
        <v>632</v>
      </c>
      <c r="F612" s="243" t="s">
        <v>646</v>
      </c>
      <c r="G612" s="241" t="s">
        <v>646</v>
      </c>
      <c r="H612" s="241" t="s">
        <v>646</v>
      </c>
      <c r="I612" s="244" t="s">
        <v>646</v>
      </c>
      <c r="J612" s="195">
        <v>2</v>
      </c>
      <c r="K612" s="196"/>
      <c r="L612" s="196"/>
      <c r="M612" s="197"/>
      <c r="N612" s="314"/>
      <c r="O612" s="315">
        <v>5</v>
      </c>
      <c r="P612" s="315"/>
      <c r="Q612" s="316"/>
      <c r="R612" s="314"/>
      <c r="S612" s="315"/>
      <c r="T612" s="315"/>
      <c r="U612" s="316">
        <v>2</v>
      </c>
      <c r="V612" s="314"/>
      <c r="W612" s="315"/>
      <c r="X612" s="315"/>
      <c r="Y612" s="316">
        <v>5</v>
      </c>
      <c r="Z612" s="314"/>
      <c r="AA612" s="315"/>
      <c r="AB612" s="315"/>
      <c r="AC612" s="316">
        <v>0</v>
      </c>
      <c r="AD612" s="314"/>
      <c r="AE612" s="316"/>
    </row>
    <row r="613" spans="1:31" ht="24.75" hidden="1" thickBot="1">
      <c r="A613" s="885"/>
      <c r="B613" s="885"/>
      <c r="C613" s="9" t="s">
        <v>300</v>
      </c>
      <c r="D613" s="199"/>
      <c r="E613" s="200"/>
      <c r="F613" s="201"/>
      <c r="G613" s="199"/>
      <c r="H613" s="199"/>
      <c r="I613" s="200"/>
      <c r="J613" s="201"/>
      <c r="K613" s="199"/>
      <c r="L613" s="199"/>
      <c r="M613" s="200"/>
      <c r="N613" s="318"/>
      <c r="O613" s="319" t="s">
        <v>634</v>
      </c>
      <c r="P613" s="312" t="s">
        <v>632</v>
      </c>
      <c r="Q613" s="313" t="s">
        <v>646</v>
      </c>
      <c r="R613" s="314">
        <v>0</v>
      </c>
      <c r="S613" s="315"/>
      <c r="T613" s="315"/>
      <c r="U613" s="316">
        <v>1</v>
      </c>
      <c r="V613" s="314"/>
      <c r="W613" s="315"/>
      <c r="X613" s="315"/>
      <c r="Y613" s="316">
        <v>2</v>
      </c>
      <c r="Z613" s="314"/>
      <c r="AA613" s="315"/>
      <c r="AB613" s="315"/>
      <c r="AC613" s="316">
        <v>0</v>
      </c>
      <c r="AD613" s="314"/>
      <c r="AE613" s="316"/>
    </row>
    <row r="614" spans="1:31" ht="13.5" hidden="1" thickBot="1">
      <c r="A614" s="885"/>
      <c r="B614" s="885"/>
      <c r="C614" s="9" t="s">
        <v>301</v>
      </c>
      <c r="D614" s="199"/>
      <c r="E614" s="200"/>
      <c r="F614" s="201"/>
      <c r="G614" s="199"/>
      <c r="H614" s="199"/>
      <c r="I614" s="200"/>
      <c r="J614" s="201"/>
      <c r="K614" s="199"/>
      <c r="L614" s="199"/>
      <c r="M614" s="200"/>
      <c r="N614" s="318"/>
      <c r="O614" s="319" t="s">
        <v>634</v>
      </c>
      <c r="P614" s="312" t="s">
        <v>632</v>
      </c>
      <c r="Q614" s="313" t="s">
        <v>646</v>
      </c>
      <c r="R614" s="314">
        <v>0</v>
      </c>
      <c r="S614" s="315"/>
      <c r="T614" s="315"/>
      <c r="U614" s="316">
        <v>0</v>
      </c>
      <c r="V614" s="314"/>
      <c r="W614" s="315"/>
      <c r="X614" s="315"/>
      <c r="Y614" s="316">
        <v>2</v>
      </c>
      <c r="Z614" s="314"/>
      <c r="AA614" s="315"/>
      <c r="AB614" s="315"/>
      <c r="AC614" s="316">
        <v>0</v>
      </c>
      <c r="AD614" s="314"/>
      <c r="AE614" s="316"/>
    </row>
    <row r="615" spans="1:31" ht="13.5" hidden="1" thickBot="1">
      <c r="A615" s="885"/>
      <c r="B615" s="885"/>
      <c r="C615" s="9" t="s">
        <v>302</v>
      </c>
      <c r="D615" s="199"/>
      <c r="E615" s="200"/>
      <c r="F615" s="201"/>
      <c r="G615" s="199"/>
      <c r="H615" s="199"/>
      <c r="I615" s="200"/>
      <c r="J615" s="201"/>
      <c r="K615" s="199"/>
      <c r="L615" s="199"/>
      <c r="M615" s="200"/>
      <c r="N615" s="318"/>
      <c r="O615" s="319" t="s">
        <v>634</v>
      </c>
      <c r="P615" s="312" t="s">
        <v>632</v>
      </c>
      <c r="Q615" s="313" t="s">
        <v>646</v>
      </c>
      <c r="R615" s="314">
        <v>0</v>
      </c>
      <c r="S615" s="315"/>
      <c r="T615" s="315"/>
      <c r="U615" s="316">
        <v>0</v>
      </c>
      <c r="V615" s="314"/>
      <c r="W615" s="315"/>
      <c r="X615" s="315"/>
      <c r="Y615" s="316">
        <v>1</v>
      </c>
      <c r="Z615" s="314"/>
      <c r="AA615" s="315"/>
      <c r="AB615" s="315"/>
      <c r="AC615" s="316">
        <v>0</v>
      </c>
      <c r="AD615" s="314"/>
      <c r="AE615" s="316"/>
    </row>
    <row r="616" spans="1:31" ht="24.75" hidden="1" thickBot="1">
      <c r="A616" s="885"/>
      <c r="B616" s="885"/>
      <c r="C616" s="9" t="s">
        <v>303</v>
      </c>
      <c r="D616" s="202"/>
      <c r="E616" s="203"/>
      <c r="F616" s="201"/>
      <c r="G616" s="202"/>
      <c r="H616" s="202"/>
      <c r="I616" s="203"/>
      <c r="J616" s="201"/>
      <c r="K616" s="202"/>
      <c r="L616" s="202"/>
      <c r="M616" s="203"/>
      <c r="N616" s="322"/>
      <c r="O616" s="323"/>
      <c r="P616" s="324"/>
      <c r="Q616" s="324"/>
      <c r="R616" s="317"/>
      <c r="S616" s="320"/>
      <c r="T616" s="320"/>
      <c r="U616" s="321"/>
      <c r="V616" s="325"/>
      <c r="W616" s="319" t="s">
        <v>633</v>
      </c>
      <c r="X616" s="312" t="s">
        <v>632</v>
      </c>
      <c r="Y616" s="316">
        <v>0</v>
      </c>
      <c r="Z616" s="314"/>
      <c r="AA616" s="315"/>
      <c r="AB616" s="315"/>
      <c r="AC616" s="316">
        <v>0</v>
      </c>
      <c r="AD616" s="314"/>
      <c r="AE616" s="316"/>
    </row>
    <row r="617" spans="1:31" ht="13.5" hidden="1" thickBot="1">
      <c r="A617" s="885"/>
      <c r="B617" s="885"/>
      <c r="C617" s="9" t="s">
        <v>304</v>
      </c>
      <c r="D617" s="202"/>
      <c r="E617" s="203"/>
      <c r="F617" s="201"/>
      <c r="G617" s="202"/>
      <c r="H617" s="202"/>
      <c r="I617" s="203"/>
      <c r="J617" s="201"/>
      <c r="K617" s="202"/>
      <c r="L617" s="202"/>
      <c r="M617" s="203"/>
      <c r="N617" s="322"/>
      <c r="O617" s="324"/>
      <c r="P617" s="324"/>
      <c r="Q617" s="324"/>
      <c r="R617" s="317"/>
      <c r="S617" s="320"/>
      <c r="T617" s="320"/>
      <c r="U617" s="321"/>
      <c r="V617" s="325"/>
      <c r="W617" s="319" t="s">
        <v>633</v>
      </c>
      <c r="X617" s="312" t="s">
        <v>632</v>
      </c>
      <c r="Y617" s="316">
        <v>0</v>
      </c>
      <c r="Z617" s="314"/>
      <c r="AA617" s="315"/>
      <c r="AB617" s="315"/>
      <c r="AC617" s="316">
        <v>0</v>
      </c>
      <c r="AD617" s="314"/>
      <c r="AE617" s="316"/>
    </row>
    <row r="618" spans="1:31" ht="13.5" hidden="1" thickBot="1">
      <c r="A618" s="885"/>
      <c r="B618" s="885"/>
      <c r="C618" s="9" t="s">
        <v>435</v>
      </c>
      <c r="D618" s="241" t="s">
        <v>632</v>
      </c>
      <c r="E618" s="241" t="s">
        <v>632</v>
      </c>
      <c r="F618" s="243" t="s">
        <v>646</v>
      </c>
      <c r="G618" s="241" t="s">
        <v>646</v>
      </c>
      <c r="H618" s="241" t="s">
        <v>646</v>
      </c>
      <c r="I618" s="244" t="s">
        <v>646</v>
      </c>
      <c r="J618" s="195">
        <v>0</v>
      </c>
      <c r="K618" s="196"/>
      <c r="L618" s="196"/>
      <c r="M618" s="197"/>
      <c r="N618" s="314"/>
      <c r="O618" s="315">
        <v>0</v>
      </c>
      <c r="P618" s="315"/>
      <c r="Q618" s="316"/>
      <c r="R618" s="314"/>
      <c r="S618" s="315"/>
      <c r="T618" s="315"/>
      <c r="U618" s="316">
        <v>0</v>
      </c>
      <c r="V618" s="314"/>
      <c r="W618" s="315"/>
      <c r="X618" s="315"/>
      <c r="Y618" s="316">
        <v>10</v>
      </c>
      <c r="Z618" s="314"/>
      <c r="AA618" s="315"/>
      <c r="AB618" s="315"/>
      <c r="AC618" s="316">
        <v>0</v>
      </c>
      <c r="AD618" s="314"/>
      <c r="AE618" s="316"/>
    </row>
    <row r="619" spans="1:31" ht="13.5" hidden="1" thickBot="1">
      <c r="A619" s="885"/>
      <c r="B619" s="885"/>
      <c r="C619" s="9" t="s">
        <v>642</v>
      </c>
      <c r="D619" s="241" t="s">
        <v>632</v>
      </c>
      <c r="E619" s="241" t="s">
        <v>632</v>
      </c>
      <c r="F619" s="243" t="s">
        <v>646</v>
      </c>
      <c r="G619" s="241" t="s">
        <v>646</v>
      </c>
      <c r="H619" s="241" t="s">
        <v>646</v>
      </c>
      <c r="I619" s="244" t="s">
        <v>646</v>
      </c>
      <c r="J619" s="195">
        <v>0</v>
      </c>
      <c r="K619" s="196"/>
      <c r="L619" s="196"/>
      <c r="M619" s="197"/>
      <c r="N619" s="314"/>
      <c r="O619" s="315">
        <v>0</v>
      </c>
      <c r="P619" s="315"/>
      <c r="Q619" s="316"/>
      <c r="R619" s="314"/>
      <c r="S619" s="315"/>
      <c r="T619" s="315"/>
      <c r="U619" s="316">
        <v>0</v>
      </c>
      <c r="V619" s="314"/>
      <c r="W619" s="315"/>
      <c r="X619" s="315"/>
      <c r="Y619" s="316">
        <v>5</v>
      </c>
      <c r="Z619" s="314"/>
      <c r="AA619" s="315"/>
      <c r="AB619" s="315"/>
      <c r="AC619" s="316">
        <v>0</v>
      </c>
      <c r="AD619" s="314"/>
      <c r="AE619" s="316"/>
    </row>
    <row r="620" spans="1:31" ht="24.75" hidden="1" thickBot="1">
      <c r="A620" s="885"/>
      <c r="B620" s="885"/>
      <c r="C620" s="9" t="s">
        <v>437</v>
      </c>
      <c r="D620" s="241" t="s">
        <v>632</v>
      </c>
      <c r="E620" s="241" t="s">
        <v>632</v>
      </c>
      <c r="F620" s="243" t="s">
        <v>646</v>
      </c>
      <c r="G620" s="241" t="s">
        <v>646</v>
      </c>
      <c r="H620" s="241" t="s">
        <v>646</v>
      </c>
      <c r="I620" s="244" t="s">
        <v>646</v>
      </c>
      <c r="J620" s="195">
        <v>0</v>
      </c>
      <c r="K620" s="196"/>
      <c r="L620" s="196"/>
      <c r="M620" s="197"/>
      <c r="N620" s="314"/>
      <c r="O620" s="315">
        <v>0</v>
      </c>
      <c r="P620" s="315"/>
      <c r="Q620" s="316"/>
      <c r="R620" s="314"/>
      <c r="S620" s="315"/>
      <c r="T620" s="315"/>
      <c r="U620" s="316">
        <v>0</v>
      </c>
      <c r="V620" s="314"/>
      <c r="W620" s="315"/>
      <c r="X620" s="315"/>
      <c r="Y620" s="316">
        <v>0</v>
      </c>
      <c r="Z620" s="314"/>
      <c r="AA620" s="315"/>
      <c r="AB620" s="315"/>
      <c r="AC620" s="316">
        <v>0</v>
      </c>
      <c r="AD620" s="314"/>
      <c r="AE620" s="316"/>
    </row>
    <row r="621" spans="1:31" ht="12.95" hidden="1" customHeight="1" thickBot="1">
      <c r="A621" s="885"/>
      <c r="B621" s="885"/>
      <c r="C621" s="231"/>
      <c r="D621" s="232"/>
      <c r="E621" s="233"/>
      <c r="F621" s="234"/>
      <c r="G621" s="232"/>
      <c r="H621" s="232"/>
      <c r="I621" s="233"/>
      <c r="J621" s="234"/>
      <c r="K621" s="232"/>
      <c r="L621" s="232"/>
      <c r="M621" s="233"/>
      <c r="N621" s="328"/>
      <c r="O621" s="326"/>
      <c r="P621" s="326"/>
      <c r="Q621" s="327"/>
      <c r="R621" s="328"/>
      <c r="S621" s="326"/>
      <c r="T621" s="326"/>
      <c r="U621" s="327"/>
      <c r="V621" s="328"/>
      <c r="W621" s="326"/>
      <c r="X621" s="326"/>
      <c r="Y621" s="327"/>
      <c r="Z621" s="328"/>
      <c r="AA621" s="326"/>
      <c r="AB621" s="326"/>
      <c r="AC621" s="327"/>
      <c r="AD621" s="328"/>
      <c r="AE621" s="327"/>
    </row>
    <row r="622" spans="1:31" ht="12.95" hidden="1" customHeight="1" thickBot="1">
      <c r="A622" s="885"/>
      <c r="B622" s="869"/>
      <c r="C622" s="231"/>
      <c r="D622" s="232"/>
      <c r="E622" s="233"/>
      <c r="F622" s="234"/>
      <c r="G622" s="232"/>
      <c r="H622" s="232"/>
      <c r="I622" s="233"/>
      <c r="J622" s="234"/>
      <c r="K622" s="232"/>
      <c r="L622" s="232"/>
      <c r="M622" s="233"/>
      <c r="N622" s="328"/>
      <c r="O622" s="326"/>
      <c r="P622" s="326"/>
      <c r="Q622" s="327"/>
      <c r="R622" s="328"/>
      <c r="S622" s="326"/>
      <c r="T622" s="326"/>
      <c r="U622" s="327"/>
      <c r="V622" s="328"/>
      <c r="W622" s="326"/>
      <c r="X622" s="326"/>
      <c r="Y622" s="327"/>
      <c r="Z622" s="328"/>
      <c r="AA622" s="326"/>
      <c r="AB622" s="326"/>
      <c r="AC622" s="327"/>
      <c r="AD622" s="328"/>
      <c r="AE622" s="327"/>
    </row>
    <row r="623" spans="1:31" ht="12.95" customHeight="1" thickBot="1">
      <c r="A623" s="885"/>
      <c r="B623" s="3" t="s">
        <v>600</v>
      </c>
      <c r="C623" s="12"/>
      <c r="D623" s="1377">
        <v>2008</v>
      </c>
      <c r="E623" s="1378"/>
      <c r="F623" s="1372">
        <v>2009</v>
      </c>
      <c r="G623" s="1373"/>
      <c r="H623" s="1373"/>
      <c r="I623" s="1374"/>
      <c r="J623" s="1372">
        <v>2010</v>
      </c>
      <c r="K623" s="1373"/>
      <c r="L623" s="1373"/>
      <c r="M623" s="1374"/>
      <c r="N623" s="1372">
        <v>2011</v>
      </c>
      <c r="O623" s="1373"/>
      <c r="P623" s="1373"/>
      <c r="Q623" s="1374"/>
      <c r="R623" s="1372">
        <v>2012</v>
      </c>
      <c r="S623" s="1373"/>
      <c r="T623" s="1373"/>
      <c r="U623" s="1374"/>
      <c r="V623" s="1372">
        <v>2013</v>
      </c>
      <c r="W623" s="1373"/>
      <c r="X623" s="1373"/>
      <c r="Y623" s="1374"/>
      <c r="Z623" s="1372">
        <v>2014</v>
      </c>
      <c r="AA623" s="1373"/>
      <c r="AB623" s="1373"/>
      <c r="AC623" s="1374"/>
      <c r="AD623" s="1372">
        <v>2015</v>
      </c>
      <c r="AE623" s="1374"/>
    </row>
    <row r="624" spans="1:31" ht="13.5" thickBot="1">
      <c r="A624" s="885"/>
      <c r="B624" s="868" t="s">
        <v>647</v>
      </c>
      <c r="C624" s="250" t="s">
        <v>649</v>
      </c>
      <c r="D624" s="245"/>
      <c r="E624" s="246"/>
      <c r="F624" s="247"/>
      <c r="G624" s="245"/>
      <c r="H624" s="245"/>
      <c r="I624" s="246"/>
      <c r="J624" s="247"/>
      <c r="K624" s="245"/>
      <c r="L624" s="245"/>
      <c r="M624" s="246"/>
      <c r="N624" s="309"/>
      <c r="O624" s="307"/>
      <c r="P624" s="307"/>
      <c r="Q624" s="308"/>
      <c r="R624" s="309"/>
      <c r="S624" s="307"/>
      <c r="T624" s="307"/>
      <c r="U624" s="308"/>
      <c r="V624" s="309"/>
      <c r="W624" s="307"/>
      <c r="X624" s="307"/>
      <c r="Y624" s="308"/>
      <c r="Z624" s="309"/>
      <c r="AA624" s="568"/>
      <c r="AB624" s="568"/>
      <c r="AC624" s="568">
        <v>14053.999505555552</v>
      </c>
      <c r="AD624" s="567"/>
      <c r="AE624" s="570"/>
    </row>
    <row r="625" spans="1:31" ht="13.5" thickBot="1">
      <c r="A625" s="885"/>
      <c r="B625" s="885"/>
      <c r="C625" s="250" t="s">
        <v>650</v>
      </c>
      <c r="D625" s="245"/>
      <c r="E625" s="246"/>
      <c r="F625" s="247"/>
      <c r="G625" s="245"/>
      <c r="H625" s="245"/>
      <c r="I625" s="246"/>
      <c r="J625" s="247"/>
      <c r="K625" s="245"/>
      <c r="L625" s="245"/>
      <c r="M625" s="246"/>
      <c r="N625" s="309"/>
      <c r="O625" s="307"/>
      <c r="P625" s="307"/>
      <c r="Q625" s="308"/>
      <c r="R625" s="309"/>
      <c r="S625" s="307"/>
      <c r="T625" s="307"/>
      <c r="U625" s="308"/>
      <c r="V625" s="309"/>
      <c r="W625" s="307"/>
      <c r="X625" s="307"/>
      <c r="Y625" s="308"/>
      <c r="Z625" s="309"/>
      <c r="AA625" s="568"/>
      <c r="AB625" s="568"/>
      <c r="AC625" s="568">
        <v>16730.035132828281</v>
      </c>
      <c r="AD625" s="567"/>
      <c r="AE625" s="570"/>
    </row>
    <row r="626" spans="1:31" ht="13.5" thickBot="1">
      <c r="A626" s="885"/>
      <c r="B626" s="885"/>
      <c r="C626" s="250" t="s">
        <v>651</v>
      </c>
      <c r="D626" s="245"/>
      <c r="E626" s="246"/>
      <c r="F626" s="247"/>
      <c r="G626" s="245"/>
      <c r="H626" s="245"/>
      <c r="I626" s="246"/>
      <c r="J626" s="247"/>
      <c r="K626" s="245"/>
      <c r="L626" s="245"/>
      <c r="M626" s="246"/>
      <c r="N626" s="309"/>
      <c r="O626" s="307"/>
      <c r="P626" s="307"/>
      <c r="Q626" s="308"/>
      <c r="R626" s="309"/>
      <c r="S626" s="307"/>
      <c r="T626" s="307"/>
      <c r="U626" s="308"/>
      <c r="V626" s="309"/>
      <c r="W626" s="307"/>
      <c r="X626" s="307"/>
      <c r="Y626" s="308"/>
      <c r="Z626" s="309"/>
      <c r="AA626" s="568"/>
      <c r="AB626" s="568"/>
      <c r="AC626" s="568">
        <v>14586.658593434349</v>
      </c>
      <c r="AD626" s="567"/>
      <c r="AE626" s="570"/>
    </row>
    <row r="627" spans="1:31" ht="13.5" thickBot="1">
      <c r="A627" s="885"/>
      <c r="B627" s="885"/>
      <c r="C627" s="250" t="s">
        <v>652</v>
      </c>
      <c r="D627" s="245"/>
      <c r="E627" s="246"/>
      <c r="F627" s="247"/>
      <c r="G627" s="245"/>
      <c r="H627" s="245"/>
      <c r="I627" s="246"/>
      <c r="J627" s="247"/>
      <c r="K627" s="245"/>
      <c r="L627" s="245"/>
      <c r="M627" s="246"/>
      <c r="N627" s="309"/>
      <c r="O627" s="307"/>
      <c r="P627" s="307"/>
      <c r="Q627" s="308"/>
      <c r="R627" s="309"/>
      <c r="S627" s="307"/>
      <c r="T627" s="307"/>
      <c r="U627" s="308"/>
      <c r="V627" s="309"/>
      <c r="W627" s="307"/>
      <c r="X627" s="307"/>
      <c r="Y627" s="308"/>
      <c r="Z627" s="309"/>
      <c r="AA627" s="568"/>
      <c r="AB627" s="568"/>
      <c r="AC627" s="568">
        <v>15274.191967171719</v>
      </c>
      <c r="AD627" s="567"/>
      <c r="AE627" s="570"/>
    </row>
    <row r="628" spans="1:31" ht="13.5" thickBot="1">
      <c r="A628" s="885"/>
      <c r="B628" s="885"/>
      <c r="C628" s="250" t="s">
        <v>653</v>
      </c>
      <c r="D628" s="245"/>
      <c r="E628" s="246"/>
      <c r="F628" s="247"/>
      <c r="G628" s="245"/>
      <c r="H628" s="245"/>
      <c r="I628" s="246"/>
      <c r="J628" s="247"/>
      <c r="K628" s="245"/>
      <c r="L628" s="245"/>
      <c r="M628" s="246"/>
      <c r="N628" s="309"/>
      <c r="O628" s="307"/>
      <c r="P628" s="307"/>
      <c r="Q628" s="308"/>
      <c r="R628" s="309"/>
      <c r="S628" s="307"/>
      <c r="T628" s="307"/>
      <c r="U628" s="308"/>
      <c r="V628" s="309"/>
      <c r="W628" s="307"/>
      <c r="X628" s="307"/>
      <c r="Y628" s="308"/>
      <c r="Z628" s="309"/>
      <c r="AA628" s="568"/>
      <c r="AB628" s="568"/>
      <c r="AC628" s="568">
        <v>15115.968199494951</v>
      </c>
      <c r="AD628" s="567"/>
      <c r="AE628" s="570"/>
    </row>
    <row r="629" spans="1:31" ht="12.95" customHeight="1" thickBot="1">
      <c r="A629" s="885"/>
      <c r="B629" s="885"/>
      <c r="C629" s="250" t="s">
        <v>654</v>
      </c>
      <c r="D629" s="248"/>
      <c r="E629" s="249"/>
      <c r="F629" s="247"/>
      <c r="G629" s="248"/>
      <c r="H629" s="248"/>
      <c r="I629" s="249"/>
      <c r="J629" s="247"/>
      <c r="K629" s="248"/>
      <c r="L629" s="248"/>
      <c r="M629" s="249"/>
      <c r="N629" s="309"/>
      <c r="O629" s="310"/>
      <c r="P629" s="310"/>
      <c r="Q629" s="311"/>
      <c r="R629" s="309"/>
      <c r="S629" s="310"/>
      <c r="T629" s="310"/>
      <c r="U629" s="311"/>
      <c r="V629" s="309"/>
      <c r="W629" s="310"/>
      <c r="X629" s="310"/>
      <c r="Y629" s="311"/>
      <c r="Z629" s="309"/>
      <c r="AA629" s="568"/>
      <c r="AB629" s="568"/>
      <c r="AC629" s="568">
        <v>13611.208664141413</v>
      </c>
      <c r="AD629" s="567"/>
      <c r="AE629" s="570"/>
    </row>
    <row r="630" spans="1:31" ht="12.95" customHeight="1" thickBot="1">
      <c r="A630" s="885"/>
      <c r="B630" s="885"/>
      <c r="C630" s="250" t="s">
        <v>655</v>
      </c>
      <c r="D630" s="248"/>
      <c r="E630" s="249"/>
      <c r="F630" s="247"/>
      <c r="G630" s="248"/>
      <c r="H630" s="248"/>
      <c r="I630" s="249"/>
      <c r="J630" s="247"/>
      <c r="K630" s="248"/>
      <c r="L630" s="248"/>
      <c r="M630" s="249"/>
      <c r="N630" s="309"/>
      <c r="O630" s="310"/>
      <c r="P630" s="310"/>
      <c r="Q630" s="311"/>
      <c r="R630" s="309"/>
      <c r="S630" s="310"/>
      <c r="T630" s="310"/>
      <c r="U630" s="311"/>
      <c r="V630" s="309"/>
      <c r="W630" s="310"/>
      <c r="X630" s="310"/>
      <c r="Y630" s="311"/>
      <c r="Z630" s="309"/>
      <c r="AA630" s="568"/>
      <c r="AB630" s="568"/>
      <c r="AC630" s="568">
        <v>14752.852143939395</v>
      </c>
      <c r="AD630" s="567"/>
      <c r="AE630" s="570"/>
    </row>
    <row r="631" spans="1:31" ht="12.95" customHeight="1" thickBot="1">
      <c r="A631" s="885"/>
      <c r="B631" s="885"/>
      <c r="C631" s="250" t="s">
        <v>656</v>
      </c>
      <c r="D631" s="248"/>
      <c r="E631" s="249"/>
      <c r="F631" s="247"/>
      <c r="G631" s="248"/>
      <c r="H631" s="248"/>
      <c r="I631" s="249"/>
      <c r="J631" s="247"/>
      <c r="K631" s="248"/>
      <c r="L631" s="248"/>
      <c r="M631" s="249"/>
      <c r="N631" s="309"/>
      <c r="O631" s="310"/>
      <c r="P631" s="310"/>
      <c r="Q631" s="311"/>
      <c r="R631" s="309"/>
      <c r="S631" s="310"/>
      <c r="T631" s="310"/>
      <c r="U631" s="311"/>
      <c r="V631" s="309"/>
      <c r="W631" s="310"/>
      <c r="X631" s="310"/>
      <c r="Y631" s="311"/>
      <c r="Z631" s="309"/>
      <c r="AA631" s="568"/>
      <c r="AB631" s="568"/>
      <c r="AC631" s="568">
        <v>16222.215588383835</v>
      </c>
      <c r="AD631" s="567"/>
      <c r="AE631" s="570"/>
    </row>
    <row r="632" spans="1:31" ht="12.95" customHeight="1" thickBot="1">
      <c r="A632" s="885"/>
      <c r="B632" s="885"/>
      <c r="C632" s="250" t="s">
        <v>657</v>
      </c>
      <c r="D632" s="248"/>
      <c r="E632" s="249"/>
      <c r="F632" s="247"/>
      <c r="G632" s="248"/>
      <c r="H632" s="248"/>
      <c r="I632" s="249"/>
      <c r="J632" s="247"/>
      <c r="K632" s="248"/>
      <c r="L632" s="248"/>
      <c r="M632" s="249"/>
      <c r="N632" s="309"/>
      <c r="O632" s="310"/>
      <c r="P632" s="310"/>
      <c r="Q632" s="311"/>
      <c r="R632" s="309"/>
      <c r="S632" s="310"/>
      <c r="T632" s="310"/>
      <c r="U632" s="311"/>
      <c r="V632" s="309"/>
      <c r="W632" s="310"/>
      <c r="X632" s="310"/>
      <c r="Y632" s="311"/>
      <c r="Z632" s="309"/>
      <c r="AA632" s="568"/>
      <c r="AB632" s="568"/>
      <c r="AC632" s="568">
        <v>13773.195354040403</v>
      </c>
      <c r="AD632" s="567"/>
      <c r="AE632" s="570"/>
    </row>
    <row r="633" spans="1:31" ht="12.95" customHeight="1" thickBot="1">
      <c r="A633" s="885"/>
      <c r="B633" s="885"/>
      <c r="C633" s="250" t="s">
        <v>658</v>
      </c>
      <c r="D633" s="248"/>
      <c r="E633" s="249"/>
      <c r="F633" s="247"/>
      <c r="G633" s="248"/>
      <c r="H633" s="248"/>
      <c r="I633" s="249"/>
      <c r="J633" s="247"/>
      <c r="K633" s="248"/>
      <c r="L633" s="248"/>
      <c r="M633" s="249"/>
      <c r="N633" s="309"/>
      <c r="O633" s="310"/>
      <c r="P633" s="310"/>
      <c r="Q633" s="311"/>
      <c r="R633" s="309"/>
      <c r="S633" s="310"/>
      <c r="T633" s="310"/>
      <c r="U633" s="311"/>
      <c r="V633" s="309"/>
      <c r="W633" s="310"/>
      <c r="X633" s="310"/>
      <c r="Y633" s="311"/>
      <c r="Z633" s="309"/>
      <c r="AA633" s="568"/>
      <c r="AB633" s="568"/>
      <c r="AC633" s="568">
        <v>13217.622477272726</v>
      </c>
      <c r="AD633" s="567"/>
      <c r="AE633" s="570"/>
    </row>
    <row r="634" spans="1:31" ht="13.5" thickBot="1">
      <c r="A634" s="885"/>
      <c r="B634" s="885"/>
      <c r="C634" s="250" t="s">
        <v>659</v>
      </c>
      <c r="D634" s="245"/>
      <c r="E634" s="246"/>
      <c r="F634" s="247"/>
      <c r="G634" s="245"/>
      <c r="H634" s="245"/>
      <c r="I634" s="246"/>
      <c r="J634" s="247"/>
      <c r="K634" s="245"/>
      <c r="L634" s="245"/>
      <c r="M634" s="246"/>
      <c r="N634" s="309"/>
      <c r="O634" s="307"/>
      <c r="P634" s="307"/>
      <c r="Q634" s="308"/>
      <c r="R634" s="309"/>
      <c r="S634" s="307"/>
      <c r="T634" s="307"/>
      <c r="U634" s="308"/>
      <c r="V634" s="309"/>
      <c r="W634" s="307"/>
      <c r="X634" s="307"/>
      <c r="Y634" s="308"/>
      <c r="Z634" s="309"/>
      <c r="AA634" s="568"/>
      <c r="AB634" s="568"/>
      <c r="AC634" s="568">
        <v>11801.306465404043</v>
      </c>
      <c r="AD634" s="567"/>
      <c r="AE634" s="570"/>
    </row>
    <row r="635" spans="1:31" ht="13.5" thickBot="1">
      <c r="A635" s="885"/>
      <c r="B635" s="885"/>
      <c r="C635" s="250" t="s">
        <v>660</v>
      </c>
      <c r="D635" s="245"/>
      <c r="E635" s="246"/>
      <c r="F635" s="247"/>
      <c r="G635" s="245"/>
      <c r="H635" s="245"/>
      <c r="I635" s="246"/>
      <c r="J635" s="247"/>
      <c r="K635" s="245"/>
      <c r="L635" s="245"/>
      <c r="M635" s="246"/>
      <c r="N635" s="309"/>
      <c r="O635" s="307"/>
      <c r="P635" s="307"/>
      <c r="Q635" s="308"/>
      <c r="R635" s="309"/>
      <c r="S635" s="307"/>
      <c r="T635" s="307"/>
      <c r="U635" s="308"/>
      <c r="V635" s="309"/>
      <c r="W635" s="307"/>
      <c r="X635" s="307"/>
      <c r="Y635" s="308"/>
      <c r="Z635" s="309"/>
      <c r="AA635" s="568"/>
      <c r="AB635" s="568"/>
      <c r="AC635" s="568">
        <v>11801.306465404043</v>
      </c>
      <c r="AD635" s="567"/>
      <c r="AE635" s="570"/>
    </row>
    <row r="636" spans="1:31" ht="13.5" hidden="1" thickBot="1">
      <c r="A636" s="885"/>
      <c r="B636" s="885"/>
      <c r="C636" s="250" t="s">
        <v>661</v>
      </c>
      <c r="D636" s="245"/>
      <c r="E636" s="246"/>
      <c r="F636" s="247"/>
      <c r="G636" s="245"/>
      <c r="H636" s="245"/>
      <c r="I636" s="246"/>
      <c r="J636" s="247"/>
      <c r="K636" s="245"/>
      <c r="L636" s="245"/>
      <c r="M636" s="246"/>
      <c r="N636" s="247"/>
      <c r="O636" s="245"/>
      <c r="P636" s="245"/>
      <c r="Q636" s="246"/>
      <c r="R636" s="247"/>
      <c r="S636" s="245"/>
      <c r="T636" s="245"/>
      <c r="U636" s="246"/>
      <c r="V636" s="247"/>
      <c r="W636" s="245"/>
      <c r="X636" s="245"/>
      <c r="Y636" s="246"/>
      <c r="Z636" s="247"/>
      <c r="AA636" s="248"/>
      <c r="AB636" s="248"/>
      <c r="AC636" s="249"/>
      <c r="AD636" s="247"/>
      <c r="AE636" s="249"/>
    </row>
    <row r="637" spans="1:31" ht="12.95" hidden="1" customHeight="1" thickBot="1">
      <c r="A637" s="885"/>
      <c r="B637" s="885"/>
      <c r="C637" s="9" t="s">
        <v>295</v>
      </c>
      <c r="D637" s="202"/>
      <c r="E637" s="203"/>
      <c r="F637" s="201"/>
      <c r="G637" s="202"/>
      <c r="H637" s="202"/>
      <c r="I637" s="203"/>
      <c r="J637" s="201"/>
      <c r="K637" s="202"/>
      <c r="L637" s="202"/>
      <c r="M637" s="203"/>
      <c r="N637" s="204"/>
      <c r="O637" s="214"/>
      <c r="P637" s="205"/>
      <c r="Q637" s="205"/>
      <c r="R637" s="201"/>
      <c r="S637" s="202"/>
      <c r="T637" s="202"/>
      <c r="U637" s="205"/>
      <c r="V637" s="201"/>
      <c r="W637" s="202"/>
      <c r="X637" s="202"/>
      <c r="Y637" s="197">
        <v>0</v>
      </c>
      <c r="Z637" s="195"/>
      <c r="AA637" s="196"/>
      <c r="AB637" s="196"/>
      <c r="AC637" s="197">
        <v>0</v>
      </c>
      <c r="AD637" s="195"/>
      <c r="AE637" s="197"/>
    </row>
    <row r="638" spans="1:31" ht="12.95" hidden="1" customHeight="1" thickBot="1">
      <c r="A638" s="885"/>
      <c r="B638" s="885"/>
      <c r="C638" s="9" t="s">
        <v>296</v>
      </c>
      <c r="D638" s="202"/>
      <c r="E638" s="203"/>
      <c r="F638" s="201"/>
      <c r="G638" s="202"/>
      <c r="H638" s="202"/>
      <c r="I638" s="203"/>
      <c r="J638" s="201"/>
      <c r="K638" s="202"/>
      <c r="L638" s="202"/>
      <c r="M638" s="203"/>
      <c r="N638" s="204"/>
      <c r="O638" s="214"/>
      <c r="P638" s="205"/>
      <c r="Q638" s="205"/>
      <c r="R638" s="201"/>
      <c r="S638" s="202"/>
      <c r="T638" s="202"/>
      <c r="U638" s="205"/>
      <c r="V638" s="201"/>
      <c r="W638" s="202"/>
      <c r="X638" s="202"/>
      <c r="Y638" s="197">
        <v>0</v>
      </c>
      <c r="Z638" s="195"/>
      <c r="AA638" s="196"/>
      <c r="AB638" s="196"/>
      <c r="AC638" s="197">
        <v>0</v>
      </c>
      <c r="AD638" s="195"/>
      <c r="AE638" s="197"/>
    </row>
    <row r="639" spans="1:31" ht="13.5" hidden="1" thickBot="1">
      <c r="A639" s="885"/>
      <c r="B639" s="885"/>
      <c r="C639" s="9" t="s">
        <v>297</v>
      </c>
      <c r="D639" s="202"/>
      <c r="E639" s="203"/>
      <c r="F639" s="201"/>
      <c r="G639" s="202"/>
      <c r="H639" s="202"/>
      <c r="I639" s="203"/>
      <c r="J639" s="201"/>
      <c r="K639" s="202"/>
      <c r="L639" s="202"/>
      <c r="M639" s="203"/>
      <c r="N639" s="204"/>
      <c r="O639" s="214"/>
      <c r="P639" s="205"/>
      <c r="Q639" s="205"/>
      <c r="R639" s="201"/>
      <c r="S639" s="202"/>
      <c r="T639" s="202"/>
      <c r="U639" s="205"/>
      <c r="V639" s="201"/>
      <c r="W639" s="202"/>
      <c r="X639" s="202"/>
      <c r="Y639" s="197">
        <v>0</v>
      </c>
      <c r="Z639" s="195"/>
      <c r="AA639" s="196"/>
      <c r="AB639" s="196"/>
      <c r="AC639" s="197">
        <v>0</v>
      </c>
      <c r="AD639" s="195"/>
      <c r="AE639" s="197"/>
    </row>
    <row r="640" spans="1:31" ht="13.5" hidden="1" thickBot="1">
      <c r="A640" s="885"/>
      <c r="B640" s="885"/>
      <c r="C640" s="9" t="s">
        <v>298</v>
      </c>
      <c r="D640" s="202"/>
      <c r="E640" s="203"/>
      <c r="F640" s="201"/>
      <c r="G640" s="202"/>
      <c r="H640" s="202"/>
      <c r="I640" s="203"/>
      <c r="J640" s="201"/>
      <c r="K640" s="202"/>
      <c r="L640" s="202"/>
      <c r="M640" s="203"/>
      <c r="N640" s="204"/>
      <c r="O640" s="214"/>
      <c r="P640" s="205"/>
      <c r="Q640" s="205"/>
      <c r="R640" s="201"/>
      <c r="S640" s="202"/>
      <c r="T640" s="202"/>
      <c r="U640" s="205"/>
      <c r="V640" s="201"/>
      <c r="W640" s="202"/>
      <c r="X640" s="202"/>
      <c r="Y640" s="197">
        <v>0</v>
      </c>
      <c r="Z640" s="195"/>
      <c r="AA640" s="196"/>
      <c r="AB640" s="196"/>
      <c r="AC640" s="197">
        <v>0</v>
      </c>
      <c r="AD640" s="195"/>
      <c r="AE640" s="197"/>
    </row>
    <row r="641" spans="1:32" ht="13.5" hidden="1" thickBot="1">
      <c r="A641" s="885"/>
      <c r="B641" s="885"/>
      <c r="C641" s="9" t="s">
        <v>299</v>
      </c>
      <c r="D641" s="202"/>
      <c r="E641" s="203"/>
      <c r="F641" s="201"/>
      <c r="G641" s="202"/>
      <c r="H641" s="202"/>
      <c r="I641" s="203"/>
      <c r="J641" s="201"/>
      <c r="K641" s="202"/>
      <c r="L641" s="202"/>
      <c r="M641" s="203"/>
      <c r="N641" s="204"/>
      <c r="O641" s="214"/>
      <c r="P641" s="205"/>
      <c r="Q641" s="205"/>
      <c r="R641" s="201"/>
      <c r="S641" s="202"/>
      <c r="T641" s="202"/>
      <c r="U641" s="205"/>
      <c r="V641" s="201"/>
      <c r="W641" s="202"/>
      <c r="X641" s="202"/>
      <c r="Y641" s="197">
        <v>0</v>
      </c>
      <c r="Z641" s="195"/>
      <c r="AA641" s="196"/>
      <c r="AB641" s="196"/>
      <c r="AC641" s="197">
        <v>0</v>
      </c>
      <c r="AD641" s="195"/>
      <c r="AE641" s="197"/>
    </row>
    <row r="642" spans="1:32" ht="24.75" hidden="1" thickBot="1">
      <c r="A642" s="885"/>
      <c r="B642" s="885"/>
      <c r="C642" s="9" t="s">
        <v>300</v>
      </c>
      <c r="D642" s="202"/>
      <c r="E642" s="203"/>
      <c r="F642" s="201"/>
      <c r="G642" s="202"/>
      <c r="H642" s="202"/>
      <c r="I642" s="203"/>
      <c r="J642" s="201"/>
      <c r="K642" s="202"/>
      <c r="L642" s="202"/>
      <c r="M642" s="203"/>
      <c r="N642" s="204"/>
      <c r="O642" s="214"/>
      <c r="P642" s="205"/>
      <c r="Q642" s="205"/>
      <c r="R642" s="201"/>
      <c r="S642" s="202"/>
      <c r="T642" s="202"/>
      <c r="U642" s="205"/>
      <c r="V642" s="201"/>
      <c r="W642" s="202"/>
      <c r="X642" s="202"/>
      <c r="Y642" s="197">
        <v>0</v>
      </c>
      <c r="Z642" s="195"/>
      <c r="AA642" s="196"/>
      <c r="AB642" s="196"/>
      <c r="AC642" s="197">
        <v>0</v>
      </c>
      <c r="AD642" s="195"/>
      <c r="AE642" s="197"/>
    </row>
    <row r="643" spans="1:32" ht="13.5" hidden="1" thickBot="1">
      <c r="A643" s="885"/>
      <c r="B643" s="885"/>
      <c r="C643" s="9" t="s">
        <v>301</v>
      </c>
      <c r="D643" s="202"/>
      <c r="E643" s="203"/>
      <c r="F643" s="201"/>
      <c r="G643" s="202"/>
      <c r="H643" s="202"/>
      <c r="I643" s="203"/>
      <c r="J643" s="201"/>
      <c r="K643" s="202"/>
      <c r="L643" s="202"/>
      <c r="M643" s="203"/>
      <c r="N643" s="204"/>
      <c r="O643" s="214"/>
      <c r="P643" s="205"/>
      <c r="Q643" s="205"/>
      <c r="R643" s="201"/>
      <c r="S643" s="202"/>
      <c r="T643" s="202"/>
      <c r="U643" s="205"/>
      <c r="V643" s="201"/>
      <c r="W643" s="202"/>
      <c r="X643" s="202"/>
      <c r="Y643" s="197">
        <v>0</v>
      </c>
      <c r="Z643" s="195"/>
      <c r="AA643" s="196"/>
      <c r="AB643" s="196"/>
      <c r="AC643" s="197">
        <v>0</v>
      </c>
      <c r="AD643" s="195"/>
      <c r="AE643" s="197"/>
    </row>
    <row r="644" spans="1:32" ht="13.5" hidden="1" thickBot="1">
      <c r="A644" s="885"/>
      <c r="B644" s="885"/>
      <c r="C644" s="9" t="s">
        <v>302</v>
      </c>
      <c r="D644" s="202"/>
      <c r="E644" s="203"/>
      <c r="F644" s="201"/>
      <c r="G644" s="202"/>
      <c r="H644" s="202"/>
      <c r="I644" s="203"/>
      <c r="J644" s="201"/>
      <c r="K644" s="202"/>
      <c r="L644" s="202"/>
      <c r="M644" s="203"/>
      <c r="N644" s="204"/>
      <c r="O644" s="214"/>
      <c r="P644" s="205"/>
      <c r="Q644" s="205"/>
      <c r="R644" s="201"/>
      <c r="S644" s="202"/>
      <c r="T644" s="202"/>
      <c r="U644" s="205"/>
      <c r="V644" s="201"/>
      <c r="W644" s="202"/>
      <c r="X644" s="202"/>
      <c r="Y644" s="197">
        <v>0</v>
      </c>
      <c r="Z644" s="195"/>
      <c r="AA644" s="196"/>
      <c r="AB644" s="196"/>
      <c r="AC644" s="197">
        <v>0</v>
      </c>
      <c r="AD644" s="195"/>
      <c r="AE644" s="197"/>
    </row>
    <row r="645" spans="1:32" ht="24.75" hidden="1" thickBot="1">
      <c r="A645" s="885"/>
      <c r="B645" s="885"/>
      <c r="C645" s="9" t="s">
        <v>303</v>
      </c>
      <c r="D645" s="202"/>
      <c r="E645" s="203"/>
      <c r="F645" s="201"/>
      <c r="G645" s="202"/>
      <c r="H645" s="202"/>
      <c r="I645" s="203"/>
      <c r="J645" s="201"/>
      <c r="K645" s="202"/>
      <c r="L645" s="202"/>
      <c r="M645" s="203"/>
      <c r="N645" s="204"/>
      <c r="O645" s="214"/>
      <c r="P645" s="205"/>
      <c r="Q645" s="205"/>
      <c r="R645" s="201"/>
      <c r="S645" s="202"/>
      <c r="T645" s="202"/>
      <c r="U645" s="205"/>
      <c r="V645" s="201"/>
      <c r="W645" s="202"/>
      <c r="X645" s="202"/>
      <c r="Y645" s="197">
        <v>0</v>
      </c>
      <c r="Z645" s="195"/>
      <c r="AA645" s="196"/>
      <c r="AB645" s="196"/>
      <c r="AC645" s="197">
        <v>0</v>
      </c>
      <c r="AD645" s="195"/>
      <c r="AE645" s="197"/>
    </row>
    <row r="646" spans="1:32" ht="13.5" hidden="1" thickBot="1">
      <c r="A646" s="885"/>
      <c r="B646" s="885"/>
      <c r="C646" s="9" t="s">
        <v>304</v>
      </c>
      <c r="D646" s="202"/>
      <c r="E646" s="203"/>
      <c r="F646" s="201"/>
      <c r="G646" s="202"/>
      <c r="H646" s="202"/>
      <c r="I646" s="203"/>
      <c r="J646" s="201"/>
      <c r="K646" s="202"/>
      <c r="L646" s="202"/>
      <c r="M646" s="203"/>
      <c r="N646" s="204"/>
      <c r="O646" s="205"/>
      <c r="P646" s="205"/>
      <c r="Q646" s="205"/>
      <c r="R646" s="201"/>
      <c r="S646" s="202"/>
      <c r="T646" s="202"/>
      <c r="U646" s="205"/>
      <c r="V646" s="201"/>
      <c r="W646" s="202"/>
      <c r="X646" s="202"/>
      <c r="Y646" s="197">
        <v>0</v>
      </c>
      <c r="Z646" s="195"/>
      <c r="AA646" s="196"/>
      <c r="AB646" s="196"/>
      <c r="AC646" s="197">
        <v>0</v>
      </c>
      <c r="AD646" s="195"/>
      <c r="AE646" s="197"/>
    </row>
    <row r="647" spans="1:32" ht="13.5" hidden="1" thickBot="1">
      <c r="A647" s="885"/>
      <c r="B647" s="885"/>
      <c r="C647" s="9" t="s">
        <v>435</v>
      </c>
      <c r="D647" s="202"/>
      <c r="E647" s="203"/>
      <c r="F647" s="201"/>
      <c r="G647" s="202"/>
      <c r="H647" s="202"/>
      <c r="I647" s="203"/>
      <c r="J647" s="201"/>
      <c r="K647" s="202"/>
      <c r="L647" s="202"/>
      <c r="M647" s="203"/>
      <c r="N647" s="204"/>
      <c r="O647" s="214"/>
      <c r="P647" s="205"/>
      <c r="Q647" s="205"/>
      <c r="R647" s="201"/>
      <c r="S647" s="202"/>
      <c r="T647" s="202"/>
      <c r="U647" s="205"/>
      <c r="V647" s="201"/>
      <c r="W647" s="202"/>
      <c r="X647" s="202"/>
      <c r="Y647" s="197">
        <v>0</v>
      </c>
      <c r="Z647" s="195"/>
      <c r="AA647" s="196"/>
      <c r="AB647" s="196"/>
      <c r="AC647" s="197">
        <v>0</v>
      </c>
      <c r="AD647" s="195"/>
      <c r="AE647" s="197"/>
    </row>
    <row r="648" spans="1:32" ht="13.5" hidden="1" thickBot="1">
      <c r="A648" s="885"/>
      <c r="B648" s="885"/>
      <c r="C648" s="9" t="s">
        <v>642</v>
      </c>
      <c r="D648" s="202"/>
      <c r="E648" s="203"/>
      <c r="F648" s="201"/>
      <c r="G648" s="202"/>
      <c r="H648" s="202"/>
      <c r="I648" s="203"/>
      <c r="J648" s="201"/>
      <c r="K648" s="202"/>
      <c r="L648" s="202"/>
      <c r="M648" s="203"/>
      <c r="N648" s="204"/>
      <c r="O648" s="214"/>
      <c r="P648" s="205"/>
      <c r="Q648" s="205"/>
      <c r="R648" s="201"/>
      <c r="S648" s="202"/>
      <c r="T648" s="202"/>
      <c r="U648" s="205"/>
      <c r="V648" s="201"/>
      <c r="W648" s="202"/>
      <c r="X648" s="202"/>
      <c r="Y648" s="197">
        <v>0</v>
      </c>
      <c r="Z648" s="195"/>
      <c r="AA648" s="196"/>
      <c r="AB648" s="196"/>
      <c r="AC648" s="197">
        <v>0</v>
      </c>
      <c r="AD648" s="195"/>
      <c r="AE648" s="197"/>
    </row>
    <row r="649" spans="1:32" ht="24.75" hidden="1" thickBot="1">
      <c r="A649" s="869"/>
      <c r="B649" s="869"/>
      <c r="C649" s="9" t="s">
        <v>437</v>
      </c>
      <c r="D649" s="202"/>
      <c r="E649" s="203"/>
      <c r="F649" s="201"/>
      <c r="G649" s="202"/>
      <c r="H649" s="202"/>
      <c r="I649" s="203"/>
      <c r="J649" s="201"/>
      <c r="K649" s="202"/>
      <c r="L649" s="202"/>
      <c r="M649" s="203"/>
      <c r="N649" s="204"/>
      <c r="O649" s="214"/>
      <c r="P649" s="205"/>
      <c r="Q649" s="205"/>
      <c r="R649" s="201"/>
      <c r="S649" s="202"/>
      <c r="T649" s="202"/>
      <c r="U649" s="205"/>
      <c r="V649" s="201"/>
      <c r="W649" s="202"/>
      <c r="X649" s="202"/>
      <c r="Y649" s="197">
        <v>0</v>
      </c>
      <c r="Z649" s="195"/>
      <c r="AA649" s="196"/>
      <c r="AB649" s="196"/>
      <c r="AC649" s="197">
        <v>0</v>
      </c>
      <c r="AD649" s="195"/>
      <c r="AE649" s="197"/>
    </row>
    <row r="650" spans="1:32">
      <c r="A650" s="265"/>
      <c r="B650" s="265"/>
      <c r="C650" s="265"/>
      <c r="D650" s="265"/>
      <c r="E650" s="265"/>
      <c r="F650" s="265"/>
      <c r="G650" s="265"/>
      <c r="H650" s="265"/>
      <c r="I650" s="265"/>
      <c r="J650" s="265"/>
      <c r="K650" s="265"/>
      <c r="L650" s="265"/>
      <c r="M650" s="265"/>
      <c r="N650" s="265"/>
      <c r="O650" s="265"/>
      <c r="P650" s="265"/>
      <c r="Q650" s="265"/>
      <c r="R650" s="265"/>
      <c r="S650" s="265"/>
      <c r="T650" s="265"/>
      <c r="U650" s="265"/>
      <c r="V650" s="265"/>
      <c r="W650" s="265"/>
      <c r="X650" s="265"/>
      <c r="Y650" s="265"/>
      <c r="Z650" s="265"/>
      <c r="AA650" s="265"/>
      <c r="AB650" s="265"/>
      <c r="AC650" s="265"/>
      <c r="AD650" s="265"/>
      <c r="AE650" s="265"/>
    </row>
    <row r="651" spans="1:32">
      <c r="C651" s="4"/>
    </row>
    <row r="652" spans="1:32" ht="13.5" thickBot="1">
      <c r="C652" s="4"/>
      <c r="AE652" s="268"/>
    </row>
    <row r="653" spans="1:32" s="258" customFormat="1" ht="13.5" thickBot="1">
      <c r="A653" s="1413" t="s">
        <v>667</v>
      </c>
      <c r="B653" s="1414"/>
      <c r="C653" s="1415"/>
      <c r="D653" s="1416" t="s">
        <v>692</v>
      </c>
      <c r="E653" s="1417"/>
      <c r="F653" s="1416" t="s">
        <v>692</v>
      </c>
      <c r="G653" s="1418"/>
      <c r="H653" s="1418"/>
      <c r="I653" s="1417"/>
      <c r="J653" s="1416" t="s">
        <v>692</v>
      </c>
      <c r="K653" s="1418"/>
      <c r="L653" s="1418"/>
      <c r="M653" s="1417"/>
      <c r="N653" s="1416" t="s">
        <v>692</v>
      </c>
      <c r="O653" s="1418"/>
      <c r="P653" s="1418"/>
      <c r="Q653" s="1417"/>
      <c r="R653" s="1416" t="s">
        <v>692</v>
      </c>
      <c r="S653" s="1418"/>
      <c r="T653" s="1418"/>
      <c r="U653" s="1417"/>
      <c r="V653" s="1416" t="s">
        <v>692</v>
      </c>
      <c r="W653" s="1418"/>
      <c r="X653" s="1418"/>
      <c r="Y653" s="1417"/>
      <c r="Z653" s="1416" t="s">
        <v>692</v>
      </c>
      <c r="AA653" s="1418"/>
      <c r="AB653" s="1418"/>
      <c r="AC653" s="1417"/>
      <c r="AD653" s="1416" t="s">
        <v>692</v>
      </c>
      <c r="AE653" s="1417"/>
      <c r="AF653" s="272"/>
    </row>
    <row r="654" spans="1:32" s="258" customFormat="1" ht="80.099999999999994" customHeight="1">
      <c r="A654" s="1388" t="s">
        <v>682</v>
      </c>
      <c r="B654" s="259" t="s">
        <v>685</v>
      </c>
      <c r="C654" s="303" t="s">
        <v>636</v>
      </c>
      <c r="D654" s="1396" t="s">
        <v>676</v>
      </c>
      <c r="E654" s="1397"/>
      <c r="F654" s="1396" t="s">
        <v>672</v>
      </c>
      <c r="G654" s="1402"/>
      <c r="H654" s="1402"/>
      <c r="I654" s="1397"/>
      <c r="J654" s="1396" t="s">
        <v>672</v>
      </c>
      <c r="K654" s="1402"/>
      <c r="L654" s="1402"/>
      <c r="M654" s="1397"/>
      <c r="N654" s="1396" t="s">
        <v>672</v>
      </c>
      <c r="O654" s="1402"/>
      <c r="P654" s="1402"/>
      <c r="Q654" s="306" t="s">
        <v>673</v>
      </c>
      <c r="R654" s="1396" t="s">
        <v>674</v>
      </c>
      <c r="S654" s="1402"/>
      <c r="T654" s="1402"/>
      <c r="U654" s="1397"/>
      <c r="V654" s="1396" t="s">
        <v>674</v>
      </c>
      <c r="W654" s="1402"/>
      <c r="X654" s="1402"/>
      <c r="Y654" s="306" t="s">
        <v>675</v>
      </c>
      <c r="Z654" s="1396" t="s">
        <v>677</v>
      </c>
      <c r="AA654" s="1402"/>
      <c r="AB654" s="1402"/>
      <c r="AC654" s="1397"/>
      <c r="AD654" s="1396" t="s">
        <v>677</v>
      </c>
      <c r="AE654" s="1397"/>
      <c r="AF654" s="271" t="s">
        <v>689</v>
      </c>
    </row>
    <row r="655" spans="1:32" s="258" customFormat="1" ht="80.099999999999994" customHeight="1" thickBot="1">
      <c r="A655" s="1390"/>
      <c r="B655" s="260" t="s">
        <v>684</v>
      </c>
      <c r="C655" s="304" t="s">
        <v>690</v>
      </c>
      <c r="D655" s="1394" t="s">
        <v>670</v>
      </c>
      <c r="E655" s="1395"/>
      <c r="F655" s="1394" t="s">
        <v>671</v>
      </c>
      <c r="G655" s="1405"/>
      <c r="H655" s="1405"/>
      <c r="I655" s="1395"/>
      <c r="J655" s="1394" t="s">
        <v>671</v>
      </c>
      <c r="K655" s="1405"/>
      <c r="L655" s="1405" t="s">
        <v>679</v>
      </c>
      <c r="M655" s="1395"/>
      <c r="N655" s="1394" t="s">
        <v>678</v>
      </c>
      <c r="O655" s="1405"/>
      <c r="P655" s="1405"/>
      <c r="Q655" s="1395"/>
      <c r="R655" s="1394" t="s">
        <v>664</v>
      </c>
      <c r="S655" s="1405"/>
      <c r="T655" s="1405"/>
      <c r="U655" s="1395"/>
      <c r="V655" s="1394" t="s">
        <v>664</v>
      </c>
      <c r="W655" s="1405"/>
      <c r="X655" s="1405"/>
      <c r="Y655" s="1395"/>
      <c r="Z655" s="1394" t="s">
        <v>664</v>
      </c>
      <c r="AA655" s="1405"/>
      <c r="AB655" s="1405"/>
      <c r="AC655" s="1395"/>
      <c r="AD655" s="1403" t="s">
        <v>664</v>
      </c>
      <c r="AE655" s="1404"/>
      <c r="AF655" s="1398">
        <v>0.66500000000000004</v>
      </c>
    </row>
    <row r="656" spans="1:32" s="258" customFormat="1" ht="80.099999999999994" customHeight="1">
      <c r="A656" s="1388" t="s">
        <v>683</v>
      </c>
      <c r="B656" s="259" t="s">
        <v>687</v>
      </c>
      <c r="C656" s="1391" t="s">
        <v>690</v>
      </c>
      <c r="D656" s="1396" t="s">
        <v>676</v>
      </c>
      <c r="E656" s="1397"/>
      <c r="F656" s="1396" t="s">
        <v>672</v>
      </c>
      <c r="G656" s="1402"/>
      <c r="H656" s="1402"/>
      <c r="I656" s="1397"/>
      <c r="J656" s="1396" t="s">
        <v>672</v>
      </c>
      <c r="K656" s="1402"/>
      <c r="L656" s="1402"/>
      <c r="M656" s="1397"/>
      <c r="N656" s="1396" t="s">
        <v>672</v>
      </c>
      <c r="O656" s="1402"/>
      <c r="P656" s="1402"/>
      <c r="Q656" s="306" t="s">
        <v>673</v>
      </c>
      <c r="R656" s="1396" t="s">
        <v>674</v>
      </c>
      <c r="S656" s="1402"/>
      <c r="T656" s="1402"/>
      <c r="U656" s="1397"/>
      <c r="V656" s="1396" t="s">
        <v>674</v>
      </c>
      <c r="W656" s="1402"/>
      <c r="X656" s="1402" t="s">
        <v>664</v>
      </c>
      <c r="Y656" s="1397"/>
      <c r="Z656" s="1396" t="s">
        <v>664</v>
      </c>
      <c r="AA656" s="1402"/>
      <c r="AB656" s="1402"/>
      <c r="AC656" s="1397"/>
      <c r="AD656" s="1411" t="s">
        <v>664</v>
      </c>
      <c r="AE656" s="1412"/>
      <c r="AF656" s="1399"/>
    </row>
    <row r="657" spans="1:32" s="258" customFormat="1" ht="69.95" customHeight="1">
      <c r="A657" s="1389"/>
      <c r="B657" s="261" t="s">
        <v>688</v>
      </c>
      <c r="C657" s="1392"/>
      <c r="D657" s="1406" t="s">
        <v>680</v>
      </c>
      <c r="E657" s="1407"/>
      <c r="F657" s="1406" t="s">
        <v>680</v>
      </c>
      <c r="G657" s="1408"/>
      <c r="H657" s="1408"/>
      <c r="I657" s="1407"/>
      <c r="J657" s="1406" t="s">
        <v>680</v>
      </c>
      <c r="K657" s="1408"/>
      <c r="L657" s="1408"/>
      <c r="M657" s="1407"/>
      <c r="N657" s="1406" t="s">
        <v>680</v>
      </c>
      <c r="O657" s="1408"/>
      <c r="P657" s="1408"/>
      <c r="Q657" s="1407"/>
      <c r="R657" s="1406" t="s">
        <v>680</v>
      </c>
      <c r="S657" s="1408"/>
      <c r="T657" s="1408"/>
      <c r="U657" s="1407"/>
      <c r="V657" s="1406" t="s">
        <v>680</v>
      </c>
      <c r="W657" s="1408"/>
      <c r="X657" s="1408" t="s">
        <v>664</v>
      </c>
      <c r="Y657" s="1407"/>
      <c r="Z657" s="1406" t="s">
        <v>664</v>
      </c>
      <c r="AA657" s="1408"/>
      <c r="AB657" s="1408"/>
      <c r="AC657" s="1407"/>
      <c r="AD657" s="1409" t="s">
        <v>664</v>
      </c>
      <c r="AE657" s="1410"/>
      <c r="AF657" s="1399"/>
    </row>
    <row r="658" spans="1:32" s="258" customFormat="1" ht="80.099999999999994" customHeight="1" thickBot="1">
      <c r="A658" s="1390"/>
      <c r="B658" s="260" t="s">
        <v>686</v>
      </c>
      <c r="C658" s="1393"/>
      <c r="D658" s="1394" t="s">
        <v>676</v>
      </c>
      <c r="E658" s="1395"/>
      <c r="F658" s="1394" t="s">
        <v>672</v>
      </c>
      <c r="G658" s="1405"/>
      <c r="H658" s="1405"/>
      <c r="I658" s="1395"/>
      <c r="J658" s="1394" t="s">
        <v>672</v>
      </c>
      <c r="K658" s="1405"/>
      <c r="L658" s="1405"/>
      <c r="M658" s="1395"/>
      <c r="N658" s="1394" t="s">
        <v>672</v>
      </c>
      <c r="O658" s="1405"/>
      <c r="P658" s="1405"/>
      <c r="Q658" s="305" t="s">
        <v>673</v>
      </c>
      <c r="R658" s="1394" t="s">
        <v>680</v>
      </c>
      <c r="S658" s="1405"/>
      <c r="T658" s="1405"/>
      <c r="U658" s="1395"/>
      <c r="V658" s="1394" t="s">
        <v>680</v>
      </c>
      <c r="W658" s="1405"/>
      <c r="X658" s="1405" t="s">
        <v>664</v>
      </c>
      <c r="Y658" s="1395"/>
      <c r="Z658" s="1394" t="s">
        <v>664</v>
      </c>
      <c r="AA658" s="1405"/>
      <c r="AB658" s="1405"/>
      <c r="AC658" s="1395"/>
      <c r="AD658" s="1403" t="s">
        <v>664</v>
      </c>
      <c r="AE658" s="1404"/>
      <c r="AF658" s="1399"/>
    </row>
    <row r="659" spans="1:32" s="258" customFormat="1" ht="69.95" customHeight="1" thickBot="1">
      <c r="A659" s="302" t="s">
        <v>728</v>
      </c>
      <c r="B659" s="259" t="s">
        <v>681</v>
      </c>
      <c r="C659" s="303" t="s">
        <v>691</v>
      </c>
      <c r="D659" s="1396" t="s">
        <v>680</v>
      </c>
      <c r="E659" s="1397"/>
      <c r="F659" s="1396" t="s">
        <v>680</v>
      </c>
      <c r="G659" s="1402"/>
      <c r="H659" s="1402"/>
      <c r="I659" s="1397"/>
      <c r="J659" s="1396" t="s">
        <v>680</v>
      </c>
      <c r="K659" s="1402"/>
      <c r="L659" s="1402"/>
      <c r="M659" s="1397"/>
      <c r="N659" s="1396" t="s">
        <v>680</v>
      </c>
      <c r="O659" s="1402"/>
      <c r="P659" s="1402"/>
      <c r="Q659" s="1397"/>
      <c r="R659" s="1396" t="s">
        <v>680</v>
      </c>
      <c r="S659" s="1402"/>
      <c r="T659" s="1402"/>
      <c r="U659" s="1397"/>
      <c r="V659" s="1396" t="s">
        <v>680</v>
      </c>
      <c r="W659" s="1402"/>
      <c r="X659" s="1402"/>
      <c r="Y659" s="1397"/>
      <c r="Z659" s="1396" t="s">
        <v>680</v>
      </c>
      <c r="AA659" s="1402"/>
      <c r="AB659" s="1402"/>
      <c r="AC659" s="1397"/>
      <c r="AD659" s="1396" t="s">
        <v>680</v>
      </c>
      <c r="AE659" s="1397"/>
      <c r="AF659" s="271" t="s">
        <v>689</v>
      </c>
    </row>
    <row r="660" spans="1:32" s="258" customFormat="1" ht="11.1" customHeight="1">
      <c r="A660" s="1388" t="s">
        <v>729</v>
      </c>
      <c r="B660" s="259" t="s">
        <v>681</v>
      </c>
      <c r="C660" s="1391" t="s">
        <v>636</v>
      </c>
      <c r="D660" s="1396" t="s">
        <v>676</v>
      </c>
      <c r="E660" s="1397"/>
      <c r="F660" s="1396" t="s">
        <v>672</v>
      </c>
      <c r="G660" s="1402"/>
      <c r="H660" s="1402"/>
      <c r="I660" s="1397"/>
      <c r="J660" s="1396" t="s">
        <v>672</v>
      </c>
      <c r="K660" s="1402"/>
      <c r="L660" s="1402"/>
      <c r="M660" s="1397"/>
      <c r="N660" s="1396" t="s">
        <v>672</v>
      </c>
      <c r="O660" s="1402"/>
      <c r="P660" s="1402"/>
      <c r="Q660" s="1397" t="s">
        <v>673</v>
      </c>
      <c r="R660" s="1396" t="s">
        <v>674</v>
      </c>
      <c r="S660" s="1402"/>
      <c r="T660" s="1402"/>
      <c r="U660" s="1397"/>
      <c r="V660" s="1396" t="s">
        <v>674</v>
      </c>
      <c r="W660" s="1402"/>
      <c r="X660" s="1402"/>
      <c r="Y660" s="1397" t="s">
        <v>675</v>
      </c>
      <c r="Z660" s="1396" t="s">
        <v>677</v>
      </c>
      <c r="AA660" s="1402"/>
      <c r="AB660" s="1402"/>
      <c r="AC660" s="1397"/>
      <c r="AD660" s="1396" t="s">
        <v>677</v>
      </c>
      <c r="AE660" s="1397"/>
      <c r="AF660" s="1400" t="s">
        <v>689</v>
      </c>
    </row>
    <row r="661" spans="1:32" s="258" customFormat="1" ht="11.1" customHeight="1">
      <c r="A661" s="1389"/>
      <c r="B661" s="261" t="s">
        <v>665</v>
      </c>
      <c r="C661" s="1392"/>
      <c r="D661" s="1420"/>
      <c r="E661" s="1421"/>
      <c r="F661" s="1420"/>
      <c r="G661" s="1424"/>
      <c r="H661" s="1424"/>
      <c r="I661" s="1421"/>
      <c r="J661" s="1420"/>
      <c r="K661" s="1424"/>
      <c r="L661" s="1424"/>
      <c r="M661" s="1421"/>
      <c r="N661" s="1420"/>
      <c r="O661" s="1424"/>
      <c r="P661" s="1424"/>
      <c r="Q661" s="1421"/>
      <c r="R661" s="1420"/>
      <c r="S661" s="1424"/>
      <c r="T661" s="1424"/>
      <c r="U661" s="1421"/>
      <c r="V661" s="1420"/>
      <c r="W661" s="1424"/>
      <c r="X661" s="1424"/>
      <c r="Y661" s="1421"/>
      <c r="Z661" s="1420"/>
      <c r="AA661" s="1424"/>
      <c r="AB661" s="1424"/>
      <c r="AC661" s="1421"/>
      <c r="AD661" s="1420"/>
      <c r="AE661" s="1421"/>
      <c r="AF661" s="1401"/>
    </row>
    <row r="662" spans="1:32" s="258" customFormat="1" ht="60" customHeight="1" thickBot="1">
      <c r="A662" s="1390"/>
      <c r="B662" s="260" t="s">
        <v>666</v>
      </c>
      <c r="C662" s="1393"/>
      <c r="D662" s="1422"/>
      <c r="E662" s="1423"/>
      <c r="F662" s="1422"/>
      <c r="G662" s="1425"/>
      <c r="H662" s="1425"/>
      <c r="I662" s="1423"/>
      <c r="J662" s="1422"/>
      <c r="K662" s="1425"/>
      <c r="L662" s="1425"/>
      <c r="M662" s="1423"/>
      <c r="N662" s="1422"/>
      <c r="O662" s="1425"/>
      <c r="P662" s="1425"/>
      <c r="Q662" s="1423"/>
      <c r="R662" s="1422"/>
      <c r="S662" s="1425"/>
      <c r="T662" s="1425"/>
      <c r="U662" s="1423"/>
      <c r="V662" s="1422"/>
      <c r="W662" s="1425"/>
      <c r="X662" s="1425"/>
      <c r="Y662" s="1423"/>
      <c r="Z662" s="1422"/>
      <c r="AA662" s="1425"/>
      <c r="AB662" s="1425"/>
      <c r="AC662" s="1423"/>
      <c r="AD662" s="1422"/>
      <c r="AE662" s="1423"/>
      <c r="AF662" s="1401"/>
    </row>
  </sheetData>
  <sheetProtection password="CF55" sheet="1" objects="1" scenarios="1" selectLockedCells="1" selectUnlockedCells="1"/>
  <mergeCells count="328">
    <mergeCell ref="AH1:AL1"/>
    <mergeCell ref="AN1:AR1"/>
    <mergeCell ref="F658:I658"/>
    <mergeCell ref="J658:M658"/>
    <mergeCell ref="D660:E662"/>
    <mergeCell ref="F660:I662"/>
    <mergeCell ref="J660:M662"/>
    <mergeCell ref="R660:U662"/>
    <mergeCell ref="Z660:AC662"/>
    <mergeCell ref="AD660:AE662"/>
    <mergeCell ref="Y660:Y662"/>
    <mergeCell ref="V660:X662"/>
    <mergeCell ref="N660:P662"/>
    <mergeCell ref="Q660:Q662"/>
    <mergeCell ref="X658:Y658"/>
    <mergeCell ref="N658:P658"/>
    <mergeCell ref="V594:Y594"/>
    <mergeCell ref="Z594:AC594"/>
    <mergeCell ref="AD594:AE594"/>
    <mergeCell ref="D623:E623"/>
    <mergeCell ref="F623:I623"/>
    <mergeCell ref="J623:M623"/>
    <mergeCell ref="N623:Q623"/>
    <mergeCell ref="R623:U623"/>
    <mergeCell ref="B176:B180"/>
    <mergeCell ref="B367:B375"/>
    <mergeCell ref="B378:B387"/>
    <mergeCell ref="D343:AE343"/>
    <mergeCell ref="B343:B352"/>
    <mergeCell ref="B355:B363"/>
    <mergeCell ref="V342:Y342"/>
    <mergeCell ref="Z342:AC342"/>
    <mergeCell ref="AD342:AE342"/>
    <mergeCell ref="D366:E366"/>
    <mergeCell ref="F366:I366"/>
    <mergeCell ref="J366:M366"/>
    <mergeCell ref="N366:Q366"/>
    <mergeCell ref="R366:U366"/>
    <mergeCell ref="V366:Y366"/>
    <mergeCell ref="Z366:AC366"/>
    <mergeCell ref="AD366:AE366"/>
    <mergeCell ref="D342:E342"/>
    <mergeCell ref="F342:I342"/>
    <mergeCell ref="J342:M342"/>
    <mergeCell ref="N342:Q342"/>
    <mergeCell ref="R342:U342"/>
    <mergeCell ref="V290:Y290"/>
    <mergeCell ref="Z290:AC290"/>
    <mergeCell ref="V623:Y623"/>
    <mergeCell ref="Z623:AC623"/>
    <mergeCell ref="AD623:AE623"/>
    <mergeCell ref="D594:E594"/>
    <mergeCell ref="F594:I594"/>
    <mergeCell ref="J594:M594"/>
    <mergeCell ref="N594:Q594"/>
    <mergeCell ref="R594:U594"/>
    <mergeCell ref="J565:M565"/>
    <mergeCell ref="N565:Q565"/>
    <mergeCell ref="R565:U565"/>
    <mergeCell ref="V565:Y565"/>
    <mergeCell ref="Z565:AC565"/>
    <mergeCell ref="AD565:AE565"/>
    <mergeCell ref="D536:AE536"/>
    <mergeCell ref="B536:B542"/>
    <mergeCell ref="B543:B556"/>
    <mergeCell ref="D565:E565"/>
    <mergeCell ref="F565:I565"/>
    <mergeCell ref="J535:M535"/>
    <mergeCell ref="N535:Q535"/>
    <mergeCell ref="R535:U535"/>
    <mergeCell ref="V489:Y489"/>
    <mergeCell ref="Z489:AC489"/>
    <mergeCell ref="AD489:AE489"/>
    <mergeCell ref="D512:E512"/>
    <mergeCell ref="F512:I512"/>
    <mergeCell ref="J512:M512"/>
    <mergeCell ref="N512:Q512"/>
    <mergeCell ref="R512:U512"/>
    <mergeCell ref="V512:Y512"/>
    <mergeCell ref="Z512:AC512"/>
    <mergeCell ref="AD512:AE512"/>
    <mergeCell ref="D489:E489"/>
    <mergeCell ref="F489:I489"/>
    <mergeCell ref="J489:M489"/>
    <mergeCell ref="N489:Q489"/>
    <mergeCell ref="R489:U489"/>
    <mergeCell ref="V535:Y535"/>
    <mergeCell ref="Z535:AC535"/>
    <mergeCell ref="AD535:AE535"/>
    <mergeCell ref="D535:E535"/>
    <mergeCell ref="F535:I535"/>
    <mergeCell ref="V443:Y443"/>
    <mergeCell ref="Z443:AC443"/>
    <mergeCell ref="AD443:AE443"/>
    <mergeCell ref="D466:E466"/>
    <mergeCell ref="F466:I466"/>
    <mergeCell ref="J466:M466"/>
    <mergeCell ref="N466:Q466"/>
    <mergeCell ref="R466:U466"/>
    <mergeCell ref="V466:Y466"/>
    <mergeCell ref="Z466:AC466"/>
    <mergeCell ref="AD466:AE466"/>
    <mergeCell ref="D443:E443"/>
    <mergeCell ref="F443:I443"/>
    <mergeCell ref="J443:M443"/>
    <mergeCell ref="N443:Q443"/>
    <mergeCell ref="R443:U443"/>
    <mergeCell ref="V390:Y390"/>
    <mergeCell ref="Z390:AC390"/>
    <mergeCell ref="AD390:AE390"/>
    <mergeCell ref="D414:E414"/>
    <mergeCell ref="F414:I414"/>
    <mergeCell ref="J414:M414"/>
    <mergeCell ref="N414:Q414"/>
    <mergeCell ref="R414:U414"/>
    <mergeCell ref="V414:Y414"/>
    <mergeCell ref="Z414:AC414"/>
    <mergeCell ref="AD414:AE414"/>
    <mergeCell ref="D390:E390"/>
    <mergeCell ref="F390:I390"/>
    <mergeCell ref="J390:M390"/>
    <mergeCell ref="N390:Q390"/>
    <mergeCell ref="R390:U390"/>
    <mergeCell ref="D391:AE391"/>
    <mergeCell ref="AD290:AE290"/>
    <mergeCell ref="D313:E313"/>
    <mergeCell ref="F313:I313"/>
    <mergeCell ref="J313:M313"/>
    <mergeCell ref="N313:Q313"/>
    <mergeCell ref="R313:U313"/>
    <mergeCell ref="V313:Y313"/>
    <mergeCell ref="Z313:AC313"/>
    <mergeCell ref="AD313:AE313"/>
    <mergeCell ref="D290:E290"/>
    <mergeCell ref="F290:I290"/>
    <mergeCell ref="J290:M290"/>
    <mergeCell ref="N290:Q290"/>
    <mergeCell ref="R290:U290"/>
    <mergeCell ref="N267:Q267"/>
    <mergeCell ref="R267:U267"/>
    <mergeCell ref="V267:Y267"/>
    <mergeCell ref="Z267:AC267"/>
    <mergeCell ref="AD267:AE267"/>
    <mergeCell ref="F238:I238"/>
    <mergeCell ref="J238:M238"/>
    <mergeCell ref="N238:Q238"/>
    <mergeCell ref="R238:U238"/>
    <mergeCell ref="V238:Y238"/>
    <mergeCell ref="AD139:AE139"/>
    <mergeCell ref="D162:E162"/>
    <mergeCell ref="F162:I162"/>
    <mergeCell ref="J162:M162"/>
    <mergeCell ref="N162:Q162"/>
    <mergeCell ref="R162:U162"/>
    <mergeCell ref="V162:Y162"/>
    <mergeCell ref="Z162:AC162"/>
    <mergeCell ref="AD162:AE162"/>
    <mergeCell ref="J139:M139"/>
    <mergeCell ref="N139:Q139"/>
    <mergeCell ref="R139:U139"/>
    <mergeCell ref="V139:Y139"/>
    <mergeCell ref="Z139:AC139"/>
    <mergeCell ref="V93:Y93"/>
    <mergeCell ref="Z93:AC93"/>
    <mergeCell ref="AD21:AE21"/>
    <mergeCell ref="B566:B591"/>
    <mergeCell ref="B513:B532"/>
    <mergeCell ref="B490:B509"/>
    <mergeCell ref="B467:B486"/>
    <mergeCell ref="B79:B88"/>
    <mergeCell ref="Z21:AC21"/>
    <mergeCell ref="V44:Y44"/>
    <mergeCell ref="Z44:AC44"/>
    <mergeCell ref="AD44:AE44"/>
    <mergeCell ref="J67:M67"/>
    <mergeCell ref="N67:Q67"/>
    <mergeCell ref="R67:U67"/>
    <mergeCell ref="V67:Y67"/>
    <mergeCell ref="Z67:AC67"/>
    <mergeCell ref="AD67:AE67"/>
    <mergeCell ref="N116:Q116"/>
    <mergeCell ref="R116:U116"/>
    <mergeCell ref="V116:Y116"/>
    <mergeCell ref="Z116:AC116"/>
    <mergeCell ref="AD116:AE116"/>
    <mergeCell ref="D44:E44"/>
    <mergeCell ref="V21:Y21"/>
    <mergeCell ref="A444:A556"/>
    <mergeCell ref="B444:B463"/>
    <mergeCell ref="B415:B434"/>
    <mergeCell ref="A343:A434"/>
    <mergeCell ref="AD93:AE93"/>
    <mergeCell ref="J116:M116"/>
    <mergeCell ref="D367:AE367"/>
    <mergeCell ref="D68:AE68"/>
    <mergeCell ref="B68:B74"/>
    <mergeCell ref="B75:B76"/>
    <mergeCell ref="B77:B78"/>
    <mergeCell ref="B314:B333"/>
    <mergeCell ref="B291:B310"/>
    <mergeCell ref="A268:A333"/>
    <mergeCell ref="B268:B287"/>
    <mergeCell ref="B239:B258"/>
    <mergeCell ref="B216:B235"/>
    <mergeCell ref="A193:A258"/>
    <mergeCell ref="B193:B212"/>
    <mergeCell ref="B181:B183"/>
    <mergeCell ref="B140:B159"/>
    <mergeCell ref="B117:B136"/>
    <mergeCell ref="A94:A183"/>
    <mergeCell ref="B391:B400"/>
    <mergeCell ref="B401:B411"/>
    <mergeCell ref="D163:AE163"/>
    <mergeCell ref="B163:B172"/>
    <mergeCell ref="B173:B175"/>
    <mergeCell ref="AD192:AE192"/>
    <mergeCell ref="D215:E215"/>
    <mergeCell ref="F215:I215"/>
    <mergeCell ref="J215:M215"/>
    <mergeCell ref="N215:Q215"/>
    <mergeCell ref="R215:U215"/>
    <mergeCell ref="V215:Y215"/>
    <mergeCell ref="Z215:AC215"/>
    <mergeCell ref="AD215:AE215"/>
    <mergeCell ref="J192:M192"/>
    <mergeCell ref="N192:Q192"/>
    <mergeCell ref="R192:U192"/>
    <mergeCell ref="V192:Y192"/>
    <mergeCell ref="Z192:AC192"/>
    <mergeCell ref="Z238:AC238"/>
    <mergeCell ref="AD238:AE238"/>
    <mergeCell ref="D267:E267"/>
    <mergeCell ref="F267:I267"/>
    <mergeCell ref="J267:M267"/>
    <mergeCell ref="D93:E93"/>
    <mergeCell ref="F93:I93"/>
    <mergeCell ref="D116:E116"/>
    <mergeCell ref="F116:I116"/>
    <mergeCell ref="D139:E139"/>
    <mergeCell ref="F139:I139"/>
    <mergeCell ref="D192:E192"/>
    <mergeCell ref="F192:I192"/>
    <mergeCell ref="D238:E238"/>
    <mergeCell ref="AD653:AE653"/>
    <mergeCell ref="AD654:AE654"/>
    <mergeCell ref="D654:E654"/>
    <mergeCell ref="A22:A88"/>
    <mergeCell ref="B22:B41"/>
    <mergeCell ref="F21:I21"/>
    <mergeCell ref="D21:E21"/>
    <mergeCell ref="B45:B54"/>
    <mergeCell ref="J21:M21"/>
    <mergeCell ref="N21:Q21"/>
    <mergeCell ref="R21:U21"/>
    <mergeCell ref="B94:B113"/>
    <mergeCell ref="J93:M93"/>
    <mergeCell ref="N93:Q93"/>
    <mergeCell ref="R93:U93"/>
    <mergeCell ref="J44:M44"/>
    <mergeCell ref="N44:Q44"/>
    <mergeCell ref="R44:U44"/>
    <mergeCell ref="B624:B649"/>
    <mergeCell ref="B595:B622"/>
    <mergeCell ref="A566:A649"/>
    <mergeCell ref="F44:I44"/>
    <mergeCell ref="D67:E67"/>
    <mergeCell ref="F67:I67"/>
    <mergeCell ref="N654:P654"/>
    <mergeCell ref="V654:X654"/>
    <mergeCell ref="A653:C653"/>
    <mergeCell ref="F655:I655"/>
    <mergeCell ref="D655:E655"/>
    <mergeCell ref="R655:U655"/>
    <mergeCell ref="V655:Y655"/>
    <mergeCell ref="Z655:AC655"/>
    <mergeCell ref="D653:E653"/>
    <mergeCell ref="F653:I653"/>
    <mergeCell ref="J653:M653"/>
    <mergeCell ref="N653:Q653"/>
    <mergeCell ref="R653:U653"/>
    <mergeCell ref="V653:Y653"/>
    <mergeCell ref="Z653:AC653"/>
    <mergeCell ref="D657:E657"/>
    <mergeCell ref="F657:I657"/>
    <mergeCell ref="J657:M657"/>
    <mergeCell ref="N657:Q657"/>
    <mergeCell ref="R657:U657"/>
    <mergeCell ref="AD655:AE655"/>
    <mergeCell ref="N655:Q655"/>
    <mergeCell ref="V656:W656"/>
    <mergeCell ref="X656:Y656"/>
    <mergeCell ref="J655:K655"/>
    <mergeCell ref="L655:M655"/>
    <mergeCell ref="Z657:AC657"/>
    <mergeCell ref="AD657:AE657"/>
    <mergeCell ref="V657:W657"/>
    <mergeCell ref="X657:Y657"/>
    <mergeCell ref="N656:P656"/>
    <mergeCell ref="D656:E656"/>
    <mergeCell ref="F656:I656"/>
    <mergeCell ref="J656:M656"/>
    <mergeCell ref="R656:U656"/>
    <mergeCell ref="Z656:AC656"/>
    <mergeCell ref="AD656:AE656"/>
    <mergeCell ref="A660:A662"/>
    <mergeCell ref="C656:C658"/>
    <mergeCell ref="C660:C662"/>
    <mergeCell ref="D658:E658"/>
    <mergeCell ref="D659:E659"/>
    <mergeCell ref="AF655:AF658"/>
    <mergeCell ref="AF660:AF662"/>
    <mergeCell ref="F659:I659"/>
    <mergeCell ref="J659:M659"/>
    <mergeCell ref="N659:Q659"/>
    <mergeCell ref="R659:U659"/>
    <mergeCell ref="V659:Y659"/>
    <mergeCell ref="Z659:AC659"/>
    <mergeCell ref="AD659:AE659"/>
    <mergeCell ref="AD658:AE658"/>
    <mergeCell ref="R658:U658"/>
    <mergeCell ref="Z658:AC658"/>
    <mergeCell ref="A654:A655"/>
    <mergeCell ref="A656:A658"/>
    <mergeCell ref="F654:I654"/>
    <mergeCell ref="J654:M654"/>
    <mergeCell ref="R654:U654"/>
    <mergeCell ref="Z654:AC654"/>
    <mergeCell ref="V658:W658"/>
  </mergeCells>
  <pageMargins left="0.79000000000000015" right="0.79000000000000015" top="0.79000000000000015" bottom="0.79000000000000015" header="0.39000000000000007" footer="0.39000000000000007"/>
  <pageSetup paperSize="9" scale="55" fitToHeight="3" orientation="landscape"/>
  <headerFooter>
    <oddFooter>&amp;L&amp;K000000&amp;F&amp;C&amp;K000000&amp;D&amp;R&amp;K000000Page &amp;P</oddFooter>
  </headerFooter>
  <drawing r:id="rId1"/>
  <extLst>
    <ext xmlns:mx="http://schemas.microsoft.com/office/mac/excel/2008/main" uri="{64002731-A6B0-56B0-2670-7721B7C09600}">
      <mx:PLV Mode="0" OnePage="0" WScale="0"/>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3366FF"/>
    <pageSetUpPr fitToPage="1"/>
  </sheetPr>
  <dimension ref="A1:BH716"/>
  <sheetViews>
    <sheetView zoomScale="150" zoomScaleNormal="150" zoomScalePageLayoutView="150" workbookViewId="0">
      <pane xSplit="3" ySplit="20" topLeftCell="AB574" activePane="bottomRight" state="frozen"/>
      <selection activeCell="V136" sqref="V136"/>
      <selection pane="topRight" activeCell="V136" sqref="V136"/>
      <selection pane="bottomLeft" activeCell="V136" sqref="V136"/>
      <selection pane="bottomRight" activeCell="V136" sqref="V136"/>
    </sheetView>
  </sheetViews>
  <sheetFormatPr defaultColWidth="8.85546875" defaultRowHeight="12.75"/>
  <cols>
    <col min="1" max="1" width="15.140625" style="4" customWidth="1"/>
    <col min="2" max="2" width="19.7109375" style="4" customWidth="1"/>
    <col min="3" max="3" width="18.85546875" style="27" customWidth="1"/>
    <col min="4" max="14" width="5.28515625" style="4" customWidth="1"/>
    <col min="15" max="15" width="10.85546875" style="4" customWidth="1"/>
    <col min="16" max="20" width="5.28515625" style="4" customWidth="1"/>
    <col min="21" max="21" width="10.85546875" style="4" customWidth="1"/>
    <col min="22" max="24" width="5.28515625" style="4" customWidth="1"/>
    <col min="25" max="25" width="10.85546875" style="4" customWidth="1"/>
    <col min="26" max="28" width="5.28515625" style="4" customWidth="1"/>
    <col min="29" max="29" width="10.85546875" style="4" customWidth="1"/>
    <col min="30" max="31" width="5.28515625" style="4" customWidth="1"/>
    <col min="32" max="32" width="2.85546875" style="4" customWidth="1"/>
    <col min="33" max="33" width="50.85546875" style="121" customWidth="1"/>
    <col min="34" max="34" width="8.85546875" style="121" customWidth="1"/>
    <col min="35" max="37" width="8.85546875" style="351" customWidth="1"/>
    <col min="38" max="39" width="8.85546875" style="121" customWidth="1"/>
    <col min="40" max="42" width="10.85546875" style="4" customWidth="1"/>
    <col min="43" max="43" width="10.85546875" style="351" customWidth="1"/>
    <col min="44" max="44" width="8.85546875" style="4"/>
    <col min="45" max="48" width="12.85546875" style="714" customWidth="1"/>
    <col min="49" max="49" width="8.85546875" style="4"/>
    <col min="50" max="55" width="12.85546875" style="4" customWidth="1"/>
    <col min="56" max="64" width="8.85546875" style="4"/>
    <col min="65" max="65" width="11" style="4" bestFit="1" customWidth="1"/>
    <col min="66" max="16384" width="8.85546875" style="4"/>
  </cols>
  <sheetData>
    <row r="1" spans="1:55" s="67" customFormat="1" ht="16.5" thickBot="1">
      <c r="A1" s="3" t="s">
        <v>0</v>
      </c>
      <c r="B1" s="64" t="s">
        <v>643</v>
      </c>
      <c r="C1" s="65" t="s">
        <v>774</v>
      </c>
      <c r="D1" s="65"/>
      <c r="E1" s="65"/>
      <c r="F1" s="65"/>
      <c r="G1" s="65"/>
      <c r="H1" s="65"/>
      <c r="I1" s="65"/>
      <c r="J1" s="65"/>
      <c r="K1" s="65"/>
      <c r="L1" s="65"/>
      <c r="M1" s="65"/>
      <c r="N1" s="65"/>
      <c r="O1" s="65"/>
      <c r="P1" s="65"/>
      <c r="Q1" s="65"/>
      <c r="R1" s="65"/>
      <c r="S1" s="65"/>
      <c r="T1" s="65"/>
      <c r="U1" s="65"/>
      <c r="V1" s="65"/>
      <c r="W1" s="65"/>
      <c r="X1" s="65"/>
      <c r="Y1" s="65"/>
      <c r="Z1" s="65"/>
      <c r="AA1" s="65"/>
      <c r="AB1" s="65"/>
      <c r="AC1" s="65"/>
      <c r="AD1" s="65"/>
      <c r="AE1" s="66"/>
      <c r="AG1" s="121"/>
      <c r="AH1" s="121"/>
      <c r="AI1" s="1426" t="s">
        <v>1023</v>
      </c>
      <c r="AJ1" s="1426"/>
      <c r="AK1" s="1426"/>
      <c r="AL1" s="1426"/>
      <c r="AM1" s="577"/>
      <c r="AN1" s="1426" t="s">
        <v>1024</v>
      </c>
      <c r="AO1" s="1426"/>
      <c r="AP1" s="1426"/>
      <c r="AQ1" s="1426"/>
      <c r="AS1" s="1427" t="s">
        <v>1075</v>
      </c>
      <c r="AT1" s="1427"/>
      <c r="AU1" s="1427"/>
      <c r="AV1" s="1427"/>
      <c r="AX1" s="1419" t="s">
        <v>1076</v>
      </c>
      <c r="AY1" s="1419"/>
      <c r="AZ1" s="1419"/>
      <c r="BA1" s="1419"/>
      <c r="BB1" s="1419"/>
      <c r="BC1" s="1419"/>
    </row>
    <row r="2" spans="1:55">
      <c r="A2" s="5"/>
      <c r="B2" s="5"/>
      <c r="C2" s="6"/>
      <c r="D2" s="215" t="s">
        <v>631</v>
      </c>
      <c r="E2" s="215"/>
      <c r="F2" s="215"/>
      <c r="G2" s="215"/>
      <c r="H2" s="262" t="s">
        <v>669</v>
      </c>
      <c r="I2" s="215"/>
      <c r="J2" s="215" t="s">
        <v>626</v>
      </c>
      <c r="K2" s="215"/>
      <c r="L2" s="215"/>
      <c r="M2" s="215"/>
      <c r="N2" s="215"/>
      <c r="O2" s="215" t="s">
        <v>627</v>
      </c>
      <c r="P2" s="215"/>
      <c r="Q2" s="215"/>
      <c r="R2" s="215"/>
      <c r="S2" s="215"/>
      <c r="U2" s="215" t="s">
        <v>628</v>
      </c>
      <c r="V2" s="215"/>
      <c r="W2" s="215"/>
      <c r="X2" s="215"/>
      <c r="Y2" s="215" t="s">
        <v>629</v>
      </c>
      <c r="Z2" s="215"/>
      <c r="AA2" s="215"/>
      <c r="AB2" s="215"/>
      <c r="AC2" s="215" t="s">
        <v>630</v>
      </c>
      <c r="AD2" s="215"/>
      <c r="AE2" s="215"/>
      <c r="AI2" s="577" t="s">
        <v>1015</v>
      </c>
      <c r="AJ2" s="577" t="s">
        <v>1016</v>
      </c>
      <c r="AK2" s="577" t="s">
        <v>1017</v>
      </c>
      <c r="AL2" s="577" t="s">
        <v>1018</v>
      </c>
      <c r="AM2" s="577"/>
      <c r="AN2" s="577" t="s">
        <v>1015</v>
      </c>
      <c r="AO2" s="577" t="s">
        <v>1016</v>
      </c>
      <c r="AP2" s="577" t="s">
        <v>1017</v>
      </c>
      <c r="AQ2" s="577" t="s">
        <v>1018</v>
      </c>
      <c r="AS2" s="1427" t="s">
        <v>1074</v>
      </c>
      <c r="AT2" s="1427"/>
      <c r="AU2" s="1427"/>
      <c r="AV2" s="1427"/>
      <c r="AX2" s="1426" t="s">
        <v>1079</v>
      </c>
      <c r="AY2" s="1426"/>
      <c r="AZ2" s="1426"/>
      <c r="BA2" s="1426"/>
      <c r="BB2" s="1426"/>
      <c r="BC2" s="1426"/>
    </row>
    <row r="3" spans="1:55" ht="13.5" thickBot="1">
      <c r="A3" s="5"/>
      <c r="B3" s="5"/>
      <c r="C3" s="6"/>
      <c r="D3" s="212" t="s">
        <v>624</v>
      </c>
      <c r="E3" s="212" t="s">
        <v>625</v>
      </c>
      <c r="F3" s="212" t="s">
        <v>622</v>
      </c>
      <c r="G3" s="212" t="s">
        <v>623</v>
      </c>
      <c r="H3" s="212" t="s">
        <v>624</v>
      </c>
      <c r="I3" s="212" t="s">
        <v>625</v>
      </c>
      <c r="J3" s="212" t="s">
        <v>622</v>
      </c>
      <c r="K3" s="212" t="s">
        <v>623</v>
      </c>
      <c r="L3" s="212" t="s">
        <v>624</v>
      </c>
      <c r="M3" s="212" t="s">
        <v>625</v>
      </c>
      <c r="N3" s="212" t="s">
        <v>622</v>
      </c>
      <c r="O3" s="212" t="s">
        <v>623</v>
      </c>
      <c r="P3" s="212" t="s">
        <v>624</v>
      </c>
      <c r="Q3" s="212" t="s">
        <v>625</v>
      </c>
      <c r="R3" s="212" t="s">
        <v>622</v>
      </c>
      <c r="S3" s="212" t="s">
        <v>623</v>
      </c>
      <c r="T3" s="212" t="s">
        <v>624</v>
      </c>
      <c r="U3" s="212" t="s">
        <v>625</v>
      </c>
      <c r="V3" s="212" t="s">
        <v>622</v>
      </c>
      <c r="W3" s="212" t="s">
        <v>623</v>
      </c>
      <c r="X3" s="212" t="s">
        <v>624</v>
      </c>
      <c r="Y3" s="212" t="s">
        <v>625</v>
      </c>
      <c r="Z3" s="212" t="s">
        <v>622</v>
      </c>
      <c r="AA3" s="212" t="s">
        <v>623</v>
      </c>
      <c r="AB3" s="212" t="s">
        <v>624</v>
      </c>
      <c r="AC3" s="212" t="s">
        <v>625</v>
      </c>
      <c r="AD3" s="212" t="s">
        <v>622</v>
      </c>
      <c r="AE3" s="212" t="s">
        <v>623</v>
      </c>
      <c r="AI3" s="577" t="s">
        <v>1022</v>
      </c>
      <c r="AJ3" s="577" t="s">
        <v>1021</v>
      </c>
      <c r="AK3" s="577" t="s">
        <v>1020</v>
      </c>
      <c r="AL3" s="577" t="s">
        <v>1019</v>
      </c>
      <c r="AM3" s="577"/>
      <c r="AN3" s="577" t="s">
        <v>1022</v>
      </c>
      <c r="AO3" s="577" t="s">
        <v>1021</v>
      </c>
      <c r="AP3" s="577" t="s">
        <v>1020</v>
      </c>
      <c r="AQ3" s="577" t="s">
        <v>1019</v>
      </c>
      <c r="AS3" s="713" t="s">
        <v>1072</v>
      </c>
      <c r="AT3" s="713" t="s">
        <v>1053</v>
      </c>
      <c r="AU3" s="713" t="s">
        <v>1069</v>
      </c>
      <c r="AV3" s="713" t="s">
        <v>1073</v>
      </c>
      <c r="AX3" s="577" t="s">
        <v>1077</v>
      </c>
      <c r="AY3" s="577" t="s">
        <v>1078</v>
      </c>
      <c r="AZ3" s="577" t="s">
        <v>752</v>
      </c>
      <c r="BA3" s="577" t="s">
        <v>1077</v>
      </c>
      <c r="BB3" s="577" t="s">
        <v>1078</v>
      </c>
      <c r="BC3" s="577" t="s">
        <v>752</v>
      </c>
    </row>
    <row r="4" spans="1:55" ht="12.95" hidden="1" customHeight="1" thickBot="1">
      <c r="A4" s="235"/>
      <c r="B4" s="236"/>
      <c r="C4" s="236"/>
      <c r="D4" s="232"/>
      <c r="E4" s="233"/>
      <c r="F4" s="234"/>
      <c r="G4" s="232"/>
      <c r="H4" s="232"/>
      <c r="I4" s="233"/>
      <c r="J4" s="234"/>
      <c r="K4" s="232"/>
      <c r="L4" s="232"/>
      <c r="M4" s="233"/>
      <c r="N4" s="234"/>
      <c r="O4" s="232"/>
      <c r="P4" s="232"/>
      <c r="Q4" s="233"/>
      <c r="R4" s="234"/>
      <c r="S4" s="232"/>
      <c r="T4" s="232"/>
      <c r="U4" s="233"/>
      <c r="V4" s="234"/>
      <c r="W4" s="232"/>
      <c r="X4" s="232"/>
      <c r="Y4" s="233"/>
      <c r="Z4" s="234"/>
      <c r="AA4" s="232"/>
      <c r="AB4" s="232"/>
      <c r="AC4" s="233"/>
      <c r="AD4" s="234"/>
      <c r="AE4" s="233"/>
    </row>
    <row r="5" spans="1:55" ht="12.95" hidden="1" customHeight="1" thickBot="1">
      <c r="A5" s="237"/>
      <c r="B5" s="231"/>
      <c r="C5" s="231"/>
      <c r="D5" s="232"/>
      <c r="E5" s="233"/>
      <c r="F5" s="234"/>
      <c r="G5" s="232"/>
      <c r="H5" s="232"/>
      <c r="I5" s="233"/>
      <c r="J5" s="234"/>
      <c r="K5" s="232"/>
      <c r="L5" s="232"/>
      <c r="M5" s="233"/>
      <c r="N5" s="234"/>
      <c r="O5" s="232"/>
      <c r="P5" s="232"/>
      <c r="Q5" s="233"/>
      <c r="R5" s="234"/>
      <c r="S5" s="232"/>
      <c r="T5" s="232"/>
      <c r="U5" s="233"/>
      <c r="V5" s="234"/>
      <c r="W5" s="232"/>
      <c r="X5" s="232"/>
      <c r="Y5" s="233"/>
      <c r="Z5" s="234"/>
      <c r="AA5" s="232"/>
      <c r="AB5" s="232"/>
      <c r="AC5" s="233"/>
      <c r="AD5" s="234"/>
      <c r="AE5" s="233"/>
    </row>
    <row r="6" spans="1:55" ht="13.5" hidden="1" thickBot="1">
      <c r="A6" s="235"/>
      <c r="B6" s="236"/>
      <c r="C6" s="236"/>
      <c r="D6" s="232"/>
      <c r="E6" s="233"/>
      <c r="F6" s="234"/>
      <c r="G6" s="232"/>
      <c r="H6" s="232"/>
      <c r="I6" s="233"/>
      <c r="J6" s="234"/>
      <c r="K6" s="232"/>
      <c r="L6" s="232"/>
      <c r="M6" s="233"/>
      <c r="N6" s="234"/>
      <c r="O6" s="232"/>
      <c r="P6" s="232"/>
      <c r="Q6" s="233"/>
      <c r="R6" s="234"/>
      <c r="S6" s="232"/>
      <c r="T6" s="232"/>
      <c r="U6" s="233"/>
      <c r="V6" s="234"/>
      <c r="W6" s="232"/>
      <c r="X6" s="232"/>
      <c r="Y6" s="233"/>
      <c r="Z6" s="234"/>
      <c r="AA6" s="232"/>
      <c r="AB6" s="232"/>
      <c r="AC6" s="233"/>
      <c r="AD6" s="234"/>
      <c r="AE6" s="233"/>
    </row>
    <row r="7" spans="1:55" ht="12.95" hidden="1" customHeight="1" thickBot="1">
      <c r="A7" s="237"/>
      <c r="B7" s="231"/>
      <c r="C7" s="231"/>
      <c r="D7" s="232"/>
      <c r="E7" s="233"/>
      <c r="F7" s="234"/>
      <c r="G7" s="232"/>
      <c r="H7" s="232"/>
      <c r="I7" s="233"/>
      <c r="J7" s="234"/>
      <c r="K7" s="232"/>
      <c r="L7" s="232"/>
      <c r="M7" s="233"/>
      <c r="N7" s="234"/>
      <c r="O7" s="232"/>
      <c r="P7" s="232"/>
      <c r="Q7" s="233"/>
      <c r="R7" s="234"/>
      <c r="S7" s="232"/>
      <c r="T7" s="232"/>
      <c r="U7" s="233"/>
      <c r="V7" s="234"/>
      <c r="W7" s="232"/>
      <c r="X7" s="232"/>
      <c r="Y7" s="233"/>
      <c r="Z7" s="234"/>
      <c r="AA7" s="232"/>
      <c r="AB7" s="232"/>
      <c r="AC7" s="233"/>
      <c r="AD7" s="234"/>
      <c r="AE7" s="233"/>
    </row>
    <row r="8" spans="1:55" ht="12.95" hidden="1" customHeight="1" thickBot="1">
      <c r="A8" s="235"/>
      <c r="B8" s="236"/>
      <c r="C8" s="236"/>
      <c r="D8" s="232"/>
      <c r="E8" s="233"/>
      <c r="F8" s="234"/>
      <c r="G8" s="232"/>
      <c r="H8" s="232"/>
      <c r="I8" s="233"/>
      <c r="J8" s="234"/>
      <c r="K8" s="232"/>
      <c r="L8" s="232"/>
      <c r="M8" s="233"/>
      <c r="N8" s="234"/>
      <c r="O8" s="232"/>
      <c r="P8" s="232"/>
      <c r="Q8" s="233"/>
      <c r="R8" s="234"/>
      <c r="S8" s="232"/>
      <c r="T8" s="232"/>
      <c r="U8" s="233"/>
      <c r="V8" s="234"/>
      <c r="W8" s="232"/>
      <c r="X8" s="232"/>
      <c r="Y8" s="233"/>
      <c r="Z8" s="234"/>
      <c r="AA8" s="232"/>
      <c r="AB8" s="232"/>
      <c r="AC8" s="233"/>
      <c r="AD8" s="234"/>
      <c r="AE8" s="233"/>
    </row>
    <row r="9" spans="1:55" ht="12.95" hidden="1" customHeight="1" thickBot="1">
      <c r="A9" s="237"/>
      <c r="B9" s="231"/>
      <c r="C9" s="231"/>
      <c r="D9" s="232"/>
      <c r="E9" s="233"/>
      <c r="F9" s="234"/>
      <c r="G9" s="232"/>
      <c r="H9" s="232"/>
      <c r="I9" s="233"/>
      <c r="J9" s="234"/>
      <c r="K9" s="232"/>
      <c r="L9" s="232"/>
      <c r="M9" s="233"/>
      <c r="N9" s="234"/>
      <c r="O9" s="232"/>
      <c r="P9" s="232"/>
      <c r="Q9" s="233"/>
      <c r="R9" s="234"/>
      <c r="S9" s="232"/>
      <c r="T9" s="232"/>
      <c r="U9" s="233"/>
      <c r="V9" s="234"/>
      <c r="W9" s="232"/>
      <c r="X9" s="232"/>
      <c r="Y9" s="233"/>
      <c r="Z9" s="234"/>
      <c r="AA9" s="232"/>
      <c r="AB9" s="232"/>
      <c r="AC9" s="233"/>
      <c r="AD9" s="234"/>
      <c r="AE9" s="233"/>
    </row>
    <row r="10" spans="1:55" ht="35.1" hidden="1" customHeight="1" thickBot="1">
      <c r="A10" s="235"/>
      <c r="B10" s="236"/>
      <c r="C10" s="236"/>
      <c r="D10" s="232"/>
      <c r="E10" s="233"/>
      <c r="F10" s="234"/>
      <c r="G10" s="232"/>
      <c r="H10" s="232"/>
      <c r="I10" s="233"/>
      <c r="J10" s="234"/>
      <c r="K10" s="232"/>
      <c r="L10" s="232"/>
      <c r="M10" s="233"/>
      <c r="N10" s="234"/>
      <c r="O10" s="232"/>
      <c r="P10" s="232"/>
      <c r="Q10" s="233"/>
      <c r="R10" s="234"/>
      <c r="S10" s="232"/>
      <c r="T10" s="232"/>
      <c r="U10" s="233"/>
      <c r="V10" s="234"/>
      <c r="W10" s="232"/>
      <c r="X10" s="232"/>
      <c r="Y10" s="233"/>
      <c r="Z10" s="234"/>
      <c r="AA10" s="232"/>
      <c r="AB10" s="232"/>
      <c r="AC10" s="233"/>
      <c r="AD10" s="234"/>
      <c r="AE10" s="233"/>
    </row>
    <row r="11" spans="1:55" ht="13.5" hidden="1" thickBot="1">
      <c r="A11" s="237"/>
      <c r="B11" s="231"/>
      <c r="C11" s="231"/>
      <c r="D11" s="232"/>
      <c r="E11" s="233"/>
      <c r="F11" s="234"/>
      <c r="G11" s="232"/>
      <c r="H11" s="232"/>
      <c r="I11" s="233"/>
      <c r="J11" s="234"/>
      <c r="K11" s="232"/>
      <c r="L11" s="232"/>
      <c r="M11" s="233"/>
      <c r="N11" s="234"/>
      <c r="O11" s="232"/>
      <c r="P11" s="232"/>
      <c r="Q11" s="233"/>
      <c r="R11" s="234"/>
      <c r="S11" s="232"/>
      <c r="T11" s="232"/>
      <c r="U11" s="233"/>
      <c r="V11" s="234"/>
      <c r="W11" s="232"/>
      <c r="X11" s="232"/>
      <c r="Y11" s="233"/>
      <c r="Z11" s="234"/>
      <c r="AA11" s="232"/>
      <c r="AB11" s="232"/>
      <c r="AC11" s="233"/>
      <c r="AD11" s="234"/>
      <c r="AE11" s="233"/>
    </row>
    <row r="12" spans="1:55" ht="12.95" hidden="1" customHeight="1" thickBot="1">
      <c r="A12" s="235"/>
      <c r="B12" s="236"/>
      <c r="C12" s="236"/>
      <c r="D12" s="232"/>
      <c r="E12" s="233"/>
      <c r="F12" s="234"/>
      <c r="G12" s="232"/>
      <c r="H12" s="232"/>
      <c r="I12" s="233"/>
      <c r="J12" s="234"/>
      <c r="K12" s="232"/>
      <c r="L12" s="232"/>
      <c r="M12" s="233"/>
      <c r="N12" s="234"/>
      <c r="O12" s="232"/>
      <c r="P12" s="232"/>
      <c r="Q12" s="233"/>
      <c r="R12" s="234"/>
      <c r="S12" s="232"/>
      <c r="T12" s="232"/>
      <c r="U12" s="233"/>
      <c r="V12" s="234"/>
      <c r="W12" s="232"/>
      <c r="X12" s="232"/>
      <c r="Y12" s="233"/>
      <c r="Z12" s="234"/>
      <c r="AA12" s="232"/>
      <c r="AB12" s="232"/>
      <c r="AC12" s="233"/>
      <c r="AD12" s="234"/>
      <c r="AE12" s="233"/>
    </row>
    <row r="13" spans="1:55" ht="24" hidden="1" customHeight="1" thickBot="1">
      <c r="A13" s="237"/>
      <c r="B13" s="231"/>
      <c r="C13" s="231"/>
      <c r="D13" s="232"/>
      <c r="E13" s="233"/>
      <c r="F13" s="234"/>
      <c r="G13" s="232"/>
      <c r="H13" s="232"/>
      <c r="I13" s="233"/>
      <c r="J13" s="234"/>
      <c r="K13" s="232"/>
      <c r="L13" s="232"/>
      <c r="M13" s="233"/>
      <c r="N13" s="234"/>
      <c r="O13" s="232"/>
      <c r="P13" s="232"/>
      <c r="Q13" s="233"/>
      <c r="R13" s="234"/>
      <c r="S13" s="232"/>
      <c r="T13" s="232"/>
      <c r="U13" s="233"/>
      <c r="V13" s="234"/>
      <c r="W13" s="232"/>
      <c r="X13" s="232"/>
      <c r="Y13" s="233"/>
      <c r="Z13" s="234"/>
      <c r="AA13" s="232"/>
      <c r="AB13" s="232"/>
      <c r="AC13" s="233"/>
      <c r="AD13" s="234"/>
      <c r="AE13" s="233"/>
    </row>
    <row r="14" spans="1:55" ht="12.95" hidden="1" customHeight="1" thickBot="1">
      <c r="A14" s="235"/>
      <c r="B14" s="236"/>
      <c r="C14" s="236"/>
      <c r="D14" s="232"/>
      <c r="E14" s="233"/>
      <c r="F14" s="234"/>
      <c r="G14" s="232"/>
      <c r="H14" s="232"/>
      <c r="I14" s="233"/>
      <c r="J14" s="234"/>
      <c r="K14" s="232"/>
      <c r="L14" s="232"/>
      <c r="M14" s="233"/>
      <c r="N14" s="234"/>
      <c r="O14" s="232"/>
      <c r="P14" s="232"/>
      <c r="Q14" s="233"/>
      <c r="R14" s="234"/>
      <c r="S14" s="232"/>
      <c r="T14" s="232"/>
      <c r="U14" s="233"/>
      <c r="V14" s="234"/>
      <c r="W14" s="232"/>
      <c r="X14" s="232"/>
      <c r="Y14" s="233"/>
      <c r="Z14" s="234"/>
      <c r="AA14" s="232"/>
      <c r="AB14" s="232"/>
      <c r="AC14" s="233"/>
      <c r="AD14" s="234"/>
      <c r="AE14" s="233"/>
    </row>
    <row r="15" spans="1:55" ht="12.95" hidden="1" customHeight="1" thickBot="1">
      <c r="A15" s="237"/>
      <c r="B15" s="231"/>
      <c r="C15" s="231"/>
      <c r="D15" s="232"/>
      <c r="E15" s="233"/>
      <c r="F15" s="234"/>
      <c r="G15" s="232"/>
      <c r="H15" s="232"/>
      <c r="I15" s="233"/>
      <c r="J15" s="234"/>
      <c r="K15" s="232"/>
      <c r="L15" s="232"/>
      <c r="M15" s="233"/>
      <c r="N15" s="234"/>
      <c r="O15" s="232"/>
      <c r="P15" s="232"/>
      <c r="Q15" s="233"/>
      <c r="R15" s="234"/>
      <c r="S15" s="232"/>
      <c r="T15" s="232"/>
      <c r="U15" s="233"/>
      <c r="V15" s="234"/>
      <c r="W15" s="232"/>
      <c r="X15" s="232"/>
      <c r="Y15" s="233"/>
      <c r="Z15" s="234"/>
      <c r="AA15" s="232"/>
      <c r="AB15" s="232"/>
      <c r="AC15" s="233"/>
      <c r="AD15" s="234"/>
      <c r="AE15" s="233"/>
    </row>
    <row r="16" spans="1:55" ht="13.5" hidden="1" thickBot="1">
      <c r="A16" s="235"/>
      <c r="B16" s="236"/>
      <c r="C16" s="236"/>
      <c r="D16" s="232"/>
      <c r="E16" s="233"/>
      <c r="F16" s="234"/>
      <c r="G16" s="232"/>
      <c r="H16" s="232"/>
      <c r="I16" s="233"/>
      <c r="J16" s="234"/>
      <c r="K16" s="232"/>
      <c r="L16" s="232"/>
      <c r="M16" s="233"/>
      <c r="N16" s="234"/>
      <c r="O16" s="232"/>
      <c r="P16" s="232"/>
      <c r="Q16" s="233"/>
      <c r="R16" s="234"/>
      <c r="S16" s="232"/>
      <c r="T16" s="232"/>
      <c r="U16" s="233"/>
      <c r="V16" s="234"/>
      <c r="W16" s="232"/>
      <c r="X16" s="232"/>
      <c r="Y16" s="233"/>
      <c r="Z16" s="234"/>
      <c r="AA16" s="232"/>
      <c r="AB16" s="232"/>
      <c r="AC16" s="233"/>
      <c r="AD16" s="234"/>
      <c r="AE16" s="233"/>
    </row>
    <row r="17" spans="1:55" ht="12.95" hidden="1" customHeight="1" thickBot="1">
      <c r="A17" s="237"/>
      <c r="B17" s="231"/>
      <c r="C17" s="231"/>
      <c r="D17" s="232"/>
      <c r="E17" s="233"/>
      <c r="F17" s="234"/>
      <c r="G17" s="232"/>
      <c r="H17" s="232"/>
      <c r="I17" s="233"/>
      <c r="J17" s="234"/>
      <c r="K17" s="232"/>
      <c r="L17" s="232"/>
      <c r="M17" s="233"/>
      <c r="N17" s="234"/>
      <c r="O17" s="232"/>
      <c r="P17" s="232"/>
      <c r="Q17" s="233"/>
      <c r="R17" s="234"/>
      <c r="S17" s="232"/>
      <c r="T17" s="232"/>
      <c r="U17" s="233"/>
      <c r="V17" s="234"/>
      <c r="W17" s="232"/>
      <c r="X17" s="232"/>
      <c r="Y17" s="233"/>
      <c r="Z17" s="234"/>
      <c r="AA17" s="232"/>
      <c r="AB17" s="232"/>
      <c r="AC17" s="233"/>
      <c r="AD17" s="234"/>
      <c r="AE17" s="233"/>
    </row>
    <row r="18" spans="1:55" ht="12.95" hidden="1" customHeight="1" thickBot="1">
      <c r="A18" s="235"/>
      <c r="B18" s="236"/>
      <c r="C18" s="236"/>
      <c r="D18" s="232"/>
      <c r="E18" s="233"/>
      <c r="F18" s="234"/>
      <c r="G18" s="232"/>
      <c r="H18" s="232"/>
      <c r="I18" s="233"/>
      <c r="J18" s="234"/>
      <c r="K18" s="232"/>
      <c r="L18" s="232"/>
      <c r="M18" s="233"/>
      <c r="N18" s="234"/>
      <c r="O18" s="232"/>
      <c r="P18" s="232"/>
      <c r="Q18" s="233"/>
      <c r="R18" s="234"/>
      <c r="S18" s="232"/>
      <c r="T18" s="232"/>
      <c r="U18" s="233"/>
      <c r="V18" s="234"/>
      <c r="W18" s="232"/>
      <c r="X18" s="232"/>
      <c r="Y18" s="233"/>
      <c r="Z18" s="234"/>
      <c r="AA18" s="232"/>
      <c r="AB18" s="232"/>
      <c r="AC18" s="233"/>
      <c r="AD18" s="234"/>
      <c r="AE18" s="233"/>
    </row>
    <row r="19" spans="1:55" ht="13.5" hidden="1" thickBot="1">
      <c r="A19" s="215"/>
      <c r="B19" s="215"/>
      <c r="C19" s="216"/>
    </row>
    <row r="20" spans="1:55" ht="13.5" hidden="1" thickBot="1">
      <c r="A20" s="5"/>
      <c r="B20" s="5"/>
      <c r="C20" s="6"/>
    </row>
    <row r="21" spans="1:55" ht="12.95" customHeight="1" thickBot="1">
      <c r="A21" s="15" t="s">
        <v>1</v>
      </c>
      <c r="B21" s="514" t="s">
        <v>24</v>
      </c>
      <c r="C21" s="8"/>
      <c r="D21" s="1377">
        <v>2008</v>
      </c>
      <c r="E21" s="1378"/>
      <c r="F21" s="1372">
        <v>2009</v>
      </c>
      <c r="G21" s="1373"/>
      <c r="H21" s="1373"/>
      <c r="I21" s="1374"/>
      <c r="J21" s="1372">
        <v>2010</v>
      </c>
      <c r="K21" s="1373"/>
      <c r="L21" s="1373"/>
      <c r="M21" s="1374"/>
      <c r="N21" s="1372">
        <v>2011</v>
      </c>
      <c r="O21" s="1373"/>
      <c r="P21" s="1373"/>
      <c r="Q21" s="1374"/>
      <c r="R21" s="1372">
        <v>2012</v>
      </c>
      <c r="S21" s="1373"/>
      <c r="T21" s="1373"/>
      <c r="U21" s="1374"/>
      <c r="V21" s="1372">
        <v>2013</v>
      </c>
      <c r="W21" s="1373"/>
      <c r="X21" s="1373"/>
      <c r="Y21" s="1374"/>
      <c r="Z21" s="1372">
        <v>2014</v>
      </c>
      <c r="AA21" s="1373"/>
      <c r="AB21" s="1373"/>
      <c r="AC21" s="1374"/>
      <c r="AD21" s="1372">
        <v>2015</v>
      </c>
      <c r="AE21" s="1374"/>
      <c r="AG21" s="257" t="s">
        <v>663</v>
      </c>
      <c r="AI21" s="4" t="s">
        <v>1118</v>
      </c>
      <c r="AJ21" s="4"/>
      <c r="AK21" s="4"/>
      <c r="AL21" s="351"/>
      <c r="AM21" s="351"/>
      <c r="AV21" s="715"/>
      <c r="AX21" s="4" t="s">
        <v>1096</v>
      </c>
      <c r="AZ21" s="351"/>
      <c r="BA21" s="4" t="s">
        <v>1097</v>
      </c>
      <c r="BB21" s="356"/>
      <c r="BC21" s="351"/>
    </row>
    <row r="22" spans="1:55" ht="12.95" customHeight="1" thickBot="1">
      <c r="A22" s="868" t="s">
        <v>47</v>
      </c>
      <c r="B22" s="868" t="s">
        <v>48</v>
      </c>
      <c r="C22" s="194" t="s">
        <v>802</v>
      </c>
      <c r="D22" s="206"/>
      <c r="E22" s="207"/>
      <c r="F22" s="209"/>
      <c r="G22" s="206"/>
      <c r="H22" s="206"/>
      <c r="I22" s="207"/>
      <c r="J22" s="332" t="s">
        <v>719</v>
      </c>
      <c r="K22" s="206"/>
      <c r="L22" s="206"/>
      <c r="M22" s="207"/>
      <c r="N22" s="277"/>
      <c r="O22" s="278">
        <f>(O32-J32)/5/$C$658/Spend!O22*'State Efficiency Ratios (2014)'!$C$654</f>
        <v>76.850026716516965</v>
      </c>
      <c r="P22" s="278"/>
      <c r="Q22" s="279"/>
      <c r="R22" s="277"/>
      <c r="S22" s="278"/>
      <c r="T22" s="278"/>
      <c r="U22" s="278">
        <f>(U32-O32)/6/$C$658/Spend!U22*'State Efficiency Ratios (2014)'!$C$654</f>
        <v>-71.063255514594601</v>
      </c>
      <c r="V22" s="277"/>
      <c r="W22" s="278"/>
      <c r="X22" s="278"/>
      <c r="Y22" s="278">
        <f>(Y32-U32)/4/$C$658/Spend!Y22*'State Efficiency Ratios (2014)'!$C$654</f>
        <v>148.98820691031645</v>
      </c>
      <c r="Z22" s="277"/>
      <c r="AA22" s="278"/>
      <c r="AB22" s="278"/>
      <c r="AC22" s="278">
        <f>(AC32-Y32)/4/$C$658/Spend!AC22*'State Efficiency Ratios (2014)'!$C$654</f>
        <v>156.3044229048563</v>
      </c>
      <c r="AD22" s="277"/>
      <c r="AE22" s="280"/>
      <c r="AG22" s="295" t="s">
        <v>668</v>
      </c>
      <c r="AH22" s="355" t="s">
        <v>1052</v>
      </c>
      <c r="AI22" s="599">
        <f>(AI28+AI51+AI71+AI100+AI123)/5</f>
        <v>0.4304</v>
      </c>
      <c r="AJ22" s="592">
        <f>(AJ28+AJ51+AJ71+AJ100+AJ123)/5</f>
        <v>0.29777777777777781</v>
      </c>
      <c r="AK22" s="592">
        <f>(AK28+AK51+AK71+AK100+AK123+AK146)/6</f>
        <v>0.40208333333333335</v>
      </c>
      <c r="AL22" s="594">
        <f>(AL28+AL51+AL71+AL100+AL123+AL146)/6</f>
        <v>0.60697916666666663</v>
      </c>
      <c r="AM22" s="575"/>
      <c r="AX22" s="599">
        <f t="shared" ref="AX22:AX29" si="0">(AL32+AL55+(AL79/3)+AL104+AL127+AL150)/6</f>
        <v>0.61972222222222229</v>
      </c>
      <c r="AY22" s="637">
        <f t="shared" ref="AY22:AY29" si="1">(AC22+AC45+AC69+AC94+AC117+AC140)/6</f>
        <v>348.30361848150369</v>
      </c>
      <c r="AZ22" s="630">
        <v>4</v>
      </c>
      <c r="BA22" s="599">
        <f t="shared" ref="BA22:BA29" si="2">(AL32+((AL104+AL127+AL150)/3))/2</f>
        <v>0.54999999999999982</v>
      </c>
      <c r="BB22" s="637">
        <f t="shared" ref="BB22:BB29" si="3">(AC22+((AC94+AC117+AC140)/3))/2</f>
        <v>275.50628077674179</v>
      </c>
      <c r="BC22" s="630">
        <v>4</v>
      </c>
    </row>
    <row r="23" spans="1:55" ht="24.75" thickBot="1">
      <c r="A23" s="885"/>
      <c r="B23" s="885"/>
      <c r="C23" s="194" t="s">
        <v>803</v>
      </c>
      <c r="D23" s="206"/>
      <c r="E23" s="207"/>
      <c r="F23" s="209"/>
      <c r="G23" s="206"/>
      <c r="H23" s="206"/>
      <c r="I23" s="207"/>
      <c r="J23" s="209"/>
      <c r="K23" s="206"/>
      <c r="L23" s="206"/>
      <c r="M23" s="207"/>
      <c r="N23" s="277"/>
      <c r="O23" s="278">
        <f>(O33-J33)/5/$C$658/Spend!O23*'State Efficiency Ratios (2014)'!$C$654</f>
        <v>0</v>
      </c>
      <c r="P23" s="278"/>
      <c r="Q23" s="279"/>
      <c r="R23" s="277"/>
      <c r="S23" s="278"/>
      <c r="T23" s="278"/>
      <c r="U23" s="278">
        <f>(U33-O33)/6/$C$658/Spend!U23*'State Efficiency Ratios (2014)'!$C$654</f>
        <v>37.544446736657683</v>
      </c>
      <c r="V23" s="277"/>
      <c r="W23" s="278"/>
      <c r="X23" s="278"/>
      <c r="Y23" s="278">
        <f>(Y33-U33)/4/$C$658/Spend!Y23*'State Efficiency Ratios (2014)'!$C$654</f>
        <v>206.86642927779553</v>
      </c>
      <c r="Z23" s="277"/>
      <c r="AA23" s="278"/>
      <c r="AB23" s="278"/>
      <c r="AC23" s="278">
        <f>(AC33-Y33)/4/$C$658/Spend!AC23*'State Efficiency Ratios (2014)'!$C$654</f>
        <v>0</v>
      </c>
      <c r="AD23" s="277"/>
      <c r="AE23" s="280"/>
      <c r="AG23" s="295"/>
      <c r="AH23" s="355" t="s">
        <v>1051</v>
      </c>
      <c r="AI23" s="692">
        <f>(AI29+AI52+AI72+AI101+AI124)/5</f>
        <v>64.355282812512499</v>
      </c>
      <c r="AJ23" s="693">
        <f>(AJ29+AJ52+AJ72+AJ101+AJ124)/5</f>
        <v>88.972738441509364</v>
      </c>
      <c r="AK23" s="693">
        <f>(AK29+AK52+AK72+AK101+AK124+AK147)/6</f>
        <v>261.98644586023875</v>
      </c>
      <c r="AL23" s="694">
        <f>(AL29+AL52+AL72+AL101+AL124+AL147)/6</f>
        <v>386.64946381719079</v>
      </c>
      <c r="AM23" s="575"/>
      <c r="AX23" s="635">
        <f t="shared" si="0"/>
        <v>0.40277777777777773</v>
      </c>
      <c r="AY23" s="638">
        <f t="shared" si="1"/>
        <v>202.7583820470287</v>
      </c>
      <c r="AZ23" s="632">
        <v>7</v>
      </c>
      <c r="BA23" s="635">
        <f t="shared" si="2"/>
        <v>6.6666666666666721E-2</v>
      </c>
      <c r="BB23" s="638">
        <f t="shared" si="3"/>
        <v>59.286076621938257</v>
      </c>
      <c r="BC23" s="632">
        <v>8</v>
      </c>
    </row>
    <row r="24" spans="1:55" ht="24.75" thickBot="1">
      <c r="A24" s="885"/>
      <c r="B24" s="885"/>
      <c r="C24" s="194" t="s">
        <v>804</v>
      </c>
      <c r="D24" s="206"/>
      <c r="E24" s="207"/>
      <c r="F24" s="209"/>
      <c r="G24" s="206"/>
      <c r="H24" s="206"/>
      <c r="I24" s="207"/>
      <c r="J24" s="209"/>
      <c r="K24" s="206"/>
      <c r="L24" s="206"/>
      <c r="M24" s="207"/>
      <c r="N24" s="277"/>
      <c r="O24" s="278">
        <f>(O34-J34)/5/$C$658/Spend!O24*'State Efficiency Ratios (2014)'!$C$654</f>
        <v>43.020994391740736</v>
      </c>
      <c r="P24" s="278"/>
      <c r="Q24" s="279"/>
      <c r="R24" s="277"/>
      <c r="S24" s="278"/>
      <c r="T24" s="278"/>
      <c r="U24" s="278">
        <f>(U34-O34)/6/$C$658/Spend!U24*'State Efficiency Ratios (2014)'!$C$654</f>
        <v>64.378315033577408</v>
      </c>
      <c r="V24" s="277"/>
      <c r="W24" s="278"/>
      <c r="X24" s="278"/>
      <c r="Y24" s="278">
        <f>(Y34-U34)/4/$C$658/Spend!Y24*'State Efficiency Ratios (2014)'!$C$654</f>
        <v>23.850481316396387</v>
      </c>
      <c r="Z24" s="277"/>
      <c r="AA24" s="278"/>
      <c r="AB24" s="278"/>
      <c r="AC24" s="278">
        <f>(AC34-Y34)/4/$C$658/Spend!AC24*'State Efficiency Ratios (2014)'!$C$654</f>
        <v>-29.488990819760986</v>
      </c>
      <c r="AD24" s="277"/>
      <c r="AE24" s="280"/>
      <c r="AG24" s="295"/>
      <c r="AI24" s="4" t="s">
        <v>1119</v>
      </c>
      <c r="AJ24" s="4"/>
      <c r="AK24" s="4"/>
      <c r="AL24" s="351"/>
      <c r="AM24" s="575"/>
      <c r="AX24" s="635">
        <f t="shared" si="0"/>
        <v>0.40277777777777768</v>
      </c>
      <c r="AY24" s="638">
        <f t="shared" si="1"/>
        <v>313.50669533129695</v>
      </c>
      <c r="AZ24" s="632">
        <v>5</v>
      </c>
      <c r="BA24" s="635">
        <f t="shared" si="2"/>
        <v>0.19999999999999987</v>
      </c>
      <c r="BB24" s="638">
        <f t="shared" si="3"/>
        <v>208.6569501943691</v>
      </c>
      <c r="BC24" s="632">
        <v>5</v>
      </c>
    </row>
    <row r="25" spans="1:55" ht="13.5" thickBot="1">
      <c r="A25" s="885"/>
      <c r="B25" s="885"/>
      <c r="C25" s="194" t="s">
        <v>805</v>
      </c>
      <c r="D25" s="206"/>
      <c r="E25" s="207"/>
      <c r="F25" s="209"/>
      <c r="G25" s="206"/>
      <c r="H25" s="206"/>
      <c r="I25" s="207"/>
      <c r="J25" s="209"/>
      <c r="K25" s="206"/>
      <c r="L25" s="206"/>
      <c r="M25" s="207"/>
      <c r="N25" s="277"/>
      <c r="O25" s="278">
        <f>(O35-J35)/5/$C$658/Spend!O25*'State Efficiency Ratios (2014)'!$C$654</f>
        <v>0</v>
      </c>
      <c r="P25" s="278"/>
      <c r="Q25" s="279"/>
      <c r="R25" s="277"/>
      <c r="S25" s="278"/>
      <c r="T25" s="278"/>
      <c r="U25" s="278">
        <f>(U35-O35)/6/$C$658/Spend!U25*'State Efficiency Ratios (2014)'!$C$654</f>
        <v>74.027312143748148</v>
      </c>
      <c r="V25" s="277"/>
      <c r="W25" s="278"/>
      <c r="X25" s="278"/>
      <c r="Y25" s="278">
        <f>(Y35-U35)/4/$C$658/Spend!Y25*'State Efficiency Ratios (2014)'!$C$654</f>
        <v>25.670915519853772</v>
      </c>
      <c r="Z25" s="277"/>
      <c r="AA25" s="278"/>
      <c r="AB25" s="278"/>
      <c r="AC25" s="278">
        <f>(AC35-Y35)/4/$C$658/Spend!AC25*'State Efficiency Ratios (2014)'!$C$654</f>
        <v>103.9765799479982</v>
      </c>
      <c r="AD25" s="277"/>
      <c r="AE25" s="280"/>
      <c r="AG25" s="295"/>
      <c r="AH25" s="355" t="s">
        <v>1052</v>
      </c>
      <c r="AI25" s="599">
        <f>(AI28+((AI100+AI123)/2))/2</f>
        <v>0.36799999999999999</v>
      </c>
      <c r="AJ25" s="592">
        <f>(AJ28+((AJ100+AJ123)/2))/2</f>
        <v>0.22333333333333333</v>
      </c>
      <c r="AK25" s="592">
        <f>(AK28+((AK100+AK123+AK146)/3))/2</f>
        <v>0.32916666666666666</v>
      </c>
      <c r="AL25" s="594">
        <f>(AL28+((AL100+AL123+AL146)/3))/2</f>
        <v>0.42708333333333337</v>
      </c>
      <c r="AM25" s="575"/>
      <c r="AX25" s="635">
        <f t="shared" si="0"/>
        <v>0.36944444444444446</v>
      </c>
      <c r="AY25" s="638">
        <f t="shared" si="1"/>
        <v>214.91118860463749</v>
      </c>
      <c r="AZ25" s="632">
        <v>6</v>
      </c>
      <c r="BA25" s="635">
        <f t="shared" si="2"/>
        <v>0.3500000000000002</v>
      </c>
      <c r="BB25" s="638">
        <f t="shared" si="3"/>
        <v>170.14349446036059</v>
      </c>
      <c r="BC25" s="632">
        <v>6</v>
      </c>
    </row>
    <row r="26" spans="1:55" ht="13.5" thickBot="1">
      <c r="A26" s="885"/>
      <c r="B26" s="885"/>
      <c r="C26" s="194" t="s">
        <v>806</v>
      </c>
      <c r="D26" s="206"/>
      <c r="E26" s="207"/>
      <c r="F26" s="209"/>
      <c r="G26" s="206"/>
      <c r="H26" s="206"/>
      <c r="I26" s="207"/>
      <c r="J26" s="209"/>
      <c r="K26" s="206"/>
      <c r="L26" s="206"/>
      <c r="M26" s="207"/>
      <c r="N26" s="277"/>
      <c r="O26" s="278">
        <f>(O36-J36)/5/$C$658/Spend!O26*'State Efficiency Ratios (2014)'!$C$654</f>
        <v>0</v>
      </c>
      <c r="P26" s="278"/>
      <c r="Q26" s="279"/>
      <c r="R26" s="277"/>
      <c r="S26" s="278"/>
      <c r="T26" s="278"/>
      <c r="U26" s="278">
        <f>(U36-O36)/6/$C$658/Spend!U26*'State Efficiency Ratios (2014)'!$C$654</f>
        <v>55.99418539122221</v>
      </c>
      <c r="V26" s="277"/>
      <c r="W26" s="278"/>
      <c r="X26" s="278"/>
      <c r="Y26" s="278">
        <f>(Y36-U36)/4/$C$658/Spend!Y26*'State Efficiency Ratios (2014)'!$C$654</f>
        <v>22.204368915509342</v>
      </c>
      <c r="Z26" s="277"/>
      <c r="AA26" s="278"/>
      <c r="AB26" s="278"/>
      <c r="AC26" s="278">
        <f>(AC36-Y36)/4/$C$658/Spend!AC26*'State Efficiency Ratios (2014)'!$C$654</f>
        <v>-44.789831290837846</v>
      </c>
      <c r="AD26" s="277"/>
      <c r="AE26" s="280"/>
      <c r="AG26" s="295"/>
      <c r="AH26" s="355" t="s">
        <v>1051</v>
      </c>
      <c r="AI26" s="692">
        <f>(AI29+((AI101+AI124)/2))/2</f>
        <v>58.795176570622374</v>
      </c>
      <c r="AJ26" s="693">
        <f>(AJ29+((AJ101+AJ124)/2))/2</f>
        <v>71.593201876858984</v>
      </c>
      <c r="AK26" s="693">
        <f>(AK29+((AK101+AK124+AK147)/3))/2</f>
        <v>212.30934791778731</v>
      </c>
      <c r="AL26" s="694">
        <f>(AL29+((AL101+AL124+AL147)/3))/2</f>
        <v>283.57167712499938</v>
      </c>
      <c r="AM26" s="575"/>
      <c r="AX26" s="635">
        <f t="shared" si="0"/>
        <v>0.15277777777777779</v>
      </c>
      <c r="AY26" s="638">
        <f t="shared" si="1"/>
        <v>125.54725437583348</v>
      </c>
      <c r="AZ26" s="632">
        <v>8</v>
      </c>
      <c r="BA26" s="635">
        <f t="shared" si="2"/>
        <v>6.6666666666666735E-2</v>
      </c>
      <c r="BB26" s="638">
        <f t="shared" si="3"/>
        <v>90.710718927404002</v>
      </c>
      <c r="BC26" s="632">
        <v>7</v>
      </c>
    </row>
    <row r="27" spans="1:55" ht="12.95" customHeight="1" thickBot="1">
      <c r="A27" s="885"/>
      <c r="B27" s="885"/>
      <c r="C27" s="194" t="s">
        <v>807</v>
      </c>
      <c r="D27" s="210"/>
      <c r="E27" s="211"/>
      <c r="F27" s="209"/>
      <c r="G27" s="210"/>
      <c r="H27" s="210"/>
      <c r="I27" s="211"/>
      <c r="J27" s="209"/>
      <c r="K27" s="210"/>
      <c r="L27" s="210"/>
      <c r="M27" s="211"/>
      <c r="N27" s="281"/>
      <c r="O27" s="282"/>
      <c r="P27" s="282"/>
      <c r="Q27" s="282"/>
      <c r="R27" s="277"/>
      <c r="S27" s="278"/>
      <c r="T27" s="278"/>
      <c r="U27" s="278">
        <f>(U37-R37)/3/$C$658/Spend!U27*'State Efficiency Ratios (2014)'!$C$654</f>
        <v>0</v>
      </c>
      <c r="V27" s="277"/>
      <c r="W27" s="278"/>
      <c r="X27" s="278"/>
      <c r="Y27" s="278">
        <f>(Y37-U37)/4/$C$658/Spend!Y27*'State Efficiency Ratios (2014)'!$C$654</f>
        <v>139.4898985489456</v>
      </c>
      <c r="Z27" s="277"/>
      <c r="AA27" s="278"/>
      <c r="AB27" s="278"/>
      <c r="AC27" s="278">
        <f>(AC37-Y37)/4/$C$658/Spend!AC27*'State Efficiency Ratios (2014)'!$C$654</f>
        <v>128.68734740826895</v>
      </c>
      <c r="AD27" s="277"/>
      <c r="AE27" s="280"/>
      <c r="AG27" s="295"/>
      <c r="AI27" s="4" t="s">
        <v>1053</v>
      </c>
      <c r="AL27" s="575"/>
      <c r="AM27" s="575"/>
      <c r="AX27" s="635">
        <f t="shared" si="0"/>
        <v>0.98611111111111105</v>
      </c>
      <c r="AY27" s="638">
        <f t="shared" si="1"/>
        <v>554.39549161239086</v>
      </c>
      <c r="AZ27" s="632">
        <v>3</v>
      </c>
      <c r="BA27" s="635">
        <f t="shared" si="2"/>
        <v>0.75</v>
      </c>
      <c r="BB27" s="638">
        <f t="shared" si="3"/>
        <v>454.30533251707061</v>
      </c>
      <c r="BC27" s="632">
        <v>2</v>
      </c>
    </row>
    <row r="28" spans="1:55" ht="12.95" customHeight="1" thickBot="1">
      <c r="A28" s="885"/>
      <c r="B28" s="885"/>
      <c r="C28" s="194" t="s">
        <v>808</v>
      </c>
      <c r="D28" s="210"/>
      <c r="E28" s="211"/>
      <c r="F28" s="209"/>
      <c r="G28" s="210"/>
      <c r="H28" s="210"/>
      <c r="I28" s="211"/>
      <c r="J28" s="209"/>
      <c r="K28" s="210"/>
      <c r="L28" s="210"/>
      <c r="M28" s="211"/>
      <c r="N28" s="281"/>
      <c r="O28" s="282"/>
      <c r="P28" s="282"/>
      <c r="Q28" s="282"/>
      <c r="R28" s="277"/>
      <c r="S28" s="278"/>
      <c r="T28" s="278"/>
      <c r="U28" s="278">
        <f>(U38-R38)/3/$C$658/Spend!U28*'State Efficiency Ratios (2014)'!$C$654</f>
        <v>0</v>
      </c>
      <c r="V28" s="277"/>
      <c r="W28" s="278"/>
      <c r="X28" s="278"/>
      <c r="Y28" s="278">
        <f>(Y38-U38)/4/$C$658/Spend!Y28*'State Efficiency Ratios (2014)'!$C$654</f>
        <v>-426.93547533839069</v>
      </c>
      <c r="Z28" s="277"/>
      <c r="AA28" s="278"/>
      <c r="AB28" s="278"/>
      <c r="AC28" s="278">
        <f>(AC38-Y38)/4/$C$658/Spend!AC28*'State Efficiency Ratios (2014)'!$C$654</f>
        <v>191.16611957713866</v>
      </c>
      <c r="AD28" s="277"/>
      <c r="AE28" s="280"/>
      <c r="AG28" s="295"/>
      <c r="AH28" s="355" t="s">
        <v>1052</v>
      </c>
      <c r="AI28" s="591">
        <f>4/5*SUM(AI32:AI36)/5</f>
        <v>0.31999999999999995</v>
      </c>
      <c r="AJ28" s="592">
        <f>4/6*SUM(AJ32:AJ36)/5</f>
        <v>0.22666666666666666</v>
      </c>
      <c r="AK28" s="593">
        <f>SUM(AK32:AK39)/8</f>
        <v>0.24999999999999994</v>
      </c>
      <c r="AL28" s="594">
        <f>SUM(AL32:AL39)/8</f>
        <v>0.28750000000000003</v>
      </c>
      <c r="AM28" s="575"/>
      <c r="AX28" s="635">
        <f t="shared" si="0"/>
        <v>1.0488888888888888</v>
      </c>
      <c r="AY28" s="638">
        <f t="shared" si="1"/>
        <v>712.65699527208051</v>
      </c>
      <c r="AZ28" s="632">
        <v>1</v>
      </c>
      <c r="BA28" s="635">
        <f t="shared" si="2"/>
        <v>0.81666666666666665</v>
      </c>
      <c r="BB28" s="638">
        <f t="shared" si="3"/>
        <v>594.41721020029479</v>
      </c>
      <c r="BC28" s="632">
        <v>1</v>
      </c>
    </row>
    <row r="29" spans="1:55" ht="12.95" customHeight="1" thickBot="1">
      <c r="A29" s="885"/>
      <c r="B29" s="885"/>
      <c r="C29" s="194" t="s">
        <v>809</v>
      </c>
      <c r="D29" s="210"/>
      <c r="E29" s="211"/>
      <c r="F29" s="209"/>
      <c r="G29" s="210"/>
      <c r="H29" s="210"/>
      <c r="I29" s="211"/>
      <c r="J29" s="209"/>
      <c r="K29" s="210"/>
      <c r="L29" s="210"/>
      <c r="M29" s="211"/>
      <c r="N29" s="281"/>
      <c r="O29" s="282"/>
      <c r="P29" s="282"/>
      <c r="Q29" s="282"/>
      <c r="R29" s="277"/>
      <c r="S29" s="278"/>
      <c r="T29" s="278"/>
      <c r="U29" s="278">
        <f>(U39-R39)/3/$C$658/Spend!U29*'State Efficiency Ratios (2014)'!$C$654</f>
        <v>0</v>
      </c>
      <c r="V29" s="277"/>
      <c r="W29" s="278"/>
      <c r="X29" s="278"/>
      <c r="Y29" s="278">
        <f>(Y39-U39)/4/$C$658/Spend!Y29*'State Efficiency Ratios (2014)'!$C$654</f>
        <v>283.61772787865061</v>
      </c>
      <c r="Z29" s="277"/>
      <c r="AA29" s="278"/>
      <c r="AB29" s="278"/>
      <c r="AC29" s="278">
        <f>(AC39-Y39)/4/$C$658/Spend!AC29*'State Efficiency Ratios (2014)'!$C$654</f>
        <v>152.65004815168746</v>
      </c>
      <c r="AD29" s="277"/>
      <c r="AE29" s="280"/>
      <c r="AG29" s="295"/>
      <c r="AH29" s="355" t="s">
        <v>1051</v>
      </c>
      <c r="AI29" s="606">
        <f>SUM(O22:O26)/5</f>
        <v>23.97420422165154</v>
      </c>
      <c r="AJ29" s="607">
        <f>SUM(U22:U26)/5</f>
        <v>32.176200758122164</v>
      </c>
      <c r="AK29" s="607">
        <f>SUM(Y22:Y29)/8</f>
        <v>52.969069128634629</v>
      </c>
      <c r="AL29" s="608">
        <f>SUM(AC22:AC29)/8</f>
        <v>82.313211984918837</v>
      </c>
      <c r="AM29" s="575"/>
      <c r="AX29" s="636">
        <f t="shared" si="0"/>
        <v>0.87333333333333341</v>
      </c>
      <c r="AY29" s="607">
        <f t="shared" si="1"/>
        <v>621.11608481275482</v>
      </c>
      <c r="AZ29" s="634">
        <v>2</v>
      </c>
      <c r="BA29" s="636">
        <f t="shared" si="2"/>
        <v>0.6166666666666667</v>
      </c>
      <c r="BB29" s="607">
        <f t="shared" si="3"/>
        <v>415.54735330181575</v>
      </c>
      <c r="BC29" s="634">
        <v>3</v>
      </c>
    </row>
    <row r="30" spans="1:55" ht="12.95" customHeight="1" thickBot="1">
      <c r="A30" s="885"/>
      <c r="B30" s="885"/>
      <c r="C30" s="194" t="s">
        <v>810</v>
      </c>
      <c r="D30" s="210"/>
      <c r="E30" s="211"/>
      <c r="F30" s="209"/>
      <c r="G30" s="210"/>
      <c r="H30" s="210"/>
      <c r="I30" s="211"/>
      <c r="J30" s="209"/>
      <c r="K30" s="210"/>
      <c r="L30" s="210"/>
      <c r="M30" s="211"/>
      <c r="N30" s="281"/>
      <c r="O30" s="282"/>
      <c r="P30" s="282"/>
      <c r="Q30" s="283"/>
      <c r="R30" s="281"/>
      <c r="S30" s="282"/>
      <c r="T30" s="282"/>
      <c r="U30" s="283"/>
      <c r="V30" s="281"/>
      <c r="W30" s="282"/>
      <c r="X30" s="282"/>
      <c r="Y30" s="283"/>
      <c r="Z30" s="277"/>
      <c r="AA30" s="278"/>
      <c r="AB30" s="278"/>
      <c r="AC30" s="278">
        <f>(AC40-Y40)/4/$C$658/Spend!AC30*'State Efficiency Ratios (2014)'!$C$654</f>
        <v>0</v>
      </c>
      <c r="AD30" s="277"/>
      <c r="AE30" s="280"/>
      <c r="AG30" s="295"/>
      <c r="AL30" s="575"/>
      <c r="AM30" s="575"/>
      <c r="AW30" s="351" t="s">
        <v>1053</v>
      </c>
      <c r="AX30" s="356">
        <f>AVERAGE(AX22:AX29)</f>
        <v>0.60697916666666663</v>
      </c>
      <c r="AY30" s="378">
        <f>AVERAGE(AY22:AY29)</f>
        <v>386.64946381719085</v>
      </c>
      <c r="BA30" s="356">
        <f>AVERAGE(BA22:BA29)</f>
        <v>0.42708333333333331</v>
      </c>
      <c r="BB30" s="378">
        <f>AVERAGE(BB22:BB29)</f>
        <v>283.57167712499938</v>
      </c>
    </row>
    <row r="31" spans="1:55" ht="12.95" customHeight="1" thickBot="1">
      <c r="A31" s="885"/>
      <c r="B31" s="885"/>
      <c r="C31" s="194" t="s">
        <v>811</v>
      </c>
      <c r="D31" s="210"/>
      <c r="E31" s="211"/>
      <c r="F31" s="209"/>
      <c r="G31" s="210"/>
      <c r="H31" s="210"/>
      <c r="I31" s="211"/>
      <c r="J31" s="209"/>
      <c r="K31" s="210"/>
      <c r="L31" s="210"/>
      <c r="M31" s="211"/>
      <c r="N31" s="281"/>
      <c r="O31" s="282"/>
      <c r="P31" s="282"/>
      <c r="Q31" s="283"/>
      <c r="R31" s="281"/>
      <c r="S31" s="282"/>
      <c r="T31" s="282"/>
      <c r="U31" s="283"/>
      <c r="V31" s="281"/>
      <c r="W31" s="282"/>
      <c r="X31" s="282"/>
      <c r="Y31" s="283"/>
      <c r="Z31" s="277"/>
      <c r="AA31" s="278"/>
      <c r="AB31" s="278"/>
      <c r="AC31" s="278">
        <f>(AC41-Y41)/4/$C$658/Spend!AC31*'State Efficiency Ratios (2014)'!$C$654</f>
        <v>0</v>
      </c>
      <c r="AD31" s="277"/>
      <c r="AE31" s="280"/>
      <c r="AG31" s="295"/>
      <c r="AI31" s="4" t="s">
        <v>1025</v>
      </c>
      <c r="AL31" s="575"/>
      <c r="AM31" s="575"/>
      <c r="AX31" s="403" t="s">
        <v>1060</v>
      </c>
      <c r="AY31" s="351"/>
      <c r="AZ31" s="351"/>
      <c r="BA31" s="403" t="s">
        <v>1080</v>
      </c>
      <c r="BC31" s="351"/>
    </row>
    <row r="32" spans="1:55" ht="12.95" customHeight="1" thickBot="1">
      <c r="A32" s="885"/>
      <c r="B32" s="885"/>
      <c r="C32" s="9" t="s">
        <v>295</v>
      </c>
      <c r="D32" s="241" t="s">
        <v>632</v>
      </c>
      <c r="E32" s="241" t="s">
        <v>632</v>
      </c>
      <c r="F32" s="243" t="s">
        <v>646</v>
      </c>
      <c r="G32" s="241" t="s">
        <v>646</v>
      </c>
      <c r="H32" s="241" t="s">
        <v>646</v>
      </c>
      <c r="I32" s="244" t="s">
        <v>646</v>
      </c>
      <c r="J32" s="195">
        <f>'State DisAgg LFx10 (2014)'!D22</f>
        <v>2.2000000000000002</v>
      </c>
      <c r="K32" s="196"/>
      <c r="L32" s="196"/>
      <c r="M32" s="197"/>
      <c r="N32" s="195"/>
      <c r="O32" s="196">
        <f>'State DisAgg LFx10 (2014)'!H32</f>
        <v>3.5</v>
      </c>
      <c r="P32" s="196"/>
      <c r="Q32" s="197"/>
      <c r="R32" s="195"/>
      <c r="S32" s="196"/>
      <c r="T32" s="196"/>
      <c r="U32" s="197">
        <f>'State DisAgg LFx10 (2014)'!L32</f>
        <v>2.9</v>
      </c>
      <c r="V32" s="195"/>
      <c r="W32" s="196"/>
      <c r="X32" s="196"/>
      <c r="Y32" s="197">
        <f>'State DisAgg LFx10 (2014)'!P32</f>
        <v>3.5</v>
      </c>
      <c r="Z32" s="195"/>
      <c r="AA32" s="196"/>
      <c r="AB32" s="196"/>
      <c r="AC32" s="197">
        <f>'State DisAgg LFx10 (2014)'!T32</f>
        <v>4.0999999999999996</v>
      </c>
      <c r="AD32" s="195"/>
      <c r="AE32" s="197"/>
      <c r="AI32" s="361">
        <f>O32-J32</f>
        <v>1.2999999999999998</v>
      </c>
      <c r="AJ32" s="362">
        <f>U32-O32</f>
        <v>-0.60000000000000009</v>
      </c>
      <c r="AK32" s="362">
        <f t="shared" ref="AK32:AK41" si="4">Y32-U32</f>
        <v>0.60000000000000009</v>
      </c>
      <c r="AL32" s="363">
        <f t="shared" ref="AL32:AL41" si="5">AC32-Y32</f>
        <v>0.59999999999999964</v>
      </c>
      <c r="AM32" s="354"/>
      <c r="AX32" s="629">
        <f t="shared" ref="AX32:AX39" si="6">AQ454</f>
        <v>0.52666666666666673</v>
      </c>
      <c r="AY32" s="639">
        <f>'Composites (2014)'!AC65</f>
        <v>63.398033681363202</v>
      </c>
      <c r="AZ32" s="630">
        <v>8</v>
      </c>
      <c r="BA32" s="629">
        <f t="shared" ref="BA32:BA39" si="7">AL104</f>
        <v>9.9999999999999645E-2</v>
      </c>
      <c r="BB32" s="639">
        <f t="shared" ref="BB32:BB39" si="8">AC94</f>
        <v>78.941627729725155</v>
      </c>
      <c r="BC32" s="630">
        <v>7</v>
      </c>
    </row>
    <row r="33" spans="1:55" ht="12.95" customHeight="1" thickBot="1">
      <c r="A33" s="885"/>
      <c r="B33" s="885"/>
      <c r="C33" s="9" t="s">
        <v>296</v>
      </c>
      <c r="D33" s="241" t="s">
        <v>632</v>
      </c>
      <c r="E33" s="241" t="s">
        <v>632</v>
      </c>
      <c r="F33" s="243" t="s">
        <v>646</v>
      </c>
      <c r="G33" s="241" t="s">
        <v>646</v>
      </c>
      <c r="H33" s="241" t="s">
        <v>646</v>
      </c>
      <c r="I33" s="244" t="s">
        <v>646</v>
      </c>
      <c r="J33" s="195">
        <f>'State DisAgg LFx10 (2014)'!D23</f>
        <v>2.5</v>
      </c>
      <c r="K33" s="196"/>
      <c r="L33" s="196"/>
      <c r="M33" s="197"/>
      <c r="N33" s="195"/>
      <c r="O33" s="196">
        <f>'State DisAgg LFx10 (2014)'!H33</f>
        <v>2.5</v>
      </c>
      <c r="P33" s="196"/>
      <c r="Q33" s="197"/>
      <c r="R33" s="195"/>
      <c r="S33" s="196"/>
      <c r="T33" s="196"/>
      <c r="U33" s="197">
        <f>'State DisAgg LFx10 (2014)'!L33</f>
        <v>2.8</v>
      </c>
      <c r="V33" s="195"/>
      <c r="W33" s="196"/>
      <c r="X33" s="196"/>
      <c r="Y33" s="197">
        <f>'State DisAgg LFx10 (2014)'!P33</f>
        <v>3.6</v>
      </c>
      <c r="Z33" s="195"/>
      <c r="AA33" s="196"/>
      <c r="AB33" s="196"/>
      <c r="AC33" s="197">
        <f>'State DisAgg LFx10 (2014)'!T33</f>
        <v>3.6</v>
      </c>
      <c r="AD33" s="195"/>
      <c r="AE33" s="197"/>
      <c r="AI33" s="364">
        <f>O33-J33</f>
        <v>0</v>
      </c>
      <c r="AJ33" s="360">
        <f>U33-O33</f>
        <v>0.29999999999999982</v>
      </c>
      <c r="AK33" s="360">
        <f t="shared" si="4"/>
        <v>0.80000000000000027</v>
      </c>
      <c r="AL33" s="365">
        <f t="shared" si="5"/>
        <v>0</v>
      </c>
      <c r="AM33" s="354"/>
      <c r="AX33" s="631">
        <f t="shared" si="6"/>
        <v>1.1800000000000002</v>
      </c>
      <c r="AY33" s="640">
        <f>'Composites (2014)'!AC66</f>
        <v>255.25617620772067</v>
      </c>
      <c r="AZ33" s="632">
        <v>3</v>
      </c>
      <c r="BA33" s="631">
        <f t="shared" si="7"/>
        <v>0.19999999999999973</v>
      </c>
      <c r="BB33" s="640">
        <f t="shared" si="8"/>
        <v>177.85822986581437</v>
      </c>
      <c r="BC33" s="632">
        <v>6</v>
      </c>
    </row>
    <row r="34" spans="1:55" ht="12.95" customHeight="1" thickBot="1">
      <c r="A34" s="885"/>
      <c r="B34" s="885"/>
      <c r="C34" s="9" t="s">
        <v>297</v>
      </c>
      <c r="D34" s="241" t="s">
        <v>632</v>
      </c>
      <c r="E34" s="241" t="s">
        <v>632</v>
      </c>
      <c r="F34" s="243" t="s">
        <v>646</v>
      </c>
      <c r="G34" s="241" t="s">
        <v>646</v>
      </c>
      <c r="H34" s="241" t="s">
        <v>646</v>
      </c>
      <c r="I34" s="244" t="s">
        <v>646</v>
      </c>
      <c r="J34" s="195">
        <f>'State DisAgg LFx10 (2014)'!D24</f>
        <v>1.8</v>
      </c>
      <c r="K34" s="196"/>
      <c r="L34" s="196"/>
      <c r="M34" s="197"/>
      <c r="N34" s="195"/>
      <c r="O34" s="196">
        <f>'State DisAgg LFx10 (2014)'!H34</f>
        <v>2.5</v>
      </c>
      <c r="P34" s="196"/>
      <c r="Q34" s="197"/>
      <c r="R34" s="195"/>
      <c r="S34" s="196"/>
      <c r="T34" s="196"/>
      <c r="U34" s="197">
        <f>'State DisAgg LFx10 (2014)'!L34</f>
        <v>3.1</v>
      </c>
      <c r="V34" s="195"/>
      <c r="W34" s="196"/>
      <c r="X34" s="196"/>
      <c r="Y34" s="197">
        <f>'State DisAgg LFx10 (2014)'!P34</f>
        <v>3.2</v>
      </c>
      <c r="Z34" s="195"/>
      <c r="AA34" s="196"/>
      <c r="AB34" s="196"/>
      <c r="AC34" s="197">
        <f>'State DisAgg LFx10 (2014)'!T34</f>
        <v>3.1</v>
      </c>
      <c r="AD34" s="195"/>
      <c r="AE34" s="197"/>
      <c r="AI34" s="364">
        <f>O34-J34</f>
        <v>0.7</v>
      </c>
      <c r="AJ34" s="360">
        <f>U34-O34</f>
        <v>0.60000000000000009</v>
      </c>
      <c r="AK34" s="360">
        <f t="shared" si="4"/>
        <v>0.10000000000000009</v>
      </c>
      <c r="AL34" s="365">
        <f t="shared" si="5"/>
        <v>-0.10000000000000009</v>
      </c>
      <c r="AM34" s="354"/>
      <c r="AX34" s="631">
        <f t="shared" si="6"/>
        <v>1.18</v>
      </c>
      <c r="AY34" s="640">
        <f>'Composites (2014)'!AC67</f>
        <v>233.32307993343073</v>
      </c>
      <c r="AZ34" s="632">
        <v>4</v>
      </c>
      <c r="BA34" s="631">
        <f t="shared" si="7"/>
        <v>0.29999999999999982</v>
      </c>
      <c r="BB34" s="640">
        <f t="shared" si="8"/>
        <v>268.08173472509941</v>
      </c>
      <c r="BC34" s="632">
        <v>5</v>
      </c>
    </row>
    <row r="35" spans="1:55" ht="12.95" customHeight="1" thickBot="1">
      <c r="A35" s="885"/>
      <c r="B35" s="885"/>
      <c r="C35" s="9" t="s">
        <v>298</v>
      </c>
      <c r="D35" s="241" t="s">
        <v>632</v>
      </c>
      <c r="E35" s="241" t="s">
        <v>632</v>
      </c>
      <c r="F35" s="243" t="s">
        <v>646</v>
      </c>
      <c r="G35" s="241" t="s">
        <v>646</v>
      </c>
      <c r="H35" s="241" t="s">
        <v>646</v>
      </c>
      <c r="I35" s="244" t="s">
        <v>646</v>
      </c>
      <c r="J35" s="195">
        <f>'State DisAgg LFx10 (2014)'!D25</f>
        <v>2</v>
      </c>
      <c r="K35" s="196"/>
      <c r="L35" s="196"/>
      <c r="M35" s="197"/>
      <c r="N35" s="195"/>
      <c r="O35" s="196">
        <f>'State DisAgg LFx10 (2014)'!H35</f>
        <v>2</v>
      </c>
      <c r="P35" s="196"/>
      <c r="Q35" s="197"/>
      <c r="R35" s="195"/>
      <c r="S35" s="196"/>
      <c r="T35" s="196"/>
      <c r="U35" s="197">
        <f>'State DisAgg LFx10 (2014)'!L35</f>
        <v>2.7</v>
      </c>
      <c r="V35" s="195"/>
      <c r="W35" s="196"/>
      <c r="X35" s="196"/>
      <c r="Y35" s="197">
        <f>'State DisAgg LFx10 (2014)'!P35</f>
        <v>2.8</v>
      </c>
      <c r="Z35" s="195"/>
      <c r="AA35" s="196"/>
      <c r="AB35" s="196"/>
      <c r="AC35" s="197">
        <f>'State DisAgg LFx10 (2014)'!T35</f>
        <v>3.2</v>
      </c>
      <c r="AD35" s="195"/>
      <c r="AE35" s="197"/>
      <c r="AI35" s="364">
        <f>O35-J35</f>
        <v>0</v>
      </c>
      <c r="AJ35" s="360">
        <f>U35-O35</f>
        <v>0.70000000000000018</v>
      </c>
      <c r="AK35" s="360">
        <f t="shared" si="4"/>
        <v>9.9999999999999645E-2</v>
      </c>
      <c r="AL35" s="365">
        <f t="shared" si="5"/>
        <v>0.40000000000000036</v>
      </c>
      <c r="AM35" s="354"/>
      <c r="AX35" s="631">
        <f t="shared" si="6"/>
        <v>1.3866666666666667</v>
      </c>
      <c r="AY35" s="640">
        <f>'Composites (2014)'!AC68</f>
        <v>229.83744890691506</v>
      </c>
      <c r="AZ35" s="632">
        <v>6</v>
      </c>
      <c r="BA35" s="631">
        <f t="shared" si="7"/>
        <v>0.40000000000000036</v>
      </c>
      <c r="BB35" s="640">
        <f t="shared" si="8"/>
        <v>315.08054529696426</v>
      </c>
      <c r="BC35" s="632">
        <v>4</v>
      </c>
    </row>
    <row r="36" spans="1:55" ht="12.95" customHeight="1" thickBot="1">
      <c r="A36" s="885"/>
      <c r="B36" s="885"/>
      <c r="C36" s="9" t="s">
        <v>299</v>
      </c>
      <c r="D36" s="241" t="s">
        <v>632</v>
      </c>
      <c r="E36" s="241" t="s">
        <v>632</v>
      </c>
      <c r="F36" s="243" t="s">
        <v>646</v>
      </c>
      <c r="G36" s="241" t="s">
        <v>646</v>
      </c>
      <c r="H36" s="241" t="s">
        <v>646</v>
      </c>
      <c r="I36" s="244" t="s">
        <v>646</v>
      </c>
      <c r="J36" s="195">
        <f>'State DisAgg LFx10 (2014)'!D26</f>
        <v>2</v>
      </c>
      <c r="K36" s="196"/>
      <c r="L36" s="196"/>
      <c r="M36" s="197"/>
      <c r="N36" s="195"/>
      <c r="O36" s="196">
        <f>'State DisAgg LFx10 (2014)'!H36</f>
        <v>2</v>
      </c>
      <c r="P36" s="196"/>
      <c r="Q36" s="197"/>
      <c r="R36" s="195"/>
      <c r="S36" s="196"/>
      <c r="T36" s="196"/>
      <c r="U36" s="197">
        <f>'State DisAgg LFx10 (2014)'!L36</f>
        <v>2.7</v>
      </c>
      <c r="V36" s="195"/>
      <c r="W36" s="196"/>
      <c r="X36" s="196"/>
      <c r="Y36" s="197">
        <f>'State DisAgg LFx10 (2014)'!P36</f>
        <v>2.8</v>
      </c>
      <c r="Z36" s="195"/>
      <c r="AA36" s="196"/>
      <c r="AB36" s="196"/>
      <c r="AC36" s="197">
        <f>'State DisAgg LFx10 (2014)'!T36</f>
        <v>2.6</v>
      </c>
      <c r="AD36" s="195"/>
      <c r="AE36" s="197"/>
      <c r="AI36" s="364">
        <f>O36-J36</f>
        <v>0</v>
      </c>
      <c r="AJ36" s="360">
        <f>U36-O36</f>
        <v>0.70000000000000018</v>
      </c>
      <c r="AK36" s="360">
        <f t="shared" si="4"/>
        <v>9.9999999999999645E-2</v>
      </c>
      <c r="AL36" s="365">
        <f t="shared" si="5"/>
        <v>-0.19999999999999973</v>
      </c>
      <c r="AM36" s="354"/>
      <c r="AX36" s="631">
        <f t="shared" si="6"/>
        <v>0.21333333333333332</v>
      </c>
      <c r="AY36" s="640">
        <f>'Composites (2014)'!AC69</f>
        <v>45.548713422841764</v>
      </c>
      <c r="AZ36" s="632">
        <v>7</v>
      </c>
      <c r="BA36" s="631">
        <f t="shared" si="7"/>
        <v>0</v>
      </c>
      <c r="BB36" s="640">
        <f t="shared" si="8"/>
        <v>0</v>
      </c>
      <c r="BC36" s="632">
        <v>8</v>
      </c>
    </row>
    <row r="37" spans="1:55" ht="13.5" thickBot="1">
      <c r="A37" s="885"/>
      <c r="B37" s="885"/>
      <c r="C37" s="9" t="s">
        <v>300</v>
      </c>
      <c r="D37" s="199"/>
      <c r="E37" s="200"/>
      <c r="F37" s="201"/>
      <c r="G37" s="199"/>
      <c r="H37" s="199"/>
      <c r="I37" s="200"/>
      <c r="J37" s="201"/>
      <c r="K37" s="199"/>
      <c r="L37" s="199"/>
      <c r="M37" s="200"/>
      <c r="N37" s="198"/>
      <c r="O37" s="217" t="s">
        <v>634</v>
      </c>
      <c r="P37" s="241" t="s">
        <v>632</v>
      </c>
      <c r="Q37" s="244" t="s">
        <v>646</v>
      </c>
      <c r="R37" s="195">
        <f>'State DisAgg LFx10 (2014)'!H27</f>
        <v>1.8</v>
      </c>
      <c r="S37" s="196"/>
      <c r="T37" s="196"/>
      <c r="U37" s="197">
        <f>'State DisAgg LFx10 (2014)'!L37</f>
        <v>1.8</v>
      </c>
      <c r="V37" s="195"/>
      <c r="W37" s="196"/>
      <c r="X37" s="196"/>
      <c r="Y37" s="197">
        <f>'State DisAgg LFx10 (2014)'!P37</f>
        <v>2.2000000000000002</v>
      </c>
      <c r="Z37" s="195"/>
      <c r="AA37" s="196"/>
      <c r="AB37" s="196"/>
      <c r="AC37" s="197">
        <f>'State DisAgg LFx10 (2014)'!T37</f>
        <v>2.7</v>
      </c>
      <c r="AD37" s="195"/>
      <c r="AE37" s="197"/>
      <c r="AI37" s="364">
        <v>0</v>
      </c>
      <c r="AJ37" s="360">
        <f>U37-R37</f>
        <v>0</v>
      </c>
      <c r="AK37" s="360">
        <f t="shared" si="4"/>
        <v>0.40000000000000013</v>
      </c>
      <c r="AL37" s="365">
        <f t="shared" si="5"/>
        <v>0.5</v>
      </c>
      <c r="AM37" s="354"/>
      <c r="AX37" s="631">
        <f t="shared" si="6"/>
        <v>1.3399999999999999</v>
      </c>
      <c r="AY37" s="640">
        <f>'Composites (2014)'!AC70</f>
        <v>229.98286742026102</v>
      </c>
      <c r="AZ37" s="632">
        <v>5</v>
      </c>
      <c r="BA37" s="631">
        <f t="shared" si="7"/>
        <v>1.0999999999999996</v>
      </c>
      <c r="BB37" s="640">
        <f t="shared" si="8"/>
        <v>857.9156493884592</v>
      </c>
      <c r="BC37" s="632">
        <v>2</v>
      </c>
    </row>
    <row r="38" spans="1:55" ht="13.5" thickBot="1">
      <c r="A38" s="885"/>
      <c r="B38" s="885"/>
      <c r="C38" s="9" t="s">
        <v>301</v>
      </c>
      <c r="D38" s="199"/>
      <c r="E38" s="200"/>
      <c r="F38" s="201"/>
      <c r="G38" s="199"/>
      <c r="H38" s="199"/>
      <c r="I38" s="200"/>
      <c r="J38" s="201"/>
      <c r="K38" s="199"/>
      <c r="L38" s="199"/>
      <c r="M38" s="200"/>
      <c r="N38" s="198"/>
      <c r="O38" s="217" t="s">
        <v>634</v>
      </c>
      <c r="P38" s="241" t="s">
        <v>632</v>
      </c>
      <c r="Q38" s="244" t="s">
        <v>646</v>
      </c>
      <c r="R38" s="195">
        <f>'State DisAgg LFx10 (2014)'!H28</f>
        <v>3.1</v>
      </c>
      <c r="S38" s="196"/>
      <c r="T38" s="196"/>
      <c r="U38" s="197">
        <f>'State DisAgg LFx10 (2014)'!L38</f>
        <v>3.1</v>
      </c>
      <c r="V38" s="195"/>
      <c r="W38" s="196"/>
      <c r="X38" s="196"/>
      <c r="Y38" s="197">
        <f>'State DisAgg LFx10 (2014)'!P38</f>
        <v>2.1</v>
      </c>
      <c r="Z38" s="195"/>
      <c r="AA38" s="196"/>
      <c r="AB38" s="196"/>
      <c r="AC38" s="197">
        <f>'State DisAgg LFx10 (2014)'!T38</f>
        <v>2.7</v>
      </c>
      <c r="AD38" s="195"/>
      <c r="AE38" s="197"/>
      <c r="AI38" s="364">
        <v>0</v>
      </c>
      <c r="AJ38" s="360">
        <f>U38-R38</f>
        <v>0</v>
      </c>
      <c r="AK38" s="360">
        <f t="shared" si="4"/>
        <v>-1</v>
      </c>
      <c r="AL38" s="365">
        <f t="shared" si="5"/>
        <v>0.60000000000000009</v>
      </c>
      <c r="AM38" s="354"/>
      <c r="AX38" s="631">
        <f t="shared" si="6"/>
        <v>1.8333333333333333</v>
      </c>
      <c r="AY38" s="640">
        <f>'Composites (2014)'!AC71</f>
        <v>434.80369588119845</v>
      </c>
      <c r="AZ38" s="632">
        <v>1</v>
      </c>
      <c r="BA38" s="631">
        <f t="shared" si="7"/>
        <v>1.5999999999999996</v>
      </c>
      <c r="BB38" s="640">
        <f t="shared" si="8"/>
        <v>1544.7767238556655</v>
      </c>
      <c r="BC38" s="632">
        <v>1</v>
      </c>
    </row>
    <row r="39" spans="1:55" ht="13.5" thickBot="1">
      <c r="A39" s="885"/>
      <c r="B39" s="885"/>
      <c r="C39" s="9" t="s">
        <v>302</v>
      </c>
      <c r="D39" s="199"/>
      <c r="E39" s="200"/>
      <c r="F39" s="201"/>
      <c r="G39" s="199"/>
      <c r="H39" s="199"/>
      <c r="I39" s="200"/>
      <c r="J39" s="201"/>
      <c r="K39" s="199"/>
      <c r="L39" s="199"/>
      <c r="M39" s="200"/>
      <c r="N39" s="198"/>
      <c r="O39" s="217" t="s">
        <v>634</v>
      </c>
      <c r="P39" s="241" t="s">
        <v>632</v>
      </c>
      <c r="Q39" s="244" t="s">
        <v>646</v>
      </c>
      <c r="R39" s="195">
        <f>'State DisAgg LFx10 (2014)'!H29</f>
        <v>2.1</v>
      </c>
      <c r="S39" s="196"/>
      <c r="T39" s="196"/>
      <c r="U39" s="197">
        <f>'State DisAgg LFx10 (2014)'!L39</f>
        <v>2.1</v>
      </c>
      <c r="V39" s="195"/>
      <c r="W39" s="196"/>
      <c r="X39" s="196"/>
      <c r="Y39" s="197">
        <f>'State DisAgg LFx10 (2014)'!P39</f>
        <v>3</v>
      </c>
      <c r="Z39" s="195"/>
      <c r="AA39" s="196"/>
      <c r="AB39" s="196"/>
      <c r="AC39" s="197">
        <f>'State DisAgg LFx10 (2014)'!T39</f>
        <v>3.5</v>
      </c>
      <c r="AD39" s="195"/>
      <c r="AE39" s="197"/>
      <c r="AI39" s="364">
        <v>0</v>
      </c>
      <c r="AJ39" s="360">
        <f>U39-R39</f>
        <v>0</v>
      </c>
      <c r="AK39" s="360">
        <f t="shared" si="4"/>
        <v>0.89999999999999991</v>
      </c>
      <c r="AL39" s="365">
        <f t="shared" si="5"/>
        <v>0.5</v>
      </c>
      <c r="AM39" s="354"/>
      <c r="AX39" s="633">
        <f t="shared" si="6"/>
        <v>1.9733333333333334</v>
      </c>
      <c r="AY39" s="641">
        <f>'Composites (2014)'!AC72</f>
        <v>409.21280691742993</v>
      </c>
      <c r="AZ39" s="634">
        <v>2</v>
      </c>
      <c r="BA39" s="633">
        <f t="shared" si="7"/>
        <v>0.89999999999999991</v>
      </c>
      <c r="BB39" s="641">
        <f t="shared" si="8"/>
        <v>832.6366262819314</v>
      </c>
      <c r="BC39" s="634">
        <v>3</v>
      </c>
    </row>
    <row r="40" spans="1:55" ht="13.5" thickBot="1">
      <c r="A40" s="885"/>
      <c r="B40" s="885"/>
      <c r="C40" s="9" t="s">
        <v>303</v>
      </c>
      <c r="D40" s="202"/>
      <c r="E40" s="203"/>
      <c r="F40" s="201"/>
      <c r="G40" s="202"/>
      <c r="H40" s="202"/>
      <c r="I40" s="203"/>
      <c r="J40" s="201"/>
      <c r="K40" s="202"/>
      <c r="L40" s="202"/>
      <c r="M40" s="203"/>
      <c r="N40" s="204"/>
      <c r="O40" s="214"/>
      <c r="P40" s="205"/>
      <c r="Q40" s="205"/>
      <c r="R40" s="201"/>
      <c r="S40" s="202"/>
      <c r="T40" s="202"/>
      <c r="U40" s="203"/>
      <c r="V40" s="242"/>
      <c r="W40" s="217" t="s">
        <v>633</v>
      </c>
      <c r="X40" s="241" t="s">
        <v>632</v>
      </c>
      <c r="Y40" s="197">
        <f>'State DisAgg LFx10 (2014)'!P30</f>
        <v>2.6</v>
      </c>
      <c r="Z40" s="195"/>
      <c r="AA40" s="196"/>
      <c r="AB40" s="196"/>
      <c r="AC40" s="197">
        <f>'State DisAgg LFx10 (2014)'!T40</f>
        <v>2.6</v>
      </c>
      <c r="AD40" s="195"/>
      <c r="AE40" s="197"/>
      <c r="AI40" s="364">
        <f>O40-J40</f>
        <v>0</v>
      </c>
      <c r="AJ40" s="360">
        <f>U40-O40</f>
        <v>0</v>
      </c>
      <c r="AK40" s="360">
        <f t="shared" si="4"/>
        <v>2.6</v>
      </c>
      <c r="AL40" s="365">
        <f t="shared" si="5"/>
        <v>0</v>
      </c>
      <c r="AM40" s="354"/>
      <c r="AW40" s="351" t="s">
        <v>1053</v>
      </c>
      <c r="AX40" s="356">
        <f>AVERAGE(AX32:AX39)</f>
        <v>1.2041666666666666</v>
      </c>
      <c r="AY40" s="378">
        <f>AVERAGE(AY32:AY39)</f>
        <v>237.67035279639509</v>
      </c>
      <c r="BA40" s="356">
        <f>AVERAGE(BA32:BA39)</f>
        <v>0.57499999999999984</v>
      </c>
      <c r="BB40" s="378">
        <f>AVERAGE(BB32:BB39)</f>
        <v>509.41139214295742</v>
      </c>
    </row>
    <row r="41" spans="1:55" ht="13.5" thickBot="1">
      <c r="A41" s="885"/>
      <c r="B41" s="885"/>
      <c r="C41" s="9" t="s">
        <v>304</v>
      </c>
      <c r="D41" s="202"/>
      <c r="E41" s="203"/>
      <c r="F41" s="201"/>
      <c r="G41" s="202"/>
      <c r="H41" s="202"/>
      <c r="I41" s="203"/>
      <c r="J41" s="201"/>
      <c r="K41" s="202"/>
      <c r="L41" s="202"/>
      <c r="M41" s="203"/>
      <c r="N41" s="204"/>
      <c r="O41" s="205"/>
      <c r="P41" s="205"/>
      <c r="Q41" s="205"/>
      <c r="R41" s="201"/>
      <c r="S41" s="202"/>
      <c r="T41" s="202"/>
      <c r="U41" s="203"/>
      <c r="V41" s="242"/>
      <c r="W41" s="217" t="s">
        <v>633</v>
      </c>
      <c r="X41" s="241" t="s">
        <v>632</v>
      </c>
      <c r="Y41" s="197">
        <f>'State DisAgg LFx10 (2014)'!P31</f>
        <v>2.6</v>
      </c>
      <c r="Z41" s="195"/>
      <c r="AA41" s="196"/>
      <c r="AB41" s="196"/>
      <c r="AC41" s="197">
        <f>'State DisAgg LFx10 (2014)'!T41</f>
        <v>2.6</v>
      </c>
      <c r="AD41" s="195"/>
      <c r="AE41" s="197"/>
      <c r="AI41" s="366">
        <f>O41-J41</f>
        <v>0</v>
      </c>
      <c r="AJ41" s="367">
        <f>U41-O41</f>
        <v>0</v>
      </c>
      <c r="AK41" s="367">
        <f t="shared" si="4"/>
        <v>2.6</v>
      </c>
      <c r="AL41" s="368">
        <f t="shared" si="5"/>
        <v>0</v>
      </c>
      <c r="AM41" s="354"/>
    </row>
    <row r="42" spans="1:55" ht="12.95" hidden="1" customHeight="1" thickBot="1">
      <c r="A42" s="885"/>
      <c r="B42" s="501"/>
      <c r="C42" s="231"/>
      <c r="D42" s="232"/>
      <c r="E42" s="233"/>
      <c r="F42" s="234"/>
      <c r="G42" s="232"/>
      <c r="H42" s="232"/>
      <c r="I42" s="233"/>
      <c r="J42" s="234"/>
      <c r="K42" s="232"/>
      <c r="L42" s="232"/>
      <c r="M42" s="233"/>
      <c r="N42" s="234"/>
      <c r="O42" s="232"/>
      <c r="P42" s="232"/>
      <c r="Q42" s="233"/>
      <c r="R42" s="234"/>
      <c r="S42" s="232"/>
      <c r="T42" s="232"/>
      <c r="U42" s="233"/>
      <c r="V42" s="234"/>
      <c r="W42" s="232"/>
      <c r="X42" s="232"/>
      <c r="Y42" s="233"/>
      <c r="Z42" s="234"/>
      <c r="AA42" s="232"/>
      <c r="AB42" s="232"/>
      <c r="AC42" s="233"/>
      <c r="AD42" s="234"/>
      <c r="AE42" s="233"/>
      <c r="AI42" s="353">
        <v>18</v>
      </c>
      <c r="AJ42" s="353">
        <v>18</v>
      </c>
      <c r="AK42" s="353">
        <v>18</v>
      </c>
    </row>
    <row r="43" spans="1:55" ht="12.95" hidden="1" customHeight="1" thickBot="1">
      <c r="A43" s="885"/>
      <c r="B43" s="501"/>
      <c r="C43" s="231"/>
      <c r="D43" s="232"/>
      <c r="E43" s="233"/>
      <c r="F43" s="234"/>
      <c r="G43" s="232"/>
      <c r="H43" s="232"/>
      <c r="I43" s="233"/>
      <c r="J43" s="234"/>
      <c r="K43" s="232"/>
      <c r="L43" s="232"/>
      <c r="M43" s="233"/>
      <c r="N43" s="234"/>
      <c r="O43" s="232"/>
      <c r="P43" s="232"/>
      <c r="Q43" s="233"/>
      <c r="R43" s="234"/>
      <c r="S43" s="232"/>
      <c r="T43" s="232"/>
      <c r="U43" s="233"/>
      <c r="V43" s="234"/>
      <c r="W43" s="232"/>
      <c r="X43" s="232"/>
      <c r="Y43" s="233"/>
      <c r="Z43" s="234"/>
      <c r="AA43" s="232"/>
      <c r="AB43" s="232"/>
      <c r="AC43" s="233"/>
      <c r="AD43" s="234"/>
      <c r="AE43" s="233"/>
      <c r="AI43" s="353">
        <v>16</v>
      </c>
      <c r="AJ43" s="353">
        <v>16</v>
      </c>
      <c r="AK43" s="353">
        <v>16</v>
      </c>
    </row>
    <row r="44" spans="1:55" ht="12.95" customHeight="1" thickBot="1">
      <c r="A44" s="885"/>
      <c r="B44" s="3" t="s">
        <v>25</v>
      </c>
      <c r="C44" s="12"/>
      <c r="D44" s="1377">
        <v>2008</v>
      </c>
      <c r="E44" s="1378"/>
      <c r="F44" s="1372">
        <v>2009</v>
      </c>
      <c r="G44" s="1373"/>
      <c r="H44" s="1373"/>
      <c r="I44" s="1374"/>
      <c r="J44" s="1372">
        <v>2010</v>
      </c>
      <c r="K44" s="1373"/>
      <c r="L44" s="1373"/>
      <c r="M44" s="1374"/>
      <c r="N44" s="1372">
        <v>2011</v>
      </c>
      <c r="O44" s="1373"/>
      <c r="P44" s="1373"/>
      <c r="Q44" s="1374"/>
      <c r="R44" s="1372">
        <v>2012</v>
      </c>
      <c r="S44" s="1373"/>
      <c r="T44" s="1373"/>
      <c r="U44" s="1374"/>
      <c r="V44" s="1372">
        <v>2013</v>
      </c>
      <c r="W44" s="1373"/>
      <c r="X44" s="1373"/>
      <c r="Y44" s="1374"/>
      <c r="Z44" s="1372">
        <v>2014</v>
      </c>
      <c r="AA44" s="1373"/>
      <c r="AB44" s="1373"/>
      <c r="AC44" s="1374"/>
      <c r="AD44" s="1372">
        <v>2015</v>
      </c>
      <c r="AE44" s="1374"/>
      <c r="AG44" s="257" t="s">
        <v>663</v>
      </c>
      <c r="AL44" s="351"/>
      <c r="AM44" s="351"/>
      <c r="AX44" s="403" t="s">
        <v>1057</v>
      </c>
      <c r="AZ44" s="351"/>
      <c r="BA44" s="403" t="s">
        <v>1081</v>
      </c>
      <c r="BC44" s="351"/>
    </row>
    <row r="45" spans="1:55" ht="13.5" thickBot="1">
      <c r="A45" s="885"/>
      <c r="B45" s="868" t="s">
        <v>49</v>
      </c>
      <c r="C45" s="194" t="s">
        <v>802</v>
      </c>
      <c r="D45" s="206"/>
      <c r="E45" s="207"/>
      <c r="F45" s="209"/>
      <c r="G45" s="206"/>
      <c r="H45" s="206"/>
      <c r="I45" s="207"/>
      <c r="J45" s="332" t="s">
        <v>719</v>
      </c>
      <c r="K45" s="206"/>
      <c r="L45" s="206"/>
      <c r="M45" s="207"/>
      <c r="N45" s="277"/>
      <c r="O45" s="278">
        <f>(O55-J55)/5/$C$659/Spend!O45*'State Efficiency Ratios (2014)'!$C$654</f>
        <v>59.115405166551533</v>
      </c>
      <c r="P45" s="278"/>
      <c r="Q45" s="279"/>
      <c r="R45" s="277"/>
      <c r="S45" s="278"/>
      <c r="T45" s="278"/>
      <c r="U45" s="278">
        <f>(U55-O55)/6/$C$659/Spend!U45*'State Efficiency Ratios (2014)'!$C$654</f>
        <v>71.063255514594601</v>
      </c>
      <c r="V45" s="277"/>
      <c r="W45" s="278"/>
      <c r="X45" s="278"/>
      <c r="Y45" s="278">
        <f>(Y55-U55)/4/$C$659/Spend!Y45*'State Efficiency Ratios (2014)'!$C$654</f>
        <v>-74.494103455158282</v>
      </c>
      <c r="Z45" s="277"/>
      <c r="AA45" s="278"/>
      <c r="AB45" s="278"/>
      <c r="AC45" s="278">
        <f>(AC55-Y55)/4/$C$659/Spend!AC45*'State Efficiency Ratios (2014)'!$C$654</f>
        <v>93.782653742913922</v>
      </c>
      <c r="AD45" s="277"/>
      <c r="AE45" s="280"/>
      <c r="AG45" s="295"/>
      <c r="AM45" s="356"/>
      <c r="AX45" s="629">
        <f t="shared" ref="AX45:AX52" si="9">AQ203</f>
        <v>2.2433333333333336</v>
      </c>
      <c r="AY45" s="639">
        <f>'Composites (2014)'!AC29</f>
        <v>381.52841629444555</v>
      </c>
      <c r="AZ45" s="630">
        <v>2</v>
      </c>
      <c r="BA45" s="629">
        <f t="shared" ref="BA45:BA52" si="10">AL127</f>
        <v>0.70000000000000018</v>
      </c>
      <c r="BB45" s="639">
        <f t="shared" ref="BB45:BB52" si="11">AC117</f>
        <v>552.59139410807836</v>
      </c>
      <c r="BC45" s="630">
        <v>6</v>
      </c>
    </row>
    <row r="46" spans="1:55" ht="24.75" thickBot="1">
      <c r="A46" s="885"/>
      <c r="B46" s="885"/>
      <c r="C46" s="194" t="s">
        <v>803</v>
      </c>
      <c r="D46" s="206"/>
      <c r="E46" s="207"/>
      <c r="F46" s="209"/>
      <c r="G46" s="206"/>
      <c r="H46" s="206"/>
      <c r="I46" s="207"/>
      <c r="J46" s="209"/>
      <c r="K46" s="206"/>
      <c r="L46" s="206"/>
      <c r="M46" s="207"/>
      <c r="N46" s="277"/>
      <c r="O46" s="278">
        <f>(O56-J56)/5/$C$659/Spend!O46*'State Efficiency Ratios (2014)'!$C$654</f>
        <v>31.880930954269353</v>
      </c>
      <c r="P46" s="278"/>
      <c r="Q46" s="279"/>
      <c r="R46" s="277"/>
      <c r="S46" s="278"/>
      <c r="T46" s="278"/>
      <c r="U46" s="278">
        <f>(U56-O56)/6/$C$659/Spend!U46*'State Efficiency Ratios (2014)'!$C$654</f>
        <v>62.574077894429514</v>
      </c>
      <c r="V46" s="277"/>
      <c r="W46" s="278"/>
      <c r="X46" s="278"/>
      <c r="Y46" s="278">
        <f>(Y56-U56)/4/$C$659/Spend!Y46*'State Efficiency Ratios (2014)'!$C$654</f>
        <v>387.87455489586648</v>
      </c>
      <c r="Z46" s="277"/>
      <c r="AA46" s="278"/>
      <c r="AB46" s="278"/>
      <c r="AC46" s="278">
        <f>(AC56-Y56)/4/$C$659/Spend!AC46*'State Efficiency Ratios (2014)'!$C$654</f>
        <v>322.8126872064534</v>
      </c>
      <c r="AD46" s="277"/>
      <c r="AE46" s="280"/>
      <c r="AG46" s="295"/>
      <c r="AM46" s="378"/>
      <c r="AX46" s="631">
        <f t="shared" si="9"/>
        <v>0.53333333333333355</v>
      </c>
      <c r="AY46" s="640">
        <f>'Composites (2014)'!AC30</f>
        <v>92.656932371200341</v>
      </c>
      <c r="AZ46" s="632">
        <v>7</v>
      </c>
      <c r="BA46" s="631">
        <f t="shared" si="10"/>
        <v>0.10000000000000053</v>
      </c>
      <c r="BB46" s="640">
        <f t="shared" si="11"/>
        <v>88.92911493290778</v>
      </c>
      <c r="BC46" s="632">
        <v>8</v>
      </c>
    </row>
    <row r="47" spans="1:55" ht="24.75" thickBot="1">
      <c r="A47" s="885"/>
      <c r="B47" s="885"/>
      <c r="C47" s="194" t="s">
        <v>804</v>
      </c>
      <c r="D47" s="206"/>
      <c r="E47" s="207"/>
      <c r="F47" s="209"/>
      <c r="G47" s="206"/>
      <c r="H47" s="206"/>
      <c r="I47" s="207"/>
      <c r="J47" s="209"/>
      <c r="K47" s="206"/>
      <c r="L47" s="206"/>
      <c r="M47" s="207"/>
      <c r="N47" s="277"/>
      <c r="O47" s="278">
        <f>(O57-J57)/5/$C$659/Spend!O47*'State Efficiency Ratios (2014)'!$C$654</f>
        <v>0</v>
      </c>
      <c r="P47" s="278"/>
      <c r="Q47" s="279"/>
      <c r="R47" s="277"/>
      <c r="S47" s="278"/>
      <c r="T47" s="278"/>
      <c r="U47" s="278">
        <f>(U57-O57)/6/$C$659/Spend!U47*'State Efficiency Ratios (2014)'!$C$654</f>
        <v>118.02691089489188</v>
      </c>
      <c r="V47" s="277"/>
      <c r="W47" s="278"/>
      <c r="X47" s="278"/>
      <c r="Y47" s="278">
        <f>(Y57-U57)/4/$C$659/Spend!Y47*'State Efficiency Ratios (2014)'!$C$654</f>
        <v>71.55144394918905</v>
      </c>
      <c r="Z47" s="277"/>
      <c r="AA47" s="278"/>
      <c r="AB47" s="278"/>
      <c r="AC47" s="278">
        <f>(AC57-Y57)/4/$C$659/Spend!AC47*'State Efficiency Ratios (2014)'!$C$654</f>
        <v>29.488990819760986</v>
      </c>
      <c r="AD47" s="277"/>
      <c r="AE47" s="280"/>
      <c r="AG47" s="295"/>
      <c r="AL47" s="575"/>
      <c r="AM47" s="575"/>
      <c r="AX47" s="631">
        <f t="shared" si="9"/>
        <v>1.0666666666666669</v>
      </c>
      <c r="AY47" s="640">
        <f>'Composites (2014)'!AC31</f>
        <v>246.08418777198713</v>
      </c>
      <c r="AZ47" s="632">
        <v>4</v>
      </c>
      <c r="BA47" s="631">
        <f t="shared" si="10"/>
        <v>0.79999999999999982</v>
      </c>
      <c r="BB47" s="640">
        <f t="shared" si="11"/>
        <v>714.88462593359884</v>
      </c>
      <c r="BC47" s="632">
        <v>4</v>
      </c>
    </row>
    <row r="48" spans="1:55" ht="13.5" thickBot="1">
      <c r="A48" s="885"/>
      <c r="B48" s="885"/>
      <c r="C48" s="194" t="s">
        <v>805</v>
      </c>
      <c r="D48" s="206"/>
      <c r="E48" s="207"/>
      <c r="F48" s="209"/>
      <c r="G48" s="206"/>
      <c r="H48" s="206"/>
      <c r="I48" s="207"/>
      <c r="J48" s="209"/>
      <c r="K48" s="206"/>
      <c r="L48" s="206"/>
      <c r="M48" s="207"/>
      <c r="N48" s="277"/>
      <c r="O48" s="278">
        <f>(O58-J58)/5/$C$659/Spend!O48*'State Efficiency Ratios (2014)'!$C$654</f>
        <v>61.802844328457752</v>
      </c>
      <c r="P48" s="278"/>
      <c r="Q48" s="279"/>
      <c r="R48" s="277"/>
      <c r="S48" s="278"/>
      <c r="T48" s="278"/>
      <c r="U48" s="278">
        <f>(U58-O58)/6/$C$659/Spend!U48*'State Efficiency Ratios (2014)'!$C$654</f>
        <v>31.725990918749183</v>
      </c>
      <c r="V48" s="277"/>
      <c r="W48" s="278"/>
      <c r="X48" s="278"/>
      <c r="Y48" s="278">
        <f>(Y58-U58)/4/$C$659/Spend!Y48*'State Efficiency Ratios (2014)'!$C$654</f>
        <v>0</v>
      </c>
      <c r="Z48" s="277"/>
      <c r="AA48" s="278"/>
      <c r="AB48" s="278"/>
      <c r="AC48" s="278">
        <f>(AC58-Y58)/4/$C$659/Spend!AC48*'State Efficiency Ratios (2014)'!$C$654</f>
        <v>0</v>
      </c>
      <c r="AD48" s="277"/>
      <c r="AE48" s="280"/>
      <c r="AG48" s="295"/>
      <c r="AL48" s="575"/>
      <c r="AM48" s="575"/>
      <c r="AX48" s="631">
        <f t="shared" si="9"/>
        <v>0.36666666666666653</v>
      </c>
      <c r="AY48" s="640">
        <f>'Composites (2014)'!AC32</f>
        <v>78.40563371591476</v>
      </c>
      <c r="AZ48" s="632">
        <v>8</v>
      </c>
      <c r="BA48" s="631">
        <f t="shared" si="10"/>
        <v>0.39999999999999991</v>
      </c>
      <c r="BB48" s="640">
        <f t="shared" si="11"/>
        <v>315.08054529696392</v>
      </c>
      <c r="BC48" s="632">
        <v>7</v>
      </c>
    </row>
    <row r="49" spans="1:55" ht="13.5" thickBot="1">
      <c r="A49" s="885"/>
      <c r="B49" s="885"/>
      <c r="C49" s="194" t="s">
        <v>806</v>
      </c>
      <c r="D49" s="206"/>
      <c r="E49" s="207"/>
      <c r="F49" s="209"/>
      <c r="G49" s="206"/>
      <c r="H49" s="206"/>
      <c r="I49" s="207"/>
      <c r="J49" s="209"/>
      <c r="K49" s="206"/>
      <c r="L49" s="206"/>
      <c r="M49" s="207"/>
      <c r="N49" s="277"/>
      <c r="O49" s="278">
        <f>(O59-J59)/5/$C$659/Spend!O49*'State Efficiency Ratios (2014)'!$C$654</f>
        <v>27.688218312560871</v>
      </c>
      <c r="P49" s="278"/>
      <c r="Q49" s="279"/>
      <c r="R49" s="277"/>
      <c r="S49" s="278"/>
      <c r="T49" s="278"/>
      <c r="U49" s="278">
        <f>(U59-O59)/6/$C$659/Spend!U49*'State Efficiency Ratios (2014)'!$C$654</f>
        <v>39.995846708015854</v>
      </c>
      <c r="V49" s="277"/>
      <c r="W49" s="278"/>
      <c r="X49" s="278"/>
      <c r="Y49" s="278">
        <f>(Y59-U59)/4/$C$659/Spend!Y49*'State Efficiency Ratios (2014)'!$C$654</f>
        <v>111.02184457754711</v>
      </c>
      <c r="Z49" s="277"/>
      <c r="AA49" s="278"/>
      <c r="AB49" s="278"/>
      <c r="AC49" s="278">
        <f>(AC59-Y59)/4/$C$659/Spend!AC49*'State Efficiency Ratios (2014)'!$C$654</f>
        <v>-67.184746936256829</v>
      </c>
      <c r="AD49" s="277"/>
      <c r="AE49" s="280"/>
      <c r="AG49" s="295"/>
      <c r="AL49" s="575"/>
      <c r="AM49" s="575"/>
      <c r="AX49" s="631">
        <f t="shared" si="9"/>
        <v>1.3333333333333333</v>
      </c>
      <c r="AY49" s="640">
        <f>'Composites (2014)'!AC33</f>
        <v>185.24509784161771</v>
      </c>
      <c r="AZ49" s="632">
        <v>6</v>
      </c>
      <c r="BA49" s="631">
        <f t="shared" si="10"/>
        <v>0.99999999999999956</v>
      </c>
      <c r="BB49" s="640">
        <f t="shared" si="11"/>
        <v>678.63380743693756</v>
      </c>
      <c r="BC49" s="632">
        <v>5</v>
      </c>
    </row>
    <row r="50" spans="1:55" ht="12.95" customHeight="1" thickBot="1">
      <c r="A50" s="885"/>
      <c r="B50" s="885"/>
      <c r="C50" s="194" t="s">
        <v>807</v>
      </c>
      <c r="D50" s="210"/>
      <c r="E50" s="211"/>
      <c r="F50" s="209"/>
      <c r="G50" s="210"/>
      <c r="H50" s="210"/>
      <c r="I50" s="211"/>
      <c r="J50" s="209"/>
      <c r="K50" s="210"/>
      <c r="L50" s="210"/>
      <c r="M50" s="211"/>
      <c r="N50" s="281"/>
      <c r="O50" s="282"/>
      <c r="P50" s="282"/>
      <c r="Q50" s="282"/>
      <c r="R50" s="277"/>
      <c r="S50" s="278"/>
      <c r="T50" s="278"/>
      <c r="U50" s="278">
        <f>(U60-R60)/3/$C$659/Spend!U50*'State Efficiency Ratios (2014)'!$C$654</f>
        <v>0</v>
      </c>
      <c r="V50" s="277"/>
      <c r="W50" s="278"/>
      <c r="X50" s="278"/>
      <c r="Y50" s="278">
        <f>(Y60-U60)/4/$C$659/Spend!Y50*'State Efficiency Ratios (2014)'!$C$654</f>
        <v>69.744949274472759</v>
      </c>
      <c r="Z50" s="277"/>
      <c r="AA50" s="278"/>
      <c r="AB50" s="278"/>
      <c r="AC50" s="278">
        <f>(AC60-Y60)/4/$C$659/Spend!AC50*'State Efficiency Ratios (2014)'!$C$654</f>
        <v>386.06204222480693</v>
      </c>
      <c r="AD50" s="277"/>
      <c r="AE50" s="280"/>
      <c r="AG50" s="295"/>
      <c r="AI50" s="4" t="s">
        <v>1053</v>
      </c>
      <c r="AL50" s="575"/>
      <c r="AM50" s="575"/>
      <c r="AX50" s="631">
        <f t="shared" si="9"/>
        <v>1.0666666666666664</v>
      </c>
      <c r="AY50" s="640">
        <f>'Composites (2014)'!AC34</f>
        <v>235.38007003913745</v>
      </c>
      <c r="AZ50" s="632">
        <v>5</v>
      </c>
      <c r="BA50" s="631">
        <f t="shared" si="10"/>
        <v>1.1000000000000001</v>
      </c>
      <c r="BB50" s="640">
        <f t="shared" si="11"/>
        <v>857.91564938845966</v>
      </c>
      <c r="BC50" s="632">
        <v>2</v>
      </c>
    </row>
    <row r="51" spans="1:55" ht="12.95" customHeight="1" thickBot="1">
      <c r="A51" s="885"/>
      <c r="B51" s="885"/>
      <c r="C51" s="194" t="s">
        <v>808</v>
      </c>
      <c r="D51" s="210"/>
      <c r="E51" s="211"/>
      <c r="F51" s="209"/>
      <c r="G51" s="210"/>
      <c r="H51" s="210"/>
      <c r="I51" s="211"/>
      <c r="J51" s="209"/>
      <c r="K51" s="210"/>
      <c r="L51" s="210"/>
      <c r="M51" s="211"/>
      <c r="N51" s="281"/>
      <c r="O51" s="282"/>
      <c r="P51" s="282"/>
      <c r="Q51" s="282"/>
      <c r="R51" s="277"/>
      <c r="S51" s="278"/>
      <c r="T51" s="278"/>
      <c r="U51" s="278">
        <f>(U61-R61)/3/$C$659/Spend!U51*'State Efficiency Ratios (2014)'!$C$654</f>
        <v>0</v>
      </c>
      <c r="V51" s="277"/>
      <c r="W51" s="278"/>
      <c r="X51" s="278"/>
      <c r="Y51" s="278">
        <f>(Y61-U61)/4/$C$659/Spend!Y51*'State Efficiency Ratios (2014)'!$C$654</f>
        <v>85.387095067678118</v>
      </c>
      <c r="Z51" s="277"/>
      <c r="AA51" s="278"/>
      <c r="AB51" s="278"/>
      <c r="AC51" s="278">
        <f>(AC61-Y61)/4/$C$659/Spend!AC51*'State Efficiency Ratios (2014)'!$C$654</f>
        <v>560.75395075960671</v>
      </c>
      <c r="AD51" s="277"/>
      <c r="AE51" s="280"/>
      <c r="AG51" s="295"/>
      <c r="AH51" s="355" t="s">
        <v>1052</v>
      </c>
      <c r="AI51" s="591">
        <f>4/5*SUM(AI55:AI59)/5</f>
        <v>0.48000000000000009</v>
      </c>
      <c r="AJ51" s="592">
        <f>4/6*SUM(AJ55:AJ59)/5</f>
        <v>0.4</v>
      </c>
      <c r="AK51" s="592">
        <f>SUM(AK55:AK62)/8</f>
        <v>0.5625</v>
      </c>
      <c r="AL51" s="594">
        <f>SUM(AL55:AL62)/8</f>
        <v>0.57000000000000006</v>
      </c>
      <c r="AM51" s="575"/>
      <c r="AX51" s="631">
        <f t="shared" si="9"/>
        <v>1.4333333333333333</v>
      </c>
      <c r="AY51" s="640">
        <f>'Composites (2014)'!AC35</f>
        <v>317.8958008187613</v>
      </c>
      <c r="AZ51" s="632">
        <v>3</v>
      </c>
      <c r="BA51" s="631">
        <f t="shared" si="10"/>
        <v>0.89999999999999991</v>
      </c>
      <c r="BB51" s="640">
        <f t="shared" si="11"/>
        <v>868.93690716881201</v>
      </c>
      <c r="BC51" s="632">
        <v>1</v>
      </c>
    </row>
    <row r="52" spans="1:55" ht="12.95" customHeight="1" thickBot="1">
      <c r="A52" s="885"/>
      <c r="B52" s="885"/>
      <c r="C52" s="194" t="s">
        <v>809</v>
      </c>
      <c r="D52" s="210"/>
      <c r="E52" s="211"/>
      <c r="F52" s="209"/>
      <c r="G52" s="210"/>
      <c r="H52" s="210"/>
      <c r="I52" s="211"/>
      <c r="J52" s="209"/>
      <c r="K52" s="210"/>
      <c r="L52" s="210"/>
      <c r="M52" s="211"/>
      <c r="N52" s="281"/>
      <c r="O52" s="282"/>
      <c r="P52" s="282"/>
      <c r="Q52" s="282"/>
      <c r="R52" s="277"/>
      <c r="S52" s="278"/>
      <c r="T52" s="278"/>
      <c r="U52" s="278">
        <f>(U62-R62)/3/$C$659/Spend!U52*'State Efficiency Ratios (2014)'!$C$654</f>
        <v>0</v>
      </c>
      <c r="V52" s="277"/>
      <c r="W52" s="278"/>
      <c r="X52" s="278"/>
      <c r="Y52" s="278">
        <f>(Y62-U62)/4/$C$659/Spend!Y52*'State Efficiency Ratios (2014)'!$C$654</f>
        <v>661.77469838351828</v>
      </c>
      <c r="Z52" s="277"/>
      <c r="AA52" s="278"/>
      <c r="AB52" s="278"/>
      <c r="AC52" s="278">
        <f>(AC62-Y62)/4/$C$659/Spend!AC52*'State Efficiency Ratios (2014)'!$C$654</f>
        <v>12.212003852135005</v>
      </c>
      <c r="AD52" s="277"/>
      <c r="AE52" s="280"/>
      <c r="AG52" s="295"/>
      <c r="AH52" s="355" t="s">
        <v>1051</v>
      </c>
      <c r="AI52" s="606">
        <f>SUM(O45:O49)/5</f>
        <v>36.097479752367903</v>
      </c>
      <c r="AJ52" s="607">
        <f>SUM(U45:U49)/5</f>
        <v>64.677216386136209</v>
      </c>
      <c r="AK52" s="607">
        <f>SUM(Y45:Y52)/8</f>
        <v>164.10756033663921</v>
      </c>
      <c r="AL52" s="608">
        <f>SUM(AC45:AC52)/8</f>
        <v>167.24094770867751</v>
      </c>
      <c r="AM52" s="575"/>
      <c r="AX52" s="633">
        <f t="shared" si="9"/>
        <v>1.4333333333333329</v>
      </c>
      <c r="AY52" s="641">
        <f>'Composites (2014)'!AC36</f>
        <v>392.10649859711276</v>
      </c>
      <c r="AZ52" s="634">
        <v>1</v>
      </c>
      <c r="BA52" s="633">
        <f t="shared" si="10"/>
        <v>0.89999999999999991</v>
      </c>
      <c r="BB52" s="641">
        <f t="shared" si="11"/>
        <v>832.6366262819314</v>
      </c>
      <c r="BC52" s="634">
        <v>3</v>
      </c>
    </row>
    <row r="53" spans="1:55" ht="12.95" customHeight="1" thickBot="1">
      <c r="A53" s="885"/>
      <c r="B53" s="885"/>
      <c r="C53" s="194" t="s">
        <v>810</v>
      </c>
      <c r="D53" s="210"/>
      <c r="E53" s="211"/>
      <c r="F53" s="209"/>
      <c r="G53" s="210"/>
      <c r="H53" s="210"/>
      <c r="I53" s="211"/>
      <c r="J53" s="209"/>
      <c r="K53" s="210"/>
      <c r="L53" s="210"/>
      <c r="M53" s="211"/>
      <c r="N53" s="281"/>
      <c r="O53" s="282"/>
      <c r="P53" s="282"/>
      <c r="Q53" s="283"/>
      <c r="R53" s="281"/>
      <c r="S53" s="282"/>
      <c r="T53" s="282"/>
      <c r="U53" s="283"/>
      <c r="V53" s="281"/>
      <c r="W53" s="282"/>
      <c r="X53" s="282"/>
      <c r="Y53" s="283"/>
      <c r="Z53" s="277"/>
      <c r="AA53" s="278"/>
      <c r="AB53" s="278"/>
      <c r="AC53" s="278">
        <f>(AC63-Y63)/4/$C$659/Spend!AC53*'State Efficiency Ratios (2014)'!$C$654</f>
        <v>0</v>
      </c>
      <c r="AD53" s="277"/>
      <c r="AE53" s="280"/>
      <c r="AG53" s="295"/>
      <c r="AL53" s="575"/>
      <c r="AM53" s="575"/>
      <c r="AW53" s="351" t="s">
        <v>1053</v>
      </c>
      <c r="AX53" s="356">
        <f>AVERAGE(AX45:AX52)</f>
        <v>1.1845833333333333</v>
      </c>
      <c r="AY53" s="378">
        <f>AVERAGE(AY45:AY52)</f>
        <v>241.16282968127211</v>
      </c>
      <c r="BA53" s="356">
        <f>AVERAGE(BA45:BA52)</f>
        <v>0.73750000000000004</v>
      </c>
      <c r="BB53" s="378">
        <f>AVERAGE(BB45:BB52)</f>
        <v>613.70108381846114</v>
      </c>
    </row>
    <row r="54" spans="1:55" ht="12.95" customHeight="1" thickBot="1">
      <c r="A54" s="885"/>
      <c r="B54" s="885"/>
      <c r="C54" s="194" t="s">
        <v>811</v>
      </c>
      <c r="D54" s="210"/>
      <c r="E54" s="211"/>
      <c r="F54" s="209"/>
      <c r="G54" s="210"/>
      <c r="H54" s="210"/>
      <c r="I54" s="211"/>
      <c r="J54" s="209"/>
      <c r="K54" s="210"/>
      <c r="L54" s="210"/>
      <c r="M54" s="211"/>
      <c r="N54" s="281"/>
      <c r="O54" s="282"/>
      <c r="P54" s="282"/>
      <c r="Q54" s="283"/>
      <c r="R54" s="281"/>
      <c r="S54" s="282"/>
      <c r="T54" s="282"/>
      <c r="U54" s="283"/>
      <c r="V54" s="281"/>
      <c r="W54" s="282"/>
      <c r="X54" s="282"/>
      <c r="Y54" s="283"/>
      <c r="Z54" s="277"/>
      <c r="AA54" s="278"/>
      <c r="AB54" s="278"/>
      <c r="AC54" s="278">
        <f>(AC64-Y64)/4/$C$659/Spend!AC54*'State Efficiency Ratios (2014)'!$C$654</f>
        <v>0</v>
      </c>
      <c r="AD54" s="277"/>
      <c r="AE54" s="280"/>
      <c r="AG54" s="295"/>
      <c r="AI54" s="4" t="s">
        <v>1026</v>
      </c>
      <c r="AL54" s="575"/>
      <c r="AM54" s="575"/>
    </row>
    <row r="55" spans="1:55" ht="12.95" customHeight="1" thickBot="1">
      <c r="A55" s="885"/>
      <c r="B55" s="885"/>
      <c r="C55" s="9" t="s">
        <v>295</v>
      </c>
      <c r="D55" s="241" t="s">
        <v>632</v>
      </c>
      <c r="E55" s="241" t="s">
        <v>632</v>
      </c>
      <c r="F55" s="243" t="s">
        <v>646</v>
      </c>
      <c r="G55" s="241" t="s">
        <v>646</v>
      </c>
      <c r="H55" s="241" t="s">
        <v>646</v>
      </c>
      <c r="I55" s="244" t="s">
        <v>646</v>
      </c>
      <c r="J55" s="195">
        <f>'State DisAgg LFx10 (2014)'!D45</f>
        <v>1</v>
      </c>
      <c r="K55" s="196"/>
      <c r="L55" s="196"/>
      <c r="M55" s="197"/>
      <c r="N55" s="195"/>
      <c r="O55" s="196">
        <f>'State DisAgg LFx10 (2014)'!H55</f>
        <v>2</v>
      </c>
      <c r="P55" s="196"/>
      <c r="Q55" s="197"/>
      <c r="R55" s="195"/>
      <c r="S55" s="196"/>
      <c r="T55" s="196"/>
      <c r="U55" s="197">
        <f>'State DisAgg LFx10 (2014)'!L55</f>
        <v>2.6</v>
      </c>
      <c r="V55" s="195"/>
      <c r="W55" s="196"/>
      <c r="X55" s="196"/>
      <c r="Y55" s="197">
        <f>'State DisAgg LFx10 (2014)'!P55</f>
        <v>2.2999999999999998</v>
      </c>
      <c r="Z55" s="195"/>
      <c r="AA55" s="196"/>
      <c r="AB55" s="196"/>
      <c r="AC55" s="197">
        <f>'State DisAgg LFx10 (2014)'!T55</f>
        <v>2.66</v>
      </c>
      <c r="AD55" s="195"/>
      <c r="AE55" s="197"/>
      <c r="AI55" s="361">
        <f>O55-J55</f>
        <v>1</v>
      </c>
      <c r="AJ55" s="362">
        <f>U55-O55</f>
        <v>0.60000000000000009</v>
      </c>
      <c r="AK55" s="362">
        <f t="shared" ref="AK55:AK64" si="12">Y55-U55</f>
        <v>-0.30000000000000027</v>
      </c>
      <c r="AL55" s="363">
        <f t="shared" ref="AL55:AL64" si="13">AC55-Y55</f>
        <v>0.36000000000000032</v>
      </c>
      <c r="AM55" s="354"/>
      <c r="AX55" s="403" t="s">
        <v>1058</v>
      </c>
    </row>
    <row r="56" spans="1:55" ht="12.95" customHeight="1" thickBot="1">
      <c r="A56" s="885"/>
      <c r="B56" s="885"/>
      <c r="C56" s="9" t="s">
        <v>296</v>
      </c>
      <c r="D56" s="241" t="s">
        <v>632</v>
      </c>
      <c r="E56" s="241" t="s">
        <v>632</v>
      </c>
      <c r="F56" s="243" t="s">
        <v>646</v>
      </c>
      <c r="G56" s="241" t="s">
        <v>646</v>
      </c>
      <c r="H56" s="241" t="s">
        <v>646</v>
      </c>
      <c r="I56" s="244" t="s">
        <v>646</v>
      </c>
      <c r="J56" s="195">
        <f>'State DisAgg LFx10 (2014)'!D46</f>
        <v>1</v>
      </c>
      <c r="K56" s="196"/>
      <c r="L56" s="196"/>
      <c r="M56" s="197"/>
      <c r="N56" s="195"/>
      <c r="O56" s="196">
        <f>'State DisAgg LFx10 (2014)'!H56</f>
        <v>1.5</v>
      </c>
      <c r="P56" s="196"/>
      <c r="Q56" s="197"/>
      <c r="R56" s="195"/>
      <c r="S56" s="196"/>
      <c r="T56" s="196"/>
      <c r="U56" s="197">
        <f>'State DisAgg LFx10 (2014)'!L56</f>
        <v>2</v>
      </c>
      <c r="V56" s="195"/>
      <c r="W56" s="196"/>
      <c r="X56" s="196"/>
      <c r="Y56" s="197">
        <f>'State DisAgg LFx10 (2014)'!P56</f>
        <v>3.5</v>
      </c>
      <c r="Z56" s="195"/>
      <c r="AA56" s="196"/>
      <c r="AB56" s="196"/>
      <c r="AC56" s="197">
        <f>'State DisAgg LFx10 (2014)'!T56</f>
        <v>4.5999999999999996</v>
      </c>
      <c r="AD56" s="195"/>
      <c r="AE56" s="197"/>
      <c r="AI56" s="364">
        <f>O56-J56</f>
        <v>0.5</v>
      </c>
      <c r="AJ56" s="360">
        <f>U56-O56</f>
        <v>0.5</v>
      </c>
      <c r="AK56" s="360">
        <f t="shared" si="12"/>
        <v>1.5</v>
      </c>
      <c r="AL56" s="365">
        <f t="shared" si="13"/>
        <v>1.0999999999999996</v>
      </c>
      <c r="AM56" s="354"/>
      <c r="AX56" s="629">
        <f t="shared" ref="AX56:AX63" si="14">AQ278</f>
        <v>0.99444444444444446</v>
      </c>
      <c r="AY56" s="639">
        <f>'Composites (2014)'!AC41</f>
        <v>190.54002061438052</v>
      </c>
      <c r="AZ56" s="630">
        <v>2</v>
      </c>
    </row>
    <row r="57" spans="1:55" ht="12.95" customHeight="1" thickBot="1">
      <c r="A57" s="885"/>
      <c r="B57" s="885"/>
      <c r="C57" s="9" t="s">
        <v>297</v>
      </c>
      <c r="D57" s="241" t="s">
        <v>632</v>
      </c>
      <c r="E57" s="241" t="s">
        <v>632</v>
      </c>
      <c r="F57" s="243" t="s">
        <v>646</v>
      </c>
      <c r="G57" s="241" t="s">
        <v>646</v>
      </c>
      <c r="H57" s="241" t="s">
        <v>646</v>
      </c>
      <c r="I57" s="244" t="s">
        <v>646</v>
      </c>
      <c r="J57" s="195">
        <f>'State DisAgg LFx10 (2014)'!D47</f>
        <v>1</v>
      </c>
      <c r="K57" s="196"/>
      <c r="L57" s="196"/>
      <c r="M57" s="197"/>
      <c r="N57" s="195"/>
      <c r="O57" s="196">
        <f>'State DisAgg LFx10 (2014)'!H57</f>
        <v>1</v>
      </c>
      <c r="P57" s="196"/>
      <c r="Q57" s="197"/>
      <c r="R57" s="195"/>
      <c r="S57" s="196"/>
      <c r="T57" s="196"/>
      <c r="U57" s="197">
        <f>'State DisAgg LFx10 (2014)'!L57</f>
        <v>2.1</v>
      </c>
      <c r="V57" s="195"/>
      <c r="W57" s="196"/>
      <c r="X57" s="196"/>
      <c r="Y57" s="197">
        <f>'State DisAgg LFx10 (2014)'!P57</f>
        <v>2.4</v>
      </c>
      <c r="Z57" s="195"/>
      <c r="AA57" s="196"/>
      <c r="AB57" s="196"/>
      <c r="AC57" s="197">
        <f>'State DisAgg LFx10 (2014)'!T57</f>
        <v>2.5</v>
      </c>
      <c r="AD57" s="195"/>
      <c r="AE57" s="197"/>
      <c r="AI57" s="364">
        <f>O57-J57</f>
        <v>0</v>
      </c>
      <c r="AJ57" s="360">
        <f>U57-O57</f>
        <v>1.1000000000000001</v>
      </c>
      <c r="AK57" s="360">
        <f t="shared" si="12"/>
        <v>0.29999999999999982</v>
      </c>
      <c r="AL57" s="365">
        <f t="shared" si="13"/>
        <v>0.10000000000000009</v>
      </c>
      <c r="AM57" s="354"/>
      <c r="AX57" s="631">
        <f t="shared" si="14"/>
        <v>0.63333333333333353</v>
      </c>
      <c r="AY57" s="640">
        <f>'Composites (2014)'!AC42</f>
        <v>122.45875797495484</v>
      </c>
      <c r="AZ57" s="632">
        <v>6</v>
      </c>
    </row>
    <row r="58" spans="1:55" ht="12.95" customHeight="1" thickBot="1">
      <c r="A58" s="885"/>
      <c r="B58" s="885"/>
      <c r="C58" s="9" t="s">
        <v>298</v>
      </c>
      <c r="D58" s="241" t="s">
        <v>632</v>
      </c>
      <c r="E58" s="241" t="s">
        <v>632</v>
      </c>
      <c r="F58" s="243" t="s">
        <v>646</v>
      </c>
      <c r="G58" s="241" t="s">
        <v>646</v>
      </c>
      <c r="H58" s="241" t="s">
        <v>646</v>
      </c>
      <c r="I58" s="244" t="s">
        <v>646</v>
      </c>
      <c r="J58" s="195">
        <f>'State DisAgg LFx10 (2014)'!D48</f>
        <v>1</v>
      </c>
      <c r="K58" s="196"/>
      <c r="L58" s="196"/>
      <c r="M58" s="197"/>
      <c r="N58" s="195"/>
      <c r="O58" s="196">
        <f>'State DisAgg LFx10 (2014)'!H58</f>
        <v>2</v>
      </c>
      <c r="P58" s="196"/>
      <c r="Q58" s="197"/>
      <c r="R58" s="195"/>
      <c r="S58" s="196"/>
      <c r="T58" s="196"/>
      <c r="U58" s="197">
        <f>'State DisAgg LFx10 (2014)'!L58</f>
        <v>2.2999999999999998</v>
      </c>
      <c r="V58" s="195"/>
      <c r="W58" s="196"/>
      <c r="X58" s="196"/>
      <c r="Y58" s="197">
        <f>'State DisAgg LFx10 (2014)'!P58</f>
        <v>2.2999999999999998</v>
      </c>
      <c r="Z58" s="195"/>
      <c r="AA58" s="196"/>
      <c r="AB58" s="196"/>
      <c r="AC58" s="197">
        <f>'State DisAgg LFx10 (2014)'!T58</f>
        <v>2.2999999999999998</v>
      </c>
      <c r="AD58" s="195"/>
      <c r="AE58" s="197"/>
      <c r="AI58" s="364">
        <f>O58-J58</f>
        <v>1</v>
      </c>
      <c r="AJ58" s="360">
        <f>U58-O58</f>
        <v>0.29999999999999982</v>
      </c>
      <c r="AK58" s="360">
        <f t="shared" si="12"/>
        <v>0</v>
      </c>
      <c r="AL58" s="365">
        <f t="shared" si="13"/>
        <v>0</v>
      </c>
      <c r="AM58" s="354"/>
      <c r="AX58" s="631">
        <f t="shared" si="14"/>
        <v>0.65555555555555578</v>
      </c>
      <c r="AY58" s="640">
        <f>'Composites (2014)'!AC43</f>
        <v>147.25214352952901</v>
      </c>
      <c r="AZ58" s="632">
        <v>5</v>
      </c>
    </row>
    <row r="59" spans="1:55" ht="12.95" customHeight="1" thickBot="1">
      <c r="A59" s="885"/>
      <c r="B59" s="885"/>
      <c r="C59" s="9" t="s">
        <v>299</v>
      </c>
      <c r="D59" s="241" t="s">
        <v>632</v>
      </c>
      <c r="E59" s="241" t="s">
        <v>632</v>
      </c>
      <c r="F59" s="243" t="s">
        <v>646</v>
      </c>
      <c r="G59" s="241" t="s">
        <v>646</v>
      </c>
      <c r="H59" s="241" t="s">
        <v>646</v>
      </c>
      <c r="I59" s="244" t="s">
        <v>646</v>
      </c>
      <c r="J59" s="195">
        <f>'State DisAgg LFx10 (2014)'!D49</f>
        <v>1</v>
      </c>
      <c r="K59" s="196"/>
      <c r="L59" s="196"/>
      <c r="M59" s="197"/>
      <c r="N59" s="195"/>
      <c r="O59" s="196">
        <f>'State DisAgg LFx10 (2014)'!H59</f>
        <v>1.5</v>
      </c>
      <c r="P59" s="196"/>
      <c r="Q59" s="197"/>
      <c r="R59" s="195"/>
      <c r="S59" s="196"/>
      <c r="T59" s="196"/>
      <c r="U59" s="197">
        <f>'State DisAgg LFx10 (2014)'!L59</f>
        <v>2</v>
      </c>
      <c r="V59" s="195"/>
      <c r="W59" s="196"/>
      <c r="X59" s="196"/>
      <c r="Y59" s="197">
        <f>'State DisAgg LFx10 (2014)'!P59</f>
        <v>2.5</v>
      </c>
      <c r="Z59" s="195"/>
      <c r="AA59" s="196"/>
      <c r="AB59" s="196"/>
      <c r="AC59" s="197">
        <f>'State DisAgg LFx10 (2014)'!T59</f>
        <v>2.2000000000000002</v>
      </c>
      <c r="AD59" s="195"/>
      <c r="AE59" s="197"/>
      <c r="AI59" s="364">
        <f>O59-J59</f>
        <v>0.5</v>
      </c>
      <c r="AJ59" s="360">
        <f>U59-O59</f>
        <v>0.5</v>
      </c>
      <c r="AK59" s="360">
        <f t="shared" si="12"/>
        <v>0.5</v>
      </c>
      <c r="AL59" s="365">
        <f t="shared" si="13"/>
        <v>-0.29999999999999982</v>
      </c>
      <c r="AM59" s="354"/>
      <c r="AX59" s="631">
        <f t="shared" si="14"/>
        <v>1.111111111111116E-2</v>
      </c>
      <c r="AY59" s="640">
        <f>'Composites (2014)'!AC44</f>
        <v>10.563794741310867</v>
      </c>
      <c r="AZ59" s="632">
        <v>7</v>
      </c>
    </row>
    <row r="60" spans="1:55" ht="13.5" thickBot="1">
      <c r="A60" s="885"/>
      <c r="B60" s="885"/>
      <c r="C60" s="9" t="s">
        <v>300</v>
      </c>
      <c r="D60" s="199"/>
      <c r="E60" s="200"/>
      <c r="F60" s="201"/>
      <c r="G60" s="199"/>
      <c r="H60" s="199"/>
      <c r="I60" s="200"/>
      <c r="J60" s="201"/>
      <c r="K60" s="199"/>
      <c r="L60" s="199"/>
      <c r="M60" s="200"/>
      <c r="N60" s="198"/>
      <c r="O60" s="217" t="s">
        <v>634</v>
      </c>
      <c r="P60" s="241" t="s">
        <v>632</v>
      </c>
      <c r="Q60" s="244" t="s">
        <v>646</v>
      </c>
      <c r="R60" s="195">
        <f>'State DisAgg LFx10 (2014)'!H50</f>
        <v>1</v>
      </c>
      <c r="S60" s="196"/>
      <c r="T60" s="196"/>
      <c r="U60" s="197">
        <f>'State DisAgg LFx10 (2014)'!L60</f>
        <v>1</v>
      </c>
      <c r="V60" s="195"/>
      <c r="W60" s="196"/>
      <c r="X60" s="196"/>
      <c r="Y60" s="197">
        <f>'State DisAgg LFx10 (2014)'!P60</f>
        <v>1.2</v>
      </c>
      <c r="Z60" s="195"/>
      <c r="AA60" s="196"/>
      <c r="AB60" s="196"/>
      <c r="AC60" s="197">
        <f>'State DisAgg LFx10 (2014)'!T60</f>
        <v>2.7</v>
      </c>
      <c r="AD60" s="195"/>
      <c r="AE60" s="197"/>
      <c r="AI60" s="364">
        <v>0</v>
      </c>
      <c r="AJ60" s="360">
        <f>U60-R60</f>
        <v>0</v>
      </c>
      <c r="AK60" s="360">
        <f t="shared" si="12"/>
        <v>0.19999999999999996</v>
      </c>
      <c r="AL60" s="365">
        <f t="shared" si="13"/>
        <v>1.5000000000000002</v>
      </c>
      <c r="AM60" s="354"/>
      <c r="AX60" s="631">
        <f t="shared" si="14"/>
        <v>1.1222222222222222</v>
      </c>
      <c r="AY60" s="640">
        <f>'Composites (2014)'!AC45</f>
        <v>160.85610815019552</v>
      </c>
      <c r="AZ60" s="632">
        <v>4</v>
      </c>
    </row>
    <row r="61" spans="1:55" ht="13.5" thickBot="1">
      <c r="A61" s="885"/>
      <c r="B61" s="885"/>
      <c r="C61" s="9" t="s">
        <v>301</v>
      </c>
      <c r="D61" s="199"/>
      <c r="E61" s="200"/>
      <c r="F61" s="201"/>
      <c r="G61" s="199"/>
      <c r="H61" s="199"/>
      <c r="I61" s="200"/>
      <c r="J61" s="201"/>
      <c r="K61" s="199"/>
      <c r="L61" s="199"/>
      <c r="M61" s="200"/>
      <c r="N61" s="198"/>
      <c r="O61" s="217" t="s">
        <v>634</v>
      </c>
      <c r="P61" s="241" t="s">
        <v>632</v>
      </c>
      <c r="Q61" s="244" t="s">
        <v>646</v>
      </c>
      <c r="R61" s="195">
        <f>'State DisAgg LFx10 (2014)'!H51</f>
        <v>1</v>
      </c>
      <c r="S61" s="196"/>
      <c r="T61" s="196"/>
      <c r="U61" s="197">
        <f>'State DisAgg LFx10 (2014)'!L61</f>
        <v>1</v>
      </c>
      <c r="V61" s="195"/>
      <c r="W61" s="196"/>
      <c r="X61" s="196"/>
      <c r="Y61" s="197">
        <f>'State DisAgg LFx10 (2014)'!P61</f>
        <v>1.2</v>
      </c>
      <c r="Z61" s="195"/>
      <c r="AA61" s="196"/>
      <c r="AB61" s="196"/>
      <c r="AC61" s="197">
        <f>'State DisAgg LFx10 (2014)'!T61</f>
        <v>2.96</v>
      </c>
      <c r="AD61" s="195"/>
      <c r="AE61" s="197"/>
      <c r="AI61" s="364">
        <v>0</v>
      </c>
      <c r="AJ61" s="360">
        <f>U61-R61</f>
        <v>0</v>
      </c>
      <c r="AK61" s="360">
        <f t="shared" si="12"/>
        <v>0.19999999999999996</v>
      </c>
      <c r="AL61" s="365">
        <f t="shared" si="13"/>
        <v>1.76</v>
      </c>
      <c r="AM61" s="354"/>
      <c r="AX61" s="631">
        <f t="shared" si="14"/>
        <v>0.1111111111111111</v>
      </c>
      <c r="AY61" s="640">
        <f>'Composites (2014)'!AC46</f>
        <v>-50.054243053621327</v>
      </c>
      <c r="AZ61" s="632">
        <v>8</v>
      </c>
    </row>
    <row r="62" spans="1:55" ht="13.5" thickBot="1">
      <c r="A62" s="885"/>
      <c r="B62" s="885"/>
      <c r="C62" s="9" t="s">
        <v>302</v>
      </c>
      <c r="D62" s="199"/>
      <c r="E62" s="200"/>
      <c r="F62" s="201"/>
      <c r="G62" s="199"/>
      <c r="H62" s="199"/>
      <c r="I62" s="200"/>
      <c r="J62" s="201"/>
      <c r="K62" s="199"/>
      <c r="L62" s="199"/>
      <c r="M62" s="200"/>
      <c r="N62" s="198"/>
      <c r="O62" s="217" t="s">
        <v>634</v>
      </c>
      <c r="P62" s="241" t="s">
        <v>632</v>
      </c>
      <c r="Q62" s="244" t="s">
        <v>646</v>
      </c>
      <c r="R62" s="195">
        <f>'State DisAgg LFx10 (2014)'!H52</f>
        <v>1</v>
      </c>
      <c r="S62" s="196"/>
      <c r="T62" s="196"/>
      <c r="U62" s="197">
        <f>'State DisAgg LFx10 (2014)'!L62</f>
        <v>1</v>
      </c>
      <c r="V62" s="195"/>
      <c r="W62" s="196"/>
      <c r="X62" s="196"/>
      <c r="Y62" s="197">
        <f>'State DisAgg LFx10 (2014)'!P62</f>
        <v>3.1</v>
      </c>
      <c r="Z62" s="195"/>
      <c r="AA62" s="196"/>
      <c r="AB62" s="196"/>
      <c r="AC62" s="197">
        <f>'State DisAgg LFx10 (2014)'!T62</f>
        <v>3.14</v>
      </c>
      <c r="AD62" s="195"/>
      <c r="AE62" s="197"/>
      <c r="AI62" s="364">
        <v>0</v>
      </c>
      <c r="AJ62" s="360">
        <f>U62-R62</f>
        <v>0</v>
      </c>
      <c r="AK62" s="360">
        <f t="shared" si="12"/>
        <v>2.1</v>
      </c>
      <c r="AL62" s="365">
        <f t="shared" si="13"/>
        <v>4.0000000000000036E-2</v>
      </c>
      <c r="AM62" s="354"/>
      <c r="AX62" s="631">
        <f t="shared" si="14"/>
        <v>1.6000000000000003</v>
      </c>
      <c r="AY62" s="640">
        <f>'Composites (2014)'!AC47</f>
        <v>418.59742725197719</v>
      </c>
      <c r="AZ62" s="632">
        <v>1</v>
      </c>
    </row>
    <row r="63" spans="1:55" ht="13.5" thickBot="1">
      <c r="A63" s="885"/>
      <c r="B63" s="885"/>
      <c r="C63" s="9" t="s">
        <v>303</v>
      </c>
      <c r="D63" s="202"/>
      <c r="E63" s="203"/>
      <c r="F63" s="201"/>
      <c r="G63" s="202"/>
      <c r="H63" s="202"/>
      <c r="I63" s="203"/>
      <c r="J63" s="201"/>
      <c r="K63" s="202"/>
      <c r="L63" s="202"/>
      <c r="M63" s="203"/>
      <c r="N63" s="204"/>
      <c r="O63" s="214"/>
      <c r="P63" s="205"/>
      <c r="Q63" s="205"/>
      <c r="R63" s="201"/>
      <c r="S63" s="202"/>
      <c r="T63" s="202"/>
      <c r="U63" s="203"/>
      <c r="V63" s="242"/>
      <c r="W63" s="217" t="s">
        <v>633</v>
      </c>
      <c r="X63" s="241" t="s">
        <v>632</v>
      </c>
      <c r="Y63" s="197">
        <f>'State DisAgg LFx10 (2014)'!P53</f>
        <v>0</v>
      </c>
      <c r="Z63" s="195"/>
      <c r="AA63" s="196"/>
      <c r="AB63" s="196"/>
      <c r="AC63" s="197">
        <f>'State DisAgg LFx10 (2014)'!T63</f>
        <v>0</v>
      </c>
      <c r="AD63" s="195"/>
      <c r="AE63" s="197"/>
      <c r="AI63" s="364">
        <f>O63-J63</f>
        <v>0</v>
      </c>
      <c r="AJ63" s="360">
        <f>U63-O63</f>
        <v>0</v>
      </c>
      <c r="AK63" s="360">
        <f t="shared" si="12"/>
        <v>0</v>
      </c>
      <c r="AL63" s="365">
        <f t="shared" si="13"/>
        <v>0</v>
      </c>
      <c r="AM63" s="354"/>
      <c r="AX63" s="633">
        <f t="shared" si="14"/>
        <v>0.84444444444444455</v>
      </c>
      <c r="AY63" s="641">
        <f>'Composites (2014)'!AC48</f>
        <v>164.31671848777475</v>
      </c>
      <c r="AZ63" s="634">
        <v>3</v>
      </c>
    </row>
    <row r="64" spans="1:55" ht="13.5" thickBot="1">
      <c r="A64" s="885"/>
      <c r="B64" s="885"/>
      <c r="C64" s="9" t="s">
        <v>304</v>
      </c>
      <c r="D64" s="202"/>
      <c r="E64" s="203"/>
      <c r="F64" s="201"/>
      <c r="G64" s="202"/>
      <c r="H64" s="202"/>
      <c r="I64" s="203"/>
      <c r="J64" s="201"/>
      <c r="K64" s="202"/>
      <c r="L64" s="202"/>
      <c r="M64" s="203"/>
      <c r="N64" s="204"/>
      <c r="O64" s="205"/>
      <c r="P64" s="205"/>
      <c r="Q64" s="205"/>
      <c r="R64" s="201"/>
      <c r="S64" s="202"/>
      <c r="T64" s="202"/>
      <c r="U64" s="203"/>
      <c r="V64" s="242"/>
      <c r="W64" s="217" t="s">
        <v>633</v>
      </c>
      <c r="X64" s="241" t="s">
        <v>632</v>
      </c>
      <c r="Y64" s="197">
        <f>'State DisAgg LFx10 (2014)'!P54</f>
        <v>1.2</v>
      </c>
      <c r="Z64" s="195"/>
      <c r="AA64" s="196"/>
      <c r="AB64" s="196"/>
      <c r="AC64" s="197">
        <f>'State DisAgg LFx10 (2014)'!T64</f>
        <v>1.2</v>
      </c>
      <c r="AD64" s="195"/>
      <c r="AE64" s="197"/>
      <c r="AI64" s="366">
        <f>O64-J64</f>
        <v>0</v>
      </c>
      <c r="AJ64" s="367">
        <f>U64-O64</f>
        <v>0</v>
      </c>
      <c r="AK64" s="367">
        <f t="shared" si="12"/>
        <v>1.2</v>
      </c>
      <c r="AL64" s="368">
        <f t="shared" si="13"/>
        <v>0</v>
      </c>
      <c r="AM64" s="354"/>
      <c r="AQ64" s="354"/>
      <c r="AW64" s="351" t="s">
        <v>1053</v>
      </c>
      <c r="AX64" s="356">
        <f>AVERAGE(AX56:AX63)</f>
        <v>0.7465277777777779</v>
      </c>
      <c r="AY64" s="378">
        <f>AVERAGE(AY56:AY63)</f>
        <v>145.56634096206267</v>
      </c>
    </row>
    <row r="65" spans="1:55" ht="12.95" hidden="1" customHeight="1" thickBot="1">
      <c r="A65" s="885"/>
      <c r="B65" s="501"/>
      <c r="C65" s="231"/>
      <c r="D65" s="232"/>
      <c r="E65" s="233"/>
      <c r="F65" s="234"/>
      <c r="G65" s="232"/>
      <c r="H65" s="232"/>
      <c r="I65" s="233"/>
      <c r="J65" s="234"/>
      <c r="K65" s="232"/>
      <c r="L65" s="232"/>
      <c r="M65" s="233"/>
      <c r="N65" s="234"/>
      <c r="O65" s="232"/>
      <c r="P65" s="232"/>
      <c r="Q65" s="233"/>
      <c r="R65" s="234"/>
      <c r="S65" s="232"/>
      <c r="T65" s="232"/>
      <c r="U65" s="233"/>
      <c r="V65" s="234"/>
      <c r="W65" s="232"/>
      <c r="X65" s="232"/>
      <c r="Y65" s="233"/>
      <c r="Z65" s="234"/>
      <c r="AA65" s="232"/>
      <c r="AB65" s="232"/>
      <c r="AC65" s="233"/>
      <c r="AD65" s="234"/>
      <c r="AE65" s="233"/>
      <c r="AI65" s="353">
        <v>18</v>
      </c>
      <c r="AJ65" s="353">
        <v>18</v>
      </c>
      <c r="AK65" s="353">
        <v>18</v>
      </c>
      <c r="AQ65" s="353"/>
    </row>
    <row r="66" spans="1:55" ht="12.95" hidden="1" customHeight="1" thickBot="1">
      <c r="A66" s="885"/>
      <c r="B66" s="501"/>
      <c r="C66" s="231"/>
      <c r="D66" s="232"/>
      <c r="E66" s="233"/>
      <c r="F66" s="234"/>
      <c r="G66" s="232"/>
      <c r="H66" s="232"/>
      <c r="I66" s="233"/>
      <c r="J66" s="234"/>
      <c r="K66" s="232"/>
      <c r="L66" s="232"/>
      <c r="M66" s="233"/>
      <c r="N66" s="234"/>
      <c r="O66" s="232"/>
      <c r="P66" s="232"/>
      <c r="Q66" s="233"/>
      <c r="R66" s="234"/>
      <c r="S66" s="232"/>
      <c r="T66" s="232"/>
      <c r="U66" s="233"/>
      <c r="V66" s="234"/>
      <c r="W66" s="232"/>
      <c r="X66" s="232"/>
      <c r="Y66" s="233"/>
      <c r="Z66" s="234"/>
      <c r="AA66" s="232"/>
      <c r="AB66" s="232"/>
      <c r="AC66" s="233"/>
      <c r="AD66" s="234"/>
      <c r="AE66" s="233"/>
      <c r="AI66" s="353">
        <v>16</v>
      </c>
      <c r="AJ66" s="353">
        <v>16</v>
      </c>
      <c r="AK66" s="353">
        <v>16</v>
      </c>
      <c r="AQ66" s="353"/>
    </row>
    <row r="67" spans="1:55" ht="12.95" customHeight="1" thickBot="1">
      <c r="A67" s="885"/>
      <c r="B67" s="3" t="s">
        <v>37</v>
      </c>
      <c r="C67" s="12"/>
      <c r="D67" s="1377">
        <v>2008</v>
      </c>
      <c r="E67" s="1378"/>
      <c r="F67" s="1372">
        <v>2009</v>
      </c>
      <c r="G67" s="1373"/>
      <c r="H67" s="1373"/>
      <c r="I67" s="1374"/>
      <c r="J67" s="1372">
        <v>2010</v>
      </c>
      <c r="K67" s="1373"/>
      <c r="L67" s="1373"/>
      <c r="M67" s="1374"/>
      <c r="N67" s="1372">
        <v>2011</v>
      </c>
      <c r="O67" s="1373"/>
      <c r="P67" s="1373"/>
      <c r="Q67" s="1374"/>
      <c r="R67" s="1372">
        <v>2012</v>
      </c>
      <c r="S67" s="1373"/>
      <c r="T67" s="1373"/>
      <c r="U67" s="1374"/>
      <c r="V67" s="1372">
        <v>2013</v>
      </c>
      <c r="W67" s="1373"/>
      <c r="X67" s="1373"/>
      <c r="Y67" s="1374"/>
      <c r="Z67" s="1372">
        <v>2014</v>
      </c>
      <c r="AA67" s="1373"/>
      <c r="AB67" s="1373"/>
      <c r="AC67" s="1374"/>
      <c r="AD67" s="1372">
        <v>2015</v>
      </c>
      <c r="AE67" s="1374"/>
      <c r="AL67" s="351"/>
      <c r="AM67" s="351"/>
    </row>
    <row r="68" spans="1:55" ht="12.95" customHeight="1" thickBot="1">
      <c r="A68" s="1375"/>
      <c r="B68" s="868" t="s">
        <v>148</v>
      </c>
      <c r="C68" s="91"/>
      <c r="D68" s="1379" t="s">
        <v>716</v>
      </c>
      <c r="E68" s="1380"/>
      <c r="F68" s="1380"/>
      <c r="G68" s="1380"/>
      <c r="H68" s="1380"/>
      <c r="I68" s="1380"/>
      <c r="J68" s="1380"/>
      <c r="K68" s="1380"/>
      <c r="L68" s="1380"/>
      <c r="M68" s="1380"/>
      <c r="N68" s="1380"/>
      <c r="O68" s="1380"/>
      <c r="P68" s="1380"/>
      <c r="Q68" s="1380"/>
      <c r="R68" s="1380"/>
      <c r="S68" s="1380"/>
      <c r="T68" s="1380"/>
      <c r="U68" s="1380"/>
      <c r="V68" s="1380"/>
      <c r="W68" s="1380"/>
      <c r="X68" s="1380"/>
      <c r="Y68" s="1380"/>
      <c r="Z68" s="1380"/>
      <c r="AA68" s="1380"/>
      <c r="AB68" s="1380"/>
      <c r="AC68" s="1380"/>
      <c r="AD68" s="1380"/>
      <c r="AE68" s="1381"/>
      <c r="AG68" s="257" t="s">
        <v>663</v>
      </c>
      <c r="AM68" s="356"/>
      <c r="AX68" s="403" t="s">
        <v>1041</v>
      </c>
      <c r="BA68" s="403" t="s">
        <v>1082</v>
      </c>
      <c r="BC68" s="351"/>
    </row>
    <row r="69" spans="1:55" ht="13.5" thickBot="1">
      <c r="A69" s="1375"/>
      <c r="B69" s="885"/>
      <c r="C69" s="194" t="s">
        <v>802</v>
      </c>
      <c r="D69" s="206"/>
      <c r="E69" s="207"/>
      <c r="F69" s="209"/>
      <c r="G69" s="206"/>
      <c r="H69" s="206"/>
      <c r="I69" s="207"/>
      <c r="J69" s="332" t="s">
        <v>720</v>
      </c>
      <c r="K69" s="206"/>
      <c r="L69" s="206"/>
      <c r="M69" s="207"/>
      <c r="N69" s="277"/>
      <c r="O69" s="278">
        <f>(O79-J79)/5/$C$660/Spend!O69*'State Efficiency Ratios (2014)'!$C$654</f>
        <v>256.16675572172329</v>
      </c>
      <c r="P69" s="278"/>
      <c r="Q69" s="279"/>
      <c r="R69" s="277"/>
      <c r="S69" s="278"/>
      <c r="T69" s="278"/>
      <c r="U69" s="278">
        <f>(U79-O79)/6/$C$660/Spend!U69*'State Efficiency Ratios (2014)'!$C$654</f>
        <v>19.739793198498496</v>
      </c>
      <c r="V69" s="277"/>
      <c r="W69" s="278"/>
      <c r="X69" s="278"/>
      <c r="Y69" s="278">
        <f>(Y79-U79)/4/$C$660/Spend!Y69*'State Efficiency Ratios (2014)'!$C$654</f>
        <v>124.15683909193035</v>
      </c>
      <c r="Z69" s="277"/>
      <c r="AA69" s="278"/>
      <c r="AB69" s="278"/>
      <c r="AC69" s="278">
        <f>(AC79-Y79)/4/$C$660/Spend!AC69*'State Efficiency Ratios (2014)'!$C$654</f>
        <v>655.61021829536992</v>
      </c>
      <c r="AD69" s="277"/>
      <c r="AE69" s="280"/>
      <c r="AG69" s="295"/>
      <c r="AM69" s="378"/>
      <c r="AQ69" s="378"/>
      <c r="AX69" s="629">
        <f t="shared" ref="AX69:AX76" si="15">AL425</f>
        <v>0.10000000000000053</v>
      </c>
      <c r="AY69" s="639">
        <f t="shared" ref="AY69:AY76" si="16">AC415</f>
        <v>13.120697161397654</v>
      </c>
      <c r="AZ69" s="630">
        <v>7</v>
      </c>
      <c r="BA69" s="629">
        <f t="shared" ref="BA69:BA76" si="17">AL150</f>
        <v>0.70000000000000018</v>
      </c>
      <c r="BB69" s="639">
        <f t="shared" ref="BB69:BB76" si="18">AC140</f>
        <v>552.59139410807836</v>
      </c>
      <c r="BC69" s="630">
        <v>3</v>
      </c>
    </row>
    <row r="70" spans="1:55" ht="24.75" thickBot="1">
      <c r="A70" s="1375"/>
      <c r="B70" s="885"/>
      <c r="C70" s="194" t="s">
        <v>803</v>
      </c>
      <c r="D70" s="206"/>
      <c r="E70" s="207"/>
      <c r="F70" s="209"/>
      <c r="G70" s="206"/>
      <c r="H70" s="206"/>
      <c r="I70" s="207"/>
      <c r="J70" s="209"/>
      <c r="K70" s="206"/>
      <c r="L70" s="206"/>
      <c r="M70" s="207"/>
      <c r="N70" s="277"/>
      <c r="O70" s="278">
        <f>(O80-J80)/5/$C$660/Spend!O70*'State Efficiency Ratios (2014)'!$C$654</f>
        <v>-148.77767778659029</v>
      </c>
      <c r="P70" s="278"/>
      <c r="Q70" s="279"/>
      <c r="R70" s="277"/>
      <c r="S70" s="278"/>
      <c r="T70" s="278"/>
      <c r="U70" s="278">
        <f>(U80-O80)/6/$C$660/Spend!U70*'State Efficiency Ratios (2014)'!$C$654</f>
        <v>312.87038947214756</v>
      </c>
      <c r="V70" s="277"/>
      <c r="W70" s="278"/>
      <c r="X70" s="278"/>
      <c r="Y70" s="278">
        <f>(Y80-U80)/4/$C$660/Spend!Y70*'State Efficiency Ratios (2014)'!$C$654</f>
        <v>0</v>
      </c>
      <c r="Z70" s="277"/>
      <c r="AA70" s="278"/>
      <c r="AB70" s="278"/>
      <c r="AC70" s="278">
        <f>(AC80-Y80)/4/$C$660/Spend!AC70*'State Efficiency Ratios (2014)'!$C$654</f>
        <v>538.02114534408918</v>
      </c>
      <c r="AD70" s="277"/>
      <c r="AE70" s="280"/>
      <c r="AG70" s="295"/>
      <c r="AI70" s="4" t="s">
        <v>1056</v>
      </c>
      <c r="AL70" s="575"/>
      <c r="AM70" s="575"/>
      <c r="AX70" s="631">
        <f t="shared" si="15"/>
        <v>0.60000000000000009</v>
      </c>
      <c r="AY70" s="640">
        <f t="shared" si="16"/>
        <v>81.248905084146998</v>
      </c>
      <c r="AZ70" s="632">
        <v>4</v>
      </c>
      <c r="BA70" s="631">
        <f t="shared" si="17"/>
        <v>0.10000000000000009</v>
      </c>
      <c r="BB70" s="640">
        <f t="shared" si="18"/>
        <v>88.929114932907382</v>
      </c>
      <c r="BC70" s="632">
        <v>6</v>
      </c>
    </row>
    <row r="71" spans="1:55" ht="24.75" thickBot="1">
      <c r="A71" s="1375"/>
      <c r="B71" s="885"/>
      <c r="C71" s="194" t="s">
        <v>804</v>
      </c>
      <c r="D71" s="206"/>
      <c r="E71" s="207"/>
      <c r="F71" s="209"/>
      <c r="G71" s="206"/>
      <c r="H71" s="206"/>
      <c r="I71" s="207"/>
      <c r="J71" s="209"/>
      <c r="K71" s="206"/>
      <c r="L71" s="206"/>
      <c r="M71" s="207"/>
      <c r="N71" s="277"/>
      <c r="O71" s="278">
        <f>(O81-J81)/5/$C$660/Spend!O71*'State Efficiency Ratios (2014)'!$C$654</f>
        <v>51.215469513977069</v>
      </c>
      <c r="P71" s="278"/>
      <c r="Q71" s="279"/>
      <c r="R71" s="277"/>
      <c r="S71" s="278"/>
      <c r="T71" s="278"/>
      <c r="U71" s="278">
        <f>(U81-O81)/6/$C$660/Spend!U71*'State Efficiency Ratios (2014)'!$C$654</f>
        <v>-17.882865287104831</v>
      </c>
      <c r="V71" s="277"/>
      <c r="W71" s="278"/>
      <c r="X71" s="278"/>
      <c r="Y71" s="278">
        <f>(Y81-U81)/4/$C$660/Spend!Y71*'State Efficiency Ratios (2014)'!$C$654</f>
        <v>39.750802193993941</v>
      </c>
      <c r="Z71" s="277"/>
      <c r="AA71" s="278"/>
      <c r="AB71" s="278"/>
      <c r="AC71" s="278">
        <f>(AC81-Y81)/4/$C$660/Spend!AC71*'State Efficiency Ratios (2014)'!$C$654</f>
        <v>540.63149836228422</v>
      </c>
      <c r="AD71" s="277"/>
      <c r="AE71" s="280"/>
      <c r="AG71" s="295"/>
      <c r="AH71" s="355" t="s">
        <v>1052</v>
      </c>
      <c r="AI71" s="591">
        <f>AI75/3</f>
        <v>0.52</v>
      </c>
      <c r="AJ71" s="592">
        <f>AJ75/3</f>
        <v>0.42222222222222222</v>
      </c>
      <c r="AK71" s="592">
        <f>AK75/3</f>
        <v>0.375</v>
      </c>
      <c r="AL71" s="594">
        <f>AL75/3</f>
        <v>1.0843749999999999</v>
      </c>
      <c r="AM71" s="575"/>
      <c r="AX71" s="631">
        <f t="shared" si="15"/>
        <v>0.5</v>
      </c>
      <c r="AY71" s="640">
        <f t="shared" si="16"/>
        <v>65.311711828239837</v>
      </c>
      <c r="AZ71" s="632">
        <v>6</v>
      </c>
      <c r="BA71" s="631">
        <f t="shared" si="17"/>
        <v>0.39999999999999991</v>
      </c>
      <c r="BB71" s="640">
        <f t="shared" si="18"/>
        <v>357.44231296679942</v>
      </c>
      <c r="BC71" s="632">
        <v>5</v>
      </c>
    </row>
    <row r="72" spans="1:55" ht="13.5" thickBot="1">
      <c r="A72" s="1375"/>
      <c r="B72" s="885"/>
      <c r="C72" s="194" t="s">
        <v>805</v>
      </c>
      <c r="D72" s="206"/>
      <c r="E72" s="207"/>
      <c r="F72" s="209"/>
      <c r="G72" s="206"/>
      <c r="H72" s="206"/>
      <c r="I72" s="207"/>
      <c r="J72" s="209"/>
      <c r="K72" s="206"/>
      <c r="L72" s="206"/>
      <c r="M72" s="207"/>
      <c r="N72" s="277"/>
      <c r="O72" s="278">
        <f>(O82-J82)/5/$C$660/Spend!O72*'State Efficiency Ratios (2014)'!$C$654</f>
        <v>103.00474054742958</v>
      </c>
      <c r="P72" s="278"/>
      <c r="Q72" s="279"/>
      <c r="R72" s="277"/>
      <c r="S72" s="278"/>
      <c r="T72" s="278"/>
      <c r="U72" s="278">
        <f>(U82-O82)/6/$C$660/Spend!U72*'State Efficiency Ratios (2014)'!$C$654</f>
        <v>35.251101020832444</v>
      </c>
      <c r="V72" s="277"/>
      <c r="W72" s="278"/>
      <c r="X72" s="278"/>
      <c r="Y72" s="278">
        <f>(Y82-U82)/4/$C$660/Spend!Y72*'State Efficiency Ratios (2014)'!$C$654</f>
        <v>513.41831039707722</v>
      </c>
      <c r="Z72" s="277"/>
      <c r="AA72" s="278"/>
      <c r="AB72" s="278"/>
      <c r="AC72" s="278">
        <f>(AC82-Y82)/4/$C$660/Spend!AC72*'State Efficiency Ratios (2014)'!$C$654</f>
        <v>476.55932476165799</v>
      </c>
      <c r="AD72" s="277"/>
      <c r="AE72" s="280"/>
      <c r="AG72" s="295"/>
      <c r="AH72" s="355" t="s">
        <v>1051</v>
      </c>
      <c r="AI72" s="606">
        <f>AI76</f>
        <v>74.472432249356615</v>
      </c>
      <c r="AJ72" s="607">
        <f>AJ76</f>
        <v>125.98986907209692</v>
      </c>
      <c r="AK72" s="607">
        <f>AK76</f>
        <v>239.89316557533849</v>
      </c>
      <c r="AL72" s="608">
        <f>AL76</f>
        <v>615.85219641430888</v>
      </c>
      <c r="AM72" s="575"/>
      <c r="AX72" s="631">
        <f t="shared" si="15"/>
        <v>-0.20000000000000018</v>
      </c>
      <c r="AY72" s="640">
        <f t="shared" si="16"/>
        <v>-33.102345777504333</v>
      </c>
      <c r="AZ72" s="632">
        <v>8</v>
      </c>
      <c r="BA72" s="631">
        <f t="shared" si="17"/>
        <v>9.9999999999999645E-2</v>
      </c>
      <c r="BB72" s="640">
        <f t="shared" si="18"/>
        <v>78.77013632424071</v>
      </c>
      <c r="BC72" s="632">
        <v>7</v>
      </c>
    </row>
    <row r="73" spans="1:55" ht="13.5" thickBot="1">
      <c r="A73" s="1375"/>
      <c r="B73" s="885"/>
      <c r="C73" s="194" t="s">
        <v>806</v>
      </c>
      <c r="D73" s="206"/>
      <c r="E73" s="207"/>
      <c r="F73" s="209"/>
      <c r="G73" s="206"/>
      <c r="H73" s="206"/>
      <c r="I73" s="207"/>
      <c r="J73" s="209"/>
      <c r="K73" s="206"/>
      <c r="L73" s="206"/>
      <c r="M73" s="207"/>
      <c r="N73" s="277"/>
      <c r="O73" s="278">
        <f>(O83-J83)/5/$C$660/Spend!O73*'State Efficiency Ratios (2014)'!$C$654</f>
        <v>110.75287325024348</v>
      </c>
      <c r="P73" s="278"/>
      <c r="Q73" s="279"/>
      <c r="R73" s="277"/>
      <c r="S73" s="278"/>
      <c r="T73" s="278"/>
      <c r="U73" s="278">
        <f>(U83-O83)/6/$C$660/Spend!U73*'State Efficiency Ratios (2014)'!$C$654</f>
        <v>279.97092695611099</v>
      </c>
      <c r="V73" s="277"/>
      <c r="W73" s="278"/>
      <c r="X73" s="278"/>
      <c r="Y73" s="278">
        <f>(Y83-U83)/4/$C$660/Spend!Y73*'State Efficiency Ratios (2014)'!$C$654</f>
        <v>148.02912610339612</v>
      </c>
      <c r="Z73" s="277"/>
      <c r="AA73" s="278"/>
      <c r="AB73" s="278"/>
      <c r="AC73" s="278">
        <f>(AC83-Y83)/4/$C$660/Spend!AC73*'State Efficiency Ratios (2014)'!$C$654</f>
        <v>186.62429704515793</v>
      </c>
      <c r="AD73" s="277"/>
      <c r="AE73" s="280"/>
      <c r="AG73" s="295"/>
      <c r="AL73" s="575"/>
      <c r="AM73" s="575"/>
      <c r="AX73" s="631">
        <f t="shared" si="15"/>
        <v>0.60000000000000053</v>
      </c>
      <c r="AY73" s="640">
        <f t="shared" si="16"/>
        <v>75.476779190227646</v>
      </c>
      <c r="AZ73" s="632">
        <v>5</v>
      </c>
      <c r="BA73" s="631">
        <f t="shared" si="17"/>
        <v>0</v>
      </c>
      <c r="BB73" s="640">
        <f t="shared" si="18"/>
        <v>0</v>
      </c>
      <c r="BC73" s="632">
        <v>8</v>
      </c>
    </row>
    <row r="74" spans="1:55" ht="12.95" customHeight="1" thickBot="1">
      <c r="A74" s="1375"/>
      <c r="B74" s="885"/>
      <c r="C74" s="194" t="s">
        <v>807</v>
      </c>
      <c r="D74" s="210"/>
      <c r="E74" s="211"/>
      <c r="F74" s="209"/>
      <c r="G74" s="210"/>
      <c r="H74" s="210"/>
      <c r="I74" s="211"/>
      <c r="J74" s="209"/>
      <c r="K74" s="210"/>
      <c r="L74" s="210"/>
      <c r="M74" s="211"/>
      <c r="N74" s="281"/>
      <c r="O74" s="282"/>
      <c r="P74" s="282"/>
      <c r="Q74" s="282"/>
      <c r="R74" s="277"/>
      <c r="S74" s="278"/>
      <c r="T74" s="278"/>
      <c r="U74" s="278">
        <f>(U84-R84)/3/$C$660/Spend!U74*'State Efficiency Ratios (2014)'!$C$654</f>
        <v>193.91777178759901</v>
      </c>
      <c r="V74" s="277"/>
      <c r="W74" s="278"/>
      <c r="X74" s="278"/>
      <c r="Y74" s="278">
        <f>(Y84-U84)/4/$C$660/Spend!Y74*'State Efficiency Ratios (2014)'!$C$654</f>
        <v>116.24158212412129</v>
      </c>
      <c r="Z74" s="277"/>
      <c r="AA74" s="278"/>
      <c r="AB74" s="278"/>
      <c r="AC74" s="278">
        <f>(AC84-Y84)/4/$C$660/Spend!AC74*'State Efficiency Ratios (2014)'!$C$654</f>
        <v>471.85360716365278</v>
      </c>
      <c r="AD74" s="277"/>
      <c r="AE74" s="280"/>
      <c r="AG74" s="295"/>
      <c r="AI74" s="4" t="s">
        <v>1053</v>
      </c>
      <c r="AL74" s="575"/>
      <c r="AM74" s="575"/>
      <c r="AX74" s="631">
        <f t="shared" si="15"/>
        <v>1.2000000000000002</v>
      </c>
      <c r="AY74" s="640">
        <f t="shared" si="16"/>
        <v>169.52826065858247</v>
      </c>
      <c r="AZ74" s="632">
        <v>1</v>
      </c>
      <c r="BA74" s="631">
        <f t="shared" si="17"/>
        <v>0.80000000000000027</v>
      </c>
      <c r="BB74" s="640">
        <f t="shared" si="18"/>
        <v>623.93865410069816</v>
      </c>
      <c r="BC74" s="632">
        <v>1</v>
      </c>
    </row>
    <row r="75" spans="1:55" ht="12.95" customHeight="1" thickBot="1">
      <c r="A75" s="1375"/>
      <c r="B75" s="885" t="s">
        <v>145</v>
      </c>
      <c r="C75" s="194" t="s">
        <v>808</v>
      </c>
      <c r="D75" s="210"/>
      <c r="E75" s="211"/>
      <c r="F75" s="209"/>
      <c r="G75" s="210"/>
      <c r="H75" s="210"/>
      <c r="I75" s="211"/>
      <c r="J75" s="209"/>
      <c r="K75" s="210"/>
      <c r="L75" s="210"/>
      <c r="M75" s="211"/>
      <c r="N75" s="281"/>
      <c r="O75" s="282"/>
      <c r="P75" s="282"/>
      <c r="Q75" s="282"/>
      <c r="R75" s="277"/>
      <c r="S75" s="278"/>
      <c r="T75" s="278"/>
      <c r="U75" s="278">
        <f>(U85-R85)/3/$C$660/Spend!U75*'State Efficiency Ratios (2014)'!$C$654</f>
        <v>194.7821968463235</v>
      </c>
      <c r="V75" s="277"/>
      <c r="W75" s="278"/>
      <c r="X75" s="278"/>
      <c r="Y75" s="278">
        <f>(Y85-U85)/4/$C$660/Spend!Y75*'State Efficiency Ratios (2014)'!$C$654</f>
        <v>925.02686323317982</v>
      </c>
      <c r="Z75" s="277"/>
      <c r="AA75" s="278"/>
      <c r="AB75" s="278"/>
      <c r="AC75" s="278">
        <f>(AC85-Y85)/4/$C$660/Spend!AC75*'State Efficiency Ratios (2014)'!$C$654</f>
        <v>531.01699882538503</v>
      </c>
      <c r="AD75" s="277"/>
      <c r="AE75" s="280"/>
      <c r="AG75" s="295"/>
      <c r="AH75" s="355" t="s">
        <v>1052</v>
      </c>
      <c r="AI75" s="591">
        <f>4/5*SUM(AI79:AI83)/5</f>
        <v>1.56</v>
      </c>
      <c r="AJ75" s="592">
        <f>4/6*SUM(AJ79:AJ83)/5</f>
        <v>1.2666666666666666</v>
      </c>
      <c r="AK75" s="592">
        <f>SUM(AK79:AK86)/8</f>
        <v>1.125</v>
      </c>
      <c r="AL75" s="594">
        <f>SUM(AL79:AL86)/8</f>
        <v>3.2531249999999998</v>
      </c>
      <c r="AM75" s="575"/>
      <c r="AX75" s="631">
        <f t="shared" si="15"/>
        <v>1.1000000000000001</v>
      </c>
      <c r="AY75" s="640">
        <f t="shared" si="16"/>
        <v>122.97958558190187</v>
      </c>
      <c r="AZ75" s="632">
        <v>2</v>
      </c>
      <c r="BA75" s="631">
        <f t="shared" si="17"/>
        <v>0.60000000000000009</v>
      </c>
      <c r="BB75" s="640">
        <f t="shared" si="18"/>
        <v>579.29127144587471</v>
      </c>
      <c r="BC75" s="632">
        <v>2</v>
      </c>
    </row>
    <row r="76" spans="1:55" ht="12.95" customHeight="1" thickBot="1">
      <c r="A76" s="1375"/>
      <c r="B76" s="885"/>
      <c r="C76" s="194" t="s">
        <v>809</v>
      </c>
      <c r="D76" s="210"/>
      <c r="E76" s="211"/>
      <c r="F76" s="209"/>
      <c r="G76" s="210"/>
      <c r="H76" s="210"/>
      <c r="I76" s="211"/>
      <c r="J76" s="209"/>
      <c r="K76" s="210"/>
      <c r="L76" s="210"/>
      <c r="M76" s="211"/>
      <c r="N76" s="281"/>
      <c r="O76" s="282"/>
      <c r="P76" s="282"/>
      <c r="Q76" s="282"/>
      <c r="R76" s="277"/>
      <c r="S76" s="278"/>
      <c r="T76" s="278"/>
      <c r="U76" s="278">
        <f>(U86-R86)/3/$C$660/Spend!U76*'State Efficiency Ratios (2014)'!$C$654</f>
        <v>0</v>
      </c>
      <c r="V76" s="277"/>
      <c r="W76" s="278"/>
      <c r="X76" s="278"/>
      <c r="Y76" s="278">
        <f>(Y86-U86)/4/$C$660/Spend!Y76*'State Efficiency Ratios (2014)'!$C$654</f>
        <v>52.521801459009374</v>
      </c>
      <c r="Z76" s="277"/>
      <c r="AA76" s="278"/>
      <c r="AB76" s="278"/>
      <c r="AC76" s="278">
        <f>(AC86-Y86)/4/$C$660/Spend!AC76*'State Efficiency Ratios (2014)'!$C$654</f>
        <v>1526.5004815168743</v>
      </c>
      <c r="AD76" s="277"/>
      <c r="AE76" s="280"/>
      <c r="AG76" s="295"/>
      <c r="AH76" s="355" t="s">
        <v>1051</v>
      </c>
      <c r="AI76" s="606">
        <f>SUM(O69:O73)/5</f>
        <v>74.472432249356615</v>
      </c>
      <c r="AJ76" s="607">
        <f>SUM(U69:U73)/5</f>
        <v>125.98986907209692</v>
      </c>
      <c r="AK76" s="607">
        <f>SUM(Y69:Y76)/8</f>
        <v>239.89316557533849</v>
      </c>
      <c r="AL76" s="608">
        <f>SUM(AC69:AC76)/8</f>
        <v>615.85219641430888</v>
      </c>
      <c r="AM76" s="575"/>
      <c r="AX76" s="633">
        <f t="shared" si="15"/>
        <v>0.89999999999999991</v>
      </c>
      <c r="AY76" s="641">
        <f t="shared" si="16"/>
        <v>88.336313664400123</v>
      </c>
      <c r="AZ76" s="634">
        <v>3</v>
      </c>
      <c r="BA76" s="633">
        <f t="shared" si="17"/>
        <v>0.39999999999999991</v>
      </c>
      <c r="BB76" s="641">
        <f t="shared" si="18"/>
        <v>370.06072279196945</v>
      </c>
      <c r="BC76" s="634">
        <v>4</v>
      </c>
    </row>
    <row r="77" spans="1:55" ht="12.95" customHeight="1" thickBot="1">
      <c r="A77" s="1375"/>
      <c r="B77" s="885" t="s">
        <v>147</v>
      </c>
      <c r="C77" s="194" t="s">
        <v>810</v>
      </c>
      <c r="D77" s="210"/>
      <c r="E77" s="211"/>
      <c r="F77" s="209"/>
      <c r="G77" s="210"/>
      <c r="H77" s="210"/>
      <c r="I77" s="211"/>
      <c r="J77" s="209"/>
      <c r="K77" s="210"/>
      <c r="L77" s="210"/>
      <c r="M77" s="211"/>
      <c r="N77" s="281"/>
      <c r="O77" s="282"/>
      <c r="P77" s="282"/>
      <c r="Q77" s="283"/>
      <c r="R77" s="281"/>
      <c r="S77" s="282"/>
      <c r="T77" s="282"/>
      <c r="U77" s="283"/>
      <c r="V77" s="281"/>
      <c r="W77" s="282"/>
      <c r="X77" s="282"/>
      <c r="Y77" s="283"/>
      <c r="Z77" s="277"/>
      <c r="AA77" s="278"/>
      <c r="AB77" s="278"/>
      <c r="AC77" s="278">
        <f>(AC87-Y87)/4/$C$660/Spend!AC77*'State Efficiency Ratios (2014)'!$C$654</f>
        <v>0</v>
      </c>
      <c r="AD77" s="277"/>
      <c r="AE77" s="280"/>
      <c r="AG77" s="295"/>
      <c r="AL77" s="575"/>
      <c r="AM77" s="575"/>
      <c r="AW77" s="351" t="s">
        <v>1053</v>
      </c>
      <c r="AX77" s="356">
        <f>AVERAGE(AX69:AX76)</f>
        <v>0.60000000000000009</v>
      </c>
      <c r="AY77" s="378">
        <f>AVERAGE(AY69:AY76)</f>
        <v>72.862488423924034</v>
      </c>
      <c r="BA77" s="356">
        <f>AVERAGE(BA69:BA76)</f>
        <v>0.38750000000000001</v>
      </c>
      <c r="BB77" s="378">
        <f>AVERAGE(BB69:BB76)</f>
        <v>331.37795083382105</v>
      </c>
    </row>
    <row r="78" spans="1:55" ht="12.95" customHeight="1" thickBot="1">
      <c r="A78" s="1375"/>
      <c r="B78" s="885"/>
      <c r="C78" s="194" t="s">
        <v>811</v>
      </c>
      <c r="D78" s="210"/>
      <c r="E78" s="211"/>
      <c r="F78" s="209"/>
      <c r="G78" s="210"/>
      <c r="H78" s="210"/>
      <c r="I78" s="211"/>
      <c r="J78" s="209"/>
      <c r="K78" s="210"/>
      <c r="L78" s="210"/>
      <c r="M78" s="211"/>
      <c r="N78" s="281"/>
      <c r="O78" s="282"/>
      <c r="P78" s="282"/>
      <c r="Q78" s="283"/>
      <c r="R78" s="281"/>
      <c r="S78" s="282"/>
      <c r="T78" s="282"/>
      <c r="U78" s="283"/>
      <c r="V78" s="281"/>
      <c r="W78" s="282"/>
      <c r="X78" s="282"/>
      <c r="Y78" s="283"/>
      <c r="Z78" s="277"/>
      <c r="AA78" s="278"/>
      <c r="AB78" s="278"/>
      <c r="AC78" s="278">
        <f>(AC88-Y88)/4/$C$660/Spend!AC78*'State Efficiency Ratios (2014)'!$C$654</f>
        <v>0</v>
      </c>
      <c r="AD78" s="277"/>
      <c r="AE78" s="280"/>
      <c r="AG78" s="295"/>
      <c r="AI78" s="416" t="s">
        <v>1027</v>
      </c>
      <c r="AL78" s="575"/>
      <c r="AM78" s="575"/>
    </row>
    <row r="79" spans="1:55" ht="12.95" customHeight="1" thickBot="1">
      <c r="A79" s="1375"/>
      <c r="B79" s="885" t="s">
        <v>146</v>
      </c>
      <c r="C79" s="9" t="s">
        <v>295</v>
      </c>
      <c r="D79" s="241" t="s">
        <v>632</v>
      </c>
      <c r="E79" s="241" t="s">
        <v>632</v>
      </c>
      <c r="F79" s="243" t="s">
        <v>646</v>
      </c>
      <c r="G79" s="241" t="s">
        <v>646</v>
      </c>
      <c r="H79" s="241" t="s">
        <v>646</v>
      </c>
      <c r="I79" s="244" t="s">
        <v>646</v>
      </c>
      <c r="J79" s="195">
        <f>SUM('State DisAgg LFx10 (2014)'!D69:G69)/4</f>
        <v>0.5</v>
      </c>
      <c r="K79" s="196"/>
      <c r="L79" s="196"/>
      <c r="M79" s="197"/>
      <c r="N79" s="195"/>
      <c r="O79" s="196">
        <f>SUM('State DisAgg LFx10 (2014)'!H79:K79)/4</f>
        <v>7</v>
      </c>
      <c r="P79" s="196"/>
      <c r="Q79" s="197"/>
      <c r="R79" s="195"/>
      <c r="S79" s="196"/>
      <c r="T79" s="196"/>
      <c r="U79" s="197">
        <f>SUM('State DisAgg LFx10 (2014)'!L79:O79)/4</f>
        <v>7.25</v>
      </c>
      <c r="V79" s="195"/>
      <c r="W79" s="196"/>
      <c r="X79" s="196"/>
      <c r="Y79" s="197">
        <f>SUM('State DisAgg LFx10 (2014)'!P79:S79)/4</f>
        <v>8</v>
      </c>
      <c r="Z79" s="195"/>
      <c r="AA79" s="196"/>
      <c r="AB79" s="196"/>
      <c r="AC79" s="197">
        <f>SUM('State DisAgg LFx10 (2014)'!T79:W79)/4</f>
        <v>11.775</v>
      </c>
      <c r="AD79" s="195"/>
      <c r="AE79" s="197"/>
      <c r="AI79" s="361">
        <f>O79-J79</f>
        <v>6.5</v>
      </c>
      <c r="AJ79" s="362">
        <f>U79-O79</f>
        <v>0.25</v>
      </c>
      <c r="AK79" s="362">
        <f t="shared" ref="AK79:AK88" si="19">Y79-U79</f>
        <v>0.75</v>
      </c>
      <c r="AL79" s="363">
        <f t="shared" ref="AL79:AL88" si="20">AC79-Y79</f>
        <v>3.7750000000000004</v>
      </c>
      <c r="AM79" s="354"/>
      <c r="AQ79" s="354"/>
    </row>
    <row r="80" spans="1:55" ht="12.95" customHeight="1" thickBot="1">
      <c r="A80" s="1375"/>
      <c r="B80" s="885"/>
      <c r="C80" s="9" t="s">
        <v>296</v>
      </c>
      <c r="D80" s="241" t="s">
        <v>632</v>
      </c>
      <c r="E80" s="241" t="s">
        <v>632</v>
      </c>
      <c r="F80" s="243" t="s">
        <v>646</v>
      </c>
      <c r="G80" s="241" t="s">
        <v>646</v>
      </c>
      <c r="H80" s="241" t="s">
        <v>646</v>
      </c>
      <c r="I80" s="244" t="s">
        <v>646</v>
      </c>
      <c r="J80" s="195">
        <f>SUM('State DisAgg LFx10 (2014)'!D70:G70)/4</f>
        <v>9.75</v>
      </c>
      <c r="K80" s="196"/>
      <c r="L80" s="196"/>
      <c r="M80" s="197"/>
      <c r="N80" s="195"/>
      <c r="O80" s="196">
        <f>SUM('State DisAgg LFx10 (2014)'!H80:K80)/4</f>
        <v>6.25</v>
      </c>
      <c r="P80" s="196"/>
      <c r="Q80" s="197"/>
      <c r="R80" s="195"/>
      <c r="S80" s="196"/>
      <c r="T80" s="196"/>
      <c r="U80" s="197">
        <f>SUM('State DisAgg LFx10 (2014)'!L80:O80)/4</f>
        <v>10</v>
      </c>
      <c r="V80" s="195"/>
      <c r="W80" s="196"/>
      <c r="X80" s="196"/>
      <c r="Y80" s="197">
        <f>SUM('State DisAgg LFx10 (2014)'!P80:S80)/4</f>
        <v>10</v>
      </c>
      <c r="Z80" s="195"/>
      <c r="AA80" s="196"/>
      <c r="AB80" s="196"/>
      <c r="AC80" s="197">
        <f>SUM('State DisAgg LFx10 (2014)'!T80:W80)/4</f>
        <v>12.75</v>
      </c>
      <c r="AD80" s="195"/>
      <c r="AE80" s="197"/>
      <c r="AI80" s="364">
        <f>O80-J80</f>
        <v>-3.5</v>
      </c>
      <c r="AJ80" s="360">
        <f>U80-O80</f>
        <v>3.75</v>
      </c>
      <c r="AK80" s="360">
        <f t="shared" si="19"/>
        <v>0</v>
      </c>
      <c r="AL80" s="365">
        <f t="shared" si="20"/>
        <v>2.75</v>
      </c>
      <c r="AM80" s="354"/>
      <c r="AQ80" s="354"/>
    </row>
    <row r="81" spans="1:43" ht="12.95" customHeight="1" thickBot="1">
      <c r="A81" s="1375"/>
      <c r="B81" s="885"/>
      <c r="C81" s="9" t="s">
        <v>297</v>
      </c>
      <c r="D81" s="241" t="s">
        <v>632</v>
      </c>
      <c r="E81" s="241" t="s">
        <v>632</v>
      </c>
      <c r="F81" s="243" t="s">
        <v>646</v>
      </c>
      <c r="G81" s="241" t="s">
        <v>646</v>
      </c>
      <c r="H81" s="241" t="s">
        <v>646</v>
      </c>
      <c r="I81" s="244" t="s">
        <v>646</v>
      </c>
      <c r="J81" s="195">
        <f>SUM('State DisAgg LFx10 (2014)'!D71:G71)/4</f>
        <v>3.75</v>
      </c>
      <c r="K81" s="196"/>
      <c r="L81" s="196"/>
      <c r="M81" s="197"/>
      <c r="N81" s="195"/>
      <c r="O81" s="196">
        <f>SUM('State DisAgg LFx10 (2014)'!H81:K81)/4</f>
        <v>5</v>
      </c>
      <c r="P81" s="196"/>
      <c r="Q81" s="197"/>
      <c r="R81" s="195"/>
      <c r="S81" s="196"/>
      <c r="T81" s="196"/>
      <c r="U81" s="197">
        <f>SUM('State DisAgg LFx10 (2014)'!L81:O81)/4</f>
        <v>4.75</v>
      </c>
      <c r="V81" s="195"/>
      <c r="W81" s="196"/>
      <c r="X81" s="196"/>
      <c r="Y81" s="197">
        <f>SUM('State DisAgg LFx10 (2014)'!P81:S81)/4</f>
        <v>5</v>
      </c>
      <c r="Z81" s="195"/>
      <c r="AA81" s="196"/>
      <c r="AB81" s="196"/>
      <c r="AC81" s="197">
        <f>SUM('State DisAgg LFx10 (2014)'!T81:W81)/4</f>
        <v>7.75</v>
      </c>
      <c r="AD81" s="195"/>
      <c r="AE81" s="197"/>
      <c r="AI81" s="364">
        <f>O81-J81</f>
        <v>1.25</v>
      </c>
      <c r="AJ81" s="360">
        <f>U81-O81</f>
        <v>-0.25</v>
      </c>
      <c r="AK81" s="360">
        <f t="shared" si="19"/>
        <v>0.25</v>
      </c>
      <c r="AL81" s="365">
        <f t="shared" si="20"/>
        <v>2.75</v>
      </c>
      <c r="AM81" s="354"/>
      <c r="AQ81" s="354"/>
    </row>
    <row r="82" spans="1:43" ht="12.95" customHeight="1" thickBot="1">
      <c r="A82" s="1375"/>
      <c r="B82" s="885"/>
      <c r="C82" s="9" t="s">
        <v>298</v>
      </c>
      <c r="D82" s="241" t="s">
        <v>632</v>
      </c>
      <c r="E82" s="241" t="s">
        <v>632</v>
      </c>
      <c r="F82" s="243" t="s">
        <v>646</v>
      </c>
      <c r="G82" s="241" t="s">
        <v>646</v>
      </c>
      <c r="H82" s="241" t="s">
        <v>646</v>
      </c>
      <c r="I82" s="244" t="s">
        <v>646</v>
      </c>
      <c r="J82" s="195">
        <f>SUM('State DisAgg LFx10 (2014)'!D72:G72)/4</f>
        <v>1</v>
      </c>
      <c r="K82" s="196"/>
      <c r="L82" s="196"/>
      <c r="M82" s="197"/>
      <c r="N82" s="195"/>
      <c r="O82" s="196">
        <f>SUM('State DisAgg LFx10 (2014)'!H82:K82)/4</f>
        <v>3.5</v>
      </c>
      <c r="P82" s="196"/>
      <c r="Q82" s="197"/>
      <c r="R82" s="195"/>
      <c r="S82" s="196"/>
      <c r="T82" s="196"/>
      <c r="U82" s="197">
        <f>SUM('State DisAgg LFx10 (2014)'!L82:O82)/4</f>
        <v>4</v>
      </c>
      <c r="V82" s="195"/>
      <c r="W82" s="196"/>
      <c r="X82" s="196"/>
      <c r="Y82" s="197">
        <f>SUM('State DisAgg LFx10 (2014)'!P82:S82)/4</f>
        <v>7</v>
      </c>
      <c r="Z82" s="195"/>
      <c r="AA82" s="196"/>
      <c r="AB82" s="196"/>
      <c r="AC82" s="197">
        <f>SUM('State DisAgg LFx10 (2014)'!T82:W82)/4</f>
        <v>9.75</v>
      </c>
      <c r="AD82" s="195"/>
      <c r="AE82" s="197"/>
      <c r="AI82" s="364">
        <f>O82-J82</f>
        <v>2.5</v>
      </c>
      <c r="AJ82" s="360">
        <f>U82-O82</f>
        <v>0.5</v>
      </c>
      <c r="AK82" s="360">
        <f t="shared" si="19"/>
        <v>3</v>
      </c>
      <c r="AL82" s="365">
        <f t="shared" si="20"/>
        <v>2.75</v>
      </c>
      <c r="AM82" s="354"/>
      <c r="AQ82" s="354"/>
    </row>
    <row r="83" spans="1:43" ht="12.95" customHeight="1" thickBot="1">
      <c r="A83" s="1375"/>
      <c r="B83" s="885"/>
      <c r="C83" s="9" t="s">
        <v>299</v>
      </c>
      <c r="D83" s="241" t="s">
        <v>632</v>
      </c>
      <c r="E83" s="241" t="s">
        <v>632</v>
      </c>
      <c r="F83" s="243" t="s">
        <v>646</v>
      </c>
      <c r="G83" s="241" t="s">
        <v>646</v>
      </c>
      <c r="H83" s="241" t="s">
        <v>646</v>
      </c>
      <c r="I83" s="244" t="s">
        <v>646</v>
      </c>
      <c r="J83" s="195">
        <f>SUM('State DisAgg LFx10 (2014)'!D73:G73)/4</f>
        <v>3.75</v>
      </c>
      <c r="K83" s="196"/>
      <c r="L83" s="196"/>
      <c r="M83" s="197"/>
      <c r="N83" s="195"/>
      <c r="O83" s="196">
        <f>SUM('State DisAgg LFx10 (2014)'!H83:K83)/4</f>
        <v>6.75</v>
      </c>
      <c r="P83" s="196"/>
      <c r="Q83" s="197"/>
      <c r="R83" s="195"/>
      <c r="S83" s="196"/>
      <c r="T83" s="196"/>
      <c r="U83" s="197">
        <f>SUM('State DisAgg LFx10 (2014)'!L83:O83)/4</f>
        <v>12</v>
      </c>
      <c r="V83" s="195"/>
      <c r="W83" s="196"/>
      <c r="X83" s="196"/>
      <c r="Y83" s="197">
        <f>SUM('State DisAgg LFx10 (2014)'!P83:S83)/4</f>
        <v>13</v>
      </c>
      <c r="Z83" s="195"/>
      <c r="AA83" s="196"/>
      <c r="AB83" s="196"/>
      <c r="AC83" s="197">
        <f>SUM('State DisAgg LFx10 (2014)'!T83:W83)/4</f>
        <v>14.25</v>
      </c>
      <c r="AD83" s="195"/>
      <c r="AE83" s="197"/>
      <c r="AI83" s="364">
        <f>O83-J83</f>
        <v>3</v>
      </c>
      <c r="AJ83" s="360">
        <f>U83-O83</f>
        <v>5.25</v>
      </c>
      <c r="AK83" s="360">
        <f t="shared" si="19"/>
        <v>1</v>
      </c>
      <c r="AL83" s="365">
        <f t="shared" si="20"/>
        <v>1.25</v>
      </c>
      <c r="AM83" s="354"/>
      <c r="AQ83" s="354"/>
    </row>
    <row r="84" spans="1:43" ht="13.5" thickBot="1">
      <c r="A84" s="1375"/>
      <c r="B84" s="885"/>
      <c r="C84" s="9" t="s">
        <v>300</v>
      </c>
      <c r="D84" s="199"/>
      <c r="E84" s="200"/>
      <c r="F84" s="201"/>
      <c r="G84" s="199"/>
      <c r="H84" s="199"/>
      <c r="I84" s="200"/>
      <c r="J84" s="201"/>
      <c r="K84" s="199"/>
      <c r="L84" s="199"/>
      <c r="M84" s="200"/>
      <c r="N84" s="198"/>
      <c r="O84" s="217" t="s">
        <v>634</v>
      </c>
      <c r="P84" s="241" t="s">
        <v>632</v>
      </c>
      <c r="Q84" s="244" t="s">
        <v>646</v>
      </c>
      <c r="R84" s="195">
        <f>SUM('State DisAgg LFx10 (2014)'!H74:K74)/4</f>
        <v>3</v>
      </c>
      <c r="S84" s="196"/>
      <c r="T84" s="196"/>
      <c r="U84" s="197">
        <f>SUM('State DisAgg LFx10 (2014)'!L84:O84)/4</f>
        <v>3.75</v>
      </c>
      <c r="V84" s="195"/>
      <c r="W84" s="196"/>
      <c r="X84" s="196"/>
      <c r="Y84" s="197">
        <f>SUM('State DisAgg LFx10 (2014)'!P84:S84)/4</f>
        <v>4.25</v>
      </c>
      <c r="Z84" s="195"/>
      <c r="AA84" s="196"/>
      <c r="AB84" s="196"/>
      <c r="AC84" s="197">
        <f>SUM('State DisAgg LFx10 (2014)'!T84:W84)/4</f>
        <v>7</v>
      </c>
      <c r="AD84" s="195"/>
      <c r="AE84" s="197"/>
      <c r="AI84" s="364">
        <v>0</v>
      </c>
      <c r="AJ84" s="360">
        <f>U84-R84</f>
        <v>0.75</v>
      </c>
      <c r="AK84" s="360">
        <f t="shared" si="19"/>
        <v>0.5</v>
      </c>
      <c r="AL84" s="365">
        <f t="shared" si="20"/>
        <v>2.75</v>
      </c>
      <c r="AM84" s="354"/>
      <c r="AQ84" s="354"/>
    </row>
    <row r="85" spans="1:43" ht="13.5" thickBot="1">
      <c r="A85" s="1375"/>
      <c r="B85" s="885"/>
      <c r="C85" s="9" t="s">
        <v>301</v>
      </c>
      <c r="D85" s="199"/>
      <c r="E85" s="200"/>
      <c r="F85" s="201"/>
      <c r="G85" s="199"/>
      <c r="H85" s="199"/>
      <c r="I85" s="200"/>
      <c r="J85" s="201"/>
      <c r="K85" s="199"/>
      <c r="L85" s="199"/>
      <c r="M85" s="200"/>
      <c r="N85" s="198"/>
      <c r="O85" s="217" t="s">
        <v>634</v>
      </c>
      <c r="P85" s="241" t="s">
        <v>632</v>
      </c>
      <c r="Q85" s="244" t="s">
        <v>646</v>
      </c>
      <c r="R85" s="195">
        <f>SUM('State DisAgg LFx10 (2014)'!H75:K75)/4</f>
        <v>3</v>
      </c>
      <c r="S85" s="196"/>
      <c r="T85" s="196"/>
      <c r="U85" s="197">
        <f>SUM('State DisAgg LFx10 (2014)'!L85:O85)/4</f>
        <v>3.75</v>
      </c>
      <c r="V85" s="195"/>
      <c r="W85" s="196"/>
      <c r="X85" s="196"/>
      <c r="Y85" s="197">
        <f>SUM('State DisAgg LFx10 (2014)'!P85:S85)/4</f>
        <v>7</v>
      </c>
      <c r="Z85" s="195"/>
      <c r="AA85" s="196"/>
      <c r="AB85" s="196"/>
      <c r="AC85" s="197">
        <f>SUM('State DisAgg LFx10 (2014)'!T85:W85)/4</f>
        <v>9.5</v>
      </c>
      <c r="AD85" s="195"/>
      <c r="AE85" s="197"/>
      <c r="AI85" s="364">
        <v>0</v>
      </c>
      <c r="AJ85" s="360">
        <f>U85-R85</f>
        <v>0.75</v>
      </c>
      <c r="AK85" s="360">
        <f t="shared" si="19"/>
        <v>3.25</v>
      </c>
      <c r="AL85" s="365">
        <f t="shared" si="20"/>
        <v>2.5</v>
      </c>
      <c r="AM85" s="354"/>
      <c r="AQ85" s="354"/>
    </row>
    <row r="86" spans="1:43" ht="13.5" thickBot="1">
      <c r="A86" s="1375"/>
      <c r="B86" s="885"/>
      <c r="C86" s="9" t="s">
        <v>302</v>
      </c>
      <c r="D86" s="199"/>
      <c r="E86" s="200"/>
      <c r="F86" s="201"/>
      <c r="G86" s="199"/>
      <c r="H86" s="199"/>
      <c r="I86" s="200"/>
      <c r="J86" s="201"/>
      <c r="K86" s="199"/>
      <c r="L86" s="199"/>
      <c r="M86" s="200"/>
      <c r="N86" s="198"/>
      <c r="O86" s="217" t="s">
        <v>634</v>
      </c>
      <c r="P86" s="241" t="s">
        <v>632</v>
      </c>
      <c r="Q86" s="244" t="s">
        <v>646</v>
      </c>
      <c r="R86" s="195">
        <f>SUM('State DisAgg LFx10 (2014)'!H76:K76)/4</f>
        <v>3.75</v>
      </c>
      <c r="S86" s="196"/>
      <c r="T86" s="196"/>
      <c r="U86" s="197">
        <f>SUM('State DisAgg LFx10 (2014)'!L86:O86)/4</f>
        <v>3.75</v>
      </c>
      <c r="V86" s="195"/>
      <c r="W86" s="196"/>
      <c r="X86" s="196"/>
      <c r="Y86" s="197">
        <f>SUM('State DisAgg LFx10 (2014)'!P86:S86)/4</f>
        <v>4</v>
      </c>
      <c r="Z86" s="195"/>
      <c r="AA86" s="196"/>
      <c r="AB86" s="196"/>
      <c r="AC86" s="197">
        <f>SUM('State DisAgg LFx10 (2014)'!T86:W86)/4</f>
        <v>11.5</v>
      </c>
      <c r="AD86" s="195"/>
      <c r="AE86" s="197"/>
      <c r="AI86" s="364">
        <v>0</v>
      </c>
      <c r="AJ86" s="360">
        <f>U86-R86</f>
        <v>0</v>
      </c>
      <c r="AK86" s="360">
        <f t="shared" si="19"/>
        <v>0.25</v>
      </c>
      <c r="AL86" s="365">
        <f t="shared" si="20"/>
        <v>7.5</v>
      </c>
      <c r="AM86" s="354"/>
      <c r="AQ86" s="354"/>
    </row>
    <row r="87" spans="1:43" ht="13.5" thickBot="1">
      <c r="A87" s="1375"/>
      <c r="B87" s="885"/>
      <c r="C87" s="9" t="s">
        <v>303</v>
      </c>
      <c r="D87" s="202"/>
      <c r="E87" s="203"/>
      <c r="F87" s="201"/>
      <c r="G87" s="202"/>
      <c r="H87" s="202"/>
      <c r="I87" s="203"/>
      <c r="J87" s="201"/>
      <c r="K87" s="202"/>
      <c r="L87" s="202"/>
      <c r="M87" s="203"/>
      <c r="N87" s="204"/>
      <c r="O87" s="214"/>
      <c r="P87" s="205"/>
      <c r="Q87" s="205"/>
      <c r="R87" s="201"/>
      <c r="S87" s="202"/>
      <c r="T87" s="202"/>
      <c r="U87" s="203"/>
      <c r="V87" s="242"/>
      <c r="W87" s="217" t="s">
        <v>633</v>
      </c>
      <c r="X87" s="241" t="s">
        <v>632</v>
      </c>
      <c r="Y87" s="197">
        <f>SUM('State DisAgg LFx10 (2014)'!P77:S77)/4</f>
        <v>12</v>
      </c>
      <c r="Z87" s="195"/>
      <c r="AA87" s="196"/>
      <c r="AB87" s="196"/>
      <c r="AC87" s="197">
        <f>SUM('State DisAgg LFx10 (2014)'!T87:W87)/4</f>
        <v>12</v>
      </c>
      <c r="AD87" s="195"/>
      <c r="AE87" s="197"/>
      <c r="AI87" s="364">
        <f>O87-J87</f>
        <v>0</v>
      </c>
      <c r="AJ87" s="360">
        <f>U87-O87</f>
        <v>0</v>
      </c>
      <c r="AK87" s="360">
        <f t="shared" si="19"/>
        <v>12</v>
      </c>
      <c r="AL87" s="365">
        <f t="shared" si="20"/>
        <v>0</v>
      </c>
      <c r="AM87" s="354"/>
      <c r="AQ87" s="354"/>
    </row>
    <row r="88" spans="1:43" ht="13.5" thickBot="1">
      <c r="A88" s="1376"/>
      <c r="B88" s="869"/>
      <c r="C88" s="9" t="s">
        <v>304</v>
      </c>
      <c r="D88" s="202"/>
      <c r="E88" s="203"/>
      <c r="F88" s="201"/>
      <c r="G88" s="202"/>
      <c r="H88" s="202"/>
      <c r="I88" s="203"/>
      <c r="J88" s="201"/>
      <c r="K88" s="202"/>
      <c r="L88" s="202"/>
      <c r="M88" s="203"/>
      <c r="N88" s="204"/>
      <c r="O88" s="205"/>
      <c r="P88" s="205"/>
      <c r="Q88" s="205"/>
      <c r="R88" s="201"/>
      <c r="S88" s="202"/>
      <c r="T88" s="202"/>
      <c r="U88" s="203"/>
      <c r="V88" s="242"/>
      <c r="W88" s="217" t="s">
        <v>633</v>
      </c>
      <c r="X88" s="241" t="s">
        <v>632</v>
      </c>
      <c r="Y88" s="197">
        <f>SUM('State DisAgg LFx10 (2014)'!P78:S78)/4</f>
        <v>14.25</v>
      </c>
      <c r="Z88" s="195"/>
      <c r="AA88" s="196"/>
      <c r="AB88" s="196"/>
      <c r="AC88" s="197">
        <f>SUM('State DisAgg LFx10 (2014)'!T88:W88)/4</f>
        <v>14.25</v>
      </c>
      <c r="AD88" s="195"/>
      <c r="AE88" s="197"/>
      <c r="AI88" s="366">
        <f>O88-J88</f>
        <v>0</v>
      </c>
      <c r="AJ88" s="367">
        <f>U88-O88</f>
        <v>0</v>
      </c>
      <c r="AK88" s="367">
        <f t="shared" si="19"/>
        <v>14.25</v>
      </c>
      <c r="AL88" s="368">
        <f t="shared" si="20"/>
        <v>0</v>
      </c>
      <c r="AM88" s="354"/>
      <c r="AQ88" s="354"/>
    </row>
    <row r="89" spans="1:43" ht="12.95" hidden="1" customHeight="1" thickBot="1">
      <c r="A89" s="231"/>
      <c r="B89" s="231"/>
      <c r="C89" s="231"/>
      <c r="D89" s="232"/>
      <c r="E89" s="233"/>
      <c r="F89" s="234"/>
      <c r="G89" s="232"/>
      <c r="H89" s="232"/>
      <c r="I89" s="233"/>
      <c r="J89" s="234"/>
      <c r="K89" s="232"/>
      <c r="L89" s="232"/>
      <c r="M89" s="233"/>
      <c r="N89" s="234"/>
      <c r="O89" s="232"/>
      <c r="P89" s="232"/>
      <c r="Q89" s="233"/>
      <c r="R89" s="234"/>
      <c r="S89" s="232"/>
      <c r="T89" s="232"/>
      <c r="U89" s="233"/>
      <c r="V89" s="234"/>
      <c r="W89" s="232"/>
      <c r="X89" s="232"/>
      <c r="Y89" s="233"/>
      <c r="Z89" s="234"/>
      <c r="AA89" s="232"/>
      <c r="AB89" s="232"/>
      <c r="AC89" s="233"/>
      <c r="AD89" s="234"/>
      <c r="AE89" s="233"/>
      <c r="AI89" s="353">
        <v>18</v>
      </c>
      <c r="AJ89" s="353">
        <v>18</v>
      </c>
      <c r="AK89" s="353">
        <v>18</v>
      </c>
      <c r="AQ89" s="353"/>
    </row>
    <row r="90" spans="1:43" ht="12.95" hidden="1" customHeight="1" thickBot="1">
      <c r="A90" s="231"/>
      <c r="B90" s="231"/>
      <c r="C90" s="231"/>
      <c r="D90" s="232"/>
      <c r="E90" s="233"/>
      <c r="F90" s="234"/>
      <c r="G90" s="232"/>
      <c r="H90" s="232"/>
      <c r="I90" s="233"/>
      <c r="J90" s="234"/>
      <c r="K90" s="232"/>
      <c r="L90" s="232"/>
      <c r="M90" s="233"/>
      <c r="N90" s="234"/>
      <c r="O90" s="232"/>
      <c r="P90" s="232"/>
      <c r="Q90" s="233"/>
      <c r="R90" s="234"/>
      <c r="S90" s="232"/>
      <c r="T90" s="232"/>
      <c r="U90" s="233"/>
      <c r="V90" s="234"/>
      <c r="W90" s="232"/>
      <c r="X90" s="232"/>
      <c r="Y90" s="233"/>
      <c r="Z90" s="234"/>
      <c r="AA90" s="232"/>
      <c r="AB90" s="232"/>
      <c r="AC90" s="233"/>
      <c r="AD90" s="234"/>
      <c r="AE90" s="233"/>
      <c r="AI90" s="353">
        <v>16</v>
      </c>
      <c r="AJ90" s="353">
        <v>16</v>
      </c>
      <c r="AK90" s="353">
        <v>16</v>
      </c>
      <c r="AQ90" s="353"/>
    </row>
    <row r="91" spans="1:43">
      <c r="A91" s="5"/>
      <c r="B91" s="5"/>
      <c r="C91" s="14"/>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L91" s="351"/>
      <c r="AM91" s="351"/>
    </row>
    <row r="92" spans="1:43" ht="13.5" thickBot="1">
      <c r="A92" s="5"/>
      <c r="B92" s="5"/>
      <c r="C92" s="6"/>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M92" s="356"/>
    </row>
    <row r="93" spans="1:43" ht="12.95" customHeight="1" thickBot="1">
      <c r="A93" s="513" t="s">
        <v>5</v>
      </c>
      <c r="B93" s="514" t="s">
        <v>22</v>
      </c>
      <c r="C93" s="8"/>
      <c r="D93" s="1377">
        <v>2008</v>
      </c>
      <c r="E93" s="1378"/>
      <c r="F93" s="1372">
        <v>2009</v>
      </c>
      <c r="G93" s="1373"/>
      <c r="H93" s="1373"/>
      <c r="I93" s="1374"/>
      <c r="J93" s="1372">
        <v>2010</v>
      </c>
      <c r="K93" s="1373"/>
      <c r="L93" s="1373"/>
      <c r="M93" s="1374"/>
      <c r="N93" s="1372">
        <v>2011</v>
      </c>
      <c r="O93" s="1373"/>
      <c r="P93" s="1373"/>
      <c r="Q93" s="1374"/>
      <c r="R93" s="1372">
        <v>2012</v>
      </c>
      <c r="S93" s="1373"/>
      <c r="T93" s="1373"/>
      <c r="U93" s="1374"/>
      <c r="V93" s="1372">
        <v>2013</v>
      </c>
      <c r="W93" s="1373"/>
      <c r="X93" s="1373"/>
      <c r="Y93" s="1374"/>
      <c r="Z93" s="1372">
        <v>2014</v>
      </c>
      <c r="AA93" s="1373"/>
      <c r="AB93" s="1373"/>
      <c r="AC93" s="1374"/>
      <c r="AD93" s="1372">
        <v>2015</v>
      </c>
      <c r="AE93" s="1374"/>
      <c r="AG93" s="257" t="s">
        <v>663</v>
      </c>
      <c r="AM93" s="378"/>
    </row>
    <row r="94" spans="1:43" ht="12.95" customHeight="1" thickBot="1">
      <c r="A94" s="868" t="s">
        <v>54</v>
      </c>
      <c r="B94" s="868" t="s">
        <v>55</v>
      </c>
      <c r="C94" s="194" t="s">
        <v>802</v>
      </c>
      <c r="D94" s="206"/>
      <c r="E94" s="207"/>
      <c r="F94" s="209"/>
      <c r="G94" s="206"/>
      <c r="H94" s="206"/>
      <c r="I94" s="207"/>
      <c r="J94" s="332" t="s">
        <v>721</v>
      </c>
      <c r="K94" s="206"/>
      <c r="L94" s="206"/>
      <c r="M94" s="207"/>
      <c r="N94" s="277"/>
      <c r="O94" s="278">
        <f>(O104-J104)/5/$C$665/Spend!O94*'State Efficiency Ratios (2014)'!$C$654</f>
        <v>0</v>
      </c>
      <c r="P94" s="278"/>
      <c r="Q94" s="279"/>
      <c r="R94" s="277"/>
      <c r="S94" s="278"/>
      <c r="T94" s="278"/>
      <c r="U94" s="278">
        <f>(U104-O104)/6/$C$665/Spend!U94*'State Efficiency Ratios (2014)'!$C$654</f>
        <v>323.01479779361176</v>
      </c>
      <c r="V94" s="277"/>
      <c r="W94" s="278"/>
      <c r="X94" s="278"/>
      <c r="Y94" s="278">
        <f>(Y104-U104)/4/$C$665/Spend!Y94*'State Efficiency Ratios (2014)'!$C$654</f>
        <v>827.71226061286904</v>
      </c>
      <c r="Z94" s="277"/>
      <c r="AA94" s="278"/>
      <c r="AB94" s="278"/>
      <c r="AC94" s="278">
        <f>(AC104-Y104)/4/$C$665/Spend!AC94*'State Efficiency Ratios (2014)'!$C$654</f>
        <v>78.941627729725155</v>
      </c>
      <c r="AD94" s="277"/>
      <c r="AE94" s="280"/>
      <c r="AG94" s="295"/>
      <c r="AL94" s="575"/>
      <c r="AM94" s="575"/>
    </row>
    <row r="95" spans="1:43" ht="24.75" thickBot="1">
      <c r="A95" s="885"/>
      <c r="B95" s="885"/>
      <c r="C95" s="194" t="s">
        <v>803</v>
      </c>
      <c r="D95" s="206"/>
      <c r="E95" s="207"/>
      <c r="F95" s="209"/>
      <c r="G95" s="206"/>
      <c r="H95" s="206"/>
      <c r="I95" s="207"/>
      <c r="J95" s="209"/>
      <c r="K95" s="206"/>
      <c r="L95" s="206"/>
      <c r="M95" s="207"/>
      <c r="N95" s="277"/>
      <c r="O95" s="278">
        <f>(O105-J105)/5/$C$665/Spend!O95*'State Efficiency Ratios (2014)'!$C$654</f>
        <v>-19.321776335920838</v>
      </c>
      <c r="P95" s="278"/>
      <c r="Q95" s="279"/>
      <c r="R95" s="277"/>
      <c r="S95" s="278"/>
      <c r="T95" s="278"/>
      <c r="U95" s="278">
        <f>(U105-O105)/6/$C$665/Spend!U95*'State Efficiency Ratios (2014)'!$C$654</f>
        <v>189.6184178619076</v>
      </c>
      <c r="V95" s="277"/>
      <c r="W95" s="278"/>
      <c r="X95" s="278"/>
      <c r="Y95" s="278">
        <f>(Y105-U105)/4/$C$665/Spend!Y95*'State Efficiency Ratios (2014)'!$C$654</f>
        <v>470.15097563135339</v>
      </c>
      <c r="Z95" s="277"/>
      <c r="AA95" s="278"/>
      <c r="AB95" s="278"/>
      <c r="AC95" s="278">
        <f>(AC105-Y105)/4/$C$665/Spend!AC95*'State Efficiency Ratios (2014)'!$C$654</f>
        <v>177.85822986581437</v>
      </c>
      <c r="AD95" s="277"/>
      <c r="AE95" s="280"/>
      <c r="AG95" s="295"/>
      <c r="AL95" s="575"/>
      <c r="AM95" s="575"/>
    </row>
    <row r="96" spans="1:43" ht="24.75" thickBot="1">
      <c r="A96" s="885"/>
      <c r="B96" s="885"/>
      <c r="C96" s="194" t="s">
        <v>804</v>
      </c>
      <c r="D96" s="206"/>
      <c r="E96" s="207"/>
      <c r="F96" s="209"/>
      <c r="G96" s="206"/>
      <c r="H96" s="206"/>
      <c r="I96" s="207"/>
      <c r="J96" s="209"/>
      <c r="K96" s="206"/>
      <c r="L96" s="206"/>
      <c r="M96" s="207"/>
      <c r="N96" s="277"/>
      <c r="O96" s="278">
        <f>(O106-J106)/5/$C$665/Spend!O96*'State Efficiency Ratios (2014)'!$C$654</f>
        <v>167.61426386392495</v>
      </c>
      <c r="P96" s="278"/>
      <c r="Q96" s="279"/>
      <c r="R96" s="277"/>
      <c r="S96" s="278"/>
      <c r="T96" s="278"/>
      <c r="U96" s="278">
        <f>(U106-O106)/6/$C$665/Spend!U96*'State Efficiency Ratios (2014)'!$C$654</f>
        <v>-32.51430052200881</v>
      </c>
      <c r="V96" s="277"/>
      <c r="W96" s="278"/>
      <c r="X96" s="278"/>
      <c r="Y96" s="278">
        <f>(Y106-U106)/4/$C$665/Spend!Y96*'State Efficiency Ratios (2014)'!$C$654</f>
        <v>144.54837161452357</v>
      </c>
      <c r="Z96" s="277"/>
      <c r="AA96" s="278"/>
      <c r="AB96" s="278"/>
      <c r="AC96" s="278">
        <f>(AC106-Y106)/4/$C$665/Spend!AC96*'State Efficiency Ratios (2014)'!$C$654</f>
        <v>268.08173472509941</v>
      </c>
      <c r="AD96" s="277"/>
      <c r="AE96" s="280"/>
      <c r="AG96" s="295"/>
      <c r="AL96" s="575"/>
      <c r="AM96" s="575"/>
    </row>
    <row r="97" spans="1:43" ht="13.5" thickBot="1">
      <c r="A97" s="885"/>
      <c r="B97" s="885"/>
      <c r="C97" s="194" t="s">
        <v>805</v>
      </c>
      <c r="D97" s="206"/>
      <c r="E97" s="207"/>
      <c r="F97" s="209"/>
      <c r="G97" s="206"/>
      <c r="H97" s="206"/>
      <c r="I97" s="207"/>
      <c r="J97" s="209"/>
      <c r="K97" s="206"/>
      <c r="L97" s="206"/>
      <c r="M97" s="207"/>
      <c r="N97" s="277"/>
      <c r="O97" s="278">
        <f>(O107-J107)/5/$C$665/Spend!O97*'State Efficiency Ratios (2014)'!$C$654</f>
        <v>18.728134644987215</v>
      </c>
      <c r="P97" s="278"/>
      <c r="Q97" s="279"/>
      <c r="R97" s="277"/>
      <c r="S97" s="278"/>
      <c r="T97" s="278"/>
      <c r="U97" s="278">
        <f>(U107-O107)/6/$C$665/Spend!U97*'State Efficiency Ratios (2014)'!$C$654</f>
        <v>320.46455473484042</v>
      </c>
      <c r="V97" s="277"/>
      <c r="W97" s="278"/>
      <c r="X97" s="278"/>
      <c r="Y97" s="278">
        <f>(Y107-U107)/4/$C$665/Spend!Y97*'State Efficiency Ratios (2014)'!$C$654</f>
        <v>-155.58130618093261</v>
      </c>
      <c r="Z97" s="277"/>
      <c r="AA97" s="278"/>
      <c r="AB97" s="278"/>
      <c r="AC97" s="278">
        <f>(AC107-Y107)/4/$C$665/Spend!AC97*'State Efficiency Ratios (2014)'!$C$654</f>
        <v>315.08054529696426</v>
      </c>
      <c r="AD97" s="277"/>
      <c r="AE97" s="280"/>
      <c r="AG97" s="295"/>
      <c r="AL97" s="575"/>
      <c r="AM97" s="575"/>
    </row>
    <row r="98" spans="1:43" ht="13.5" thickBot="1">
      <c r="A98" s="885"/>
      <c r="B98" s="885"/>
      <c r="C98" s="194" t="s">
        <v>806</v>
      </c>
      <c r="D98" s="206"/>
      <c r="E98" s="207"/>
      <c r="F98" s="209"/>
      <c r="G98" s="206"/>
      <c r="H98" s="206"/>
      <c r="I98" s="207"/>
      <c r="J98" s="209"/>
      <c r="K98" s="206"/>
      <c r="L98" s="206"/>
      <c r="M98" s="207"/>
      <c r="N98" s="277"/>
      <c r="O98" s="278">
        <f>(O108-J108)/5/$C$665/Spend!O98*'State Efficiency Ratios (2014)'!$C$654</f>
        <v>67.122953484996032</v>
      </c>
      <c r="P98" s="278"/>
      <c r="Q98" s="279"/>
      <c r="R98" s="277"/>
      <c r="S98" s="278"/>
      <c r="T98" s="278"/>
      <c r="U98" s="278">
        <f>(U108-O108)/6/$C$665/Spend!U98*'State Efficiency Ratios (2014)'!$C$654</f>
        <v>0</v>
      </c>
      <c r="V98" s="277"/>
      <c r="W98" s="278"/>
      <c r="X98" s="278"/>
      <c r="Y98" s="278">
        <f>(Y108-U108)/4/$C$665/Spend!Y98*'State Efficiency Ratios (2014)'!$C$654</f>
        <v>336.42983205317307</v>
      </c>
      <c r="Z98" s="277"/>
      <c r="AA98" s="278"/>
      <c r="AB98" s="278"/>
      <c r="AC98" s="278">
        <f>(AC108-Y108)/4/$C$665/Spend!AC98*'State Efficiency Ratios (2014)'!$C$654</f>
        <v>0</v>
      </c>
      <c r="AD98" s="277"/>
      <c r="AE98" s="280"/>
      <c r="AG98" s="295"/>
      <c r="AL98" s="575"/>
      <c r="AM98" s="575"/>
    </row>
    <row r="99" spans="1:43" ht="12.95" customHeight="1" thickBot="1">
      <c r="A99" s="885"/>
      <c r="B99" s="885"/>
      <c r="C99" s="194" t="s">
        <v>807</v>
      </c>
      <c r="D99" s="210"/>
      <c r="E99" s="211"/>
      <c r="F99" s="209"/>
      <c r="G99" s="210"/>
      <c r="H99" s="210"/>
      <c r="I99" s="211"/>
      <c r="J99" s="209"/>
      <c r="K99" s="210"/>
      <c r="L99" s="210"/>
      <c r="M99" s="211"/>
      <c r="N99" s="281"/>
      <c r="O99" s="282"/>
      <c r="P99" s="282"/>
      <c r="Q99" s="282"/>
      <c r="R99" s="277"/>
      <c r="S99" s="278"/>
      <c r="T99" s="278"/>
      <c r="U99" s="278">
        <f>(U109-R109)/3/$C$665/Spend!U99*'State Efficiency Ratios (2014)'!$C$654</f>
        <v>0</v>
      </c>
      <c r="V99" s="277"/>
      <c r="W99" s="278"/>
      <c r="X99" s="278"/>
      <c r="Y99" s="278">
        <f>(Y109-U109)/4/$C$665/Spend!Y99*'State Efficiency Ratios (2014)'!$C$654</f>
        <v>739.71915897168105</v>
      </c>
      <c r="Z99" s="277"/>
      <c r="AA99" s="278"/>
      <c r="AB99" s="278"/>
      <c r="AC99" s="278">
        <f>(AC109-Y109)/4/$C$665/Spend!AC99*'State Efficiency Ratios (2014)'!$C$654</f>
        <v>857.9156493884592</v>
      </c>
      <c r="AD99" s="277"/>
      <c r="AE99" s="280"/>
      <c r="AG99" s="295"/>
      <c r="AI99" s="4" t="s">
        <v>1053</v>
      </c>
      <c r="AL99" s="575"/>
      <c r="AM99" s="575"/>
    </row>
    <row r="100" spans="1:43" ht="12.95" customHeight="1" thickBot="1">
      <c r="A100" s="885"/>
      <c r="B100" s="885"/>
      <c r="C100" s="194" t="s">
        <v>808</v>
      </c>
      <c r="D100" s="210"/>
      <c r="E100" s="211"/>
      <c r="F100" s="209"/>
      <c r="G100" s="210"/>
      <c r="H100" s="210"/>
      <c r="I100" s="211"/>
      <c r="J100" s="209"/>
      <c r="K100" s="210"/>
      <c r="L100" s="210"/>
      <c r="M100" s="211"/>
      <c r="N100" s="281"/>
      <c r="O100" s="282"/>
      <c r="P100" s="282"/>
      <c r="Q100" s="282"/>
      <c r="R100" s="277"/>
      <c r="S100" s="278"/>
      <c r="T100" s="278"/>
      <c r="U100" s="278">
        <f>(U110-R110)/3/$C$665/Spend!U100*'State Efficiency Ratios (2014)'!$C$654</f>
        <v>0</v>
      </c>
      <c r="V100" s="277"/>
      <c r="W100" s="278"/>
      <c r="X100" s="278"/>
      <c r="Y100" s="278">
        <f>(Y110-U110)/4/$C$665/Spend!Y100*'State Efficiency Ratios (2014)'!$C$654</f>
        <v>-776.2463187970734</v>
      </c>
      <c r="Z100" s="277"/>
      <c r="AA100" s="278"/>
      <c r="AB100" s="278"/>
      <c r="AC100" s="278">
        <f>(AC110-Y110)/4/$C$665/Spend!AC100*'State Efficiency Ratios (2014)'!$C$654</f>
        <v>1544.7767238556655</v>
      </c>
      <c r="AD100" s="277"/>
      <c r="AE100" s="280"/>
      <c r="AG100" s="295"/>
      <c r="AH100" s="355" t="s">
        <v>1052</v>
      </c>
      <c r="AI100" s="599">
        <f>4/5*SUM(AI104:AI108)/5</f>
        <v>0.20799999999999996</v>
      </c>
      <c r="AJ100" s="592">
        <f>4/6*SUM(AJ104:AJ108)/5</f>
        <v>0.30666666666666664</v>
      </c>
      <c r="AK100" s="592">
        <f>SUM(AK104:AK111)/8</f>
        <v>0.32500000000000007</v>
      </c>
      <c r="AL100" s="594">
        <f>SUM(AL104:AL111)/8</f>
        <v>0.57499999999999984</v>
      </c>
      <c r="AM100" s="575"/>
    </row>
    <row r="101" spans="1:43" ht="12.95" customHeight="1" thickBot="1">
      <c r="A101" s="885"/>
      <c r="B101" s="885"/>
      <c r="C101" s="194" t="s">
        <v>809</v>
      </c>
      <c r="D101" s="210"/>
      <c r="E101" s="211"/>
      <c r="F101" s="209"/>
      <c r="G101" s="210"/>
      <c r="H101" s="210"/>
      <c r="I101" s="211"/>
      <c r="J101" s="209"/>
      <c r="K101" s="210"/>
      <c r="L101" s="210"/>
      <c r="M101" s="211"/>
      <c r="N101" s="281"/>
      <c r="O101" s="282"/>
      <c r="P101" s="282"/>
      <c r="Q101" s="282"/>
      <c r="R101" s="277"/>
      <c r="S101" s="278"/>
      <c r="T101" s="278"/>
      <c r="U101" s="278">
        <f>(U111-R111)/3/$C$665/Spend!U101*'State Efficiency Ratios (2014)'!$C$654</f>
        <v>0</v>
      </c>
      <c r="V101" s="277"/>
      <c r="W101" s="278"/>
      <c r="X101" s="278"/>
      <c r="Y101" s="278">
        <f>(Y111-U111)/4/$C$665/Spend!Y101*'State Efficiency Ratios (2014)'!$C$654</f>
        <v>286.4825534127782</v>
      </c>
      <c r="Z101" s="277"/>
      <c r="AA101" s="278"/>
      <c r="AB101" s="278"/>
      <c r="AC101" s="278">
        <f>(AC111-Y111)/4/$C$665/Spend!AC101*'State Efficiency Ratios (2014)'!$C$654</f>
        <v>832.6366262819314</v>
      </c>
      <c r="AD101" s="277"/>
      <c r="AE101" s="280"/>
      <c r="AG101" s="295"/>
      <c r="AH101" s="355" t="s">
        <v>1051</v>
      </c>
      <c r="AI101" s="606">
        <f>SUM(O94:O98)/5</f>
        <v>46.82871513159747</v>
      </c>
      <c r="AJ101" s="607">
        <f>SUM(U94:U98)/5</f>
        <v>160.11669397367021</v>
      </c>
      <c r="AK101" s="607">
        <f>SUM(Y94:Y101)/8</f>
        <v>234.15194091479651</v>
      </c>
      <c r="AL101" s="608">
        <f>SUM(AC94:AC101)/8</f>
        <v>509.41139214295742</v>
      </c>
      <c r="AM101" s="575"/>
    </row>
    <row r="102" spans="1:43" ht="12.95" customHeight="1" thickBot="1">
      <c r="A102" s="885"/>
      <c r="B102" s="885"/>
      <c r="C102" s="194" t="s">
        <v>810</v>
      </c>
      <c r="D102" s="210"/>
      <c r="E102" s="211"/>
      <c r="F102" s="209"/>
      <c r="G102" s="210"/>
      <c r="H102" s="210"/>
      <c r="I102" s="211"/>
      <c r="J102" s="209"/>
      <c r="K102" s="210"/>
      <c r="L102" s="210"/>
      <c r="M102" s="211"/>
      <c r="N102" s="281"/>
      <c r="O102" s="282"/>
      <c r="P102" s="282"/>
      <c r="Q102" s="283"/>
      <c r="R102" s="281"/>
      <c r="S102" s="282"/>
      <c r="T102" s="282"/>
      <c r="U102" s="283"/>
      <c r="V102" s="281"/>
      <c r="W102" s="282"/>
      <c r="X102" s="282"/>
      <c r="Y102" s="283"/>
      <c r="Z102" s="277"/>
      <c r="AA102" s="278"/>
      <c r="AB102" s="278"/>
      <c r="AC102" s="278">
        <f>(AC112-Y112)/4/$C$665/Spend!AC102*'State Efficiency Ratios (2014)'!$C$654</f>
        <v>0</v>
      </c>
      <c r="AD102" s="277"/>
      <c r="AE102" s="280"/>
      <c r="AG102" s="295"/>
      <c r="AL102" s="575"/>
      <c r="AM102" s="575"/>
    </row>
    <row r="103" spans="1:43" ht="12.95" customHeight="1" thickBot="1">
      <c r="A103" s="885"/>
      <c r="B103" s="885"/>
      <c r="C103" s="194" t="s">
        <v>811</v>
      </c>
      <c r="D103" s="210"/>
      <c r="E103" s="211"/>
      <c r="F103" s="209"/>
      <c r="G103" s="210"/>
      <c r="H103" s="210"/>
      <c r="I103" s="211"/>
      <c r="J103" s="209"/>
      <c r="K103" s="210"/>
      <c r="L103" s="210"/>
      <c r="M103" s="211"/>
      <c r="N103" s="281"/>
      <c r="O103" s="282"/>
      <c r="P103" s="282"/>
      <c r="Q103" s="283"/>
      <c r="R103" s="281"/>
      <c r="S103" s="282"/>
      <c r="T103" s="282"/>
      <c r="U103" s="283"/>
      <c r="V103" s="281"/>
      <c r="W103" s="282"/>
      <c r="X103" s="282"/>
      <c r="Y103" s="283"/>
      <c r="Z103" s="277"/>
      <c r="AA103" s="278"/>
      <c r="AB103" s="278"/>
      <c r="AC103" s="278">
        <f>(AC113-Y113)/4/$C$665/Spend!AC103*'State Efficiency Ratios (2014)'!$C$654</f>
        <v>0</v>
      </c>
      <c r="AD103" s="277"/>
      <c r="AE103" s="280"/>
      <c r="AG103" s="295"/>
      <c r="AI103" s="416" t="s">
        <v>1028</v>
      </c>
      <c r="AL103" s="575"/>
      <c r="AM103" s="575"/>
    </row>
    <row r="104" spans="1:43" ht="12.95" customHeight="1" thickBot="1">
      <c r="A104" s="885"/>
      <c r="B104" s="885"/>
      <c r="C104" s="9" t="s">
        <v>295</v>
      </c>
      <c r="D104" s="241" t="s">
        <v>632</v>
      </c>
      <c r="E104" s="241" t="s">
        <v>632</v>
      </c>
      <c r="F104" s="243" t="s">
        <v>646</v>
      </c>
      <c r="G104" s="241" t="s">
        <v>646</v>
      </c>
      <c r="H104" s="241" t="s">
        <v>646</v>
      </c>
      <c r="I104" s="244" t="s">
        <v>646</v>
      </c>
      <c r="J104" s="195">
        <f>'State DisAgg LFx10 (2014)'!D94</f>
        <v>2</v>
      </c>
      <c r="K104" s="196"/>
      <c r="L104" s="196"/>
      <c r="M104" s="197"/>
      <c r="N104" s="195"/>
      <c r="O104" s="196">
        <f>'State DisAgg LFx10 (2014)'!H104</f>
        <v>2</v>
      </c>
      <c r="P104" s="196"/>
      <c r="Q104" s="197"/>
      <c r="R104" s="195"/>
      <c r="S104" s="196"/>
      <c r="T104" s="196"/>
      <c r="U104" s="197">
        <f>'State DisAgg LFx10 (2014)'!L104</f>
        <v>2.9</v>
      </c>
      <c r="V104" s="195"/>
      <c r="W104" s="196"/>
      <c r="X104" s="196"/>
      <c r="Y104" s="197">
        <f>'State DisAgg LFx10 (2014)'!P104</f>
        <v>4</v>
      </c>
      <c r="Z104" s="195"/>
      <c r="AA104" s="196"/>
      <c r="AB104" s="196"/>
      <c r="AC104" s="197">
        <f>'State DisAgg LFx10 (2014)'!T104</f>
        <v>4.0999999999999996</v>
      </c>
      <c r="AD104" s="195"/>
      <c r="AE104" s="197"/>
      <c r="AI104" s="361">
        <f>O104-J104</f>
        <v>0</v>
      </c>
      <c r="AJ104" s="362">
        <f>U104-O104</f>
        <v>0.89999999999999991</v>
      </c>
      <c r="AK104" s="362">
        <f t="shared" ref="AK104:AK113" si="21">Y104-U104</f>
        <v>1.1000000000000001</v>
      </c>
      <c r="AL104" s="363">
        <f t="shared" ref="AL104:AL113" si="22">AC104-Y104</f>
        <v>9.9999999999999645E-2</v>
      </c>
      <c r="AM104" s="354"/>
      <c r="AQ104" s="354"/>
    </row>
    <row r="105" spans="1:43" ht="12.95" customHeight="1" thickBot="1">
      <c r="A105" s="885"/>
      <c r="B105" s="885"/>
      <c r="C105" s="9" t="s">
        <v>296</v>
      </c>
      <c r="D105" s="241" t="s">
        <v>632</v>
      </c>
      <c r="E105" s="241" t="s">
        <v>632</v>
      </c>
      <c r="F105" s="243" t="s">
        <v>646</v>
      </c>
      <c r="G105" s="241" t="s">
        <v>646</v>
      </c>
      <c r="H105" s="241" t="s">
        <v>646</v>
      </c>
      <c r="I105" s="244" t="s">
        <v>646</v>
      </c>
      <c r="J105" s="195">
        <f>'State DisAgg LFx10 (2014)'!D95</f>
        <v>2.2000000000000002</v>
      </c>
      <c r="K105" s="196"/>
      <c r="L105" s="196"/>
      <c r="M105" s="197"/>
      <c r="N105" s="195"/>
      <c r="O105" s="196">
        <f>'State DisAgg LFx10 (2014)'!H105</f>
        <v>2.1</v>
      </c>
      <c r="P105" s="196"/>
      <c r="Q105" s="197"/>
      <c r="R105" s="195"/>
      <c r="S105" s="196"/>
      <c r="T105" s="196"/>
      <c r="U105" s="197">
        <f>'State DisAgg LFx10 (2014)'!L105</f>
        <v>2.6</v>
      </c>
      <c r="V105" s="195"/>
      <c r="W105" s="196"/>
      <c r="X105" s="196"/>
      <c r="Y105" s="197">
        <f>'State DisAgg LFx10 (2014)'!P105</f>
        <v>3.2</v>
      </c>
      <c r="Z105" s="195"/>
      <c r="AA105" s="196"/>
      <c r="AB105" s="196"/>
      <c r="AC105" s="197">
        <f>'State DisAgg LFx10 (2014)'!T105</f>
        <v>3.4</v>
      </c>
      <c r="AD105" s="195"/>
      <c r="AE105" s="197"/>
      <c r="AI105" s="364">
        <f>O105-J105</f>
        <v>-0.10000000000000009</v>
      </c>
      <c r="AJ105" s="360">
        <f>U105-O105</f>
        <v>0.5</v>
      </c>
      <c r="AK105" s="360">
        <f t="shared" si="21"/>
        <v>0.60000000000000009</v>
      </c>
      <c r="AL105" s="365">
        <f t="shared" si="22"/>
        <v>0.19999999999999973</v>
      </c>
      <c r="AM105" s="354"/>
      <c r="AQ105" s="354"/>
    </row>
    <row r="106" spans="1:43" ht="12.95" customHeight="1" thickBot="1">
      <c r="A106" s="885"/>
      <c r="B106" s="885"/>
      <c r="C106" s="9" t="s">
        <v>297</v>
      </c>
      <c r="D106" s="241" t="s">
        <v>632</v>
      </c>
      <c r="E106" s="241" t="s">
        <v>632</v>
      </c>
      <c r="F106" s="243" t="s">
        <v>646</v>
      </c>
      <c r="G106" s="241" t="s">
        <v>646</v>
      </c>
      <c r="H106" s="241" t="s">
        <v>646</v>
      </c>
      <c r="I106" s="244" t="s">
        <v>646</v>
      </c>
      <c r="J106" s="195">
        <f>'State DisAgg LFx10 (2014)'!D96</f>
        <v>2.1</v>
      </c>
      <c r="K106" s="196"/>
      <c r="L106" s="196"/>
      <c r="M106" s="197"/>
      <c r="N106" s="195"/>
      <c r="O106" s="196">
        <f>'State DisAgg LFx10 (2014)'!H106</f>
        <v>3</v>
      </c>
      <c r="P106" s="196"/>
      <c r="Q106" s="197"/>
      <c r="R106" s="195"/>
      <c r="S106" s="196"/>
      <c r="T106" s="196"/>
      <c r="U106" s="197">
        <f>'State DisAgg LFx10 (2014)'!L106</f>
        <v>2.9</v>
      </c>
      <c r="V106" s="195"/>
      <c r="W106" s="196"/>
      <c r="X106" s="196"/>
      <c r="Y106" s="197">
        <f>'State DisAgg LFx10 (2014)'!P106</f>
        <v>3.1</v>
      </c>
      <c r="Z106" s="195"/>
      <c r="AA106" s="196"/>
      <c r="AB106" s="196"/>
      <c r="AC106" s="197">
        <f>'State DisAgg LFx10 (2014)'!T106</f>
        <v>3.4</v>
      </c>
      <c r="AD106" s="195"/>
      <c r="AE106" s="197"/>
      <c r="AI106" s="364">
        <f>O106-J106</f>
        <v>0.89999999999999991</v>
      </c>
      <c r="AJ106" s="360">
        <f>U106-O106</f>
        <v>-0.10000000000000009</v>
      </c>
      <c r="AK106" s="360">
        <f t="shared" si="21"/>
        <v>0.20000000000000018</v>
      </c>
      <c r="AL106" s="365">
        <f t="shared" si="22"/>
        <v>0.29999999999999982</v>
      </c>
      <c r="AM106" s="354"/>
      <c r="AQ106" s="354"/>
    </row>
    <row r="107" spans="1:43" ht="12.95" customHeight="1" thickBot="1">
      <c r="A107" s="885"/>
      <c r="B107" s="885"/>
      <c r="C107" s="9" t="s">
        <v>298</v>
      </c>
      <c r="D107" s="241" t="s">
        <v>632</v>
      </c>
      <c r="E107" s="241" t="s">
        <v>632</v>
      </c>
      <c r="F107" s="243" t="s">
        <v>646</v>
      </c>
      <c r="G107" s="241" t="s">
        <v>646</v>
      </c>
      <c r="H107" s="241" t="s">
        <v>646</v>
      </c>
      <c r="I107" s="244" t="s">
        <v>646</v>
      </c>
      <c r="J107" s="195">
        <f>'State DisAgg LFx10 (2014)'!D97</f>
        <v>1.9</v>
      </c>
      <c r="K107" s="196"/>
      <c r="L107" s="196"/>
      <c r="M107" s="197"/>
      <c r="N107" s="195"/>
      <c r="O107" s="196">
        <f>'State DisAgg LFx10 (2014)'!H107</f>
        <v>2</v>
      </c>
      <c r="P107" s="196"/>
      <c r="Q107" s="197"/>
      <c r="R107" s="195"/>
      <c r="S107" s="196"/>
      <c r="T107" s="196"/>
      <c r="U107" s="197">
        <f>'State DisAgg LFx10 (2014)'!L107</f>
        <v>3</v>
      </c>
      <c r="V107" s="195"/>
      <c r="W107" s="196"/>
      <c r="X107" s="196"/>
      <c r="Y107" s="197">
        <f>'State DisAgg LFx10 (2014)'!P107</f>
        <v>2.8</v>
      </c>
      <c r="Z107" s="195"/>
      <c r="AA107" s="196"/>
      <c r="AB107" s="196"/>
      <c r="AC107" s="197">
        <f>'State DisAgg LFx10 (2014)'!T107</f>
        <v>3.2</v>
      </c>
      <c r="AD107" s="195"/>
      <c r="AE107" s="197"/>
      <c r="AI107" s="364">
        <f>O107-J107</f>
        <v>0.10000000000000009</v>
      </c>
      <c r="AJ107" s="360">
        <f>U107-O107</f>
        <v>1</v>
      </c>
      <c r="AK107" s="360">
        <f t="shared" si="21"/>
        <v>-0.20000000000000018</v>
      </c>
      <c r="AL107" s="365">
        <f t="shared" si="22"/>
        <v>0.40000000000000036</v>
      </c>
      <c r="AM107" s="354"/>
      <c r="AQ107" s="354"/>
    </row>
    <row r="108" spans="1:43" ht="12.95" customHeight="1" thickBot="1">
      <c r="A108" s="885"/>
      <c r="B108" s="885"/>
      <c r="C108" s="9" t="s">
        <v>299</v>
      </c>
      <c r="D108" s="241" t="s">
        <v>632</v>
      </c>
      <c r="E108" s="241" t="s">
        <v>632</v>
      </c>
      <c r="F108" s="243" t="s">
        <v>646</v>
      </c>
      <c r="G108" s="241" t="s">
        <v>646</v>
      </c>
      <c r="H108" s="241" t="s">
        <v>646</v>
      </c>
      <c r="I108" s="244" t="s">
        <v>646</v>
      </c>
      <c r="J108" s="195">
        <f>'State DisAgg LFx10 (2014)'!D98</f>
        <v>2.6</v>
      </c>
      <c r="K108" s="196"/>
      <c r="L108" s="196"/>
      <c r="M108" s="197"/>
      <c r="N108" s="195"/>
      <c r="O108" s="196">
        <f>'State DisAgg LFx10 (2014)'!H108</f>
        <v>3</v>
      </c>
      <c r="P108" s="196"/>
      <c r="Q108" s="197"/>
      <c r="R108" s="195"/>
      <c r="S108" s="196"/>
      <c r="T108" s="196"/>
      <c r="U108" s="197">
        <f>'State DisAgg LFx10 (2014)'!L108</f>
        <v>3</v>
      </c>
      <c r="V108" s="195"/>
      <c r="W108" s="196"/>
      <c r="X108" s="196"/>
      <c r="Y108" s="197">
        <f>'State DisAgg LFx10 (2014)'!P108</f>
        <v>3.5</v>
      </c>
      <c r="Z108" s="195"/>
      <c r="AA108" s="196"/>
      <c r="AB108" s="196"/>
      <c r="AC108" s="197">
        <f>'State DisAgg LFx10 (2014)'!T108</f>
        <v>3.5</v>
      </c>
      <c r="AD108" s="195"/>
      <c r="AE108" s="197"/>
      <c r="AI108" s="364">
        <f>O108-J108</f>
        <v>0.39999999999999991</v>
      </c>
      <c r="AJ108" s="360">
        <f>U108-O108</f>
        <v>0</v>
      </c>
      <c r="AK108" s="360">
        <f t="shared" si="21"/>
        <v>0.5</v>
      </c>
      <c r="AL108" s="365">
        <f t="shared" si="22"/>
        <v>0</v>
      </c>
      <c r="AM108" s="354"/>
      <c r="AQ108" s="354"/>
    </row>
    <row r="109" spans="1:43" ht="13.5" thickBot="1">
      <c r="A109" s="885"/>
      <c r="B109" s="885"/>
      <c r="C109" s="9" t="s">
        <v>300</v>
      </c>
      <c r="D109" s="199"/>
      <c r="E109" s="200"/>
      <c r="F109" s="201"/>
      <c r="G109" s="199"/>
      <c r="H109" s="199"/>
      <c r="I109" s="200"/>
      <c r="J109" s="201"/>
      <c r="K109" s="199"/>
      <c r="L109" s="199"/>
      <c r="M109" s="200"/>
      <c r="N109" s="198"/>
      <c r="O109" s="217" t="s">
        <v>634</v>
      </c>
      <c r="P109" s="241" t="s">
        <v>632</v>
      </c>
      <c r="Q109" s="244" t="s">
        <v>646</v>
      </c>
      <c r="R109" s="195">
        <f>'State DisAgg LFx10 (2014)'!H99</f>
        <v>1.5</v>
      </c>
      <c r="S109" s="196"/>
      <c r="T109" s="196"/>
      <c r="U109" s="197">
        <f>'State DisAgg LFx10 (2014)'!L109</f>
        <v>1.5</v>
      </c>
      <c r="V109" s="195"/>
      <c r="W109" s="196"/>
      <c r="X109" s="196"/>
      <c r="Y109" s="197">
        <f>'State DisAgg LFx10 (2014)'!P109</f>
        <v>2.2000000000000002</v>
      </c>
      <c r="Z109" s="195"/>
      <c r="AA109" s="196"/>
      <c r="AB109" s="196"/>
      <c r="AC109" s="197">
        <f>'State DisAgg LFx10 (2014)'!T109</f>
        <v>3.3</v>
      </c>
      <c r="AD109" s="195"/>
      <c r="AE109" s="197"/>
      <c r="AI109" s="364">
        <v>0</v>
      </c>
      <c r="AJ109" s="360">
        <f>U109-R109</f>
        <v>0</v>
      </c>
      <c r="AK109" s="360">
        <f t="shared" si="21"/>
        <v>0.70000000000000018</v>
      </c>
      <c r="AL109" s="365">
        <f t="shared" si="22"/>
        <v>1.0999999999999996</v>
      </c>
      <c r="AM109" s="354"/>
      <c r="AQ109" s="354"/>
    </row>
    <row r="110" spans="1:43" ht="13.5" thickBot="1">
      <c r="A110" s="885"/>
      <c r="B110" s="885"/>
      <c r="C110" s="9" t="s">
        <v>301</v>
      </c>
      <c r="D110" s="199"/>
      <c r="E110" s="200"/>
      <c r="F110" s="201"/>
      <c r="G110" s="199"/>
      <c r="H110" s="199"/>
      <c r="I110" s="200"/>
      <c r="J110" s="201"/>
      <c r="K110" s="199"/>
      <c r="L110" s="199"/>
      <c r="M110" s="200"/>
      <c r="N110" s="198"/>
      <c r="O110" s="217" t="s">
        <v>634</v>
      </c>
      <c r="P110" s="241" t="s">
        <v>632</v>
      </c>
      <c r="Q110" s="244" t="s">
        <v>646</v>
      </c>
      <c r="R110" s="195">
        <f>'State DisAgg LFx10 (2014)'!H100</f>
        <v>2.8</v>
      </c>
      <c r="S110" s="196"/>
      <c r="T110" s="196"/>
      <c r="U110" s="197">
        <f>'State DisAgg LFx10 (2014)'!L110</f>
        <v>2.8</v>
      </c>
      <c r="V110" s="195"/>
      <c r="W110" s="196"/>
      <c r="X110" s="196"/>
      <c r="Y110" s="197">
        <f>'State DisAgg LFx10 (2014)'!P110</f>
        <v>2.2000000000000002</v>
      </c>
      <c r="Z110" s="195"/>
      <c r="AA110" s="196"/>
      <c r="AB110" s="196"/>
      <c r="AC110" s="197">
        <f>'State DisAgg LFx10 (2014)'!T110</f>
        <v>3.8</v>
      </c>
      <c r="AD110" s="195"/>
      <c r="AE110" s="197"/>
      <c r="AI110" s="364">
        <v>0</v>
      </c>
      <c r="AJ110" s="360">
        <f>U110-R110</f>
        <v>0</v>
      </c>
      <c r="AK110" s="360">
        <f t="shared" si="21"/>
        <v>-0.59999999999999964</v>
      </c>
      <c r="AL110" s="365">
        <f t="shared" si="22"/>
        <v>1.5999999999999996</v>
      </c>
      <c r="AM110" s="354"/>
      <c r="AQ110" s="354"/>
    </row>
    <row r="111" spans="1:43" ht="13.5" thickBot="1">
      <c r="A111" s="885"/>
      <c r="B111" s="885"/>
      <c r="C111" s="9" t="s">
        <v>302</v>
      </c>
      <c r="D111" s="199"/>
      <c r="E111" s="200"/>
      <c r="F111" s="201"/>
      <c r="G111" s="199"/>
      <c r="H111" s="199"/>
      <c r="I111" s="200"/>
      <c r="J111" s="201"/>
      <c r="K111" s="199"/>
      <c r="L111" s="199"/>
      <c r="M111" s="200"/>
      <c r="N111" s="198"/>
      <c r="O111" s="217" t="s">
        <v>634</v>
      </c>
      <c r="P111" s="241" t="s">
        <v>632</v>
      </c>
      <c r="Q111" s="244" t="s">
        <v>646</v>
      </c>
      <c r="R111" s="195">
        <f>'State DisAgg LFx10 (2014)'!H101</f>
        <v>2.2000000000000002</v>
      </c>
      <c r="S111" s="196"/>
      <c r="T111" s="196"/>
      <c r="U111" s="197">
        <f>'State DisAgg LFx10 (2014)'!L111</f>
        <v>2.2000000000000002</v>
      </c>
      <c r="V111" s="195"/>
      <c r="W111" s="196"/>
      <c r="X111" s="196"/>
      <c r="Y111" s="197">
        <f>'State DisAgg LFx10 (2014)'!P111</f>
        <v>2.5</v>
      </c>
      <c r="Z111" s="195"/>
      <c r="AA111" s="196"/>
      <c r="AB111" s="196"/>
      <c r="AC111" s="197">
        <f>'State DisAgg LFx10 (2014)'!T111</f>
        <v>3.4</v>
      </c>
      <c r="AD111" s="195"/>
      <c r="AE111" s="197"/>
      <c r="AI111" s="364">
        <v>0</v>
      </c>
      <c r="AJ111" s="360">
        <f>U111-R111</f>
        <v>0</v>
      </c>
      <c r="AK111" s="360">
        <f t="shared" si="21"/>
        <v>0.29999999999999982</v>
      </c>
      <c r="AL111" s="365">
        <f t="shared" si="22"/>
        <v>0.89999999999999991</v>
      </c>
      <c r="AM111" s="354"/>
      <c r="AQ111" s="354"/>
    </row>
    <row r="112" spans="1:43" ht="13.5" thickBot="1">
      <c r="A112" s="885"/>
      <c r="B112" s="885"/>
      <c r="C112" s="9" t="s">
        <v>303</v>
      </c>
      <c r="D112" s="202"/>
      <c r="E112" s="203"/>
      <c r="F112" s="201"/>
      <c r="G112" s="202"/>
      <c r="H112" s="202"/>
      <c r="I112" s="203"/>
      <c r="J112" s="201"/>
      <c r="K112" s="202"/>
      <c r="L112" s="202"/>
      <c r="M112" s="203"/>
      <c r="N112" s="204"/>
      <c r="O112" s="214"/>
      <c r="P112" s="205"/>
      <c r="Q112" s="205"/>
      <c r="R112" s="201"/>
      <c r="S112" s="202"/>
      <c r="T112" s="202"/>
      <c r="U112" s="203"/>
      <c r="V112" s="242"/>
      <c r="W112" s="217" t="s">
        <v>633</v>
      </c>
      <c r="X112" s="241" t="s">
        <v>632</v>
      </c>
      <c r="Y112" s="197">
        <f>'State DisAgg LFx10 (2014)'!P102</f>
        <v>2.1</v>
      </c>
      <c r="Z112" s="195"/>
      <c r="AA112" s="196"/>
      <c r="AB112" s="196"/>
      <c r="AC112" s="197">
        <f>'State DisAgg LFx10 (2014)'!T112</f>
        <v>2.1</v>
      </c>
      <c r="AD112" s="195"/>
      <c r="AE112" s="197"/>
      <c r="AI112" s="364">
        <f>O112-J112</f>
        <v>0</v>
      </c>
      <c r="AJ112" s="360">
        <f>U112-O112</f>
        <v>0</v>
      </c>
      <c r="AK112" s="360">
        <f t="shared" si="21"/>
        <v>2.1</v>
      </c>
      <c r="AL112" s="365">
        <f t="shared" si="22"/>
        <v>0</v>
      </c>
      <c r="AM112" s="354"/>
      <c r="AQ112" s="354"/>
    </row>
    <row r="113" spans="1:43" ht="13.5" thickBot="1">
      <c r="A113" s="885"/>
      <c r="B113" s="885"/>
      <c r="C113" s="9" t="s">
        <v>304</v>
      </c>
      <c r="D113" s="202"/>
      <c r="E113" s="203"/>
      <c r="F113" s="201"/>
      <c r="G113" s="202"/>
      <c r="H113" s="202"/>
      <c r="I113" s="203"/>
      <c r="J113" s="201"/>
      <c r="K113" s="202"/>
      <c r="L113" s="202"/>
      <c r="M113" s="203"/>
      <c r="N113" s="204"/>
      <c r="O113" s="205"/>
      <c r="P113" s="205"/>
      <c r="Q113" s="205"/>
      <c r="R113" s="201"/>
      <c r="S113" s="202"/>
      <c r="T113" s="202"/>
      <c r="U113" s="203"/>
      <c r="V113" s="242"/>
      <c r="W113" s="217" t="s">
        <v>633</v>
      </c>
      <c r="X113" s="241" t="s">
        <v>632</v>
      </c>
      <c r="Y113" s="197">
        <f>'State DisAgg LFx10 (2014)'!P103</f>
        <v>2.5</v>
      </c>
      <c r="Z113" s="195"/>
      <c r="AA113" s="196"/>
      <c r="AB113" s="196"/>
      <c r="AC113" s="197">
        <f>'State DisAgg LFx10 (2014)'!T113</f>
        <v>2.5</v>
      </c>
      <c r="AD113" s="195"/>
      <c r="AE113" s="197"/>
      <c r="AI113" s="366">
        <f>O113-J113</f>
        <v>0</v>
      </c>
      <c r="AJ113" s="367">
        <f>U113-O113</f>
        <v>0</v>
      </c>
      <c r="AK113" s="367">
        <f t="shared" si="21"/>
        <v>2.5</v>
      </c>
      <c r="AL113" s="368">
        <f t="shared" si="22"/>
        <v>0</v>
      </c>
      <c r="AM113" s="354"/>
      <c r="AQ113" s="354"/>
    </row>
    <row r="114" spans="1:43" ht="12.95" hidden="1" customHeight="1" thickBot="1">
      <c r="A114" s="885"/>
      <c r="B114" s="501"/>
      <c r="C114" s="231"/>
      <c r="D114" s="232"/>
      <c r="E114" s="233"/>
      <c r="F114" s="234"/>
      <c r="G114" s="232"/>
      <c r="H114" s="232"/>
      <c r="I114" s="233"/>
      <c r="J114" s="234"/>
      <c r="K114" s="232"/>
      <c r="L114" s="232"/>
      <c r="M114" s="233"/>
      <c r="N114" s="234"/>
      <c r="O114" s="232"/>
      <c r="P114" s="232"/>
      <c r="Q114" s="233"/>
      <c r="R114" s="234"/>
      <c r="S114" s="232"/>
      <c r="T114" s="232"/>
      <c r="U114" s="233"/>
      <c r="V114" s="234"/>
      <c r="W114" s="232"/>
      <c r="X114" s="232"/>
      <c r="Y114" s="233"/>
      <c r="Z114" s="234"/>
      <c r="AA114" s="232"/>
      <c r="AB114" s="232"/>
      <c r="AC114" s="233"/>
      <c r="AD114" s="234"/>
      <c r="AE114" s="233"/>
      <c r="AI114" s="353">
        <v>18</v>
      </c>
      <c r="AJ114" s="353">
        <v>18</v>
      </c>
      <c r="AK114" s="353">
        <v>18</v>
      </c>
      <c r="AQ114" s="353"/>
    </row>
    <row r="115" spans="1:43" ht="12.95" hidden="1" customHeight="1" thickBot="1">
      <c r="A115" s="885"/>
      <c r="B115" s="501"/>
      <c r="C115" s="231"/>
      <c r="D115" s="232"/>
      <c r="E115" s="233"/>
      <c r="F115" s="234"/>
      <c r="G115" s="232"/>
      <c r="H115" s="232"/>
      <c r="I115" s="233"/>
      <c r="J115" s="234"/>
      <c r="K115" s="232"/>
      <c r="L115" s="232"/>
      <c r="M115" s="233"/>
      <c r="N115" s="234"/>
      <c r="O115" s="232"/>
      <c r="P115" s="232"/>
      <c r="Q115" s="233"/>
      <c r="R115" s="234"/>
      <c r="S115" s="232"/>
      <c r="T115" s="232"/>
      <c r="U115" s="233"/>
      <c r="V115" s="234"/>
      <c r="W115" s="232"/>
      <c r="X115" s="232"/>
      <c r="Y115" s="233"/>
      <c r="Z115" s="234"/>
      <c r="AA115" s="232"/>
      <c r="AB115" s="232"/>
      <c r="AC115" s="233"/>
      <c r="AD115" s="234"/>
      <c r="AE115" s="233"/>
      <c r="AI115" s="353">
        <v>16</v>
      </c>
      <c r="AJ115" s="353">
        <v>16</v>
      </c>
      <c r="AK115" s="353">
        <v>16</v>
      </c>
      <c r="AQ115" s="353"/>
    </row>
    <row r="116" spans="1:43" ht="12.95" customHeight="1" thickBot="1">
      <c r="A116" s="885"/>
      <c r="B116" s="3" t="s">
        <v>23</v>
      </c>
      <c r="C116" s="12"/>
      <c r="D116" s="1377">
        <v>2008</v>
      </c>
      <c r="E116" s="1378"/>
      <c r="F116" s="1372">
        <v>2009</v>
      </c>
      <c r="G116" s="1373"/>
      <c r="H116" s="1373"/>
      <c r="I116" s="1374"/>
      <c r="J116" s="1372">
        <v>2010</v>
      </c>
      <c r="K116" s="1373"/>
      <c r="L116" s="1373"/>
      <c r="M116" s="1374"/>
      <c r="N116" s="1372">
        <v>2011</v>
      </c>
      <c r="O116" s="1373"/>
      <c r="P116" s="1373"/>
      <c r="Q116" s="1374"/>
      <c r="R116" s="1372">
        <v>2012</v>
      </c>
      <c r="S116" s="1373"/>
      <c r="T116" s="1373"/>
      <c r="U116" s="1374"/>
      <c r="V116" s="1372">
        <v>2013</v>
      </c>
      <c r="W116" s="1373"/>
      <c r="X116" s="1373"/>
      <c r="Y116" s="1374"/>
      <c r="Z116" s="1372">
        <v>2014</v>
      </c>
      <c r="AA116" s="1373"/>
      <c r="AB116" s="1373"/>
      <c r="AC116" s="1374"/>
      <c r="AD116" s="1372">
        <v>2015</v>
      </c>
      <c r="AE116" s="1374"/>
      <c r="AG116" s="257" t="s">
        <v>663</v>
      </c>
      <c r="AL116" s="351"/>
      <c r="AM116" s="351"/>
    </row>
    <row r="117" spans="1:43" ht="13.5" thickBot="1">
      <c r="A117" s="885"/>
      <c r="B117" s="868" t="s">
        <v>56</v>
      </c>
      <c r="C117" s="194" t="s">
        <v>802</v>
      </c>
      <c r="D117" s="206"/>
      <c r="E117" s="207"/>
      <c r="F117" s="209"/>
      <c r="G117" s="206"/>
      <c r="H117" s="206"/>
      <c r="I117" s="207"/>
      <c r="J117" s="332" t="s">
        <v>721</v>
      </c>
      <c r="K117" s="206"/>
      <c r="L117" s="206"/>
      <c r="M117" s="207"/>
      <c r="N117" s="277"/>
      <c r="O117" s="278">
        <f>(O127-J127)/5/$C$666/Spend!O117*'State Efficiency Ratios (2014)'!$C$654</f>
        <v>358.27518282758501</v>
      </c>
      <c r="P117" s="278"/>
      <c r="Q117" s="279"/>
      <c r="R117" s="277"/>
      <c r="S117" s="278"/>
      <c r="T117" s="278"/>
      <c r="U117" s="278">
        <f>(U127-O127)/6/$C$666/Spend!U117*'State Efficiency Ratios (2014)'!$C$654</f>
        <v>-179.45266544089543</v>
      </c>
      <c r="V117" s="277"/>
      <c r="W117" s="278"/>
      <c r="X117" s="278"/>
      <c r="Y117" s="278">
        <f>(Y127-U127)/4/$C$666/Spend!Y117*'State Efficiency Ratios (2014)'!$C$654</f>
        <v>601.9725531729955</v>
      </c>
      <c r="Z117" s="277"/>
      <c r="AA117" s="278"/>
      <c r="AB117" s="278"/>
      <c r="AC117" s="278">
        <f>(AC127-Y127)/4/$C$666/Spend!AC117*'State Efficiency Ratios (2014)'!$C$654</f>
        <v>552.59139410807836</v>
      </c>
      <c r="AD117" s="277"/>
      <c r="AE117" s="280"/>
      <c r="AG117" s="295"/>
      <c r="AM117" s="356"/>
    </row>
    <row r="118" spans="1:43" ht="24.75" thickBot="1">
      <c r="A118" s="885"/>
      <c r="B118" s="885"/>
      <c r="C118" s="194" t="s">
        <v>803</v>
      </c>
      <c r="D118" s="206"/>
      <c r="E118" s="207"/>
      <c r="F118" s="209"/>
      <c r="G118" s="206"/>
      <c r="H118" s="206"/>
      <c r="I118" s="207"/>
      <c r="J118" s="209"/>
      <c r="K118" s="206"/>
      <c r="L118" s="206"/>
      <c r="M118" s="207"/>
      <c r="N118" s="277"/>
      <c r="O118" s="278">
        <f>(O128-J128)/5/$C$666/Spend!O118*'State Efficiency Ratios (2014)'!$C$654</f>
        <v>77.287105343683251</v>
      </c>
      <c r="P118" s="278"/>
      <c r="Q118" s="279"/>
      <c r="R118" s="277"/>
      <c r="S118" s="278"/>
      <c r="T118" s="278"/>
      <c r="U118" s="278">
        <f>(U128-O128)/6/$C$666/Spend!U118*'State Efficiency Ratios (2014)'!$C$654</f>
        <v>0</v>
      </c>
      <c r="V118" s="277"/>
      <c r="W118" s="278"/>
      <c r="X118" s="278"/>
      <c r="Y118" s="278">
        <f>(Y128-U128)/4/$C$666/Spend!Y118*'State Efficiency Ratios (2014)'!$C$654</f>
        <v>1018.6604472012652</v>
      </c>
      <c r="Z118" s="277"/>
      <c r="AA118" s="278"/>
      <c r="AB118" s="278"/>
      <c r="AC118" s="278">
        <f>(AC128-Y128)/4/$C$666/Spend!AC118*'State Efficiency Ratios (2014)'!$C$654</f>
        <v>88.92911493290778</v>
      </c>
      <c r="AD118" s="277"/>
      <c r="AE118" s="280"/>
      <c r="AG118" s="295"/>
      <c r="AM118" s="378"/>
      <c r="AQ118" s="378"/>
    </row>
    <row r="119" spans="1:43" ht="24.75" thickBot="1">
      <c r="A119" s="885"/>
      <c r="B119" s="885"/>
      <c r="C119" s="194" t="s">
        <v>804</v>
      </c>
      <c r="D119" s="206"/>
      <c r="E119" s="207"/>
      <c r="F119" s="209"/>
      <c r="G119" s="206"/>
      <c r="H119" s="206"/>
      <c r="I119" s="207"/>
      <c r="J119" s="209"/>
      <c r="K119" s="206"/>
      <c r="L119" s="206"/>
      <c r="M119" s="207"/>
      <c r="N119" s="277"/>
      <c r="O119" s="278">
        <f>(O129-J129)/5/$C$666/Spend!O119*'State Efficiency Ratios (2014)'!$C$654</f>
        <v>148.99045676793327</v>
      </c>
      <c r="P119" s="278"/>
      <c r="Q119" s="279"/>
      <c r="R119" s="277"/>
      <c r="S119" s="278"/>
      <c r="T119" s="278"/>
      <c r="U119" s="278">
        <f>(U129-O129)/6/$C$666/Spend!U119*'State Efficiency Ratios (2014)'!$C$654</f>
        <v>32.51430052200881</v>
      </c>
      <c r="V119" s="277"/>
      <c r="W119" s="278"/>
      <c r="X119" s="278"/>
      <c r="Y119" s="278">
        <f>(Y129-U129)/4/$C$666/Spend!Y119*'State Efficiency Ratios (2014)'!$C$654</f>
        <v>144.54837161452323</v>
      </c>
      <c r="Z119" s="277"/>
      <c r="AA119" s="278"/>
      <c r="AB119" s="278"/>
      <c r="AC119" s="278">
        <f>(AC129-Y129)/4/$C$666/Spend!AC119*'State Efficiency Ratios (2014)'!$C$654</f>
        <v>714.88462593359884</v>
      </c>
      <c r="AD119" s="277"/>
      <c r="AE119" s="280"/>
      <c r="AG119" s="295"/>
      <c r="AL119" s="575"/>
      <c r="AM119" s="575"/>
    </row>
    <row r="120" spans="1:43" ht="13.5" thickBot="1">
      <c r="A120" s="885"/>
      <c r="B120" s="885"/>
      <c r="C120" s="194" t="s">
        <v>805</v>
      </c>
      <c r="D120" s="206"/>
      <c r="E120" s="207"/>
      <c r="F120" s="209"/>
      <c r="G120" s="206"/>
      <c r="H120" s="206"/>
      <c r="I120" s="207"/>
      <c r="J120" s="209"/>
      <c r="K120" s="206"/>
      <c r="L120" s="206"/>
      <c r="M120" s="207"/>
      <c r="N120" s="277"/>
      <c r="O120" s="278">
        <f>(O130-J130)/5/$C$666/Spend!O120*'State Efficiency Ratios (2014)'!$C$654</f>
        <v>0</v>
      </c>
      <c r="P120" s="278"/>
      <c r="Q120" s="279"/>
      <c r="R120" s="277"/>
      <c r="S120" s="278"/>
      <c r="T120" s="278"/>
      <c r="U120" s="278">
        <f>(U130-O130)/6/$C$666/Spend!U120*'State Efficiency Ratios (2014)'!$C$654</f>
        <v>480.69683210226066</v>
      </c>
      <c r="V120" s="277"/>
      <c r="W120" s="278"/>
      <c r="X120" s="278"/>
      <c r="Y120" s="278">
        <f>(Y130-U130)/4/$C$666/Spend!Y120*'State Efficiency Ratios (2014)'!$C$654</f>
        <v>0</v>
      </c>
      <c r="Z120" s="277"/>
      <c r="AA120" s="278"/>
      <c r="AB120" s="278"/>
      <c r="AC120" s="278">
        <f>(AC130-Y130)/4/$C$666/Spend!AC120*'State Efficiency Ratios (2014)'!$C$654</f>
        <v>315.08054529696392</v>
      </c>
      <c r="AD120" s="277"/>
      <c r="AE120" s="280"/>
      <c r="AG120" s="295"/>
      <c r="AL120" s="575"/>
      <c r="AM120" s="575"/>
    </row>
    <row r="121" spans="1:43" ht="13.5" thickBot="1">
      <c r="A121" s="885"/>
      <c r="B121" s="885"/>
      <c r="C121" s="194" t="s">
        <v>806</v>
      </c>
      <c r="D121" s="206"/>
      <c r="E121" s="207"/>
      <c r="F121" s="209"/>
      <c r="G121" s="206"/>
      <c r="H121" s="206"/>
      <c r="I121" s="207"/>
      <c r="J121" s="209"/>
      <c r="K121" s="206"/>
      <c r="L121" s="206"/>
      <c r="M121" s="207"/>
      <c r="N121" s="277"/>
      <c r="O121" s="278">
        <f>(O131-J131)/5/$C$666/Spend!O121*'State Efficiency Ratios (2014)'!$C$654</f>
        <v>117.46516859874311</v>
      </c>
      <c r="P121" s="278"/>
      <c r="Q121" s="279"/>
      <c r="R121" s="277"/>
      <c r="S121" s="278"/>
      <c r="T121" s="278"/>
      <c r="U121" s="278">
        <f>(U131-O131)/6/$C$666/Spend!U121*'State Efficiency Ratios (2014)'!$C$654</f>
        <v>-24.239907095767208</v>
      </c>
      <c r="V121" s="277"/>
      <c r="W121" s="278"/>
      <c r="X121" s="278"/>
      <c r="Y121" s="278">
        <f>(Y131-U131)/4/$C$666/Spend!Y121*'State Efficiency Ratios (2014)'!$C$654</f>
        <v>134.57193282126934</v>
      </c>
      <c r="Z121" s="277"/>
      <c r="AA121" s="278"/>
      <c r="AB121" s="278"/>
      <c r="AC121" s="278">
        <f>(AC131-Y131)/4/$C$666/Spend!AC121*'State Efficiency Ratios (2014)'!$C$654</f>
        <v>678.63380743693756</v>
      </c>
      <c r="AD121" s="277"/>
      <c r="AE121" s="280"/>
      <c r="AG121" s="295"/>
      <c r="AL121" s="575"/>
      <c r="AM121" s="575"/>
    </row>
    <row r="122" spans="1:43" ht="12.95" customHeight="1" thickBot="1">
      <c r="A122" s="885"/>
      <c r="B122" s="885"/>
      <c r="C122" s="194" t="s">
        <v>807</v>
      </c>
      <c r="D122" s="210"/>
      <c r="E122" s="211"/>
      <c r="F122" s="209"/>
      <c r="G122" s="210"/>
      <c r="H122" s="210"/>
      <c r="I122" s="211"/>
      <c r="J122" s="209"/>
      <c r="K122" s="210"/>
      <c r="L122" s="210"/>
      <c r="M122" s="211"/>
      <c r="N122" s="281"/>
      <c r="O122" s="282"/>
      <c r="P122" s="282"/>
      <c r="Q122" s="282"/>
      <c r="R122" s="277"/>
      <c r="S122" s="278"/>
      <c r="T122" s="278"/>
      <c r="U122" s="278">
        <f>(U132-R132)/3/$C$666/Spend!U122*'State Efficiency Ratios (2014)'!$C$654</f>
        <v>0</v>
      </c>
      <c r="V122" s="277"/>
      <c r="W122" s="278"/>
      <c r="X122" s="278"/>
      <c r="Y122" s="278">
        <f>(Y132-U132)/4/$C$666/Spend!Y122*'State Efficiency Ratios (2014)'!$C$654</f>
        <v>317.02249670214877</v>
      </c>
      <c r="Z122" s="277"/>
      <c r="AA122" s="278"/>
      <c r="AB122" s="278"/>
      <c r="AC122" s="278">
        <f>(AC132-Y132)/4/$C$666/Spend!AC122*'State Efficiency Ratios (2014)'!$C$654</f>
        <v>857.91564938845966</v>
      </c>
      <c r="AD122" s="277"/>
      <c r="AE122" s="280"/>
      <c r="AG122" s="295"/>
      <c r="AI122" s="4" t="s">
        <v>1053</v>
      </c>
      <c r="AL122" s="575"/>
      <c r="AM122" s="575"/>
    </row>
    <row r="123" spans="1:43" ht="12.95" customHeight="1" thickBot="1">
      <c r="A123" s="885"/>
      <c r="B123" s="885"/>
      <c r="C123" s="194" t="s">
        <v>808</v>
      </c>
      <c r="D123" s="210"/>
      <c r="E123" s="211"/>
      <c r="F123" s="209"/>
      <c r="G123" s="210"/>
      <c r="H123" s="210"/>
      <c r="I123" s="211"/>
      <c r="J123" s="209"/>
      <c r="K123" s="210"/>
      <c r="L123" s="210"/>
      <c r="M123" s="211"/>
      <c r="N123" s="281"/>
      <c r="O123" s="282"/>
      <c r="P123" s="282"/>
      <c r="Q123" s="282"/>
      <c r="R123" s="277"/>
      <c r="S123" s="278"/>
      <c r="T123" s="278"/>
      <c r="U123" s="278">
        <f>(U133-R133)/3/$C$666/Spend!U123*'State Efficiency Ratios (2014)'!$C$654</f>
        <v>0</v>
      </c>
      <c r="V123" s="277"/>
      <c r="W123" s="278"/>
      <c r="X123" s="278"/>
      <c r="Y123" s="278">
        <f>(Y133-U133)/4/$C$666/Spend!Y123*'State Efficiency Ratios (2014)'!$C$654</f>
        <v>1034.9950917294318</v>
      </c>
      <c r="Z123" s="277"/>
      <c r="AA123" s="278"/>
      <c r="AB123" s="278"/>
      <c r="AC123" s="278">
        <f>(AC133-Y133)/4/$C$666/Spend!AC123*'State Efficiency Ratios (2014)'!$C$654</f>
        <v>868.93690716881201</v>
      </c>
      <c r="AD123" s="277"/>
      <c r="AE123" s="280"/>
      <c r="AG123" s="295"/>
      <c r="AH123" s="355" t="s">
        <v>1052</v>
      </c>
      <c r="AI123" s="599">
        <f>4/5*SUM(AI127:AI131)/5</f>
        <v>0.624</v>
      </c>
      <c r="AJ123" s="592">
        <f>4/6*SUM(AJ127:AJ131)/5</f>
        <v>0.13333333333333333</v>
      </c>
      <c r="AK123" s="592">
        <f>SUM(AK127:AK134)/8</f>
        <v>0.53749999999999998</v>
      </c>
      <c r="AL123" s="594">
        <f>SUM(AL127:AL134)/8</f>
        <v>0.73750000000000004</v>
      </c>
      <c r="AM123" s="575"/>
    </row>
    <row r="124" spans="1:43" ht="12.95" customHeight="1" thickBot="1">
      <c r="A124" s="885"/>
      <c r="B124" s="885"/>
      <c r="C124" s="194" t="s">
        <v>809</v>
      </c>
      <c r="D124" s="210"/>
      <c r="E124" s="211"/>
      <c r="F124" s="209"/>
      <c r="G124" s="210"/>
      <c r="H124" s="210"/>
      <c r="I124" s="211"/>
      <c r="J124" s="209"/>
      <c r="K124" s="210"/>
      <c r="L124" s="210"/>
      <c r="M124" s="211"/>
      <c r="N124" s="281"/>
      <c r="O124" s="282"/>
      <c r="P124" s="282"/>
      <c r="Q124" s="282"/>
      <c r="R124" s="277"/>
      <c r="S124" s="278"/>
      <c r="T124" s="278"/>
      <c r="U124" s="278">
        <f>(U134-R134)/3/$C$666/Spend!U124*'State Efficiency Ratios (2014)'!$C$654</f>
        <v>0</v>
      </c>
      <c r="V124" s="277"/>
      <c r="W124" s="278"/>
      <c r="X124" s="278"/>
      <c r="Y124" s="278">
        <f>(Y134-U134)/4/$C$666/Spend!Y124*'State Efficiency Ratios (2014)'!$C$654</f>
        <v>668.45929129648323</v>
      </c>
      <c r="Z124" s="277"/>
      <c r="AA124" s="278"/>
      <c r="AB124" s="278"/>
      <c r="AC124" s="278">
        <f>(AC134-Y134)/4/$C$666/Spend!AC124*'State Efficiency Ratios (2014)'!$C$654</f>
        <v>832.6366262819314</v>
      </c>
      <c r="AD124" s="277"/>
      <c r="AE124" s="280"/>
      <c r="AG124" s="295"/>
      <c r="AH124" s="355" t="s">
        <v>1051</v>
      </c>
      <c r="AI124" s="606">
        <f>SUM(O117:O121)/5</f>
        <v>140.40358270758892</v>
      </c>
      <c r="AJ124" s="607">
        <f>SUM(U117:U121)/5</f>
        <v>61.903712017521364</v>
      </c>
      <c r="AK124" s="607">
        <f>SUM(Y117:Y124)/8</f>
        <v>490.02877306726458</v>
      </c>
      <c r="AL124" s="608">
        <f>SUM(AC117:AC124)/8</f>
        <v>613.70108381846114</v>
      </c>
      <c r="AM124" s="575"/>
    </row>
    <row r="125" spans="1:43" ht="12.95" customHeight="1" thickBot="1">
      <c r="A125" s="885"/>
      <c r="B125" s="885"/>
      <c r="C125" s="194" t="s">
        <v>810</v>
      </c>
      <c r="D125" s="210"/>
      <c r="E125" s="211"/>
      <c r="F125" s="209"/>
      <c r="G125" s="210"/>
      <c r="H125" s="210"/>
      <c r="I125" s="211"/>
      <c r="J125" s="209"/>
      <c r="K125" s="210"/>
      <c r="L125" s="210"/>
      <c r="M125" s="211"/>
      <c r="N125" s="281"/>
      <c r="O125" s="282"/>
      <c r="P125" s="282"/>
      <c r="Q125" s="283"/>
      <c r="R125" s="281"/>
      <c r="S125" s="282"/>
      <c r="T125" s="282"/>
      <c r="U125" s="283"/>
      <c r="V125" s="281"/>
      <c r="W125" s="282"/>
      <c r="X125" s="282"/>
      <c r="Y125" s="283"/>
      <c r="Z125" s="277"/>
      <c r="AA125" s="278"/>
      <c r="AB125" s="278"/>
      <c r="AC125" s="278">
        <f>(AC135-Y135)/4/$C$666/Spend!AC125*'State Efficiency Ratios (2014)'!$C$654</f>
        <v>0</v>
      </c>
      <c r="AD125" s="277"/>
      <c r="AE125" s="280"/>
      <c r="AG125" s="295"/>
      <c r="AL125" s="575"/>
      <c r="AM125" s="575"/>
    </row>
    <row r="126" spans="1:43" ht="12.95" customHeight="1" thickBot="1">
      <c r="A126" s="885"/>
      <c r="B126" s="885"/>
      <c r="C126" s="194" t="s">
        <v>811</v>
      </c>
      <c r="D126" s="210"/>
      <c r="E126" s="211"/>
      <c r="F126" s="209"/>
      <c r="G126" s="210"/>
      <c r="H126" s="210"/>
      <c r="I126" s="211"/>
      <c r="J126" s="209"/>
      <c r="K126" s="210"/>
      <c r="L126" s="210"/>
      <c r="M126" s="211"/>
      <c r="N126" s="281"/>
      <c r="O126" s="282"/>
      <c r="P126" s="282"/>
      <c r="Q126" s="283"/>
      <c r="R126" s="281"/>
      <c r="S126" s="282"/>
      <c r="T126" s="282"/>
      <c r="U126" s="283"/>
      <c r="V126" s="281"/>
      <c r="W126" s="282"/>
      <c r="X126" s="282"/>
      <c r="Y126" s="283"/>
      <c r="Z126" s="277"/>
      <c r="AA126" s="278"/>
      <c r="AB126" s="278"/>
      <c r="AC126" s="278">
        <f>(AC136-Y136)/4/$C$666/Spend!AC126*'State Efficiency Ratios (2014)'!$C$654</f>
        <v>0</v>
      </c>
      <c r="AD126" s="277"/>
      <c r="AE126" s="280"/>
      <c r="AG126" s="295"/>
      <c r="AI126" s="416" t="s">
        <v>1029</v>
      </c>
      <c r="AL126" s="575"/>
      <c r="AM126" s="575"/>
    </row>
    <row r="127" spans="1:43" ht="12.95" customHeight="1" thickBot="1">
      <c r="A127" s="885"/>
      <c r="B127" s="885"/>
      <c r="C127" s="9" t="s">
        <v>295</v>
      </c>
      <c r="D127" s="241" t="s">
        <v>632</v>
      </c>
      <c r="E127" s="241" t="s">
        <v>632</v>
      </c>
      <c r="F127" s="243" t="s">
        <v>646</v>
      </c>
      <c r="G127" s="241" t="s">
        <v>646</v>
      </c>
      <c r="H127" s="241" t="s">
        <v>646</v>
      </c>
      <c r="I127" s="244" t="s">
        <v>646</v>
      </c>
      <c r="J127" s="195">
        <f>'State DisAgg LFx10 (2014)'!D117</f>
        <v>1</v>
      </c>
      <c r="K127" s="196"/>
      <c r="L127" s="196"/>
      <c r="M127" s="197"/>
      <c r="N127" s="195"/>
      <c r="O127" s="196">
        <f>'State DisAgg LFx10 (2014)'!H127</f>
        <v>3</v>
      </c>
      <c r="P127" s="196"/>
      <c r="Q127" s="197"/>
      <c r="R127" s="195"/>
      <c r="S127" s="196"/>
      <c r="T127" s="196"/>
      <c r="U127" s="197">
        <f>'State DisAgg LFx10 (2014)'!L127</f>
        <v>2.5</v>
      </c>
      <c r="V127" s="195"/>
      <c r="W127" s="196"/>
      <c r="X127" s="196"/>
      <c r="Y127" s="197">
        <f>'State DisAgg LFx10 (2014)'!P127</f>
        <v>3.3</v>
      </c>
      <c r="Z127" s="195"/>
      <c r="AA127" s="196"/>
      <c r="AB127" s="196"/>
      <c r="AC127" s="197">
        <f>'State DisAgg LFx10 (2014)'!T127</f>
        <v>4</v>
      </c>
      <c r="AD127" s="195"/>
      <c r="AE127" s="197"/>
      <c r="AI127" s="361">
        <f>O127-J127</f>
        <v>2</v>
      </c>
      <c r="AJ127" s="362">
        <f>U127-O127</f>
        <v>-0.5</v>
      </c>
      <c r="AK127" s="362">
        <f t="shared" ref="AK127:AK136" si="23">Y127-U127</f>
        <v>0.79999999999999982</v>
      </c>
      <c r="AL127" s="363">
        <f t="shared" ref="AL127:AL136" si="24">AC127-Y127</f>
        <v>0.70000000000000018</v>
      </c>
      <c r="AM127" s="354"/>
      <c r="AQ127" s="354"/>
    </row>
    <row r="128" spans="1:43" ht="12.95" customHeight="1" thickBot="1">
      <c r="A128" s="885"/>
      <c r="B128" s="885"/>
      <c r="C128" s="9" t="s">
        <v>296</v>
      </c>
      <c r="D128" s="241" t="s">
        <v>632</v>
      </c>
      <c r="E128" s="241" t="s">
        <v>632</v>
      </c>
      <c r="F128" s="243" t="s">
        <v>646</v>
      </c>
      <c r="G128" s="241" t="s">
        <v>646</v>
      </c>
      <c r="H128" s="241" t="s">
        <v>646</v>
      </c>
      <c r="I128" s="244" t="s">
        <v>646</v>
      </c>
      <c r="J128" s="195">
        <f>'State DisAgg LFx10 (2014)'!D118</f>
        <v>2.4</v>
      </c>
      <c r="K128" s="196"/>
      <c r="L128" s="196"/>
      <c r="M128" s="197"/>
      <c r="N128" s="195"/>
      <c r="O128" s="196">
        <f>'State DisAgg LFx10 (2014)'!H128</f>
        <v>2.8</v>
      </c>
      <c r="P128" s="196"/>
      <c r="Q128" s="197"/>
      <c r="R128" s="195"/>
      <c r="S128" s="196"/>
      <c r="T128" s="196"/>
      <c r="U128" s="197">
        <f>'State DisAgg LFx10 (2014)'!L128</f>
        <v>2.8</v>
      </c>
      <c r="V128" s="195"/>
      <c r="W128" s="196"/>
      <c r="X128" s="196"/>
      <c r="Y128" s="197">
        <f>'State DisAgg LFx10 (2014)'!P128</f>
        <v>4.0999999999999996</v>
      </c>
      <c r="Z128" s="195"/>
      <c r="AA128" s="196"/>
      <c r="AB128" s="196"/>
      <c r="AC128" s="197">
        <f>'State DisAgg LFx10 (2014)'!T128</f>
        <v>4.2</v>
      </c>
      <c r="AD128" s="195"/>
      <c r="AE128" s="197"/>
      <c r="AI128" s="364">
        <f>O128-J128</f>
        <v>0.39999999999999991</v>
      </c>
      <c r="AJ128" s="360">
        <f>U128-O128</f>
        <v>0</v>
      </c>
      <c r="AK128" s="360">
        <f t="shared" si="23"/>
        <v>1.2999999999999998</v>
      </c>
      <c r="AL128" s="365">
        <f t="shared" si="24"/>
        <v>0.10000000000000053</v>
      </c>
      <c r="AM128" s="354"/>
      <c r="AQ128" s="354"/>
    </row>
    <row r="129" spans="1:43" ht="12.95" customHeight="1" thickBot="1">
      <c r="A129" s="885"/>
      <c r="B129" s="885"/>
      <c r="C129" s="9" t="s">
        <v>297</v>
      </c>
      <c r="D129" s="241" t="s">
        <v>632</v>
      </c>
      <c r="E129" s="241" t="s">
        <v>632</v>
      </c>
      <c r="F129" s="243" t="s">
        <v>646</v>
      </c>
      <c r="G129" s="241" t="s">
        <v>646</v>
      </c>
      <c r="H129" s="241" t="s">
        <v>646</v>
      </c>
      <c r="I129" s="244" t="s">
        <v>646</v>
      </c>
      <c r="J129" s="195">
        <f>'State DisAgg LFx10 (2014)'!D119</f>
        <v>2.2000000000000002</v>
      </c>
      <c r="K129" s="196"/>
      <c r="L129" s="196"/>
      <c r="M129" s="197"/>
      <c r="N129" s="195"/>
      <c r="O129" s="196">
        <f>'State DisAgg LFx10 (2014)'!H129</f>
        <v>3</v>
      </c>
      <c r="P129" s="196"/>
      <c r="Q129" s="197"/>
      <c r="R129" s="195"/>
      <c r="S129" s="196"/>
      <c r="T129" s="196"/>
      <c r="U129" s="197">
        <f>'State DisAgg LFx10 (2014)'!L129</f>
        <v>3.1</v>
      </c>
      <c r="V129" s="195"/>
      <c r="W129" s="196"/>
      <c r="X129" s="196"/>
      <c r="Y129" s="197">
        <f>'State DisAgg LFx10 (2014)'!P129</f>
        <v>3.3</v>
      </c>
      <c r="Z129" s="195"/>
      <c r="AA129" s="196"/>
      <c r="AB129" s="196"/>
      <c r="AC129" s="197">
        <f>'State DisAgg LFx10 (2014)'!T129</f>
        <v>4.0999999999999996</v>
      </c>
      <c r="AD129" s="195"/>
      <c r="AE129" s="197"/>
      <c r="AI129" s="364">
        <f>O129-J129</f>
        <v>0.79999999999999982</v>
      </c>
      <c r="AJ129" s="360">
        <f>U129-O129</f>
        <v>0.10000000000000009</v>
      </c>
      <c r="AK129" s="360">
        <f t="shared" si="23"/>
        <v>0.19999999999999973</v>
      </c>
      <c r="AL129" s="365">
        <f t="shared" si="24"/>
        <v>0.79999999999999982</v>
      </c>
      <c r="AM129" s="354"/>
      <c r="AQ129" s="354"/>
    </row>
    <row r="130" spans="1:43" ht="12.95" customHeight="1" thickBot="1">
      <c r="A130" s="885"/>
      <c r="B130" s="885"/>
      <c r="C130" s="9" t="s">
        <v>298</v>
      </c>
      <c r="D130" s="241" t="s">
        <v>632</v>
      </c>
      <c r="E130" s="241" t="s">
        <v>632</v>
      </c>
      <c r="F130" s="243" t="s">
        <v>646</v>
      </c>
      <c r="G130" s="241" t="s">
        <v>646</v>
      </c>
      <c r="H130" s="241" t="s">
        <v>646</v>
      </c>
      <c r="I130" s="244" t="s">
        <v>646</v>
      </c>
      <c r="J130" s="195">
        <f>'State DisAgg LFx10 (2014)'!D120</f>
        <v>2</v>
      </c>
      <c r="K130" s="196"/>
      <c r="L130" s="196"/>
      <c r="M130" s="197"/>
      <c r="N130" s="195"/>
      <c r="O130" s="196">
        <f>'State DisAgg LFx10 (2014)'!H130</f>
        <v>2</v>
      </c>
      <c r="P130" s="196"/>
      <c r="Q130" s="197"/>
      <c r="R130" s="195"/>
      <c r="S130" s="196"/>
      <c r="T130" s="196"/>
      <c r="U130" s="197">
        <f>'State DisAgg LFx10 (2014)'!L130</f>
        <v>3.5</v>
      </c>
      <c r="V130" s="195"/>
      <c r="W130" s="196"/>
      <c r="X130" s="196"/>
      <c r="Y130" s="197">
        <f>'State DisAgg LFx10 (2014)'!P130</f>
        <v>3.5</v>
      </c>
      <c r="Z130" s="195"/>
      <c r="AA130" s="196"/>
      <c r="AB130" s="196"/>
      <c r="AC130" s="197">
        <f>'State DisAgg LFx10 (2014)'!T130</f>
        <v>3.9</v>
      </c>
      <c r="AD130" s="195"/>
      <c r="AE130" s="197"/>
      <c r="AI130" s="364">
        <f>O130-J130</f>
        <v>0</v>
      </c>
      <c r="AJ130" s="360">
        <f>U130-O130</f>
        <v>1.5</v>
      </c>
      <c r="AK130" s="360">
        <f t="shared" si="23"/>
        <v>0</v>
      </c>
      <c r="AL130" s="365">
        <f t="shared" si="24"/>
        <v>0.39999999999999991</v>
      </c>
      <c r="AM130" s="354"/>
      <c r="AQ130" s="354"/>
    </row>
    <row r="131" spans="1:43" ht="12.95" customHeight="1" thickBot="1">
      <c r="A131" s="885"/>
      <c r="B131" s="885"/>
      <c r="C131" s="9" t="s">
        <v>299</v>
      </c>
      <c r="D131" s="241" t="s">
        <v>632</v>
      </c>
      <c r="E131" s="241" t="s">
        <v>632</v>
      </c>
      <c r="F131" s="243" t="s">
        <v>646</v>
      </c>
      <c r="G131" s="241" t="s">
        <v>646</v>
      </c>
      <c r="H131" s="241" t="s">
        <v>646</v>
      </c>
      <c r="I131" s="244" t="s">
        <v>646</v>
      </c>
      <c r="J131" s="195">
        <f>'State DisAgg LFx10 (2014)'!D121</f>
        <v>2.2999999999999998</v>
      </c>
      <c r="K131" s="196"/>
      <c r="L131" s="196"/>
      <c r="M131" s="197"/>
      <c r="N131" s="195"/>
      <c r="O131" s="196">
        <f>'State DisAgg LFx10 (2014)'!H131</f>
        <v>3</v>
      </c>
      <c r="P131" s="196"/>
      <c r="Q131" s="197"/>
      <c r="R131" s="195"/>
      <c r="S131" s="196"/>
      <c r="T131" s="196"/>
      <c r="U131" s="197">
        <f>'State DisAgg LFx10 (2014)'!L131</f>
        <v>2.9</v>
      </c>
      <c r="V131" s="195"/>
      <c r="W131" s="196"/>
      <c r="X131" s="196"/>
      <c r="Y131" s="197">
        <f>'State DisAgg LFx10 (2014)'!P131</f>
        <v>3.1</v>
      </c>
      <c r="Z131" s="195"/>
      <c r="AA131" s="196"/>
      <c r="AB131" s="196"/>
      <c r="AC131" s="197">
        <f>'State DisAgg LFx10 (2014)'!T131</f>
        <v>4.0999999999999996</v>
      </c>
      <c r="AD131" s="195"/>
      <c r="AE131" s="197"/>
      <c r="AI131" s="364">
        <f>O131-J131</f>
        <v>0.70000000000000018</v>
      </c>
      <c r="AJ131" s="360">
        <f>U131-O131</f>
        <v>-0.10000000000000009</v>
      </c>
      <c r="AK131" s="360">
        <f t="shared" si="23"/>
        <v>0.20000000000000018</v>
      </c>
      <c r="AL131" s="365">
        <f t="shared" si="24"/>
        <v>0.99999999999999956</v>
      </c>
      <c r="AM131" s="354"/>
      <c r="AQ131" s="354"/>
    </row>
    <row r="132" spans="1:43" ht="13.5" thickBot="1">
      <c r="A132" s="885"/>
      <c r="B132" s="885"/>
      <c r="C132" s="9" t="s">
        <v>300</v>
      </c>
      <c r="D132" s="199"/>
      <c r="E132" s="200"/>
      <c r="F132" s="201"/>
      <c r="G132" s="199"/>
      <c r="H132" s="199"/>
      <c r="I132" s="200"/>
      <c r="J132" s="201"/>
      <c r="K132" s="199"/>
      <c r="L132" s="199"/>
      <c r="M132" s="200"/>
      <c r="N132" s="198"/>
      <c r="O132" s="217" t="s">
        <v>634</v>
      </c>
      <c r="P132" s="241" t="s">
        <v>632</v>
      </c>
      <c r="Q132" s="244" t="s">
        <v>646</v>
      </c>
      <c r="R132" s="195">
        <f>'State DisAgg LFx10 (2014)'!H122</f>
        <v>1.6</v>
      </c>
      <c r="S132" s="196"/>
      <c r="T132" s="196"/>
      <c r="U132" s="197">
        <f>'State DisAgg LFx10 (2014)'!L132</f>
        <v>1.6</v>
      </c>
      <c r="V132" s="195"/>
      <c r="W132" s="196"/>
      <c r="X132" s="196"/>
      <c r="Y132" s="197">
        <f>'State DisAgg LFx10 (2014)'!P132</f>
        <v>1.9</v>
      </c>
      <c r="Z132" s="195"/>
      <c r="AA132" s="196"/>
      <c r="AB132" s="196"/>
      <c r="AC132" s="197">
        <f>'State DisAgg LFx10 (2014)'!T132</f>
        <v>3</v>
      </c>
      <c r="AD132" s="195"/>
      <c r="AE132" s="197"/>
      <c r="AI132" s="364">
        <v>0</v>
      </c>
      <c r="AJ132" s="360">
        <f>U132-R132</f>
        <v>0</v>
      </c>
      <c r="AK132" s="360">
        <f t="shared" si="23"/>
        <v>0.29999999999999982</v>
      </c>
      <c r="AL132" s="365">
        <f t="shared" si="24"/>
        <v>1.1000000000000001</v>
      </c>
      <c r="AM132" s="354"/>
      <c r="AQ132" s="354"/>
    </row>
    <row r="133" spans="1:43" ht="13.5" thickBot="1">
      <c r="A133" s="885"/>
      <c r="B133" s="885"/>
      <c r="C133" s="9" t="s">
        <v>301</v>
      </c>
      <c r="D133" s="199"/>
      <c r="E133" s="200"/>
      <c r="F133" s="201"/>
      <c r="G133" s="199"/>
      <c r="H133" s="199"/>
      <c r="I133" s="200"/>
      <c r="J133" s="201"/>
      <c r="K133" s="199"/>
      <c r="L133" s="199"/>
      <c r="M133" s="200"/>
      <c r="N133" s="198"/>
      <c r="O133" s="217" t="s">
        <v>634</v>
      </c>
      <c r="P133" s="241" t="s">
        <v>632</v>
      </c>
      <c r="Q133" s="244" t="s">
        <v>646</v>
      </c>
      <c r="R133" s="195">
        <f>'State DisAgg LFx10 (2014)'!H123</f>
        <v>1.7</v>
      </c>
      <c r="S133" s="196"/>
      <c r="T133" s="196"/>
      <c r="U133" s="197">
        <f>'State DisAgg LFx10 (2014)'!L133</f>
        <v>1.7</v>
      </c>
      <c r="V133" s="195"/>
      <c r="W133" s="196"/>
      <c r="X133" s="196"/>
      <c r="Y133" s="197">
        <f>'State DisAgg LFx10 (2014)'!P133</f>
        <v>2.5</v>
      </c>
      <c r="Z133" s="195"/>
      <c r="AA133" s="196"/>
      <c r="AB133" s="196"/>
      <c r="AC133" s="197">
        <f>'State DisAgg LFx10 (2014)'!T133</f>
        <v>3.4</v>
      </c>
      <c r="AD133" s="195"/>
      <c r="AE133" s="197"/>
      <c r="AI133" s="364">
        <v>0</v>
      </c>
      <c r="AJ133" s="360">
        <f>U133-R133</f>
        <v>0</v>
      </c>
      <c r="AK133" s="360">
        <f t="shared" si="23"/>
        <v>0.8</v>
      </c>
      <c r="AL133" s="365">
        <f t="shared" si="24"/>
        <v>0.89999999999999991</v>
      </c>
      <c r="AM133" s="354"/>
      <c r="AQ133" s="354"/>
    </row>
    <row r="134" spans="1:43" ht="13.5" thickBot="1">
      <c r="A134" s="885"/>
      <c r="B134" s="885"/>
      <c r="C134" s="9" t="s">
        <v>302</v>
      </c>
      <c r="D134" s="199"/>
      <c r="E134" s="200"/>
      <c r="F134" s="201"/>
      <c r="G134" s="199"/>
      <c r="H134" s="199"/>
      <c r="I134" s="200"/>
      <c r="J134" s="201"/>
      <c r="K134" s="199"/>
      <c r="L134" s="199"/>
      <c r="M134" s="200"/>
      <c r="N134" s="198"/>
      <c r="O134" s="217" t="s">
        <v>634</v>
      </c>
      <c r="P134" s="241" t="s">
        <v>632</v>
      </c>
      <c r="Q134" s="244" t="s">
        <v>646</v>
      </c>
      <c r="R134" s="195">
        <f>'State DisAgg LFx10 (2014)'!H124</f>
        <v>1.5</v>
      </c>
      <c r="S134" s="196"/>
      <c r="T134" s="196"/>
      <c r="U134" s="197">
        <f>'State DisAgg LFx10 (2014)'!L134</f>
        <v>1.5</v>
      </c>
      <c r="V134" s="195"/>
      <c r="W134" s="196"/>
      <c r="X134" s="196"/>
      <c r="Y134" s="197">
        <f>'State DisAgg LFx10 (2014)'!P134</f>
        <v>2.2000000000000002</v>
      </c>
      <c r="Z134" s="195"/>
      <c r="AA134" s="196"/>
      <c r="AB134" s="196"/>
      <c r="AC134" s="197">
        <f>'State DisAgg LFx10 (2014)'!T134</f>
        <v>3.1</v>
      </c>
      <c r="AD134" s="195"/>
      <c r="AE134" s="197"/>
      <c r="AI134" s="364">
        <v>0</v>
      </c>
      <c r="AJ134" s="360">
        <f>U134-R134</f>
        <v>0</v>
      </c>
      <c r="AK134" s="360">
        <f t="shared" si="23"/>
        <v>0.70000000000000018</v>
      </c>
      <c r="AL134" s="365">
        <f t="shared" si="24"/>
        <v>0.89999999999999991</v>
      </c>
      <c r="AM134" s="354"/>
      <c r="AQ134" s="354"/>
    </row>
    <row r="135" spans="1:43" ht="13.5" thickBot="1">
      <c r="A135" s="885"/>
      <c r="B135" s="885"/>
      <c r="C135" s="9" t="s">
        <v>303</v>
      </c>
      <c r="D135" s="202"/>
      <c r="E135" s="203"/>
      <c r="F135" s="201"/>
      <c r="G135" s="202"/>
      <c r="H135" s="202"/>
      <c r="I135" s="203"/>
      <c r="J135" s="201"/>
      <c r="K135" s="202"/>
      <c r="L135" s="202"/>
      <c r="M135" s="203"/>
      <c r="N135" s="204"/>
      <c r="O135" s="214"/>
      <c r="P135" s="205"/>
      <c r="Q135" s="205"/>
      <c r="R135" s="201"/>
      <c r="S135" s="202"/>
      <c r="T135" s="202"/>
      <c r="U135" s="203"/>
      <c r="V135" s="242"/>
      <c r="W135" s="217" t="s">
        <v>633</v>
      </c>
      <c r="X135" s="241" t="s">
        <v>632</v>
      </c>
      <c r="Y135" s="197">
        <f>'State DisAgg LFx10 (2014)'!P125</f>
        <v>2.2000000000000002</v>
      </c>
      <c r="Z135" s="195"/>
      <c r="AA135" s="196"/>
      <c r="AB135" s="196"/>
      <c r="AC135" s="197">
        <f>'State DisAgg LFx10 (2014)'!T135</f>
        <v>2.2000000000000002</v>
      </c>
      <c r="AD135" s="195"/>
      <c r="AE135" s="197"/>
      <c r="AI135" s="364">
        <f>O135-J135</f>
        <v>0</v>
      </c>
      <c r="AJ135" s="360">
        <f>U135-O135</f>
        <v>0</v>
      </c>
      <c r="AK135" s="360">
        <f t="shared" si="23"/>
        <v>2.2000000000000002</v>
      </c>
      <c r="AL135" s="365">
        <f t="shared" si="24"/>
        <v>0</v>
      </c>
      <c r="AM135" s="354"/>
      <c r="AQ135" s="354"/>
    </row>
    <row r="136" spans="1:43" ht="13.5" thickBot="1">
      <c r="A136" s="885"/>
      <c r="B136" s="885"/>
      <c r="C136" s="9" t="s">
        <v>304</v>
      </c>
      <c r="D136" s="202"/>
      <c r="E136" s="203"/>
      <c r="F136" s="201"/>
      <c r="G136" s="202"/>
      <c r="H136" s="202"/>
      <c r="I136" s="203"/>
      <c r="J136" s="201"/>
      <c r="K136" s="202"/>
      <c r="L136" s="202"/>
      <c r="M136" s="203"/>
      <c r="N136" s="204"/>
      <c r="O136" s="205"/>
      <c r="P136" s="205"/>
      <c r="Q136" s="205"/>
      <c r="R136" s="201"/>
      <c r="S136" s="202"/>
      <c r="T136" s="202"/>
      <c r="U136" s="203"/>
      <c r="V136" s="242"/>
      <c r="W136" s="217" t="s">
        <v>633</v>
      </c>
      <c r="X136" s="241" t="s">
        <v>632</v>
      </c>
      <c r="Y136" s="197">
        <f>'State DisAgg LFx10 (2014)'!P126</f>
        <v>2.2999999999999998</v>
      </c>
      <c r="Z136" s="195"/>
      <c r="AA136" s="196"/>
      <c r="AB136" s="196"/>
      <c r="AC136" s="197">
        <f>'State DisAgg LFx10 (2014)'!T136</f>
        <v>2.2999999999999998</v>
      </c>
      <c r="AD136" s="195"/>
      <c r="AE136" s="197"/>
      <c r="AI136" s="366">
        <f>O136-J136</f>
        <v>0</v>
      </c>
      <c r="AJ136" s="367">
        <f>U136-O136</f>
        <v>0</v>
      </c>
      <c r="AK136" s="367">
        <f t="shared" si="23"/>
        <v>2.2999999999999998</v>
      </c>
      <c r="AL136" s="368">
        <f t="shared" si="24"/>
        <v>0</v>
      </c>
      <c r="AM136" s="354"/>
      <c r="AQ136" s="354"/>
    </row>
    <row r="137" spans="1:43" ht="12.95" hidden="1" customHeight="1" thickBot="1">
      <c r="A137" s="885"/>
      <c r="B137" s="501"/>
      <c r="C137" s="231"/>
      <c r="D137" s="232"/>
      <c r="E137" s="233"/>
      <c r="F137" s="234"/>
      <c r="G137" s="232"/>
      <c r="H137" s="232"/>
      <c r="I137" s="233"/>
      <c r="J137" s="234"/>
      <c r="K137" s="232"/>
      <c r="L137" s="232"/>
      <c r="M137" s="233"/>
      <c r="N137" s="234"/>
      <c r="O137" s="232"/>
      <c r="P137" s="232"/>
      <c r="Q137" s="233"/>
      <c r="R137" s="234"/>
      <c r="S137" s="232"/>
      <c r="T137" s="232"/>
      <c r="U137" s="233"/>
      <c r="V137" s="234"/>
      <c r="W137" s="232"/>
      <c r="X137" s="232"/>
      <c r="Y137" s="233"/>
      <c r="Z137" s="234"/>
      <c r="AA137" s="232"/>
      <c r="AB137" s="232"/>
      <c r="AC137" s="233"/>
      <c r="AD137" s="234"/>
      <c r="AE137" s="233"/>
      <c r="AI137" s="353">
        <v>18</v>
      </c>
      <c r="AJ137" s="353">
        <v>18</v>
      </c>
      <c r="AK137" s="353">
        <v>18</v>
      </c>
      <c r="AQ137" s="353"/>
    </row>
    <row r="138" spans="1:43" ht="12.95" hidden="1" customHeight="1" thickBot="1">
      <c r="A138" s="885"/>
      <c r="B138" s="501"/>
      <c r="C138" s="231"/>
      <c r="D138" s="232"/>
      <c r="E138" s="233"/>
      <c r="F138" s="234"/>
      <c r="G138" s="232"/>
      <c r="H138" s="232"/>
      <c r="I138" s="233"/>
      <c r="J138" s="234"/>
      <c r="K138" s="232"/>
      <c r="L138" s="232"/>
      <c r="M138" s="233"/>
      <c r="N138" s="234"/>
      <c r="O138" s="232"/>
      <c r="P138" s="232"/>
      <c r="Q138" s="233"/>
      <c r="R138" s="234"/>
      <c r="S138" s="232"/>
      <c r="T138" s="232"/>
      <c r="U138" s="233"/>
      <c r="V138" s="234"/>
      <c r="W138" s="232"/>
      <c r="X138" s="232"/>
      <c r="Y138" s="233"/>
      <c r="Z138" s="234"/>
      <c r="AA138" s="232"/>
      <c r="AB138" s="232"/>
      <c r="AC138" s="233"/>
      <c r="AD138" s="234"/>
      <c r="AE138" s="233"/>
      <c r="AI138" s="353">
        <v>16</v>
      </c>
      <c r="AJ138" s="353">
        <v>16</v>
      </c>
      <c r="AK138" s="353">
        <v>16</v>
      </c>
      <c r="AQ138" s="353"/>
    </row>
    <row r="139" spans="1:43" ht="12.95" customHeight="1" thickBot="1">
      <c r="A139" s="885"/>
      <c r="B139" s="3" t="s">
        <v>38</v>
      </c>
      <c r="C139" s="12"/>
      <c r="D139" s="1377">
        <v>2008</v>
      </c>
      <c r="E139" s="1378"/>
      <c r="F139" s="1372">
        <v>2009</v>
      </c>
      <c r="G139" s="1373"/>
      <c r="H139" s="1373"/>
      <c r="I139" s="1374"/>
      <c r="J139" s="1372">
        <v>2010</v>
      </c>
      <c r="K139" s="1373"/>
      <c r="L139" s="1373"/>
      <c r="M139" s="1374"/>
      <c r="N139" s="1372">
        <v>2011</v>
      </c>
      <c r="O139" s="1373"/>
      <c r="P139" s="1373"/>
      <c r="Q139" s="1374"/>
      <c r="R139" s="1372">
        <v>2012</v>
      </c>
      <c r="S139" s="1373"/>
      <c r="T139" s="1373"/>
      <c r="U139" s="1374"/>
      <c r="V139" s="1372">
        <v>2013</v>
      </c>
      <c r="W139" s="1373"/>
      <c r="X139" s="1373"/>
      <c r="Y139" s="1374"/>
      <c r="Z139" s="1372">
        <v>2014</v>
      </c>
      <c r="AA139" s="1373"/>
      <c r="AB139" s="1373"/>
      <c r="AC139" s="1374"/>
      <c r="AD139" s="1372">
        <v>2015</v>
      </c>
      <c r="AE139" s="1374"/>
      <c r="AG139" s="257" t="s">
        <v>663</v>
      </c>
      <c r="AL139" s="351"/>
      <c r="AM139" s="351"/>
    </row>
    <row r="140" spans="1:43" ht="12.95" customHeight="1" thickBot="1">
      <c r="A140" s="885"/>
      <c r="B140" s="868" t="s">
        <v>155</v>
      </c>
      <c r="C140" s="194" t="s">
        <v>802</v>
      </c>
      <c r="D140" s="206"/>
      <c r="E140" s="207"/>
      <c r="F140" s="209"/>
      <c r="G140" s="206"/>
      <c r="H140" s="206"/>
      <c r="I140" s="207"/>
      <c r="J140" s="332" t="s">
        <v>721</v>
      </c>
      <c r="K140" s="206"/>
      <c r="L140" s="206"/>
      <c r="M140" s="207"/>
      <c r="N140" s="209"/>
      <c r="O140" s="206"/>
      <c r="P140" s="206"/>
      <c r="Q140" s="207"/>
      <c r="R140" s="209"/>
      <c r="S140" s="206"/>
      <c r="T140" s="206"/>
      <c r="U140" s="207"/>
      <c r="V140" s="277"/>
      <c r="W140" s="278"/>
      <c r="X140" s="278"/>
      <c r="Y140" s="278">
        <f>(Y150-V150)/3/$C$667/Spend!Y140*'State Efficiency Ratios (2014)'!$C$654</f>
        <v>601.97255317299562</v>
      </c>
      <c r="Z140" s="277"/>
      <c r="AA140" s="278"/>
      <c r="AB140" s="278"/>
      <c r="AC140" s="278">
        <f>(AC150-Y150)/4/$C$667/Spend!AC140*'State Efficiency Ratios (2014)'!$C$654</f>
        <v>552.59139410807836</v>
      </c>
      <c r="AD140" s="208"/>
      <c r="AE140" s="213"/>
      <c r="AG140" s="295"/>
      <c r="AM140" s="356"/>
    </row>
    <row r="141" spans="1:43" ht="12.95" customHeight="1" thickBot="1">
      <c r="A141" s="885"/>
      <c r="B141" s="885"/>
      <c r="C141" s="194" t="s">
        <v>803</v>
      </c>
      <c r="D141" s="206"/>
      <c r="E141" s="207"/>
      <c r="F141" s="209"/>
      <c r="G141" s="206"/>
      <c r="H141" s="206"/>
      <c r="I141" s="207"/>
      <c r="J141" s="209"/>
      <c r="K141" s="206"/>
      <c r="L141" s="206"/>
      <c r="M141" s="207"/>
      <c r="N141" s="209"/>
      <c r="O141" s="206"/>
      <c r="P141" s="206"/>
      <c r="Q141" s="207"/>
      <c r="R141" s="209"/>
      <c r="S141" s="206"/>
      <c r="T141" s="206"/>
      <c r="U141" s="207"/>
      <c r="V141" s="277"/>
      <c r="W141" s="278"/>
      <c r="X141" s="278"/>
      <c r="Y141" s="278">
        <f>(Y151-V151)/3/$C$667/Spend!Y141*'State Efficiency Ratios (2014)'!$C$654</f>
        <v>0</v>
      </c>
      <c r="Z141" s="277"/>
      <c r="AA141" s="278"/>
      <c r="AB141" s="278"/>
      <c r="AC141" s="278">
        <f>(AC151-Y151)/4/$C$667/Spend!AC141*'State Efficiency Ratios (2014)'!$C$654</f>
        <v>88.929114932907382</v>
      </c>
      <c r="AD141" s="208"/>
      <c r="AE141" s="213"/>
      <c r="AG141" s="295"/>
      <c r="AM141" s="378"/>
      <c r="AQ141" s="378"/>
    </row>
    <row r="142" spans="1:43" ht="12.95" customHeight="1" thickBot="1">
      <c r="A142" s="885"/>
      <c r="B142" s="885"/>
      <c r="C142" s="194" t="s">
        <v>804</v>
      </c>
      <c r="D142" s="206"/>
      <c r="E142" s="207"/>
      <c r="F142" s="209"/>
      <c r="G142" s="206"/>
      <c r="H142" s="206"/>
      <c r="I142" s="207"/>
      <c r="J142" s="209"/>
      <c r="K142" s="206"/>
      <c r="L142" s="206"/>
      <c r="M142" s="207"/>
      <c r="N142" s="209"/>
      <c r="O142" s="206"/>
      <c r="P142" s="206"/>
      <c r="Q142" s="207"/>
      <c r="R142" s="209"/>
      <c r="S142" s="206"/>
      <c r="T142" s="206"/>
      <c r="U142" s="207"/>
      <c r="V142" s="277"/>
      <c r="W142" s="278"/>
      <c r="X142" s="278"/>
      <c r="Y142" s="278">
        <f>(Y152-V152)/3/$C$667/Spend!Y142*'State Efficiency Ratios (2014)'!$C$654</f>
        <v>96.365581076349031</v>
      </c>
      <c r="Z142" s="277"/>
      <c r="AA142" s="278"/>
      <c r="AB142" s="278"/>
      <c r="AC142" s="278">
        <f>(AC152-Y152)/4/$C$667/Spend!AC142*'State Efficiency Ratios (2014)'!$C$654</f>
        <v>357.44231296679942</v>
      </c>
      <c r="AD142" s="208"/>
      <c r="AE142" s="213"/>
      <c r="AG142" s="295"/>
      <c r="AL142" s="575"/>
      <c r="AM142" s="575"/>
    </row>
    <row r="143" spans="1:43" ht="12.95" customHeight="1" thickBot="1">
      <c r="A143" s="885"/>
      <c r="B143" s="885"/>
      <c r="C143" s="194" t="s">
        <v>805</v>
      </c>
      <c r="D143" s="206"/>
      <c r="E143" s="207"/>
      <c r="F143" s="209"/>
      <c r="G143" s="206"/>
      <c r="H143" s="206"/>
      <c r="I143" s="207"/>
      <c r="J143" s="209"/>
      <c r="K143" s="206"/>
      <c r="L143" s="206"/>
      <c r="M143" s="207"/>
      <c r="N143" s="209"/>
      <c r="O143" s="206"/>
      <c r="P143" s="206"/>
      <c r="Q143" s="207"/>
      <c r="R143" s="209"/>
      <c r="S143" s="206"/>
      <c r="T143" s="206"/>
      <c r="U143" s="207"/>
      <c r="V143" s="277"/>
      <c r="W143" s="278"/>
      <c r="X143" s="278"/>
      <c r="Y143" s="278">
        <f>(Y153-V153)/3/$C$667/Spend!Y143*'State Efficiency Ratios (2014)'!$C$654</f>
        <v>933.48783708559517</v>
      </c>
      <c r="Z143" s="277"/>
      <c r="AA143" s="278"/>
      <c r="AB143" s="278"/>
      <c r="AC143" s="278">
        <f>(AC153-Y153)/4/$C$667/Spend!AC143*'State Efficiency Ratios (2014)'!$C$654</f>
        <v>78.77013632424071</v>
      </c>
      <c r="AD143" s="208"/>
      <c r="AE143" s="213"/>
      <c r="AG143" s="295"/>
      <c r="AL143" s="575"/>
      <c r="AM143" s="575"/>
    </row>
    <row r="144" spans="1:43" ht="12.95" customHeight="1" thickBot="1">
      <c r="A144" s="885"/>
      <c r="B144" s="885"/>
      <c r="C144" s="194" t="s">
        <v>806</v>
      </c>
      <c r="D144" s="206"/>
      <c r="E144" s="207"/>
      <c r="F144" s="209"/>
      <c r="G144" s="206"/>
      <c r="H144" s="206"/>
      <c r="I144" s="207"/>
      <c r="J144" s="209"/>
      <c r="K144" s="206"/>
      <c r="L144" s="206"/>
      <c r="M144" s="207"/>
      <c r="N144" s="209"/>
      <c r="O144" s="206"/>
      <c r="P144" s="206"/>
      <c r="Q144" s="207"/>
      <c r="R144" s="209"/>
      <c r="S144" s="206"/>
      <c r="T144" s="206"/>
      <c r="U144" s="207"/>
      <c r="V144" s="277"/>
      <c r="W144" s="278"/>
      <c r="X144" s="278"/>
      <c r="Y144" s="278">
        <f>(Y154-V154)/3/$C$667/Spend!Y144*'State Efficiency Ratios (2014)'!$C$654</f>
        <v>717.71697504676899</v>
      </c>
      <c r="Z144" s="277"/>
      <c r="AA144" s="278"/>
      <c r="AB144" s="278"/>
      <c r="AC144" s="278">
        <f>(AC154-Y154)/4/$C$667/Spend!AC144*'State Efficiency Ratios (2014)'!$C$654</f>
        <v>0</v>
      </c>
      <c r="AD144" s="208"/>
      <c r="AE144" s="213"/>
      <c r="AG144" s="295"/>
      <c r="AL144" s="575"/>
      <c r="AM144" s="575"/>
    </row>
    <row r="145" spans="1:43" ht="12.95" customHeight="1" thickBot="1">
      <c r="A145" s="885"/>
      <c r="B145" s="885"/>
      <c r="C145" s="194" t="s">
        <v>807</v>
      </c>
      <c r="D145" s="210"/>
      <c r="E145" s="211"/>
      <c r="F145" s="209"/>
      <c r="G145" s="210"/>
      <c r="H145" s="210"/>
      <c r="I145" s="211"/>
      <c r="J145" s="209"/>
      <c r="K145" s="210"/>
      <c r="L145" s="210"/>
      <c r="M145" s="211"/>
      <c r="N145" s="209"/>
      <c r="O145" s="206"/>
      <c r="P145" s="206"/>
      <c r="Q145" s="207"/>
      <c r="R145" s="209"/>
      <c r="S145" s="206"/>
      <c r="T145" s="206"/>
      <c r="U145" s="207"/>
      <c r="V145" s="277"/>
      <c r="W145" s="278"/>
      <c r="X145" s="278"/>
      <c r="Y145" s="278">
        <f>(Y155-V155)/3/$C$667/Spend!Y145*'State Efficiency Ratios (2014)'!$C$654</f>
        <v>-422.69666226953228</v>
      </c>
      <c r="Z145" s="277"/>
      <c r="AA145" s="278"/>
      <c r="AB145" s="278"/>
      <c r="AC145" s="278">
        <f>(AC155-Y155)/4/$C$667/Spend!AC145*'State Efficiency Ratios (2014)'!$C$654</f>
        <v>623.93865410069816</v>
      </c>
      <c r="AD145" s="208"/>
      <c r="AE145" s="213"/>
      <c r="AG145" s="295"/>
      <c r="AI145" s="4" t="s">
        <v>1053</v>
      </c>
      <c r="AL145" s="575"/>
      <c r="AM145" s="575"/>
    </row>
    <row r="146" spans="1:43" ht="12.95" customHeight="1" thickBot="1">
      <c r="A146" s="885"/>
      <c r="B146" s="885"/>
      <c r="C146" s="194" t="s">
        <v>808</v>
      </c>
      <c r="D146" s="210"/>
      <c r="E146" s="211"/>
      <c r="F146" s="209"/>
      <c r="G146" s="210"/>
      <c r="H146" s="210"/>
      <c r="I146" s="211"/>
      <c r="J146" s="209"/>
      <c r="K146" s="210"/>
      <c r="L146" s="210"/>
      <c r="M146" s="211"/>
      <c r="N146" s="209"/>
      <c r="O146" s="206"/>
      <c r="P146" s="206"/>
      <c r="Q146" s="207"/>
      <c r="R146" s="209"/>
      <c r="S146" s="206"/>
      <c r="T146" s="206"/>
      <c r="U146" s="207"/>
      <c r="V146" s="277"/>
      <c r="W146" s="278"/>
      <c r="X146" s="278"/>
      <c r="Y146" s="278">
        <f>(Y156-V156)/3/$C$667/Spend!Y146*'State Efficiency Ratios (2014)'!$C$654</f>
        <v>689.99672781962113</v>
      </c>
      <c r="Z146" s="277"/>
      <c r="AA146" s="278"/>
      <c r="AB146" s="278"/>
      <c r="AC146" s="278">
        <f>(AC156-Y156)/4/$C$667/Spend!AC146*'State Efficiency Ratios (2014)'!$C$654</f>
        <v>579.29127144587471</v>
      </c>
      <c r="AD146" s="208"/>
      <c r="AE146" s="213"/>
      <c r="AG146" s="295"/>
      <c r="AH146" s="355" t="s">
        <v>1052</v>
      </c>
      <c r="AI146" s="599">
        <f>4/5*SUM(AI150:AI154)/5</f>
        <v>0</v>
      </c>
      <c r="AJ146" s="592">
        <f>4/6*SUM(AJ150:AJ154)/5</f>
        <v>0</v>
      </c>
      <c r="AK146" s="592">
        <f>SUM(AK150:AK157)/8</f>
        <v>0.36249999999999999</v>
      </c>
      <c r="AL146" s="594">
        <f>SUM(AL150:AL157)/8</f>
        <v>0.38750000000000001</v>
      </c>
      <c r="AM146" s="575"/>
    </row>
    <row r="147" spans="1:43" ht="12.95" customHeight="1" thickBot="1">
      <c r="A147" s="885"/>
      <c r="B147" s="885"/>
      <c r="C147" s="194" t="s">
        <v>809</v>
      </c>
      <c r="D147" s="210"/>
      <c r="E147" s="211"/>
      <c r="F147" s="209"/>
      <c r="G147" s="210"/>
      <c r="H147" s="210"/>
      <c r="I147" s="211"/>
      <c r="J147" s="209"/>
      <c r="K147" s="210"/>
      <c r="L147" s="210"/>
      <c r="M147" s="211"/>
      <c r="N147" s="209"/>
      <c r="O147" s="206"/>
      <c r="P147" s="206"/>
      <c r="Q147" s="207"/>
      <c r="R147" s="209"/>
      <c r="S147" s="206"/>
      <c r="T147" s="206"/>
      <c r="U147" s="207"/>
      <c r="V147" s="277"/>
      <c r="W147" s="278"/>
      <c r="X147" s="278"/>
      <c r="Y147" s="278">
        <f>(Y157-V157)/3/$C$667/Spend!Y147*'State Efficiency Ratios (2014)'!$C$654</f>
        <v>509.30231717827269</v>
      </c>
      <c r="Z147" s="277"/>
      <c r="AA147" s="278"/>
      <c r="AB147" s="278"/>
      <c r="AC147" s="278">
        <f>(AC157-Y157)/4/$C$667/Spend!AC147*'State Efficiency Ratios (2014)'!$C$654</f>
        <v>370.06072279196945</v>
      </c>
      <c r="AD147" s="208"/>
      <c r="AE147" s="213"/>
      <c r="AG147" s="295"/>
      <c r="AH147" s="355" t="s">
        <v>1051</v>
      </c>
      <c r="AI147" s="606">
        <f>SUM(O140:O144)/5</f>
        <v>0</v>
      </c>
      <c r="AJ147" s="607">
        <f>SUM(U140:U144)/5</f>
        <v>0</v>
      </c>
      <c r="AK147" s="607">
        <f>SUM(Y140:Y147)/8</f>
        <v>390.76816613875883</v>
      </c>
      <c r="AL147" s="608">
        <f>SUM(AC140:AC147)/8</f>
        <v>331.37795083382105</v>
      </c>
      <c r="AM147" s="575"/>
    </row>
    <row r="148" spans="1:43" ht="12.95" customHeight="1" thickBot="1">
      <c r="A148" s="885"/>
      <c r="B148" s="885"/>
      <c r="C148" s="194" t="s">
        <v>810</v>
      </c>
      <c r="D148" s="210"/>
      <c r="E148" s="211"/>
      <c r="F148" s="209"/>
      <c r="G148" s="210"/>
      <c r="H148" s="210"/>
      <c r="I148" s="211"/>
      <c r="J148" s="209"/>
      <c r="K148" s="210"/>
      <c r="L148" s="210"/>
      <c r="M148" s="211"/>
      <c r="N148" s="209"/>
      <c r="O148" s="210"/>
      <c r="P148" s="210"/>
      <c r="Q148" s="211"/>
      <c r="R148" s="209"/>
      <c r="S148" s="210"/>
      <c r="T148" s="210"/>
      <c r="U148" s="211"/>
      <c r="V148" s="281"/>
      <c r="W148" s="282"/>
      <c r="X148" s="282"/>
      <c r="Y148" s="283"/>
      <c r="Z148" s="277"/>
      <c r="AA148" s="278"/>
      <c r="AB148" s="278"/>
      <c r="AC148" s="278">
        <f>(AC158-Y158)/4/$C$667/Spend!AC148*'State Efficiency Ratios (2014)'!$C$654</f>
        <v>0</v>
      </c>
      <c r="AD148" s="208"/>
      <c r="AE148" s="213"/>
      <c r="AG148" s="295"/>
      <c r="AL148" s="575"/>
      <c r="AM148" s="575"/>
    </row>
    <row r="149" spans="1:43" ht="12.95" customHeight="1" thickBot="1">
      <c r="A149" s="885"/>
      <c r="B149" s="885"/>
      <c r="C149" s="194" t="s">
        <v>811</v>
      </c>
      <c r="D149" s="210"/>
      <c r="E149" s="211"/>
      <c r="F149" s="209"/>
      <c r="G149" s="210"/>
      <c r="H149" s="210"/>
      <c r="I149" s="211"/>
      <c r="J149" s="209"/>
      <c r="K149" s="210"/>
      <c r="L149" s="210"/>
      <c r="M149" s="211"/>
      <c r="N149" s="209"/>
      <c r="O149" s="210"/>
      <c r="P149" s="210"/>
      <c r="Q149" s="211"/>
      <c r="R149" s="209"/>
      <c r="S149" s="210"/>
      <c r="T149" s="210"/>
      <c r="U149" s="211"/>
      <c r="V149" s="281"/>
      <c r="W149" s="282"/>
      <c r="X149" s="282"/>
      <c r="Y149" s="283"/>
      <c r="Z149" s="277"/>
      <c r="AA149" s="278"/>
      <c r="AB149" s="278"/>
      <c r="AC149" s="278">
        <f>(AC159-Y159)/4/$C$667/Spend!AC149*'State Efficiency Ratios (2014)'!$C$654</f>
        <v>0</v>
      </c>
      <c r="AD149" s="208"/>
      <c r="AE149" s="213"/>
      <c r="AG149" s="295"/>
      <c r="AI149" s="416" t="s">
        <v>1030</v>
      </c>
      <c r="AL149" s="575"/>
      <c r="AM149" s="575"/>
    </row>
    <row r="150" spans="1:43" ht="13.5" thickBot="1">
      <c r="A150" s="885"/>
      <c r="B150" s="885"/>
      <c r="C150" s="9" t="s">
        <v>295</v>
      </c>
      <c r="D150" s="202"/>
      <c r="E150" s="203"/>
      <c r="F150" s="201"/>
      <c r="G150" s="202"/>
      <c r="H150" s="202"/>
      <c r="I150" s="203"/>
      <c r="J150" s="201"/>
      <c r="K150" s="202"/>
      <c r="L150" s="202"/>
      <c r="M150" s="203"/>
      <c r="N150" s="204"/>
      <c r="O150" s="214"/>
      <c r="P150" s="205"/>
      <c r="Q150" s="205"/>
      <c r="R150" s="201"/>
      <c r="S150" s="202"/>
      <c r="T150" s="202"/>
      <c r="U150" s="203"/>
      <c r="V150" s="195">
        <f>'State DisAgg LFx10 (2014)'!L140</f>
        <v>2.9</v>
      </c>
      <c r="W150" s="196"/>
      <c r="X150" s="196"/>
      <c r="Y150" s="197">
        <f>'State DisAgg LFx10 (2014)'!P150</f>
        <v>3.5</v>
      </c>
      <c r="Z150" s="195"/>
      <c r="AA150" s="196"/>
      <c r="AB150" s="196"/>
      <c r="AC150" s="197">
        <f>'State DisAgg LFx10 (2014)'!T150</f>
        <v>4.2</v>
      </c>
      <c r="AD150" s="195"/>
      <c r="AE150" s="197"/>
      <c r="AI150" s="361">
        <f t="shared" ref="AI150:AI159" si="25">O150-J150</f>
        <v>0</v>
      </c>
      <c r="AJ150" s="362">
        <f>U150-O150</f>
        <v>0</v>
      </c>
      <c r="AK150" s="362">
        <f t="shared" ref="AK150:AK159" si="26">Y150-V150</f>
        <v>0.60000000000000009</v>
      </c>
      <c r="AL150" s="363">
        <f t="shared" ref="AL150:AL159" si="27">AC150-Y150</f>
        <v>0.70000000000000018</v>
      </c>
      <c r="AM150" s="354"/>
    </row>
    <row r="151" spans="1:43" ht="13.5" thickBot="1">
      <c r="A151" s="885"/>
      <c r="B151" s="885"/>
      <c r="C151" s="9" t="s">
        <v>296</v>
      </c>
      <c r="D151" s="202"/>
      <c r="E151" s="203"/>
      <c r="F151" s="201"/>
      <c r="G151" s="202"/>
      <c r="H151" s="202"/>
      <c r="I151" s="203"/>
      <c r="J151" s="201"/>
      <c r="K151" s="202"/>
      <c r="L151" s="202"/>
      <c r="M151" s="203"/>
      <c r="N151" s="204"/>
      <c r="O151" s="214"/>
      <c r="P151" s="205"/>
      <c r="Q151" s="205"/>
      <c r="R151" s="201"/>
      <c r="S151" s="202"/>
      <c r="T151" s="202"/>
      <c r="U151" s="203"/>
      <c r="V151" s="195">
        <f>'State DisAgg LFx10 (2014)'!L141</f>
        <v>3.4</v>
      </c>
      <c r="W151" s="196"/>
      <c r="X151" s="196"/>
      <c r="Y151" s="197">
        <f>'State DisAgg LFx10 (2014)'!P151</f>
        <v>3.4</v>
      </c>
      <c r="Z151" s="195"/>
      <c r="AA151" s="196"/>
      <c r="AB151" s="196"/>
      <c r="AC151" s="197">
        <f>'State DisAgg LFx10 (2014)'!T151</f>
        <v>3.5</v>
      </c>
      <c r="AD151" s="195"/>
      <c r="AE151" s="197"/>
      <c r="AI151" s="364">
        <f t="shared" si="25"/>
        <v>0</v>
      </c>
      <c r="AJ151" s="360">
        <f>U151-O151</f>
        <v>0</v>
      </c>
      <c r="AK151" s="360">
        <f t="shared" si="26"/>
        <v>0</v>
      </c>
      <c r="AL151" s="365">
        <f t="shared" si="27"/>
        <v>0.10000000000000009</v>
      </c>
      <c r="AM151" s="354"/>
    </row>
    <row r="152" spans="1:43" ht="13.5" thickBot="1">
      <c r="A152" s="885"/>
      <c r="B152" s="885"/>
      <c r="C152" s="9" t="s">
        <v>297</v>
      </c>
      <c r="D152" s="202"/>
      <c r="E152" s="203"/>
      <c r="F152" s="201"/>
      <c r="G152" s="202"/>
      <c r="H152" s="202"/>
      <c r="I152" s="203"/>
      <c r="J152" s="201"/>
      <c r="K152" s="202"/>
      <c r="L152" s="202"/>
      <c r="M152" s="203"/>
      <c r="N152" s="204"/>
      <c r="O152" s="214"/>
      <c r="P152" s="205"/>
      <c r="Q152" s="205"/>
      <c r="R152" s="201"/>
      <c r="S152" s="202"/>
      <c r="T152" s="202"/>
      <c r="U152" s="203"/>
      <c r="V152" s="195">
        <f>'State DisAgg LFx10 (2014)'!L142</f>
        <v>3.3</v>
      </c>
      <c r="W152" s="196"/>
      <c r="X152" s="196"/>
      <c r="Y152" s="197">
        <f>'State DisAgg LFx10 (2014)'!P152</f>
        <v>3.4</v>
      </c>
      <c r="Z152" s="195"/>
      <c r="AA152" s="196"/>
      <c r="AB152" s="196"/>
      <c r="AC152" s="197">
        <f>'State DisAgg LFx10 (2014)'!T152</f>
        <v>3.8</v>
      </c>
      <c r="AD152" s="195"/>
      <c r="AE152" s="197"/>
      <c r="AI152" s="364">
        <f t="shared" si="25"/>
        <v>0</v>
      </c>
      <c r="AJ152" s="360">
        <f>U152-O152</f>
        <v>0</v>
      </c>
      <c r="AK152" s="360">
        <f t="shared" si="26"/>
        <v>0.10000000000000009</v>
      </c>
      <c r="AL152" s="365">
        <f t="shared" si="27"/>
        <v>0.39999999999999991</v>
      </c>
      <c r="AM152" s="354"/>
    </row>
    <row r="153" spans="1:43" ht="13.5" thickBot="1">
      <c r="A153" s="885"/>
      <c r="B153" s="885"/>
      <c r="C153" s="9" t="s">
        <v>298</v>
      </c>
      <c r="D153" s="202"/>
      <c r="E153" s="203"/>
      <c r="F153" s="201"/>
      <c r="G153" s="202"/>
      <c r="H153" s="202"/>
      <c r="I153" s="203"/>
      <c r="J153" s="201"/>
      <c r="K153" s="202"/>
      <c r="L153" s="202"/>
      <c r="M153" s="203"/>
      <c r="N153" s="204"/>
      <c r="O153" s="214"/>
      <c r="P153" s="205"/>
      <c r="Q153" s="205"/>
      <c r="R153" s="201"/>
      <c r="S153" s="202"/>
      <c r="T153" s="202"/>
      <c r="U153" s="203"/>
      <c r="V153" s="195">
        <f>'State DisAgg LFx10 (2014)'!L143</f>
        <v>2.8</v>
      </c>
      <c r="W153" s="196"/>
      <c r="X153" s="196"/>
      <c r="Y153" s="197">
        <f>'State DisAgg LFx10 (2014)'!P153</f>
        <v>3.7</v>
      </c>
      <c r="Z153" s="195"/>
      <c r="AA153" s="196"/>
      <c r="AB153" s="196"/>
      <c r="AC153" s="197">
        <f>'State DisAgg LFx10 (2014)'!T153</f>
        <v>3.8</v>
      </c>
      <c r="AD153" s="195"/>
      <c r="AE153" s="197"/>
      <c r="AI153" s="364">
        <f t="shared" si="25"/>
        <v>0</v>
      </c>
      <c r="AJ153" s="360">
        <f>U153-O153</f>
        <v>0</v>
      </c>
      <c r="AK153" s="360">
        <f t="shared" si="26"/>
        <v>0.90000000000000036</v>
      </c>
      <c r="AL153" s="365">
        <f t="shared" si="27"/>
        <v>9.9999999999999645E-2</v>
      </c>
      <c r="AM153" s="354"/>
    </row>
    <row r="154" spans="1:43" ht="13.5" thickBot="1">
      <c r="A154" s="885"/>
      <c r="B154" s="885"/>
      <c r="C154" s="9" t="s">
        <v>299</v>
      </c>
      <c r="D154" s="202"/>
      <c r="E154" s="203"/>
      <c r="F154" s="201"/>
      <c r="G154" s="202"/>
      <c r="H154" s="202"/>
      <c r="I154" s="203"/>
      <c r="J154" s="201"/>
      <c r="K154" s="202"/>
      <c r="L154" s="202"/>
      <c r="M154" s="203"/>
      <c r="N154" s="204"/>
      <c r="O154" s="214"/>
      <c r="P154" s="205"/>
      <c r="Q154" s="205"/>
      <c r="R154" s="201"/>
      <c r="S154" s="202"/>
      <c r="T154" s="202"/>
      <c r="U154" s="203"/>
      <c r="V154" s="195">
        <f>'State DisAgg LFx10 (2014)'!L144</f>
        <v>2.5</v>
      </c>
      <c r="W154" s="196"/>
      <c r="X154" s="196"/>
      <c r="Y154" s="197">
        <f>'State DisAgg LFx10 (2014)'!P154</f>
        <v>3.3</v>
      </c>
      <c r="Z154" s="195"/>
      <c r="AA154" s="196"/>
      <c r="AB154" s="196"/>
      <c r="AC154" s="197">
        <f>'State DisAgg LFx10 (2014)'!T154</f>
        <v>3.3</v>
      </c>
      <c r="AD154" s="195"/>
      <c r="AE154" s="197"/>
      <c r="AI154" s="364">
        <f t="shared" si="25"/>
        <v>0</v>
      </c>
      <c r="AJ154" s="360">
        <f>U154-O154</f>
        <v>0</v>
      </c>
      <c r="AK154" s="360">
        <f t="shared" si="26"/>
        <v>0.79999999999999982</v>
      </c>
      <c r="AL154" s="365">
        <f t="shared" si="27"/>
        <v>0</v>
      </c>
      <c r="AM154" s="354"/>
    </row>
    <row r="155" spans="1:43" ht="13.5" thickBot="1">
      <c r="A155" s="885"/>
      <c r="B155" s="885"/>
      <c r="C155" s="9" t="s">
        <v>300</v>
      </c>
      <c r="D155" s="202"/>
      <c r="E155" s="203"/>
      <c r="F155" s="201"/>
      <c r="G155" s="202"/>
      <c r="H155" s="202"/>
      <c r="I155" s="203"/>
      <c r="J155" s="201"/>
      <c r="K155" s="202"/>
      <c r="L155" s="202"/>
      <c r="M155" s="203"/>
      <c r="N155" s="204"/>
      <c r="O155" s="214"/>
      <c r="P155" s="205"/>
      <c r="Q155" s="205"/>
      <c r="R155" s="201"/>
      <c r="S155" s="202"/>
      <c r="T155" s="202"/>
      <c r="U155" s="203"/>
      <c r="V155" s="195">
        <f>'State DisAgg LFx10 (2014)'!L145</f>
        <v>2.6</v>
      </c>
      <c r="W155" s="196"/>
      <c r="X155" s="196"/>
      <c r="Y155" s="197">
        <f>'State DisAgg LFx10 (2014)'!P155</f>
        <v>2.2999999999999998</v>
      </c>
      <c r="Z155" s="195"/>
      <c r="AA155" s="196"/>
      <c r="AB155" s="196"/>
      <c r="AC155" s="197">
        <f>'State DisAgg LFx10 (2014)'!T155</f>
        <v>3.1</v>
      </c>
      <c r="AD155" s="195"/>
      <c r="AE155" s="197"/>
      <c r="AI155" s="364">
        <f t="shared" si="25"/>
        <v>0</v>
      </c>
      <c r="AJ155" s="360">
        <f>U155-R155</f>
        <v>0</v>
      </c>
      <c r="AK155" s="360">
        <f t="shared" si="26"/>
        <v>-0.30000000000000027</v>
      </c>
      <c r="AL155" s="365">
        <f t="shared" si="27"/>
        <v>0.80000000000000027</v>
      </c>
      <c r="AM155" s="354"/>
    </row>
    <row r="156" spans="1:43" ht="13.5" thickBot="1">
      <c r="A156" s="885"/>
      <c r="B156" s="885"/>
      <c r="C156" s="9" t="s">
        <v>301</v>
      </c>
      <c r="D156" s="202"/>
      <c r="E156" s="203"/>
      <c r="F156" s="201"/>
      <c r="G156" s="202"/>
      <c r="H156" s="202"/>
      <c r="I156" s="203"/>
      <c r="J156" s="201"/>
      <c r="K156" s="202"/>
      <c r="L156" s="202"/>
      <c r="M156" s="203"/>
      <c r="N156" s="204"/>
      <c r="O156" s="214"/>
      <c r="P156" s="205"/>
      <c r="Q156" s="205"/>
      <c r="R156" s="201"/>
      <c r="S156" s="202"/>
      <c r="T156" s="202"/>
      <c r="U156" s="203"/>
      <c r="V156" s="195">
        <f>'State DisAgg LFx10 (2014)'!L146</f>
        <v>2.7</v>
      </c>
      <c r="W156" s="196"/>
      <c r="X156" s="196"/>
      <c r="Y156" s="197">
        <f>'State DisAgg LFx10 (2014)'!P156</f>
        <v>3.1</v>
      </c>
      <c r="Z156" s="195"/>
      <c r="AA156" s="196"/>
      <c r="AB156" s="196"/>
      <c r="AC156" s="197">
        <f>'State DisAgg LFx10 (2014)'!T156</f>
        <v>3.7</v>
      </c>
      <c r="AD156" s="195"/>
      <c r="AE156" s="197"/>
      <c r="AI156" s="364">
        <f t="shared" si="25"/>
        <v>0</v>
      </c>
      <c r="AJ156" s="360">
        <f>U156-R156</f>
        <v>0</v>
      </c>
      <c r="AK156" s="360">
        <f t="shared" si="26"/>
        <v>0.39999999999999991</v>
      </c>
      <c r="AL156" s="365">
        <f t="shared" si="27"/>
        <v>0.60000000000000009</v>
      </c>
      <c r="AM156" s="354"/>
    </row>
    <row r="157" spans="1:43" ht="13.5" thickBot="1">
      <c r="A157" s="885"/>
      <c r="B157" s="885"/>
      <c r="C157" s="9" t="s">
        <v>302</v>
      </c>
      <c r="D157" s="202"/>
      <c r="E157" s="203"/>
      <c r="F157" s="201"/>
      <c r="G157" s="202"/>
      <c r="H157" s="202"/>
      <c r="I157" s="203"/>
      <c r="J157" s="201"/>
      <c r="K157" s="202"/>
      <c r="L157" s="202"/>
      <c r="M157" s="203"/>
      <c r="N157" s="204"/>
      <c r="O157" s="214"/>
      <c r="P157" s="205"/>
      <c r="Q157" s="205"/>
      <c r="R157" s="201"/>
      <c r="S157" s="202"/>
      <c r="T157" s="202"/>
      <c r="U157" s="203"/>
      <c r="V157" s="195">
        <f>'State DisAgg LFx10 (2014)'!L147</f>
        <v>2.5</v>
      </c>
      <c r="W157" s="196"/>
      <c r="X157" s="196"/>
      <c r="Y157" s="197">
        <f>'State DisAgg LFx10 (2014)'!P157</f>
        <v>2.9</v>
      </c>
      <c r="Z157" s="195"/>
      <c r="AA157" s="196"/>
      <c r="AB157" s="196"/>
      <c r="AC157" s="197">
        <f>'State DisAgg LFx10 (2014)'!T157</f>
        <v>3.3</v>
      </c>
      <c r="AD157" s="195"/>
      <c r="AE157" s="197"/>
      <c r="AI157" s="364">
        <f t="shared" si="25"/>
        <v>0</v>
      </c>
      <c r="AJ157" s="360">
        <f>U157-R157</f>
        <v>0</v>
      </c>
      <c r="AK157" s="360">
        <f t="shared" si="26"/>
        <v>0.39999999999999991</v>
      </c>
      <c r="AL157" s="365">
        <f t="shared" si="27"/>
        <v>0.39999999999999991</v>
      </c>
      <c r="AM157" s="354"/>
    </row>
    <row r="158" spans="1:43" ht="13.5" thickBot="1">
      <c r="A158" s="885"/>
      <c r="B158" s="885"/>
      <c r="C158" s="9" t="s">
        <v>303</v>
      </c>
      <c r="D158" s="202"/>
      <c r="E158" s="203"/>
      <c r="F158" s="201"/>
      <c r="G158" s="202"/>
      <c r="H158" s="202"/>
      <c r="I158" s="203"/>
      <c r="J158" s="201"/>
      <c r="K158" s="202"/>
      <c r="L158" s="202"/>
      <c r="M158" s="203"/>
      <c r="N158" s="204"/>
      <c r="O158" s="214"/>
      <c r="P158" s="205"/>
      <c r="Q158" s="205"/>
      <c r="R158" s="201"/>
      <c r="S158" s="202"/>
      <c r="T158" s="202"/>
      <c r="U158" s="203"/>
      <c r="V158" s="242"/>
      <c r="W158" s="217" t="s">
        <v>633</v>
      </c>
      <c r="X158" s="241" t="s">
        <v>632</v>
      </c>
      <c r="Y158" s="197">
        <f>'State DisAgg LFx10 (2014)'!P148</f>
        <v>3.1</v>
      </c>
      <c r="Z158" s="195"/>
      <c r="AA158" s="196"/>
      <c r="AB158" s="196"/>
      <c r="AC158" s="197">
        <f>'State DisAgg LFx10 (2014)'!T158</f>
        <v>3.1</v>
      </c>
      <c r="AD158" s="195"/>
      <c r="AE158" s="197"/>
      <c r="AI158" s="364">
        <f t="shared" si="25"/>
        <v>0</v>
      </c>
      <c r="AJ158" s="360">
        <f>U158-O158</f>
        <v>0</v>
      </c>
      <c r="AK158" s="360">
        <f t="shared" si="26"/>
        <v>3.1</v>
      </c>
      <c r="AL158" s="365">
        <f t="shared" si="27"/>
        <v>0</v>
      </c>
      <c r="AM158" s="354"/>
    </row>
    <row r="159" spans="1:43" ht="13.5" thickBot="1">
      <c r="A159" s="885"/>
      <c r="B159" s="885"/>
      <c r="C159" s="9" t="s">
        <v>304</v>
      </c>
      <c r="D159" s="202"/>
      <c r="E159" s="203"/>
      <c r="F159" s="201"/>
      <c r="G159" s="202"/>
      <c r="H159" s="202"/>
      <c r="I159" s="203"/>
      <c r="J159" s="201"/>
      <c r="K159" s="202"/>
      <c r="L159" s="202"/>
      <c r="M159" s="203"/>
      <c r="N159" s="204"/>
      <c r="O159" s="205"/>
      <c r="P159" s="205"/>
      <c r="Q159" s="205"/>
      <c r="R159" s="201"/>
      <c r="S159" s="202"/>
      <c r="T159" s="202"/>
      <c r="U159" s="203"/>
      <c r="V159" s="242"/>
      <c r="W159" s="217" t="s">
        <v>633</v>
      </c>
      <c r="X159" s="241" t="s">
        <v>632</v>
      </c>
      <c r="Y159" s="197">
        <f>'State DisAgg LFx10 (2014)'!P149</f>
        <v>2.9</v>
      </c>
      <c r="Z159" s="195"/>
      <c r="AA159" s="196"/>
      <c r="AB159" s="196"/>
      <c r="AC159" s="197">
        <f>'State DisAgg LFx10 (2014)'!T159</f>
        <v>2.9</v>
      </c>
      <c r="AD159" s="195"/>
      <c r="AE159" s="197"/>
      <c r="AI159" s="366">
        <f t="shared" si="25"/>
        <v>0</v>
      </c>
      <c r="AJ159" s="367">
        <f>U159-O159</f>
        <v>0</v>
      </c>
      <c r="AK159" s="367">
        <f t="shared" si="26"/>
        <v>2.9</v>
      </c>
      <c r="AL159" s="368">
        <f t="shared" si="27"/>
        <v>0</v>
      </c>
      <c r="AM159" s="354"/>
    </row>
    <row r="160" spans="1:43" ht="12.95" hidden="1" customHeight="1" thickBot="1">
      <c r="A160" s="885"/>
      <c r="B160" s="501"/>
      <c r="C160" s="231"/>
      <c r="D160" s="232"/>
      <c r="E160" s="233"/>
      <c r="F160" s="234"/>
      <c r="G160" s="232"/>
      <c r="H160" s="232"/>
      <c r="I160" s="233"/>
      <c r="J160" s="234"/>
      <c r="K160" s="232"/>
      <c r="L160" s="232"/>
      <c r="M160" s="233"/>
      <c r="N160" s="234"/>
      <c r="O160" s="232"/>
      <c r="P160" s="232"/>
      <c r="Q160" s="233"/>
      <c r="R160" s="234"/>
      <c r="S160" s="232"/>
      <c r="T160" s="232"/>
      <c r="U160" s="233"/>
      <c r="V160" s="234"/>
      <c r="W160" s="232"/>
      <c r="X160" s="232"/>
      <c r="Y160" s="233"/>
      <c r="Z160" s="234"/>
      <c r="AA160" s="232"/>
      <c r="AB160" s="232"/>
      <c r="AC160" s="233"/>
      <c r="AD160" s="234"/>
      <c r="AE160" s="233"/>
      <c r="AI160" s="353">
        <v>18</v>
      </c>
      <c r="AJ160" s="353">
        <v>18</v>
      </c>
      <c r="AK160" s="353">
        <v>18</v>
      </c>
      <c r="AQ160" s="353"/>
    </row>
    <row r="161" spans="1:43" ht="12.95" hidden="1" customHeight="1" thickBot="1">
      <c r="A161" s="885"/>
      <c r="B161" s="501"/>
      <c r="C161" s="231"/>
      <c r="D161" s="232"/>
      <c r="E161" s="233"/>
      <c r="F161" s="234"/>
      <c r="G161" s="232"/>
      <c r="H161" s="232"/>
      <c r="I161" s="233"/>
      <c r="J161" s="234"/>
      <c r="K161" s="232"/>
      <c r="L161" s="232"/>
      <c r="M161" s="233"/>
      <c r="N161" s="234"/>
      <c r="O161" s="232"/>
      <c r="P161" s="232"/>
      <c r="Q161" s="233"/>
      <c r="R161" s="234"/>
      <c r="S161" s="232"/>
      <c r="T161" s="232"/>
      <c r="U161" s="233"/>
      <c r="V161" s="234"/>
      <c r="W161" s="232"/>
      <c r="X161" s="232"/>
      <c r="Y161" s="233"/>
      <c r="Z161" s="234"/>
      <c r="AA161" s="232"/>
      <c r="AB161" s="232"/>
      <c r="AC161" s="233"/>
      <c r="AD161" s="234"/>
      <c r="AE161" s="233"/>
      <c r="AI161" s="353">
        <v>16</v>
      </c>
      <c r="AJ161" s="353">
        <v>16</v>
      </c>
      <c r="AK161" s="353">
        <v>16</v>
      </c>
      <c r="AQ161" s="353"/>
    </row>
    <row r="162" spans="1:43" ht="12.95" customHeight="1" thickBot="1">
      <c r="A162" s="885"/>
      <c r="B162" s="3" t="s">
        <v>39</v>
      </c>
      <c r="C162" s="12"/>
      <c r="D162" s="1377">
        <v>2008</v>
      </c>
      <c r="E162" s="1378"/>
      <c r="F162" s="1372">
        <v>2009</v>
      </c>
      <c r="G162" s="1373"/>
      <c r="H162" s="1373"/>
      <c r="I162" s="1374"/>
      <c r="J162" s="1372">
        <v>2010</v>
      </c>
      <c r="K162" s="1373"/>
      <c r="L162" s="1373"/>
      <c r="M162" s="1374"/>
      <c r="N162" s="1372">
        <v>2011</v>
      </c>
      <c r="O162" s="1373"/>
      <c r="P162" s="1373"/>
      <c r="Q162" s="1374"/>
      <c r="R162" s="1372">
        <v>2012</v>
      </c>
      <c r="S162" s="1373"/>
      <c r="T162" s="1373"/>
      <c r="U162" s="1374"/>
      <c r="V162" s="1372">
        <v>2013</v>
      </c>
      <c r="W162" s="1373"/>
      <c r="X162" s="1373"/>
      <c r="Y162" s="1374"/>
      <c r="Z162" s="1372">
        <v>2014</v>
      </c>
      <c r="AA162" s="1373"/>
      <c r="AB162" s="1373"/>
      <c r="AC162" s="1374"/>
      <c r="AD162" s="1372">
        <v>2015</v>
      </c>
      <c r="AE162" s="1374"/>
      <c r="AL162" s="351"/>
      <c r="AM162" s="351"/>
    </row>
    <row r="163" spans="1:43" ht="12.95" customHeight="1" thickBot="1">
      <c r="A163" s="1382"/>
      <c r="B163" s="1253" t="s">
        <v>575</v>
      </c>
      <c r="C163" s="91"/>
      <c r="D163" s="1379" t="s">
        <v>715</v>
      </c>
      <c r="E163" s="1380"/>
      <c r="F163" s="1380"/>
      <c r="G163" s="1380"/>
      <c r="H163" s="1380"/>
      <c r="I163" s="1380"/>
      <c r="J163" s="1380"/>
      <c r="K163" s="1380"/>
      <c r="L163" s="1380"/>
      <c r="M163" s="1380"/>
      <c r="N163" s="1380"/>
      <c r="O163" s="1380"/>
      <c r="P163" s="1380"/>
      <c r="Q163" s="1380"/>
      <c r="R163" s="1380"/>
      <c r="S163" s="1380"/>
      <c r="T163" s="1380"/>
      <c r="U163" s="1380"/>
      <c r="V163" s="1380"/>
      <c r="W163" s="1380"/>
      <c r="X163" s="1380"/>
      <c r="Y163" s="1380"/>
      <c r="Z163" s="1380"/>
      <c r="AA163" s="1380"/>
      <c r="AB163" s="1380"/>
      <c r="AC163" s="1380"/>
      <c r="AD163" s="1380"/>
      <c r="AE163" s="1381"/>
      <c r="AG163" s="257" t="s">
        <v>663</v>
      </c>
      <c r="AM163" s="576"/>
      <c r="AN163" s="416" t="s">
        <v>1120</v>
      </c>
    </row>
    <row r="164" spans="1:43" ht="12.95" customHeight="1" thickBot="1">
      <c r="A164" s="1382"/>
      <c r="B164" s="1254"/>
      <c r="C164" s="194" t="s">
        <v>802</v>
      </c>
      <c r="D164" s="206"/>
      <c r="E164" s="207"/>
      <c r="F164" s="209"/>
      <c r="G164" s="206"/>
      <c r="H164" s="206"/>
      <c r="I164" s="207"/>
      <c r="J164" s="332" t="s">
        <v>720</v>
      </c>
      <c r="K164" s="206"/>
      <c r="L164" s="206"/>
      <c r="M164" s="207"/>
      <c r="N164" s="277"/>
      <c r="O164" s="278">
        <f>(O174-J174)/5/(SUM($C$668:$C$671))/Spend!O164*'State Efficiency Ratios (2014)'!$C$654</f>
        <v>0</v>
      </c>
      <c r="P164" s="278"/>
      <c r="Q164" s="279"/>
      <c r="R164" s="277"/>
      <c r="S164" s="278"/>
      <c r="T164" s="278"/>
      <c r="U164" s="278">
        <f>(U174-O174)/6/(SUM($C$668:$C$671))/Spend!U164*'State Efficiency Ratios (2014)'!$C$654</f>
        <v>213.18976654378375</v>
      </c>
      <c r="V164" s="277"/>
      <c r="W164" s="278"/>
      <c r="X164" s="278"/>
      <c r="Y164" s="278">
        <f>(Y174-U174)/4/(SUM($C$668:$C$671))/Spend!Y164*'State Efficiency Ratios (2014)'!$C$654</f>
        <v>248.3136781838607</v>
      </c>
      <c r="Z164" s="277"/>
      <c r="AA164" s="278"/>
      <c r="AB164" s="278"/>
      <c r="AC164" s="278">
        <f>(AC174-Y174)/4/(SUM($C$668:$C$671))/Spend!AC164*'State Efficiency Ratios (2014)'!$C$654</f>
        <v>-104.2029486032376</v>
      </c>
      <c r="AD164" s="277"/>
      <c r="AE164" s="280"/>
      <c r="AG164" s="295"/>
      <c r="AM164" s="351" t="s">
        <v>756</v>
      </c>
      <c r="AN164" s="697">
        <f>('Composites (2014)'!O29+'Composites (2014)'!O41+'Composites (2014)'!O53+'Composites (2014)'!O65+'Composites (2014)'!O77)/5</f>
        <v>-0.26816431303358179</v>
      </c>
      <c r="AO164" s="698">
        <f>('Composites (2014)'!U29+'Composites (2014)'!U41+'Composites (2014)'!U53+'Composites (2014)'!U65+'Composites (2014)'!U77)/5</f>
        <v>100.09687969279899</v>
      </c>
      <c r="AP164" s="698">
        <f>('Composites (2014)'!Y29+'Composites (2014)'!Y41+'Composites (2014)'!Y53+'Composites (2014)'!Y65+'Composites (2014)'!Y77)/5</f>
        <v>309.56715006031874</v>
      </c>
      <c r="AQ164" s="699">
        <f>('Composites (2014)'!AC29+'Composites (2014)'!AC41+'Composites (2014)'!AC53+'Composites (2014)'!AC65+'Composites (2014)'!AC77)/5</f>
        <v>152.36796071158852</v>
      </c>
    </row>
    <row r="165" spans="1:43" ht="12.95" customHeight="1" thickBot="1">
      <c r="A165" s="1382"/>
      <c r="B165" s="1254"/>
      <c r="C165" s="194" t="s">
        <v>803</v>
      </c>
      <c r="D165" s="206"/>
      <c r="E165" s="207"/>
      <c r="F165" s="209"/>
      <c r="G165" s="206"/>
      <c r="H165" s="206"/>
      <c r="I165" s="207"/>
      <c r="J165" s="209"/>
      <c r="K165" s="206"/>
      <c r="L165" s="206"/>
      <c r="M165" s="207"/>
      <c r="N165" s="277"/>
      <c r="O165" s="278">
        <f>(O175-J175)/5/(SUM($C$668:$C$671))/Spend!O165*'State Efficiency Ratios (2014)'!$C$654</f>
        <v>12.752372381707742</v>
      </c>
      <c r="P165" s="278"/>
      <c r="Q165" s="279"/>
      <c r="R165" s="277"/>
      <c r="S165" s="278"/>
      <c r="T165" s="278"/>
      <c r="U165" s="278">
        <f>(U175-O175)/6/(SUM($C$668:$C$671))/Spend!U165*'State Efficiency Ratios (2014)'!$C$654</f>
        <v>225.26668041994623</v>
      </c>
      <c r="V165" s="277"/>
      <c r="W165" s="278"/>
      <c r="X165" s="278"/>
      <c r="Y165" s="278">
        <f>(Y175-U175)/4/(SUM($C$668:$C$671))/Spend!Y165*'State Efficiency Ratios (2014)'!$C$654</f>
        <v>1603.2148269029149</v>
      </c>
      <c r="Z165" s="277"/>
      <c r="AA165" s="278"/>
      <c r="AB165" s="278"/>
      <c r="AC165" s="278">
        <f>(AC175-Y175)/4/(SUM($C$668:$C$671))/Spend!AC165*'State Efficiency Ratios (2014)'!$C$654</f>
        <v>234.77286342287528</v>
      </c>
      <c r="AD165" s="277"/>
      <c r="AE165" s="280"/>
      <c r="AG165" s="295"/>
      <c r="AL165" s="575"/>
      <c r="AM165" s="351" t="s">
        <v>757</v>
      </c>
      <c r="AN165" s="700">
        <f>('Composites (2014)'!O30+'Composites (2014)'!O42+'Composites (2014)'!O54+'Composites (2014)'!O66+'Composites (2014)'!O78)/5</f>
        <v>42.325708408123582</v>
      </c>
      <c r="AO165" s="701">
        <f>('Composites (2014)'!U30+'Composites (2014)'!U42+'Composites (2014)'!U54+'Composites (2014)'!U66+'Composites (2014)'!U78)/5</f>
        <v>85.058226528416753</v>
      </c>
      <c r="AP165" s="701">
        <f>('Composites (2014)'!Y30+'Composites (2014)'!Y42+'Composites (2014)'!Y54+'Composites (2014)'!Y66+'Composites (2014)'!Y78)/5</f>
        <v>358.02734114928558</v>
      </c>
      <c r="AQ165" s="702">
        <f>('Composites (2014)'!AC30+'Composites (2014)'!AC42+'Composites (2014)'!AC54+'Composites (2014)'!AC66+'Composites (2014)'!AC78)/5</f>
        <v>225.74899066777144</v>
      </c>
    </row>
    <row r="166" spans="1:43" ht="12.95" customHeight="1" thickBot="1">
      <c r="A166" s="1382"/>
      <c r="B166" s="1254"/>
      <c r="C166" s="194" t="s">
        <v>804</v>
      </c>
      <c r="D166" s="206"/>
      <c r="E166" s="207"/>
      <c r="F166" s="209"/>
      <c r="G166" s="206"/>
      <c r="H166" s="206"/>
      <c r="I166" s="207"/>
      <c r="J166" s="209"/>
      <c r="K166" s="206"/>
      <c r="L166" s="206"/>
      <c r="M166" s="207"/>
      <c r="N166" s="277"/>
      <c r="O166" s="278">
        <f>(O176-J176)/5/(SUM($C$668:$C$671))/Spend!O166*'State Efficiency Ratios (2014)'!$C$654</f>
        <v>36.875138050063491</v>
      </c>
      <c r="P166" s="278"/>
      <c r="Q166" s="279"/>
      <c r="R166" s="277"/>
      <c r="S166" s="278"/>
      <c r="T166" s="278"/>
      <c r="U166" s="278">
        <f>(U176-O176)/6/(SUM($C$668:$C$671))/Spend!U166*'State Efficiency Ratios (2014)'!$C$654</f>
        <v>171.67550675620637</v>
      </c>
      <c r="V166" s="277"/>
      <c r="W166" s="278"/>
      <c r="X166" s="278"/>
      <c r="Y166" s="278">
        <f>(Y176-U176)/4/(SUM($C$668:$C$671))/Spend!Y166*'State Efficiency Ratios (2014)'!$C$654</f>
        <v>286.20577579675637</v>
      </c>
      <c r="Z166" s="277"/>
      <c r="AA166" s="278"/>
      <c r="AB166" s="278"/>
      <c r="AC166" s="278">
        <f>(AC176-Y176)/4/(SUM($C$668:$C$671))/Spend!AC166*'State Efficiency Ratios (2014)'!$C$654</f>
        <v>58.977981639521914</v>
      </c>
      <c r="AD166" s="277"/>
      <c r="AE166" s="280"/>
      <c r="AG166" s="295"/>
      <c r="AL166" s="575"/>
      <c r="AM166" s="351" t="s">
        <v>758</v>
      </c>
      <c r="AN166" s="700">
        <f>('Composites (2014)'!O31+'Composites (2014)'!O43+'Composites (2014)'!O55+'Composites (2014)'!O67+'Composites (2014)'!O79)/5</f>
        <v>19.433707808425488</v>
      </c>
      <c r="AO166" s="701">
        <f>('Composites (2014)'!U31+'Composites (2014)'!U43+'Composites (2014)'!U55+'Composites (2014)'!U67+'Composites (2014)'!U79)/5</f>
        <v>86.352592453100584</v>
      </c>
      <c r="AP166" s="701">
        <f>('Composites (2014)'!Y31+'Composites (2014)'!Y43+'Composites (2014)'!Y55+'Composites (2014)'!Y67+'Composites (2014)'!Y79)/5</f>
        <v>191.76021311790373</v>
      </c>
      <c r="AQ166" s="702">
        <f>('Composites (2014)'!AC31+'Composites (2014)'!AC43+'Composites (2014)'!AC55+'Composites (2014)'!AC67+'Composites (2014)'!AC79)/5</f>
        <v>256.46975003945249</v>
      </c>
    </row>
    <row r="167" spans="1:43" ht="12.95" customHeight="1" thickBot="1">
      <c r="A167" s="1382"/>
      <c r="B167" s="1254"/>
      <c r="C167" s="194" t="s">
        <v>805</v>
      </c>
      <c r="D167" s="206"/>
      <c r="E167" s="207"/>
      <c r="F167" s="209"/>
      <c r="G167" s="206"/>
      <c r="H167" s="206"/>
      <c r="I167" s="207"/>
      <c r="J167" s="209"/>
      <c r="K167" s="206"/>
      <c r="L167" s="206"/>
      <c r="M167" s="207"/>
      <c r="N167" s="277"/>
      <c r="O167" s="278">
        <f>(O177-J177)/5/(SUM($C$668:$C$671))/Spend!O167*'State Efficiency Ratios (2014)'!$C$654</f>
        <v>37.08170659707465</v>
      </c>
      <c r="P167" s="278"/>
      <c r="Q167" s="279"/>
      <c r="R167" s="277"/>
      <c r="S167" s="278"/>
      <c r="T167" s="278"/>
      <c r="U167" s="278">
        <f>(U177-O177)/6/(SUM($C$668:$C$671))/Spend!U167*'State Efficiency Ratios (2014)'!$C$654</f>
        <v>211.50660612499465</v>
      </c>
      <c r="V167" s="277"/>
      <c r="W167" s="278"/>
      <c r="X167" s="278"/>
      <c r="Y167" s="278">
        <f>(Y177-U177)/4/(SUM($C$668:$C$671))/Spend!Y167*'State Efficiency Ratios (2014)'!$C$654</f>
        <v>667.44380351620043</v>
      </c>
      <c r="Z167" s="277"/>
      <c r="AA167" s="278"/>
      <c r="AB167" s="278"/>
      <c r="AC167" s="278">
        <f>(AC177-Y177)/4/(SUM($C$668:$C$671))/Spend!AC167*'State Efficiency Ratios (2014)'!$C$654</f>
        <v>51.988289973999052</v>
      </c>
      <c r="AD167" s="277"/>
      <c r="AE167" s="280"/>
      <c r="AG167" s="295"/>
      <c r="AL167" s="575"/>
      <c r="AM167" s="351" t="s">
        <v>759</v>
      </c>
      <c r="AN167" s="700">
        <f>('Composites (2014)'!O32+'Composites (2014)'!O44+'Composites (2014)'!O56+'Composites (2014)'!O68+'Composites (2014)'!O80)/5</f>
        <v>27.968562403095717</v>
      </c>
      <c r="AO167" s="701">
        <f>('Composites (2014)'!U32+'Composites (2014)'!U44+'Composites (2014)'!U56+'Composites (2014)'!U68+'Composites (2014)'!U80)/5</f>
        <v>87.283303697477081</v>
      </c>
      <c r="AP167" s="701">
        <f>('Composites (2014)'!Y32+'Composites (2014)'!Y44+'Composites (2014)'!Y56+'Composites (2014)'!Y68+'Composites (2014)'!Y80)/5</f>
        <v>211.8439728073694</v>
      </c>
      <c r="AQ167" s="702">
        <f>('Composites (2014)'!AC32+'Composites (2014)'!AC44+'Composites (2014)'!AC56+'Composites (2014)'!AC68+'Composites (2014)'!AC80)/5</f>
        <v>181.53721686210264</v>
      </c>
    </row>
    <row r="168" spans="1:43" ht="13.5" thickBot="1">
      <c r="A168" s="1382"/>
      <c r="B168" s="1254"/>
      <c r="C168" s="194" t="s">
        <v>806</v>
      </c>
      <c r="D168" s="206"/>
      <c r="E168" s="207"/>
      <c r="F168" s="209"/>
      <c r="G168" s="206"/>
      <c r="H168" s="206"/>
      <c r="I168" s="207"/>
      <c r="J168" s="209"/>
      <c r="K168" s="206"/>
      <c r="L168" s="206"/>
      <c r="M168" s="207"/>
      <c r="N168" s="277"/>
      <c r="O168" s="278">
        <f>(O178-J178)/5/(SUM($C$668:$C$671))/Spend!O168*'State Efficiency Ratios (2014)'!$C$654</f>
        <v>55.376436625121741</v>
      </c>
      <c r="P168" s="278"/>
      <c r="Q168" s="279"/>
      <c r="R168" s="277"/>
      <c r="S168" s="278"/>
      <c r="T168" s="278"/>
      <c r="U168" s="278">
        <f>(U178-O178)/6/(SUM($C$668:$C$671))/Spend!U168*'State Efficiency Ratios (2014)'!$C$654</f>
        <v>47.995016049619032</v>
      </c>
      <c r="V168" s="277"/>
      <c r="W168" s="278"/>
      <c r="X168" s="278"/>
      <c r="Y168" s="278">
        <f>(Y178-U178)/4/(SUM($C$668:$C$671))/Spend!Y168*'State Efficiency Ratios (2014)'!$C$654</f>
        <v>621.72232963426393</v>
      </c>
      <c r="Z168" s="277"/>
      <c r="AA168" s="278"/>
      <c r="AB168" s="278"/>
      <c r="AC168" s="278">
        <f>(AC178-Y178)/4/(SUM($C$668:$C$671))/Spend!AC168*'State Efficiency Ratios (2014)'!$C$654</f>
        <v>89.579662581675819</v>
      </c>
      <c r="AD168" s="277"/>
      <c r="AE168" s="280"/>
      <c r="AG168" s="295"/>
      <c r="AL168" s="575"/>
      <c r="AM168" s="351" t="s">
        <v>760</v>
      </c>
      <c r="AN168" s="700">
        <f>('Composites (2014)'!O33+'Composites (2014)'!O45+'Composites (2014)'!O57+'Composites (2014)'!O69+'Composites (2014)'!O81)/5</f>
        <v>28.237531664277185</v>
      </c>
      <c r="AO168" s="701">
        <f>('Composites (2014)'!U33+'Composites (2014)'!U45+'Composites (2014)'!U57+'Composites (2014)'!U69+'Composites (2014)'!U81)/5</f>
        <v>38.464966809326867</v>
      </c>
      <c r="AP168" s="701">
        <f>('Composites (2014)'!Y33+'Composites (2014)'!Y45+'Composites (2014)'!Y57+'Composites (2014)'!Y69+'Composites (2014)'!Y81)/5</f>
        <v>199.15930449678984</v>
      </c>
      <c r="AQ168" s="702">
        <f>('Composites (2014)'!AC33+'Composites (2014)'!AC45+'Composites (2014)'!AC57+'Composites (2014)'!AC69+'Composites (2014)'!AC81)/5</f>
        <v>195.237237352611</v>
      </c>
    </row>
    <row r="169" spans="1:43" ht="12.95" customHeight="1" thickBot="1">
      <c r="A169" s="1382"/>
      <c r="B169" s="1254"/>
      <c r="C169" s="194" t="s">
        <v>807</v>
      </c>
      <c r="D169" s="210"/>
      <c r="E169" s="211"/>
      <c r="F169" s="209"/>
      <c r="G169" s="210"/>
      <c r="H169" s="210"/>
      <c r="I169" s="211"/>
      <c r="J169" s="209"/>
      <c r="K169" s="210"/>
      <c r="L169" s="210"/>
      <c r="M169" s="211"/>
      <c r="N169" s="281"/>
      <c r="O169" s="282"/>
      <c r="P169" s="282"/>
      <c r="Q169" s="282"/>
      <c r="R169" s="277"/>
      <c r="S169" s="278"/>
      <c r="T169" s="278"/>
      <c r="U169" s="278">
        <f>(U179-R179)/3/(SUM($C$668:$C$671))/Spend!U169*'State Efficiency Ratios (2014)'!$C$654</f>
        <v>0</v>
      </c>
      <c r="V169" s="277"/>
      <c r="W169" s="278"/>
      <c r="X169" s="278"/>
      <c r="Y169" s="278">
        <f>(Y179-U179)/4/(SUM($C$668:$C$671))/Spend!Y169*'State Efficiency Ratios (2014)'!$C$654</f>
        <v>139.48989854894555</v>
      </c>
      <c r="Z169" s="277"/>
      <c r="AA169" s="278"/>
      <c r="AB169" s="278"/>
      <c r="AC169" s="278">
        <f>(AC179-Y179)/4/(SUM($C$668:$C$671))/Spend!AC169*'State Efficiency Ratios (2014)'!$C$654</f>
        <v>51.474938963307586</v>
      </c>
      <c r="AD169" s="277"/>
      <c r="AE169" s="280"/>
      <c r="AG169" s="295"/>
      <c r="AI169" s="4" t="s">
        <v>1053</v>
      </c>
      <c r="AL169" s="575"/>
      <c r="AM169" s="351" t="s">
        <v>761</v>
      </c>
      <c r="AN169" s="700">
        <f>('Composites (2014)'!O34+'Composites (2014)'!O46+'Composites (2014)'!O58+'Composites (2014)'!O70+'Composites (2014)'!O82)/5</f>
        <v>0</v>
      </c>
      <c r="AO169" s="701">
        <f>('Composites (2014)'!U34+'Composites (2014)'!U46+'Composites (2014)'!U58+'Composites (2014)'!U70+'Composites (2014)'!U82)/5</f>
        <v>79.62519577523743</v>
      </c>
      <c r="AP169" s="701">
        <f>('Composites (2014)'!Y34+'Composites (2014)'!Y46+'Composites (2014)'!Y58+'Composites (2014)'!Y70+'Composites (2014)'!Y82)/5</f>
        <v>291.76374641420801</v>
      </c>
      <c r="AQ169" s="702">
        <f>('Composites (2014)'!AC34+'Composites (2014)'!AC46+'Composites (2014)'!AC58+'Composites (2014)'!AC70+'Composites (2014)'!AC82)/5</f>
        <v>168.93617274737409</v>
      </c>
    </row>
    <row r="170" spans="1:43" ht="12.95" customHeight="1" thickBot="1">
      <c r="A170" s="1382"/>
      <c r="B170" s="1254"/>
      <c r="C170" s="194" t="s">
        <v>808</v>
      </c>
      <c r="D170" s="210"/>
      <c r="E170" s="211"/>
      <c r="F170" s="209"/>
      <c r="G170" s="210"/>
      <c r="H170" s="210"/>
      <c r="I170" s="211"/>
      <c r="J170" s="209"/>
      <c r="K170" s="210"/>
      <c r="L170" s="210"/>
      <c r="M170" s="211"/>
      <c r="N170" s="281"/>
      <c r="O170" s="282"/>
      <c r="P170" s="282"/>
      <c r="Q170" s="282"/>
      <c r="R170" s="277"/>
      <c r="S170" s="278"/>
      <c r="T170" s="278"/>
      <c r="U170" s="278">
        <f>(U180-R180)/3/(SUM($C$668:$C$671))/Spend!U170*'State Efficiency Ratios (2014)'!$C$654</f>
        <v>0</v>
      </c>
      <c r="V170" s="277"/>
      <c r="W170" s="278"/>
      <c r="X170" s="278"/>
      <c r="Y170" s="278">
        <f>(Y180-U180)/4/(SUM($C$668:$C$671))/Spend!Y170*'State Efficiency Ratios (2014)'!$C$654</f>
        <v>256.16128520303437</v>
      </c>
      <c r="Z170" s="277"/>
      <c r="AA170" s="278"/>
      <c r="AB170" s="278"/>
      <c r="AC170" s="278">
        <f>(AC180-Y180)/4/(SUM($C$668:$C$671))/Spend!AC170*'State Efficiency Ratios (2014)'!$C$654</f>
        <v>318.61019929523104</v>
      </c>
      <c r="AD170" s="277"/>
      <c r="AE170" s="280"/>
      <c r="AG170" s="295"/>
      <c r="AH170" s="355" t="s">
        <v>1052</v>
      </c>
      <c r="AI170" s="599">
        <f>4/5*SUM(AI174:AI178)/5</f>
        <v>1.9200000000000004</v>
      </c>
      <c r="AJ170" s="592">
        <f>4/6*SUM(AJ174:AJ178)/5</f>
        <v>5.2</v>
      </c>
      <c r="AK170" s="592">
        <f>SUM(AK174:AK181)/8</f>
        <v>11.125</v>
      </c>
      <c r="AL170" s="594">
        <f>SUM(AL174:AL181)/8</f>
        <v>2.125</v>
      </c>
      <c r="AM170" s="351" t="s">
        <v>762</v>
      </c>
      <c r="AN170" s="700">
        <f>('Composites (2014)'!O35+'Composites (2014)'!O47+'Composites (2014)'!O59+'Composites (2014)'!O71+'Composites (2014)'!O83)/5</f>
        <v>0</v>
      </c>
      <c r="AO170" s="701">
        <f>('Composites (2014)'!U35+'Composites (2014)'!U47+'Composites (2014)'!U59+'Composites (2014)'!U71+'Composites (2014)'!U83)/5</f>
        <v>32.701606478676169</v>
      </c>
      <c r="AP170" s="701">
        <f>('Composites (2014)'!Y35+'Composites (2014)'!Y47+'Composites (2014)'!Y59+'Composites (2014)'!Y71+'Composites (2014)'!Y83)/5</f>
        <v>111.99582929963125</v>
      </c>
      <c r="AQ170" s="702">
        <f>('Composites (2014)'!AC35+'Composites (2014)'!AC47+'Composites (2014)'!AC59+'Composites (2014)'!AC71+'Composites (2014)'!AC83)/5</f>
        <v>397.79684135890903</v>
      </c>
    </row>
    <row r="171" spans="1:43" ht="12.95" customHeight="1" thickBot="1">
      <c r="A171" s="1382"/>
      <c r="B171" s="1254"/>
      <c r="C171" s="194" t="s">
        <v>809</v>
      </c>
      <c r="D171" s="210"/>
      <c r="E171" s="211"/>
      <c r="F171" s="209"/>
      <c r="G171" s="210"/>
      <c r="H171" s="210"/>
      <c r="I171" s="211"/>
      <c r="J171" s="209"/>
      <c r="K171" s="210"/>
      <c r="L171" s="210"/>
      <c r="M171" s="211"/>
      <c r="N171" s="281"/>
      <c r="O171" s="282"/>
      <c r="P171" s="282"/>
      <c r="Q171" s="282"/>
      <c r="R171" s="277"/>
      <c r="S171" s="278"/>
      <c r="T171" s="278"/>
      <c r="U171" s="278">
        <f>(U181-R181)/3/(SUM($C$668:$C$671))/Spend!U171*'State Efficiency Ratios (2014)'!$C$654</f>
        <v>0</v>
      </c>
      <c r="V171" s="277"/>
      <c r="W171" s="278"/>
      <c r="X171" s="278"/>
      <c r="Y171" s="278">
        <f>(Y181-U181)/4/(SUM($C$668:$C$671))/Spend!Y171*'State Efficiency Ratios (2014)'!$C$654</f>
        <v>945.39242626216878</v>
      </c>
      <c r="Z171" s="277"/>
      <c r="AA171" s="278"/>
      <c r="AB171" s="278"/>
      <c r="AC171" s="278">
        <f>(AC181-Y181)/4/(SUM($C$668:$C$671))/Spend!AC171*'State Efficiency Ratios (2014)'!$C$654</f>
        <v>305.30009630337491</v>
      </c>
      <c r="AD171" s="277"/>
      <c r="AE171" s="280"/>
      <c r="AG171" s="295"/>
      <c r="AH171" s="355" t="s">
        <v>1051</v>
      </c>
      <c r="AI171" s="606">
        <f>SUM(O164:O168)/5</f>
        <v>28.417130730793524</v>
      </c>
      <c r="AJ171" s="607">
        <f>SUM(U164:U168)/5</f>
        <v>173.92671517891</v>
      </c>
      <c r="AK171" s="607">
        <f>SUM(Y164:Y171)/8</f>
        <v>595.99300300601806</v>
      </c>
      <c r="AL171" s="608">
        <f>SUM(AC164:AC171)/8</f>
        <v>125.8126354470935</v>
      </c>
      <c r="AM171" s="351" t="s">
        <v>763</v>
      </c>
      <c r="AN171" s="700">
        <f>('Composites (2014)'!O36+'Composites (2014)'!O48+'Composites (2014)'!O60+'Composites (2014)'!O72+'Composites (2014)'!O84)/5</f>
        <v>0</v>
      </c>
      <c r="AO171" s="701">
        <f>('Composites (2014)'!U36+'Composites (2014)'!U48+'Composites (2014)'!U60+'Composites (2014)'!U72+'Composites (2014)'!U84)/5</f>
        <v>19.599980644386886</v>
      </c>
      <c r="AP171" s="701">
        <f>('Composites (2014)'!Y36+'Composites (2014)'!Y48+'Composites (2014)'!Y60+'Composites (2014)'!Y72+'Composites (2014)'!Y84)/5</f>
        <v>274.21806746367872</v>
      </c>
      <c r="AQ171" s="702">
        <f>('Composites (2014)'!AC36+'Composites (2014)'!AC48+'Composites (2014)'!AC60+'Composites (2014)'!AC72+'Composites (2014)'!AC84)/5</f>
        <v>343.87922507969608</v>
      </c>
    </row>
    <row r="172" spans="1:43" ht="12.95" customHeight="1" thickBot="1">
      <c r="A172" s="1382"/>
      <c r="B172" s="1254"/>
      <c r="C172" s="194" t="s">
        <v>810</v>
      </c>
      <c r="D172" s="210"/>
      <c r="E172" s="211"/>
      <c r="F172" s="209"/>
      <c r="G172" s="210"/>
      <c r="H172" s="210"/>
      <c r="I172" s="211"/>
      <c r="J172" s="209"/>
      <c r="K172" s="210"/>
      <c r="L172" s="210"/>
      <c r="M172" s="211"/>
      <c r="N172" s="281"/>
      <c r="O172" s="282"/>
      <c r="P172" s="282"/>
      <c r="Q172" s="283"/>
      <c r="R172" s="281"/>
      <c r="S172" s="282"/>
      <c r="T172" s="282"/>
      <c r="U172" s="283"/>
      <c r="V172" s="281"/>
      <c r="W172" s="282"/>
      <c r="X172" s="282"/>
      <c r="Y172" s="283"/>
      <c r="Z172" s="277"/>
      <c r="AA172" s="278"/>
      <c r="AB172" s="278"/>
      <c r="AC172" s="278">
        <f>(AC182-Y182)/4/(SUM($C$668:$C$671))/Spend!AC172*'State Efficiency Ratios (2014)'!$C$654</f>
        <v>0</v>
      </c>
      <c r="AD172" s="277"/>
      <c r="AE172" s="280"/>
      <c r="AG172" s="295"/>
      <c r="AL172" s="575"/>
      <c r="AM172" s="351" t="s">
        <v>1098</v>
      </c>
      <c r="AN172" s="700">
        <f>('Composites (2014)'!O37+'Composites (2014)'!O49+'Composites (2014)'!O61+'Composites (2014)'!O73+'Composites (2014)'!O85)/5</f>
        <v>0</v>
      </c>
      <c r="AO172" s="701">
        <f>('Composites (2014)'!U37+'Composites (2014)'!U49+'Composites (2014)'!U61+'Composites (2014)'!U73+'Composites (2014)'!U85)/5</f>
        <v>0</v>
      </c>
      <c r="AP172" s="701">
        <f>('Composites (2014)'!Y37+'Composites (2014)'!Y49+'Composites (2014)'!Y61+'Composites (2014)'!Y73+'Composites (2014)'!Y85)/5</f>
        <v>0</v>
      </c>
      <c r="AQ172" s="702">
        <f>('Composites (2014)'!AC37+'Composites (2014)'!AC49+'Composites (2014)'!AC61+'Composites (2014)'!AC73+'Composites (2014)'!AC85)/5</f>
        <v>0</v>
      </c>
    </row>
    <row r="173" spans="1:43" ht="12.95" customHeight="1" thickBot="1">
      <c r="A173" s="1382"/>
      <c r="B173" s="1254" t="s">
        <v>159</v>
      </c>
      <c r="C173" s="194" t="s">
        <v>811</v>
      </c>
      <c r="D173" s="210"/>
      <c r="E173" s="211"/>
      <c r="F173" s="209"/>
      <c r="G173" s="210"/>
      <c r="H173" s="210"/>
      <c r="I173" s="211"/>
      <c r="J173" s="209"/>
      <c r="K173" s="210"/>
      <c r="L173" s="210"/>
      <c r="M173" s="211"/>
      <c r="N173" s="281"/>
      <c r="O173" s="282"/>
      <c r="P173" s="282"/>
      <c r="Q173" s="283"/>
      <c r="R173" s="281"/>
      <c r="S173" s="282"/>
      <c r="T173" s="282"/>
      <c r="U173" s="283"/>
      <c r="V173" s="281"/>
      <c r="W173" s="282"/>
      <c r="X173" s="282"/>
      <c r="Y173" s="283"/>
      <c r="Z173" s="277"/>
      <c r="AA173" s="278"/>
      <c r="AB173" s="278"/>
      <c r="AC173" s="278">
        <f>(AC183-Y183)/4/(SUM($C$668:$C$671))/Spend!AC173*'State Efficiency Ratios (2014)'!$C$654</f>
        <v>0</v>
      </c>
      <c r="AD173" s="277"/>
      <c r="AE173" s="280"/>
      <c r="AG173" s="295"/>
      <c r="AI173" s="416" t="s">
        <v>1031</v>
      </c>
      <c r="AL173" s="575"/>
      <c r="AM173" s="351" t="s">
        <v>1099</v>
      </c>
      <c r="AN173" s="735">
        <f>('Composites (2014)'!O38+'Composites (2014)'!O50+'Composites (2014)'!O62+'Composites (2014)'!O74+'Composites (2014)'!O86)/5</f>
        <v>0</v>
      </c>
      <c r="AO173" s="736">
        <f>('Composites (2014)'!U38+'Composites (2014)'!U50+'Composites (2014)'!U62+'Composites (2014)'!U74+'Composites (2014)'!U86)/5</f>
        <v>0</v>
      </c>
      <c r="AP173" s="736">
        <f>('Composites (2014)'!Y38+'Composites (2014)'!Y50+'Composites (2014)'!Y62+'Composites (2014)'!Y74+'Composites (2014)'!Y86)/5</f>
        <v>0</v>
      </c>
      <c r="AQ173" s="737">
        <f>('Composites (2014)'!AC38+'Composites (2014)'!AC50+'Composites (2014)'!AC62+'Composites (2014)'!AC74+'Composites (2014)'!AC86)/5</f>
        <v>0</v>
      </c>
    </row>
    <row r="174" spans="1:43" ht="12.95" customHeight="1" thickBot="1">
      <c r="A174" s="1382"/>
      <c r="B174" s="1254"/>
      <c r="C174" s="9" t="s">
        <v>295</v>
      </c>
      <c r="D174" s="241" t="s">
        <v>632</v>
      </c>
      <c r="E174" s="241" t="s">
        <v>632</v>
      </c>
      <c r="F174" s="243" t="s">
        <v>646</v>
      </c>
      <c r="G174" s="241" t="s">
        <v>646</v>
      </c>
      <c r="H174" s="241" t="s">
        <v>646</v>
      </c>
      <c r="I174" s="244" t="s">
        <v>646</v>
      </c>
      <c r="J174" s="195">
        <f>SUM('State DisAgg LFx10 (2014)'!D164:G164)</f>
        <v>0</v>
      </c>
      <c r="K174" s="196"/>
      <c r="L174" s="196"/>
      <c r="M174" s="197"/>
      <c r="N174" s="195"/>
      <c r="O174" s="196">
        <f>SUM('State DisAgg LFx10 (2014)'!H174:K174)</f>
        <v>0</v>
      </c>
      <c r="P174" s="196"/>
      <c r="Q174" s="197"/>
      <c r="R174" s="195"/>
      <c r="S174" s="196"/>
      <c r="T174" s="196"/>
      <c r="U174" s="197">
        <f>SUM('State DisAgg LFx10 (2014)'!L174:O174)</f>
        <v>9</v>
      </c>
      <c r="V174" s="195"/>
      <c r="W174" s="196"/>
      <c r="X174" s="196"/>
      <c r="Y174" s="197">
        <f>SUM('State DisAgg LFx10 (2014)'!P174:S174)</f>
        <v>14</v>
      </c>
      <c r="Z174" s="195"/>
      <c r="AA174" s="196"/>
      <c r="AB174" s="196"/>
      <c r="AC174" s="197">
        <f>SUM('State DisAgg LFx10 (2014)'!T174:W174)</f>
        <v>12</v>
      </c>
      <c r="AD174" s="195"/>
      <c r="AE174" s="197"/>
      <c r="AI174" s="580">
        <f>O174-J174</f>
        <v>0</v>
      </c>
      <c r="AJ174" s="581">
        <f>U174-O174</f>
        <v>9</v>
      </c>
      <c r="AK174" s="581">
        <f t="shared" ref="AK174:AK183" si="28">Y174-U174</f>
        <v>5</v>
      </c>
      <c r="AL174" s="582">
        <f t="shared" ref="AL174:AL183" si="29">AC174-Y174</f>
        <v>-2</v>
      </c>
      <c r="AM174" s="351" t="s">
        <v>756</v>
      </c>
      <c r="AN174" s="738">
        <f>(AN203+AN278+AN354+AN454+AN579)/5</f>
        <v>0.20875000000000005</v>
      </c>
      <c r="AO174" s="739">
        <f t="shared" ref="AO174:AQ174" si="30">(AO203+AO278+AO354+AO454+AO579)/5</f>
        <v>1.1228750000000001</v>
      </c>
      <c r="AP174" s="739">
        <f t="shared" si="30"/>
        <v>1.1519166666666665</v>
      </c>
      <c r="AQ174" s="740">
        <f t="shared" si="30"/>
        <v>0.84136111111111123</v>
      </c>
    </row>
    <row r="175" spans="1:43" ht="12.95" customHeight="1" thickBot="1">
      <c r="A175" s="1382"/>
      <c r="B175" s="1254"/>
      <c r="C175" s="9" t="s">
        <v>296</v>
      </c>
      <c r="D175" s="241" t="s">
        <v>632</v>
      </c>
      <c r="E175" s="241" t="s">
        <v>632</v>
      </c>
      <c r="F175" s="243" t="s">
        <v>646</v>
      </c>
      <c r="G175" s="241" t="s">
        <v>646</v>
      </c>
      <c r="H175" s="241" t="s">
        <v>646</v>
      </c>
      <c r="I175" s="244" t="s">
        <v>646</v>
      </c>
      <c r="J175" s="195">
        <f>SUM('State DisAgg LFx10 (2014)'!D165:G165)</f>
        <v>0</v>
      </c>
      <c r="K175" s="196"/>
      <c r="L175" s="196"/>
      <c r="M175" s="197"/>
      <c r="N175" s="195"/>
      <c r="O175" s="196">
        <f>SUM('State DisAgg LFx10 (2014)'!H175:K175)</f>
        <v>1</v>
      </c>
      <c r="P175" s="196"/>
      <c r="Q175" s="197"/>
      <c r="R175" s="195"/>
      <c r="S175" s="196"/>
      <c r="T175" s="196"/>
      <c r="U175" s="197">
        <f>SUM('State DisAgg LFx10 (2014)'!L175:O175)</f>
        <v>10</v>
      </c>
      <c r="V175" s="195"/>
      <c r="W175" s="196"/>
      <c r="X175" s="196"/>
      <c r="Y175" s="197">
        <f>SUM('State DisAgg LFx10 (2014)'!P175:S175)</f>
        <v>41</v>
      </c>
      <c r="Z175" s="195"/>
      <c r="AA175" s="196"/>
      <c r="AB175" s="196"/>
      <c r="AC175" s="197">
        <f>SUM('State DisAgg LFx10 (2014)'!T175:W175)</f>
        <v>45</v>
      </c>
      <c r="AD175" s="195"/>
      <c r="AE175" s="197"/>
      <c r="AI175" s="583">
        <f>O175-J175</f>
        <v>1</v>
      </c>
      <c r="AJ175" s="579">
        <f>U175-O175</f>
        <v>9</v>
      </c>
      <c r="AK175" s="579">
        <f t="shared" si="28"/>
        <v>31</v>
      </c>
      <c r="AL175" s="584">
        <f t="shared" si="29"/>
        <v>4</v>
      </c>
      <c r="AM175" s="351" t="s">
        <v>757</v>
      </c>
      <c r="AN175" s="741">
        <f t="shared" ref="AN175:AQ175" si="31">(AN204+AN279+AN355+AN455+AN580)/5</f>
        <v>0.97386111111111107</v>
      </c>
      <c r="AO175" s="742">
        <f t="shared" si="31"/>
        <v>0.71304166666666668</v>
      </c>
      <c r="AP175" s="742">
        <f t="shared" si="31"/>
        <v>1.2055138888888888</v>
      </c>
      <c r="AQ175" s="743">
        <f t="shared" si="31"/>
        <v>0.90162500000000012</v>
      </c>
    </row>
    <row r="176" spans="1:43" ht="12.95" customHeight="1" thickBot="1">
      <c r="A176" s="1382"/>
      <c r="B176" s="1254" t="s">
        <v>576</v>
      </c>
      <c r="C176" s="9" t="s">
        <v>297</v>
      </c>
      <c r="D176" s="241" t="s">
        <v>632</v>
      </c>
      <c r="E176" s="241" t="s">
        <v>632</v>
      </c>
      <c r="F176" s="243" t="s">
        <v>646</v>
      </c>
      <c r="G176" s="241" t="s">
        <v>646</v>
      </c>
      <c r="H176" s="241" t="s">
        <v>646</v>
      </c>
      <c r="I176" s="244" t="s">
        <v>646</v>
      </c>
      <c r="J176" s="195">
        <f>SUM('State DisAgg LFx10 (2014)'!D166:G166)</f>
        <v>0</v>
      </c>
      <c r="K176" s="196"/>
      <c r="L176" s="196"/>
      <c r="M176" s="197"/>
      <c r="N176" s="195"/>
      <c r="O176" s="196">
        <f>SUM('State DisAgg LFx10 (2014)'!H176:K176)</f>
        <v>3</v>
      </c>
      <c r="P176" s="196"/>
      <c r="Q176" s="197"/>
      <c r="R176" s="195"/>
      <c r="S176" s="196"/>
      <c r="T176" s="196"/>
      <c r="U176" s="197">
        <f>SUM('State DisAgg LFx10 (2014)'!L176:O176)</f>
        <v>11</v>
      </c>
      <c r="V176" s="195"/>
      <c r="W176" s="196"/>
      <c r="X176" s="196"/>
      <c r="Y176" s="197">
        <f>SUM('State DisAgg LFx10 (2014)'!P176:S176)</f>
        <v>17</v>
      </c>
      <c r="Z176" s="195"/>
      <c r="AA176" s="196"/>
      <c r="AB176" s="196"/>
      <c r="AC176" s="197">
        <f>SUM('State DisAgg LFx10 (2014)'!T176:W176)</f>
        <v>18</v>
      </c>
      <c r="AD176" s="195"/>
      <c r="AE176" s="197"/>
      <c r="AI176" s="583">
        <f>O176-J176</f>
        <v>3</v>
      </c>
      <c r="AJ176" s="579">
        <f>U176-O176</f>
        <v>8</v>
      </c>
      <c r="AK176" s="579">
        <f t="shared" si="28"/>
        <v>6</v>
      </c>
      <c r="AL176" s="584">
        <f t="shared" si="29"/>
        <v>1</v>
      </c>
      <c r="AM176" s="351" t="s">
        <v>758</v>
      </c>
      <c r="AN176" s="741">
        <f t="shared" ref="AN176:AQ176" si="32">(AN205+AN280+AN356+AN456+AN581)/5</f>
        <v>0.60590277777777779</v>
      </c>
      <c r="AO176" s="742">
        <f t="shared" si="32"/>
        <v>1.078875</v>
      </c>
      <c r="AP176" s="742">
        <f t="shared" si="32"/>
        <v>0.65618055555555566</v>
      </c>
      <c r="AQ176" s="743">
        <f t="shared" si="32"/>
        <v>1.0039861111111112</v>
      </c>
    </row>
    <row r="177" spans="1:47" ht="12.95" customHeight="1" thickBot="1">
      <c r="A177" s="1382"/>
      <c r="B177" s="1254"/>
      <c r="C177" s="9" t="s">
        <v>298</v>
      </c>
      <c r="D177" s="241" t="s">
        <v>632</v>
      </c>
      <c r="E177" s="241" t="s">
        <v>632</v>
      </c>
      <c r="F177" s="243" t="s">
        <v>646</v>
      </c>
      <c r="G177" s="241" t="s">
        <v>646</v>
      </c>
      <c r="H177" s="241" t="s">
        <v>646</v>
      </c>
      <c r="I177" s="244" t="s">
        <v>646</v>
      </c>
      <c r="J177" s="195">
        <f>SUM('State DisAgg LFx10 (2014)'!D167:G167)</f>
        <v>0</v>
      </c>
      <c r="K177" s="196"/>
      <c r="L177" s="196"/>
      <c r="M177" s="197"/>
      <c r="N177" s="195"/>
      <c r="O177" s="196">
        <f>SUM('State DisAgg LFx10 (2014)'!H177:K177)</f>
        <v>3</v>
      </c>
      <c r="P177" s="196"/>
      <c r="Q177" s="197"/>
      <c r="R177" s="195"/>
      <c r="S177" s="196"/>
      <c r="T177" s="196"/>
      <c r="U177" s="197">
        <f>SUM('State DisAgg LFx10 (2014)'!L177:O177)</f>
        <v>13</v>
      </c>
      <c r="V177" s="195"/>
      <c r="W177" s="196"/>
      <c r="X177" s="196"/>
      <c r="Y177" s="197">
        <f>SUM('State DisAgg LFx10 (2014)'!P177:S177)</f>
        <v>26</v>
      </c>
      <c r="Z177" s="195"/>
      <c r="AA177" s="196"/>
      <c r="AB177" s="196"/>
      <c r="AC177" s="197">
        <f>SUM('State DisAgg LFx10 (2014)'!T177:W177)</f>
        <v>27</v>
      </c>
      <c r="AD177" s="195"/>
      <c r="AE177" s="197"/>
      <c r="AI177" s="583">
        <f>O177-J177</f>
        <v>3</v>
      </c>
      <c r="AJ177" s="579">
        <f>U177-O177</f>
        <v>10</v>
      </c>
      <c r="AK177" s="579">
        <f t="shared" si="28"/>
        <v>13</v>
      </c>
      <c r="AL177" s="584">
        <f t="shared" si="29"/>
        <v>1</v>
      </c>
      <c r="AM177" s="351" t="s">
        <v>759</v>
      </c>
      <c r="AN177" s="741">
        <f t="shared" ref="AN177:AQ177" si="33">(AN206+AN281+AN357+AN457+AN582)/5</f>
        <v>0.87631944444444443</v>
      </c>
      <c r="AO177" s="742">
        <f t="shared" si="33"/>
        <v>1.0801111111111112</v>
      </c>
      <c r="AP177" s="742">
        <f t="shared" si="33"/>
        <v>1.0597222222222222</v>
      </c>
      <c r="AQ177" s="743">
        <f t="shared" si="33"/>
        <v>0.72066666666666657</v>
      </c>
    </row>
    <row r="178" spans="1:47" ht="12.95" customHeight="1" thickBot="1">
      <c r="A178" s="1382"/>
      <c r="B178" s="1254"/>
      <c r="C178" s="9" t="s">
        <v>299</v>
      </c>
      <c r="D178" s="241" t="s">
        <v>632</v>
      </c>
      <c r="E178" s="241" t="s">
        <v>632</v>
      </c>
      <c r="F178" s="243" t="s">
        <v>646</v>
      </c>
      <c r="G178" s="241" t="s">
        <v>646</v>
      </c>
      <c r="H178" s="241" t="s">
        <v>646</v>
      </c>
      <c r="I178" s="244" t="s">
        <v>646</v>
      </c>
      <c r="J178" s="195">
        <f>SUM('State DisAgg LFx10 (2014)'!D168:G168)</f>
        <v>0</v>
      </c>
      <c r="K178" s="196"/>
      <c r="L178" s="196"/>
      <c r="M178" s="197"/>
      <c r="N178" s="195"/>
      <c r="O178" s="196">
        <f>SUM('State DisAgg LFx10 (2014)'!H178:K178)</f>
        <v>5</v>
      </c>
      <c r="P178" s="196"/>
      <c r="Q178" s="197"/>
      <c r="R178" s="195"/>
      <c r="S178" s="196"/>
      <c r="T178" s="196"/>
      <c r="U178" s="197">
        <f>SUM('State DisAgg LFx10 (2014)'!L178:O178)</f>
        <v>8</v>
      </c>
      <c r="V178" s="195"/>
      <c r="W178" s="196"/>
      <c r="X178" s="196"/>
      <c r="Y178" s="197">
        <f>SUM('State DisAgg LFx10 (2014)'!P178:S178)</f>
        <v>22</v>
      </c>
      <c r="Z178" s="195"/>
      <c r="AA178" s="196"/>
      <c r="AB178" s="196"/>
      <c r="AC178" s="197">
        <f>SUM('State DisAgg LFx10 (2014)'!T178:W178)</f>
        <v>24</v>
      </c>
      <c r="AD178" s="195"/>
      <c r="AE178" s="197"/>
      <c r="AI178" s="583">
        <f>O178-J178</f>
        <v>5</v>
      </c>
      <c r="AJ178" s="579">
        <f>U178-O178</f>
        <v>3</v>
      </c>
      <c r="AK178" s="579">
        <f t="shared" si="28"/>
        <v>14</v>
      </c>
      <c r="AL178" s="584">
        <f t="shared" si="29"/>
        <v>2</v>
      </c>
      <c r="AM178" s="351" t="s">
        <v>760</v>
      </c>
      <c r="AN178" s="741">
        <f t="shared" ref="AN178:AQ178" si="34">(AN207+AN282+AN358+AN458+AN583)/5</f>
        <v>0.96118055555555559</v>
      </c>
      <c r="AO178" s="742">
        <f t="shared" si="34"/>
        <v>0.63101388888888876</v>
      </c>
      <c r="AP178" s="742">
        <f t="shared" si="34"/>
        <v>1.0467777777777776</v>
      </c>
      <c r="AQ178" s="743">
        <f t="shared" si="34"/>
        <v>0.88884722222222234</v>
      </c>
    </row>
    <row r="179" spans="1:47" ht="13.5" thickBot="1">
      <c r="A179" s="1382"/>
      <c r="B179" s="1254"/>
      <c r="C179" s="9" t="s">
        <v>300</v>
      </c>
      <c r="D179" s="199"/>
      <c r="E179" s="200"/>
      <c r="F179" s="201"/>
      <c r="G179" s="199"/>
      <c r="H179" s="199"/>
      <c r="I179" s="200"/>
      <c r="J179" s="201"/>
      <c r="K179" s="199"/>
      <c r="L179" s="199"/>
      <c r="M179" s="200"/>
      <c r="N179" s="198"/>
      <c r="O179" s="217" t="s">
        <v>634</v>
      </c>
      <c r="P179" s="241" t="s">
        <v>632</v>
      </c>
      <c r="Q179" s="244" t="s">
        <v>646</v>
      </c>
      <c r="R179" s="195">
        <f>SUM('State DisAgg LFx10 (2014)'!H169:K169)</f>
        <v>0</v>
      </c>
      <c r="S179" s="196"/>
      <c r="T179" s="196"/>
      <c r="U179" s="197">
        <f>SUM('State DisAgg LFx10 (2014)'!L179:O179)</f>
        <v>0</v>
      </c>
      <c r="V179" s="195"/>
      <c r="W179" s="196"/>
      <c r="X179" s="196"/>
      <c r="Y179" s="197">
        <f>SUM('State DisAgg LFx10 (2014)'!P179:S179)</f>
        <v>2</v>
      </c>
      <c r="Z179" s="195"/>
      <c r="AA179" s="196"/>
      <c r="AB179" s="196"/>
      <c r="AC179" s="197">
        <f>SUM('State DisAgg LFx10 (2014)'!T179:W179)</f>
        <v>3</v>
      </c>
      <c r="AD179" s="195"/>
      <c r="AE179" s="197"/>
      <c r="AI179" s="364">
        <v>0</v>
      </c>
      <c r="AJ179" s="579">
        <f>U179-R179</f>
        <v>0</v>
      </c>
      <c r="AK179" s="579">
        <f t="shared" si="28"/>
        <v>2</v>
      </c>
      <c r="AL179" s="584">
        <f t="shared" si="29"/>
        <v>1</v>
      </c>
      <c r="AM179" s="351" t="s">
        <v>761</v>
      </c>
      <c r="AN179" s="741">
        <f t="shared" ref="AN179:AQ179" si="35">(AN208+AN283+AN359+AN459+AN584)/5</f>
        <v>0</v>
      </c>
      <c r="AO179" s="742">
        <f t="shared" si="35"/>
        <v>0.12</v>
      </c>
      <c r="AP179" s="742">
        <f t="shared" si="35"/>
        <v>0.70995833333333347</v>
      </c>
      <c r="AQ179" s="743">
        <f t="shared" si="35"/>
        <v>0.94612499999999999</v>
      </c>
    </row>
    <row r="180" spans="1:47" ht="13.5" thickBot="1">
      <c r="A180" s="1382"/>
      <c r="B180" s="1254"/>
      <c r="C180" s="9" t="s">
        <v>301</v>
      </c>
      <c r="D180" s="199"/>
      <c r="E180" s="200"/>
      <c r="F180" s="201"/>
      <c r="G180" s="199"/>
      <c r="H180" s="199"/>
      <c r="I180" s="200"/>
      <c r="J180" s="201"/>
      <c r="K180" s="199"/>
      <c r="L180" s="199"/>
      <c r="M180" s="200"/>
      <c r="N180" s="198"/>
      <c r="O180" s="217" t="s">
        <v>634</v>
      </c>
      <c r="P180" s="241" t="s">
        <v>632</v>
      </c>
      <c r="Q180" s="244" t="s">
        <v>646</v>
      </c>
      <c r="R180" s="195">
        <f>SUM('State DisAgg LFx10 (2014)'!H170:K170)</f>
        <v>0</v>
      </c>
      <c r="S180" s="196"/>
      <c r="T180" s="196"/>
      <c r="U180" s="197">
        <f>SUM('State DisAgg LFx10 (2014)'!L180:O180)</f>
        <v>0</v>
      </c>
      <c r="V180" s="195"/>
      <c r="W180" s="196"/>
      <c r="X180" s="196"/>
      <c r="Y180" s="197">
        <f>SUM('State DisAgg LFx10 (2014)'!P180:S180)</f>
        <v>3</v>
      </c>
      <c r="Z180" s="195"/>
      <c r="AA180" s="196"/>
      <c r="AB180" s="196"/>
      <c r="AC180" s="197">
        <f>SUM('State DisAgg LFx10 (2014)'!T180:W180)</f>
        <v>8</v>
      </c>
      <c r="AD180" s="195"/>
      <c r="AE180" s="197"/>
      <c r="AI180" s="364">
        <v>0</v>
      </c>
      <c r="AJ180" s="579">
        <f>U180-R180</f>
        <v>0</v>
      </c>
      <c r="AK180" s="579">
        <f t="shared" si="28"/>
        <v>3</v>
      </c>
      <c r="AL180" s="584">
        <f t="shared" si="29"/>
        <v>5</v>
      </c>
      <c r="AM180" s="351" t="s">
        <v>762</v>
      </c>
      <c r="AN180" s="741">
        <f t="shared" ref="AN180:AQ180" si="36">(AN209+AN284+AN360+AN460+AN585)/5</f>
        <v>0</v>
      </c>
      <c r="AO180" s="742">
        <f t="shared" si="36"/>
        <v>5.8333333333333327E-2</v>
      </c>
      <c r="AP180" s="742">
        <f t="shared" si="36"/>
        <v>0.18479166666666663</v>
      </c>
      <c r="AQ180" s="743">
        <f t="shared" si="36"/>
        <v>1.5000694444444445</v>
      </c>
    </row>
    <row r="181" spans="1:47" ht="13.5" thickBot="1">
      <c r="A181" s="1382"/>
      <c r="B181" s="1254" t="s">
        <v>577</v>
      </c>
      <c r="C181" s="9" t="s">
        <v>302</v>
      </c>
      <c r="D181" s="199"/>
      <c r="E181" s="200"/>
      <c r="F181" s="201"/>
      <c r="G181" s="199"/>
      <c r="H181" s="199"/>
      <c r="I181" s="200"/>
      <c r="J181" s="201"/>
      <c r="K181" s="199"/>
      <c r="L181" s="199"/>
      <c r="M181" s="200"/>
      <c r="N181" s="198"/>
      <c r="O181" s="217" t="s">
        <v>634</v>
      </c>
      <c r="P181" s="241" t="s">
        <v>632</v>
      </c>
      <c r="Q181" s="244" t="s">
        <v>646</v>
      </c>
      <c r="R181" s="195">
        <f>SUM('State DisAgg LFx10 (2014)'!H171:K171)</f>
        <v>0</v>
      </c>
      <c r="S181" s="196"/>
      <c r="T181" s="196"/>
      <c r="U181" s="197">
        <f>SUM('State DisAgg LFx10 (2014)'!L181:O181)</f>
        <v>0</v>
      </c>
      <c r="V181" s="195"/>
      <c r="W181" s="196"/>
      <c r="X181" s="196"/>
      <c r="Y181" s="197">
        <f>SUM('State DisAgg LFx10 (2014)'!P181:S181)</f>
        <v>15</v>
      </c>
      <c r="Z181" s="195"/>
      <c r="AA181" s="196"/>
      <c r="AB181" s="196"/>
      <c r="AC181" s="197">
        <f>SUM('State DisAgg LFx10 (2014)'!T181:W181)</f>
        <v>20</v>
      </c>
      <c r="AD181" s="195"/>
      <c r="AE181" s="197"/>
      <c r="AI181" s="364">
        <v>0</v>
      </c>
      <c r="AJ181" s="579">
        <f>U181-R181</f>
        <v>0</v>
      </c>
      <c r="AK181" s="579">
        <f t="shared" si="28"/>
        <v>15</v>
      </c>
      <c r="AL181" s="584">
        <f t="shared" si="29"/>
        <v>5</v>
      </c>
      <c r="AM181" s="351" t="s">
        <v>763</v>
      </c>
      <c r="AN181" s="741">
        <f t="shared" ref="AN181:AQ181" si="37">(AN210+AN285+AN361+AN461+AN586)/5</f>
        <v>0</v>
      </c>
      <c r="AO181" s="742">
        <f t="shared" si="37"/>
        <v>2.5000000000000001E-2</v>
      </c>
      <c r="AP181" s="742">
        <f t="shared" si="37"/>
        <v>0.83920833333333333</v>
      </c>
      <c r="AQ181" s="743">
        <f t="shared" si="37"/>
        <v>1.3484166666666666</v>
      </c>
    </row>
    <row r="182" spans="1:47" ht="13.5" thickBot="1">
      <c r="A182" s="1382"/>
      <c r="B182" s="1254"/>
      <c r="C182" s="9" t="s">
        <v>303</v>
      </c>
      <c r="D182" s="202"/>
      <c r="E182" s="203"/>
      <c r="F182" s="201"/>
      <c r="G182" s="202"/>
      <c r="H182" s="202"/>
      <c r="I182" s="203"/>
      <c r="J182" s="201"/>
      <c r="K182" s="202"/>
      <c r="L182" s="202"/>
      <c r="M182" s="203"/>
      <c r="N182" s="204"/>
      <c r="O182" s="214"/>
      <c r="P182" s="205"/>
      <c r="Q182" s="205"/>
      <c r="R182" s="201"/>
      <c r="S182" s="202"/>
      <c r="T182" s="202"/>
      <c r="U182" s="203"/>
      <c r="V182" s="242"/>
      <c r="W182" s="217" t="s">
        <v>633</v>
      </c>
      <c r="X182" s="241" t="s">
        <v>632</v>
      </c>
      <c r="Y182" s="197">
        <f>SUM('State DisAgg LFx10 (2014)'!P172:S172)</f>
        <v>0</v>
      </c>
      <c r="Z182" s="195"/>
      <c r="AA182" s="196"/>
      <c r="AB182" s="196"/>
      <c r="AC182" s="197">
        <f>SUM('State DisAgg LFx10 (2014)'!T182:W182)</f>
        <v>0</v>
      </c>
      <c r="AD182" s="195"/>
      <c r="AE182" s="197"/>
      <c r="AI182" s="583">
        <f>O182-J182</f>
        <v>0</v>
      </c>
      <c r="AJ182" s="579">
        <f>U182-O182</f>
        <v>0</v>
      </c>
      <c r="AK182" s="579">
        <f t="shared" si="28"/>
        <v>0</v>
      </c>
      <c r="AL182" s="584">
        <f t="shared" si="29"/>
        <v>0</v>
      </c>
      <c r="AM182" s="351" t="s">
        <v>1098</v>
      </c>
      <c r="AN182" s="741">
        <f t="shared" ref="AN182:AQ182" si="38">(AN211+AN286+AN362+AN462+AN587)/5</f>
        <v>0</v>
      </c>
      <c r="AO182" s="742">
        <f t="shared" si="38"/>
        <v>0</v>
      </c>
      <c r="AP182" s="742">
        <f t="shared" si="38"/>
        <v>0.87129166666666669</v>
      </c>
      <c r="AQ182" s="743">
        <f t="shared" si="38"/>
        <v>0</v>
      </c>
    </row>
    <row r="183" spans="1:47" ht="13.5" thickBot="1">
      <c r="A183" s="1383"/>
      <c r="B183" s="1384"/>
      <c r="C183" s="9" t="s">
        <v>304</v>
      </c>
      <c r="D183" s="202"/>
      <c r="E183" s="203"/>
      <c r="F183" s="201"/>
      <c r="G183" s="202"/>
      <c r="H183" s="202"/>
      <c r="I183" s="203"/>
      <c r="J183" s="201"/>
      <c r="K183" s="202"/>
      <c r="L183" s="202"/>
      <c r="M183" s="203"/>
      <c r="N183" s="204"/>
      <c r="O183" s="205"/>
      <c r="P183" s="205"/>
      <c r="Q183" s="205"/>
      <c r="R183" s="201"/>
      <c r="S183" s="202"/>
      <c r="T183" s="202"/>
      <c r="U183" s="203"/>
      <c r="V183" s="242"/>
      <c r="W183" s="217" t="s">
        <v>633</v>
      </c>
      <c r="X183" s="241" t="s">
        <v>632</v>
      </c>
      <c r="Y183" s="197">
        <f>SUM('State DisAgg LFx10 (2014)'!P173:S173)</f>
        <v>0</v>
      </c>
      <c r="Z183" s="195"/>
      <c r="AA183" s="196"/>
      <c r="AB183" s="196"/>
      <c r="AC183" s="197">
        <f>SUM('State DisAgg LFx10 (2014)'!T183:W183)</f>
        <v>0</v>
      </c>
      <c r="AD183" s="195"/>
      <c r="AE183" s="197"/>
      <c r="AI183" s="585">
        <f>O183-J183</f>
        <v>0</v>
      </c>
      <c r="AJ183" s="586">
        <f>U183-O183</f>
        <v>0</v>
      </c>
      <c r="AK183" s="586">
        <f t="shared" si="28"/>
        <v>0</v>
      </c>
      <c r="AL183" s="587">
        <f t="shared" si="29"/>
        <v>0</v>
      </c>
      <c r="AM183" s="351" t="s">
        <v>1099</v>
      </c>
      <c r="AN183" s="744">
        <f t="shared" ref="AN183:AQ183" si="39">(AN212+AN287+AN363+AN463+AN588)/5</f>
        <v>0</v>
      </c>
      <c r="AO183" s="745">
        <f t="shared" si="39"/>
        <v>0</v>
      </c>
      <c r="AP183" s="745">
        <f t="shared" si="39"/>
        <v>0.8194583333333334</v>
      </c>
      <c r="AQ183" s="746">
        <f t="shared" si="39"/>
        <v>0</v>
      </c>
    </row>
    <row r="184" spans="1:47" ht="12.95" hidden="1" customHeight="1" thickBot="1">
      <c r="A184" s="231"/>
      <c r="B184" s="231"/>
      <c r="C184" s="231"/>
      <c r="D184" s="232"/>
      <c r="E184" s="233"/>
      <c r="F184" s="234"/>
      <c r="G184" s="232"/>
      <c r="H184" s="232"/>
      <c r="I184" s="233"/>
      <c r="J184" s="234"/>
      <c r="K184" s="232"/>
      <c r="L184" s="232"/>
      <c r="M184" s="233"/>
      <c r="N184" s="234"/>
      <c r="O184" s="232"/>
      <c r="P184" s="232"/>
      <c r="Q184" s="233"/>
      <c r="R184" s="234"/>
      <c r="S184" s="232"/>
      <c r="T184" s="232"/>
      <c r="U184" s="233"/>
      <c r="V184" s="234"/>
      <c r="W184" s="232"/>
      <c r="X184" s="232"/>
      <c r="Y184" s="233"/>
      <c r="Z184" s="234"/>
      <c r="AA184" s="232"/>
      <c r="AB184" s="232"/>
      <c r="AC184" s="233"/>
      <c r="AD184" s="234"/>
      <c r="AE184" s="233"/>
      <c r="AI184" s="353">
        <v>18</v>
      </c>
      <c r="AJ184" s="353">
        <v>18</v>
      </c>
      <c r="AK184" s="353">
        <v>18</v>
      </c>
      <c r="AQ184" s="353"/>
    </row>
    <row r="185" spans="1:47" ht="12.95" hidden="1" customHeight="1" thickBot="1">
      <c r="A185" s="231"/>
      <c r="B185" s="231"/>
      <c r="C185" s="231"/>
      <c r="D185" s="232"/>
      <c r="E185" s="233"/>
      <c r="F185" s="234"/>
      <c r="G185" s="232"/>
      <c r="H185" s="232"/>
      <c r="I185" s="233"/>
      <c r="J185" s="234"/>
      <c r="K185" s="232"/>
      <c r="L185" s="232"/>
      <c r="M185" s="233"/>
      <c r="N185" s="234"/>
      <c r="O185" s="232"/>
      <c r="P185" s="232"/>
      <c r="Q185" s="233"/>
      <c r="R185" s="234"/>
      <c r="S185" s="232"/>
      <c r="T185" s="232"/>
      <c r="U185" s="233"/>
      <c r="V185" s="234"/>
      <c r="W185" s="232"/>
      <c r="X185" s="232"/>
      <c r="Y185" s="233"/>
      <c r="Z185" s="234"/>
      <c r="AA185" s="232"/>
      <c r="AB185" s="232"/>
      <c r="AC185" s="233"/>
      <c r="AD185" s="234"/>
      <c r="AE185" s="233"/>
      <c r="AI185" s="353">
        <v>16</v>
      </c>
      <c r="AJ185" s="353">
        <v>16</v>
      </c>
      <c r="AK185" s="353">
        <v>16</v>
      </c>
      <c r="AQ185" s="353"/>
    </row>
    <row r="186" spans="1:47" ht="12.95" hidden="1" customHeight="1" thickBot="1">
      <c r="A186" s="231"/>
      <c r="B186" s="231"/>
      <c r="C186" s="231"/>
      <c r="D186" s="232"/>
      <c r="E186" s="233"/>
      <c r="F186" s="234"/>
      <c r="G186" s="232"/>
      <c r="H186" s="232"/>
      <c r="I186" s="233"/>
      <c r="J186" s="234"/>
      <c r="K186" s="232"/>
      <c r="L186" s="232"/>
      <c r="M186" s="233"/>
      <c r="N186" s="234"/>
      <c r="O186" s="232"/>
      <c r="P186" s="232"/>
      <c r="Q186" s="233"/>
      <c r="R186" s="234"/>
      <c r="S186" s="232"/>
      <c r="T186" s="232"/>
      <c r="U186" s="233"/>
      <c r="V186" s="234"/>
      <c r="W186" s="232"/>
      <c r="X186" s="232"/>
      <c r="Y186" s="233"/>
      <c r="Z186" s="234"/>
      <c r="AA186" s="232"/>
      <c r="AB186" s="232"/>
      <c r="AC186" s="233"/>
      <c r="AD186" s="234"/>
      <c r="AE186" s="233"/>
      <c r="AL186" s="351"/>
      <c r="AM186" s="351"/>
    </row>
    <row r="187" spans="1:47" ht="12.95" hidden="1" customHeight="1" thickBot="1">
      <c r="A187" s="231"/>
      <c r="B187" s="231"/>
      <c r="C187" s="231"/>
      <c r="D187" s="232"/>
      <c r="E187" s="233"/>
      <c r="F187" s="234"/>
      <c r="G187" s="232"/>
      <c r="H187" s="232"/>
      <c r="I187" s="233"/>
      <c r="J187" s="234"/>
      <c r="K187" s="232"/>
      <c r="L187" s="232"/>
      <c r="M187" s="233"/>
      <c r="N187" s="234"/>
      <c r="O187" s="232"/>
      <c r="P187" s="232"/>
      <c r="Q187" s="233"/>
      <c r="R187" s="234"/>
      <c r="S187" s="232"/>
      <c r="T187" s="232"/>
      <c r="U187" s="233"/>
      <c r="V187" s="234"/>
      <c r="W187" s="232"/>
      <c r="X187" s="232"/>
      <c r="Y187" s="233"/>
      <c r="Z187" s="234"/>
      <c r="AA187" s="232"/>
      <c r="AB187" s="232"/>
      <c r="AC187" s="233"/>
      <c r="AD187" s="234"/>
      <c r="AE187" s="233"/>
      <c r="AL187" s="356">
        <f>SUM(AL174:AL181)/8</f>
        <v>2.125</v>
      </c>
      <c r="AM187" s="356"/>
    </row>
    <row r="188" spans="1:47" ht="12.95" hidden="1" customHeight="1" thickBot="1">
      <c r="A188" s="231"/>
      <c r="B188" s="231"/>
      <c r="C188" s="231"/>
      <c r="D188" s="232"/>
      <c r="E188" s="233"/>
      <c r="F188" s="234"/>
      <c r="G188" s="232"/>
      <c r="H188" s="232"/>
      <c r="I188" s="233"/>
      <c r="J188" s="234"/>
      <c r="K188" s="232"/>
      <c r="L188" s="232"/>
      <c r="M188" s="233"/>
      <c r="N188" s="234"/>
      <c r="O188" s="232"/>
      <c r="P188" s="232"/>
      <c r="Q188" s="233"/>
      <c r="R188" s="234"/>
      <c r="S188" s="232"/>
      <c r="T188" s="232"/>
      <c r="U188" s="233"/>
      <c r="V188" s="234"/>
      <c r="W188" s="232"/>
      <c r="X188" s="232"/>
      <c r="Y188" s="233"/>
      <c r="Z188" s="234"/>
      <c r="AA188" s="232"/>
      <c r="AB188" s="232"/>
      <c r="AC188" s="233"/>
      <c r="AD188" s="234"/>
      <c r="AE188" s="233"/>
      <c r="AL188" s="378">
        <f>SUM(AC164:AC171)/8</f>
        <v>125.8126354470935</v>
      </c>
      <c r="AM188" s="378"/>
    </row>
    <row r="189" spans="1:47" ht="12.95" hidden="1" customHeight="1" thickBot="1">
      <c r="A189" s="231"/>
      <c r="B189" s="231"/>
      <c r="C189" s="231"/>
      <c r="D189" s="232"/>
      <c r="E189" s="233"/>
      <c r="F189" s="234"/>
      <c r="G189" s="232"/>
      <c r="H189" s="232"/>
      <c r="I189" s="233"/>
      <c r="J189" s="234"/>
      <c r="K189" s="232"/>
      <c r="L189" s="232"/>
      <c r="M189" s="233"/>
      <c r="N189" s="234"/>
      <c r="O189" s="232"/>
      <c r="P189" s="232"/>
      <c r="Q189" s="233"/>
      <c r="R189" s="234"/>
      <c r="S189" s="232"/>
      <c r="T189" s="232"/>
      <c r="U189" s="233"/>
      <c r="V189" s="234"/>
      <c r="W189" s="232"/>
      <c r="X189" s="232"/>
      <c r="Y189" s="233"/>
      <c r="Z189" s="234"/>
      <c r="AA189" s="232"/>
      <c r="AB189" s="232"/>
      <c r="AC189" s="233"/>
      <c r="AD189" s="234"/>
      <c r="AE189" s="233"/>
    </row>
    <row r="190" spans="1:47">
      <c r="A190" s="5"/>
      <c r="B190" s="5"/>
      <c r="C190" s="6"/>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P190" s="378"/>
      <c r="AQ190" s="378"/>
    </row>
    <row r="191" spans="1:47" ht="13.5" thickBot="1">
      <c r="A191" s="21"/>
      <c r="B191" s="21"/>
      <c r="C191" s="22"/>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N191" s="4" t="s">
        <v>1117</v>
      </c>
      <c r="AR191" s="264" t="s">
        <v>1050</v>
      </c>
    </row>
    <row r="192" spans="1:47" ht="12.95" customHeight="1" thickBot="1">
      <c r="A192" s="506" t="s">
        <v>11</v>
      </c>
      <c r="B192" s="514" t="s">
        <v>16</v>
      </c>
      <c r="C192" s="8"/>
      <c r="D192" s="1377">
        <v>2008</v>
      </c>
      <c r="E192" s="1378"/>
      <c r="F192" s="1372">
        <v>2009</v>
      </c>
      <c r="G192" s="1373"/>
      <c r="H192" s="1373"/>
      <c r="I192" s="1374"/>
      <c r="J192" s="1372">
        <v>2010</v>
      </c>
      <c r="K192" s="1373"/>
      <c r="L192" s="1373"/>
      <c r="M192" s="1374"/>
      <c r="N192" s="1372">
        <v>2011</v>
      </c>
      <c r="O192" s="1373"/>
      <c r="P192" s="1373"/>
      <c r="Q192" s="1374"/>
      <c r="R192" s="1372">
        <v>2012</v>
      </c>
      <c r="S192" s="1373"/>
      <c r="T192" s="1373"/>
      <c r="U192" s="1374"/>
      <c r="V192" s="1372">
        <v>2013</v>
      </c>
      <c r="W192" s="1373"/>
      <c r="X192" s="1373"/>
      <c r="Y192" s="1374"/>
      <c r="Z192" s="1372">
        <v>2014</v>
      </c>
      <c r="AA192" s="1373"/>
      <c r="AB192" s="1373"/>
      <c r="AC192" s="1374"/>
      <c r="AD192" s="1372">
        <v>2015</v>
      </c>
      <c r="AE192" s="1374"/>
      <c r="AG192" s="257" t="s">
        <v>663</v>
      </c>
      <c r="AM192" s="355" t="s">
        <v>1052</v>
      </c>
      <c r="AN192" s="599">
        <f t="shared" ref="AN192:AQ193" si="40">(AN199+AN274+AN350+AN450+AN570)/5</f>
        <v>0.58016222222222225</v>
      </c>
      <c r="AO192" s="592">
        <f t="shared" si="40"/>
        <v>0.60803888888888902</v>
      </c>
      <c r="AP192" s="592">
        <f t="shared" si="40"/>
        <v>0.85675868055555571</v>
      </c>
      <c r="AQ192" s="594">
        <f t="shared" si="40"/>
        <v>1.0188871527777779</v>
      </c>
      <c r="AR192" s="695">
        <f>AVERAGE(AN192:AQ192)</f>
        <v>0.76596173611111118</v>
      </c>
      <c r="AS192" s="716" t="s">
        <v>1032</v>
      </c>
      <c r="AU192" s="716" t="s">
        <v>1057</v>
      </c>
    </row>
    <row r="193" spans="1:60" ht="12.95" customHeight="1" thickBot="1">
      <c r="A193" s="868" t="s">
        <v>57</v>
      </c>
      <c r="B193" s="868" t="s">
        <v>58</v>
      </c>
      <c r="C193" s="194" t="s">
        <v>610</v>
      </c>
      <c r="D193" s="206"/>
      <c r="E193" s="207"/>
      <c r="F193" s="209"/>
      <c r="G193" s="206"/>
      <c r="H193" s="206"/>
      <c r="I193" s="207"/>
      <c r="J193" s="209"/>
      <c r="K193" s="206"/>
      <c r="L193" s="206"/>
      <c r="M193" s="207"/>
      <c r="N193" s="277"/>
      <c r="O193" s="278">
        <f>(O203-J203)/5/$C$673/Spend!O193*'State Efficiency Ratios (2014)'!$C$655</f>
        <v>40.26131578186763</v>
      </c>
      <c r="P193" s="278"/>
      <c r="Q193" s="279"/>
      <c r="R193" s="277"/>
      <c r="S193" s="278"/>
      <c r="T193" s="278"/>
      <c r="U193" s="278">
        <f>(U203-O203)/6/$C$673/Spend!U193*'State Efficiency Ratios (2014)'!$C$655</f>
        <v>0</v>
      </c>
      <c r="V193" s="277"/>
      <c r="W193" s="278"/>
      <c r="X193" s="278"/>
      <c r="Y193" s="278">
        <f>(Y203-U203)/4/$C$673/Spend!Y193*'State Efficiency Ratios (2014)'!$C$655</f>
        <v>70.976109696764226</v>
      </c>
      <c r="Z193" s="277"/>
      <c r="AA193" s="278"/>
      <c r="AB193" s="278"/>
      <c r="AC193" s="278">
        <f>(AC203-Y203)/4/$C$673/Spend!AC193*'State Efficiency Ratios (2014)'!$C$655</f>
        <v>246.81960029727273</v>
      </c>
      <c r="AD193" s="277"/>
      <c r="AE193" s="280"/>
      <c r="AG193" s="410"/>
      <c r="AL193" s="576"/>
      <c r="AM193" s="355" t="s">
        <v>1051</v>
      </c>
      <c r="AN193" s="692">
        <f t="shared" si="40"/>
        <v>23.539469194177677</v>
      </c>
      <c r="AO193" s="693">
        <f t="shared" si="40"/>
        <v>86.22036200151453</v>
      </c>
      <c r="AP193" s="693">
        <f t="shared" si="40"/>
        <v>243.54195310114815</v>
      </c>
      <c r="AQ193" s="694">
        <f t="shared" si="40"/>
        <v>240.24667435243819</v>
      </c>
      <c r="AR193" s="696">
        <f>AVERAGE(AN193:AQ193)</f>
        <v>148.38711466231965</v>
      </c>
      <c r="AS193" s="717">
        <f>(O203-J203)/7/$C$673/Spend!O193*'State Efficiency Ratios (2014)'!$C$655</f>
        <v>28.758082701334015</v>
      </c>
      <c r="AU193" s="718">
        <f t="shared" ref="AU193:AU200" si="41">(AS193+AS216+AS239)/3</f>
        <v>-4.7930137835556712</v>
      </c>
    </row>
    <row r="194" spans="1:60" ht="13.5" thickBot="1">
      <c r="A194" s="885"/>
      <c r="B194" s="885"/>
      <c r="C194" s="194" t="s">
        <v>611</v>
      </c>
      <c r="D194" s="206"/>
      <c r="E194" s="207"/>
      <c r="F194" s="209"/>
      <c r="G194" s="206"/>
      <c r="H194" s="206"/>
      <c r="I194" s="207"/>
      <c r="J194" s="209"/>
      <c r="K194" s="206"/>
      <c r="L194" s="206"/>
      <c r="M194" s="207"/>
      <c r="N194" s="277"/>
      <c r="O194" s="278">
        <f>(O204-J204)/5/$C$673/Spend!O194*'State Efficiency Ratios (2014)'!$C$655</f>
        <v>45.084782997799337</v>
      </c>
      <c r="P194" s="278"/>
      <c r="Q194" s="279"/>
      <c r="R194" s="277"/>
      <c r="S194" s="278"/>
      <c r="T194" s="278"/>
      <c r="U194" s="278">
        <f>(U204-O204)/6/$C$673/Spend!U194*'State Efficiency Ratios (2014)'!$C$655</f>
        <v>66.244369050313296</v>
      </c>
      <c r="V194" s="277"/>
      <c r="W194" s="278"/>
      <c r="X194" s="278"/>
      <c r="Y194" s="278">
        <f>(Y204-U204)/4/$C$673/Spend!Y194*'State Efficiency Ratios (2014)'!$C$655</f>
        <v>168.86137833383756</v>
      </c>
      <c r="Z194" s="277"/>
      <c r="AA194" s="278"/>
      <c r="AB194" s="278"/>
      <c r="AC194" s="278">
        <f>(AC204-Y204)/4/$C$673/Spend!AC194*'State Efficiency Ratios (2014)'!$C$655</f>
        <v>123.89464177908697</v>
      </c>
      <c r="AD194" s="277"/>
      <c r="AE194" s="280"/>
      <c r="AG194" s="410" t="s">
        <v>1083</v>
      </c>
      <c r="AL194" s="576"/>
      <c r="AM194" s="576"/>
      <c r="AS194" s="719">
        <f>(O204-J204)/7/$C$673/Spend!O194*'State Efficiency Ratios (2014)'!$C$655</f>
        <v>32.203416426999524</v>
      </c>
      <c r="AU194" s="720">
        <f t="shared" si="41"/>
        <v>85.875777138665399</v>
      </c>
      <c r="BH194" s="747"/>
    </row>
    <row r="195" spans="1:60" ht="13.5" thickBot="1">
      <c r="A195" s="885"/>
      <c r="B195" s="885"/>
      <c r="C195" s="194" t="s">
        <v>612</v>
      </c>
      <c r="D195" s="206"/>
      <c r="E195" s="207"/>
      <c r="F195" s="209"/>
      <c r="G195" s="206"/>
      <c r="H195" s="206"/>
      <c r="I195" s="207"/>
      <c r="J195" s="209"/>
      <c r="K195" s="206"/>
      <c r="L195" s="206"/>
      <c r="M195" s="207"/>
      <c r="N195" s="277"/>
      <c r="O195" s="278">
        <f>(O205-J205)/5/$C$673/Spend!O195*'State Efficiency Ratios (2014)'!$C$655</f>
        <v>17.715185739035551</v>
      </c>
      <c r="P195" s="278"/>
      <c r="Q195" s="279"/>
      <c r="R195" s="277"/>
      <c r="S195" s="278"/>
      <c r="T195" s="278"/>
      <c r="U195" s="278">
        <f>(U205-O205)/6/$C$673/Spend!U195*'State Efficiency Ratios (2014)'!$C$655</f>
        <v>92.106206363911426</v>
      </c>
      <c r="V195" s="277"/>
      <c r="W195" s="278"/>
      <c r="X195" s="278"/>
      <c r="Y195" s="278">
        <f>(Y205-U205)/4/$C$673/Spend!Y195*'State Efficiency Ratios (2014)'!$C$655</f>
        <v>24.329467374513676</v>
      </c>
      <c r="Z195" s="277"/>
      <c r="AA195" s="278"/>
      <c r="AB195" s="278"/>
      <c r="AC195" s="278">
        <f>(AC205-Y205)/4/$C$673/Spend!AC195*'State Efficiency Ratios (2014)'!$C$655</f>
        <v>332.72370797465607</v>
      </c>
      <c r="AD195" s="277"/>
      <c r="AE195" s="280"/>
      <c r="AG195" s="410" t="s">
        <v>1086</v>
      </c>
      <c r="AL195" s="576"/>
      <c r="AM195" s="576"/>
      <c r="AN195" s="4" t="s">
        <v>1067</v>
      </c>
      <c r="AS195" s="719">
        <f>(O205-J205)/7/$C$673/Spend!O195*'State Efficiency Ratios (2014)'!$C$655</f>
        <v>12.653704099311106</v>
      </c>
      <c r="AU195" s="720">
        <f t="shared" si="41"/>
        <v>29.525309565059256</v>
      </c>
    </row>
    <row r="196" spans="1:60" ht="13.5" thickBot="1">
      <c r="A196" s="885"/>
      <c r="B196" s="885"/>
      <c r="C196" s="194" t="s">
        <v>613</v>
      </c>
      <c r="D196" s="206"/>
      <c r="E196" s="207"/>
      <c r="F196" s="209"/>
      <c r="G196" s="206"/>
      <c r="H196" s="206"/>
      <c r="I196" s="207"/>
      <c r="J196" s="209"/>
      <c r="K196" s="206"/>
      <c r="L196" s="206"/>
      <c r="M196" s="207"/>
      <c r="N196" s="277"/>
      <c r="O196" s="278">
        <f>(O206-J206)/5/$C$673/Spend!O196*'State Efficiency Ratios (2014)'!$C$655</f>
        <v>46.858831247844883</v>
      </c>
      <c r="P196" s="278"/>
      <c r="Q196" s="279"/>
      <c r="R196" s="277"/>
      <c r="S196" s="278"/>
      <c r="T196" s="278"/>
      <c r="U196" s="278">
        <f>(U206-O206)/6/$C$673/Spend!U196*'State Efficiency Ratios (2014)'!$C$655</f>
        <v>49.050091759598345</v>
      </c>
      <c r="V196" s="277"/>
      <c r="W196" s="278"/>
      <c r="X196" s="278"/>
      <c r="Y196" s="278">
        <f>(Y206-U206)/4/$C$673/Spend!Y196*'State Efficiency Ratios (2014)'!$C$655</f>
        <v>161.86530280667455</v>
      </c>
      <c r="Z196" s="277"/>
      <c r="AA196" s="278"/>
      <c r="AB196" s="278"/>
      <c r="AC196" s="278">
        <f>(AC206-Y206)/4/$C$673/Spend!AC196*'State Efficiency Ratios (2014)'!$C$655</f>
        <v>34.536955072802705</v>
      </c>
      <c r="AD196" s="277"/>
      <c r="AE196" s="280"/>
      <c r="AG196" s="410" t="s">
        <v>1087</v>
      </c>
      <c r="AL196" s="576"/>
      <c r="AM196" s="576"/>
      <c r="AN196" s="4" t="s">
        <v>1064</v>
      </c>
      <c r="AO196" s="4" t="s">
        <v>1065</v>
      </c>
      <c r="AP196" s="4" t="s">
        <v>1066</v>
      </c>
      <c r="AQ196" s="4" t="s">
        <v>1066</v>
      </c>
      <c r="AS196" s="719">
        <f>(O206-J206)/7/$C$673/Spend!O196*'State Efficiency Ratios (2014)'!$C$655</f>
        <v>33.470593748460637</v>
      </c>
      <c r="AT196" s="714" t="s">
        <v>1070</v>
      </c>
      <c r="AU196" s="720">
        <f t="shared" si="41"/>
        <v>11.156864582820212</v>
      </c>
      <c r="AV196" s="714" t="s">
        <v>1070</v>
      </c>
    </row>
    <row r="197" spans="1:60" ht="13.5" thickBot="1">
      <c r="A197" s="885"/>
      <c r="B197" s="885"/>
      <c r="C197" s="194" t="s">
        <v>614</v>
      </c>
      <c r="D197" s="206"/>
      <c r="E197" s="207"/>
      <c r="F197" s="209"/>
      <c r="G197" s="206"/>
      <c r="H197" s="206"/>
      <c r="I197" s="207"/>
      <c r="J197" s="209"/>
      <c r="K197" s="206"/>
      <c r="L197" s="206"/>
      <c r="M197" s="207"/>
      <c r="N197" s="277"/>
      <c r="O197" s="278">
        <f>(O207-J207)/5/$C$673/Spend!O197*'State Efficiency Ratios (2014)'!$C$655</f>
        <v>80.464013033214982</v>
      </c>
      <c r="P197" s="278"/>
      <c r="Q197" s="279"/>
      <c r="R197" s="277"/>
      <c r="S197" s="278"/>
      <c r="T197" s="278"/>
      <c r="U197" s="278">
        <f>(U207-O207)/6/$C$673/Spend!U197*'State Efficiency Ratios (2014)'!$C$655</f>
        <v>4.8545573327287617</v>
      </c>
      <c r="V197" s="277"/>
      <c r="W197" s="278"/>
      <c r="X197" s="278"/>
      <c r="Y197" s="278">
        <f>(Y207-U207)/4/$C$673/Spend!Y197*'State Efficiency Ratios (2014)'!$C$655</f>
        <v>58.254687992745083</v>
      </c>
      <c r="Z197" s="277"/>
      <c r="AA197" s="278"/>
      <c r="AB197" s="278"/>
      <c r="AC197" s="278">
        <f>(AC207-Y207)/4/$C$673/Spend!AC197*'State Efficiency Ratios (2014)'!$C$655</f>
        <v>69.363981325970499</v>
      </c>
      <c r="AD197" s="277"/>
      <c r="AE197" s="280"/>
      <c r="AG197" s="410" t="s">
        <v>1088</v>
      </c>
      <c r="AL197" s="576"/>
      <c r="AM197" s="576"/>
      <c r="AS197" s="719">
        <f>(O207-J207)/7/$C$673/Spend!O197*'State Efficiency Ratios (2014)'!$C$655</f>
        <v>57.474295023724984</v>
      </c>
      <c r="AT197" s="721">
        <f>SUM(AS193:AS197)/5</f>
        <v>32.912018399966051</v>
      </c>
      <c r="AU197" s="720">
        <f t="shared" si="41"/>
        <v>28.737147511862492</v>
      </c>
      <c r="AV197" s="721">
        <f>SUM(AU193:AU197)/5</f>
        <v>30.100417002970339</v>
      </c>
    </row>
    <row r="198" spans="1:60" ht="12.95" customHeight="1" thickBot="1">
      <c r="A198" s="885"/>
      <c r="B198" s="885"/>
      <c r="C198" s="194" t="s">
        <v>615</v>
      </c>
      <c r="D198" s="210"/>
      <c r="E198" s="211"/>
      <c r="F198" s="209"/>
      <c r="G198" s="210"/>
      <c r="H198" s="210"/>
      <c r="I198" s="211"/>
      <c r="J198" s="209"/>
      <c r="K198" s="210"/>
      <c r="L198" s="210"/>
      <c r="M198" s="211"/>
      <c r="N198" s="281"/>
      <c r="O198" s="282"/>
      <c r="P198" s="282"/>
      <c r="Q198" s="282"/>
      <c r="R198" s="277"/>
      <c r="S198" s="278"/>
      <c r="T198" s="278"/>
      <c r="U198" s="278">
        <f>(U208-R208)/3/$C$673/Spend!U198*'State Efficiency Ratios (2014)'!$C$655</f>
        <v>0</v>
      </c>
      <c r="V198" s="277"/>
      <c r="W198" s="278"/>
      <c r="X198" s="278"/>
      <c r="Y198" s="278">
        <f>(Y208-U208)/4/$C$673/Spend!Y198*'State Efficiency Ratios (2014)'!$C$655</f>
        <v>75.757344647651749</v>
      </c>
      <c r="Z198" s="277"/>
      <c r="AA198" s="278"/>
      <c r="AB198" s="278"/>
      <c r="AC198" s="278">
        <f>(AC208-Y208)/4/$C$673/Spend!AC198*'State Efficiency Ratios (2014)'!$C$655</f>
        <v>260.43615593351501</v>
      </c>
      <c r="AD198" s="277"/>
      <c r="AE198" s="280"/>
      <c r="AG198" s="410"/>
      <c r="AI198" s="4" t="s">
        <v>1053</v>
      </c>
      <c r="AL198" s="576"/>
      <c r="AM198" s="576"/>
      <c r="AN198" s="4" t="s">
        <v>1056</v>
      </c>
      <c r="AR198" s="264" t="s">
        <v>1050</v>
      </c>
      <c r="AS198" s="719">
        <f>(Y208-R208)/7/$C$673/(Spend!U198+Spend!Y198)*'State Efficiency Ratios (2014)'!$C$655</f>
        <v>27.116745890932751</v>
      </c>
      <c r="AU198" s="720">
        <f t="shared" si="41"/>
        <v>34.372872558391059</v>
      </c>
    </row>
    <row r="199" spans="1:60" ht="12.95" customHeight="1" thickBot="1">
      <c r="A199" s="885"/>
      <c r="B199" s="885"/>
      <c r="C199" s="194" t="s">
        <v>616</v>
      </c>
      <c r="D199" s="210"/>
      <c r="E199" s="211"/>
      <c r="F199" s="209"/>
      <c r="G199" s="210"/>
      <c r="H199" s="210"/>
      <c r="I199" s="211"/>
      <c r="J199" s="209"/>
      <c r="K199" s="210"/>
      <c r="L199" s="210"/>
      <c r="M199" s="211"/>
      <c r="N199" s="281"/>
      <c r="O199" s="282"/>
      <c r="P199" s="282"/>
      <c r="Q199" s="282"/>
      <c r="R199" s="277"/>
      <c r="S199" s="278"/>
      <c r="T199" s="278"/>
      <c r="U199" s="278">
        <f>(U209-R209)/3/$C$673/Spend!U199*'State Efficiency Ratios (2014)'!$C$655</f>
        <v>141.40735606156983</v>
      </c>
      <c r="V199" s="277"/>
      <c r="W199" s="278"/>
      <c r="X199" s="278"/>
      <c r="Y199" s="278">
        <f>(Y209-U209)/4/$C$673/Spend!Y199*'State Efficiency Ratios (2014)'!$C$655</f>
        <v>-119.46426325631516</v>
      </c>
      <c r="Z199" s="277"/>
      <c r="AA199" s="278"/>
      <c r="AB199" s="278"/>
      <c r="AC199" s="278">
        <f>(AC209-Y209)/4/$C$673/Spend!AC199*'State Efficiency Ratios (2014)'!$C$655</f>
        <v>462.38570768467787</v>
      </c>
      <c r="AD199" s="277"/>
      <c r="AE199" s="280"/>
      <c r="AG199" s="410" t="s">
        <v>1084</v>
      </c>
      <c r="AH199" s="355" t="s">
        <v>1052</v>
      </c>
      <c r="AI199" s="599">
        <f>4/5*SUM(AI203:AI207)/5</f>
        <v>0.8640000000000001</v>
      </c>
      <c r="AJ199" s="592">
        <f>4/6*SUM(AJ203:AJ207)/5</f>
        <v>0.29333333333333333</v>
      </c>
      <c r="AK199" s="592">
        <f>SUM(AK203:AK210)/8</f>
        <v>0.57499999999999996</v>
      </c>
      <c r="AL199" s="594">
        <f>SUM(AL203:AL210)/8</f>
        <v>1.0624999999999998</v>
      </c>
      <c r="AM199" s="355" t="s">
        <v>1052</v>
      </c>
      <c r="AN199" s="599">
        <f>4/5*SUM(AN203:AN207)/5</f>
        <v>0.57600000000000018</v>
      </c>
      <c r="AO199" s="592">
        <f>4/6*SUM(AO203:AO207)/5</f>
        <v>0.46666666666666662</v>
      </c>
      <c r="AP199" s="592">
        <f>SUM(AP203:AP210)/8</f>
        <v>0.89583333333333326</v>
      </c>
      <c r="AQ199" s="594">
        <f>SUM(AQ203:AQ210)/8</f>
        <v>1.1845833333333333</v>
      </c>
      <c r="AR199" s="695">
        <f>AVERAGE(AN199:AQ199)</f>
        <v>0.78077083333333341</v>
      </c>
      <c r="AS199" s="719">
        <f>(Y209-R209)/7/$C$673/(Spend!U199+Spend!Y199)*'State Efficiency Ratios (2014)'!$C$655</f>
        <v>0</v>
      </c>
      <c r="AT199" s="714" t="s">
        <v>1071</v>
      </c>
      <c r="AU199" s="720">
        <f t="shared" si="41"/>
        <v>0</v>
      </c>
      <c r="AV199" s="714" t="s">
        <v>1071</v>
      </c>
    </row>
    <row r="200" spans="1:60" ht="12.95" customHeight="1" thickBot="1">
      <c r="A200" s="885"/>
      <c r="B200" s="885"/>
      <c r="C200" s="194" t="s">
        <v>617</v>
      </c>
      <c r="D200" s="210"/>
      <c r="E200" s="211"/>
      <c r="F200" s="209"/>
      <c r="G200" s="210"/>
      <c r="H200" s="210"/>
      <c r="I200" s="211"/>
      <c r="J200" s="209"/>
      <c r="K200" s="210"/>
      <c r="L200" s="210"/>
      <c r="M200" s="211"/>
      <c r="N200" s="281"/>
      <c r="O200" s="282"/>
      <c r="P200" s="282"/>
      <c r="Q200" s="282"/>
      <c r="R200" s="277"/>
      <c r="S200" s="278"/>
      <c r="T200" s="278"/>
      <c r="U200" s="278">
        <f>(U210-R210)/3/$C$673/Spend!U200*'State Efficiency Ratios (2014)'!$C$655</f>
        <v>0</v>
      </c>
      <c r="V200" s="277"/>
      <c r="W200" s="278"/>
      <c r="X200" s="278"/>
      <c r="Y200" s="278">
        <f>(Y210-U210)/4/$C$673/Spend!Y200*'State Efficiency Ratios (2014)'!$C$655</f>
        <v>172.38330375525072</v>
      </c>
      <c r="Z200" s="277"/>
      <c r="AA200" s="278"/>
      <c r="AB200" s="278"/>
      <c r="AC200" s="278">
        <f>(AC210-Y210)/4/$C$673/Spend!AC200*'State Efficiency Ratios (2014)'!$C$655</f>
        <v>317.22967552924104</v>
      </c>
      <c r="AD200" s="277"/>
      <c r="AE200" s="280"/>
      <c r="AG200" s="410" t="s">
        <v>1089</v>
      </c>
      <c r="AH200" s="355" t="s">
        <v>1051</v>
      </c>
      <c r="AI200" s="606">
        <f>SUM(O193:O197)/5</f>
        <v>46.076825759952477</v>
      </c>
      <c r="AJ200" s="607">
        <f>SUM(U193:U197)/5</f>
        <v>42.451044901310368</v>
      </c>
      <c r="AK200" s="607">
        <f>SUM(Y193:Y200)/8</f>
        <v>76.620416418890301</v>
      </c>
      <c r="AL200" s="608">
        <f>SUM(AC193:AC200)/8</f>
        <v>230.92380319965287</v>
      </c>
      <c r="AM200" s="355" t="s">
        <v>1051</v>
      </c>
      <c r="AN200" s="606">
        <f>'Composites (2014)'!AI28</f>
        <v>31.673922348019328</v>
      </c>
      <c r="AO200" s="607">
        <f>'Composites (2014)'!AJ28</f>
        <v>62.202694114210132</v>
      </c>
      <c r="AP200" s="607">
        <f>'Composites (2014)'!AK28</f>
        <v>154.95928768850351</v>
      </c>
      <c r="AQ200" s="608">
        <f>'Composites (2014)'!AL28</f>
        <v>241.16282968127211</v>
      </c>
      <c r="AR200" s="696">
        <f>AVERAGE(AN200:AQ200)</f>
        <v>122.49968345800127</v>
      </c>
      <c r="AS200" s="722">
        <f>(Y210-R210)/7/$C$673/(Spend!U200+Spend!Y200)*'State Efficiency Ratios (2014)'!$C$655</f>
        <v>47.955752228654497</v>
      </c>
      <c r="AT200" s="721">
        <f>SUM(AS198:AS200)/3</f>
        <v>25.024166039862418</v>
      </c>
      <c r="AU200" s="723">
        <f t="shared" si="41"/>
        <v>91.852929733145402</v>
      </c>
      <c r="AV200" s="721">
        <f>SUM(AU198:AU200)/3</f>
        <v>42.075267430512156</v>
      </c>
    </row>
    <row r="201" spans="1:60" ht="12.95" customHeight="1" thickBot="1">
      <c r="A201" s="885"/>
      <c r="B201" s="885"/>
      <c r="C201" s="194" t="s">
        <v>618</v>
      </c>
      <c r="D201" s="210"/>
      <c r="E201" s="211"/>
      <c r="F201" s="209"/>
      <c r="G201" s="210"/>
      <c r="H201" s="210"/>
      <c r="I201" s="211"/>
      <c r="J201" s="209"/>
      <c r="K201" s="210"/>
      <c r="L201" s="210"/>
      <c r="M201" s="211"/>
      <c r="N201" s="281"/>
      <c r="O201" s="282"/>
      <c r="P201" s="282"/>
      <c r="Q201" s="283"/>
      <c r="R201" s="281"/>
      <c r="S201" s="282"/>
      <c r="T201" s="282"/>
      <c r="U201" s="283"/>
      <c r="V201" s="281"/>
      <c r="W201" s="282"/>
      <c r="X201" s="282"/>
      <c r="Y201" s="283"/>
      <c r="Z201" s="277"/>
      <c r="AA201" s="278"/>
      <c r="AB201" s="278"/>
      <c r="AC201" s="278">
        <f>(AC211-Y211)/4/$C$673/Spend!AC201*'State Efficiency Ratios (2014)'!$C$655</f>
        <v>0</v>
      </c>
      <c r="AD201" s="277"/>
      <c r="AE201" s="280"/>
      <c r="AG201" s="410"/>
      <c r="AL201" s="576"/>
      <c r="AM201" s="576"/>
    </row>
    <row r="202" spans="1:60" ht="12.95" customHeight="1" thickBot="1">
      <c r="A202" s="885"/>
      <c r="B202" s="885"/>
      <c r="C202" s="194" t="s">
        <v>619</v>
      </c>
      <c r="D202" s="210"/>
      <c r="E202" s="211"/>
      <c r="F202" s="209"/>
      <c r="G202" s="210"/>
      <c r="H202" s="210"/>
      <c r="I202" s="211"/>
      <c r="J202" s="209"/>
      <c r="K202" s="210"/>
      <c r="L202" s="210"/>
      <c r="M202" s="211"/>
      <c r="N202" s="281"/>
      <c r="O202" s="282"/>
      <c r="P202" s="282"/>
      <c r="Q202" s="283"/>
      <c r="R202" s="281"/>
      <c r="S202" s="282"/>
      <c r="T202" s="282"/>
      <c r="U202" s="283"/>
      <c r="V202" s="281"/>
      <c r="W202" s="282"/>
      <c r="X202" s="282"/>
      <c r="Y202" s="283"/>
      <c r="Z202" s="277"/>
      <c r="AA202" s="278"/>
      <c r="AB202" s="278"/>
      <c r="AC202" s="278">
        <f>(AC212-Y212)/4/$C$673/Spend!AC202*'State Efficiency Ratios (2014)'!$C$655</f>
        <v>0</v>
      </c>
      <c r="AD202" s="277"/>
      <c r="AE202" s="280"/>
      <c r="AG202" s="410"/>
      <c r="AI202" s="416" t="s">
        <v>1032</v>
      </c>
      <c r="AL202" s="576"/>
      <c r="AM202" s="576"/>
      <c r="AN202" s="416" t="s">
        <v>1057</v>
      </c>
      <c r="AS202" s="716" t="s">
        <v>1032</v>
      </c>
      <c r="AU202" s="716" t="s">
        <v>1057</v>
      </c>
    </row>
    <row r="203" spans="1:60" ht="13.5" thickBot="1">
      <c r="A203" s="885"/>
      <c r="B203" s="885"/>
      <c r="C203" s="9" t="s">
        <v>295</v>
      </c>
      <c r="D203" s="241" t="s">
        <v>632</v>
      </c>
      <c r="E203" s="241" t="s">
        <v>632</v>
      </c>
      <c r="F203" s="243" t="s">
        <v>646</v>
      </c>
      <c r="G203" s="241" t="s">
        <v>646</v>
      </c>
      <c r="H203" s="241" t="s">
        <v>646</v>
      </c>
      <c r="I203" s="244" t="s">
        <v>646</v>
      </c>
      <c r="J203" s="195">
        <f>'State DisAgg LFx10 (2014)'!D193</f>
        <v>1</v>
      </c>
      <c r="K203" s="196"/>
      <c r="L203" s="196"/>
      <c r="M203" s="197"/>
      <c r="N203" s="195"/>
      <c r="O203" s="196">
        <f>'State DisAgg LFx10 (2014)'!H203</f>
        <v>2</v>
      </c>
      <c r="P203" s="196"/>
      <c r="Q203" s="197"/>
      <c r="R203" s="195"/>
      <c r="S203" s="196"/>
      <c r="T203" s="196"/>
      <c r="U203" s="197">
        <f>'State DisAgg LFx10 (2014)'!L203</f>
        <v>2</v>
      </c>
      <c r="V203" s="195"/>
      <c r="W203" s="196"/>
      <c r="X203" s="196"/>
      <c r="Y203" s="197">
        <f>'State DisAgg LFx10 (2014)'!P203</f>
        <v>2.5</v>
      </c>
      <c r="Z203" s="195"/>
      <c r="AA203" s="196"/>
      <c r="AB203" s="196"/>
      <c r="AC203" s="197">
        <f>'State DisAgg LFx10 (2014)'!T203</f>
        <v>3.9</v>
      </c>
      <c r="AD203" s="195"/>
      <c r="AE203" s="197"/>
      <c r="AI203" s="361">
        <f>O203-J203</f>
        <v>1</v>
      </c>
      <c r="AJ203" s="362">
        <f>U203-O203</f>
        <v>0</v>
      </c>
      <c r="AK203" s="362">
        <f t="shared" ref="AK203:AK214" si="42">Y203-U203</f>
        <v>0.5</v>
      </c>
      <c r="AL203" s="363">
        <f t="shared" ref="AL203:AL212" si="43">AC203-Y203</f>
        <v>1.4</v>
      </c>
      <c r="AM203" s="351" t="s">
        <v>756</v>
      </c>
      <c r="AN203" s="361">
        <f>((AI203/$C$673)+(AI226/$C$674)+(AI249/$C$675))*5/3</f>
        <v>-0.16666666666666663</v>
      </c>
      <c r="AO203" s="362">
        <f t="shared" ref="AO203:AQ203" si="44">((AJ203/$C$673)+(AJ226/$C$674)+(AJ249/$C$675))*5/3</f>
        <v>0.93333333333333324</v>
      </c>
      <c r="AP203" s="362">
        <f t="shared" si="44"/>
        <v>1.2666666666666666</v>
      </c>
      <c r="AQ203" s="363">
        <f t="shared" si="44"/>
        <v>2.2433333333333336</v>
      </c>
      <c r="AS203" s="724">
        <f>(O203-J203)</f>
        <v>1</v>
      </c>
      <c r="AU203" s="725">
        <f t="shared" ref="AU203:AU210" si="45">(AS203/$C$673)+(AS226/$C$674)+(AS249/$C$675)</f>
        <v>-9.9999999999999978E-2</v>
      </c>
    </row>
    <row r="204" spans="1:60" ht="13.5" thickBot="1">
      <c r="A204" s="885"/>
      <c r="B204" s="885"/>
      <c r="C204" s="9" t="s">
        <v>296</v>
      </c>
      <c r="D204" s="241" t="s">
        <v>632</v>
      </c>
      <c r="E204" s="241" t="s">
        <v>632</v>
      </c>
      <c r="F204" s="243" t="s">
        <v>646</v>
      </c>
      <c r="G204" s="241" t="s">
        <v>646</v>
      </c>
      <c r="H204" s="241" t="s">
        <v>646</v>
      </c>
      <c r="I204" s="244" t="s">
        <v>646</v>
      </c>
      <c r="J204" s="195">
        <f>'State DisAgg LFx10 (2014)'!D194</f>
        <v>1</v>
      </c>
      <c r="K204" s="196"/>
      <c r="L204" s="196"/>
      <c r="M204" s="197"/>
      <c r="N204" s="195"/>
      <c r="O204" s="196">
        <f>'State DisAgg LFx10 (2014)'!H204</f>
        <v>2</v>
      </c>
      <c r="P204" s="196"/>
      <c r="Q204" s="197"/>
      <c r="R204" s="195"/>
      <c r="S204" s="196"/>
      <c r="T204" s="196"/>
      <c r="U204" s="197">
        <f>'State DisAgg LFx10 (2014)'!L204</f>
        <v>2.7</v>
      </c>
      <c r="V204" s="195"/>
      <c r="W204" s="196"/>
      <c r="X204" s="196"/>
      <c r="Y204" s="197">
        <f>'State DisAgg LFx10 (2014)'!P204</f>
        <v>3.8</v>
      </c>
      <c r="Z204" s="195"/>
      <c r="AA204" s="196"/>
      <c r="AB204" s="196"/>
      <c r="AC204" s="197">
        <f>'State DisAgg LFx10 (2014)'!T204</f>
        <v>4.5999999999999996</v>
      </c>
      <c r="AD204" s="195"/>
      <c r="AE204" s="197"/>
      <c r="AI204" s="364">
        <f>O204-J204</f>
        <v>1</v>
      </c>
      <c r="AJ204" s="360">
        <f>U204-O204</f>
        <v>0.70000000000000018</v>
      </c>
      <c r="AK204" s="360">
        <f t="shared" si="42"/>
        <v>1.0999999999999996</v>
      </c>
      <c r="AL204" s="365">
        <f t="shared" si="43"/>
        <v>0.79999999999999982</v>
      </c>
      <c r="AM204" s="351" t="s">
        <v>757</v>
      </c>
      <c r="AN204" s="364">
        <f t="shared" ref="AN204:AN212" si="46">((AI204/$C$673)+(AI227/$C$674)+(AI250/$C$675))*5/3</f>
        <v>1.8333333333333333</v>
      </c>
      <c r="AO204" s="360">
        <f t="shared" ref="AO204:AO212" si="47">((AJ204/$C$673)+(AJ227/$C$674)+(AJ250/$C$675))*5/3</f>
        <v>-0.36666666666666653</v>
      </c>
      <c r="AP204" s="360">
        <f t="shared" ref="AP204:AP212" si="48">((AK204/$C$673)+(AK227/$C$674)+(AK250/$C$675))*5/3</f>
        <v>1.6666666666666663</v>
      </c>
      <c r="AQ204" s="365">
        <f t="shared" ref="AQ204:AQ212" si="49">((AL204/$C$673)+(AL227/$C$674)+(AL250/$C$675))*5/3</f>
        <v>0.53333333333333355</v>
      </c>
      <c r="AS204" s="726">
        <f>(O204-J204)</f>
        <v>1</v>
      </c>
      <c r="AU204" s="727">
        <f t="shared" si="45"/>
        <v>1.1000000000000001</v>
      </c>
    </row>
    <row r="205" spans="1:60" ht="13.5" thickBot="1">
      <c r="A205" s="885"/>
      <c r="B205" s="885"/>
      <c r="C205" s="9" t="s">
        <v>297</v>
      </c>
      <c r="D205" s="241" t="s">
        <v>632</v>
      </c>
      <c r="E205" s="241" t="s">
        <v>632</v>
      </c>
      <c r="F205" s="243" t="s">
        <v>646</v>
      </c>
      <c r="G205" s="241" t="s">
        <v>646</v>
      </c>
      <c r="H205" s="241" t="s">
        <v>646</v>
      </c>
      <c r="I205" s="244" t="s">
        <v>646</v>
      </c>
      <c r="J205" s="195">
        <f>'State DisAgg LFx10 (2014)'!D195</f>
        <v>1</v>
      </c>
      <c r="K205" s="196"/>
      <c r="L205" s="196"/>
      <c r="M205" s="197"/>
      <c r="N205" s="195"/>
      <c r="O205" s="196">
        <f>'State DisAgg LFx10 (2014)'!H205</f>
        <v>1.4</v>
      </c>
      <c r="P205" s="196"/>
      <c r="Q205" s="197"/>
      <c r="R205" s="195"/>
      <c r="S205" s="196"/>
      <c r="T205" s="196"/>
      <c r="U205" s="197">
        <f>'State DisAgg LFx10 (2014)'!L205</f>
        <v>2.2999999999999998</v>
      </c>
      <c r="V205" s="195"/>
      <c r="W205" s="196"/>
      <c r="X205" s="196"/>
      <c r="Y205" s="197">
        <f>'State DisAgg LFx10 (2014)'!P205</f>
        <v>2.5</v>
      </c>
      <c r="Z205" s="195"/>
      <c r="AA205" s="196"/>
      <c r="AB205" s="196"/>
      <c r="AC205" s="197">
        <f>'State DisAgg LFx10 (2014)'!T205</f>
        <v>3.7</v>
      </c>
      <c r="AD205" s="195"/>
      <c r="AE205" s="197"/>
      <c r="AI205" s="364">
        <f>O205-J205</f>
        <v>0.39999999999999991</v>
      </c>
      <c r="AJ205" s="360">
        <f>U205-O205</f>
        <v>0.89999999999999991</v>
      </c>
      <c r="AK205" s="360">
        <f t="shared" si="42"/>
        <v>0.20000000000000018</v>
      </c>
      <c r="AL205" s="365">
        <f t="shared" si="43"/>
        <v>1.2000000000000002</v>
      </c>
      <c r="AM205" s="351" t="s">
        <v>758</v>
      </c>
      <c r="AN205" s="364">
        <f t="shared" si="46"/>
        <v>0.6</v>
      </c>
      <c r="AO205" s="360">
        <f t="shared" si="47"/>
        <v>1.1333333333333331</v>
      </c>
      <c r="AP205" s="360">
        <f t="shared" si="48"/>
        <v>0.60000000000000009</v>
      </c>
      <c r="AQ205" s="365">
        <f t="shared" si="49"/>
        <v>1.0666666666666669</v>
      </c>
      <c r="AS205" s="726">
        <f>(O205-J205)</f>
        <v>0.39999999999999991</v>
      </c>
      <c r="AU205" s="727">
        <f t="shared" si="45"/>
        <v>0.36</v>
      </c>
    </row>
    <row r="206" spans="1:60" ht="13.5" thickBot="1">
      <c r="A206" s="885"/>
      <c r="B206" s="885"/>
      <c r="C206" s="9" t="s">
        <v>298</v>
      </c>
      <c r="D206" s="241" t="s">
        <v>632</v>
      </c>
      <c r="E206" s="241" t="s">
        <v>632</v>
      </c>
      <c r="F206" s="243" t="s">
        <v>646</v>
      </c>
      <c r="G206" s="241" t="s">
        <v>646</v>
      </c>
      <c r="H206" s="241" t="s">
        <v>646</v>
      </c>
      <c r="I206" s="244" t="s">
        <v>646</v>
      </c>
      <c r="J206" s="195">
        <f>'State DisAgg LFx10 (2014)'!D196</f>
        <v>1</v>
      </c>
      <c r="K206" s="196"/>
      <c r="L206" s="196"/>
      <c r="M206" s="197"/>
      <c r="N206" s="195"/>
      <c r="O206" s="196">
        <f>'State DisAgg LFx10 (2014)'!H206</f>
        <v>2</v>
      </c>
      <c r="P206" s="196"/>
      <c r="Q206" s="197"/>
      <c r="R206" s="195"/>
      <c r="S206" s="196"/>
      <c r="T206" s="196"/>
      <c r="U206" s="197">
        <f>'State DisAgg LFx10 (2014)'!L206</f>
        <v>2.5</v>
      </c>
      <c r="V206" s="195"/>
      <c r="W206" s="196"/>
      <c r="X206" s="196"/>
      <c r="Y206" s="197">
        <f>'State DisAgg LFx10 (2014)'!P206</f>
        <v>3.6</v>
      </c>
      <c r="Z206" s="195"/>
      <c r="AA206" s="196"/>
      <c r="AB206" s="196"/>
      <c r="AC206" s="197">
        <f>'State DisAgg LFx10 (2014)'!T206</f>
        <v>3.8</v>
      </c>
      <c r="AD206" s="195"/>
      <c r="AE206" s="197"/>
      <c r="AI206" s="364">
        <f>O206-J206</f>
        <v>1</v>
      </c>
      <c r="AJ206" s="360">
        <f>U206-O206</f>
        <v>0.5</v>
      </c>
      <c r="AK206" s="360">
        <f t="shared" si="42"/>
        <v>1.1000000000000001</v>
      </c>
      <c r="AL206" s="365">
        <f t="shared" si="43"/>
        <v>0.19999999999999973</v>
      </c>
      <c r="AM206" s="351" t="s">
        <v>759</v>
      </c>
      <c r="AN206" s="364">
        <f t="shared" si="46"/>
        <v>0.33333333333333331</v>
      </c>
      <c r="AO206" s="360">
        <f t="shared" si="47"/>
        <v>1.3</v>
      </c>
      <c r="AP206" s="360">
        <f t="shared" si="48"/>
        <v>1.3666666666666669</v>
      </c>
      <c r="AQ206" s="365">
        <f t="shared" si="49"/>
        <v>0.36666666666666653</v>
      </c>
      <c r="AS206" s="726">
        <f>(O206-J206)</f>
        <v>1</v>
      </c>
      <c r="AT206" s="714" t="s">
        <v>1070</v>
      </c>
      <c r="AU206" s="727">
        <f t="shared" si="45"/>
        <v>0.2</v>
      </c>
      <c r="AV206" s="714" t="s">
        <v>1070</v>
      </c>
    </row>
    <row r="207" spans="1:60" ht="13.5" thickBot="1">
      <c r="A207" s="885"/>
      <c r="B207" s="885"/>
      <c r="C207" s="9" t="s">
        <v>299</v>
      </c>
      <c r="D207" s="241" t="s">
        <v>632</v>
      </c>
      <c r="E207" s="241" t="s">
        <v>632</v>
      </c>
      <c r="F207" s="243" t="s">
        <v>646</v>
      </c>
      <c r="G207" s="241" t="s">
        <v>646</v>
      </c>
      <c r="H207" s="241" t="s">
        <v>646</v>
      </c>
      <c r="I207" s="244" t="s">
        <v>646</v>
      </c>
      <c r="J207" s="195">
        <f>'State DisAgg LFx10 (2014)'!D197</f>
        <v>1</v>
      </c>
      <c r="K207" s="196"/>
      <c r="L207" s="196"/>
      <c r="M207" s="197"/>
      <c r="N207" s="195"/>
      <c r="O207" s="196">
        <f>'State DisAgg LFx10 (2014)'!H207</f>
        <v>3</v>
      </c>
      <c r="P207" s="196"/>
      <c r="Q207" s="197"/>
      <c r="R207" s="195"/>
      <c r="S207" s="196"/>
      <c r="T207" s="196"/>
      <c r="U207" s="197">
        <f>'State DisAgg LFx10 (2014)'!L207</f>
        <v>3.1</v>
      </c>
      <c r="V207" s="195"/>
      <c r="W207" s="196"/>
      <c r="X207" s="196"/>
      <c r="Y207" s="197">
        <f>'State DisAgg LFx10 (2014)'!P207</f>
        <v>3.9</v>
      </c>
      <c r="Z207" s="195"/>
      <c r="AA207" s="196"/>
      <c r="AB207" s="196"/>
      <c r="AC207" s="197">
        <f>'State DisAgg LFx10 (2014)'!T207</f>
        <v>4.5</v>
      </c>
      <c r="AD207" s="195"/>
      <c r="AE207" s="197"/>
      <c r="AI207" s="364">
        <f>O207-J207</f>
        <v>2</v>
      </c>
      <c r="AJ207" s="360">
        <f>U207-O207</f>
        <v>0.10000000000000009</v>
      </c>
      <c r="AK207" s="360">
        <f t="shared" si="42"/>
        <v>0.79999999999999982</v>
      </c>
      <c r="AL207" s="365">
        <f t="shared" si="43"/>
        <v>0.60000000000000009</v>
      </c>
      <c r="AM207" s="351" t="s">
        <v>760</v>
      </c>
      <c r="AN207" s="364">
        <f t="shared" si="46"/>
        <v>1.0000000000000002</v>
      </c>
      <c r="AO207" s="360">
        <f t="shared" si="47"/>
        <v>0.50000000000000011</v>
      </c>
      <c r="AP207" s="360">
        <f t="shared" si="48"/>
        <v>1.0333333333333334</v>
      </c>
      <c r="AQ207" s="365">
        <f t="shared" si="49"/>
        <v>1.3333333333333333</v>
      </c>
      <c r="AS207" s="726">
        <f>(O207-J207)</f>
        <v>2</v>
      </c>
      <c r="AT207" s="714">
        <f>SUM(AS203:AS207)/5</f>
        <v>1.08</v>
      </c>
      <c r="AU207" s="727">
        <f t="shared" si="45"/>
        <v>0.60000000000000009</v>
      </c>
      <c r="AV207" s="728">
        <f>SUM(AU203:AU207)/5</f>
        <v>0.43200000000000005</v>
      </c>
    </row>
    <row r="208" spans="1:60" ht="13.5" thickBot="1">
      <c r="A208" s="885"/>
      <c r="B208" s="885"/>
      <c r="C208" s="9" t="s">
        <v>300</v>
      </c>
      <c r="D208" s="199"/>
      <c r="E208" s="200"/>
      <c r="F208" s="201"/>
      <c r="G208" s="199"/>
      <c r="H208" s="199"/>
      <c r="I208" s="200"/>
      <c r="J208" s="201"/>
      <c r="K208" s="199"/>
      <c r="L208" s="199"/>
      <c r="M208" s="200"/>
      <c r="N208" s="198"/>
      <c r="O208" s="217" t="s">
        <v>634</v>
      </c>
      <c r="P208" s="241" t="s">
        <v>632</v>
      </c>
      <c r="Q208" s="244" t="s">
        <v>646</v>
      </c>
      <c r="R208" s="195">
        <f>'State DisAgg LFx10 (2014)'!H198</f>
        <v>1</v>
      </c>
      <c r="S208" s="196"/>
      <c r="T208" s="196"/>
      <c r="U208" s="197">
        <f>'State DisAgg LFx10 (2014)'!L208</f>
        <v>1</v>
      </c>
      <c r="V208" s="195"/>
      <c r="W208" s="196"/>
      <c r="X208" s="196"/>
      <c r="Y208" s="197">
        <f>'State DisAgg LFx10 (2014)'!P208</f>
        <v>1.6</v>
      </c>
      <c r="Z208" s="195"/>
      <c r="AA208" s="196"/>
      <c r="AB208" s="196"/>
      <c r="AC208" s="197">
        <f>'State DisAgg LFx10 (2014)'!T208</f>
        <v>2.8</v>
      </c>
      <c r="AD208" s="195"/>
      <c r="AE208" s="197"/>
      <c r="AI208" s="364">
        <v>0</v>
      </c>
      <c r="AJ208" s="360">
        <f>U208-R208</f>
        <v>0</v>
      </c>
      <c r="AK208" s="360">
        <f t="shared" si="42"/>
        <v>0.60000000000000009</v>
      </c>
      <c r="AL208" s="365">
        <f t="shared" si="43"/>
        <v>1.1999999999999997</v>
      </c>
      <c r="AM208" s="351" t="s">
        <v>761</v>
      </c>
      <c r="AN208" s="364">
        <f t="shared" si="46"/>
        <v>0</v>
      </c>
      <c r="AO208" s="360">
        <f t="shared" si="47"/>
        <v>0</v>
      </c>
      <c r="AP208" s="360">
        <f t="shared" si="48"/>
        <v>0.43333333333333335</v>
      </c>
      <c r="AQ208" s="365">
        <f t="shared" si="49"/>
        <v>1.0666666666666664</v>
      </c>
      <c r="AS208" s="726">
        <f>(Y208-R208)</f>
        <v>0.60000000000000009</v>
      </c>
      <c r="AU208" s="727">
        <f t="shared" si="45"/>
        <v>0.26</v>
      </c>
    </row>
    <row r="209" spans="1:48" ht="13.5" thickBot="1">
      <c r="A209" s="885"/>
      <c r="B209" s="885"/>
      <c r="C209" s="9" t="s">
        <v>301</v>
      </c>
      <c r="D209" s="199"/>
      <c r="E209" s="200"/>
      <c r="F209" s="201"/>
      <c r="G209" s="199"/>
      <c r="H209" s="199"/>
      <c r="I209" s="200"/>
      <c r="J209" s="201"/>
      <c r="K209" s="199"/>
      <c r="L209" s="199"/>
      <c r="M209" s="200"/>
      <c r="N209" s="198"/>
      <c r="O209" s="217" t="s">
        <v>634</v>
      </c>
      <c r="P209" s="241" t="s">
        <v>632</v>
      </c>
      <c r="Q209" s="244" t="s">
        <v>646</v>
      </c>
      <c r="R209" s="195">
        <f>'State DisAgg LFx10 (2014)'!H199</f>
        <v>1</v>
      </c>
      <c r="S209" s="196"/>
      <c r="T209" s="196"/>
      <c r="U209" s="197">
        <f>'State DisAgg LFx10 (2014)'!L209</f>
        <v>1.5</v>
      </c>
      <c r="V209" s="195"/>
      <c r="W209" s="196"/>
      <c r="X209" s="196"/>
      <c r="Y209" s="197">
        <f>'State DisAgg LFx10 (2014)'!P209</f>
        <v>1</v>
      </c>
      <c r="Z209" s="195"/>
      <c r="AA209" s="196"/>
      <c r="AB209" s="196"/>
      <c r="AC209" s="197">
        <f>'State DisAgg LFx10 (2014)'!T209</f>
        <v>3</v>
      </c>
      <c r="AD209" s="195"/>
      <c r="AE209" s="197"/>
      <c r="AI209" s="364">
        <v>0</v>
      </c>
      <c r="AJ209" s="360">
        <f>U209-R209</f>
        <v>0.5</v>
      </c>
      <c r="AK209" s="360">
        <f t="shared" si="42"/>
        <v>-0.5</v>
      </c>
      <c r="AL209" s="365">
        <f t="shared" si="43"/>
        <v>2</v>
      </c>
      <c r="AM209" s="351" t="s">
        <v>762</v>
      </c>
      <c r="AN209" s="364">
        <f t="shared" si="46"/>
        <v>0</v>
      </c>
      <c r="AO209" s="360">
        <f t="shared" si="47"/>
        <v>0.16666666666666666</v>
      </c>
      <c r="AP209" s="360">
        <f t="shared" si="48"/>
        <v>-0.16666666666666666</v>
      </c>
      <c r="AQ209" s="365">
        <f t="shared" si="49"/>
        <v>1.4333333333333333</v>
      </c>
      <c r="AS209" s="726">
        <f>(Y209-R209)</f>
        <v>0</v>
      </c>
      <c r="AT209" s="714" t="s">
        <v>1071</v>
      </c>
      <c r="AU209" s="727">
        <f t="shared" si="45"/>
        <v>0</v>
      </c>
      <c r="AV209" s="714" t="s">
        <v>1071</v>
      </c>
    </row>
    <row r="210" spans="1:48" ht="13.5" thickBot="1">
      <c r="A210" s="885"/>
      <c r="B210" s="885"/>
      <c r="C210" s="9" t="s">
        <v>302</v>
      </c>
      <c r="D210" s="199"/>
      <c r="E210" s="200"/>
      <c r="F210" s="201"/>
      <c r="G210" s="199"/>
      <c r="H210" s="199"/>
      <c r="I210" s="200"/>
      <c r="J210" s="201"/>
      <c r="K210" s="199"/>
      <c r="L210" s="199"/>
      <c r="M210" s="200"/>
      <c r="N210" s="198"/>
      <c r="O210" s="217" t="s">
        <v>634</v>
      </c>
      <c r="P210" s="241" t="s">
        <v>632</v>
      </c>
      <c r="Q210" s="244" t="s">
        <v>646</v>
      </c>
      <c r="R210" s="195">
        <f>'State DisAgg LFx10 (2014)'!H200</f>
        <v>1</v>
      </c>
      <c r="S210" s="196"/>
      <c r="T210" s="196"/>
      <c r="U210" s="197">
        <f>'State DisAgg LFx10 (2014)'!L210</f>
        <v>1</v>
      </c>
      <c r="V210" s="195"/>
      <c r="W210" s="196"/>
      <c r="X210" s="196"/>
      <c r="Y210" s="197">
        <f>'State DisAgg LFx10 (2014)'!P210</f>
        <v>1.8</v>
      </c>
      <c r="Z210" s="195"/>
      <c r="AA210" s="196"/>
      <c r="AB210" s="196"/>
      <c r="AC210" s="197">
        <f>'State DisAgg LFx10 (2014)'!T210</f>
        <v>2.9</v>
      </c>
      <c r="AD210" s="195"/>
      <c r="AE210" s="197"/>
      <c r="AI210" s="364">
        <v>0</v>
      </c>
      <c r="AJ210" s="360">
        <f>U210-R210</f>
        <v>0</v>
      </c>
      <c r="AK210" s="360">
        <f t="shared" si="42"/>
        <v>0.8</v>
      </c>
      <c r="AL210" s="365">
        <f t="shared" si="43"/>
        <v>1.0999999999999999</v>
      </c>
      <c r="AM210" s="351" t="s">
        <v>763</v>
      </c>
      <c r="AN210" s="364">
        <f t="shared" si="46"/>
        <v>0</v>
      </c>
      <c r="AO210" s="360">
        <f t="shared" si="47"/>
        <v>0</v>
      </c>
      <c r="AP210" s="360">
        <f t="shared" si="48"/>
        <v>0.96666666666666679</v>
      </c>
      <c r="AQ210" s="365">
        <f t="shared" si="49"/>
        <v>1.4333333333333329</v>
      </c>
      <c r="AS210" s="729">
        <f>(Y210-R210)</f>
        <v>0.8</v>
      </c>
      <c r="AT210" s="728">
        <f>SUM(AS208:AS210)/3</f>
        <v>0.46666666666666673</v>
      </c>
      <c r="AU210" s="730">
        <f t="shared" si="45"/>
        <v>0.58000000000000007</v>
      </c>
      <c r="AV210" s="728">
        <f>SUM(AU208:AU210)/3</f>
        <v>0.28000000000000003</v>
      </c>
    </row>
    <row r="211" spans="1:48" ht="13.5" thickBot="1">
      <c r="A211" s="885"/>
      <c r="B211" s="885"/>
      <c r="C211" s="9" t="s">
        <v>303</v>
      </c>
      <c r="D211" s="202"/>
      <c r="E211" s="203"/>
      <c r="F211" s="201"/>
      <c r="G211" s="202"/>
      <c r="H211" s="202"/>
      <c r="I211" s="203"/>
      <c r="J211" s="201"/>
      <c r="K211" s="202"/>
      <c r="L211" s="202"/>
      <c r="M211" s="203"/>
      <c r="N211" s="204"/>
      <c r="O211" s="214"/>
      <c r="P211" s="205"/>
      <c r="Q211" s="205"/>
      <c r="R211" s="201"/>
      <c r="S211" s="202"/>
      <c r="T211" s="202"/>
      <c r="U211" s="203"/>
      <c r="V211" s="242"/>
      <c r="W211" s="217" t="s">
        <v>633</v>
      </c>
      <c r="X211" s="241" t="s">
        <v>632</v>
      </c>
      <c r="Y211" s="197">
        <f>'State DisAgg LFx10 (2014)'!P201</f>
        <v>1.2</v>
      </c>
      <c r="Z211" s="195"/>
      <c r="AA211" s="196"/>
      <c r="AB211" s="196"/>
      <c r="AC211" s="197">
        <f>'State DisAgg LFx10 (2014)'!T211</f>
        <v>1.2</v>
      </c>
      <c r="AD211" s="195"/>
      <c r="AE211" s="197"/>
      <c r="AI211" s="364">
        <f>O211-J211</f>
        <v>0</v>
      </c>
      <c r="AJ211" s="360">
        <f>U211-O211</f>
        <v>0</v>
      </c>
      <c r="AK211" s="360">
        <f t="shared" si="42"/>
        <v>1.2</v>
      </c>
      <c r="AL211" s="365">
        <f t="shared" si="43"/>
        <v>0</v>
      </c>
      <c r="AM211" s="351" t="s">
        <v>1098</v>
      </c>
      <c r="AN211" s="364">
        <f t="shared" si="46"/>
        <v>0</v>
      </c>
      <c r="AO211" s="360">
        <f t="shared" si="47"/>
        <v>0</v>
      </c>
      <c r="AP211" s="360">
        <f t="shared" si="48"/>
        <v>1.0666666666666667</v>
      </c>
      <c r="AQ211" s="365">
        <f t="shared" si="49"/>
        <v>0</v>
      </c>
    </row>
    <row r="212" spans="1:48" ht="13.5" thickBot="1">
      <c r="A212" s="885"/>
      <c r="B212" s="885"/>
      <c r="C212" s="9" t="s">
        <v>304</v>
      </c>
      <c r="D212" s="202"/>
      <c r="E212" s="203"/>
      <c r="F212" s="201"/>
      <c r="G212" s="202"/>
      <c r="H212" s="202"/>
      <c r="I212" s="203"/>
      <c r="J212" s="201"/>
      <c r="K212" s="202"/>
      <c r="L212" s="202"/>
      <c r="M212" s="203"/>
      <c r="N212" s="204"/>
      <c r="O212" s="205"/>
      <c r="P212" s="205"/>
      <c r="Q212" s="205"/>
      <c r="R212" s="201"/>
      <c r="S212" s="202"/>
      <c r="T212" s="202"/>
      <c r="U212" s="203"/>
      <c r="V212" s="242"/>
      <c r="W212" s="217" t="s">
        <v>633</v>
      </c>
      <c r="X212" s="241" t="s">
        <v>632</v>
      </c>
      <c r="Y212" s="197">
        <f>'State DisAgg LFx10 (2014)'!P202</f>
        <v>1.1000000000000001</v>
      </c>
      <c r="Z212" s="195"/>
      <c r="AA212" s="196"/>
      <c r="AB212" s="196"/>
      <c r="AC212" s="197">
        <f>'State DisAgg LFx10 (2014)'!T212</f>
        <v>1.1000000000000001</v>
      </c>
      <c r="AD212" s="195"/>
      <c r="AE212" s="197"/>
      <c r="AI212" s="366">
        <f>O212-J212</f>
        <v>0</v>
      </c>
      <c r="AJ212" s="367">
        <f>U212-O212</f>
        <v>0</v>
      </c>
      <c r="AK212" s="367">
        <f t="shared" si="42"/>
        <v>1.1000000000000001</v>
      </c>
      <c r="AL212" s="368">
        <f t="shared" si="43"/>
        <v>0</v>
      </c>
      <c r="AM212" s="351" t="s">
        <v>1099</v>
      </c>
      <c r="AN212" s="366">
        <f t="shared" si="46"/>
        <v>0</v>
      </c>
      <c r="AO212" s="367">
        <f t="shared" si="47"/>
        <v>0</v>
      </c>
      <c r="AP212" s="367">
        <f t="shared" si="48"/>
        <v>0.70000000000000007</v>
      </c>
      <c r="AQ212" s="368">
        <f t="shared" si="49"/>
        <v>0</v>
      </c>
    </row>
    <row r="213" spans="1:48" ht="12.95" hidden="1" customHeight="1" thickBot="1">
      <c r="A213" s="885"/>
      <c r="B213" s="501"/>
      <c r="C213" s="231"/>
      <c r="D213" s="232"/>
      <c r="E213" s="233"/>
      <c r="F213" s="234"/>
      <c r="G213" s="232"/>
      <c r="H213" s="232"/>
      <c r="I213" s="233"/>
      <c r="J213" s="234"/>
      <c r="K213" s="232"/>
      <c r="L213" s="232"/>
      <c r="M213" s="233"/>
      <c r="N213" s="234"/>
      <c r="O213" s="232"/>
      <c r="P213" s="232"/>
      <c r="Q213" s="233"/>
      <c r="R213" s="234"/>
      <c r="S213" s="232"/>
      <c r="T213" s="232"/>
      <c r="U213" s="233"/>
      <c r="V213" s="234"/>
      <c r="W213" s="232"/>
      <c r="X213" s="232"/>
      <c r="Y213" s="233"/>
      <c r="Z213" s="234"/>
      <c r="AA213" s="232"/>
      <c r="AB213" s="232"/>
      <c r="AC213" s="233"/>
      <c r="AD213" s="234"/>
      <c r="AE213" s="233"/>
      <c r="AI213" s="354">
        <f>O213-J213</f>
        <v>0</v>
      </c>
      <c r="AJ213" s="354">
        <f>U213-O213</f>
        <v>0</v>
      </c>
      <c r="AK213" s="354">
        <f t="shared" si="42"/>
        <v>0</v>
      </c>
      <c r="AQ213" s="354"/>
    </row>
    <row r="214" spans="1:48" ht="12.95" hidden="1" customHeight="1" thickBot="1">
      <c r="A214" s="885"/>
      <c r="B214" s="501"/>
      <c r="C214" s="231"/>
      <c r="D214" s="232"/>
      <c r="E214" s="233"/>
      <c r="F214" s="234"/>
      <c r="G214" s="232"/>
      <c r="H214" s="232"/>
      <c r="I214" s="233"/>
      <c r="J214" s="234"/>
      <c r="K214" s="232"/>
      <c r="L214" s="232"/>
      <c r="M214" s="233"/>
      <c r="N214" s="234"/>
      <c r="O214" s="232"/>
      <c r="P214" s="232"/>
      <c r="Q214" s="233"/>
      <c r="R214" s="234"/>
      <c r="S214" s="232"/>
      <c r="T214" s="232"/>
      <c r="U214" s="233"/>
      <c r="V214" s="234"/>
      <c r="W214" s="232"/>
      <c r="X214" s="232"/>
      <c r="Y214" s="233"/>
      <c r="Z214" s="234"/>
      <c r="AA214" s="232"/>
      <c r="AB214" s="232"/>
      <c r="AC214" s="233"/>
      <c r="AD214" s="234"/>
      <c r="AE214" s="233"/>
      <c r="AI214" s="354">
        <f>O214-J214</f>
        <v>0</v>
      </c>
      <c r="AJ214" s="354">
        <f>U214-O214</f>
        <v>0</v>
      </c>
      <c r="AK214" s="354">
        <f t="shared" si="42"/>
        <v>0</v>
      </c>
      <c r="AQ214" s="354"/>
    </row>
    <row r="215" spans="1:48" ht="12.95" customHeight="1" thickBot="1">
      <c r="A215" s="885"/>
      <c r="B215" s="3" t="s">
        <v>17</v>
      </c>
      <c r="C215" s="12"/>
      <c r="D215" s="1377">
        <v>2008</v>
      </c>
      <c r="E215" s="1378"/>
      <c r="F215" s="1372">
        <v>2009</v>
      </c>
      <c r="G215" s="1373"/>
      <c r="H215" s="1373"/>
      <c r="I215" s="1374"/>
      <c r="J215" s="1372">
        <v>2010</v>
      </c>
      <c r="K215" s="1373"/>
      <c r="L215" s="1373"/>
      <c r="M215" s="1374"/>
      <c r="N215" s="1372">
        <v>2011</v>
      </c>
      <c r="O215" s="1373"/>
      <c r="P215" s="1373"/>
      <c r="Q215" s="1374"/>
      <c r="R215" s="1372">
        <v>2012</v>
      </c>
      <c r="S215" s="1373"/>
      <c r="T215" s="1373"/>
      <c r="U215" s="1374"/>
      <c r="V215" s="1372">
        <v>2013</v>
      </c>
      <c r="W215" s="1373"/>
      <c r="X215" s="1373"/>
      <c r="Y215" s="1374"/>
      <c r="Z215" s="1372">
        <v>2014</v>
      </c>
      <c r="AA215" s="1373"/>
      <c r="AB215" s="1373"/>
      <c r="AC215" s="1374"/>
      <c r="AD215" s="1372">
        <v>2015</v>
      </c>
      <c r="AE215" s="1374"/>
      <c r="AG215" s="257" t="s">
        <v>663</v>
      </c>
      <c r="AL215" s="351"/>
      <c r="AM215" s="351"/>
      <c r="AS215" s="716" t="s">
        <v>1033</v>
      </c>
    </row>
    <row r="216" spans="1:48" ht="13.5" thickBot="1">
      <c r="A216" s="885"/>
      <c r="B216" s="868" t="s">
        <v>59</v>
      </c>
      <c r="C216" s="194" t="s">
        <v>610</v>
      </c>
      <c r="D216" s="206"/>
      <c r="E216" s="207"/>
      <c r="F216" s="209"/>
      <c r="G216" s="206"/>
      <c r="H216" s="206"/>
      <c r="I216" s="207"/>
      <c r="J216" s="209"/>
      <c r="K216" s="206"/>
      <c r="L216" s="206"/>
      <c r="M216" s="207"/>
      <c r="N216" s="277"/>
      <c r="O216" s="278">
        <f>(O226-J226)/5/$C$674/Spend!O216*'State Efficiency Ratios (2014)'!$C$655</f>
        <v>-60.391973672801441</v>
      </c>
      <c r="P216" s="278"/>
      <c r="Q216" s="279"/>
      <c r="R216" s="277"/>
      <c r="S216" s="278"/>
      <c r="T216" s="278"/>
      <c r="U216" s="278">
        <f>(U226-O226)/6/$C$674/Spend!U216*'State Efficiency Ratios (2014)'!$C$655</f>
        <v>201.61128082720995</v>
      </c>
      <c r="V216" s="277"/>
      <c r="W216" s="278"/>
      <c r="X216" s="278"/>
      <c r="Y216" s="278">
        <f>(Y226-U226)/4/$C$674/Spend!Y216*'State Efficiency Ratios (2014)'!$C$655</f>
        <v>138.57766826646744</v>
      </c>
      <c r="Z216" s="277"/>
      <c r="AA216" s="278"/>
      <c r="AB216" s="278"/>
      <c r="AC216" s="278">
        <f>(AC226-Y226)/4/$C$674/Spend!AC216*'State Efficiency Ratios (2014)'!$C$655</f>
        <v>210.69129199821003</v>
      </c>
      <c r="AD216" s="277"/>
      <c r="AE216" s="280"/>
      <c r="AG216" s="410"/>
      <c r="AM216" s="356"/>
      <c r="AS216" s="717">
        <f>(O226-J226)/7/$C$673/Spend!O216*'State Efficiency Ratios (2014)'!$C$655</f>
        <v>-43.137124052001028</v>
      </c>
    </row>
    <row r="217" spans="1:48" ht="13.5" thickBot="1">
      <c r="A217" s="885"/>
      <c r="B217" s="885"/>
      <c r="C217" s="194" t="s">
        <v>611</v>
      </c>
      <c r="D217" s="206"/>
      <c r="E217" s="207"/>
      <c r="F217" s="209"/>
      <c r="G217" s="206"/>
      <c r="H217" s="206"/>
      <c r="I217" s="207"/>
      <c r="J217" s="209"/>
      <c r="K217" s="206"/>
      <c r="L217" s="206"/>
      <c r="M217" s="207"/>
      <c r="N217" s="277"/>
      <c r="O217" s="278">
        <f>(O227-J227)/5/$C$674/Spend!O217*'State Efficiency Ratios (2014)'!$C$655</f>
        <v>90.169565995598674</v>
      </c>
      <c r="P217" s="278"/>
      <c r="Q217" s="279"/>
      <c r="R217" s="277"/>
      <c r="S217" s="278"/>
      <c r="T217" s="278"/>
      <c r="U217" s="278">
        <f>(U227-O227)/6/$C$674/Spend!U217*'State Efficiency Ratios (2014)'!$C$655</f>
        <v>-27.082363709889151</v>
      </c>
      <c r="V217" s="277"/>
      <c r="W217" s="278"/>
      <c r="X217" s="278"/>
      <c r="Y217" s="278">
        <f>(Y227-U227)/4/$C$674/Spend!Y217*'State Efficiency Ratios (2014)'!$C$655</f>
        <v>223.99026393956973</v>
      </c>
      <c r="Z217" s="277"/>
      <c r="AA217" s="278"/>
      <c r="AB217" s="278"/>
      <c r="AC217" s="278">
        <f>(AC227-Y227)/4/$C$674/Spend!AC217*'State Efficiency Ratios (2014)'!$C$655</f>
        <v>72.603692231081737</v>
      </c>
      <c r="AD217" s="277"/>
      <c r="AE217" s="280"/>
      <c r="AG217" s="410" t="s">
        <v>1083</v>
      </c>
      <c r="AM217" s="378"/>
      <c r="AS217" s="719">
        <f>(O227-J227)/7/$C$673/Spend!O217*'State Efficiency Ratios (2014)'!$C$655</f>
        <v>64.406832853999049</v>
      </c>
    </row>
    <row r="218" spans="1:48" ht="13.5" thickBot="1">
      <c r="A218" s="885"/>
      <c r="B218" s="885"/>
      <c r="C218" s="194" t="s">
        <v>612</v>
      </c>
      <c r="D218" s="206"/>
      <c r="E218" s="207"/>
      <c r="F218" s="209"/>
      <c r="G218" s="206"/>
      <c r="H218" s="206"/>
      <c r="I218" s="207"/>
      <c r="J218" s="209"/>
      <c r="K218" s="206"/>
      <c r="L218" s="206"/>
      <c r="M218" s="207"/>
      <c r="N218" s="277"/>
      <c r="O218" s="278">
        <f>(O228-J228)/5/$C$674/Spend!O218*'State Efficiency Ratios (2014)'!$C$655</f>
        <v>17.715185739035551</v>
      </c>
      <c r="P218" s="278"/>
      <c r="Q218" s="279"/>
      <c r="R218" s="277"/>
      <c r="S218" s="278"/>
      <c r="T218" s="278"/>
      <c r="U218" s="278">
        <f>(U228-O228)/6/$C$674/Spend!U218*'State Efficiency Ratios (2014)'!$C$655</f>
        <v>136.52075429453947</v>
      </c>
      <c r="V218" s="277"/>
      <c r="W218" s="278"/>
      <c r="X218" s="278"/>
      <c r="Y218" s="278">
        <f>(Y228-U228)/4/$C$674/Spend!Y218*'State Efficiency Ratios (2014)'!$C$655</f>
        <v>15.134348851756995</v>
      </c>
      <c r="Z218" s="277"/>
      <c r="AA218" s="278"/>
      <c r="AB218" s="278"/>
      <c r="AC218" s="278">
        <f>(AC228-Y228)/4/$C$674/Spend!AC218*'State Efficiency Ratios (2014)'!$C$655</f>
        <v>281.24569206705138</v>
      </c>
      <c r="AD218" s="277"/>
      <c r="AE218" s="280"/>
      <c r="AG218" s="410" t="s">
        <v>1086</v>
      </c>
      <c r="AL218" s="575"/>
      <c r="AM218" s="575"/>
      <c r="AS218" s="719">
        <f>(O228-J228)/7/$C$673/Spend!O218*'State Efficiency Ratios (2014)'!$C$655</f>
        <v>12.653704099311106</v>
      </c>
    </row>
    <row r="219" spans="1:48" ht="13.5" thickBot="1">
      <c r="A219" s="885"/>
      <c r="B219" s="885"/>
      <c r="C219" s="194" t="s">
        <v>613</v>
      </c>
      <c r="D219" s="206"/>
      <c r="E219" s="207"/>
      <c r="F219" s="209"/>
      <c r="G219" s="206"/>
      <c r="H219" s="206"/>
      <c r="I219" s="207"/>
      <c r="J219" s="209"/>
      <c r="K219" s="206"/>
      <c r="L219" s="206"/>
      <c r="M219" s="207"/>
      <c r="N219" s="277"/>
      <c r="O219" s="278">
        <f>(O229-J229)/5/$C$674/Spend!O219*'State Efficiency Ratios (2014)'!$C$655</f>
        <v>0</v>
      </c>
      <c r="P219" s="278"/>
      <c r="Q219" s="279"/>
      <c r="R219" s="277"/>
      <c r="S219" s="278"/>
      <c r="T219" s="278"/>
      <c r="U219" s="278">
        <f>(U229-O229)/6/$C$674/Spend!U219*'State Efficiency Ratios (2014)'!$C$655</f>
        <v>241.96666951210193</v>
      </c>
      <c r="V219" s="277"/>
      <c r="W219" s="278"/>
      <c r="X219" s="278"/>
      <c r="Y219" s="278">
        <f>(Y229-U229)/4/$C$674/Spend!Y219*'State Efficiency Ratios (2014)'!$C$655</f>
        <v>86.703138839552381</v>
      </c>
      <c r="Z219" s="277"/>
      <c r="AA219" s="278"/>
      <c r="AB219" s="278"/>
      <c r="AC219" s="278">
        <f>(AC229-Y229)/4/$C$674/Spend!AC219*'State Efficiency Ratios (2014)'!$C$655</f>
        <v>-24.248017677467196</v>
      </c>
      <c r="AD219" s="277"/>
      <c r="AE219" s="280"/>
      <c r="AG219" s="410" t="s">
        <v>1087</v>
      </c>
      <c r="AL219" s="575"/>
      <c r="AM219" s="575"/>
      <c r="AS219" s="719">
        <f>(O229-J229)/7/$C$673/Spend!O219*'State Efficiency Ratios (2014)'!$C$655</f>
        <v>0</v>
      </c>
      <c r="AT219" s="714" t="s">
        <v>1070</v>
      </c>
    </row>
    <row r="220" spans="1:48" ht="13.5" thickBot="1">
      <c r="A220" s="885"/>
      <c r="B220" s="885"/>
      <c r="C220" s="194" t="s">
        <v>614</v>
      </c>
      <c r="D220" s="206"/>
      <c r="E220" s="207"/>
      <c r="F220" s="209"/>
      <c r="G220" s="206"/>
      <c r="H220" s="206"/>
      <c r="I220" s="207"/>
      <c r="J220" s="209"/>
      <c r="K220" s="206"/>
      <c r="L220" s="206"/>
      <c r="M220" s="207"/>
      <c r="N220" s="277"/>
      <c r="O220" s="278">
        <f>(O230-J230)/5/$C$674/Spend!O220*'State Efficiency Ratios (2014)'!$C$655</f>
        <v>40.232006516607491</v>
      </c>
      <c r="P220" s="278"/>
      <c r="Q220" s="279"/>
      <c r="R220" s="277"/>
      <c r="S220" s="278"/>
      <c r="T220" s="278"/>
      <c r="U220" s="278">
        <f>(U230-O230)/6/$C$674/Spend!U220*'State Efficiency Ratios (2014)'!$C$655</f>
        <v>43.404970947054736</v>
      </c>
      <c r="V220" s="277"/>
      <c r="W220" s="278"/>
      <c r="X220" s="278"/>
      <c r="Y220" s="278">
        <f>(Y230-U230)/4/$C$674/Spend!Y220*'State Efficiency Ratios (2014)'!$C$655</f>
        <v>-22.334834417882476</v>
      </c>
      <c r="Z220" s="277"/>
      <c r="AA220" s="278"/>
      <c r="AB220" s="278"/>
      <c r="AC220" s="278">
        <f>(AC230-Y230)/4/$C$674/Spend!AC220*'State Efficiency Ratios (2014)'!$C$655</f>
        <v>181.02008279545913</v>
      </c>
      <c r="AD220" s="277"/>
      <c r="AE220" s="280"/>
      <c r="AG220" s="410" t="s">
        <v>1088</v>
      </c>
      <c r="AL220" s="575"/>
      <c r="AM220" s="575"/>
      <c r="AS220" s="719">
        <f>(O230-J230)/7/$C$673/Spend!O220*'State Efficiency Ratios (2014)'!$C$655</f>
        <v>28.737147511862492</v>
      </c>
      <c r="AT220" s="721">
        <f>SUM(AS216:AS220)/5</f>
        <v>12.532112082634324</v>
      </c>
    </row>
    <row r="221" spans="1:48" ht="12.95" customHeight="1" thickBot="1">
      <c r="A221" s="885"/>
      <c r="B221" s="885"/>
      <c r="C221" s="194" t="s">
        <v>615</v>
      </c>
      <c r="D221" s="210"/>
      <c r="E221" s="211"/>
      <c r="F221" s="209"/>
      <c r="G221" s="210"/>
      <c r="H221" s="210"/>
      <c r="I221" s="211"/>
      <c r="J221" s="209"/>
      <c r="K221" s="210"/>
      <c r="L221" s="210"/>
      <c r="M221" s="211"/>
      <c r="N221" s="281"/>
      <c r="O221" s="282"/>
      <c r="P221" s="282"/>
      <c r="Q221" s="282"/>
      <c r="R221" s="277"/>
      <c r="S221" s="278"/>
      <c r="T221" s="278"/>
      <c r="U221" s="278">
        <f>(U231-R231)/3/$C$674/Spend!U221*'State Efficiency Ratios (2014)'!$C$655</f>
        <v>0</v>
      </c>
      <c r="V221" s="277"/>
      <c r="W221" s="278"/>
      <c r="X221" s="278"/>
      <c r="Y221" s="278">
        <f>(Y231-U231)/4/$C$674/Spend!Y221*'State Efficiency Ratios (2014)'!$C$655</f>
        <v>38.908385017495647</v>
      </c>
      <c r="Z221" s="277"/>
      <c r="AA221" s="278"/>
      <c r="AB221" s="278"/>
      <c r="AC221" s="278">
        <f>(AC231-Y231)/4/$C$674/Spend!AC221*'State Efficiency Ratios (2014)'!$C$655</f>
        <v>227.1314324898149</v>
      </c>
      <c r="AD221" s="277"/>
      <c r="AE221" s="280"/>
      <c r="AG221" s="410"/>
      <c r="AI221" s="4" t="s">
        <v>1053</v>
      </c>
      <c r="AL221" s="575"/>
      <c r="AM221" s="575"/>
      <c r="AS221" s="719">
        <f>(Y231-R231)/7/$C$673/(Spend!U221+Spend!Y221)*'State Efficiency Ratios (2014)'!$C$655</f>
        <v>11.586145140090483</v>
      </c>
    </row>
    <row r="222" spans="1:48" ht="12.95" customHeight="1" thickBot="1">
      <c r="A222" s="885"/>
      <c r="B222" s="885"/>
      <c r="C222" s="194" t="s">
        <v>616</v>
      </c>
      <c r="D222" s="210"/>
      <c r="E222" s="211"/>
      <c r="F222" s="209"/>
      <c r="G222" s="210"/>
      <c r="H222" s="210"/>
      <c r="I222" s="211"/>
      <c r="J222" s="209"/>
      <c r="K222" s="210"/>
      <c r="L222" s="210"/>
      <c r="M222" s="211"/>
      <c r="N222" s="281"/>
      <c r="O222" s="282"/>
      <c r="P222" s="282"/>
      <c r="Q222" s="282"/>
      <c r="R222" s="277"/>
      <c r="S222" s="278"/>
      <c r="T222" s="278"/>
      <c r="U222" s="278">
        <f>(U232-R232)/3/$C$674/Spend!U222*'State Efficiency Ratios (2014)'!$C$655</f>
        <v>0</v>
      </c>
      <c r="V222" s="277"/>
      <c r="W222" s="278"/>
      <c r="X222" s="278"/>
      <c r="Y222" s="278">
        <f>(Y232-U232)/4/$C$674/Spend!Y222*'State Efficiency Ratios (2014)'!$C$655</f>
        <v>0</v>
      </c>
      <c r="Z222" s="277"/>
      <c r="AA222" s="278"/>
      <c r="AB222" s="278"/>
      <c r="AC222" s="278">
        <f>(AC232-Y232)/4/$C$674/Spend!AC222*'State Efficiency Ratios (2014)'!$C$655</f>
        <v>491.30169477160598</v>
      </c>
      <c r="AD222" s="277"/>
      <c r="AE222" s="280"/>
      <c r="AG222" s="410" t="s">
        <v>1084</v>
      </c>
      <c r="AH222" s="355" t="s">
        <v>1052</v>
      </c>
      <c r="AI222" s="599">
        <f>4/5*SUM(AI226:AI230)/5</f>
        <v>0.30399999999999999</v>
      </c>
      <c r="AJ222" s="592">
        <f>4/6*SUM(AJ226:AJ230)/5</f>
        <v>0.90666666666666662</v>
      </c>
      <c r="AK222" s="592">
        <f>SUM(AK226:AK233)/8</f>
        <v>0.42499999999999999</v>
      </c>
      <c r="AL222" s="594">
        <f>SUM(AL226:AL233)/8</f>
        <v>1.05375</v>
      </c>
      <c r="AM222" s="575"/>
      <c r="AS222" s="719">
        <f>(Y232-R232)/7/$C$673/(Spend!U222+Spend!Y222)*'State Efficiency Ratios (2014)'!$C$655</f>
        <v>0</v>
      </c>
      <c r="AT222" s="714" t="s">
        <v>1071</v>
      </c>
    </row>
    <row r="223" spans="1:48" ht="12.95" customHeight="1" thickBot="1">
      <c r="A223" s="885"/>
      <c r="B223" s="885"/>
      <c r="C223" s="194" t="s">
        <v>617</v>
      </c>
      <c r="D223" s="210"/>
      <c r="E223" s="211"/>
      <c r="F223" s="209"/>
      <c r="G223" s="210"/>
      <c r="H223" s="210"/>
      <c r="I223" s="211"/>
      <c r="J223" s="209"/>
      <c r="K223" s="210"/>
      <c r="L223" s="210"/>
      <c r="M223" s="211"/>
      <c r="N223" s="281"/>
      <c r="O223" s="282"/>
      <c r="P223" s="282"/>
      <c r="Q223" s="282"/>
      <c r="R223" s="277"/>
      <c r="S223" s="278"/>
      <c r="T223" s="278"/>
      <c r="U223" s="278">
        <f>(U233-R233)/3/$C$674/Spend!U223*'State Efficiency Ratios (2014)'!$C$655</f>
        <v>0</v>
      </c>
      <c r="V223" s="277"/>
      <c r="W223" s="278"/>
      <c r="X223" s="278"/>
      <c r="Y223" s="278">
        <f>(Y233-U233)/4/$C$674/Spend!Y223*'State Efficiency Ratios (2014)'!$C$655</f>
        <v>145.43632855959819</v>
      </c>
      <c r="Z223" s="277"/>
      <c r="AA223" s="278"/>
      <c r="AB223" s="278"/>
      <c r="AC223" s="278">
        <f>(AC233-Y233)/4/$C$674/Spend!AC223*'State Efficiency Ratios (2014)'!$C$655</f>
        <v>573.1587925022535</v>
      </c>
      <c r="AD223" s="277"/>
      <c r="AE223" s="280"/>
      <c r="AG223" s="410" t="s">
        <v>1089</v>
      </c>
      <c r="AH223" s="355" t="s">
        <v>1051</v>
      </c>
      <c r="AI223" s="606">
        <f>SUM(O216:O220)/5</f>
        <v>17.544956915688054</v>
      </c>
      <c r="AJ223" s="607">
        <f>SUM(U216:U220)/5</f>
        <v>119.28426237420338</v>
      </c>
      <c r="AK223" s="607">
        <f>SUM(Y216:Y223)/8</f>
        <v>78.301912382069744</v>
      </c>
      <c r="AL223" s="608">
        <f>SUM(AC216:AC223)/8</f>
        <v>251.61308264725119</v>
      </c>
      <c r="AM223" s="575"/>
      <c r="AS223" s="722">
        <f>(Y233-R233)/7/$C$673/(Spend!U223+Spend!Y223)*'State Efficiency Ratios (2014)'!$C$655</f>
        <v>38.022180781478149</v>
      </c>
      <c r="AT223" s="721">
        <f>SUM(AS221:AS223)/3</f>
        <v>16.53610864052288</v>
      </c>
    </row>
    <row r="224" spans="1:48" ht="12.95" customHeight="1" thickBot="1">
      <c r="A224" s="885"/>
      <c r="B224" s="885"/>
      <c r="C224" s="194" t="s">
        <v>618</v>
      </c>
      <c r="D224" s="210"/>
      <c r="E224" s="211"/>
      <c r="F224" s="209"/>
      <c r="G224" s="210"/>
      <c r="H224" s="210"/>
      <c r="I224" s="211"/>
      <c r="J224" s="209"/>
      <c r="K224" s="210"/>
      <c r="L224" s="210"/>
      <c r="M224" s="211"/>
      <c r="N224" s="281"/>
      <c r="O224" s="282"/>
      <c r="P224" s="282"/>
      <c r="Q224" s="283"/>
      <c r="R224" s="281"/>
      <c r="S224" s="282"/>
      <c r="T224" s="282"/>
      <c r="U224" s="283"/>
      <c r="V224" s="281"/>
      <c r="W224" s="282"/>
      <c r="X224" s="282"/>
      <c r="Y224" s="283"/>
      <c r="Z224" s="277"/>
      <c r="AA224" s="278"/>
      <c r="AB224" s="278"/>
      <c r="AC224" s="278">
        <f>(AC234-Y234)/4/$C$674/Spend!AC224*'State Efficiency Ratios (2014)'!$C$655</f>
        <v>0</v>
      </c>
      <c r="AD224" s="277"/>
      <c r="AE224" s="280"/>
      <c r="AG224" s="410"/>
      <c r="AL224" s="575"/>
      <c r="AM224" s="575"/>
    </row>
    <row r="225" spans="1:46" ht="12.95" customHeight="1" thickBot="1">
      <c r="A225" s="885"/>
      <c r="B225" s="885"/>
      <c r="C225" s="194" t="s">
        <v>619</v>
      </c>
      <c r="D225" s="210"/>
      <c r="E225" s="211"/>
      <c r="F225" s="209"/>
      <c r="G225" s="210"/>
      <c r="H225" s="210"/>
      <c r="I225" s="211"/>
      <c r="J225" s="209"/>
      <c r="K225" s="210"/>
      <c r="L225" s="210"/>
      <c r="M225" s="211"/>
      <c r="N225" s="281"/>
      <c r="O225" s="282"/>
      <c r="P225" s="282"/>
      <c r="Q225" s="283"/>
      <c r="R225" s="281"/>
      <c r="S225" s="282"/>
      <c r="T225" s="282"/>
      <c r="U225" s="283"/>
      <c r="V225" s="281"/>
      <c r="W225" s="282"/>
      <c r="X225" s="282"/>
      <c r="Y225" s="283"/>
      <c r="Z225" s="277"/>
      <c r="AA225" s="278"/>
      <c r="AB225" s="278"/>
      <c r="AC225" s="278">
        <f>(AC235-Y235)/4/$C$674/Spend!AC225*'State Efficiency Ratios (2014)'!$C$655</f>
        <v>0</v>
      </c>
      <c r="AD225" s="277"/>
      <c r="AE225" s="280"/>
      <c r="AG225" s="410"/>
      <c r="AI225" s="416" t="s">
        <v>1033</v>
      </c>
      <c r="AL225" s="575"/>
      <c r="AM225" s="575"/>
      <c r="AS225" s="716" t="s">
        <v>1033</v>
      </c>
    </row>
    <row r="226" spans="1:46" ht="13.5" thickBot="1">
      <c r="A226" s="885"/>
      <c r="B226" s="885"/>
      <c r="C226" s="9" t="s">
        <v>295</v>
      </c>
      <c r="D226" s="241" t="s">
        <v>632</v>
      </c>
      <c r="E226" s="241" t="s">
        <v>632</v>
      </c>
      <c r="F226" s="243" t="s">
        <v>646</v>
      </c>
      <c r="G226" s="241" t="s">
        <v>646</v>
      </c>
      <c r="H226" s="241" t="s">
        <v>646</v>
      </c>
      <c r="I226" s="244" t="s">
        <v>646</v>
      </c>
      <c r="J226" s="195">
        <f>'State DisAgg LFx10 (2014)'!D216</f>
        <v>1.5</v>
      </c>
      <c r="K226" s="196"/>
      <c r="L226" s="196"/>
      <c r="M226" s="197"/>
      <c r="N226" s="195"/>
      <c r="O226" s="196">
        <f>'State DisAgg LFx10 (2014)'!H226</f>
        <v>0</v>
      </c>
      <c r="P226" s="196"/>
      <c r="Q226" s="197"/>
      <c r="R226" s="195"/>
      <c r="S226" s="196"/>
      <c r="T226" s="196"/>
      <c r="U226" s="197">
        <f>'State DisAgg LFx10 (2014)'!L226</f>
        <v>2.2999999999999998</v>
      </c>
      <c r="V226" s="195"/>
      <c r="W226" s="196"/>
      <c r="X226" s="196"/>
      <c r="Y226" s="197">
        <f>'State DisAgg LFx10 (2014)'!P226</f>
        <v>3.1</v>
      </c>
      <c r="Z226" s="195"/>
      <c r="AA226" s="196"/>
      <c r="AB226" s="196"/>
      <c r="AC226" s="197">
        <f>'State DisAgg LFx10 (2014)'!T226</f>
        <v>3.93</v>
      </c>
      <c r="AD226" s="195"/>
      <c r="AE226" s="197"/>
      <c r="AI226" s="361">
        <f>O226-J226</f>
        <v>-1.5</v>
      </c>
      <c r="AJ226" s="362">
        <f>U226-O226</f>
        <v>2.2999999999999998</v>
      </c>
      <c r="AK226" s="362">
        <f t="shared" ref="AK226:AK237" si="50">Y226-U226</f>
        <v>0.80000000000000027</v>
      </c>
      <c r="AL226" s="363">
        <f t="shared" ref="AL226:AL235" si="51">AC226-Y226</f>
        <v>0.83000000000000007</v>
      </c>
      <c r="AM226" s="354"/>
      <c r="AQ226" s="354"/>
      <c r="AS226" s="724">
        <f>(O226-J226)</f>
        <v>-1.5</v>
      </c>
    </row>
    <row r="227" spans="1:46" ht="13.5" thickBot="1">
      <c r="A227" s="885"/>
      <c r="B227" s="885"/>
      <c r="C227" s="9" t="s">
        <v>296</v>
      </c>
      <c r="D227" s="241" t="s">
        <v>632</v>
      </c>
      <c r="E227" s="241" t="s">
        <v>632</v>
      </c>
      <c r="F227" s="243" t="s">
        <v>646</v>
      </c>
      <c r="G227" s="241" t="s">
        <v>646</v>
      </c>
      <c r="H227" s="241" t="s">
        <v>646</v>
      </c>
      <c r="I227" s="244" t="s">
        <v>646</v>
      </c>
      <c r="J227" s="195">
        <f>'State DisAgg LFx10 (2014)'!D217</f>
        <v>1</v>
      </c>
      <c r="K227" s="196"/>
      <c r="L227" s="196"/>
      <c r="M227" s="197"/>
      <c r="N227" s="195"/>
      <c r="O227" s="196">
        <f>'State DisAgg LFx10 (2014)'!H227</f>
        <v>3</v>
      </c>
      <c r="P227" s="196"/>
      <c r="Q227" s="197"/>
      <c r="R227" s="195"/>
      <c r="S227" s="196"/>
      <c r="T227" s="196"/>
      <c r="U227" s="197">
        <f>'State DisAgg LFx10 (2014)'!L227</f>
        <v>2.7</v>
      </c>
      <c r="V227" s="195"/>
      <c r="W227" s="196"/>
      <c r="X227" s="196"/>
      <c r="Y227" s="197">
        <f>'State DisAgg LFx10 (2014)'!P227</f>
        <v>4.0999999999999996</v>
      </c>
      <c r="Z227" s="195"/>
      <c r="AA227" s="196"/>
      <c r="AB227" s="196"/>
      <c r="AC227" s="197">
        <f>'State DisAgg LFx10 (2014)'!T227</f>
        <v>4.4000000000000004</v>
      </c>
      <c r="AD227" s="195"/>
      <c r="AE227" s="197"/>
      <c r="AI227" s="364">
        <f>O227-J227</f>
        <v>2</v>
      </c>
      <c r="AJ227" s="360">
        <f>U227-O227</f>
        <v>-0.29999999999999982</v>
      </c>
      <c r="AK227" s="360">
        <f t="shared" si="50"/>
        <v>1.3999999999999995</v>
      </c>
      <c r="AL227" s="365">
        <f t="shared" si="51"/>
        <v>0.30000000000000071</v>
      </c>
      <c r="AM227" s="354"/>
      <c r="AQ227" s="354"/>
      <c r="AS227" s="726">
        <f>(O227-J227)</f>
        <v>2</v>
      </c>
    </row>
    <row r="228" spans="1:46" ht="13.5" thickBot="1">
      <c r="A228" s="885"/>
      <c r="B228" s="885"/>
      <c r="C228" s="9" t="s">
        <v>297</v>
      </c>
      <c r="D228" s="241" t="s">
        <v>632</v>
      </c>
      <c r="E228" s="241" t="s">
        <v>632</v>
      </c>
      <c r="F228" s="243" t="s">
        <v>646</v>
      </c>
      <c r="G228" s="241" t="s">
        <v>646</v>
      </c>
      <c r="H228" s="241" t="s">
        <v>646</v>
      </c>
      <c r="I228" s="244" t="s">
        <v>646</v>
      </c>
      <c r="J228" s="195">
        <f>'State DisAgg LFx10 (2014)'!D218</f>
        <v>1</v>
      </c>
      <c r="K228" s="196"/>
      <c r="L228" s="196"/>
      <c r="M228" s="197"/>
      <c r="N228" s="195"/>
      <c r="O228" s="196">
        <f>'State DisAgg LFx10 (2014)'!H228</f>
        <v>1.4</v>
      </c>
      <c r="P228" s="196"/>
      <c r="Q228" s="197"/>
      <c r="R228" s="195"/>
      <c r="S228" s="196"/>
      <c r="T228" s="196"/>
      <c r="U228" s="197">
        <f>'State DisAgg LFx10 (2014)'!L228</f>
        <v>2.9</v>
      </c>
      <c r="V228" s="195"/>
      <c r="W228" s="196"/>
      <c r="X228" s="196"/>
      <c r="Y228" s="197">
        <f>'State DisAgg LFx10 (2014)'!P228</f>
        <v>3</v>
      </c>
      <c r="Z228" s="195"/>
      <c r="AA228" s="196"/>
      <c r="AB228" s="196"/>
      <c r="AC228" s="197">
        <f>'State DisAgg LFx10 (2014)'!T228</f>
        <v>4</v>
      </c>
      <c r="AD228" s="195"/>
      <c r="AE228" s="197"/>
      <c r="AI228" s="364">
        <f>O228-J228</f>
        <v>0.39999999999999991</v>
      </c>
      <c r="AJ228" s="360">
        <f>U228-O228</f>
        <v>1.5</v>
      </c>
      <c r="AK228" s="360">
        <f t="shared" si="50"/>
        <v>0.10000000000000009</v>
      </c>
      <c r="AL228" s="365">
        <f t="shared" si="51"/>
        <v>1</v>
      </c>
      <c r="AM228" s="354"/>
      <c r="AQ228" s="354"/>
      <c r="AS228" s="726">
        <f>(O228-J228)</f>
        <v>0.39999999999999991</v>
      </c>
    </row>
    <row r="229" spans="1:46" ht="13.5" thickBot="1">
      <c r="A229" s="885"/>
      <c r="B229" s="885"/>
      <c r="C229" s="9" t="s">
        <v>298</v>
      </c>
      <c r="D229" s="241" t="s">
        <v>632</v>
      </c>
      <c r="E229" s="241" t="s">
        <v>632</v>
      </c>
      <c r="F229" s="243" t="s">
        <v>646</v>
      </c>
      <c r="G229" s="241" t="s">
        <v>646</v>
      </c>
      <c r="H229" s="241" t="s">
        <v>646</v>
      </c>
      <c r="I229" s="244" t="s">
        <v>646</v>
      </c>
      <c r="J229" s="195">
        <f>'State DisAgg LFx10 (2014)'!D219</f>
        <v>1</v>
      </c>
      <c r="K229" s="196"/>
      <c r="L229" s="196"/>
      <c r="M229" s="197"/>
      <c r="N229" s="195"/>
      <c r="O229" s="196">
        <f>'State DisAgg LFx10 (2014)'!H229</f>
        <v>1</v>
      </c>
      <c r="P229" s="196"/>
      <c r="Q229" s="197"/>
      <c r="R229" s="195"/>
      <c r="S229" s="196"/>
      <c r="T229" s="196"/>
      <c r="U229" s="197">
        <f>'State DisAgg LFx10 (2014)'!L229</f>
        <v>3.4</v>
      </c>
      <c r="V229" s="195"/>
      <c r="W229" s="196"/>
      <c r="X229" s="196"/>
      <c r="Y229" s="197">
        <f>'State DisAgg LFx10 (2014)'!P229</f>
        <v>3.9</v>
      </c>
      <c r="Z229" s="195"/>
      <c r="AA229" s="196"/>
      <c r="AB229" s="196"/>
      <c r="AC229" s="197">
        <f>'State DisAgg LFx10 (2014)'!T229</f>
        <v>3.8</v>
      </c>
      <c r="AD229" s="195"/>
      <c r="AE229" s="197"/>
      <c r="AI229" s="364">
        <f>O229-J229</f>
        <v>0</v>
      </c>
      <c r="AJ229" s="360">
        <f>U229-O229</f>
        <v>2.4</v>
      </c>
      <c r="AK229" s="360">
        <f t="shared" si="50"/>
        <v>0.5</v>
      </c>
      <c r="AL229" s="365">
        <f t="shared" si="51"/>
        <v>-0.10000000000000009</v>
      </c>
      <c r="AM229" s="354"/>
      <c r="AQ229" s="354"/>
      <c r="AS229" s="726">
        <f>(O229-J229)</f>
        <v>0</v>
      </c>
      <c r="AT229" s="714" t="s">
        <v>1070</v>
      </c>
    </row>
    <row r="230" spans="1:46" ht="13.5" thickBot="1">
      <c r="A230" s="885"/>
      <c r="B230" s="885"/>
      <c r="C230" s="9" t="s">
        <v>299</v>
      </c>
      <c r="D230" s="241" t="s">
        <v>632</v>
      </c>
      <c r="E230" s="241" t="s">
        <v>632</v>
      </c>
      <c r="F230" s="243" t="s">
        <v>646</v>
      </c>
      <c r="G230" s="241" t="s">
        <v>646</v>
      </c>
      <c r="H230" s="241" t="s">
        <v>646</v>
      </c>
      <c r="I230" s="244" t="s">
        <v>646</v>
      </c>
      <c r="J230" s="195">
        <f>'State DisAgg LFx10 (2014)'!D220</f>
        <v>1</v>
      </c>
      <c r="K230" s="196"/>
      <c r="L230" s="196"/>
      <c r="M230" s="197"/>
      <c r="N230" s="195"/>
      <c r="O230" s="196">
        <f>'State DisAgg LFx10 (2014)'!H230</f>
        <v>2</v>
      </c>
      <c r="P230" s="196"/>
      <c r="Q230" s="197"/>
      <c r="R230" s="195"/>
      <c r="S230" s="196"/>
      <c r="T230" s="196"/>
      <c r="U230" s="197">
        <f>'State DisAgg LFx10 (2014)'!L230</f>
        <v>2.9</v>
      </c>
      <c r="V230" s="195"/>
      <c r="W230" s="196"/>
      <c r="X230" s="196"/>
      <c r="Y230" s="197">
        <f>'State DisAgg LFx10 (2014)'!P230</f>
        <v>2.7</v>
      </c>
      <c r="Z230" s="195"/>
      <c r="AA230" s="196"/>
      <c r="AB230" s="196"/>
      <c r="AC230" s="197">
        <f>'State DisAgg LFx10 (2014)'!T230</f>
        <v>4.0999999999999996</v>
      </c>
      <c r="AD230" s="195"/>
      <c r="AE230" s="197"/>
      <c r="AI230" s="364">
        <f>O230-J230</f>
        <v>1</v>
      </c>
      <c r="AJ230" s="360">
        <f>U230-O230</f>
        <v>0.89999999999999991</v>
      </c>
      <c r="AK230" s="360">
        <f t="shared" si="50"/>
        <v>-0.19999999999999973</v>
      </c>
      <c r="AL230" s="365">
        <f t="shared" si="51"/>
        <v>1.3999999999999995</v>
      </c>
      <c r="AM230" s="354"/>
      <c r="AQ230" s="354"/>
      <c r="AS230" s="726">
        <f>(O230-J230)</f>
        <v>1</v>
      </c>
      <c r="AT230" s="714">
        <f>SUM(AS226:AS230)/5</f>
        <v>0.38</v>
      </c>
    </row>
    <row r="231" spans="1:46" ht="13.5" thickBot="1">
      <c r="A231" s="885"/>
      <c r="B231" s="885"/>
      <c r="C231" s="9" t="s">
        <v>300</v>
      </c>
      <c r="D231" s="199"/>
      <c r="E231" s="200"/>
      <c r="F231" s="201"/>
      <c r="G231" s="199"/>
      <c r="H231" s="199"/>
      <c r="I231" s="200"/>
      <c r="J231" s="201"/>
      <c r="K231" s="199"/>
      <c r="L231" s="199"/>
      <c r="M231" s="200"/>
      <c r="N231" s="198"/>
      <c r="O231" s="217" t="s">
        <v>634</v>
      </c>
      <c r="P231" s="241" t="s">
        <v>632</v>
      </c>
      <c r="Q231" s="244" t="s">
        <v>646</v>
      </c>
      <c r="R231" s="195">
        <f>'State DisAgg LFx10 (2014)'!H221</f>
        <v>1</v>
      </c>
      <c r="S231" s="196"/>
      <c r="T231" s="196"/>
      <c r="U231" s="197">
        <f>'State DisAgg LFx10 (2014)'!L231</f>
        <v>1</v>
      </c>
      <c r="V231" s="195"/>
      <c r="W231" s="196"/>
      <c r="X231" s="196"/>
      <c r="Y231" s="197">
        <f>'State DisAgg LFx10 (2014)'!P231</f>
        <v>1.2</v>
      </c>
      <c r="Z231" s="195"/>
      <c r="AA231" s="196"/>
      <c r="AB231" s="196"/>
      <c r="AC231" s="197">
        <f>'State DisAgg LFx10 (2014)'!T231</f>
        <v>2.2000000000000002</v>
      </c>
      <c r="AD231" s="195"/>
      <c r="AE231" s="197"/>
      <c r="AI231" s="364">
        <v>0</v>
      </c>
      <c r="AJ231" s="360">
        <f>U231-R231</f>
        <v>0</v>
      </c>
      <c r="AK231" s="360">
        <f t="shared" si="50"/>
        <v>0.19999999999999996</v>
      </c>
      <c r="AL231" s="365">
        <f t="shared" si="51"/>
        <v>1.0000000000000002</v>
      </c>
      <c r="AM231" s="354"/>
      <c r="AQ231" s="354"/>
      <c r="AS231" s="726">
        <f>(Y231-R231)</f>
        <v>0.19999999999999996</v>
      </c>
    </row>
    <row r="232" spans="1:46" ht="13.5" thickBot="1">
      <c r="A232" s="885"/>
      <c r="B232" s="885"/>
      <c r="C232" s="9" t="s">
        <v>301</v>
      </c>
      <c r="D232" s="199"/>
      <c r="E232" s="200"/>
      <c r="F232" s="201"/>
      <c r="G232" s="199"/>
      <c r="H232" s="199"/>
      <c r="I232" s="200"/>
      <c r="J232" s="201"/>
      <c r="K232" s="199"/>
      <c r="L232" s="199"/>
      <c r="M232" s="200"/>
      <c r="N232" s="198"/>
      <c r="O232" s="217" t="s">
        <v>634</v>
      </c>
      <c r="P232" s="241" t="s">
        <v>632</v>
      </c>
      <c r="Q232" s="244" t="s">
        <v>646</v>
      </c>
      <c r="R232" s="195">
        <f>'State DisAgg LFx10 (2014)'!H222</f>
        <v>1</v>
      </c>
      <c r="S232" s="196"/>
      <c r="T232" s="196"/>
      <c r="U232" s="197">
        <f>'State DisAgg LFx10 (2014)'!L232</f>
        <v>1</v>
      </c>
      <c r="V232" s="195"/>
      <c r="W232" s="196"/>
      <c r="X232" s="196"/>
      <c r="Y232" s="197">
        <f>'State DisAgg LFx10 (2014)'!P232</f>
        <v>1</v>
      </c>
      <c r="Z232" s="195"/>
      <c r="AA232" s="196"/>
      <c r="AB232" s="196"/>
      <c r="AC232" s="197">
        <f>'State DisAgg LFx10 (2014)'!T232</f>
        <v>3.3</v>
      </c>
      <c r="AD232" s="195"/>
      <c r="AE232" s="197"/>
      <c r="AI232" s="364">
        <v>0</v>
      </c>
      <c r="AJ232" s="360">
        <f>U232-R232</f>
        <v>0</v>
      </c>
      <c r="AK232" s="360">
        <f t="shared" si="50"/>
        <v>0</v>
      </c>
      <c r="AL232" s="365">
        <f t="shared" si="51"/>
        <v>2.2999999999999998</v>
      </c>
      <c r="AM232" s="354"/>
      <c r="AQ232" s="354"/>
      <c r="AS232" s="726">
        <f>(Y232-R232)</f>
        <v>0</v>
      </c>
      <c r="AT232" s="714" t="s">
        <v>1071</v>
      </c>
    </row>
    <row r="233" spans="1:46" ht="13.5" thickBot="1">
      <c r="A233" s="885"/>
      <c r="B233" s="885"/>
      <c r="C233" s="9" t="s">
        <v>302</v>
      </c>
      <c r="D233" s="199"/>
      <c r="E233" s="200"/>
      <c r="F233" s="201"/>
      <c r="G233" s="199"/>
      <c r="H233" s="199"/>
      <c r="I233" s="200"/>
      <c r="J233" s="201"/>
      <c r="K233" s="199"/>
      <c r="L233" s="199"/>
      <c r="M233" s="200"/>
      <c r="N233" s="198"/>
      <c r="O233" s="217" t="s">
        <v>634</v>
      </c>
      <c r="P233" s="241" t="s">
        <v>632</v>
      </c>
      <c r="Q233" s="244" t="s">
        <v>646</v>
      </c>
      <c r="R233" s="195">
        <f>'State DisAgg LFx10 (2014)'!H223</f>
        <v>1</v>
      </c>
      <c r="S233" s="196"/>
      <c r="T233" s="196"/>
      <c r="U233" s="197">
        <f>'State DisAgg LFx10 (2014)'!L233</f>
        <v>1</v>
      </c>
      <c r="V233" s="195"/>
      <c r="W233" s="196"/>
      <c r="X233" s="196"/>
      <c r="Y233" s="197">
        <f>'State DisAgg LFx10 (2014)'!P233</f>
        <v>1.6</v>
      </c>
      <c r="Z233" s="195"/>
      <c r="AA233" s="196"/>
      <c r="AB233" s="196"/>
      <c r="AC233" s="197">
        <f>'State DisAgg LFx10 (2014)'!T233</f>
        <v>3.3</v>
      </c>
      <c r="AD233" s="195"/>
      <c r="AE233" s="197"/>
      <c r="AI233" s="364">
        <v>0</v>
      </c>
      <c r="AJ233" s="360">
        <f>U233-R233</f>
        <v>0</v>
      </c>
      <c r="AK233" s="360">
        <f t="shared" si="50"/>
        <v>0.60000000000000009</v>
      </c>
      <c r="AL233" s="365">
        <f t="shared" si="51"/>
        <v>1.6999999999999997</v>
      </c>
      <c r="AM233" s="354"/>
      <c r="AQ233" s="354"/>
      <c r="AS233" s="729">
        <f>(Y233-R233)</f>
        <v>0.60000000000000009</v>
      </c>
      <c r="AT233" s="728">
        <f>SUM(AS231:AS233)/3</f>
        <v>0.26666666666666666</v>
      </c>
    </row>
    <row r="234" spans="1:46" ht="13.5" thickBot="1">
      <c r="A234" s="885"/>
      <c r="B234" s="885"/>
      <c r="C234" s="9" t="s">
        <v>303</v>
      </c>
      <c r="D234" s="202"/>
      <c r="E234" s="203"/>
      <c r="F234" s="201"/>
      <c r="G234" s="202"/>
      <c r="H234" s="202"/>
      <c r="I234" s="203"/>
      <c r="J234" s="201"/>
      <c r="K234" s="202"/>
      <c r="L234" s="202"/>
      <c r="M234" s="203"/>
      <c r="N234" s="204"/>
      <c r="O234" s="214"/>
      <c r="P234" s="205"/>
      <c r="Q234" s="205"/>
      <c r="R234" s="201"/>
      <c r="S234" s="202"/>
      <c r="T234" s="202"/>
      <c r="U234" s="203"/>
      <c r="V234" s="242"/>
      <c r="W234" s="217" t="s">
        <v>633</v>
      </c>
      <c r="X234" s="241" t="s">
        <v>632</v>
      </c>
      <c r="Y234" s="197">
        <f>'State DisAgg LFx10 (2014)'!P224</f>
        <v>2</v>
      </c>
      <c r="Z234" s="195"/>
      <c r="AA234" s="196"/>
      <c r="AB234" s="196"/>
      <c r="AC234" s="197">
        <f>'State DisAgg LFx10 (2014)'!T234</f>
        <v>2</v>
      </c>
      <c r="AD234" s="195"/>
      <c r="AE234" s="197"/>
      <c r="AI234" s="364">
        <f>O234-J234</f>
        <v>0</v>
      </c>
      <c r="AJ234" s="360">
        <f>U234-O234</f>
        <v>0</v>
      </c>
      <c r="AK234" s="360">
        <f t="shared" si="50"/>
        <v>2</v>
      </c>
      <c r="AL234" s="365">
        <f t="shared" si="51"/>
        <v>0</v>
      </c>
      <c r="AM234" s="354"/>
      <c r="AQ234" s="354"/>
    </row>
    <row r="235" spans="1:46" ht="13.5" thickBot="1">
      <c r="A235" s="885"/>
      <c r="B235" s="885"/>
      <c r="C235" s="9" t="s">
        <v>304</v>
      </c>
      <c r="D235" s="202"/>
      <c r="E235" s="203"/>
      <c r="F235" s="201"/>
      <c r="G235" s="202"/>
      <c r="H235" s="202"/>
      <c r="I235" s="203"/>
      <c r="J235" s="201"/>
      <c r="K235" s="202"/>
      <c r="L235" s="202"/>
      <c r="M235" s="203"/>
      <c r="N235" s="204"/>
      <c r="O235" s="205"/>
      <c r="P235" s="205"/>
      <c r="Q235" s="205"/>
      <c r="R235" s="201"/>
      <c r="S235" s="202"/>
      <c r="T235" s="202"/>
      <c r="U235" s="203"/>
      <c r="V235" s="242"/>
      <c r="W235" s="217" t="s">
        <v>633</v>
      </c>
      <c r="X235" s="241" t="s">
        <v>632</v>
      </c>
      <c r="Y235" s="197">
        <f>'State DisAgg LFx10 (2014)'!P225</f>
        <v>1</v>
      </c>
      <c r="Z235" s="195"/>
      <c r="AA235" s="196"/>
      <c r="AB235" s="196"/>
      <c r="AC235" s="197">
        <f>'State DisAgg LFx10 (2014)'!T235</f>
        <v>1</v>
      </c>
      <c r="AD235" s="195"/>
      <c r="AE235" s="197"/>
      <c r="AI235" s="366">
        <f>O235-J235</f>
        <v>0</v>
      </c>
      <c r="AJ235" s="367">
        <f>U235-O235</f>
        <v>0</v>
      </c>
      <c r="AK235" s="367">
        <f t="shared" si="50"/>
        <v>1</v>
      </c>
      <c r="AL235" s="368">
        <f t="shared" si="51"/>
        <v>0</v>
      </c>
      <c r="AM235" s="354"/>
      <c r="AQ235" s="354"/>
    </row>
    <row r="236" spans="1:46" ht="12.95" hidden="1" customHeight="1" thickBot="1">
      <c r="A236" s="885"/>
      <c r="B236" s="501"/>
      <c r="C236" s="231"/>
      <c r="D236" s="232"/>
      <c r="E236" s="233"/>
      <c r="F236" s="234"/>
      <c r="G236" s="232"/>
      <c r="H236" s="232"/>
      <c r="I236" s="233"/>
      <c r="J236" s="234"/>
      <c r="K236" s="232"/>
      <c r="L236" s="232"/>
      <c r="M236" s="233"/>
      <c r="N236" s="234"/>
      <c r="O236" s="232"/>
      <c r="P236" s="232"/>
      <c r="Q236" s="233"/>
      <c r="R236" s="234"/>
      <c r="S236" s="232"/>
      <c r="T236" s="232"/>
      <c r="U236" s="233"/>
      <c r="V236" s="234"/>
      <c r="W236" s="232"/>
      <c r="X236" s="232"/>
      <c r="Y236" s="233"/>
      <c r="Z236" s="234"/>
      <c r="AA236" s="232"/>
      <c r="AB236" s="232"/>
      <c r="AC236" s="233"/>
      <c r="AD236" s="234"/>
      <c r="AE236" s="233"/>
      <c r="AI236" s="354">
        <f>O236-J236</f>
        <v>0</v>
      </c>
      <c r="AJ236" s="354">
        <f>U236-O236</f>
        <v>0</v>
      </c>
      <c r="AK236" s="354">
        <f t="shared" si="50"/>
        <v>0</v>
      </c>
      <c r="AQ236" s="354"/>
    </row>
    <row r="237" spans="1:46" ht="12.95" hidden="1" customHeight="1" thickBot="1">
      <c r="A237" s="885"/>
      <c r="B237" s="501"/>
      <c r="C237" s="231"/>
      <c r="D237" s="232"/>
      <c r="E237" s="233"/>
      <c r="F237" s="234"/>
      <c r="G237" s="232"/>
      <c r="H237" s="232"/>
      <c r="I237" s="233"/>
      <c r="J237" s="234"/>
      <c r="K237" s="232"/>
      <c r="L237" s="232"/>
      <c r="M237" s="233"/>
      <c r="N237" s="234"/>
      <c r="O237" s="232"/>
      <c r="P237" s="232"/>
      <c r="Q237" s="233"/>
      <c r="R237" s="234"/>
      <c r="S237" s="232"/>
      <c r="T237" s="232"/>
      <c r="U237" s="233"/>
      <c r="V237" s="234"/>
      <c r="W237" s="232"/>
      <c r="X237" s="232"/>
      <c r="Y237" s="233"/>
      <c r="Z237" s="234"/>
      <c r="AA237" s="232"/>
      <c r="AB237" s="232"/>
      <c r="AC237" s="233"/>
      <c r="AD237" s="234"/>
      <c r="AE237" s="233"/>
      <c r="AI237" s="354">
        <f>O237-J237</f>
        <v>0</v>
      </c>
      <c r="AJ237" s="354">
        <f>U237-O237</f>
        <v>0</v>
      </c>
      <c r="AK237" s="354">
        <f t="shared" si="50"/>
        <v>0</v>
      </c>
      <c r="AQ237" s="354"/>
    </row>
    <row r="238" spans="1:46" ht="12.95" customHeight="1" thickBot="1">
      <c r="A238" s="885"/>
      <c r="B238" s="3" t="s">
        <v>18</v>
      </c>
      <c r="C238" s="12"/>
      <c r="D238" s="1377">
        <v>2008</v>
      </c>
      <c r="E238" s="1378"/>
      <c r="F238" s="1372">
        <v>2009</v>
      </c>
      <c r="G238" s="1373"/>
      <c r="H238" s="1373"/>
      <c r="I238" s="1374"/>
      <c r="J238" s="1372">
        <v>2010</v>
      </c>
      <c r="K238" s="1373"/>
      <c r="L238" s="1373"/>
      <c r="M238" s="1374"/>
      <c r="N238" s="1372">
        <v>2011</v>
      </c>
      <c r="O238" s="1373"/>
      <c r="P238" s="1373"/>
      <c r="Q238" s="1374"/>
      <c r="R238" s="1372">
        <v>2012</v>
      </c>
      <c r="S238" s="1373"/>
      <c r="T238" s="1373"/>
      <c r="U238" s="1374"/>
      <c r="V238" s="1372">
        <v>2013</v>
      </c>
      <c r="W238" s="1373"/>
      <c r="X238" s="1373"/>
      <c r="Y238" s="1374"/>
      <c r="Z238" s="1372">
        <v>2014</v>
      </c>
      <c r="AA238" s="1373"/>
      <c r="AB238" s="1373"/>
      <c r="AC238" s="1374"/>
      <c r="AD238" s="1372">
        <v>2015</v>
      </c>
      <c r="AE238" s="1374"/>
      <c r="AG238" s="257" t="s">
        <v>663</v>
      </c>
      <c r="AL238" s="351"/>
      <c r="AM238" s="351"/>
      <c r="AS238" s="716" t="s">
        <v>1034</v>
      </c>
    </row>
    <row r="239" spans="1:46" ht="13.5" thickBot="1">
      <c r="A239" s="885"/>
      <c r="B239" s="868" t="s">
        <v>60</v>
      </c>
      <c r="C239" s="194" t="s">
        <v>610</v>
      </c>
      <c r="D239" s="206"/>
      <c r="E239" s="207"/>
      <c r="F239" s="209"/>
      <c r="G239" s="206"/>
      <c r="H239" s="206"/>
      <c r="I239" s="207"/>
      <c r="J239" s="209"/>
      <c r="K239" s="206"/>
      <c r="L239" s="206"/>
      <c r="M239" s="207"/>
      <c r="N239" s="277"/>
      <c r="O239" s="278">
        <f>(O249-J249)/5/$C$675/Spend!O239*'State Efficiency Ratios (2014)'!$C$655</f>
        <v>0</v>
      </c>
      <c r="P239" s="278"/>
      <c r="Q239" s="279"/>
      <c r="R239" s="277"/>
      <c r="S239" s="278"/>
      <c r="T239" s="278"/>
      <c r="U239" s="278">
        <f>(U249-O249)/6/$C$675/Spend!U239*'State Efficiency Ratios (2014)'!$C$655</f>
        <v>43.828539310263039</v>
      </c>
      <c r="V239" s="277"/>
      <c r="W239" s="278"/>
      <c r="X239" s="278"/>
      <c r="Y239" s="278">
        <f>(Y249-U249)/4/$C$675/Spend!Y239*'State Efficiency Ratios (2014)'!$C$655</f>
        <v>375.36501178793407</v>
      </c>
      <c r="Z239" s="277"/>
      <c r="AA239" s="278"/>
      <c r="AB239" s="278"/>
      <c r="AC239" s="278">
        <f>(AC249-Y249)/4/$C$675/Spend!AC239*'State Efficiency Ratios (2014)'!$C$655</f>
        <v>687.07435658785391</v>
      </c>
      <c r="AD239" s="277"/>
      <c r="AE239" s="280"/>
      <c r="AG239" s="410"/>
      <c r="AM239" s="356"/>
      <c r="AS239" s="717">
        <f>(O249-J249)/7/$C$673/Spend!O239*'State Efficiency Ratios (2014)'!$C$655</f>
        <v>0</v>
      </c>
    </row>
    <row r="240" spans="1:46" ht="13.5" thickBot="1">
      <c r="A240" s="885"/>
      <c r="B240" s="885"/>
      <c r="C240" s="194" t="s">
        <v>611</v>
      </c>
      <c r="D240" s="206"/>
      <c r="E240" s="207"/>
      <c r="F240" s="209"/>
      <c r="G240" s="206"/>
      <c r="H240" s="206"/>
      <c r="I240" s="207"/>
      <c r="J240" s="209"/>
      <c r="K240" s="206"/>
      <c r="L240" s="206"/>
      <c r="M240" s="207"/>
      <c r="N240" s="277"/>
      <c r="O240" s="278">
        <f>(O250-J250)/5/$C$675/Spend!O240*'State Efficiency Ratios (2014)'!$C$655</f>
        <v>112.71195749449835</v>
      </c>
      <c r="P240" s="278"/>
      <c r="Q240" s="279"/>
      <c r="R240" s="277"/>
      <c r="S240" s="278"/>
      <c r="T240" s="278"/>
      <c r="U240" s="278">
        <f>(U250-O250)/6/$C$675/Spend!U240*'State Efficiency Ratios (2014)'!$C$655</f>
        <v>-135.41181854944585</v>
      </c>
      <c r="V240" s="277"/>
      <c r="W240" s="278"/>
      <c r="X240" s="278"/>
      <c r="Y240" s="278">
        <f>(Y250-U250)/4/$C$675/Spend!Y240*'State Efficiency Ratios (2014)'!$C$655</f>
        <v>394.91981373777054</v>
      </c>
      <c r="Z240" s="277"/>
      <c r="AA240" s="278"/>
      <c r="AB240" s="278"/>
      <c r="AC240" s="278">
        <f>(AC250-Y250)/4/$C$675/Spend!AC240*'State Efficiency Ratios (2014)'!$C$655</f>
        <v>81.472463103432304</v>
      </c>
      <c r="AD240" s="277"/>
      <c r="AE240" s="280"/>
      <c r="AG240" s="410" t="s">
        <v>1083</v>
      </c>
      <c r="AM240" s="378"/>
      <c r="AS240" s="719">
        <f>(O250-J250)/7/$C$673/Spend!O240*'State Efficiency Ratios (2014)'!$C$655</f>
        <v>161.01708213499762</v>
      </c>
    </row>
    <row r="241" spans="1:46" ht="13.5" thickBot="1">
      <c r="A241" s="885"/>
      <c r="B241" s="885"/>
      <c r="C241" s="194" t="s">
        <v>612</v>
      </c>
      <c r="D241" s="206"/>
      <c r="E241" s="207"/>
      <c r="F241" s="209"/>
      <c r="G241" s="206"/>
      <c r="H241" s="206"/>
      <c r="I241" s="207"/>
      <c r="J241" s="209"/>
      <c r="K241" s="206"/>
      <c r="L241" s="206"/>
      <c r="M241" s="207"/>
      <c r="N241" s="277"/>
      <c r="O241" s="278">
        <f>(O251-J251)/5/$C$675/Spend!O241*'State Efficiency Ratios (2014)'!$C$655</f>
        <v>44.28796434758889</v>
      </c>
      <c r="P241" s="278"/>
      <c r="Q241" s="279"/>
      <c r="R241" s="277"/>
      <c r="S241" s="278"/>
      <c r="T241" s="278"/>
      <c r="U241" s="278">
        <f>(U251-O251)/6/$C$675/Spend!U241*'State Efficiency Ratios (2014)'!$C$655</f>
        <v>91.013836196359648</v>
      </c>
      <c r="V241" s="277"/>
      <c r="W241" s="278"/>
      <c r="X241" s="278"/>
      <c r="Y241" s="278">
        <f>(Y251-U251)/4/$C$675/Spend!Y241*'State Efficiency Ratios (2014)'!$C$655</f>
        <v>292.80415507561014</v>
      </c>
      <c r="Z241" s="277"/>
      <c r="AA241" s="278"/>
      <c r="AB241" s="278"/>
      <c r="AC241" s="278">
        <f>(AC251-Y251)/4/$C$675/Spend!AC241*'State Efficiency Ratios (2014)'!$C$655</f>
        <v>124.28316327425395</v>
      </c>
      <c r="AD241" s="277"/>
      <c r="AE241" s="280"/>
      <c r="AG241" s="410" t="s">
        <v>1086</v>
      </c>
      <c r="AL241" s="575"/>
      <c r="AM241" s="575"/>
      <c r="AS241" s="719">
        <f>(O251-J251)/7/$C$673/Spend!O241*'State Efficiency Ratios (2014)'!$C$655</f>
        <v>63.268520496555553</v>
      </c>
    </row>
    <row r="242" spans="1:46" ht="13.5" thickBot="1">
      <c r="A242" s="885"/>
      <c r="B242" s="885"/>
      <c r="C242" s="194" t="s">
        <v>613</v>
      </c>
      <c r="D242" s="206"/>
      <c r="E242" s="207"/>
      <c r="F242" s="209"/>
      <c r="G242" s="206"/>
      <c r="H242" s="206"/>
      <c r="I242" s="207"/>
      <c r="J242" s="209"/>
      <c r="K242" s="206"/>
      <c r="L242" s="206"/>
      <c r="M242" s="207"/>
      <c r="N242" s="277"/>
      <c r="O242" s="278">
        <f>(O252-J252)/5/$C$675/Spend!O242*'State Efficiency Ratios (2014)'!$C$655</f>
        <v>0</v>
      </c>
      <c r="P242" s="278"/>
      <c r="Q242" s="279"/>
      <c r="R242" s="277"/>
      <c r="S242" s="278"/>
      <c r="T242" s="278"/>
      <c r="U242" s="278">
        <f>(U252-O252)/6/$C$675/Spend!U242*'State Efficiency Ratios (2014)'!$C$655</f>
        <v>100.81944563004248</v>
      </c>
      <c r="V242" s="277"/>
      <c r="W242" s="278"/>
      <c r="X242" s="278"/>
      <c r="Y242" s="278">
        <f>(Y252-U252)/4/$C$675/Spend!Y242*'State Efficiency Ratios (2014)'!$C$655</f>
        <v>477.00311603444203</v>
      </c>
      <c r="Z242" s="277"/>
      <c r="AA242" s="278"/>
      <c r="AB242" s="278"/>
      <c r="AC242" s="278">
        <f>(AC252-Y252)/4/$C$675/Spend!AC242*'State Efficiency Ratios (2014)'!$C$655</f>
        <v>224.9279637524088</v>
      </c>
      <c r="AD242" s="277"/>
      <c r="AE242" s="280"/>
      <c r="AG242" s="410" t="s">
        <v>1087</v>
      </c>
      <c r="AL242" s="575"/>
      <c r="AM242" s="575"/>
      <c r="AS242" s="719">
        <f>(O252-J252)/7/$C$673/Spend!O242*'State Efficiency Ratios (2014)'!$C$655</f>
        <v>0</v>
      </c>
      <c r="AT242" s="714" t="s">
        <v>1070</v>
      </c>
    </row>
    <row r="243" spans="1:46" ht="13.5" thickBot="1">
      <c r="A243" s="885"/>
      <c r="B243" s="885"/>
      <c r="C243" s="194" t="s">
        <v>614</v>
      </c>
      <c r="D243" s="206"/>
      <c r="E243" s="207"/>
      <c r="F243" s="209"/>
      <c r="G243" s="206"/>
      <c r="H243" s="206"/>
      <c r="I243" s="207"/>
      <c r="J243" s="209"/>
      <c r="K243" s="206"/>
      <c r="L243" s="206"/>
      <c r="M243" s="207"/>
      <c r="N243" s="277"/>
      <c r="O243" s="278">
        <f>(O253-J253)/5/$C$675/Spend!O243*'State Efficiency Ratios (2014)'!$C$655</f>
        <v>0</v>
      </c>
      <c r="P243" s="278"/>
      <c r="Q243" s="279"/>
      <c r="R243" s="277"/>
      <c r="S243" s="278"/>
      <c r="T243" s="278"/>
      <c r="U243" s="278">
        <f>(U253-O253)/6/$C$675/Spend!U243*'State Efficiency Ratios (2014)'!$C$655</f>
        <v>24.113872748363743</v>
      </c>
      <c r="V243" s="277"/>
      <c r="W243" s="278"/>
      <c r="X243" s="278"/>
      <c r="Y243" s="278">
        <f>(Y253-U253)/4/$C$675/Spend!Y243*'State Efficiency Ratios (2014)'!$C$655</f>
        <v>457.60740001706222</v>
      </c>
      <c r="Z243" s="277"/>
      <c r="AA243" s="278"/>
      <c r="AB243" s="278"/>
      <c r="AC243" s="278">
        <f>(AC253-Y253)/4/$C$675/Spend!AC243*'State Efficiency Ratios (2014)'!$C$655</f>
        <v>305.35122940342347</v>
      </c>
      <c r="AD243" s="277"/>
      <c r="AE243" s="280"/>
      <c r="AG243" s="410" t="s">
        <v>1088</v>
      </c>
      <c r="AL243" s="575"/>
      <c r="AM243" s="575"/>
      <c r="AS243" s="719">
        <f>(O253-J253)/7/$C$673/Spend!O243*'State Efficiency Ratios (2014)'!$C$655</f>
        <v>0</v>
      </c>
      <c r="AT243" s="721">
        <f>SUM(AS239:AS243)/5</f>
        <v>44.857120526310631</v>
      </c>
    </row>
    <row r="244" spans="1:46" ht="12.95" customHeight="1" thickBot="1">
      <c r="A244" s="885"/>
      <c r="B244" s="885"/>
      <c r="C244" s="194" t="s">
        <v>615</v>
      </c>
      <c r="D244" s="210"/>
      <c r="E244" s="211"/>
      <c r="F244" s="209"/>
      <c r="G244" s="210"/>
      <c r="H244" s="210"/>
      <c r="I244" s="211"/>
      <c r="J244" s="209"/>
      <c r="K244" s="210"/>
      <c r="L244" s="210"/>
      <c r="M244" s="211"/>
      <c r="N244" s="281"/>
      <c r="O244" s="282"/>
      <c r="P244" s="282"/>
      <c r="Q244" s="282"/>
      <c r="R244" s="277"/>
      <c r="S244" s="278"/>
      <c r="T244" s="278"/>
      <c r="U244" s="278">
        <f>(U254-R254)/3/$C$675/Spend!U244*'State Efficiency Ratios (2014)'!$C$655</f>
        <v>0</v>
      </c>
      <c r="V244" s="277"/>
      <c r="W244" s="278"/>
      <c r="X244" s="278"/>
      <c r="Y244" s="278">
        <f>(Y254-U254)/4/$C$675/Spend!Y244*'State Efficiency Ratios (2014)'!$C$655</f>
        <v>120.56239450335494</v>
      </c>
      <c r="Z244" s="277"/>
      <c r="AA244" s="278"/>
      <c r="AB244" s="278"/>
      <c r="AC244" s="278">
        <f>(AC254-Y254)/4/$C$675/Spend!AC244*'State Efficiency Ratios (2014)'!$C$655</f>
        <v>218.57262169408247</v>
      </c>
      <c r="AD244" s="277"/>
      <c r="AE244" s="280"/>
      <c r="AG244" s="410"/>
      <c r="AI244" s="4" t="s">
        <v>1053</v>
      </c>
      <c r="AL244" s="575"/>
      <c r="AM244" s="575"/>
      <c r="AS244" s="719">
        <f>(Y254-R254)/7/$C$673/(Spend!U244+Spend!Y244)*'State Efficiency Ratios (2014)'!$C$655</f>
        <v>64.415726644149942</v>
      </c>
    </row>
    <row r="245" spans="1:46" ht="12.95" customHeight="1" thickBot="1">
      <c r="A245" s="885"/>
      <c r="B245" s="885"/>
      <c r="C245" s="194" t="s">
        <v>616</v>
      </c>
      <c r="D245" s="210"/>
      <c r="E245" s="211"/>
      <c r="F245" s="209"/>
      <c r="G245" s="210"/>
      <c r="H245" s="210"/>
      <c r="I245" s="211"/>
      <c r="J245" s="209"/>
      <c r="K245" s="210"/>
      <c r="L245" s="210"/>
      <c r="M245" s="211"/>
      <c r="N245" s="281"/>
      <c r="O245" s="282"/>
      <c r="P245" s="282"/>
      <c r="Q245" s="282"/>
      <c r="R245" s="277"/>
      <c r="S245" s="278"/>
      <c r="T245" s="278"/>
      <c r="U245" s="278">
        <f>(U255-R255)/3/$C$675/Spend!U245*'State Efficiency Ratios (2014)'!$C$655</f>
        <v>0</v>
      </c>
      <c r="V245" s="277"/>
      <c r="W245" s="278"/>
      <c r="X245" s="278"/>
      <c r="Y245" s="278">
        <f>(Y255-U255)/4/$C$675/Spend!Y245*'State Efficiency Ratios (2014)'!$C$655</f>
        <v>0</v>
      </c>
      <c r="Z245" s="277"/>
      <c r="AA245" s="278"/>
      <c r="AB245" s="278"/>
      <c r="AC245" s="278">
        <f>(AC255-Y255)/4/$C$675/Spend!AC245*'State Efficiency Ratios (2014)'!$C$655</f>
        <v>0</v>
      </c>
      <c r="AD245" s="277"/>
      <c r="AE245" s="280"/>
      <c r="AG245" s="410" t="s">
        <v>1084</v>
      </c>
      <c r="AH245" s="355" t="s">
        <v>1052</v>
      </c>
      <c r="AI245" s="599">
        <f>4/5*SUM(AI249:AI253)/5</f>
        <v>1.1200000000000001</v>
      </c>
      <c r="AJ245" s="592">
        <f>4/6*SUM(AJ249:AJ253)/5</f>
        <v>0.4</v>
      </c>
      <c r="AK245" s="592">
        <f>SUM(AK249:AK256)/8</f>
        <v>3.375</v>
      </c>
      <c r="AL245" s="594">
        <f>SUM(AL249:AL256)/8</f>
        <v>2.875</v>
      </c>
      <c r="AM245" s="575"/>
      <c r="AS245" s="719">
        <f>(Y255-R255)/7/$C$673/(Spend!U245+Spend!Y245)*'State Efficiency Ratios (2014)'!$C$655</f>
        <v>0</v>
      </c>
      <c r="AT245" s="714" t="s">
        <v>1071</v>
      </c>
    </row>
    <row r="246" spans="1:46" ht="12.95" customHeight="1" thickBot="1">
      <c r="A246" s="885"/>
      <c r="B246" s="885"/>
      <c r="C246" s="194" t="s">
        <v>617</v>
      </c>
      <c r="D246" s="210"/>
      <c r="E246" s="211"/>
      <c r="F246" s="209"/>
      <c r="G246" s="210"/>
      <c r="H246" s="210"/>
      <c r="I246" s="211"/>
      <c r="J246" s="209"/>
      <c r="K246" s="210"/>
      <c r="L246" s="210"/>
      <c r="M246" s="211"/>
      <c r="N246" s="281"/>
      <c r="O246" s="282"/>
      <c r="P246" s="282"/>
      <c r="Q246" s="282"/>
      <c r="R246" s="277"/>
      <c r="S246" s="278"/>
      <c r="T246" s="278"/>
      <c r="U246" s="278">
        <f>(U256-R256)/3/$C$675/Spend!U246*'State Efficiency Ratios (2014)'!$C$655</f>
        <v>0</v>
      </c>
      <c r="V246" s="277"/>
      <c r="W246" s="278"/>
      <c r="X246" s="278"/>
      <c r="Y246" s="278">
        <f>(Y256-U256)/4/$C$675/Spend!Y246*'State Efficiency Ratios (2014)'!$C$655</f>
        <v>361.38238296022985</v>
      </c>
      <c r="Z246" s="277"/>
      <c r="AA246" s="278"/>
      <c r="AB246" s="278"/>
      <c r="AC246" s="278">
        <f>(AC256-Y256)/4/$C$675/Spend!AC246*'State Efficiency Ratios (2014)'!$C$655</f>
        <v>285.93102775984386</v>
      </c>
      <c r="AD246" s="277"/>
      <c r="AE246" s="280"/>
      <c r="AG246" s="410" t="s">
        <v>1089</v>
      </c>
      <c r="AH246" s="355" t="s">
        <v>1051</v>
      </c>
      <c r="AI246" s="606">
        <f>SUM(O239:O243)/5</f>
        <v>31.399984368417449</v>
      </c>
      <c r="AJ246" s="607">
        <f>SUM(U239:U243)/5</f>
        <v>24.872775067116613</v>
      </c>
      <c r="AK246" s="607">
        <f>SUM(Y239:Y246)/8</f>
        <v>309.95553426455047</v>
      </c>
      <c r="AL246" s="608">
        <f>SUM(AC239:AC246)/8</f>
        <v>240.95160319691234</v>
      </c>
      <c r="AM246" s="575"/>
      <c r="AS246" s="722">
        <f>(Y256-R256)/7/$C$673/(Spend!U246+Spend!Y246)*'State Efficiency Ratios (2014)'!$C$655</f>
        <v>189.58085618930357</v>
      </c>
      <c r="AT246" s="721">
        <f>SUM(AS244:AS246)/3</f>
        <v>84.665527611151177</v>
      </c>
    </row>
    <row r="247" spans="1:46" ht="12.95" customHeight="1" thickBot="1">
      <c r="A247" s="885"/>
      <c r="B247" s="885"/>
      <c r="C247" s="194" t="s">
        <v>618</v>
      </c>
      <c r="D247" s="210"/>
      <c r="E247" s="211"/>
      <c r="F247" s="209"/>
      <c r="G247" s="210"/>
      <c r="H247" s="210"/>
      <c r="I247" s="211"/>
      <c r="J247" s="209"/>
      <c r="K247" s="210"/>
      <c r="L247" s="210"/>
      <c r="M247" s="211"/>
      <c r="N247" s="281"/>
      <c r="O247" s="282"/>
      <c r="P247" s="282"/>
      <c r="Q247" s="283"/>
      <c r="R247" s="281"/>
      <c r="S247" s="282"/>
      <c r="T247" s="282"/>
      <c r="U247" s="283"/>
      <c r="V247" s="281"/>
      <c r="W247" s="282"/>
      <c r="X247" s="282"/>
      <c r="Y247" s="283"/>
      <c r="Z247" s="277"/>
      <c r="AA247" s="278"/>
      <c r="AB247" s="278"/>
      <c r="AC247" s="278">
        <f>(AC257-Y257)/4/$C$675/Spend!AC247*'State Efficiency Ratios (2014)'!$C$655</f>
        <v>0</v>
      </c>
      <c r="AD247" s="277"/>
      <c r="AE247" s="280"/>
      <c r="AG247" s="410"/>
      <c r="AL247" s="575"/>
      <c r="AM247" s="575"/>
    </row>
    <row r="248" spans="1:46" ht="12.95" customHeight="1" thickBot="1">
      <c r="A248" s="885"/>
      <c r="B248" s="885"/>
      <c r="C248" s="194" t="s">
        <v>619</v>
      </c>
      <c r="D248" s="210"/>
      <c r="E248" s="211"/>
      <c r="F248" s="209"/>
      <c r="G248" s="210"/>
      <c r="H248" s="210"/>
      <c r="I248" s="211"/>
      <c r="J248" s="209"/>
      <c r="K248" s="210"/>
      <c r="L248" s="210"/>
      <c r="M248" s="211"/>
      <c r="N248" s="281"/>
      <c r="O248" s="282"/>
      <c r="P248" s="282"/>
      <c r="Q248" s="283"/>
      <c r="R248" s="281"/>
      <c r="S248" s="282"/>
      <c r="T248" s="282"/>
      <c r="U248" s="283"/>
      <c r="V248" s="281"/>
      <c r="W248" s="282"/>
      <c r="X248" s="282"/>
      <c r="Y248" s="283"/>
      <c r="Z248" s="277"/>
      <c r="AA248" s="278"/>
      <c r="AB248" s="278"/>
      <c r="AC248" s="278">
        <f>(AC258-Y258)/4/$C$675/Spend!AC248*'State Efficiency Ratios (2014)'!$C$655</f>
        <v>0</v>
      </c>
      <c r="AD248" s="277"/>
      <c r="AE248" s="280"/>
      <c r="AG248" s="410"/>
      <c r="AI248" s="416" t="s">
        <v>1034</v>
      </c>
      <c r="AL248" s="575"/>
      <c r="AM248" s="575"/>
      <c r="AS248" s="716" t="s">
        <v>1034</v>
      </c>
    </row>
    <row r="249" spans="1:46" ht="12.95" customHeight="1" thickBot="1">
      <c r="A249" s="885"/>
      <c r="B249" s="885"/>
      <c r="C249" s="9" t="s">
        <v>295</v>
      </c>
      <c r="D249" s="241" t="s">
        <v>632</v>
      </c>
      <c r="E249" s="241" t="s">
        <v>632</v>
      </c>
      <c r="F249" s="243" t="s">
        <v>646</v>
      </c>
      <c r="G249" s="241" t="s">
        <v>646</v>
      </c>
      <c r="H249" s="241" t="s">
        <v>646</v>
      </c>
      <c r="I249" s="244" t="s">
        <v>646</v>
      </c>
      <c r="J249" s="195">
        <f>'State DisAgg LFx10 (2014)'!D239</f>
        <v>0</v>
      </c>
      <c r="K249" s="196"/>
      <c r="L249" s="196"/>
      <c r="M249" s="197"/>
      <c r="N249" s="195"/>
      <c r="O249" s="196">
        <f>'State DisAgg LFx10 (2014)'!H239</f>
        <v>0</v>
      </c>
      <c r="P249" s="196"/>
      <c r="Q249" s="197"/>
      <c r="R249" s="195"/>
      <c r="S249" s="196"/>
      <c r="T249" s="196"/>
      <c r="U249" s="197">
        <f>'State DisAgg LFx10 (2014)'!L249</f>
        <v>1</v>
      </c>
      <c r="V249" s="195"/>
      <c r="W249" s="196"/>
      <c r="X249" s="196"/>
      <c r="Y249" s="197">
        <f>'State DisAgg LFx10 (2014)'!P249</f>
        <v>6</v>
      </c>
      <c r="Z249" s="195"/>
      <c r="AA249" s="196"/>
      <c r="AB249" s="196"/>
      <c r="AC249" s="197">
        <f>'State DisAgg LFx10 (2014)'!T249</f>
        <v>15</v>
      </c>
      <c r="AD249" s="195"/>
      <c r="AE249" s="197"/>
      <c r="AI249" s="361">
        <f>O249-J249</f>
        <v>0</v>
      </c>
      <c r="AJ249" s="362">
        <f>U249-O249</f>
        <v>1</v>
      </c>
      <c r="AK249" s="362">
        <f t="shared" ref="AK249:AK260" si="52">Y249-U249</f>
        <v>5</v>
      </c>
      <c r="AL249" s="363">
        <f t="shared" ref="AL249:AL258" si="53">AC249-Y249</f>
        <v>9</v>
      </c>
      <c r="AM249" s="378"/>
      <c r="AQ249" s="354"/>
      <c r="AS249" s="724">
        <f>(O249-J249)</f>
        <v>0</v>
      </c>
    </row>
    <row r="250" spans="1:46" ht="12.95" customHeight="1" thickBot="1">
      <c r="A250" s="885"/>
      <c r="B250" s="885"/>
      <c r="C250" s="9" t="s">
        <v>296</v>
      </c>
      <c r="D250" s="241" t="s">
        <v>632</v>
      </c>
      <c r="E250" s="241" t="s">
        <v>632</v>
      </c>
      <c r="F250" s="243" t="s">
        <v>646</v>
      </c>
      <c r="G250" s="241" t="s">
        <v>646</v>
      </c>
      <c r="H250" s="241" t="s">
        <v>646</v>
      </c>
      <c r="I250" s="244" t="s">
        <v>646</v>
      </c>
      <c r="J250" s="195">
        <f>'State DisAgg LFx10 (2014)'!D240</f>
        <v>0</v>
      </c>
      <c r="K250" s="196"/>
      <c r="L250" s="196"/>
      <c r="M250" s="197"/>
      <c r="N250" s="195"/>
      <c r="O250" s="196">
        <f>'State DisAgg LFx10 (2014)'!H240</f>
        <v>5</v>
      </c>
      <c r="P250" s="196"/>
      <c r="Q250" s="197"/>
      <c r="R250" s="195"/>
      <c r="S250" s="196"/>
      <c r="T250" s="196"/>
      <c r="U250" s="197">
        <f>'State DisAgg LFx10 (2014)'!L250</f>
        <v>2</v>
      </c>
      <c r="V250" s="195"/>
      <c r="W250" s="196"/>
      <c r="X250" s="196"/>
      <c r="Y250" s="197">
        <f>'State DisAgg LFx10 (2014)'!P250</f>
        <v>7</v>
      </c>
      <c r="Z250" s="195"/>
      <c r="AA250" s="196"/>
      <c r="AB250" s="196"/>
      <c r="AC250" s="197">
        <f>'State DisAgg LFx10 (2014)'!T250</f>
        <v>8</v>
      </c>
      <c r="AD250" s="195"/>
      <c r="AE250" s="197"/>
      <c r="AI250" s="364">
        <f>O250-J250</f>
        <v>5</v>
      </c>
      <c r="AJ250" s="360">
        <f>U250-O250</f>
        <v>-3</v>
      </c>
      <c r="AK250" s="360">
        <f t="shared" si="52"/>
        <v>5</v>
      </c>
      <c r="AL250" s="365">
        <f t="shared" si="53"/>
        <v>1</v>
      </c>
      <c r="AM250" s="378"/>
      <c r="AQ250" s="354"/>
      <c r="AS250" s="726">
        <f>(O250-J250)</f>
        <v>5</v>
      </c>
    </row>
    <row r="251" spans="1:46" ht="13.5" thickBot="1">
      <c r="A251" s="885"/>
      <c r="B251" s="885"/>
      <c r="C251" s="9" t="s">
        <v>297</v>
      </c>
      <c r="D251" s="241" t="s">
        <v>632</v>
      </c>
      <c r="E251" s="241" t="s">
        <v>632</v>
      </c>
      <c r="F251" s="243" t="s">
        <v>646</v>
      </c>
      <c r="G251" s="241" t="s">
        <v>646</v>
      </c>
      <c r="H251" s="241" t="s">
        <v>646</v>
      </c>
      <c r="I251" s="244" t="s">
        <v>646</v>
      </c>
      <c r="J251" s="195">
        <f>'State DisAgg LFx10 (2014)'!D241</f>
        <v>0</v>
      </c>
      <c r="K251" s="196"/>
      <c r="L251" s="196"/>
      <c r="M251" s="197"/>
      <c r="N251" s="195"/>
      <c r="O251" s="196">
        <f>'State DisAgg LFx10 (2014)'!H241</f>
        <v>2</v>
      </c>
      <c r="P251" s="196"/>
      <c r="Q251" s="197"/>
      <c r="R251" s="195"/>
      <c r="S251" s="196"/>
      <c r="T251" s="196"/>
      <c r="U251" s="197">
        <f>'State DisAgg LFx10 (2014)'!L251</f>
        <v>4</v>
      </c>
      <c r="V251" s="195"/>
      <c r="W251" s="196"/>
      <c r="X251" s="196"/>
      <c r="Y251" s="197">
        <f>'State DisAgg LFx10 (2014)'!P251</f>
        <v>7</v>
      </c>
      <c r="Z251" s="195"/>
      <c r="AA251" s="196"/>
      <c r="AB251" s="196"/>
      <c r="AC251" s="197">
        <f>'State DisAgg LFx10 (2014)'!T251</f>
        <v>9</v>
      </c>
      <c r="AD251" s="195"/>
      <c r="AE251" s="197"/>
      <c r="AI251" s="364">
        <f>O251-J251</f>
        <v>2</v>
      </c>
      <c r="AJ251" s="360">
        <f>U251-O251</f>
        <v>2</v>
      </c>
      <c r="AK251" s="360">
        <f t="shared" si="52"/>
        <v>3</v>
      </c>
      <c r="AL251" s="365">
        <f t="shared" si="53"/>
        <v>2</v>
      </c>
      <c r="AM251" s="378"/>
      <c r="AQ251" s="354"/>
      <c r="AS251" s="726">
        <f>(O251-J251)</f>
        <v>2</v>
      </c>
    </row>
    <row r="252" spans="1:46" ht="13.5" thickBot="1">
      <c r="A252" s="885"/>
      <c r="B252" s="885"/>
      <c r="C252" s="9" t="s">
        <v>298</v>
      </c>
      <c r="D252" s="241" t="s">
        <v>632</v>
      </c>
      <c r="E252" s="241" t="s">
        <v>632</v>
      </c>
      <c r="F252" s="243" t="s">
        <v>646</v>
      </c>
      <c r="G252" s="241" t="s">
        <v>646</v>
      </c>
      <c r="H252" s="241" t="s">
        <v>646</v>
      </c>
      <c r="I252" s="244" t="s">
        <v>646</v>
      </c>
      <c r="J252" s="195">
        <f>'State DisAgg LFx10 (2014)'!D242</f>
        <v>1</v>
      </c>
      <c r="K252" s="196"/>
      <c r="L252" s="196"/>
      <c r="M252" s="197"/>
      <c r="N252" s="195"/>
      <c r="O252" s="196">
        <f>'State DisAgg LFx10 (2014)'!H242</f>
        <v>1</v>
      </c>
      <c r="P252" s="196"/>
      <c r="Q252" s="197"/>
      <c r="R252" s="195"/>
      <c r="S252" s="196"/>
      <c r="T252" s="196"/>
      <c r="U252" s="197">
        <f>'State DisAgg LFx10 (2014)'!L252</f>
        <v>3</v>
      </c>
      <c r="V252" s="195"/>
      <c r="W252" s="196"/>
      <c r="X252" s="196"/>
      <c r="Y252" s="197">
        <f>'State DisAgg LFx10 (2014)'!P252</f>
        <v>8</v>
      </c>
      <c r="Z252" s="195"/>
      <c r="AA252" s="196"/>
      <c r="AB252" s="196"/>
      <c r="AC252" s="197">
        <f>'State DisAgg LFx10 (2014)'!T252</f>
        <v>10</v>
      </c>
      <c r="AD252" s="195"/>
      <c r="AE252" s="197"/>
      <c r="AI252" s="364">
        <f>O252-J252</f>
        <v>0</v>
      </c>
      <c r="AJ252" s="360">
        <f>U252-O252</f>
        <v>2</v>
      </c>
      <c r="AK252" s="360">
        <f t="shared" si="52"/>
        <v>5</v>
      </c>
      <c r="AL252" s="365">
        <f t="shared" si="53"/>
        <v>2</v>
      </c>
      <c r="AM252" s="378"/>
      <c r="AQ252" s="354"/>
      <c r="AS252" s="726">
        <f>(O252-J252)</f>
        <v>0</v>
      </c>
      <c r="AT252" s="714" t="s">
        <v>1070</v>
      </c>
    </row>
    <row r="253" spans="1:46" ht="13.5" thickBot="1">
      <c r="A253" s="885"/>
      <c r="B253" s="885"/>
      <c r="C253" s="9" t="s">
        <v>299</v>
      </c>
      <c r="D253" s="241" t="s">
        <v>632</v>
      </c>
      <c r="E253" s="241" t="s">
        <v>632</v>
      </c>
      <c r="F253" s="243" t="s">
        <v>646</v>
      </c>
      <c r="G253" s="241" t="s">
        <v>646</v>
      </c>
      <c r="H253" s="241" t="s">
        <v>646</v>
      </c>
      <c r="I253" s="244" t="s">
        <v>646</v>
      </c>
      <c r="J253" s="195">
        <f>'State DisAgg LFx10 (2014)'!D243</f>
        <v>0</v>
      </c>
      <c r="K253" s="196"/>
      <c r="L253" s="196"/>
      <c r="M253" s="197"/>
      <c r="N253" s="195"/>
      <c r="O253" s="196">
        <f>'State DisAgg LFx10 (2014)'!H243</f>
        <v>0</v>
      </c>
      <c r="P253" s="196"/>
      <c r="Q253" s="197"/>
      <c r="R253" s="195"/>
      <c r="S253" s="196"/>
      <c r="T253" s="196"/>
      <c r="U253" s="197">
        <f>'State DisAgg LFx10 (2014)'!L253</f>
        <v>1</v>
      </c>
      <c r="V253" s="195"/>
      <c r="W253" s="196"/>
      <c r="X253" s="196"/>
      <c r="Y253" s="197">
        <f>'State DisAgg LFx10 (2014)'!P253</f>
        <v>6</v>
      </c>
      <c r="Z253" s="195"/>
      <c r="AA253" s="196"/>
      <c r="AB253" s="196"/>
      <c r="AC253" s="197">
        <f>'State DisAgg LFx10 (2014)'!T253</f>
        <v>10</v>
      </c>
      <c r="AD253" s="195"/>
      <c r="AE253" s="197"/>
      <c r="AI253" s="364">
        <f>O253-J253</f>
        <v>0</v>
      </c>
      <c r="AJ253" s="360">
        <f>U253-O253</f>
        <v>1</v>
      </c>
      <c r="AK253" s="360">
        <f t="shared" si="52"/>
        <v>5</v>
      </c>
      <c r="AL253" s="365">
        <f t="shared" si="53"/>
        <v>4</v>
      </c>
      <c r="AM253" s="378"/>
      <c r="AQ253" s="354"/>
      <c r="AS253" s="726">
        <f>(O253-J253)</f>
        <v>0</v>
      </c>
      <c r="AT253" s="728">
        <f>SUM(AS249:AS253)/5</f>
        <v>1.4</v>
      </c>
    </row>
    <row r="254" spans="1:46" ht="13.5" thickBot="1">
      <c r="A254" s="885"/>
      <c r="B254" s="885"/>
      <c r="C254" s="9" t="s">
        <v>300</v>
      </c>
      <c r="D254" s="199"/>
      <c r="E254" s="200"/>
      <c r="F254" s="201"/>
      <c r="G254" s="199"/>
      <c r="H254" s="199"/>
      <c r="I254" s="200"/>
      <c r="J254" s="201"/>
      <c r="K254" s="199"/>
      <c r="L254" s="199"/>
      <c r="M254" s="200"/>
      <c r="N254" s="198"/>
      <c r="O254" s="217" t="s">
        <v>634</v>
      </c>
      <c r="P254" s="241" t="s">
        <v>632</v>
      </c>
      <c r="Q254" s="244" t="s">
        <v>646</v>
      </c>
      <c r="R254" s="195">
        <f>'State DisAgg LFx10 (2014)'!H244</f>
        <v>0</v>
      </c>
      <c r="S254" s="196"/>
      <c r="T254" s="196"/>
      <c r="U254" s="197">
        <f>'State DisAgg LFx10 (2014)'!L254</f>
        <v>0</v>
      </c>
      <c r="V254" s="195"/>
      <c r="W254" s="196"/>
      <c r="X254" s="196"/>
      <c r="Y254" s="197">
        <f>'State DisAgg LFx10 (2014)'!P254</f>
        <v>1</v>
      </c>
      <c r="Z254" s="195"/>
      <c r="AA254" s="196"/>
      <c r="AB254" s="196"/>
      <c r="AC254" s="197">
        <f>'State DisAgg LFx10 (2014)'!T254</f>
        <v>3</v>
      </c>
      <c r="AD254" s="195"/>
      <c r="AE254" s="197"/>
      <c r="AI254" s="364">
        <v>0</v>
      </c>
      <c r="AJ254" s="360">
        <f>U254-R254</f>
        <v>0</v>
      </c>
      <c r="AK254" s="360">
        <f t="shared" si="52"/>
        <v>1</v>
      </c>
      <c r="AL254" s="365">
        <f t="shared" si="53"/>
        <v>2</v>
      </c>
      <c r="AM254" s="378"/>
      <c r="AQ254" s="354"/>
      <c r="AS254" s="726">
        <f>(Y254-R254)</f>
        <v>1</v>
      </c>
    </row>
    <row r="255" spans="1:46" ht="13.5" thickBot="1">
      <c r="A255" s="885"/>
      <c r="B255" s="885"/>
      <c r="C255" s="9" t="s">
        <v>301</v>
      </c>
      <c r="D255" s="199"/>
      <c r="E255" s="200"/>
      <c r="F255" s="201"/>
      <c r="G255" s="199"/>
      <c r="H255" s="199"/>
      <c r="I255" s="200"/>
      <c r="J255" s="201"/>
      <c r="K255" s="199"/>
      <c r="L255" s="199"/>
      <c r="M255" s="200"/>
      <c r="N255" s="198"/>
      <c r="O255" s="217" t="s">
        <v>634</v>
      </c>
      <c r="P255" s="241" t="s">
        <v>632</v>
      </c>
      <c r="Q255" s="244" t="s">
        <v>646</v>
      </c>
      <c r="R255" s="195">
        <f>'State DisAgg LFx10 (2014)'!H245</f>
        <v>0</v>
      </c>
      <c r="S255" s="196"/>
      <c r="T255" s="196"/>
      <c r="U255" s="197">
        <f>'State DisAgg LFx10 (2014)'!L255</f>
        <v>0</v>
      </c>
      <c r="V255" s="195"/>
      <c r="W255" s="196"/>
      <c r="X255" s="196"/>
      <c r="Y255" s="197">
        <f>'State DisAgg LFx10 (2014)'!P255</f>
        <v>0</v>
      </c>
      <c r="Z255" s="195"/>
      <c r="AA255" s="196"/>
      <c r="AB255" s="196"/>
      <c r="AC255" s="197">
        <f>'State DisAgg LFx10 (2014)'!T255</f>
        <v>0</v>
      </c>
      <c r="AD255" s="195"/>
      <c r="AE255" s="197"/>
      <c r="AI255" s="364">
        <v>0</v>
      </c>
      <c r="AJ255" s="360">
        <f>U255-R255</f>
        <v>0</v>
      </c>
      <c r="AK255" s="360">
        <f t="shared" si="52"/>
        <v>0</v>
      </c>
      <c r="AL255" s="365">
        <f t="shared" si="53"/>
        <v>0</v>
      </c>
      <c r="AM255" s="378"/>
      <c r="AQ255" s="354"/>
      <c r="AS255" s="726">
        <f>(Y255-R255)</f>
        <v>0</v>
      </c>
      <c r="AT255" s="714" t="s">
        <v>1071</v>
      </c>
    </row>
    <row r="256" spans="1:46" ht="13.5" thickBot="1">
      <c r="A256" s="885"/>
      <c r="B256" s="885"/>
      <c r="C256" s="9" t="s">
        <v>302</v>
      </c>
      <c r="D256" s="199"/>
      <c r="E256" s="200"/>
      <c r="F256" s="201"/>
      <c r="G256" s="199"/>
      <c r="H256" s="199"/>
      <c r="I256" s="200"/>
      <c r="J256" s="201"/>
      <c r="K256" s="199"/>
      <c r="L256" s="199"/>
      <c r="M256" s="200"/>
      <c r="N256" s="198"/>
      <c r="O256" s="217" t="s">
        <v>634</v>
      </c>
      <c r="P256" s="241" t="s">
        <v>632</v>
      </c>
      <c r="Q256" s="244" t="s">
        <v>646</v>
      </c>
      <c r="R256" s="195">
        <f>'State DisAgg LFx10 (2014)'!H246</f>
        <v>0</v>
      </c>
      <c r="S256" s="196"/>
      <c r="T256" s="196"/>
      <c r="U256" s="197">
        <f>'State DisAgg LFx10 (2014)'!L256</f>
        <v>0</v>
      </c>
      <c r="V256" s="195"/>
      <c r="W256" s="196"/>
      <c r="X256" s="196"/>
      <c r="Y256" s="197">
        <f>'State DisAgg LFx10 (2014)'!P256</f>
        <v>3</v>
      </c>
      <c r="Z256" s="195"/>
      <c r="AA256" s="196"/>
      <c r="AB256" s="196"/>
      <c r="AC256" s="197">
        <f>'State DisAgg LFx10 (2014)'!T256</f>
        <v>6</v>
      </c>
      <c r="AD256" s="195"/>
      <c r="AE256" s="197"/>
      <c r="AI256" s="364">
        <v>0</v>
      </c>
      <c r="AJ256" s="360">
        <f>U256-R256</f>
        <v>0</v>
      </c>
      <c r="AK256" s="360">
        <f t="shared" si="52"/>
        <v>3</v>
      </c>
      <c r="AL256" s="365">
        <f t="shared" si="53"/>
        <v>3</v>
      </c>
      <c r="AM256" s="378"/>
      <c r="AQ256" s="354"/>
      <c r="AS256" s="729">
        <f>(Y256-R256)</f>
        <v>3</v>
      </c>
      <c r="AT256" s="728">
        <f>SUM(AS254:AS256)/3</f>
        <v>1.3333333333333333</v>
      </c>
    </row>
    <row r="257" spans="1:48" ht="13.5" thickBot="1">
      <c r="A257" s="885"/>
      <c r="B257" s="885"/>
      <c r="C257" s="9" t="s">
        <v>303</v>
      </c>
      <c r="D257" s="202"/>
      <c r="E257" s="203"/>
      <c r="F257" s="201"/>
      <c r="G257" s="202"/>
      <c r="H257" s="202"/>
      <c r="I257" s="203"/>
      <c r="J257" s="201"/>
      <c r="K257" s="202"/>
      <c r="L257" s="202"/>
      <c r="M257" s="203"/>
      <c r="N257" s="204"/>
      <c r="O257" s="214"/>
      <c r="P257" s="205"/>
      <c r="Q257" s="205"/>
      <c r="R257" s="201"/>
      <c r="S257" s="202"/>
      <c r="T257" s="202"/>
      <c r="U257" s="203"/>
      <c r="V257" s="242"/>
      <c r="W257" s="217" t="s">
        <v>633</v>
      </c>
      <c r="X257" s="241" t="s">
        <v>632</v>
      </c>
      <c r="Y257" s="197">
        <f>'State DisAgg LFx10 (2014)'!P247</f>
        <v>0</v>
      </c>
      <c r="Z257" s="195"/>
      <c r="AA257" s="196"/>
      <c r="AB257" s="196"/>
      <c r="AC257" s="197">
        <f>'State DisAgg LFx10 (2014)'!T257</f>
        <v>0</v>
      </c>
      <c r="AD257" s="195"/>
      <c r="AE257" s="197"/>
      <c r="AI257" s="364">
        <f>O257-J257</f>
        <v>0</v>
      </c>
      <c r="AJ257" s="360">
        <f>U257-O257</f>
        <v>0</v>
      </c>
      <c r="AK257" s="360">
        <f t="shared" si="52"/>
        <v>0</v>
      </c>
      <c r="AL257" s="365">
        <f t="shared" si="53"/>
        <v>0</v>
      </c>
      <c r="AM257" s="378"/>
      <c r="AQ257" s="354"/>
    </row>
    <row r="258" spans="1:48" ht="13.5" thickBot="1">
      <c r="A258" s="869"/>
      <c r="B258" s="869"/>
      <c r="C258" s="9" t="s">
        <v>304</v>
      </c>
      <c r="D258" s="202"/>
      <c r="E258" s="203"/>
      <c r="F258" s="201"/>
      <c r="G258" s="202"/>
      <c r="H258" s="202"/>
      <c r="I258" s="203"/>
      <c r="J258" s="201"/>
      <c r="K258" s="202"/>
      <c r="L258" s="202"/>
      <c r="M258" s="203"/>
      <c r="N258" s="204"/>
      <c r="O258" s="205"/>
      <c r="P258" s="205"/>
      <c r="Q258" s="205"/>
      <c r="R258" s="201"/>
      <c r="S258" s="202"/>
      <c r="T258" s="202"/>
      <c r="U258" s="203"/>
      <c r="V258" s="242"/>
      <c r="W258" s="217" t="s">
        <v>633</v>
      </c>
      <c r="X258" s="241" t="s">
        <v>632</v>
      </c>
      <c r="Y258" s="197">
        <f>'State DisAgg LFx10 (2014)'!P248</f>
        <v>0</v>
      </c>
      <c r="Z258" s="195"/>
      <c r="AA258" s="196"/>
      <c r="AB258" s="196"/>
      <c r="AC258" s="197">
        <f>'State DisAgg LFx10 (2014)'!T258</f>
        <v>0</v>
      </c>
      <c r="AD258" s="195"/>
      <c r="AE258" s="197"/>
      <c r="AI258" s="366">
        <f>O258-J258</f>
        <v>0</v>
      </c>
      <c r="AJ258" s="367">
        <f>U258-O258</f>
        <v>0</v>
      </c>
      <c r="AK258" s="367">
        <f t="shared" si="52"/>
        <v>0</v>
      </c>
      <c r="AL258" s="368">
        <f t="shared" si="53"/>
        <v>0</v>
      </c>
      <c r="AM258" s="378"/>
      <c r="AQ258" s="354"/>
    </row>
    <row r="259" spans="1:48" ht="12.95" hidden="1" customHeight="1" thickBot="1">
      <c r="A259" s="231"/>
      <c r="B259" s="231"/>
      <c r="C259" s="231"/>
      <c r="D259" s="232"/>
      <c r="E259" s="233"/>
      <c r="F259" s="234"/>
      <c r="G259" s="232"/>
      <c r="H259" s="232"/>
      <c r="I259" s="233"/>
      <c r="J259" s="234"/>
      <c r="K259" s="232"/>
      <c r="L259" s="232"/>
      <c r="M259" s="233"/>
      <c r="N259" s="234"/>
      <c r="O259" s="232"/>
      <c r="P259" s="232"/>
      <c r="Q259" s="233"/>
      <c r="R259" s="234"/>
      <c r="S259" s="232"/>
      <c r="T259" s="232"/>
      <c r="U259" s="233"/>
      <c r="V259" s="234"/>
      <c r="W259" s="232"/>
      <c r="X259" s="232"/>
      <c r="Y259" s="233"/>
      <c r="Z259" s="234"/>
      <c r="AA259" s="232"/>
      <c r="AB259" s="232"/>
      <c r="AC259" s="233"/>
      <c r="AD259" s="234"/>
      <c r="AE259" s="233"/>
      <c r="AI259" s="354">
        <f>O259-J259</f>
        <v>0</v>
      </c>
      <c r="AJ259" s="354">
        <f>U259-O259</f>
        <v>0</v>
      </c>
      <c r="AK259" s="354">
        <f t="shared" si="52"/>
        <v>0</v>
      </c>
      <c r="AQ259" s="354"/>
    </row>
    <row r="260" spans="1:48" ht="12.95" hidden="1" customHeight="1" thickBot="1">
      <c r="A260" s="231"/>
      <c r="B260" s="231"/>
      <c r="C260" s="231"/>
      <c r="D260" s="232"/>
      <c r="E260" s="233"/>
      <c r="F260" s="234"/>
      <c r="G260" s="232"/>
      <c r="H260" s="232"/>
      <c r="I260" s="233"/>
      <c r="J260" s="234"/>
      <c r="K260" s="232"/>
      <c r="L260" s="232"/>
      <c r="M260" s="233"/>
      <c r="N260" s="234"/>
      <c r="O260" s="232"/>
      <c r="P260" s="232"/>
      <c r="Q260" s="233"/>
      <c r="R260" s="234"/>
      <c r="S260" s="232"/>
      <c r="T260" s="232"/>
      <c r="U260" s="233"/>
      <c r="V260" s="234"/>
      <c r="W260" s="232"/>
      <c r="X260" s="232"/>
      <c r="Y260" s="233"/>
      <c r="Z260" s="234"/>
      <c r="AA260" s="232"/>
      <c r="AB260" s="232"/>
      <c r="AC260" s="233"/>
      <c r="AD260" s="234"/>
      <c r="AE260" s="233"/>
      <c r="AI260" s="354">
        <f>O260-J260</f>
        <v>0</v>
      </c>
      <c r="AJ260" s="354">
        <f>U260-O260</f>
        <v>0</v>
      </c>
      <c r="AK260" s="354">
        <f t="shared" si="52"/>
        <v>0</v>
      </c>
      <c r="AQ260" s="354"/>
    </row>
    <row r="261" spans="1:48" ht="12.95" hidden="1" customHeight="1" thickBot="1">
      <c r="A261" s="231"/>
      <c r="B261" s="231"/>
      <c r="C261" s="231"/>
      <c r="D261" s="232"/>
      <c r="E261" s="233"/>
      <c r="F261" s="234"/>
      <c r="G261" s="232"/>
      <c r="H261" s="232"/>
      <c r="I261" s="233"/>
      <c r="J261" s="234"/>
      <c r="K261" s="232"/>
      <c r="L261" s="232"/>
      <c r="M261" s="233"/>
      <c r="N261" s="234"/>
      <c r="O261" s="232"/>
      <c r="P261" s="232"/>
      <c r="Q261" s="233"/>
      <c r="R261" s="234"/>
      <c r="S261" s="232"/>
      <c r="T261" s="232"/>
      <c r="U261" s="233"/>
      <c r="V261" s="234"/>
      <c r="W261" s="232"/>
      <c r="X261" s="232"/>
      <c r="Y261" s="233"/>
      <c r="Z261" s="234"/>
      <c r="AA261" s="232"/>
      <c r="AB261" s="232"/>
      <c r="AC261" s="233"/>
      <c r="AD261" s="234"/>
      <c r="AE261" s="233"/>
      <c r="AL261" s="351"/>
      <c r="AM261" s="351"/>
    </row>
    <row r="262" spans="1:48" ht="12.95" hidden="1" customHeight="1" thickBot="1">
      <c r="A262" s="231"/>
      <c r="B262" s="231"/>
      <c r="C262" s="231"/>
      <c r="D262" s="232"/>
      <c r="E262" s="233"/>
      <c r="F262" s="234"/>
      <c r="G262" s="232"/>
      <c r="H262" s="232"/>
      <c r="I262" s="233"/>
      <c r="J262" s="234"/>
      <c r="K262" s="232"/>
      <c r="L262" s="232"/>
      <c r="M262" s="233"/>
      <c r="N262" s="234"/>
      <c r="O262" s="232"/>
      <c r="P262" s="232"/>
      <c r="Q262" s="233"/>
      <c r="R262" s="234"/>
      <c r="S262" s="232"/>
      <c r="T262" s="232"/>
      <c r="U262" s="233"/>
      <c r="V262" s="234"/>
      <c r="W262" s="232"/>
      <c r="X262" s="232"/>
      <c r="Y262" s="233"/>
      <c r="Z262" s="234"/>
      <c r="AA262" s="232"/>
      <c r="AB262" s="232"/>
      <c r="AC262" s="233"/>
      <c r="AD262" s="234"/>
      <c r="AE262" s="233"/>
      <c r="AL262" s="356">
        <f>SUM(AL249:AL256)/8</f>
        <v>2.875</v>
      </c>
      <c r="AM262" s="356"/>
    </row>
    <row r="263" spans="1:48" ht="12.95" hidden="1" customHeight="1" thickBot="1">
      <c r="A263" s="231"/>
      <c r="B263" s="231"/>
      <c r="C263" s="231"/>
      <c r="D263" s="232"/>
      <c r="E263" s="233"/>
      <c r="F263" s="234"/>
      <c r="G263" s="232"/>
      <c r="H263" s="232"/>
      <c r="I263" s="233"/>
      <c r="J263" s="234"/>
      <c r="K263" s="232"/>
      <c r="L263" s="232"/>
      <c r="M263" s="233"/>
      <c r="N263" s="234"/>
      <c r="O263" s="232"/>
      <c r="P263" s="232"/>
      <c r="Q263" s="233"/>
      <c r="R263" s="234"/>
      <c r="S263" s="232"/>
      <c r="T263" s="232"/>
      <c r="U263" s="233"/>
      <c r="V263" s="234"/>
      <c r="W263" s="232"/>
      <c r="X263" s="232"/>
      <c r="Y263" s="233"/>
      <c r="Z263" s="234"/>
      <c r="AA263" s="232"/>
      <c r="AB263" s="232"/>
      <c r="AC263" s="233"/>
      <c r="AD263" s="234"/>
      <c r="AE263" s="233"/>
      <c r="AL263" s="378">
        <f>SUM(AC239:AC246)/8</f>
        <v>240.95160319691234</v>
      </c>
      <c r="AM263" s="378"/>
    </row>
    <row r="264" spans="1:48" ht="12.95" hidden="1" customHeight="1" thickBot="1">
      <c r="A264" s="231"/>
      <c r="B264" s="231"/>
      <c r="C264" s="231"/>
      <c r="D264" s="232"/>
      <c r="E264" s="233"/>
      <c r="F264" s="234"/>
      <c r="G264" s="232"/>
      <c r="H264" s="232"/>
      <c r="I264" s="233"/>
      <c r="J264" s="234"/>
      <c r="K264" s="232"/>
      <c r="L264" s="232"/>
      <c r="M264" s="233"/>
      <c r="N264" s="234"/>
      <c r="O264" s="232"/>
      <c r="P264" s="232"/>
      <c r="Q264" s="233"/>
      <c r="R264" s="234"/>
      <c r="S264" s="232"/>
      <c r="T264" s="232"/>
      <c r="U264" s="233"/>
      <c r="V264" s="234"/>
      <c r="W264" s="232"/>
      <c r="X264" s="232"/>
      <c r="Y264" s="233"/>
      <c r="Z264" s="234"/>
      <c r="AA264" s="232"/>
      <c r="AB264" s="232"/>
      <c r="AC264" s="233"/>
      <c r="AD264" s="234"/>
      <c r="AE264" s="233"/>
    </row>
    <row r="265" spans="1:48">
      <c r="A265" s="5"/>
      <c r="B265" s="5"/>
      <c r="C265" s="6"/>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row>
    <row r="266" spans="1:48" ht="13.5" thickBot="1">
      <c r="A266" s="5"/>
      <c r="B266" s="5"/>
      <c r="C266" s="6"/>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M266" s="356"/>
    </row>
    <row r="267" spans="1:48" ht="12.95" customHeight="1" thickBot="1">
      <c r="A267" s="506" t="s">
        <v>15</v>
      </c>
      <c r="B267" s="514" t="s">
        <v>19</v>
      </c>
      <c r="C267" s="8"/>
      <c r="D267" s="1377">
        <v>2008</v>
      </c>
      <c r="E267" s="1378"/>
      <c r="F267" s="1372">
        <v>2009</v>
      </c>
      <c r="G267" s="1373"/>
      <c r="H267" s="1373"/>
      <c r="I267" s="1374"/>
      <c r="J267" s="1372">
        <v>2010</v>
      </c>
      <c r="K267" s="1373"/>
      <c r="L267" s="1373"/>
      <c r="M267" s="1374"/>
      <c r="N267" s="1372">
        <v>2011</v>
      </c>
      <c r="O267" s="1373"/>
      <c r="P267" s="1373"/>
      <c r="Q267" s="1374"/>
      <c r="R267" s="1372">
        <v>2012</v>
      </c>
      <c r="S267" s="1373"/>
      <c r="T267" s="1373"/>
      <c r="U267" s="1374"/>
      <c r="V267" s="1372">
        <v>2013</v>
      </c>
      <c r="W267" s="1373"/>
      <c r="X267" s="1373"/>
      <c r="Y267" s="1374"/>
      <c r="Z267" s="1372">
        <v>2014</v>
      </c>
      <c r="AA267" s="1373"/>
      <c r="AB267" s="1373"/>
      <c r="AC267" s="1374"/>
      <c r="AD267" s="1372">
        <v>2015</v>
      </c>
      <c r="AE267" s="1374"/>
      <c r="AG267" s="257" t="s">
        <v>663</v>
      </c>
      <c r="AM267" s="378"/>
      <c r="AS267" s="716" t="s">
        <v>1035</v>
      </c>
      <c r="AU267" s="716" t="s">
        <v>1058</v>
      </c>
    </row>
    <row r="268" spans="1:48" ht="12.95" customHeight="1" thickBot="1">
      <c r="A268" s="868" t="s">
        <v>61</v>
      </c>
      <c r="B268" s="868" t="s">
        <v>62</v>
      </c>
      <c r="C268" s="194" t="s">
        <v>610</v>
      </c>
      <c r="D268" s="206"/>
      <c r="E268" s="207"/>
      <c r="F268" s="209"/>
      <c r="G268" s="206"/>
      <c r="H268" s="206"/>
      <c r="I268" s="207"/>
      <c r="J268" s="209"/>
      <c r="K268" s="206"/>
      <c r="L268" s="206"/>
      <c r="M268" s="207"/>
      <c r="N268" s="277"/>
      <c r="O268" s="278">
        <f>(O278-J278)/5/$C$677/Spend!O268*'State Efficiency Ratios (2014)'!$C$655</f>
        <v>-66.256468701000685</v>
      </c>
      <c r="P268" s="278"/>
      <c r="Q268" s="279"/>
      <c r="R268" s="277"/>
      <c r="S268" s="278"/>
      <c r="T268" s="278"/>
      <c r="U268" s="278">
        <f>(U278-O278)/6/$C$677/Spend!U268*'State Efficiency Ratios (2014)'!$C$655</f>
        <v>153.95025440666052</v>
      </c>
      <c r="V268" s="277"/>
      <c r="W268" s="278"/>
      <c r="X268" s="278"/>
      <c r="Y268" s="278">
        <f>(Y278-U278)/4/$C$677/Spend!Y268*'State Efficiency Ratios (2014)'!$C$655</f>
        <v>412.11125614931694</v>
      </c>
      <c r="Z268" s="277"/>
      <c r="AA268" s="278"/>
      <c r="AB268" s="278"/>
      <c r="AC268" s="278">
        <f>(AC278-Y278)/4/$C$677/Spend!AC268*'State Efficiency Ratios (2014)'!$C$655</f>
        <v>89.887651966810068</v>
      </c>
      <c r="AD268" s="277"/>
      <c r="AE268" s="280"/>
      <c r="AG268" s="410"/>
      <c r="AL268" s="576"/>
      <c r="AM268" s="576"/>
      <c r="AS268" s="717">
        <f>(O278-J278)/7/$C$673/Spend!O268*'State Efficiency Ratios (2014)'!$C$655</f>
        <v>-47.326049072143341</v>
      </c>
      <c r="AU268" s="718">
        <f t="shared" ref="AU268:AU275" si="54">(AS268+AS291+AS314)/3</f>
        <v>-31.550699381428895</v>
      </c>
    </row>
    <row r="269" spans="1:48" ht="13.5" thickBot="1">
      <c r="A269" s="885"/>
      <c r="B269" s="885"/>
      <c r="C269" s="194" t="s">
        <v>611</v>
      </c>
      <c r="D269" s="206"/>
      <c r="E269" s="207"/>
      <c r="F269" s="209"/>
      <c r="G269" s="206"/>
      <c r="H269" s="206"/>
      <c r="I269" s="207"/>
      <c r="J269" s="209"/>
      <c r="K269" s="206"/>
      <c r="L269" s="206"/>
      <c r="M269" s="207"/>
      <c r="N269" s="277"/>
      <c r="O269" s="278">
        <f>(O279-J279)/5/$C$677/Spend!O269*'State Efficiency Ratios (2014)'!$C$655</f>
        <v>72.197785895434222</v>
      </c>
      <c r="P269" s="278"/>
      <c r="Q269" s="279"/>
      <c r="R269" s="277"/>
      <c r="S269" s="278"/>
      <c r="T269" s="278"/>
      <c r="U269" s="278">
        <f>(U279-O279)/6/$C$677/Spend!U269*'State Efficiency Ratios (2014)'!$C$655</f>
        <v>100.75037906269476</v>
      </c>
      <c r="V269" s="277"/>
      <c r="W269" s="278"/>
      <c r="X269" s="278"/>
      <c r="Y269" s="278">
        <f>(Y279-U279)/4/$C$677/Spend!Y269*'State Efficiency Ratios (2014)'!$C$655</f>
        <v>202.58153924681869</v>
      </c>
      <c r="Z269" s="277"/>
      <c r="AA269" s="278"/>
      <c r="AB269" s="278"/>
      <c r="AC269" s="278">
        <f>(AC279-Y279)/4/$C$677/Spend!AC269*'State Efficiency Ratios (2014)'!$C$655</f>
        <v>80.311334766000357</v>
      </c>
      <c r="AD269" s="277"/>
      <c r="AE269" s="280"/>
      <c r="AG269" s="410"/>
      <c r="AL269" s="576"/>
      <c r="AM269" s="576"/>
      <c r="AS269" s="719">
        <f>(O279-J279)/7/$C$673/Spend!O269*'State Efficiency Ratios (2014)'!$C$655</f>
        <v>51.569847068167299</v>
      </c>
      <c r="AU269" s="720">
        <f t="shared" si="54"/>
        <v>42.974872556806083</v>
      </c>
    </row>
    <row r="270" spans="1:48" ht="13.5" thickBot="1">
      <c r="A270" s="885"/>
      <c r="B270" s="885"/>
      <c r="C270" s="194" t="s">
        <v>612</v>
      </c>
      <c r="D270" s="206"/>
      <c r="E270" s="207"/>
      <c r="F270" s="209"/>
      <c r="G270" s="206"/>
      <c r="H270" s="206"/>
      <c r="I270" s="207"/>
      <c r="J270" s="209"/>
      <c r="K270" s="206"/>
      <c r="L270" s="206"/>
      <c r="M270" s="207"/>
      <c r="N270" s="277"/>
      <c r="O270" s="278">
        <f>(O280-J280)/5/$C$677/Spend!O270*'State Efficiency Ratios (2014)'!$C$655</f>
        <v>0</v>
      </c>
      <c r="P270" s="278"/>
      <c r="Q270" s="279"/>
      <c r="R270" s="277"/>
      <c r="S270" s="278"/>
      <c r="T270" s="278"/>
      <c r="U270" s="278">
        <f>(U280-O280)/6/$C$677/Spend!U270*'State Efficiency Ratios (2014)'!$C$655</f>
        <v>182.15187452631133</v>
      </c>
      <c r="V270" s="277"/>
      <c r="W270" s="278"/>
      <c r="X270" s="278"/>
      <c r="Y270" s="278">
        <f>(Y280-U280)/4/$C$677/Spend!Y270*'State Efficiency Ratios (2014)'!$C$655</f>
        <v>-42.286651653394181</v>
      </c>
      <c r="Z270" s="277"/>
      <c r="AA270" s="278"/>
      <c r="AB270" s="278"/>
      <c r="AC270" s="278">
        <f>(AC280-Y280)/4/$C$677/Spend!AC270*'State Efficiency Ratios (2014)'!$C$655</f>
        <v>141.48931605221304</v>
      </c>
      <c r="AD270" s="277"/>
      <c r="AE270" s="280"/>
      <c r="AG270" s="410" t="s">
        <v>1086</v>
      </c>
      <c r="AL270" s="576"/>
      <c r="AM270" s="576"/>
      <c r="AS270" s="719">
        <f>(O280-J280)/7/$C$673/Spend!O270*'State Efficiency Ratios (2014)'!$C$655</f>
        <v>0</v>
      </c>
      <c r="AU270" s="720">
        <f t="shared" si="54"/>
        <v>17.11544099253425</v>
      </c>
    </row>
    <row r="271" spans="1:48" ht="13.5" thickBot="1">
      <c r="A271" s="885"/>
      <c r="B271" s="885"/>
      <c r="C271" s="194" t="s">
        <v>613</v>
      </c>
      <c r="D271" s="206"/>
      <c r="E271" s="207"/>
      <c r="F271" s="209"/>
      <c r="G271" s="206"/>
      <c r="H271" s="206"/>
      <c r="I271" s="207"/>
      <c r="J271" s="209"/>
      <c r="K271" s="206"/>
      <c r="L271" s="206"/>
      <c r="M271" s="207"/>
      <c r="N271" s="277"/>
      <c r="O271" s="278">
        <f>(O281-J281)/5/$C$677/Spend!O271*'State Efficiency Ratios (2014)'!$C$655</f>
        <v>73.937168032500821</v>
      </c>
      <c r="P271" s="278"/>
      <c r="Q271" s="279"/>
      <c r="R271" s="277"/>
      <c r="S271" s="278"/>
      <c r="T271" s="278"/>
      <c r="U271" s="278">
        <f>(U281-O281)/6/$C$677/Spend!U271*'State Efficiency Ratios (2014)'!$C$655</f>
        <v>114.85065640495316</v>
      </c>
      <c r="V271" s="277"/>
      <c r="W271" s="278"/>
      <c r="X271" s="278"/>
      <c r="Y271" s="278">
        <f>(Y281-U281)/4/$C$677/Spend!Y271*'State Efficiency Ratios (2014)'!$C$655</f>
        <v>240.2567280488951</v>
      </c>
      <c r="Z271" s="277"/>
      <c r="AA271" s="278"/>
      <c r="AB271" s="278"/>
      <c r="AC271" s="278">
        <f>(AC281-Y281)/4/$C$677/Spend!AC271*'State Efficiency Ratios (2014)'!$C$655</f>
        <v>21.503885122668365</v>
      </c>
      <c r="AD271" s="277"/>
      <c r="AE271" s="280"/>
      <c r="AG271" s="410" t="s">
        <v>1087</v>
      </c>
      <c r="AL271" s="576"/>
      <c r="AM271" s="576"/>
      <c r="AS271" s="719">
        <f>(O281-J281)/7/$C$673/Spend!O271*'State Efficiency Ratios (2014)'!$C$655</f>
        <v>52.812262880357729</v>
      </c>
      <c r="AT271" s="714" t="s">
        <v>1070</v>
      </c>
      <c r="AU271" s="720">
        <f t="shared" si="54"/>
        <v>35.208175253571817</v>
      </c>
      <c r="AV271" s="714" t="s">
        <v>1070</v>
      </c>
    </row>
    <row r="272" spans="1:48" ht="13.5" thickBot="1">
      <c r="A272" s="885"/>
      <c r="B272" s="885"/>
      <c r="C272" s="194" t="s">
        <v>614</v>
      </c>
      <c r="D272" s="206"/>
      <c r="E272" s="207"/>
      <c r="F272" s="209"/>
      <c r="G272" s="206"/>
      <c r="H272" s="206"/>
      <c r="I272" s="207"/>
      <c r="J272" s="209"/>
      <c r="K272" s="206"/>
      <c r="L272" s="206"/>
      <c r="M272" s="207"/>
      <c r="N272" s="277"/>
      <c r="O272" s="278">
        <f>(O282-J282)/5/$C$677/Spend!O272*'State Efficiency Ratios (2014)'!$C$655</f>
        <v>0</v>
      </c>
      <c r="P272" s="278"/>
      <c r="Q272" s="279"/>
      <c r="R272" s="277"/>
      <c r="S272" s="278"/>
      <c r="T272" s="278"/>
      <c r="U272" s="278">
        <f>(U282-O282)/6/$C$677/Spend!U272*'State Efficiency Ratios (2014)'!$C$655</f>
        <v>148.63924251049474</v>
      </c>
      <c r="V272" s="277"/>
      <c r="W272" s="278"/>
      <c r="X272" s="278"/>
      <c r="Y272" s="278">
        <f>(Y282-U282)/4/$C$677/Spend!Y272*'State Efficiency Ratios (2014)'!$C$655</f>
        <v>48.614857190236613</v>
      </c>
      <c r="Z272" s="277"/>
      <c r="AA272" s="278"/>
      <c r="AB272" s="278"/>
      <c r="AC272" s="278">
        <f>(AC282-Y282)/4/$C$677/Spend!AC272*'State Efficiency Ratios (2014)'!$C$655</f>
        <v>99.738759134603853</v>
      </c>
      <c r="AD272" s="277"/>
      <c r="AE272" s="280"/>
      <c r="AG272" s="410" t="s">
        <v>1088</v>
      </c>
      <c r="AL272" s="576"/>
      <c r="AM272" s="576"/>
      <c r="AS272" s="719">
        <f>(O282-J282)/7/$C$673/Spend!O272*'State Efficiency Ratios (2014)'!$C$655</f>
        <v>0</v>
      </c>
      <c r="AT272" s="721">
        <f>SUM(AS268:AS272)/5</f>
        <v>11.411212175276336</v>
      </c>
      <c r="AU272" s="720">
        <f t="shared" si="54"/>
        <v>8.1146241008051394</v>
      </c>
      <c r="AV272" s="721">
        <f>SUM(AU268:AU272)/5</f>
        <v>14.372482704457678</v>
      </c>
    </row>
    <row r="273" spans="1:48" ht="12.95" customHeight="1" thickBot="1">
      <c r="A273" s="885"/>
      <c r="B273" s="885"/>
      <c r="C273" s="194" t="s">
        <v>615</v>
      </c>
      <c r="D273" s="210"/>
      <c r="E273" s="211"/>
      <c r="F273" s="209"/>
      <c r="G273" s="210"/>
      <c r="H273" s="210"/>
      <c r="I273" s="211"/>
      <c r="J273" s="209"/>
      <c r="K273" s="210"/>
      <c r="L273" s="210"/>
      <c r="M273" s="211"/>
      <c r="N273" s="281"/>
      <c r="O273" s="282"/>
      <c r="P273" s="282"/>
      <c r="Q273" s="282"/>
      <c r="R273" s="277"/>
      <c r="S273" s="278"/>
      <c r="T273" s="278"/>
      <c r="U273" s="278">
        <f>(U283-R283)/3/$C$677/Spend!U273*'State Efficiency Ratios (2014)'!$C$655</f>
        <v>0</v>
      </c>
      <c r="V273" s="277"/>
      <c r="W273" s="278"/>
      <c r="X273" s="278"/>
      <c r="Y273" s="278">
        <f>(Y283-U283)/4/$C$677/Spend!Y273*'State Efficiency Ratios (2014)'!$C$655</f>
        <v>126.43376979057045</v>
      </c>
      <c r="Z273" s="277"/>
      <c r="AA273" s="278"/>
      <c r="AB273" s="278"/>
      <c r="AC273" s="278">
        <f>(AC283-Y283)/4/$C$677/Spend!AC273*'State Efficiency Ratios (2014)'!$C$655</f>
        <v>211.9006053316769</v>
      </c>
      <c r="AD273" s="277"/>
      <c r="AE273" s="280"/>
      <c r="AG273" s="410"/>
      <c r="AI273" s="4" t="s">
        <v>1053</v>
      </c>
      <c r="AL273" s="576"/>
      <c r="AM273" s="576"/>
      <c r="AN273" s="4" t="s">
        <v>1056</v>
      </c>
      <c r="AR273" s="264" t="s">
        <v>1050</v>
      </c>
      <c r="AS273" s="719">
        <f>(Y283-R283)/7/$C$673/(Spend!U273+Spend!Y273)*'State Efficiency Ratios (2014)'!$C$655</f>
        <v>46.056601357472921</v>
      </c>
      <c r="AU273" s="720">
        <f t="shared" si="54"/>
        <v>77.063268585784797</v>
      </c>
    </row>
    <row r="274" spans="1:48" ht="12.95" customHeight="1" thickBot="1">
      <c r="A274" s="885"/>
      <c r="B274" s="885"/>
      <c r="C274" s="194" t="s">
        <v>616</v>
      </c>
      <c r="D274" s="210"/>
      <c r="E274" s="211"/>
      <c r="F274" s="209"/>
      <c r="G274" s="210"/>
      <c r="H274" s="210"/>
      <c r="I274" s="211"/>
      <c r="J274" s="209"/>
      <c r="K274" s="210"/>
      <c r="L274" s="210"/>
      <c r="M274" s="211"/>
      <c r="N274" s="281"/>
      <c r="O274" s="282"/>
      <c r="P274" s="282"/>
      <c r="Q274" s="282"/>
      <c r="R274" s="277"/>
      <c r="S274" s="278"/>
      <c r="T274" s="278"/>
      <c r="U274" s="278">
        <f>(U284-R284)/3/$C$677/Spend!U274*'State Efficiency Ratios (2014)'!$C$655</f>
        <v>0</v>
      </c>
      <c r="V274" s="277"/>
      <c r="W274" s="278"/>
      <c r="X274" s="278"/>
      <c r="Y274" s="278">
        <f>(Y284-U284)/4/$C$677/Spend!Y274*'State Efficiency Ratios (2014)'!$C$655</f>
        <v>28.139945953522371</v>
      </c>
      <c r="Z274" s="277"/>
      <c r="AA274" s="278"/>
      <c r="AB274" s="278"/>
      <c r="AC274" s="278">
        <f>(AC284-Y284)/4/$C$677/Spend!AC274*'State Efficiency Ratios (2014)'!$C$655</f>
        <v>592.26494568620672</v>
      </c>
      <c r="AD274" s="277"/>
      <c r="AE274" s="280"/>
      <c r="AG274" s="410" t="s">
        <v>1084</v>
      </c>
      <c r="AH274" s="355" t="s">
        <v>1052</v>
      </c>
      <c r="AI274" s="599">
        <f>4/5*SUM(AI278:AI282)/5</f>
        <v>0.16</v>
      </c>
      <c r="AJ274" s="592">
        <f>4/6*SUM(AJ278:AJ282)/5</f>
        <v>0.86666666666666659</v>
      </c>
      <c r="AK274" s="592">
        <f>SUM(AK278:AK285)/8</f>
        <v>0.71249999999999991</v>
      </c>
      <c r="AL274" s="594">
        <f>SUM(AL278:AL285)/8</f>
        <v>1.0062500000000001</v>
      </c>
      <c r="AM274" s="355" t="s">
        <v>1052</v>
      </c>
      <c r="AN274" s="599">
        <f>4/5*SUM(AN278:AN282)/5</f>
        <v>0.15111111111111114</v>
      </c>
      <c r="AO274" s="592">
        <f>4/6*SUM(AO278:AO282)/5</f>
        <v>0.86666666666666659</v>
      </c>
      <c r="AP274" s="592">
        <f>SUM(AP278:AP285)/8</f>
        <v>0.86111111111111116</v>
      </c>
      <c r="AQ274" s="594">
        <f>SUM(AQ278:AQ285)/8</f>
        <v>0.7465277777777779</v>
      </c>
      <c r="AR274" s="695">
        <f>AVERAGE(AN274:AQ274)</f>
        <v>0.65635416666666668</v>
      </c>
      <c r="AS274" s="719">
        <f>(Y284-R284)/7/$C$673/(Spend!U274+Spend!Y274)*'State Efficiency Ratios (2014)'!$C$655</f>
        <v>8.0006142736730901</v>
      </c>
      <c r="AT274" s="714" t="s">
        <v>1071</v>
      </c>
      <c r="AU274" s="720">
        <f t="shared" si="54"/>
        <v>2.6668714245576965</v>
      </c>
      <c r="AV274" s="714" t="s">
        <v>1071</v>
      </c>
    </row>
    <row r="275" spans="1:48" ht="12.95" customHeight="1" thickBot="1">
      <c r="A275" s="885"/>
      <c r="B275" s="885"/>
      <c r="C275" s="194" t="s">
        <v>617</v>
      </c>
      <c r="D275" s="210"/>
      <c r="E275" s="211"/>
      <c r="F275" s="209"/>
      <c r="G275" s="210"/>
      <c r="H275" s="210"/>
      <c r="I275" s="211"/>
      <c r="J275" s="209"/>
      <c r="K275" s="210"/>
      <c r="L275" s="210"/>
      <c r="M275" s="211"/>
      <c r="N275" s="281"/>
      <c r="O275" s="282"/>
      <c r="P275" s="282"/>
      <c r="Q275" s="282"/>
      <c r="R275" s="277"/>
      <c r="S275" s="278"/>
      <c r="T275" s="278"/>
      <c r="U275" s="278">
        <f>(U285-R285)/3/$C$677/Spend!U275*'State Efficiency Ratios (2014)'!$C$655</f>
        <v>0</v>
      </c>
      <c r="V275" s="277"/>
      <c r="W275" s="278"/>
      <c r="X275" s="278"/>
      <c r="Y275" s="278">
        <f>(Y285-U285)/4/$C$677/Spend!Y275*'State Efficiency Ratios (2014)'!$C$655</f>
        <v>461.36387180972395</v>
      </c>
      <c r="Z275" s="277"/>
      <c r="AA275" s="278"/>
      <c r="AB275" s="278"/>
      <c r="AC275" s="278">
        <f>(AC285-Y285)/4/$C$677/Spend!AC275*'State Efficiency Ratios (2014)'!$C$655</f>
        <v>173.65828739499858</v>
      </c>
      <c r="AD275" s="277"/>
      <c r="AE275" s="280"/>
      <c r="AG275" s="410" t="s">
        <v>1089</v>
      </c>
      <c r="AH275" s="355" t="s">
        <v>1051</v>
      </c>
      <c r="AI275" s="606">
        <f>SUM(O268:O272)/5</f>
        <v>15.975697045386871</v>
      </c>
      <c r="AJ275" s="607">
        <f>SUM(U268:U272)/5</f>
        <v>140.0684813822229</v>
      </c>
      <c r="AK275" s="607">
        <f>SUM(Y268:Y275)/8</f>
        <v>184.65191456696124</v>
      </c>
      <c r="AL275" s="608">
        <f>SUM(AC268:AC275)/8</f>
        <v>176.34434818189723</v>
      </c>
      <c r="AM275" s="355" t="s">
        <v>1051</v>
      </c>
      <c r="AN275" s="606">
        <f>'Composites (2014)'!AI40</f>
        <v>8.9169767942425082</v>
      </c>
      <c r="AO275" s="607">
        <f>'Composites (2014)'!AJ40</f>
        <v>132.39724452909778</v>
      </c>
      <c r="AP275" s="607">
        <f>'Composites (2014)'!AK40</f>
        <v>209.09322334633293</v>
      </c>
      <c r="AQ275" s="608">
        <f>'Composites (2014)'!AL40</f>
        <v>145.56634096206267</v>
      </c>
      <c r="AR275" s="696">
        <f>AVERAGE(AN275:AQ275)</f>
        <v>123.99344640793397</v>
      </c>
      <c r="AS275" s="722">
        <f>(Y285-R285)/7/$C$673/(Spend!U275+Spend!Y275)*'State Efficiency Ratios (2014)'!$C$655</f>
        <v>102.73901995479635</v>
      </c>
      <c r="AT275" s="721">
        <f>SUM(AS273:AS275)/3</f>
        <v>52.265411861980787</v>
      </c>
      <c r="AU275" s="723">
        <f t="shared" si="54"/>
        <v>160.23947587757834</v>
      </c>
      <c r="AV275" s="721">
        <f>SUM(AU273:AU275)/3</f>
        <v>79.989871962640279</v>
      </c>
    </row>
    <row r="276" spans="1:48" ht="12.95" customHeight="1" thickBot="1">
      <c r="A276" s="885"/>
      <c r="B276" s="885"/>
      <c r="C276" s="194" t="s">
        <v>618</v>
      </c>
      <c r="D276" s="210"/>
      <c r="E276" s="211"/>
      <c r="F276" s="209"/>
      <c r="G276" s="210"/>
      <c r="H276" s="210"/>
      <c r="I276" s="211"/>
      <c r="J276" s="209"/>
      <c r="K276" s="210"/>
      <c r="L276" s="210"/>
      <c r="M276" s="211"/>
      <c r="N276" s="281"/>
      <c r="O276" s="282"/>
      <c r="P276" s="282"/>
      <c r="Q276" s="283"/>
      <c r="R276" s="281"/>
      <c r="S276" s="282"/>
      <c r="T276" s="282"/>
      <c r="U276" s="283"/>
      <c r="V276" s="281"/>
      <c r="W276" s="282"/>
      <c r="X276" s="282"/>
      <c r="Y276" s="283"/>
      <c r="Z276" s="277"/>
      <c r="AA276" s="278"/>
      <c r="AB276" s="278"/>
      <c r="AC276" s="278">
        <f>(AC286-Y286)/4/$C$677/Spend!AC276*'State Efficiency Ratios (2014)'!$C$655</f>
        <v>0</v>
      </c>
      <c r="AD276" s="277"/>
      <c r="AE276" s="280"/>
      <c r="AG276" s="410"/>
      <c r="AL276" s="575"/>
      <c r="AM276" s="576"/>
    </row>
    <row r="277" spans="1:48" ht="12.95" customHeight="1" thickBot="1">
      <c r="A277" s="885"/>
      <c r="B277" s="885"/>
      <c r="C277" s="194" t="s">
        <v>619</v>
      </c>
      <c r="D277" s="210"/>
      <c r="E277" s="211"/>
      <c r="F277" s="209"/>
      <c r="G277" s="210"/>
      <c r="H277" s="210"/>
      <c r="I277" s="211"/>
      <c r="J277" s="209"/>
      <c r="K277" s="210"/>
      <c r="L277" s="210"/>
      <c r="M277" s="211"/>
      <c r="N277" s="281"/>
      <c r="O277" s="282"/>
      <c r="P277" s="282"/>
      <c r="Q277" s="283"/>
      <c r="R277" s="281"/>
      <c r="S277" s="282"/>
      <c r="T277" s="282"/>
      <c r="U277" s="283"/>
      <c r="V277" s="281"/>
      <c r="W277" s="282"/>
      <c r="X277" s="282"/>
      <c r="Y277" s="283"/>
      <c r="Z277" s="277"/>
      <c r="AA277" s="278"/>
      <c r="AB277" s="278"/>
      <c r="AC277" s="278">
        <f>(AC287-Y287)/4/$C$677/Spend!AC277*'State Efficiency Ratios (2014)'!$C$655</f>
        <v>0</v>
      </c>
      <c r="AD277" s="277"/>
      <c r="AE277" s="280"/>
      <c r="AG277" s="410"/>
      <c r="AI277" s="416" t="s">
        <v>1035</v>
      </c>
      <c r="AL277" s="575"/>
      <c r="AM277" s="576"/>
      <c r="AN277" s="416" t="s">
        <v>1058</v>
      </c>
      <c r="AS277" s="716" t="s">
        <v>1035</v>
      </c>
      <c r="AU277" s="716" t="s">
        <v>1058</v>
      </c>
    </row>
    <row r="278" spans="1:48" ht="13.5" thickBot="1">
      <c r="A278" s="885"/>
      <c r="B278" s="885"/>
      <c r="C278" s="9" t="s">
        <v>295</v>
      </c>
      <c r="D278" s="241" t="s">
        <v>632</v>
      </c>
      <c r="E278" s="241" t="s">
        <v>632</v>
      </c>
      <c r="F278" s="243" t="s">
        <v>646</v>
      </c>
      <c r="G278" s="241" t="s">
        <v>646</v>
      </c>
      <c r="H278" s="241" t="s">
        <v>646</v>
      </c>
      <c r="I278" s="244" t="s">
        <v>646</v>
      </c>
      <c r="J278" s="195">
        <f>'State DisAgg LFx10 (2014)'!D268</f>
        <v>1</v>
      </c>
      <c r="K278" s="196"/>
      <c r="L278" s="196"/>
      <c r="M278" s="197"/>
      <c r="N278" s="195"/>
      <c r="O278" s="196">
        <f>'State DisAgg LFx10 (2014)'!H278</f>
        <v>0</v>
      </c>
      <c r="P278" s="196"/>
      <c r="Q278" s="197"/>
      <c r="R278" s="195"/>
      <c r="S278" s="196"/>
      <c r="T278" s="196"/>
      <c r="U278" s="197">
        <f>'State DisAgg LFx10 (2014)'!L278</f>
        <v>1.3</v>
      </c>
      <c r="V278" s="195"/>
      <c r="W278" s="196"/>
      <c r="X278" s="196"/>
      <c r="Y278" s="197">
        <f>'State DisAgg LFx10 (2014)'!P278</f>
        <v>3.2</v>
      </c>
      <c r="Z278" s="195"/>
      <c r="AA278" s="196"/>
      <c r="AB278" s="196"/>
      <c r="AC278" s="197">
        <f>'State DisAgg LFx10 (2014)'!T278</f>
        <v>3.95</v>
      </c>
      <c r="AD278" s="195"/>
      <c r="AE278" s="197"/>
      <c r="AI278" s="361">
        <f>O278-J278</f>
        <v>-1</v>
      </c>
      <c r="AJ278" s="362">
        <f>U278-O278</f>
        <v>1.3</v>
      </c>
      <c r="AK278" s="362">
        <f t="shared" ref="AK278:AK289" si="55">Y278-U278</f>
        <v>1.9000000000000001</v>
      </c>
      <c r="AL278" s="363">
        <f t="shared" ref="AL278:AL287" si="56">AC278-Y278</f>
        <v>0.75</v>
      </c>
      <c r="AM278" s="351" t="s">
        <v>756</v>
      </c>
      <c r="AN278" s="361">
        <f>((AI278/$C$677)+(AI301/$C$678)+(AI324/$C$679))*5/3</f>
        <v>-0.66666666666666663</v>
      </c>
      <c r="AO278" s="362">
        <f t="shared" ref="AO278:AQ278" si="57">((AJ278/$C$677)+(AJ301/$C$678)+(AJ324/$C$679))*5/3</f>
        <v>1.7</v>
      </c>
      <c r="AP278" s="362">
        <f t="shared" si="57"/>
        <v>1.0000000000000002</v>
      </c>
      <c r="AQ278" s="363">
        <f t="shared" si="57"/>
        <v>0.99444444444444446</v>
      </c>
      <c r="AS278" s="724">
        <f>(O278-J278)</f>
        <v>-1</v>
      </c>
      <c r="AU278" s="725">
        <f t="shared" ref="AU278:AU285" si="58">(AS278/$C$677)+(AS301/$C$678)+(AS324/$C$679)</f>
        <v>-0.4</v>
      </c>
    </row>
    <row r="279" spans="1:48" ht="13.5" thickBot="1">
      <c r="A279" s="885"/>
      <c r="B279" s="885"/>
      <c r="C279" s="9" t="s">
        <v>296</v>
      </c>
      <c r="D279" s="241" t="s">
        <v>632</v>
      </c>
      <c r="E279" s="241" t="s">
        <v>632</v>
      </c>
      <c r="F279" s="243" t="s">
        <v>646</v>
      </c>
      <c r="G279" s="241" t="s">
        <v>646</v>
      </c>
      <c r="H279" s="241" t="s">
        <v>646</v>
      </c>
      <c r="I279" s="244" t="s">
        <v>646</v>
      </c>
      <c r="J279" s="195">
        <f>'State DisAgg LFx10 (2014)'!D269</f>
        <v>1</v>
      </c>
      <c r="K279" s="196"/>
      <c r="L279" s="196"/>
      <c r="M279" s="197"/>
      <c r="N279" s="195"/>
      <c r="O279" s="196">
        <f>'State DisAgg LFx10 (2014)'!H279</f>
        <v>2</v>
      </c>
      <c r="P279" s="196"/>
      <c r="Q279" s="197"/>
      <c r="R279" s="195"/>
      <c r="S279" s="196"/>
      <c r="T279" s="196"/>
      <c r="U279" s="197">
        <f>'State DisAgg LFx10 (2014)'!L279</f>
        <v>2.8</v>
      </c>
      <c r="V279" s="195"/>
      <c r="W279" s="196"/>
      <c r="X279" s="196"/>
      <c r="Y279" s="197">
        <f>'State DisAgg LFx10 (2014)'!P279</f>
        <v>4.0999999999999996</v>
      </c>
      <c r="Z279" s="195"/>
      <c r="AA279" s="196"/>
      <c r="AB279" s="196"/>
      <c r="AC279" s="197">
        <f>'State DisAgg LFx10 (2014)'!T279</f>
        <v>4.5999999999999996</v>
      </c>
      <c r="AD279" s="195"/>
      <c r="AE279" s="197"/>
      <c r="AI279" s="364">
        <f>O279-J279</f>
        <v>1</v>
      </c>
      <c r="AJ279" s="360">
        <f>U279-O279</f>
        <v>0.79999999999999982</v>
      </c>
      <c r="AK279" s="360">
        <f t="shared" si="55"/>
        <v>1.2999999999999998</v>
      </c>
      <c r="AL279" s="365">
        <f t="shared" si="56"/>
        <v>0.5</v>
      </c>
      <c r="AM279" s="351" t="s">
        <v>757</v>
      </c>
      <c r="AN279" s="364">
        <f t="shared" ref="AN279:AN287" si="59">((AI279/$C$677)+(AI302/$C$678)+(AI325/$C$679))*5/3</f>
        <v>0.72222222222222232</v>
      </c>
      <c r="AO279" s="360">
        <f t="shared" ref="AO279:AO287" si="60">((AJ279/$C$677)+(AJ302/$C$678)+(AJ325/$C$679))*5/3</f>
        <v>0.83333333333333337</v>
      </c>
      <c r="AP279" s="360">
        <f t="shared" ref="AP279:AP287" si="61">((AK279/$C$677)+(AK302/$C$678)+(AK325/$C$679))*5/3</f>
        <v>1.0777777777777775</v>
      </c>
      <c r="AQ279" s="365">
        <f t="shared" ref="AQ279:AQ287" si="62">((AL279/$C$677)+(AL302/$C$678)+(AL325/$C$679))*5/3</f>
        <v>0.63333333333333353</v>
      </c>
      <c r="AS279" s="726">
        <f>(O279-J279)</f>
        <v>1</v>
      </c>
      <c r="AU279" s="727">
        <f t="shared" si="58"/>
        <v>0.43333333333333335</v>
      </c>
    </row>
    <row r="280" spans="1:48" ht="13.5" thickBot="1">
      <c r="A280" s="885"/>
      <c r="B280" s="885"/>
      <c r="C280" s="9" t="s">
        <v>297</v>
      </c>
      <c r="D280" s="241" t="s">
        <v>632</v>
      </c>
      <c r="E280" s="241" t="s">
        <v>632</v>
      </c>
      <c r="F280" s="243" t="s">
        <v>646</v>
      </c>
      <c r="G280" s="241" t="s">
        <v>646</v>
      </c>
      <c r="H280" s="241" t="s">
        <v>646</v>
      </c>
      <c r="I280" s="244" t="s">
        <v>646</v>
      </c>
      <c r="J280" s="195">
        <f>'State DisAgg LFx10 (2014)'!D270</f>
        <v>1</v>
      </c>
      <c r="K280" s="196"/>
      <c r="L280" s="196"/>
      <c r="M280" s="197"/>
      <c r="N280" s="195"/>
      <c r="O280" s="196">
        <f>'State DisAgg LFx10 (2014)'!H280</f>
        <v>1</v>
      </c>
      <c r="P280" s="196"/>
      <c r="Q280" s="197"/>
      <c r="R280" s="195"/>
      <c r="S280" s="196"/>
      <c r="T280" s="196"/>
      <c r="U280" s="197">
        <f>'State DisAgg LFx10 (2014)'!L280</f>
        <v>2.5</v>
      </c>
      <c r="V280" s="195"/>
      <c r="W280" s="196"/>
      <c r="X280" s="196"/>
      <c r="Y280" s="197">
        <f>'State DisAgg LFx10 (2014)'!P280</f>
        <v>2</v>
      </c>
      <c r="Z280" s="195"/>
      <c r="AA280" s="196"/>
      <c r="AB280" s="196"/>
      <c r="AC280" s="197">
        <f>'State DisAgg LFx10 (2014)'!T280</f>
        <v>2.7</v>
      </c>
      <c r="AD280" s="195"/>
      <c r="AE280" s="197"/>
      <c r="AI280" s="364">
        <f>O280-J280</f>
        <v>0</v>
      </c>
      <c r="AJ280" s="360">
        <f>U280-O280</f>
        <v>1.5</v>
      </c>
      <c r="AK280" s="360">
        <f t="shared" si="55"/>
        <v>-0.5</v>
      </c>
      <c r="AL280" s="365">
        <f t="shared" si="56"/>
        <v>0.70000000000000018</v>
      </c>
      <c r="AM280" s="351" t="s">
        <v>758</v>
      </c>
      <c r="AN280" s="364">
        <f t="shared" si="59"/>
        <v>0.22222222222222221</v>
      </c>
      <c r="AO280" s="360">
        <f t="shared" si="60"/>
        <v>1.1666666666666667</v>
      </c>
      <c r="AP280" s="360">
        <f t="shared" si="61"/>
        <v>0.4777777777777778</v>
      </c>
      <c r="AQ280" s="365">
        <f t="shared" si="62"/>
        <v>0.65555555555555578</v>
      </c>
      <c r="AS280" s="726">
        <f>(O280-J280)</f>
        <v>0</v>
      </c>
      <c r="AU280" s="727">
        <f t="shared" si="58"/>
        <v>0.13333333333333333</v>
      </c>
    </row>
    <row r="281" spans="1:48" ht="13.5" thickBot="1">
      <c r="A281" s="885"/>
      <c r="B281" s="885"/>
      <c r="C281" s="9" t="s">
        <v>298</v>
      </c>
      <c r="D281" s="241" t="s">
        <v>632</v>
      </c>
      <c r="E281" s="241" t="s">
        <v>632</v>
      </c>
      <c r="F281" s="243" t="s">
        <v>646</v>
      </c>
      <c r="G281" s="241" t="s">
        <v>646</v>
      </c>
      <c r="H281" s="241" t="s">
        <v>646</v>
      </c>
      <c r="I281" s="244" t="s">
        <v>646</v>
      </c>
      <c r="J281" s="195">
        <f>'State DisAgg LFx10 (2014)'!D271</f>
        <v>1</v>
      </c>
      <c r="K281" s="196"/>
      <c r="L281" s="196"/>
      <c r="M281" s="197"/>
      <c r="N281" s="195"/>
      <c r="O281" s="196">
        <f>'State DisAgg LFx10 (2014)'!H281</f>
        <v>2</v>
      </c>
      <c r="P281" s="196"/>
      <c r="Q281" s="197"/>
      <c r="R281" s="195"/>
      <c r="S281" s="196"/>
      <c r="T281" s="196"/>
      <c r="U281" s="197">
        <f>'State DisAgg LFx10 (2014)'!L281</f>
        <v>3</v>
      </c>
      <c r="V281" s="195"/>
      <c r="W281" s="196"/>
      <c r="X281" s="196"/>
      <c r="Y281" s="197">
        <f>'State DisAgg LFx10 (2014)'!P281</f>
        <v>3.8</v>
      </c>
      <c r="Z281" s="195"/>
      <c r="AA281" s="196"/>
      <c r="AB281" s="196"/>
      <c r="AC281" s="197">
        <f>'State DisAgg LFx10 (2014)'!T281</f>
        <v>3.9</v>
      </c>
      <c r="AD281" s="195"/>
      <c r="AE281" s="197"/>
      <c r="AI281" s="364">
        <f>O281-J281</f>
        <v>1</v>
      </c>
      <c r="AJ281" s="360">
        <f>U281-O281</f>
        <v>1</v>
      </c>
      <c r="AK281" s="360">
        <f t="shared" si="55"/>
        <v>0.79999999999999982</v>
      </c>
      <c r="AL281" s="365">
        <f t="shared" si="56"/>
        <v>0.10000000000000009</v>
      </c>
      <c r="AM281" s="351" t="s">
        <v>759</v>
      </c>
      <c r="AN281" s="364">
        <f t="shared" si="59"/>
        <v>0.55555555555555569</v>
      </c>
      <c r="AO281" s="360">
        <f t="shared" si="60"/>
        <v>1.4222222222222223</v>
      </c>
      <c r="AP281" s="360">
        <f t="shared" si="61"/>
        <v>0.84444444444444444</v>
      </c>
      <c r="AQ281" s="365">
        <f t="shared" si="62"/>
        <v>1.111111111111116E-2</v>
      </c>
      <c r="AS281" s="726">
        <f>(O281-J281)</f>
        <v>1</v>
      </c>
      <c r="AT281" s="714" t="s">
        <v>1070</v>
      </c>
      <c r="AU281" s="727">
        <f t="shared" si="58"/>
        <v>0.33333333333333337</v>
      </c>
      <c r="AV281" s="714" t="s">
        <v>1070</v>
      </c>
    </row>
    <row r="282" spans="1:48" ht="13.5" thickBot="1">
      <c r="A282" s="885"/>
      <c r="B282" s="885"/>
      <c r="C282" s="9" t="s">
        <v>299</v>
      </c>
      <c r="D282" s="241" t="s">
        <v>632</v>
      </c>
      <c r="E282" s="241" t="s">
        <v>632</v>
      </c>
      <c r="F282" s="243" t="s">
        <v>646</v>
      </c>
      <c r="G282" s="241" t="s">
        <v>646</v>
      </c>
      <c r="H282" s="241" t="s">
        <v>646</v>
      </c>
      <c r="I282" s="244" t="s">
        <v>646</v>
      </c>
      <c r="J282" s="195">
        <f>'State DisAgg LFx10 (2014)'!D272</f>
        <v>1</v>
      </c>
      <c r="K282" s="196"/>
      <c r="L282" s="196"/>
      <c r="M282" s="197"/>
      <c r="N282" s="195"/>
      <c r="O282" s="196">
        <f>'State DisAgg LFx10 (2014)'!H282</f>
        <v>1</v>
      </c>
      <c r="P282" s="196"/>
      <c r="Q282" s="197"/>
      <c r="R282" s="195"/>
      <c r="S282" s="196"/>
      <c r="T282" s="196"/>
      <c r="U282" s="197">
        <f>'State DisAgg LFx10 (2014)'!L282</f>
        <v>2.9</v>
      </c>
      <c r="V282" s="195"/>
      <c r="W282" s="196"/>
      <c r="X282" s="196"/>
      <c r="Y282" s="197">
        <f>'State DisAgg LFx10 (2014)'!P282</f>
        <v>3.1</v>
      </c>
      <c r="Z282" s="195"/>
      <c r="AA282" s="196"/>
      <c r="AB282" s="196"/>
      <c r="AC282" s="197">
        <f>'State DisAgg LFx10 (2014)'!T282</f>
        <v>4.0999999999999996</v>
      </c>
      <c r="AD282" s="195"/>
      <c r="AE282" s="197"/>
      <c r="AI282" s="364">
        <f>O282-J282</f>
        <v>0</v>
      </c>
      <c r="AJ282" s="360">
        <f>U282-O282</f>
        <v>1.9</v>
      </c>
      <c r="AK282" s="360">
        <f t="shared" si="55"/>
        <v>0.20000000000000018</v>
      </c>
      <c r="AL282" s="365">
        <f t="shared" si="56"/>
        <v>0.99999999999999956</v>
      </c>
      <c r="AM282" s="351" t="s">
        <v>760</v>
      </c>
      <c r="AN282" s="364">
        <f t="shared" si="59"/>
        <v>0.1111111111111111</v>
      </c>
      <c r="AO282" s="360">
        <f t="shared" si="60"/>
        <v>1.3777777777777775</v>
      </c>
      <c r="AP282" s="360">
        <f t="shared" si="61"/>
        <v>0.8222222222222223</v>
      </c>
      <c r="AQ282" s="365">
        <f t="shared" si="62"/>
        <v>1.1222222222222222</v>
      </c>
      <c r="AS282" s="726">
        <f>(O282-J282)</f>
        <v>0</v>
      </c>
      <c r="AT282" s="728">
        <f>SUM(AS278:AS282)/5</f>
        <v>0.2</v>
      </c>
      <c r="AU282" s="727">
        <f t="shared" si="58"/>
        <v>6.6666666666666666E-2</v>
      </c>
      <c r="AV282" s="728">
        <f>SUM(AU278:AU282)/5</f>
        <v>0.11333333333333333</v>
      </c>
    </row>
    <row r="283" spans="1:48" ht="13.5" thickBot="1">
      <c r="A283" s="885"/>
      <c r="B283" s="885"/>
      <c r="C283" s="9" t="s">
        <v>300</v>
      </c>
      <c r="D283" s="199"/>
      <c r="E283" s="200"/>
      <c r="F283" s="201"/>
      <c r="G283" s="199"/>
      <c r="H283" s="199"/>
      <c r="I283" s="200"/>
      <c r="J283" s="201"/>
      <c r="K283" s="199"/>
      <c r="L283" s="199"/>
      <c r="M283" s="200"/>
      <c r="N283" s="198"/>
      <c r="O283" s="217" t="s">
        <v>634</v>
      </c>
      <c r="P283" s="241" t="s">
        <v>632</v>
      </c>
      <c r="Q283" s="244" t="s">
        <v>646</v>
      </c>
      <c r="R283" s="195">
        <f>'State DisAgg LFx10 (2014)'!H273</f>
        <v>1</v>
      </c>
      <c r="S283" s="196"/>
      <c r="T283" s="196"/>
      <c r="U283" s="197">
        <f>'State DisAgg LFx10 (2014)'!L283</f>
        <v>1</v>
      </c>
      <c r="V283" s="195"/>
      <c r="W283" s="196"/>
      <c r="X283" s="196"/>
      <c r="Y283" s="197">
        <f>'State DisAgg LFx10 (2014)'!P283</f>
        <v>1.8</v>
      </c>
      <c r="Z283" s="195"/>
      <c r="AA283" s="196"/>
      <c r="AB283" s="196"/>
      <c r="AC283" s="197">
        <f>'State DisAgg LFx10 (2014)'!T283</f>
        <v>3.2</v>
      </c>
      <c r="AD283" s="195"/>
      <c r="AE283" s="197"/>
      <c r="AI283" s="364">
        <v>0</v>
      </c>
      <c r="AJ283" s="360">
        <f>U283-R283</f>
        <v>0</v>
      </c>
      <c r="AK283" s="360">
        <f t="shared" si="55"/>
        <v>0.8</v>
      </c>
      <c r="AL283" s="365">
        <f t="shared" si="56"/>
        <v>1.4000000000000001</v>
      </c>
      <c r="AM283" s="351" t="s">
        <v>761</v>
      </c>
      <c r="AN283" s="364">
        <f t="shared" si="59"/>
        <v>0</v>
      </c>
      <c r="AO283" s="360">
        <f t="shared" si="60"/>
        <v>0</v>
      </c>
      <c r="AP283" s="360">
        <f t="shared" si="61"/>
        <v>1.0000000000000002</v>
      </c>
      <c r="AQ283" s="365">
        <f t="shared" si="62"/>
        <v>0.1111111111111111</v>
      </c>
      <c r="AS283" s="726">
        <f>(Y283-R283)</f>
        <v>0.8</v>
      </c>
      <c r="AU283" s="727">
        <f t="shared" si="58"/>
        <v>0.60000000000000009</v>
      </c>
    </row>
    <row r="284" spans="1:48" ht="13.5" thickBot="1">
      <c r="A284" s="885"/>
      <c r="B284" s="885"/>
      <c r="C284" s="9" t="s">
        <v>301</v>
      </c>
      <c r="D284" s="199"/>
      <c r="E284" s="200"/>
      <c r="F284" s="201"/>
      <c r="G284" s="199"/>
      <c r="H284" s="199"/>
      <c r="I284" s="200"/>
      <c r="J284" s="201"/>
      <c r="K284" s="199"/>
      <c r="L284" s="199"/>
      <c r="M284" s="200"/>
      <c r="N284" s="198"/>
      <c r="O284" s="217" t="s">
        <v>634</v>
      </c>
      <c r="P284" s="241" t="s">
        <v>632</v>
      </c>
      <c r="Q284" s="244" t="s">
        <v>646</v>
      </c>
      <c r="R284" s="195">
        <f>'State DisAgg LFx10 (2014)'!H274</f>
        <v>1</v>
      </c>
      <c r="S284" s="196"/>
      <c r="T284" s="196"/>
      <c r="U284" s="197">
        <f>'State DisAgg LFx10 (2014)'!L284</f>
        <v>1</v>
      </c>
      <c r="V284" s="195"/>
      <c r="W284" s="196"/>
      <c r="X284" s="196"/>
      <c r="Y284" s="197">
        <f>'State DisAgg LFx10 (2014)'!P284</f>
        <v>1.1000000000000001</v>
      </c>
      <c r="Z284" s="195"/>
      <c r="AA284" s="196"/>
      <c r="AB284" s="196"/>
      <c r="AC284" s="197">
        <f>'State DisAgg LFx10 (2014)'!T284</f>
        <v>3.7</v>
      </c>
      <c r="AD284" s="195"/>
      <c r="AE284" s="197"/>
      <c r="AI284" s="364">
        <v>0</v>
      </c>
      <c r="AJ284" s="360">
        <f>U284-R284</f>
        <v>0</v>
      </c>
      <c r="AK284" s="360">
        <f t="shared" si="55"/>
        <v>0.10000000000000009</v>
      </c>
      <c r="AL284" s="365">
        <f t="shared" si="56"/>
        <v>2.6</v>
      </c>
      <c r="AM284" s="351" t="s">
        <v>762</v>
      </c>
      <c r="AN284" s="364">
        <f t="shared" si="59"/>
        <v>0</v>
      </c>
      <c r="AO284" s="360">
        <f t="shared" si="60"/>
        <v>0</v>
      </c>
      <c r="AP284" s="360">
        <f t="shared" si="61"/>
        <v>3.3333333333333361E-2</v>
      </c>
      <c r="AQ284" s="365">
        <f t="shared" si="62"/>
        <v>1.6000000000000003</v>
      </c>
      <c r="AS284" s="726">
        <f>(Y284-R284)</f>
        <v>0.10000000000000009</v>
      </c>
      <c r="AT284" s="714" t="s">
        <v>1071</v>
      </c>
      <c r="AU284" s="727">
        <f t="shared" si="58"/>
        <v>2.0000000000000018E-2</v>
      </c>
      <c r="AV284" s="714" t="s">
        <v>1071</v>
      </c>
    </row>
    <row r="285" spans="1:48" ht="13.5" thickBot="1">
      <c r="A285" s="885"/>
      <c r="B285" s="885"/>
      <c r="C285" s="9" t="s">
        <v>302</v>
      </c>
      <c r="D285" s="199"/>
      <c r="E285" s="200"/>
      <c r="F285" s="201"/>
      <c r="G285" s="199"/>
      <c r="H285" s="199"/>
      <c r="I285" s="200"/>
      <c r="J285" s="201"/>
      <c r="K285" s="199"/>
      <c r="L285" s="199"/>
      <c r="M285" s="200"/>
      <c r="N285" s="198"/>
      <c r="O285" s="217" t="s">
        <v>634</v>
      </c>
      <c r="P285" s="241" t="s">
        <v>632</v>
      </c>
      <c r="Q285" s="244" t="s">
        <v>646</v>
      </c>
      <c r="R285" s="195">
        <f>'State DisAgg LFx10 (2014)'!H275</f>
        <v>1</v>
      </c>
      <c r="S285" s="196"/>
      <c r="T285" s="196"/>
      <c r="U285" s="197">
        <f>'State DisAgg LFx10 (2014)'!L285</f>
        <v>1</v>
      </c>
      <c r="V285" s="195"/>
      <c r="W285" s="196"/>
      <c r="X285" s="196"/>
      <c r="Y285" s="197">
        <f>'State DisAgg LFx10 (2014)'!P285</f>
        <v>2.1</v>
      </c>
      <c r="Z285" s="195"/>
      <c r="AA285" s="196"/>
      <c r="AB285" s="196"/>
      <c r="AC285" s="197">
        <f>'State DisAgg LFx10 (2014)'!T285</f>
        <v>3.1</v>
      </c>
      <c r="AD285" s="195"/>
      <c r="AE285" s="197"/>
      <c r="AI285" s="364">
        <v>0</v>
      </c>
      <c r="AJ285" s="360">
        <f>U285-R285</f>
        <v>0</v>
      </c>
      <c r="AK285" s="360">
        <f t="shared" si="55"/>
        <v>1.1000000000000001</v>
      </c>
      <c r="AL285" s="365">
        <f t="shared" si="56"/>
        <v>1</v>
      </c>
      <c r="AM285" s="351" t="s">
        <v>763</v>
      </c>
      <c r="AN285" s="364">
        <f t="shared" si="59"/>
        <v>0</v>
      </c>
      <c r="AO285" s="360">
        <f t="shared" si="60"/>
        <v>0</v>
      </c>
      <c r="AP285" s="360">
        <f t="shared" si="61"/>
        <v>1.6333333333333335</v>
      </c>
      <c r="AQ285" s="365">
        <f t="shared" si="62"/>
        <v>0.84444444444444455</v>
      </c>
      <c r="AS285" s="729">
        <f>(Y285-R285)</f>
        <v>1.1000000000000001</v>
      </c>
      <c r="AT285" s="728">
        <f>SUM(AS283:AS285)/3</f>
        <v>0.66666666666666663</v>
      </c>
      <c r="AU285" s="730">
        <f t="shared" si="58"/>
        <v>0.98</v>
      </c>
      <c r="AV285" s="728">
        <f>SUM(AU283:AU285)/3</f>
        <v>0.53333333333333333</v>
      </c>
    </row>
    <row r="286" spans="1:48" ht="13.5" thickBot="1">
      <c r="A286" s="885"/>
      <c r="B286" s="885"/>
      <c r="C286" s="9" t="s">
        <v>303</v>
      </c>
      <c r="D286" s="202"/>
      <c r="E286" s="203"/>
      <c r="F286" s="201"/>
      <c r="G286" s="202"/>
      <c r="H286" s="202"/>
      <c r="I286" s="203"/>
      <c r="J286" s="201"/>
      <c r="K286" s="202"/>
      <c r="L286" s="202"/>
      <c r="M286" s="203"/>
      <c r="N286" s="204"/>
      <c r="O286" s="214"/>
      <c r="P286" s="205"/>
      <c r="Q286" s="205"/>
      <c r="R286" s="201"/>
      <c r="S286" s="202"/>
      <c r="T286" s="202"/>
      <c r="U286" s="203"/>
      <c r="V286" s="242"/>
      <c r="W286" s="217" t="s">
        <v>633</v>
      </c>
      <c r="X286" s="241" t="s">
        <v>632</v>
      </c>
      <c r="Y286" s="197">
        <f>'State DisAgg LFx10 (2014)'!P276</f>
        <v>1</v>
      </c>
      <c r="Z286" s="195"/>
      <c r="AA286" s="196"/>
      <c r="AB286" s="196"/>
      <c r="AC286" s="197">
        <f>'State DisAgg LFx10 (2014)'!T286</f>
        <v>1</v>
      </c>
      <c r="AD286" s="195"/>
      <c r="AE286" s="197"/>
      <c r="AI286" s="364">
        <f>O286-J286</f>
        <v>0</v>
      </c>
      <c r="AJ286" s="360">
        <f>U286-O286</f>
        <v>0</v>
      </c>
      <c r="AK286" s="360">
        <f t="shared" si="55"/>
        <v>1</v>
      </c>
      <c r="AL286" s="365">
        <f t="shared" si="56"/>
        <v>0</v>
      </c>
      <c r="AM286" s="351" t="s">
        <v>1098</v>
      </c>
      <c r="AN286" s="364">
        <f t="shared" si="59"/>
        <v>0</v>
      </c>
      <c r="AO286" s="360">
        <f t="shared" si="60"/>
        <v>0</v>
      </c>
      <c r="AP286" s="360">
        <f t="shared" si="61"/>
        <v>0.66666666666666663</v>
      </c>
      <c r="AQ286" s="365">
        <f t="shared" si="62"/>
        <v>0</v>
      </c>
    </row>
    <row r="287" spans="1:48" ht="13.5" thickBot="1">
      <c r="A287" s="885"/>
      <c r="B287" s="885"/>
      <c r="C287" s="9" t="s">
        <v>304</v>
      </c>
      <c r="D287" s="202"/>
      <c r="E287" s="203"/>
      <c r="F287" s="201"/>
      <c r="G287" s="202"/>
      <c r="H287" s="202"/>
      <c r="I287" s="203"/>
      <c r="J287" s="201"/>
      <c r="K287" s="202"/>
      <c r="L287" s="202"/>
      <c r="M287" s="203"/>
      <c r="N287" s="204"/>
      <c r="O287" s="205"/>
      <c r="P287" s="205"/>
      <c r="Q287" s="205"/>
      <c r="R287" s="201"/>
      <c r="S287" s="202"/>
      <c r="T287" s="202"/>
      <c r="U287" s="203"/>
      <c r="V287" s="242"/>
      <c r="W287" s="217" t="s">
        <v>633</v>
      </c>
      <c r="X287" s="241" t="s">
        <v>632</v>
      </c>
      <c r="Y287" s="197">
        <f>'State DisAgg LFx10 (2014)'!P277</f>
        <v>1.1000000000000001</v>
      </c>
      <c r="Z287" s="195"/>
      <c r="AA287" s="196"/>
      <c r="AB287" s="196"/>
      <c r="AC287" s="197">
        <f>'State DisAgg LFx10 (2014)'!T287</f>
        <v>1.1000000000000001</v>
      </c>
      <c r="AD287" s="195"/>
      <c r="AE287" s="197"/>
      <c r="AI287" s="366">
        <f>O287-J287</f>
        <v>0</v>
      </c>
      <c r="AJ287" s="367">
        <f>U287-O287</f>
        <v>0</v>
      </c>
      <c r="AK287" s="367">
        <f t="shared" si="55"/>
        <v>1.1000000000000001</v>
      </c>
      <c r="AL287" s="368">
        <f t="shared" si="56"/>
        <v>0</v>
      </c>
      <c r="AM287" s="351" t="s">
        <v>1099</v>
      </c>
      <c r="AN287" s="366">
        <f t="shared" si="59"/>
        <v>0</v>
      </c>
      <c r="AO287" s="367">
        <f t="shared" si="60"/>
        <v>0</v>
      </c>
      <c r="AP287" s="367">
        <f t="shared" si="61"/>
        <v>0.70000000000000007</v>
      </c>
      <c r="AQ287" s="368">
        <f t="shared" si="62"/>
        <v>0</v>
      </c>
    </row>
    <row r="288" spans="1:48" ht="12.95" hidden="1" customHeight="1" thickBot="1">
      <c r="A288" s="885"/>
      <c r="B288" s="501"/>
      <c r="C288" s="231"/>
      <c r="D288" s="232"/>
      <c r="E288" s="233"/>
      <c r="F288" s="234"/>
      <c r="G288" s="232"/>
      <c r="H288" s="232"/>
      <c r="I288" s="233"/>
      <c r="J288" s="234"/>
      <c r="K288" s="232"/>
      <c r="L288" s="232"/>
      <c r="M288" s="233"/>
      <c r="N288" s="234"/>
      <c r="O288" s="232"/>
      <c r="P288" s="232"/>
      <c r="Q288" s="233"/>
      <c r="R288" s="234"/>
      <c r="S288" s="232"/>
      <c r="T288" s="232"/>
      <c r="U288" s="233"/>
      <c r="V288" s="234"/>
      <c r="W288" s="232"/>
      <c r="X288" s="232"/>
      <c r="Y288" s="233"/>
      <c r="Z288" s="234"/>
      <c r="AA288" s="232"/>
      <c r="AB288" s="232"/>
      <c r="AC288" s="233"/>
      <c r="AD288" s="234"/>
      <c r="AE288" s="233"/>
      <c r="AI288" s="354">
        <f>O288-J288</f>
        <v>0</v>
      </c>
      <c r="AJ288" s="354">
        <f>U288-O288</f>
        <v>0</v>
      </c>
      <c r="AK288" s="354">
        <f t="shared" si="55"/>
        <v>0</v>
      </c>
      <c r="AQ288" s="354"/>
    </row>
    <row r="289" spans="1:46" ht="12.95" hidden="1" customHeight="1" thickBot="1">
      <c r="A289" s="885"/>
      <c r="B289" s="501"/>
      <c r="C289" s="231"/>
      <c r="D289" s="232"/>
      <c r="E289" s="233"/>
      <c r="F289" s="234"/>
      <c r="G289" s="232"/>
      <c r="H289" s="232"/>
      <c r="I289" s="233"/>
      <c r="J289" s="234"/>
      <c r="K289" s="232"/>
      <c r="L289" s="232"/>
      <c r="M289" s="233"/>
      <c r="N289" s="234"/>
      <c r="O289" s="232"/>
      <c r="P289" s="232"/>
      <c r="Q289" s="233"/>
      <c r="R289" s="234"/>
      <c r="S289" s="232"/>
      <c r="T289" s="232"/>
      <c r="U289" s="233"/>
      <c r="V289" s="234"/>
      <c r="W289" s="232"/>
      <c r="X289" s="232"/>
      <c r="Y289" s="233"/>
      <c r="Z289" s="234"/>
      <c r="AA289" s="232"/>
      <c r="AB289" s="232"/>
      <c r="AC289" s="233"/>
      <c r="AD289" s="234"/>
      <c r="AE289" s="233"/>
      <c r="AI289" s="354">
        <f>O289-J289</f>
        <v>0</v>
      </c>
      <c r="AJ289" s="354">
        <f>U289-O289</f>
        <v>0</v>
      </c>
      <c r="AK289" s="354">
        <f t="shared" si="55"/>
        <v>0</v>
      </c>
      <c r="AQ289" s="354"/>
    </row>
    <row r="290" spans="1:46" ht="12.95" customHeight="1" thickBot="1">
      <c r="A290" s="885"/>
      <c r="B290" s="3" t="s">
        <v>20</v>
      </c>
      <c r="C290" s="12"/>
      <c r="D290" s="1377">
        <v>2008</v>
      </c>
      <c r="E290" s="1378"/>
      <c r="F290" s="1372">
        <v>2009</v>
      </c>
      <c r="G290" s="1373"/>
      <c r="H290" s="1373"/>
      <c r="I290" s="1374"/>
      <c r="J290" s="1372">
        <v>2010</v>
      </c>
      <c r="K290" s="1373"/>
      <c r="L290" s="1373"/>
      <c r="M290" s="1374"/>
      <c r="N290" s="1372">
        <v>2011</v>
      </c>
      <c r="O290" s="1373"/>
      <c r="P290" s="1373"/>
      <c r="Q290" s="1374"/>
      <c r="R290" s="1372">
        <v>2012</v>
      </c>
      <c r="S290" s="1373"/>
      <c r="T290" s="1373"/>
      <c r="U290" s="1374"/>
      <c r="V290" s="1372">
        <v>2013</v>
      </c>
      <c r="W290" s="1373"/>
      <c r="X290" s="1373"/>
      <c r="Y290" s="1374"/>
      <c r="Z290" s="1372">
        <v>2014</v>
      </c>
      <c r="AA290" s="1373"/>
      <c r="AB290" s="1373"/>
      <c r="AC290" s="1374"/>
      <c r="AD290" s="1372">
        <v>2015</v>
      </c>
      <c r="AE290" s="1374"/>
      <c r="AG290" s="257" t="s">
        <v>663</v>
      </c>
      <c r="AL290" s="351"/>
      <c r="AM290" s="351"/>
      <c r="AS290" s="716" t="s">
        <v>1036</v>
      </c>
    </row>
    <row r="291" spans="1:46" ht="13.5" thickBot="1">
      <c r="A291" s="885"/>
      <c r="B291" s="868" t="s">
        <v>59</v>
      </c>
      <c r="C291" s="194" t="s">
        <v>610</v>
      </c>
      <c r="D291" s="206"/>
      <c r="E291" s="207"/>
      <c r="F291" s="209"/>
      <c r="G291" s="206"/>
      <c r="H291" s="206"/>
      <c r="I291" s="207"/>
      <c r="J291" s="209"/>
      <c r="K291" s="206"/>
      <c r="L291" s="206"/>
      <c r="M291" s="207"/>
      <c r="N291" s="277"/>
      <c r="O291" s="278">
        <f>(O301-J301)/5/$C$678/Spend!O291*'State Efficiency Ratios (2014)'!$C$655</f>
        <v>-66.256468701000685</v>
      </c>
      <c r="P291" s="278"/>
      <c r="Q291" s="279"/>
      <c r="R291" s="277"/>
      <c r="S291" s="278"/>
      <c r="T291" s="278"/>
      <c r="U291" s="278">
        <f>(U301-O301)/6/$C$678/Spend!U291*'State Efficiency Ratios (2014)'!$C$655</f>
        <v>331.58516333742261</v>
      </c>
      <c r="V291" s="277"/>
      <c r="W291" s="278"/>
      <c r="X291" s="278"/>
      <c r="Y291" s="278">
        <f>(Y301-U301)/4/$C$678/Spend!Y291*'State Efficiency Ratios (2014)'!$C$655</f>
        <v>28.902891679581781</v>
      </c>
      <c r="Z291" s="277"/>
      <c r="AA291" s="278"/>
      <c r="AB291" s="278"/>
      <c r="AC291" s="278">
        <f>(AC301-Y301)/4/$C$678/Spend!AC291*'State Efficiency Ratios (2014)'!$C$655</f>
        <v>263.1879897209916</v>
      </c>
      <c r="AD291" s="277"/>
      <c r="AE291" s="280"/>
      <c r="AG291" s="410"/>
      <c r="AL291" s="356">
        <f>SUM(AL278:AL285)/8</f>
        <v>1.0062500000000001</v>
      </c>
      <c r="AM291" s="356"/>
      <c r="AS291" s="717">
        <f>(O301-J301)/7/$C$673/Spend!O291*'State Efficiency Ratios (2014)'!$C$655</f>
        <v>-47.326049072143341</v>
      </c>
    </row>
    <row r="292" spans="1:46" ht="13.5" thickBot="1">
      <c r="A292" s="885"/>
      <c r="B292" s="885"/>
      <c r="C292" s="194" t="s">
        <v>611</v>
      </c>
      <c r="D292" s="206"/>
      <c r="E292" s="207"/>
      <c r="F292" s="209"/>
      <c r="G292" s="206"/>
      <c r="H292" s="206"/>
      <c r="I292" s="207"/>
      <c r="J292" s="209"/>
      <c r="K292" s="206"/>
      <c r="L292" s="206"/>
      <c r="M292" s="207"/>
      <c r="N292" s="277"/>
      <c r="O292" s="278">
        <f>(O302-J302)/5/$C$678/Spend!O292*'State Efficiency Ratios (2014)'!$C$655</f>
        <v>36.098892947717111</v>
      </c>
      <c r="P292" s="278"/>
      <c r="Q292" s="279"/>
      <c r="R292" s="277"/>
      <c r="S292" s="278"/>
      <c r="T292" s="278"/>
      <c r="U292" s="278">
        <f>(U302-O302)/6/$C$678/Spend!U292*'State Efficiency Ratios (2014)'!$C$655</f>
        <v>214.09455550822645</v>
      </c>
      <c r="V292" s="277"/>
      <c r="W292" s="278"/>
      <c r="X292" s="278"/>
      <c r="Y292" s="278">
        <f>(Y302-U302)/4/$C$678/Spend!Y292*'State Efficiency Ratios (2014)'!$C$655</f>
        <v>173.25905281741478</v>
      </c>
      <c r="Z292" s="277"/>
      <c r="AA292" s="278"/>
      <c r="AB292" s="278"/>
      <c r="AC292" s="278">
        <f>(AC302-Y302)/4/$C$678/Spend!AC292*'State Efficiency Ratios (2014)'!$C$655</f>
        <v>114.86399668279671</v>
      </c>
      <c r="AD292" s="277"/>
      <c r="AE292" s="280"/>
      <c r="AG292" s="410"/>
      <c r="AL292" s="378">
        <f>SUM(AC268:AC275)/8</f>
        <v>176.34434818189723</v>
      </c>
      <c r="AM292" s="378"/>
      <c r="AS292" s="719">
        <f>(O302-J302)/7/$C$673/Spend!O292*'State Efficiency Ratios (2014)'!$C$655</f>
        <v>25.784923534083649</v>
      </c>
    </row>
    <row r="293" spans="1:46" ht="13.5" thickBot="1">
      <c r="A293" s="885"/>
      <c r="B293" s="885"/>
      <c r="C293" s="194" t="s">
        <v>612</v>
      </c>
      <c r="D293" s="206"/>
      <c r="E293" s="207"/>
      <c r="F293" s="209"/>
      <c r="G293" s="206"/>
      <c r="H293" s="206"/>
      <c r="I293" s="207"/>
      <c r="J293" s="209"/>
      <c r="K293" s="206"/>
      <c r="L293" s="206"/>
      <c r="M293" s="207"/>
      <c r="N293" s="277"/>
      <c r="O293" s="278">
        <f>(O303-J303)/5/$C$678/Spend!O293*'State Efficiency Ratios (2014)'!$C$655</f>
        <v>0</v>
      </c>
      <c r="P293" s="278"/>
      <c r="Q293" s="279"/>
      <c r="R293" s="277"/>
      <c r="S293" s="278"/>
      <c r="T293" s="278"/>
      <c r="U293" s="278">
        <f>(U303-O303)/6/$C$678/Spend!U293*'State Efficiency Ratios (2014)'!$C$655</f>
        <v>121.43458301754086</v>
      </c>
      <c r="V293" s="277"/>
      <c r="W293" s="278"/>
      <c r="X293" s="278"/>
      <c r="Y293" s="278">
        <f>(Y303-U303)/4/$C$678/Spend!Y293*'State Efficiency Ratios (2014)'!$C$655</f>
        <v>159.8633660738009</v>
      </c>
      <c r="Z293" s="277"/>
      <c r="AA293" s="278"/>
      <c r="AB293" s="278"/>
      <c r="AC293" s="278">
        <f>(AC303-Y303)/4/$C$678/Spend!AC293*'State Efficiency Ratios (2014)'!$C$655</f>
        <v>186.5338701300075</v>
      </c>
      <c r="AD293" s="277"/>
      <c r="AE293" s="280"/>
      <c r="AG293" s="410" t="s">
        <v>1086</v>
      </c>
      <c r="AL293" s="575"/>
      <c r="AM293" s="575"/>
      <c r="AS293" s="719">
        <f>(O303-J303)/7/$C$673/Spend!O293*'State Efficiency Ratios (2014)'!$C$655</f>
        <v>0</v>
      </c>
    </row>
    <row r="294" spans="1:46" ht="13.5" thickBot="1">
      <c r="A294" s="885"/>
      <c r="B294" s="885"/>
      <c r="C294" s="194" t="s">
        <v>613</v>
      </c>
      <c r="D294" s="206"/>
      <c r="E294" s="207"/>
      <c r="F294" s="209"/>
      <c r="G294" s="206"/>
      <c r="H294" s="206"/>
      <c r="I294" s="207"/>
      <c r="J294" s="209"/>
      <c r="K294" s="206"/>
      <c r="L294" s="206"/>
      <c r="M294" s="207"/>
      <c r="N294" s="277"/>
      <c r="O294" s="278">
        <f>(O304-J304)/5/$C$678/Spend!O294*'State Efficiency Ratios (2014)'!$C$655</f>
        <v>0</v>
      </c>
      <c r="P294" s="278"/>
      <c r="Q294" s="279"/>
      <c r="R294" s="277"/>
      <c r="S294" s="278"/>
      <c r="T294" s="278"/>
      <c r="U294" s="278">
        <f>(U304-O304)/6/$C$678/Spend!U294*'State Efficiency Ratios (2014)'!$C$655</f>
        <v>298.61170665287824</v>
      </c>
      <c r="V294" s="277"/>
      <c r="W294" s="278"/>
      <c r="X294" s="278"/>
      <c r="Y294" s="278">
        <f>(Y304-U304)/4/$C$678/Spend!Y294*'State Efficiency Ratios (2014)'!$C$655</f>
        <v>86.284901522353806</v>
      </c>
      <c r="Z294" s="277"/>
      <c r="AA294" s="278"/>
      <c r="AB294" s="278"/>
      <c r="AC294" s="278">
        <f>(AC304-Y304)/4/$C$678/Spend!AC294*'State Efficiency Ratios (2014)'!$C$655</f>
        <v>-47.703548425632732</v>
      </c>
      <c r="AD294" s="277"/>
      <c r="AE294" s="280"/>
      <c r="AG294" s="410" t="s">
        <v>1087</v>
      </c>
      <c r="AL294" s="575"/>
      <c r="AM294" s="575"/>
      <c r="AS294" s="719">
        <f>(O304-J304)/7/$C$673/Spend!O294*'State Efficiency Ratios (2014)'!$C$655</f>
        <v>0</v>
      </c>
      <c r="AT294" s="714" t="s">
        <v>1070</v>
      </c>
    </row>
    <row r="295" spans="1:46" ht="13.5" thickBot="1">
      <c r="A295" s="885"/>
      <c r="B295" s="885"/>
      <c r="C295" s="194" t="s">
        <v>614</v>
      </c>
      <c r="D295" s="206"/>
      <c r="E295" s="207"/>
      <c r="F295" s="209"/>
      <c r="G295" s="206"/>
      <c r="H295" s="206"/>
      <c r="I295" s="207"/>
      <c r="J295" s="209"/>
      <c r="K295" s="206"/>
      <c r="L295" s="206"/>
      <c r="M295" s="207"/>
      <c r="N295" s="277"/>
      <c r="O295" s="278">
        <f>(O305-J305)/5/$C$678/Spend!O295*'State Efficiency Ratios (2014)'!$C$655</f>
        <v>0</v>
      </c>
      <c r="P295" s="278"/>
      <c r="Q295" s="279"/>
      <c r="R295" s="277"/>
      <c r="S295" s="278"/>
      <c r="T295" s="278"/>
      <c r="U295" s="278">
        <f>(U305-O305)/6/$C$678/Spend!U295*'State Efficiency Ratios (2014)'!$C$655</f>
        <v>148.63924251049474</v>
      </c>
      <c r="V295" s="277"/>
      <c r="W295" s="278"/>
      <c r="X295" s="278"/>
      <c r="Y295" s="278">
        <f>(Y305-U305)/4/$C$678/Spend!Y295*'State Efficiency Ratios (2014)'!$C$655</f>
        <v>179.11201567148277</v>
      </c>
      <c r="Z295" s="277"/>
      <c r="AA295" s="278"/>
      <c r="AB295" s="278"/>
      <c r="AC295" s="278">
        <f>(AC305-Y305)/4/$C$678/Spend!AC295*'State Efficiency Ratios (2014)'!$C$655</f>
        <v>148.15553202907006</v>
      </c>
      <c r="AD295" s="277"/>
      <c r="AE295" s="280"/>
      <c r="AG295" s="410" t="s">
        <v>1088</v>
      </c>
      <c r="AL295" s="575"/>
      <c r="AM295" s="575"/>
      <c r="AS295" s="719">
        <f>(O305-J305)/7/$C$673/Spend!O295*'State Efficiency Ratios (2014)'!$C$655</f>
        <v>0</v>
      </c>
      <c r="AT295" s="721">
        <f>SUM(AS291:AS295)/5</f>
        <v>-4.3082251076119382</v>
      </c>
    </row>
    <row r="296" spans="1:46" ht="12.95" customHeight="1" thickBot="1">
      <c r="A296" s="885"/>
      <c r="B296" s="885"/>
      <c r="C296" s="194" t="s">
        <v>615</v>
      </c>
      <c r="D296" s="210"/>
      <c r="E296" s="211"/>
      <c r="F296" s="209"/>
      <c r="G296" s="210"/>
      <c r="H296" s="210"/>
      <c r="I296" s="211"/>
      <c r="J296" s="209"/>
      <c r="K296" s="210"/>
      <c r="L296" s="210"/>
      <c r="M296" s="211"/>
      <c r="N296" s="281"/>
      <c r="O296" s="282"/>
      <c r="P296" s="282"/>
      <c r="Q296" s="282"/>
      <c r="R296" s="277"/>
      <c r="S296" s="278"/>
      <c r="T296" s="278"/>
      <c r="U296" s="278">
        <f>(U306-R306)/3/$C$678/Spend!U296*'State Efficiency Ratios (2014)'!$C$655</f>
        <v>0</v>
      </c>
      <c r="V296" s="277"/>
      <c r="W296" s="278"/>
      <c r="X296" s="278"/>
      <c r="Y296" s="278">
        <f>(Y306-U306)/4/$C$678/Spend!Y296*'State Efficiency Ratios (2014)'!$C$655</f>
        <v>689.17427757182281</v>
      </c>
      <c r="Z296" s="277"/>
      <c r="AA296" s="278"/>
      <c r="AB296" s="278"/>
      <c r="AC296" s="278">
        <f>(AC306-Y306)/4/$C$678/Spend!AC296*'State Efficiency Ratios (2014)'!$C$655</f>
        <v>-410.7615815544093</v>
      </c>
      <c r="AD296" s="277"/>
      <c r="AE296" s="280"/>
      <c r="AG296" s="410"/>
      <c r="AI296" s="4" t="s">
        <v>1053</v>
      </c>
      <c r="AL296" s="575"/>
      <c r="AM296" s="575"/>
      <c r="AS296" s="719">
        <f>(Y306-R306)/7/$C$673/(Spend!U296+Spend!Y296)*'State Efficiency Ratios (2014)'!$C$655</f>
        <v>185.13320439988149</v>
      </c>
    </row>
    <row r="297" spans="1:46" ht="12.95" customHeight="1" thickBot="1">
      <c r="A297" s="885"/>
      <c r="B297" s="885"/>
      <c r="C297" s="194" t="s">
        <v>616</v>
      </c>
      <c r="D297" s="210"/>
      <c r="E297" s="211"/>
      <c r="F297" s="209"/>
      <c r="G297" s="210"/>
      <c r="H297" s="210"/>
      <c r="I297" s="211"/>
      <c r="J297" s="209"/>
      <c r="K297" s="210"/>
      <c r="L297" s="210"/>
      <c r="M297" s="211"/>
      <c r="N297" s="281"/>
      <c r="O297" s="282"/>
      <c r="P297" s="282"/>
      <c r="Q297" s="282"/>
      <c r="R297" s="277"/>
      <c r="S297" s="278"/>
      <c r="T297" s="278"/>
      <c r="U297" s="278">
        <f>(U307-R307)/3/$C$678/Spend!U297*'State Efficiency Ratios (2014)'!$C$655</f>
        <v>0</v>
      </c>
      <c r="V297" s="277"/>
      <c r="W297" s="278"/>
      <c r="X297" s="278"/>
      <c r="Y297" s="278">
        <f>(Y307-U307)/4/$C$678/Spend!Y297*'State Efficiency Ratios (2014)'!$C$655</f>
        <v>0</v>
      </c>
      <c r="Z297" s="277"/>
      <c r="AA297" s="278"/>
      <c r="AB297" s="278"/>
      <c r="AC297" s="278">
        <f>(AC307-Y307)/4/$C$678/Spend!AC297*'State Efficiency Ratios (2014)'!$C$655</f>
        <v>663.52733606972492</v>
      </c>
      <c r="AD297" s="277"/>
      <c r="AE297" s="280"/>
      <c r="AG297" s="410" t="s">
        <v>1084</v>
      </c>
      <c r="AH297" s="355" t="s">
        <v>1052</v>
      </c>
      <c r="AI297" s="599">
        <f>4/5*SUM(AI301:AI305)/5</f>
        <v>-0.08</v>
      </c>
      <c r="AJ297" s="592">
        <f>4/6*SUM(AJ301:AJ305)/5</f>
        <v>1.3333333333333333</v>
      </c>
      <c r="AK297" s="592">
        <f>SUM(AK301:AK308)/8</f>
        <v>0.91249999999999998</v>
      </c>
      <c r="AL297" s="594">
        <f>SUM(AL301:AL308)/8</f>
        <v>0.40000000000000013</v>
      </c>
      <c r="AM297" s="575"/>
      <c r="AS297" s="719">
        <f>(Y307-R307)/7/$C$673/(Spend!U297+Spend!Y297)*'State Efficiency Ratios (2014)'!$C$655</f>
        <v>0</v>
      </c>
      <c r="AT297" s="714" t="s">
        <v>1071</v>
      </c>
    </row>
    <row r="298" spans="1:46" ht="12.95" customHeight="1" thickBot="1">
      <c r="A298" s="885"/>
      <c r="B298" s="885"/>
      <c r="C298" s="194" t="s">
        <v>617</v>
      </c>
      <c r="D298" s="210"/>
      <c r="E298" s="211"/>
      <c r="F298" s="209"/>
      <c r="G298" s="210"/>
      <c r="H298" s="210"/>
      <c r="I298" s="211"/>
      <c r="J298" s="209"/>
      <c r="K298" s="210"/>
      <c r="L298" s="210"/>
      <c r="M298" s="211"/>
      <c r="N298" s="281"/>
      <c r="O298" s="282"/>
      <c r="P298" s="282"/>
      <c r="Q298" s="282"/>
      <c r="R298" s="277"/>
      <c r="S298" s="278"/>
      <c r="T298" s="278"/>
      <c r="U298" s="278">
        <f>(U308-R308)/3/$C$678/Spend!U298*'State Efficiency Ratios (2014)'!$C$655</f>
        <v>0</v>
      </c>
      <c r="V298" s="277"/>
      <c r="W298" s="278"/>
      <c r="X298" s="278"/>
      <c r="Y298" s="278">
        <f>(Y308-U308)/4/$C$678/Spend!Y298*'State Efficiency Ratios (2014)'!$C$655</f>
        <v>1174.6258745924426</v>
      </c>
      <c r="Z298" s="277"/>
      <c r="AA298" s="278"/>
      <c r="AB298" s="278"/>
      <c r="AC298" s="278">
        <f>(AC308-Y308)/4/$C$678/Spend!AC298*'State Efficiency Ratios (2014)'!$C$655</f>
        <v>69.24053996590456</v>
      </c>
      <c r="AD298" s="277"/>
      <c r="AE298" s="280"/>
      <c r="AG298" s="410" t="s">
        <v>1089</v>
      </c>
      <c r="AH298" s="355" t="s">
        <v>1051</v>
      </c>
      <c r="AI298" s="606">
        <f>SUM(O291:O295)/5</f>
        <v>-6.0315151506567144</v>
      </c>
      <c r="AJ298" s="607">
        <f>SUM(U291:U295)/5</f>
        <v>222.87305020531258</v>
      </c>
      <c r="AK298" s="607">
        <f>SUM(Y291:Y298)/8</f>
        <v>311.40279749111244</v>
      </c>
      <c r="AL298" s="608">
        <f>SUM(AC291:AC298)/8</f>
        <v>123.38051682730665</v>
      </c>
      <c r="AM298" s="575"/>
      <c r="AS298" s="722">
        <f>(Y308-R308)/7/$C$673/(Spend!U298+Spend!Y298)*'State Efficiency Ratios (2014)'!$C$655</f>
        <v>261.53877337654524</v>
      </c>
      <c r="AT298" s="721">
        <f>SUM(AS296:AS298)/3</f>
        <v>148.89065925880891</v>
      </c>
    </row>
    <row r="299" spans="1:46" ht="12.95" customHeight="1" thickBot="1">
      <c r="A299" s="885"/>
      <c r="B299" s="885"/>
      <c r="C299" s="194" t="s">
        <v>618</v>
      </c>
      <c r="D299" s="210"/>
      <c r="E299" s="211"/>
      <c r="F299" s="209"/>
      <c r="G299" s="210"/>
      <c r="H299" s="210"/>
      <c r="I299" s="211"/>
      <c r="J299" s="209"/>
      <c r="K299" s="210"/>
      <c r="L299" s="210"/>
      <c r="M299" s="211"/>
      <c r="N299" s="281"/>
      <c r="O299" s="282"/>
      <c r="P299" s="282"/>
      <c r="Q299" s="283"/>
      <c r="R299" s="281"/>
      <c r="S299" s="282"/>
      <c r="T299" s="282"/>
      <c r="U299" s="283"/>
      <c r="V299" s="281"/>
      <c r="W299" s="282"/>
      <c r="X299" s="282"/>
      <c r="Y299" s="283"/>
      <c r="Z299" s="277"/>
      <c r="AA299" s="278"/>
      <c r="AB299" s="278"/>
      <c r="AC299" s="278">
        <f>(AC309-Y309)/4/$C$678/Spend!AC299*'State Efficiency Ratios (2014)'!$C$655</f>
        <v>0</v>
      </c>
      <c r="AD299" s="277"/>
      <c r="AE299" s="280"/>
      <c r="AG299" s="410"/>
      <c r="AL299" s="575"/>
      <c r="AM299" s="575"/>
    </row>
    <row r="300" spans="1:46" ht="12.95" customHeight="1" thickBot="1">
      <c r="A300" s="885"/>
      <c r="B300" s="885"/>
      <c r="C300" s="194" t="s">
        <v>619</v>
      </c>
      <c r="D300" s="210"/>
      <c r="E300" s="211"/>
      <c r="F300" s="209"/>
      <c r="G300" s="210"/>
      <c r="H300" s="210"/>
      <c r="I300" s="211"/>
      <c r="J300" s="209"/>
      <c r="K300" s="210"/>
      <c r="L300" s="210"/>
      <c r="M300" s="211"/>
      <c r="N300" s="281"/>
      <c r="O300" s="282"/>
      <c r="P300" s="282"/>
      <c r="Q300" s="283"/>
      <c r="R300" s="281"/>
      <c r="S300" s="282"/>
      <c r="T300" s="282"/>
      <c r="U300" s="283"/>
      <c r="V300" s="281"/>
      <c r="W300" s="282"/>
      <c r="X300" s="282"/>
      <c r="Y300" s="283"/>
      <c r="Z300" s="277"/>
      <c r="AA300" s="278"/>
      <c r="AB300" s="278"/>
      <c r="AC300" s="278">
        <f>(AC310-Y310)/4/$C$678/Spend!AC300*'State Efficiency Ratios (2014)'!$C$655</f>
        <v>0</v>
      </c>
      <c r="AD300" s="277"/>
      <c r="AE300" s="280"/>
      <c r="AG300" s="410"/>
      <c r="AI300" s="416" t="s">
        <v>1036</v>
      </c>
      <c r="AL300" s="575"/>
      <c r="AM300" s="575"/>
      <c r="AS300" s="716" t="s">
        <v>1036</v>
      </c>
    </row>
    <row r="301" spans="1:46" ht="13.5" thickBot="1">
      <c r="A301" s="885"/>
      <c r="B301" s="885"/>
      <c r="C301" s="9" t="s">
        <v>295</v>
      </c>
      <c r="D301" s="241" t="s">
        <v>632</v>
      </c>
      <c r="E301" s="241" t="s">
        <v>632</v>
      </c>
      <c r="F301" s="243" t="s">
        <v>646</v>
      </c>
      <c r="G301" s="241" t="s">
        <v>646</v>
      </c>
      <c r="H301" s="241" t="s">
        <v>646</v>
      </c>
      <c r="I301" s="244" t="s">
        <v>646</v>
      </c>
      <c r="J301" s="195">
        <f>'State DisAgg LFx10 (2014)'!D291</f>
        <v>1</v>
      </c>
      <c r="K301" s="196"/>
      <c r="L301" s="196"/>
      <c r="M301" s="197"/>
      <c r="N301" s="195"/>
      <c r="O301" s="196">
        <f>'State DisAgg LFx10 (2014)'!H301</f>
        <v>0</v>
      </c>
      <c r="P301" s="196"/>
      <c r="Q301" s="197"/>
      <c r="R301" s="195"/>
      <c r="S301" s="196"/>
      <c r="T301" s="196"/>
      <c r="U301" s="197">
        <f>'State DisAgg LFx10 (2014)'!L301</f>
        <v>2.8</v>
      </c>
      <c r="V301" s="195"/>
      <c r="W301" s="196"/>
      <c r="X301" s="196"/>
      <c r="Y301" s="197">
        <f>'State DisAgg LFx10 (2014)'!P301</f>
        <v>2.9</v>
      </c>
      <c r="Z301" s="195"/>
      <c r="AA301" s="196"/>
      <c r="AB301" s="196"/>
      <c r="AC301" s="197">
        <f>'State DisAgg LFx10 (2014)'!T301</f>
        <v>3.8</v>
      </c>
      <c r="AD301" s="195"/>
      <c r="AE301" s="197"/>
      <c r="AI301" s="361">
        <f>O301-J301</f>
        <v>-1</v>
      </c>
      <c r="AJ301" s="362">
        <f>U301-O301</f>
        <v>2.8</v>
      </c>
      <c r="AK301" s="362">
        <f t="shared" ref="AK301:AK312" si="63">Y301-U301</f>
        <v>0.10000000000000009</v>
      </c>
      <c r="AL301" s="363">
        <f t="shared" ref="AL301:AL310" si="64">AC301-Y301</f>
        <v>0.89999999999999991</v>
      </c>
      <c r="AM301" s="354"/>
      <c r="AQ301" s="354"/>
      <c r="AS301" s="724">
        <f>(O301-J301)</f>
        <v>-1</v>
      </c>
    </row>
    <row r="302" spans="1:46" ht="13.5" thickBot="1">
      <c r="A302" s="885"/>
      <c r="B302" s="885"/>
      <c r="C302" s="9" t="s">
        <v>296</v>
      </c>
      <c r="D302" s="241" t="s">
        <v>632</v>
      </c>
      <c r="E302" s="241" t="s">
        <v>632</v>
      </c>
      <c r="F302" s="243" t="s">
        <v>646</v>
      </c>
      <c r="G302" s="241" t="s">
        <v>646</v>
      </c>
      <c r="H302" s="241" t="s">
        <v>646</v>
      </c>
      <c r="I302" s="244" t="s">
        <v>646</v>
      </c>
      <c r="J302" s="195">
        <f>'State DisAgg LFx10 (2014)'!D292</f>
        <v>1</v>
      </c>
      <c r="K302" s="196"/>
      <c r="L302" s="196"/>
      <c r="M302" s="197"/>
      <c r="N302" s="195"/>
      <c r="O302" s="196">
        <f>'State DisAgg LFx10 (2014)'!H302</f>
        <v>1.5</v>
      </c>
      <c r="P302" s="196"/>
      <c r="Q302" s="197"/>
      <c r="R302" s="195"/>
      <c r="S302" s="196"/>
      <c r="T302" s="196"/>
      <c r="U302" s="197">
        <f>'State DisAgg LFx10 (2014)'!L302</f>
        <v>3.2</v>
      </c>
      <c r="V302" s="195"/>
      <c r="W302" s="196"/>
      <c r="X302" s="196"/>
      <c r="Y302" s="197">
        <f>'State DisAgg LFx10 (2014)'!P302</f>
        <v>3.8</v>
      </c>
      <c r="Z302" s="195"/>
      <c r="AA302" s="196"/>
      <c r="AB302" s="196"/>
      <c r="AC302" s="197">
        <f>'State DisAgg LFx10 (2014)'!T302</f>
        <v>4.2</v>
      </c>
      <c r="AD302" s="195"/>
      <c r="AE302" s="197"/>
      <c r="AI302" s="364">
        <f>O302-J302</f>
        <v>0.5</v>
      </c>
      <c r="AJ302" s="360">
        <f>U302-O302</f>
        <v>1.7000000000000002</v>
      </c>
      <c r="AK302" s="360">
        <f t="shared" si="63"/>
        <v>0.59999999999999964</v>
      </c>
      <c r="AL302" s="365">
        <f t="shared" si="64"/>
        <v>0.40000000000000036</v>
      </c>
      <c r="AM302" s="354"/>
      <c r="AQ302" s="354"/>
      <c r="AS302" s="726">
        <f>(O302-J302)</f>
        <v>0.5</v>
      </c>
    </row>
    <row r="303" spans="1:46" ht="13.5" thickBot="1">
      <c r="A303" s="885"/>
      <c r="B303" s="885"/>
      <c r="C303" s="9" t="s">
        <v>297</v>
      </c>
      <c r="D303" s="241" t="s">
        <v>632</v>
      </c>
      <c r="E303" s="241" t="s">
        <v>632</v>
      </c>
      <c r="F303" s="243" t="s">
        <v>646</v>
      </c>
      <c r="G303" s="241" t="s">
        <v>646</v>
      </c>
      <c r="H303" s="241" t="s">
        <v>646</v>
      </c>
      <c r="I303" s="244" t="s">
        <v>646</v>
      </c>
      <c r="J303" s="195">
        <f>'State DisAgg LFx10 (2014)'!D293</f>
        <v>1</v>
      </c>
      <c r="K303" s="196"/>
      <c r="L303" s="196"/>
      <c r="M303" s="197"/>
      <c r="N303" s="195"/>
      <c r="O303" s="196">
        <f>'State DisAgg LFx10 (2014)'!H303</f>
        <v>1</v>
      </c>
      <c r="P303" s="196"/>
      <c r="Q303" s="197"/>
      <c r="R303" s="195"/>
      <c r="S303" s="196"/>
      <c r="T303" s="196"/>
      <c r="U303" s="197">
        <f>'State DisAgg LFx10 (2014)'!L303</f>
        <v>2</v>
      </c>
      <c r="V303" s="195"/>
      <c r="W303" s="196"/>
      <c r="X303" s="196"/>
      <c r="Y303" s="197">
        <f>'State DisAgg LFx10 (2014)'!P303</f>
        <v>2.6</v>
      </c>
      <c r="Z303" s="195"/>
      <c r="AA303" s="196"/>
      <c r="AB303" s="196"/>
      <c r="AC303" s="197">
        <f>'State DisAgg LFx10 (2014)'!T303</f>
        <v>3.2</v>
      </c>
      <c r="AD303" s="195"/>
      <c r="AE303" s="197"/>
      <c r="AI303" s="364">
        <f>O303-J303</f>
        <v>0</v>
      </c>
      <c r="AJ303" s="360">
        <f>U303-O303</f>
        <v>1</v>
      </c>
      <c r="AK303" s="360">
        <f t="shared" si="63"/>
        <v>0.60000000000000009</v>
      </c>
      <c r="AL303" s="365">
        <f t="shared" si="64"/>
        <v>0.60000000000000009</v>
      </c>
      <c r="AM303" s="354"/>
      <c r="AQ303" s="354"/>
      <c r="AS303" s="726">
        <f>(O303-J303)</f>
        <v>0</v>
      </c>
    </row>
    <row r="304" spans="1:46" ht="13.5" thickBot="1">
      <c r="A304" s="885"/>
      <c r="B304" s="885"/>
      <c r="C304" s="9" t="s">
        <v>298</v>
      </c>
      <c r="D304" s="241" t="s">
        <v>632</v>
      </c>
      <c r="E304" s="241" t="s">
        <v>632</v>
      </c>
      <c r="F304" s="243" t="s">
        <v>646</v>
      </c>
      <c r="G304" s="241" t="s">
        <v>646</v>
      </c>
      <c r="H304" s="241" t="s">
        <v>646</v>
      </c>
      <c r="I304" s="244" t="s">
        <v>646</v>
      </c>
      <c r="J304" s="195">
        <f>'State DisAgg LFx10 (2014)'!D294</f>
        <v>1</v>
      </c>
      <c r="K304" s="196"/>
      <c r="L304" s="196"/>
      <c r="M304" s="197"/>
      <c r="N304" s="195"/>
      <c r="O304" s="196">
        <f>'State DisAgg LFx10 (2014)'!H304</f>
        <v>1</v>
      </c>
      <c r="P304" s="196"/>
      <c r="Q304" s="197"/>
      <c r="R304" s="195"/>
      <c r="S304" s="196"/>
      <c r="T304" s="196"/>
      <c r="U304" s="197">
        <f>'State DisAgg LFx10 (2014)'!L304</f>
        <v>3.6</v>
      </c>
      <c r="V304" s="195"/>
      <c r="W304" s="196"/>
      <c r="X304" s="196"/>
      <c r="Y304" s="197">
        <f>'State DisAgg LFx10 (2014)'!P304</f>
        <v>4</v>
      </c>
      <c r="Z304" s="195"/>
      <c r="AA304" s="196"/>
      <c r="AB304" s="196"/>
      <c r="AC304" s="197">
        <f>'State DisAgg LFx10 (2014)'!T304</f>
        <v>3.6</v>
      </c>
      <c r="AD304" s="195"/>
      <c r="AE304" s="197"/>
      <c r="AI304" s="364">
        <f>O304-J304</f>
        <v>0</v>
      </c>
      <c r="AJ304" s="360">
        <f>U304-O304</f>
        <v>2.6</v>
      </c>
      <c r="AK304" s="360">
        <f t="shared" si="63"/>
        <v>0.39999999999999991</v>
      </c>
      <c r="AL304" s="365">
        <f t="shared" si="64"/>
        <v>-0.39999999999999991</v>
      </c>
      <c r="AM304" s="354"/>
      <c r="AQ304" s="354"/>
      <c r="AS304" s="726">
        <f>(O304-J304)</f>
        <v>0</v>
      </c>
      <c r="AT304" s="714" t="s">
        <v>1070</v>
      </c>
    </row>
    <row r="305" spans="1:46" ht="13.5" thickBot="1">
      <c r="A305" s="885"/>
      <c r="B305" s="885"/>
      <c r="C305" s="9" t="s">
        <v>299</v>
      </c>
      <c r="D305" s="241" t="s">
        <v>632</v>
      </c>
      <c r="E305" s="241" t="s">
        <v>632</v>
      </c>
      <c r="F305" s="243" t="s">
        <v>646</v>
      </c>
      <c r="G305" s="241" t="s">
        <v>646</v>
      </c>
      <c r="H305" s="241" t="s">
        <v>646</v>
      </c>
      <c r="I305" s="244" t="s">
        <v>646</v>
      </c>
      <c r="J305" s="195">
        <f>'State DisAgg LFx10 (2014)'!D295</f>
        <v>1</v>
      </c>
      <c r="K305" s="196"/>
      <c r="L305" s="196"/>
      <c r="M305" s="197"/>
      <c r="N305" s="195"/>
      <c r="O305" s="196">
        <f>'State DisAgg LFx10 (2014)'!H305</f>
        <v>1</v>
      </c>
      <c r="P305" s="196"/>
      <c r="Q305" s="197"/>
      <c r="R305" s="195"/>
      <c r="S305" s="196"/>
      <c r="T305" s="196"/>
      <c r="U305" s="197">
        <f>'State DisAgg LFx10 (2014)'!L305</f>
        <v>2.9</v>
      </c>
      <c r="V305" s="195"/>
      <c r="W305" s="196"/>
      <c r="X305" s="196"/>
      <c r="Y305" s="197">
        <f>'State DisAgg LFx10 (2014)'!P305</f>
        <v>3.5</v>
      </c>
      <c r="Z305" s="195"/>
      <c r="AA305" s="196"/>
      <c r="AB305" s="196"/>
      <c r="AC305" s="197">
        <f>'State DisAgg LFx10 (2014)'!T305</f>
        <v>4.2</v>
      </c>
      <c r="AD305" s="195"/>
      <c r="AE305" s="197"/>
      <c r="AI305" s="364">
        <f>O305-J305</f>
        <v>0</v>
      </c>
      <c r="AJ305" s="360">
        <f>U305-O305</f>
        <v>1.9</v>
      </c>
      <c r="AK305" s="360">
        <f t="shared" si="63"/>
        <v>0.60000000000000009</v>
      </c>
      <c r="AL305" s="365">
        <f t="shared" si="64"/>
        <v>0.70000000000000018</v>
      </c>
      <c r="AM305" s="354"/>
      <c r="AQ305" s="354"/>
      <c r="AS305" s="726">
        <f>(O305-J305)</f>
        <v>0</v>
      </c>
      <c r="AT305" s="728">
        <f>SUM(AS301:AS305)/5</f>
        <v>-0.1</v>
      </c>
    </row>
    <row r="306" spans="1:46" ht="13.5" thickBot="1">
      <c r="A306" s="885"/>
      <c r="B306" s="885"/>
      <c r="C306" s="9" t="s">
        <v>300</v>
      </c>
      <c r="D306" s="199"/>
      <c r="E306" s="200"/>
      <c r="F306" s="201"/>
      <c r="G306" s="199"/>
      <c r="H306" s="199"/>
      <c r="I306" s="200"/>
      <c r="J306" s="201"/>
      <c r="K306" s="199"/>
      <c r="L306" s="199"/>
      <c r="M306" s="200"/>
      <c r="N306" s="198"/>
      <c r="O306" s="217" t="s">
        <v>634</v>
      </c>
      <c r="P306" s="241" t="s">
        <v>632</v>
      </c>
      <c r="Q306" s="244" t="s">
        <v>646</v>
      </c>
      <c r="R306" s="195">
        <f>'State DisAgg LFx10 (2014)'!H296</f>
        <v>1</v>
      </c>
      <c r="S306" s="196"/>
      <c r="T306" s="196"/>
      <c r="U306" s="197">
        <f>'State DisAgg LFx10 (2014)'!L306</f>
        <v>1</v>
      </c>
      <c r="V306" s="195"/>
      <c r="W306" s="196"/>
      <c r="X306" s="196"/>
      <c r="Y306" s="197">
        <f>'State DisAgg LFx10 (2014)'!P306</f>
        <v>3.2</v>
      </c>
      <c r="Z306" s="195"/>
      <c r="AA306" s="196"/>
      <c r="AB306" s="196"/>
      <c r="AC306" s="197">
        <f>'State DisAgg LFx10 (2014)'!T306</f>
        <v>1.8</v>
      </c>
      <c r="AD306" s="195"/>
      <c r="AE306" s="197"/>
      <c r="AI306" s="364">
        <v>0</v>
      </c>
      <c r="AJ306" s="360">
        <f>U306-R306</f>
        <v>0</v>
      </c>
      <c r="AK306" s="360">
        <f t="shared" si="63"/>
        <v>2.2000000000000002</v>
      </c>
      <c r="AL306" s="365">
        <f t="shared" si="64"/>
        <v>-1.4000000000000001</v>
      </c>
      <c r="AM306" s="354"/>
      <c r="AQ306" s="354"/>
      <c r="AS306" s="726">
        <f>(Y306-R306)</f>
        <v>2.2000000000000002</v>
      </c>
    </row>
    <row r="307" spans="1:46" ht="13.5" thickBot="1">
      <c r="A307" s="885"/>
      <c r="B307" s="885"/>
      <c r="C307" s="9" t="s">
        <v>301</v>
      </c>
      <c r="D307" s="199"/>
      <c r="E307" s="200"/>
      <c r="F307" s="201"/>
      <c r="G307" s="199"/>
      <c r="H307" s="199"/>
      <c r="I307" s="200"/>
      <c r="J307" s="201"/>
      <c r="K307" s="199"/>
      <c r="L307" s="199"/>
      <c r="M307" s="200"/>
      <c r="N307" s="198"/>
      <c r="O307" s="217" t="s">
        <v>634</v>
      </c>
      <c r="P307" s="241" t="s">
        <v>632</v>
      </c>
      <c r="Q307" s="244" t="s">
        <v>646</v>
      </c>
      <c r="R307" s="195">
        <f>'State DisAgg LFx10 (2014)'!H297</f>
        <v>1</v>
      </c>
      <c r="S307" s="196"/>
      <c r="T307" s="196"/>
      <c r="U307" s="197">
        <f>'State DisAgg LFx10 (2014)'!L307</f>
        <v>1</v>
      </c>
      <c r="V307" s="195"/>
      <c r="W307" s="196"/>
      <c r="X307" s="196"/>
      <c r="Y307" s="197">
        <f>'State DisAgg LFx10 (2014)'!P307</f>
        <v>1</v>
      </c>
      <c r="Z307" s="195"/>
      <c r="AA307" s="196"/>
      <c r="AB307" s="196"/>
      <c r="AC307" s="197">
        <f>'State DisAgg LFx10 (2014)'!T307</f>
        <v>3.2</v>
      </c>
      <c r="AD307" s="195"/>
      <c r="AE307" s="197"/>
      <c r="AI307" s="364">
        <v>0</v>
      </c>
      <c r="AJ307" s="360">
        <f>U307-R307</f>
        <v>0</v>
      </c>
      <c r="AK307" s="360">
        <f t="shared" si="63"/>
        <v>0</v>
      </c>
      <c r="AL307" s="365">
        <f t="shared" si="64"/>
        <v>2.2000000000000002</v>
      </c>
      <c r="AM307" s="354"/>
      <c r="AQ307" s="354"/>
      <c r="AS307" s="726">
        <f>(Y307-R307)</f>
        <v>0</v>
      </c>
      <c r="AT307" s="714" t="s">
        <v>1071</v>
      </c>
    </row>
    <row r="308" spans="1:46" ht="13.5" thickBot="1">
      <c r="A308" s="885"/>
      <c r="B308" s="885"/>
      <c r="C308" s="9" t="s">
        <v>302</v>
      </c>
      <c r="D308" s="199"/>
      <c r="E308" s="200"/>
      <c r="F308" s="201"/>
      <c r="G308" s="199"/>
      <c r="H308" s="199"/>
      <c r="I308" s="200"/>
      <c r="J308" s="201"/>
      <c r="K308" s="199"/>
      <c r="L308" s="199"/>
      <c r="M308" s="200"/>
      <c r="N308" s="198"/>
      <c r="O308" s="217" t="s">
        <v>634</v>
      </c>
      <c r="P308" s="241" t="s">
        <v>632</v>
      </c>
      <c r="Q308" s="244" t="s">
        <v>646</v>
      </c>
      <c r="R308" s="195">
        <f>'State DisAgg LFx10 (2014)'!H298</f>
        <v>1</v>
      </c>
      <c r="S308" s="196"/>
      <c r="T308" s="196"/>
      <c r="U308" s="197">
        <f>'State DisAgg LFx10 (2014)'!L308</f>
        <v>1</v>
      </c>
      <c r="V308" s="195"/>
      <c r="W308" s="196"/>
      <c r="X308" s="196"/>
      <c r="Y308" s="197">
        <f>'State DisAgg LFx10 (2014)'!P308</f>
        <v>3.8</v>
      </c>
      <c r="Z308" s="195"/>
      <c r="AA308" s="196"/>
      <c r="AB308" s="196"/>
      <c r="AC308" s="197">
        <f>'State DisAgg LFx10 (2014)'!T308</f>
        <v>4</v>
      </c>
      <c r="AD308" s="195"/>
      <c r="AE308" s="197"/>
      <c r="AI308" s="364">
        <v>0</v>
      </c>
      <c r="AJ308" s="360">
        <f>U308-R308</f>
        <v>0</v>
      </c>
      <c r="AK308" s="360">
        <f t="shared" si="63"/>
        <v>2.8</v>
      </c>
      <c r="AL308" s="365">
        <f t="shared" si="64"/>
        <v>0.20000000000000018</v>
      </c>
      <c r="AM308" s="354"/>
      <c r="AQ308" s="354"/>
      <c r="AS308" s="729">
        <f>(Y308-R308)</f>
        <v>2.8</v>
      </c>
      <c r="AT308" s="728">
        <f>SUM(AS306:AS308)/3</f>
        <v>1.6666666666666667</v>
      </c>
    </row>
    <row r="309" spans="1:46" ht="13.5" thickBot="1">
      <c r="A309" s="885"/>
      <c r="B309" s="885"/>
      <c r="C309" s="9" t="s">
        <v>303</v>
      </c>
      <c r="D309" s="202"/>
      <c r="E309" s="203"/>
      <c r="F309" s="201"/>
      <c r="G309" s="202"/>
      <c r="H309" s="202"/>
      <c r="I309" s="203"/>
      <c r="J309" s="201"/>
      <c r="K309" s="202"/>
      <c r="L309" s="202"/>
      <c r="M309" s="203"/>
      <c r="N309" s="204"/>
      <c r="O309" s="214"/>
      <c r="P309" s="205"/>
      <c r="Q309" s="205"/>
      <c r="R309" s="201"/>
      <c r="S309" s="202"/>
      <c r="T309" s="202"/>
      <c r="U309" s="203"/>
      <c r="V309" s="242"/>
      <c r="W309" s="217" t="s">
        <v>633</v>
      </c>
      <c r="X309" s="241" t="s">
        <v>632</v>
      </c>
      <c r="Y309" s="197">
        <f>'State DisAgg LFx10 (2014)'!P299</f>
        <v>1</v>
      </c>
      <c r="Z309" s="195"/>
      <c r="AA309" s="196"/>
      <c r="AB309" s="196"/>
      <c r="AC309" s="197">
        <f>'State DisAgg LFx10 (2014)'!T309</f>
        <v>1</v>
      </c>
      <c r="AD309" s="195"/>
      <c r="AE309" s="197"/>
      <c r="AI309" s="364">
        <f>O309-J309</f>
        <v>0</v>
      </c>
      <c r="AJ309" s="360">
        <f>U309-O309</f>
        <v>0</v>
      </c>
      <c r="AK309" s="360">
        <f t="shared" si="63"/>
        <v>1</v>
      </c>
      <c r="AL309" s="365">
        <f t="shared" si="64"/>
        <v>0</v>
      </c>
      <c r="AM309" s="354"/>
      <c r="AQ309" s="354"/>
    </row>
    <row r="310" spans="1:46" ht="13.5" thickBot="1">
      <c r="A310" s="885"/>
      <c r="B310" s="885"/>
      <c r="C310" s="9" t="s">
        <v>304</v>
      </c>
      <c r="D310" s="202"/>
      <c r="E310" s="203"/>
      <c r="F310" s="201"/>
      <c r="G310" s="202"/>
      <c r="H310" s="202"/>
      <c r="I310" s="203"/>
      <c r="J310" s="201"/>
      <c r="K310" s="202"/>
      <c r="L310" s="202"/>
      <c r="M310" s="203"/>
      <c r="N310" s="204"/>
      <c r="O310" s="205"/>
      <c r="P310" s="205"/>
      <c r="Q310" s="205"/>
      <c r="R310" s="201"/>
      <c r="S310" s="202"/>
      <c r="T310" s="202"/>
      <c r="U310" s="203"/>
      <c r="V310" s="242"/>
      <c r="W310" s="217" t="s">
        <v>633</v>
      </c>
      <c r="X310" s="241" t="s">
        <v>632</v>
      </c>
      <c r="Y310" s="197">
        <f>'State DisAgg LFx10 (2014)'!P300</f>
        <v>1</v>
      </c>
      <c r="Z310" s="195"/>
      <c r="AA310" s="196"/>
      <c r="AB310" s="196"/>
      <c r="AC310" s="197">
        <f>'State DisAgg LFx10 (2014)'!T310</f>
        <v>1</v>
      </c>
      <c r="AD310" s="195"/>
      <c r="AE310" s="197"/>
      <c r="AI310" s="366">
        <f>O310-J310</f>
        <v>0</v>
      </c>
      <c r="AJ310" s="367">
        <f>U310-O310</f>
        <v>0</v>
      </c>
      <c r="AK310" s="367">
        <f t="shared" si="63"/>
        <v>1</v>
      </c>
      <c r="AL310" s="368">
        <f t="shared" si="64"/>
        <v>0</v>
      </c>
      <c r="AM310" s="354"/>
      <c r="AQ310" s="354"/>
    </row>
    <row r="311" spans="1:46" ht="12.95" hidden="1" customHeight="1" thickBot="1">
      <c r="A311" s="885"/>
      <c r="B311" s="501"/>
      <c r="C311" s="231"/>
      <c r="D311" s="232"/>
      <c r="E311" s="233"/>
      <c r="F311" s="234"/>
      <c r="G311" s="232"/>
      <c r="H311" s="232"/>
      <c r="I311" s="233"/>
      <c r="J311" s="234"/>
      <c r="K311" s="232"/>
      <c r="L311" s="232"/>
      <c r="M311" s="233"/>
      <c r="N311" s="234"/>
      <c r="O311" s="232"/>
      <c r="P311" s="232"/>
      <c r="Q311" s="233"/>
      <c r="R311" s="234"/>
      <c r="S311" s="232"/>
      <c r="T311" s="232"/>
      <c r="U311" s="233"/>
      <c r="V311" s="234"/>
      <c r="W311" s="232"/>
      <c r="X311" s="232"/>
      <c r="Y311" s="233"/>
      <c r="Z311" s="234"/>
      <c r="AA311" s="232"/>
      <c r="AB311" s="232"/>
      <c r="AC311" s="233"/>
      <c r="AD311" s="234"/>
      <c r="AE311" s="233"/>
      <c r="AI311" s="354">
        <f>O311-J311</f>
        <v>0</v>
      </c>
      <c r="AJ311" s="354">
        <f>U311-O311</f>
        <v>0</v>
      </c>
      <c r="AK311" s="354">
        <f t="shared" si="63"/>
        <v>0</v>
      </c>
      <c r="AQ311" s="354"/>
    </row>
    <row r="312" spans="1:46" ht="12.95" hidden="1" customHeight="1" thickBot="1">
      <c r="A312" s="885"/>
      <c r="B312" s="501"/>
      <c r="C312" s="231"/>
      <c r="D312" s="232"/>
      <c r="E312" s="233"/>
      <c r="F312" s="234"/>
      <c r="G312" s="232"/>
      <c r="H312" s="232"/>
      <c r="I312" s="233"/>
      <c r="J312" s="234"/>
      <c r="K312" s="232"/>
      <c r="L312" s="232"/>
      <c r="M312" s="233"/>
      <c r="N312" s="234"/>
      <c r="O312" s="232"/>
      <c r="P312" s="232"/>
      <c r="Q312" s="233"/>
      <c r="R312" s="234"/>
      <c r="S312" s="232"/>
      <c r="T312" s="232"/>
      <c r="U312" s="233"/>
      <c r="V312" s="234"/>
      <c r="W312" s="232"/>
      <c r="X312" s="232"/>
      <c r="Y312" s="233"/>
      <c r="Z312" s="234"/>
      <c r="AA312" s="232"/>
      <c r="AB312" s="232"/>
      <c r="AC312" s="233"/>
      <c r="AD312" s="234"/>
      <c r="AE312" s="233"/>
      <c r="AI312" s="354">
        <f>O312-J312</f>
        <v>0</v>
      </c>
      <c r="AJ312" s="354">
        <f>U312-O312</f>
        <v>0</v>
      </c>
      <c r="AK312" s="354">
        <f t="shared" si="63"/>
        <v>0</v>
      </c>
      <c r="AQ312" s="354"/>
    </row>
    <row r="313" spans="1:46" ht="12.95" customHeight="1" thickBot="1">
      <c r="A313" s="885"/>
      <c r="B313" s="3" t="s">
        <v>21</v>
      </c>
      <c r="C313" s="12"/>
      <c r="D313" s="1377">
        <v>2008</v>
      </c>
      <c r="E313" s="1378"/>
      <c r="F313" s="1372">
        <v>2009</v>
      </c>
      <c r="G313" s="1373"/>
      <c r="H313" s="1373"/>
      <c r="I313" s="1374"/>
      <c r="J313" s="1372">
        <v>2010</v>
      </c>
      <c r="K313" s="1373"/>
      <c r="L313" s="1373"/>
      <c r="M313" s="1374"/>
      <c r="N313" s="1372">
        <v>2011</v>
      </c>
      <c r="O313" s="1373"/>
      <c r="P313" s="1373"/>
      <c r="Q313" s="1374"/>
      <c r="R313" s="1372">
        <v>2012</v>
      </c>
      <c r="S313" s="1373"/>
      <c r="T313" s="1373"/>
      <c r="U313" s="1374"/>
      <c r="V313" s="1372">
        <v>2013</v>
      </c>
      <c r="W313" s="1373"/>
      <c r="X313" s="1373"/>
      <c r="Y313" s="1374"/>
      <c r="Z313" s="1372">
        <v>2014</v>
      </c>
      <c r="AA313" s="1373"/>
      <c r="AB313" s="1373"/>
      <c r="AC313" s="1374"/>
      <c r="AD313" s="1372">
        <v>2015</v>
      </c>
      <c r="AE313" s="1374"/>
      <c r="AG313" s="257" t="s">
        <v>663</v>
      </c>
      <c r="AL313" s="351"/>
      <c r="AM313" s="351"/>
      <c r="AS313" s="716" t="s">
        <v>1037</v>
      </c>
    </row>
    <row r="314" spans="1:46" ht="13.5" thickBot="1">
      <c r="A314" s="885"/>
      <c r="B314" s="868" t="s">
        <v>63</v>
      </c>
      <c r="C314" s="194" t="s">
        <v>610</v>
      </c>
      <c r="D314" s="206"/>
      <c r="E314" s="207"/>
      <c r="F314" s="209"/>
      <c r="G314" s="206"/>
      <c r="H314" s="206"/>
      <c r="I314" s="207"/>
      <c r="J314" s="209"/>
      <c r="K314" s="206"/>
      <c r="L314" s="206"/>
      <c r="M314" s="207"/>
      <c r="N314" s="277"/>
      <c r="O314" s="278">
        <f>(O324-J324)/5/$C$679/Spend!O314*'State Efficiency Ratios (2014)'!$C$655</f>
        <v>0</v>
      </c>
      <c r="P314" s="278"/>
      <c r="Q314" s="279"/>
      <c r="R314" s="277"/>
      <c r="S314" s="278"/>
      <c r="T314" s="278"/>
      <c r="U314" s="278">
        <f>(U324-O324)/6/$C$679/Spend!U314*'State Efficiency Ratios (2014)'!$C$655</f>
        <v>59.211636310254043</v>
      </c>
      <c r="V314" s="277"/>
      <c r="W314" s="278"/>
      <c r="X314" s="278"/>
      <c r="Y314" s="278">
        <f>(Y324-U324)/4/$C$679/Spend!Y314*'State Efficiency Ratios (2014)'!$C$655</f>
        <v>121.47902829998176</v>
      </c>
      <c r="Z314" s="277"/>
      <c r="AA314" s="278"/>
      <c r="AB314" s="278"/>
      <c r="AC314" s="278">
        <f>(AC324-Y324)/4/$C$679/Spend!AC314*'State Efficiency Ratios (2014)'!$C$655</f>
        <v>218.54442015533996</v>
      </c>
      <c r="AD314" s="277"/>
      <c r="AE314" s="280"/>
      <c r="AG314" s="410"/>
      <c r="AL314" s="356"/>
      <c r="AM314" s="356"/>
      <c r="AS314" s="717">
        <f>(O324-J324)/7/$C$673/Spend!O314*'State Efficiency Ratios (2014)'!$C$655</f>
        <v>0</v>
      </c>
    </row>
    <row r="315" spans="1:46" ht="13.5" thickBot="1">
      <c r="A315" s="885"/>
      <c r="B315" s="885"/>
      <c r="C315" s="194" t="s">
        <v>611</v>
      </c>
      <c r="D315" s="206"/>
      <c r="E315" s="207"/>
      <c r="F315" s="209"/>
      <c r="G315" s="206"/>
      <c r="H315" s="206"/>
      <c r="I315" s="207"/>
      <c r="J315" s="209"/>
      <c r="K315" s="206"/>
      <c r="L315" s="206"/>
      <c r="M315" s="207"/>
      <c r="N315" s="277"/>
      <c r="O315" s="278">
        <f>(O325-J325)/5/$C$679/Spend!O315*'State Efficiency Ratios (2014)'!$C$655</f>
        <v>24.065928631811413</v>
      </c>
      <c r="P315" s="278"/>
      <c r="Q315" s="279"/>
      <c r="R315" s="277"/>
      <c r="S315" s="278"/>
      <c r="T315" s="278"/>
      <c r="U315" s="278">
        <f>(U325-O325)/6/$C$679/Spend!U315*'State Efficiency Ratios (2014)'!$C$655</f>
        <v>0</v>
      </c>
      <c r="V315" s="277"/>
      <c r="W315" s="278"/>
      <c r="X315" s="278"/>
      <c r="Y315" s="278">
        <f>(Y325-U325)/4/$C$679/Spend!Y315*'State Efficiency Ratios (2014)'!$C$655</f>
        <v>190.42677417416283</v>
      </c>
      <c r="Z315" s="277"/>
      <c r="AA315" s="278"/>
      <c r="AB315" s="278"/>
      <c r="AC315" s="278">
        <f>(AC325-Y325)/4/$C$679/Spend!AC315*'State Efficiency Ratios (2014)'!$C$655</f>
        <v>172.20094247606744</v>
      </c>
      <c r="AD315" s="277"/>
      <c r="AE315" s="280"/>
      <c r="AG315" s="410"/>
      <c r="AL315" s="378"/>
      <c r="AM315" s="378"/>
      <c r="AS315" s="719">
        <f>(O325-J325)/7/$C$673/Spend!O315*'State Efficiency Ratios (2014)'!$C$655</f>
        <v>51.569847068167299</v>
      </c>
    </row>
    <row r="316" spans="1:46" ht="13.5" thickBot="1">
      <c r="A316" s="885"/>
      <c r="B316" s="885"/>
      <c r="C316" s="194" t="s">
        <v>612</v>
      </c>
      <c r="D316" s="206"/>
      <c r="E316" s="207"/>
      <c r="F316" s="209"/>
      <c r="G316" s="206"/>
      <c r="H316" s="206"/>
      <c r="I316" s="207"/>
      <c r="J316" s="209"/>
      <c r="K316" s="206"/>
      <c r="L316" s="206"/>
      <c r="M316" s="207"/>
      <c r="N316" s="277"/>
      <c r="O316" s="278">
        <f>(O326-J326)/5/$C$679/Spend!O316*'State Efficiency Ratios (2014)'!$C$655</f>
        <v>23.961617389547953</v>
      </c>
      <c r="P316" s="278"/>
      <c r="Q316" s="279"/>
      <c r="R316" s="277"/>
      <c r="S316" s="278"/>
      <c r="T316" s="278"/>
      <c r="U316" s="278">
        <f>(U326-O326)/6/$C$679/Spend!U316*'State Efficiency Ratios (2014)'!$C$655</f>
        <v>60.71729150877043</v>
      </c>
      <c r="V316" s="277"/>
      <c r="W316" s="278"/>
      <c r="X316" s="278"/>
      <c r="Y316" s="278">
        <f>(Y326-U326)/4/$C$679/Spend!Y316*'State Efficiency Ratios (2014)'!$C$655</f>
        <v>180.63421674898586</v>
      </c>
      <c r="Z316" s="277"/>
      <c r="AA316" s="278"/>
      <c r="AB316" s="278"/>
      <c r="AC316" s="278">
        <f>(AC326-Y326)/4/$C$679/Spend!AC316*'State Efficiency Ratios (2014)'!$C$655</f>
        <v>113.73324440636645</v>
      </c>
      <c r="AD316" s="277"/>
      <c r="AE316" s="280"/>
      <c r="AG316" s="410" t="s">
        <v>1086</v>
      </c>
      <c r="AS316" s="719">
        <f>(O326-J326)/7/$C$673/Spend!O316*'State Efficiency Ratios (2014)'!$C$655</f>
        <v>51.346322977602753</v>
      </c>
    </row>
    <row r="317" spans="1:46" ht="13.5" thickBot="1">
      <c r="A317" s="885"/>
      <c r="B317" s="885"/>
      <c r="C317" s="194" t="s">
        <v>613</v>
      </c>
      <c r="D317" s="206"/>
      <c r="E317" s="207"/>
      <c r="F317" s="209"/>
      <c r="G317" s="206"/>
      <c r="H317" s="206"/>
      <c r="I317" s="207"/>
      <c r="J317" s="209"/>
      <c r="K317" s="206"/>
      <c r="L317" s="206"/>
      <c r="M317" s="207"/>
      <c r="N317" s="277"/>
      <c r="O317" s="278">
        <f>(O327-J327)/5/$C$679/Spend!O317*'State Efficiency Ratios (2014)'!$C$655</f>
        <v>24.645722677500274</v>
      </c>
      <c r="P317" s="278"/>
      <c r="Q317" s="279"/>
      <c r="R317" s="277"/>
      <c r="S317" s="278"/>
      <c r="T317" s="278"/>
      <c r="U317" s="278">
        <f>(U327-O327)/6/$C$679/Spend!U317*'State Efficiency Ratios (2014)'!$C$655</f>
        <v>38.283552134984383</v>
      </c>
      <c r="V317" s="277"/>
      <c r="W317" s="278"/>
      <c r="X317" s="278"/>
      <c r="Y317" s="278">
        <f>(Y327-U327)/4/$C$679/Spend!Y317*'State Efficiency Ratios (2014)'!$C$655</f>
        <v>195.27650793995087</v>
      </c>
      <c r="Z317" s="277"/>
      <c r="AA317" s="278"/>
      <c r="AB317" s="278"/>
      <c r="AC317" s="278">
        <f>(AC327-Y327)/4/$C$679/Spend!AC317*'State Efficiency Ratios (2014)'!$C$655</f>
        <v>57.891047526896969</v>
      </c>
      <c r="AD317" s="277"/>
      <c r="AE317" s="280"/>
      <c r="AG317" s="410" t="s">
        <v>1087</v>
      </c>
      <c r="AS317" s="719">
        <f>(O327-J327)/7/$C$673/Spend!O317*'State Efficiency Ratios (2014)'!$C$655</f>
        <v>52.812262880357729</v>
      </c>
      <c r="AT317" s="714" t="s">
        <v>1070</v>
      </c>
    </row>
    <row r="318" spans="1:46" ht="13.5" thickBot="1">
      <c r="A318" s="885"/>
      <c r="B318" s="885"/>
      <c r="C318" s="194" t="s">
        <v>614</v>
      </c>
      <c r="D318" s="206"/>
      <c r="E318" s="207"/>
      <c r="F318" s="209"/>
      <c r="G318" s="206"/>
      <c r="H318" s="206"/>
      <c r="I318" s="207"/>
      <c r="J318" s="209"/>
      <c r="K318" s="206"/>
      <c r="L318" s="206"/>
      <c r="M318" s="207"/>
      <c r="N318" s="277"/>
      <c r="O318" s="278">
        <f>(O328-J328)/5/$C$679/Spend!O318*'State Efficiency Ratios (2014)'!$C$655</f>
        <v>11.360473741127196</v>
      </c>
      <c r="P318" s="278"/>
      <c r="Q318" s="279"/>
      <c r="R318" s="277"/>
      <c r="S318" s="278"/>
      <c r="T318" s="278"/>
      <c r="U318" s="278">
        <f>(U328-O328)/6/$C$679/Spend!U318*'State Efficiency Ratios (2014)'!$C$655</f>
        <v>13.038530044780241</v>
      </c>
      <c r="V318" s="277"/>
      <c r="W318" s="278"/>
      <c r="X318" s="278"/>
      <c r="Y318" s="278">
        <f>(Y328-U328)/4/$C$679/Spend!Y318*'State Efficiency Ratios (2014)'!$C$655</f>
        <v>224.13950329633576</v>
      </c>
      <c r="Z318" s="277"/>
      <c r="AA318" s="278"/>
      <c r="AB318" s="278"/>
      <c r="AC318" s="278">
        <f>(AC328-Y328)/4/$C$679/Spend!AC318*'State Efficiency Ratios (2014)'!$C$655</f>
        <v>234.6740332869127</v>
      </c>
      <c r="AD318" s="277"/>
      <c r="AE318" s="280"/>
      <c r="AG318" s="410" t="s">
        <v>1088</v>
      </c>
      <c r="AS318" s="719">
        <f>(O328-J328)/7/$C$673/Spend!O318*'State Efficiency Ratios (2014)'!$C$655</f>
        <v>24.34387230241542</v>
      </c>
      <c r="AT318" s="721">
        <f>SUM(AS314:AS318)/5</f>
        <v>36.014461045708643</v>
      </c>
    </row>
    <row r="319" spans="1:46" ht="12.95" customHeight="1" thickBot="1">
      <c r="A319" s="885"/>
      <c r="B319" s="885"/>
      <c r="C319" s="194" t="s">
        <v>615</v>
      </c>
      <c r="D319" s="210"/>
      <c r="E319" s="211"/>
      <c r="F319" s="209"/>
      <c r="G319" s="210"/>
      <c r="H319" s="210"/>
      <c r="I319" s="211"/>
      <c r="J319" s="209"/>
      <c r="K319" s="210"/>
      <c r="L319" s="210"/>
      <c r="M319" s="211"/>
      <c r="N319" s="281"/>
      <c r="O319" s="282"/>
      <c r="P319" s="282"/>
      <c r="Q319" s="282"/>
      <c r="R319" s="277"/>
      <c r="S319" s="278"/>
      <c r="T319" s="278"/>
      <c r="U319" s="278">
        <f>(U329-R329)/3/$C$679/Spend!U319*'State Efficiency Ratios (2014)'!$C$655</f>
        <v>0</v>
      </c>
      <c r="V319" s="277"/>
      <c r="W319" s="278"/>
      <c r="X319" s="278"/>
      <c r="Y319" s="278">
        <f>(Y329-U329)/4/$C$679/Spend!Y319*'State Efficiency Ratios (2014)'!$C$655</f>
        <v>0</v>
      </c>
      <c r="Z319" s="277"/>
      <c r="AA319" s="278"/>
      <c r="AB319" s="278"/>
      <c r="AC319" s="278">
        <f>(AC329-Y329)/4/$C$679/Spend!AC319*'State Efficiency Ratios (2014)'!$C$655</f>
        <v>48.6982470618684</v>
      </c>
      <c r="AD319" s="277"/>
      <c r="AE319" s="280"/>
      <c r="AG319" s="410"/>
      <c r="AI319" s="4" t="s">
        <v>1053</v>
      </c>
      <c r="AS319" s="719">
        <f>(Y329-R329)/7/$C$673/(Spend!U319+Spend!Y319)*'State Efficiency Ratios (2014)'!$C$655</f>
        <v>0</v>
      </c>
    </row>
    <row r="320" spans="1:46" ht="12.95" customHeight="1" thickBot="1">
      <c r="A320" s="885"/>
      <c r="B320" s="885"/>
      <c r="C320" s="194" t="s">
        <v>616</v>
      </c>
      <c r="D320" s="210"/>
      <c r="E320" s="211"/>
      <c r="F320" s="209"/>
      <c r="G320" s="210"/>
      <c r="H320" s="210"/>
      <c r="I320" s="211"/>
      <c r="J320" s="209"/>
      <c r="K320" s="210"/>
      <c r="L320" s="210"/>
      <c r="M320" s="211"/>
      <c r="N320" s="281"/>
      <c r="O320" s="282"/>
      <c r="P320" s="282"/>
      <c r="Q320" s="282"/>
      <c r="R320" s="277"/>
      <c r="S320" s="278"/>
      <c r="T320" s="278"/>
      <c r="U320" s="278">
        <f>(U330-R330)/3/$C$679/Spend!U320*'State Efficiency Ratios (2014)'!$C$655</f>
        <v>0</v>
      </c>
      <c r="V320" s="277"/>
      <c r="W320" s="278"/>
      <c r="X320" s="278"/>
      <c r="Y320" s="278">
        <f>(Y330-U330)/4/$C$679/Spend!Y320*'State Efficiency Ratios (2014)'!$C$655</f>
        <v>0</v>
      </c>
      <c r="Z320" s="277"/>
      <c r="AA320" s="278"/>
      <c r="AB320" s="278"/>
      <c r="AC320" s="278">
        <f>(AC330-Y330)/4/$C$679/Spend!AC320*'State Efficiency Ratios (2014)'!$C$655</f>
        <v>0</v>
      </c>
      <c r="AD320" s="277"/>
      <c r="AE320" s="280"/>
      <c r="AG320" s="410" t="s">
        <v>1084</v>
      </c>
      <c r="AH320" s="355" t="s">
        <v>1052</v>
      </c>
      <c r="AI320" s="599">
        <f>4/5*SUM(AI324:AI328)/5</f>
        <v>1.1200000000000001</v>
      </c>
      <c r="AJ320" s="592">
        <f>4/6*SUM(AJ324:AJ328)/5</f>
        <v>1.2</v>
      </c>
      <c r="AK320" s="592">
        <f>SUM(AK324:AK331)/8</f>
        <v>2.875</v>
      </c>
      <c r="AL320" s="594">
        <f>SUM(AL324:AL331)/8</f>
        <v>2.5</v>
      </c>
      <c r="AS320" s="719">
        <f>(Y330-R330)/7/$C$673/(Spend!U320+Spend!Y320)*'State Efficiency Ratios (2014)'!$C$655</f>
        <v>0</v>
      </c>
      <c r="AT320" s="714" t="s">
        <v>1071</v>
      </c>
    </row>
    <row r="321" spans="1:46" ht="12.95" customHeight="1" thickBot="1">
      <c r="A321" s="885"/>
      <c r="B321" s="885"/>
      <c r="C321" s="194" t="s">
        <v>617</v>
      </c>
      <c r="D321" s="210"/>
      <c r="E321" s="211"/>
      <c r="F321" s="209"/>
      <c r="G321" s="210"/>
      <c r="H321" s="210"/>
      <c r="I321" s="211"/>
      <c r="J321" s="209"/>
      <c r="K321" s="210"/>
      <c r="L321" s="210"/>
      <c r="M321" s="211"/>
      <c r="N321" s="281"/>
      <c r="O321" s="282"/>
      <c r="P321" s="282"/>
      <c r="Q321" s="282"/>
      <c r="R321" s="277"/>
      <c r="S321" s="278"/>
      <c r="T321" s="278"/>
      <c r="U321" s="278">
        <f>(U331-R331)/3/$C$679/Spend!U321*'State Efficiency Ratios (2014)'!$C$655</f>
        <v>0</v>
      </c>
      <c r="V321" s="277"/>
      <c r="W321" s="278"/>
      <c r="X321" s="278"/>
      <c r="Y321" s="278">
        <f>(Y331-U331)/4/$C$679/Spend!Y321*'State Efficiency Ratios (2014)'!$C$655</f>
        <v>137.8436333879842</v>
      </c>
      <c r="Z321" s="277"/>
      <c r="AA321" s="278"/>
      <c r="AB321" s="278"/>
      <c r="AC321" s="278">
        <f>(AC331-Y331)/4/$C$679/Spend!AC321*'State Efficiency Ratios (2014)'!$C$655</f>
        <v>250.05132810242105</v>
      </c>
      <c r="AD321" s="277"/>
      <c r="AE321" s="280"/>
      <c r="AG321" s="410" t="s">
        <v>1089</v>
      </c>
      <c r="AH321" s="355" t="s">
        <v>1051</v>
      </c>
      <c r="AI321" s="606">
        <f>SUM(O314:O318)/5</f>
        <v>16.806748487997368</v>
      </c>
      <c r="AJ321" s="607">
        <f>SUM(U314:U318)/5</f>
        <v>34.250201999757813</v>
      </c>
      <c r="AK321" s="607">
        <f>SUM(Y314:Y321)/8</f>
        <v>131.22495798092515</v>
      </c>
      <c r="AL321" s="608">
        <f>SUM(AC314:AC321)/8</f>
        <v>136.97415787698412</v>
      </c>
      <c r="AS321" s="722">
        <f>(Y331-R331)/7/$C$673/(Spend!U321+Spend!Y321)*'State Efficiency Ratios (2014)'!$C$655</f>
        <v>116.44063430139344</v>
      </c>
      <c r="AT321" s="721">
        <f>SUM(AS319:AS321)/3</f>
        <v>38.813544767131148</v>
      </c>
    </row>
    <row r="322" spans="1:46" ht="12.95" customHeight="1" thickBot="1">
      <c r="A322" s="885"/>
      <c r="B322" s="885"/>
      <c r="C322" s="194" t="s">
        <v>618</v>
      </c>
      <c r="D322" s="210"/>
      <c r="E322" s="211"/>
      <c r="F322" s="209"/>
      <c r="G322" s="210"/>
      <c r="H322" s="210"/>
      <c r="I322" s="211"/>
      <c r="J322" s="209"/>
      <c r="K322" s="210"/>
      <c r="L322" s="210"/>
      <c r="M322" s="211"/>
      <c r="N322" s="281"/>
      <c r="O322" s="282"/>
      <c r="P322" s="282"/>
      <c r="Q322" s="283"/>
      <c r="R322" s="281"/>
      <c r="S322" s="282"/>
      <c r="T322" s="282"/>
      <c r="U322" s="283"/>
      <c r="V322" s="281"/>
      <c r="W322" s="282"/>
      <c r="X322" s="282"/>
      <c r="Y322" s="283"/>
      <c r="Z322" s="277"/>
      <c r="AA322" s="278"/>
      <c r="AB322" s="278"/>
      <c r="AC322" s="278">
        <f>(AC332-Y332)/4/$C$679/Spend!AC322*'State Efficiency Ratios (2014)'!$C$655</f>
        <v>0</v>
      </c>
      <c r="AD322" s="277"/>
      <c r="AE322" s="280"/>
      <c r="AG322" s="410"/>
    </row>
    <row r="323" spans="1:46" ht="12.95" customHeight="1" thickBot="1">
      <c r="A323" s="885"/>
      <c r="B323" s="885"/>
      <c r="C323" s="194" t="s">
        <v>619</v>
      </c>
      <c r="D323" s="210"/>
      <c r="E323" s="211"/>
      <c r="F323" s="209"/>
      <c r="G323" s="210"/>
      <c r="H323" s="210"/>
      <c r="I323" s="211"/>
      <c r="J323" s="209"/>
      <c r="K323" s="210"/>
      <c r="L323" s="210"/>
      <c r="M323" s="211"/>
      <c r="N323" s="281"/>
      <c r="O323" s="282"/>
      <c r="P323" s="282"/>
      <c r="Q323" s="283"/>
      <c r="R323" s="281"/>
      <c r="S323" s="282"/>
      <c r="T323" s="282"/>
      <c r="U323" s="283"/>
      <c r="V323" s="281"/>
      <c r="W323" s="282"/>
      <c r="X323" s="282"/>
      <c r="Y323" s="283"/>
      <c r="Z323" s="277"/>
      <c r="AA323" s="278"/>
      <c r="AB323" s="278"/>
      <c r="AC323" s="278">
        <f>(AC333-Y333)/4/$C$679/Spend!AC323*'State Efficiency Ratios (2014)'!$C$655</f>
        <v>0</v>
      </c>
      <c r="AD323" s="277"/>
      <c r="AE323" s="280"/>
      <c r="AG323" s="410"/>
      <c r="AI323" s="416" t="s">
        <v>1037</v>
      </c>
      <c r="AS323" s="716" t="s">
        <v>1037</v>
      </c>
    </row>
    <row r="324" spans="1:46" ht="12.95" customHeight="1" thickBot="1">
      <c r="A324" s="885"/>
      <c r="B324" s="885"/>
      <c r="C324" s="9" t="s">
        <v>295</v>
      </c>
      <c r="D324" s="241" t="s">
        <v>632</v>
      </c>
      <c r="E324" s="241" t="s">
        <v>632</v>
      </c>
      <c r="F324" s="243" t="s">
        <v>646</v>
      </c>
      <c r="G324" s="241" t="s">
        <v>646</v>
      </c>
      <c r="H324" s="241" t="s">
        <v>646</v>
      </c>
      <c r="I324" s="244" t="s">
        <v>646</v>
      </c>
      <c r="J324" s="195">
        <f>'State DisAgg LFx10 (2014)'!D314</f>
        <v>0</v>
      </c>
      <c r="K324" s="196"/>
      <c r="L324" s="196"/>
      <c r="M324" s="197"/>
      <c r="N324" s="195"/>
      <c r="O324" s="196">
        <f>'State DisAgg LFx10 (2014)'!H314</f>
        <v>0</v>
      </c>
      <c r="P324" s="196"/>
      <c r="Q324" s="197"/>
      <c r="R324" s="195"/>
      <c r="S324" s="196"/>
      <c r="T324" s="196"/>
      <c r="U324" s="197">
        <f>'State DisAgg LFx10 (2014)'!L324</f>
        <v>3</v>
      </c>
      <c r="V324" s="195"/>
      <c r="W324" s="196"/>
      <c r="X324" s="196"/>
      <c r="Y324" s="197">
        <f>'State DisAgg LFx10 (2014)'!P324</f>
        <v>6</v>
      </c>
      <c r="Z324" s="195"/>
      <c r="AA324" s="196"/>
      <c r="AB324" s="196"/>
      <c r="AC324" s="197">
        <f>'State DisAgg LFx10 (2014)'!T324</f>
        <v>10</v>
      </c>
      <c r="AD324" s="195"/>
      <c r="AE324" s="197"/>
      <c r="AI324" s="361">
        <f>O324-J324</f>
        <v>0</v>
      </c>
      <c r="AJ324" s="362">
        <f>U324-O324</f>
        <v>3</v>
      </c>
      <c r="AK324" s="362">
        <f t="shared" ref="AK324:AK335" si="65">Y324-U324</f>
        <v>3</v>
      </c>
      <c r="AL324" s="582">
        <f t="shared" ref="AL324:AL333" si="66">AC324-Y324</f>
        <v>4</v>
      </c>
      <c r="AM324" s="378"/>
      <c r="AQ324" s="354"/>
      <c r="AS324" s="724">
        <f>(O324-J324)</f>
        <v>0</v>
      </c>
    </row>
    <row r="325" spans="1:46" ht="12.95" customHeight="1" thickBot="1">
      <c r="A325" s="885"/>
      <c r="B325" s="885"/>
      <c r="C325" s="9" t="s">
        <v>296</v>
      </c>
      <c r="D325" s="241" t="s">
        <v>632</v>
      </c>
      <c r="E325" s="241" t="s">
        <v>632</v>
      </c>
      <c r="F325" s="243" t="s">
        <v>646</v>
      </c>
      <c r="G325" s="241" t="s">
        <v>646</v>
      </c>
      <c r="H325" s="241" t="s">
        <v>646</v>
      </c>
      <c r="I325" s="244" t="s">
        <v>646</v>
      </c>
      <c r="J325" s="195">
        <f>'State DisAgg LFx10 (2014)'!D315</f>
        <v>0</v>
      </c>
      <c r="K325" s="196"/>
      <c r="L325" s="196"/>
      <c r="M325" s="197"/>
      <c r="N325" s="195"/>
      <c r="O325" s="196">
        <f>'State DisAgg LFx10 (2014)'!H315</f>
        <v>2</v>
      </c>
      <c r="P325" s="196"/>
      <c r="Q325" s="197"/>
      <c r="R325" s="195"/>
      <c r="S325" s="196"/>
      <c r="T325" s="196"/>
      <c r="U325" s="197">
        <f>'State DisAgg LFx10 (2014)'!L325</f>
        <v>2</v>
      </c>
      <c r="V325" s="195"/>
      <c r="W325" s="196"/>
      <c r="X325" s="196"/>
      <c r="Y325" s="197">
        <f>'State DisAgg LFx10 (2014)'!P325</f>
        <v>6</v>
      </c>
      <c r="Z325" s="195"/>
      <c r="AA325" s="196"/>
      <c r="AB325" s="196"/>
      <c r="AC325" s="197">
        <f>'State DisAgg LFx10 (2014)'!T325</f>
        <v>9</v>
      </c>
      <c r="AD325" s="195"/>
      <c r="AE325" s="197"/>
      <c r="AI325" s="364">
        <f>O325-J325</f>
        <v>2</v>
      </c>
      <c r="AJ325" s="360">
        <f>U325-O325</f>
        <v>0</v>
      </c>
      <c r="AK325" s="360">
        <f t="shared" si="65"/>
        <v>4</v>
      </c>
      <c r="AL325" s="584">
        <f t="shared" si="66"/>
        <v>3</v>
      </c>
      <c r="AM325" s="378"/>
      <c r="AQ325" s="354"/>
      <c r="AS325" s="726">
        <f>(O325-J325)</f>
        <v>2</v>
      </c>
    </row>
    <row r="326" spans="1:46" ht="13.5" thickBot="1">
      <c r="A326" s="885"/>
      <c r="B326" s="885"/>
      <c r="C326" s="9" t="s">
        <v>297</v>
      </c>
      <c r="D326" s="241" t="s">
        <v>632</v>
      </c>
      <c r="E326" s="241" t="s">
        <v>632</v>
      </c>
      <c r="F326" s="243" t="s">
        <v>646</v>
      </c>
      <c r="G326" s="241" t="s">
        <v>646</v>
      </c>
      <c r="H326" s="241" t="s">
        <v>646</v>
      </c>
      <c r="I326" s="244" t="s">
        <v>646</v>
      </c>
      <c r="J326" s="195">
        <f>'State DisAgg LFx10 (2014)'!D316</f>
        <v>0</v>
      </c>
      <c r="K326" s="196"/>
      <c r="L326" s="196"/>
      <c r="M326" s="197"/>
      <c r="N326" s="195"/>
      <c r="O326" s="196">
        <f>'State DisAgg LFx10 (2014)'!H316</f>
        <v>2</v>
      </c>
      <c r="P326" s="196"/>
      <c r="Q326" s="197"/>
      <c r="R326" s="195"/>
      <c r="S326" s="196"/>
      <c r="T326" s="196"/>
      <c r="U326" s="197">
        <f>'State DisAgg LFx10 (2014)'!L326</f>
        <v>5</v>
      </c>
      <c r="V326" s="195"/>
      <c r="W326" s="196"/>
      <c r="X326" s="196"/>
      <c r="Y326" s="197">
        <f>'State DisAgg LFx10 (2014)'!P326</f>
        <v>9</v>
      </c>
      <c r="Z326" s="195"/>
      <c r="AA326" s="196"/>
      <c r="AB326" s="196"/>
      <c r="AC326" s="197">
        <f>'State DisAgg LFx10 (2014)'!T326</f>
        <v>11</v>
      </c>
      <c r="AD326" s="195"/>
      <c r="AE326" s="197"/>
      <c r="AI326" s="364">
        <f>O326-J326</f>
        <v>2</v>
      </c>
      <c r="AJ326" s="360">
        <f>U326-O326</f>
        <v>3</v>
      </c>
      <c r="AK326" s="360">
        <f t="shared" si="65"/>
        <v>4</v>
      </c>
      <c r="AL326" s="584">
        <f t="shared" si="66"/>
        <v>2</v>
      </c>
      <c r="AM326" s="378"/>
      <c r="AQ326" s="354"/>
      <c r="AS326" s="726">
        <f>(O326-J326)</f>
        <v>2</v>
      </c>
    </row>
    <row r="327" spans="1:46" ht="13.5" thickBot="1">
      <c r="A327" s="885"/>
      <c r="B327" s="885"/>
      <c r="C327" s="9" t="s">
        <v>298</v>
      </c>
      <c r="D327" s="241" t="s">
        <v>632</v>
      </c>
      <c r="E327" s="241" t="s">
        <v>632</v>
      </c>
      <c r="F327" s="243" t="s">
        <v>646</v>
      </c>
      <c r="G327" s="241" t="s">
        <v>646</v>
      </c>
      <c r="H327" s="241" t="s">
        <v>646</v>
      </c>
      <c r="I327" s="244" t="s">
        <v>646</v>
      </c>
      <c r="J327" s="195">
        <f>'State DisAgg LFx10 (2014)'!D317</f>
        <v>0</v>
      </c>
      <c r="K327" s="196"/>
      <c r="L327" s="196"/>
      <c r="M327" s="197"/>
      <c r="N327" s="195"/>
      <c r="O327" s="196">
        <f>'State DisAgg LFx10 (2014)'!H317</f>
        <v>2</v>
      </c>
      <c r="P327" s="196"/>
      <c r="Q327" s="197"/>
      <c r="R327" s="195"/>
      <c r="S327" s="196"/>
      <c r="T327" s="196"/>
      <c r="U327" s="197">
        <f>'State DisAgg LFx10 (2014)'!L327</f>
        <v>4</v>
      </c>
      <c r="V327" s="195"/>
      <c r="W327" s="196"/>
      <c r="X327" s="196"/>
      <c r="Y327" s="197">
        <f>'State DisAgg LFx10 (2014)'!P327</f>
        <v>8</v>
      </c>
      <c r="Z327" s="195"/>
      <c r="AA327" s="196"/>
      <c r="AB327" s="196"/>
      <c r="AC327" s="197">
        <f>'State DisAgg LFx10 (2014)'!T327</f>
        <v>9</v>
      </c>
      <c r="AD327" s="195"/>
      <c r="AE327" s="197"/>
      <c r="AI327" s="364">
        <f>O327-J327</f>
        <v>2</v>
      </c>
      <c r="AJ327" s="360">
        <f>U327-O327</f>
        <v>2</v>
      </c>
      <c r="AK327" s="360">
        <f t="shared" si="65"/>
        <v>4</v>
      </c>
      <c r="AL327" s="584">
        <f t="shared" si="66"/>
        <v>1</v>
      </c>
      <c r="AM327" s="378"/>
      <c r="AQ327" s="354"/>
      <c r="AS327" s="726">
        <f>(O327-J327)</f>
        <v>2</v>
      </c>
      <c r="AT327" s="714" t="s">
        <v>1070</v>
      </c>
    </row>
    <row r="328" spans="1:46" ht="13.5" thickBot="1">
      <c r="A328" s="885"/>
      <c r="B328" s="885"/>
      <c r="C328" s="9" t="s">
        <v>299</v>
      </c>
      <c r="D328" s="241" t="s">
        <v>632</v>
      </c>
      <c r="E328" s="241" t="s">
        <v>632</v>
      </c>
      <c r="F328" s="243" t="s">
        <v>646</v>
      </c>
      <c r="G328" s="241" t="s">
        <v>646</v>
      </c>
      <c r="H328" s="241" t="s">
        <v>646</v>
      </c>
      <c r="I328" s="244" t="s">
        <v>646</v>
      </c>
      <c r="J328" s="195">
        <f>'State DisAgg LFx10 (2014)'!D318</f>
        <v>0</v>
      </c>
      <c r="K328" s="196"/>
      <c r="L328" s="196"/>
      <c r="M328" s="197"/>
      <c r="N328" s="195"/>
      <c r="O328" s="196">
        <f>'State DisAgg LFx10 (2014)'!H318</f>
        <v>1</v>
      </c>
      <c r="P328" s="196"/>
      <c r="Q328" s="197"/>
      <c r="R328" s="195"/>
      <c r="S328" s="196"/>
      <c r="T328" s="196"/>
      <c r="U328" s="197">
        <f>'State DisAgg LFx10 (2014)'!L328</f>
        <v>2</v>
      </c>
      <c r="V328" s="195"/>
      <c r="W328" s="196"/>
      <c r="X328" s="196"/>
      <c r="Y328" s="197">
        <f>'State DisAgg LFx10 (2014)'!P328</f>
        <v>7</v>
      </c>
      <c r="Z328" s="195"/>
      <c r="AA328" s="196"/>
      <c r="AB328" s="196"/>
      <c r="AC328" s="197">
        <f>'State DisAgg LFx10 (2014)'!T328</f>
        <v>12</v>
      </c>
      <c r="AD328" s="195"/>
      <c r="AE328" s="197"/>
      <c r="AI328" s="364">
        <f>O328-J328</f>
        <v>1</v>
      </c>
      <c r="AJ328" s="360">
        <f>U328-O328</f>
        <v>1</v>
      </c>
      <c r="AK328" s="360">
        <f t="shared" si="65"/>
        <v>5</v>
      </c>
      <c r="AL328" s="584">
        <f t="shared" si="66"/>
        <v>5</v>
      </c>
      <c r="AM328" s="378"/>
      <c r="AQ328" s="354"/>
      <c r="AS328" s="726">
        <f>(O328-J328)</f>
        <v>1</v>
      </c>
      <c r="AT328" s="728">
        <f>SUM(AS324:AS328)/5</f>
        <v>1.4</v>
      </c>
    </row>
    <row r="329" spans="1:46" ht="13.5" thickBot="1">
      <c r="A329" s="885"/>
      <c r="B329" s="885"/>
      <c r="C329" s="9" t="s">
        <v>300</v>
      </c>
      <c r="D329" s="199"/>
      <c r="E329" s="200"/>
      <c r="F329" s="201"/>
      <c r="G329" s="199"/>
      <c r="H329" s="199"/>
      <c r="I329" s="200"/>
      <c r="J329" s="201"/>
      <c r="K329" s="199"/>
      <c r="L329" s="199"/>
      <c r="M329" s="200"/>
      <c r="N329" s="198"/>
      <c r="O329" s="217" t="s">
        <v>634</v>
      </c>
      <c r="P329" s="241" t="s">
        <v>632</v>
      </c>
      <c r="Q329" s="244" t="s">
        <v>646</v>
      </c>
      <c r="R329" s="195">
        <f>'State DisAgg LFx10 (2014)'!H319</f>
        <v>0</v>
      </c>
      <c r="S329" s="196"/>
      <c r="T329" s="196"/>
      <c r="U329" s="197">
        <f>'State DisAgg LFx10 (2014)'!L329</f>
        <v>0</v>
      </c>
      <c r="V329" s="195"/>
      <c r="W329" s="196"/>
      <c r="X329" s="196"/>
      <c r="Y329" s="197">
        <f>'State DisAgg LFx10 (2014)'!P329</f>
        <v>0</v>
      </c>
      <c r="Z329" s="195"/>
      <c r="AA329" s="196"/>
      <c r="AB329" s="196"/>
      <c r="AC329" s="197">
        <f>'State DisAgg LFx10 (2014)'!T329</f>
        <v>1</v>
      </c>
      <c r="AD329" s="195"/>
      <c r="AE329" s="197"/>
      <c r="AI329" s="364">
        <v>0</v>
      </c>
      <c r="AJ329" s="360">
        <f>U329-R329</f>
        <v>0</v>
      </c>
      <c r="AK329" s="360">
        <f t="shared" si="65"/>
        <v>0</v>
      </c>
      <c r="AL329" s="584">
        <f t="shared" si="66"/>
        <v>1</v>
      </c>
      <c r="AM329" s="378"/>
      <c r="AQ329" s="354"/>
      <c r="AS329" s="726">
        <f>(Y329-R329)</f>
        <v>0</v>
      </c>
    </row>
    <row r="330" spans="1:46" ht="13.5" thickBot="1">
      <c r="A330" s="885"/>
      <c r="B330" s="885"/>
      <c r="C330" s="9" t="s">
        <v>301</v>
      </c>
      <c r="D330" s="199"/>
      <c r="E330" s="200"/>
      <c r="F330" s="201"/>
      <c r="G330" s="199"/>
      <c r="H330" s="199"/>
      <c r="I330" s="200"/>
      <c r="J330" s="201"/>
      <c r="K330" s="199"/>
      <c r="L330" s="199"/>
      <c r="M330" s="200"/>
      <c r="N330" s="198"/>
      <c r="O330" s="217" t="s">
        <v>634</v>
      </c>
      <c r="P330" s="241" t="s">
        <v>632</v>
      </c>
      <c r="Q330" s="244" t="s">
        <v>646</v>
      </c>
      <c r="R330" s="195">
        <f>'State DisAgg LFx10 (2014)'!H320</f>
        <v>0</v>
      </c>
      <c r="S330" s="196"/>
      <c r="T330" s="196"/>
      <c r="U330" s="197">
        <f>'State DisAgg LFx10 (2014)'!L330</f>
        <v>0</v>
      </c>
      <c r="V330" s="195"/>
      <c r="W330" s="196"/>
      <c r="X330" s="196"/>
      <c r="Y330" s="197">
        <f>'State DisAgg LFx10 (2014)'!P330</f>
        <v>0</v>
      </c>
      <c r="Z330" s="195"/>
      <c r="AA330" s="196"/>
      <c r="AB330" s="196"/>
      <c r="AC330" s="197">
        <f>'State DisAgg LFx10 (2014)'!T330</f>
        <v>0</v>
      </c>
      <c r="AD330" s="195"/>
      <c r="AE330" s="197"/>
      <c r="AI330" s="364">
        <v>0</v>
      </c>
      <c r="AJ330" s="360">
        <f>U330-R330</f>
        <v>0</v>
      </c>
      <c r="AK330" s="360">
        <f t="shared" si="65"/>
        <v>0</v>
      </c>
      <c r="AL330" s="584">
        <f t="shared" si="66"/>
        <v>0</v>
      </c>
      <c r="AM330" s="378"/>
      <c r="AQ330" s="354"/>
      <c r="AS330" s="726">
        <f>(Y330-R330)</f>
        <v>0</v>
      </c>
      <c r="AT330" s="714" t="s">
        <v>1071</v>
      </c>
    </row>
    <row r="331" spans="1:46" ht="13.5" thickBot="1">
      <c r="A331" s="885"/>
      <c r="B331" s="885"/>
      <c r="C331" s="9" t="s">
        <v>302</v>
      </c>
      <c r="D331" s="199"/>
      <c r="E331" s="200"/>
      <c r="F331" s="201"/>
      <c r="G331" s="199"/>
      <c r="H331" s="199"/>
      <c r="I331" s="200"/>
      <c r="J331" s="201"/>
      <c r="K331" s="199"/>
      <c r="L331" s="199"/>
      <c r="M331" s="200"/>
      <c r="N331" s="198"/>
      <c r="O331" s="217" t="s">
        <v>634</v>
      </c>
      <c r="P331" s="241" t="s">
        <v>632</v>
      </c>
      <c r="Q331" s="244" t="s">
        <v>646</v>
      </c>
      <c r="R331" s="195">
        <f>'State DisAgg LFx10 (2014)'!H321</f>
        <v>0</v>
      </c>
      <c r="S331" s="196"/>
      <c r="T331" s="196"/>
      <c r="U331" s="197">
        <f>'State DisAgg LFx10 (2014)'!L331</f>
        <v>0</v>
      </c>
      <c r="V331" s="195"/>
      <c r="W331" s="196"/>
      <c r="X331" s="196"/>
      <c r="Y331" s="197">
        <f>'State DisAgg LFx10 (2014)'!P331</f>
        <v>3</v>
      </c>
      <c r="Z331" s="195"/>
      <c r="AA331" s="196"/>
      <c r="AB331" s="196"/>
      <c r="AC331" s="197">
        <f>'State DisAgg LFx10 (2014)'!T331</f>
        <v>7</v>
      </c>
      <c r="AD331" s="195"/>
      <c r="AE331" s="197"/>
      <c r="AI331" s="364">
        <v>0</v>
      </c>
      <c r="AJ331" s="360">
        <f>U331-R331</f>
        <v>0</v>
      </c>
      <c r="AK331" s="360">
        <f t="shared" si="65"/>
        <v>3</v>
      </c>
      <c r="AL331" s="584">
        <f t="shared" si="66"/>
        <v>4</v>
      </c>
      <c r="AM331" s="378"/>
      <c r="AQ331" s="354"/>
      <c r="AS331" s="729">
        <f>(Y331-R331)</f>
        <v>3</v>
      </c>
      <c r="AT331" s="728">
        <f>SUM(AS329:AS331)/3</f>
        <v>1</v>
      </c>
    </row>
    <row r="332" spans="1:46" ht="13.5" thickBot="1">
      <c r="A332" s="885"/>
      <c r="B332" s="885"/>
      <c r="C332" s="9" t="s">
        <v>303</v>
      </c>
      <c r="D332" s="202"/>
      <c r="E332" s="203"/>
      <c r="F332" s="201"/>
      <c r="G332" s="202"/>
      <c r="H332" s="202"/>
      <c r="I332" s="203"/>
      <c r="J332" s="201"/>
      <c r="K332" s="202"/>
      <c r="L332" s="202"/>
      <c r="M332" s="203"/>
      <c r="N332" s="204"/>
      <c r="O332" s="214"/>
      <c r="P332" s="205"/>
      <c r="Q332" s="205"/>
      <c r="R332" s="201"/>
      <c r="S332" s="202"/>
      <c r="T332" s="202"/>
      <c r="U332" s="203"/>
      <c r="V332" s="242"/>
      <c r="W332" s="217" t="s">
        <v>633</v>
      </c>
      <c r="X332" s="241" t="s">
        <v>632</v>
      </c>
      <c r="Y332" s="197">
        <f>'State DisAgg LFx10 (2014)'!P322</f>
        <v>0</v>
      </c>
      <c r="Z332" s="195"/>
      <c r="AA332" s="196"/>
      <c r="AB332" s="196"/>
      <c r="AC332" s="197">
        <f>'State DisAgg LFx10 (2014)'!T332</f>
        <v>0</v>
      </c>
      <c r="AD332" s="195"/>
      <c r="AE332" s="197"/>
      <c r="AI332" s="364">
        <f>O332-J332</f>
        <v>0</v>
      </c>
      <c r="AJ332" s="360">
        <f>U332-O332</f>
        <v>0</v>
      </c>
      <c r="AK332" s="360">
        <f t="shared" si="65"/>
        <v>0</v>
      </c>
      <c r="AL332" s="584">
        <f t="shared" si="66"/>
        <v>0</v>
      </c>
      <c r="AM332" s="378"/>
      <c r="AQ332" s="354"/>
    </row>
    <row r="333" spans="1:46" ht="13.5" thickBot="1">
      <c r="A333" s="869"/>
      <c r="B333" s="869"/>
      <c r="C333" s="9" t="s">
        <v>304</v>
      </c>
      <c r="D333" s="202"/>
      <c r="E333" s="203"/>
      <c r="F333" s="201"/>
      <c r="G333" s="202"/>
      <c r="H333" s="202"/>
      <c r="I333" s="203"/>
      <c r="J333" s="201"/>
      <c r="K333" s="202"/>
      <c r="L333" s="202"/>
      <c r="M333" s="203"/>
      <c r="N333" s="204"/>
      <c r="O333" s="205"/>
      <c r="P333" s="205"/>
      <c r="Q333" s="205"/>
      <c r="R333" s="201"/>
      <c r="S333" s="202"/>
      <c r="T333" s="202"/>
      <c r="U333" s="203"/>
      <c r="V333" s="242"/>
      <c r="W333" s="217" t="s">
        <v>633</v>
      </c>
      <c r="X333" s="241" t="s">
        <v>632</v>
      </c>
      <c r="Y333" s="197">
        <f>'State DisAgg LFx10 (2014)'!P323</f>
        <v>0</v>
      </c>
      <c r="Z333" s="195"/>
      <c r="AA333" s="196"/>
      <c r="AB333" s="196"/>
      <c r="AC333" s="197">
        <f>'State DisAgg LFx10 (2014)'!T333</f>
        <v>0</v>
      </c>
      <c r="AD333" s="195"/>
      <c r="AE333" s="197"/>
      <c r="AI333" s="366">
        <f>O333-J333</f>
        <v>0</v>
      </c>
      <c r="AJ333" s="367">
        <f>U333-O333</f>
        <v>0</v>
      </c>
      <c r="AK333" s="367">
        <f t="shared" si="65"/>
        <v>0</v>
      </c>
      <c r="AL333" s="587">
        <f t="shared" si="66"/>
        <v>0</v>
      </c>
      <c r="AM333" s="378"/>
      <c r="AQ333" s="354"/>
    </row>
    <row r="334" spans="1:46" ht="12.95" hidden="1" customHeight="1" thickBot="1">
      <c r="A334" s="231"/>
      <c r="B334" s="231"/>
      <c r="C334" s="231"/>
      <c r="D334" s="232"/>
      <c r="E334" s="233"/>
      <c r="F334" s="234"/>
      <c r="G334" s="232"/>
      <c r="H334" s="232"/>
      <c r="I334" s="233"/>
      <c r="J334" s="234"/>
      <c r="K334" s="232"/>
      <c r="L334" s="232"/>
      <c r="M334" s="233"/>
      <c r="N334" s="234"/>
      <c r="O334" s="232"/>
      <c r="P334" s="232"/>
      <c r="Q334" s="233"/>
      <c r="R334" s="234"/>
      <c r="S334" s="232"/>
      <c r="T334" s="232"/>
      <c r="U334" s="233"/>
      <c r="V334" s="234"/>
      <c r="W334" s="232"/>
      <c r="X334" s="232"/>
      <c r="Y334" s="233"/>
      <c r="Z334" s="234"/>
      <c r="AA334" s="232"/>
      <c r="AB334" s="232"/>
      <c r="AC334" s="233"/>
      <c r="AD334" s="234"/>
      <c r="AE334" s="233"/>
      <c r="AI334" s="354">
        <f>O334-J334</f>
        <v>0</v>
      </c>
      <c r="AJ334" s="354">
        <f>U334-O334</f>
        <v>0</v>
      </c>
      <c r="AK334" s="354">
        <f t="shared" si="65"/>
        <v>0</v>
      </c>
      <c r="AQ334" s="354"/>
    </row>
    <row r="335" spans="1:46" ht="12.95" hidden="1" customHeight="1" thickBot="1">
      <c r="A335" s="231"/>
      <c r="B335" s="231"/>
      <c r="C335" s="231"/>
      <c r="D335" s="232"/>
      <c r="E335" s="233"/>
      <c r="F335" s="234"/>
      <c r="G335" s="232"/>
      <c r="H335" s="232"/>
      <c r="I335" s="233"/>
      <c r="J335" s="234"/>
      <c r="K335" s="232"/>
      <c r="L335" s="232"/>
      <c r="M335" s="233"/>
      <c r="N335" s="234"/>
      <c r="O335" s="232"/>
      <c r="P335" s="232"/>
      <c r="Q335" s="233"/>
      <c r="R335" s="234"/>
      <c r="S335" s="232"/>
      <c r="T335" s="232"/>
      <c r="U335" s="233"/>
      <c r="V335" s="234"/>
      <c r="W335" s="232"/>
      <c r="X335" s="232"/>
      <c r="Y335" s="233"/>
      <c r="Z335" s="234"/>
      <c r="AA335" s="232"/>
      <c r="AB335" s="232"/>
      <c r="AC335" s="233"/>
      <c r="AD335" s="234"/>
      <c r="AE335" s="233"/>
      <c r="AI335" s="354">
        <f>O335-J335</f>
        <v>0</v>
      </c>
      <c r="AJ335" s="354">
        <f>U335-O335</f>
        <v>0</v>
      </c>
      <c r="AK335" s="354">
        <f t="shared" si="65"/>
        <v>0</v>
      </c>
      <c r="AQ335" s="354"/>
    </row>
    <row r="336" spans="1:46" ht="12.95" hidden="1" customHeight="1" thickBot="1">
      <c r="A336" s="231"/>
      <c r="B336" s="231"/>
      <c r="C336" s="231"/>
      <c r="D336" s="232"/>
      <c r="E336" s="233"/>
      <c r="F336" s="234"/>
      <c r="G336" s="232"/>
      <c r="H336" s="232"/>
      <c r="I336" s="233"/>
      <c r="J336" s="234"/>
      <c r="K336" s="232"/>
      <c r="L336" s="232"/>
      <c r="M336" s="233"/>
      <c r="N336" s="234"/>
      <c r="O336" s="232"/>
      <c r="P336" s="232"/>
      <c r="Q336" s="233"/>
      <c r="R336" s="234"/>
      <c r="S336" s="232"/>
      <c r="T336" s="232"/>
      <c r="U336" s="233"/>
      <c r="V336" s="234"/>
      <c r="W336" s="232"/>
      <c r="X336" s="232"/>
      <c r="Y336" s="233"/>
      <c r="Z336" s="234"/>
      <c r="AA336" s="232"/>
      <c r="AB336" s="232"/>
      <c r="AC336" s="233"/>
      <c r="AD336" s="234"/>
      <c r="AE336" s="233"/>
      <c r="AL336" s="351"/>
      <c r="AM336" s="351"/>
    </row>
    <row r="337" spans="1:48" ht="12.95" hidden="1" customHeight="1" thickBot="1">
      <c r="A337" s="231"/>
      <c r="B337" s="231"/>
      <c r="C337" s="231"/>
      <c r="D337" s="232"/>
      <c r="E337" s="233"/>
      <c r="F337" s="234"/>
      <c r="G337" s="232"/>
      <c r="H337" s="232"/>
      <c r="I337" s="233"/>
      <c r="J337" s="234"/>
      <c r="K337" s="232"/>
      <c r="L337" s="232"/>
      <c r="M337" s="233"/>
      <c r="N337" s="234"/>
      <c r="O337" s="232"/>
      <c r="P337" s="232"/>
      <c r="Q337" s="233"/>
      <c r="R337" s="234"/>
      <c r="S337" s="232"/>
      <c r="T337" s="232"/>
      <c r="U337" s="233"/>
      <c r="V337" s="234"/>
      <c r="W337" s="232"/>
      <c r="X337" s="232"/>
      <c r="Y337" s="233"/>
      <c r="Z337" s="234"/>
      <c r="AA337" s="232"/>
      <c r="AB337" s="232"/>
      <c r="AC337" s="233"/>
      <c r="AD337" s="234"/>
      <c r="AE337" s="233"/>
      <c r="AL337" s="356">
        <f>SUM(AL324:AL331)/8</f>
        <v>2.5</v>
      </c>
      <c r="AM337" s="356"/>
    </row>
    <row r="338" spans="1:48" ht="12.95" hidden="1" customHeight="1" thickBot="1">
      <c r="A338" s="231"/>
      <c r="B338" s="231"/>
      <c r="C338" s="231"/>
      <c r="D338" s="232"/>
      <c r="E338" s="233"/>
      <c r="F338" s="234"/>
      <c r="G338" s="232"/>
      <c r="H338" s="232"/>
      <c r="I338" s="233"/>
      <c r="J338" s="234"/>
      <c r="K338" s="232"/>
      <c r="L338" s="232"/>
      <c r="M338" s="233"/>
      <c r="N338" s="234"/>
      <c r="O338" s="232"/>
      <c r="P338" s="232"/>
      <c r="Q338" s="233"/>
      <c r="R338" s="234"/>
      <c r="S338" s="232"/>
      <c r="T338" s="232"/>
      <c r="U338" s="233"/>
      <c r="V338" s="234"/>
      <c r="W338" s="232"/>
      <c r="X338" s="232"/>
      <c r="Y338" s="233"/>
      <c r="Z338" s="234"/>
      <c r="AA338" s="232"/>
      <c r="AB338" s="232"/>
      <c r="AC338" s="233"/>
      <c r="AD338" s="234"/>
      <c r="AE338" s="233"/>
      <c r="AL338" s="378">
        <f>SUM(AC314:AC321)/8</f>
        <v>136.97415787698412</v>
      </c>
      <c r="AM338" s="378"/>
    </row>
    <row r="339" spans="1:48" ht="12.95" hidden="1" customHeight="1" thickBot="1">
      <c r="A339" s="231"/>
      <c r="B339" s="231"/>
      <c r="C339" s="231"/>
      <c r="D339" s="232"/>
      <c r="E339" s="233"/>
      <c r="F339" s="234"/>
      <c r="G339" s="232"/>
      <c r="H339" s="232"/>
      <c r="I339" s="233"/>
      <c r="J339" s="234"/>
      <c r="K339" s="232"/>
      <c r="L339" s="232"/>
      <c r="M339" s="233"/>
      <c r="N339" s="234"/>
      <c r="O339" s="232"/>
      <c r="P339" s="232"/>
      <c r="Q339" s="233"/>
      <c r="R339" s="234"/>
      <c r="S339" s="232"/>
      <c r="T339" s="232"/>
      <c r="U339" s="233"/>
      <c r="V339" s="234"/>
      <c r="W339" s="232"/>
      <c r="X339" s="232"/>
      <c r="Y339" s="233"/>
      <c r="Z339" s="234"/>
      <c r="AA339" s="232"/>
      <c r="AB339" s="232"/>
      <c r="AC339" s="233"/>
      <c r="AD339" s="234"/>
      <c r="AE339" s="233"/>
    </row>
    <row r="341" spans="1:48" ht="13.5" thickBot="1">
      <c r="AL341" s="354"/>
      <c r="AM341" s="354"/>
    </row>
    <row r="342" spans="1:48" ht="12.95" customHeight="1" thickBot="1">
      <c r="A342" s="506" t="s">
        <v>26</v>
      </c>
      <c r="B342" s="514" t="s">
        <v>29</v>
      </c>
      <c r="C342" s="8"/>
      <c r="D342" s="1377">
        <v>2008</v>
      </c>
      <c r="E342" s="1378"/>
      <c r="F342" s="1372">
        <v>2009</v>
      </c>
      <c r="G342" s="1373"/>
      <c r="H342" s="1373"/>
      <c r="I342" s="1374"/>
      <c r="J342" s="1372">
        <v>2010</v>
      </c>
      <c r="K342" s="1373"/>
      <c r="L342" s="1373"/>
      <c r="M342" s="1374"/>
      <c r="N342" s="1372">
        <v>2011</v>
      </c>
      <c r="O342" s="1373"/>
      <c r="P342" s="1373"/>
      <c r="Q342" s="1374"/>
      <c r="R342" s="1372">
        <v>2012</v>
      </c>
      <c r="S342" s="1373"/>
      <c r="T342" s="1373"/>
      <c r="U342" s="1374"/>
      <c r="V342" s="1372">
        <v>2013</v>
      </c>
      <c r="W342" s="1373"/>
      <c r="X342" s="1373"/>
      <c r="Y342" s="1374"/>
      <c r="Z342" s="1372">
        <v>2014</v>
      </c>
      <c r="AA342" s="1373"/>
      <c r="AB342" s="1373"/>
      <c r="AC342" s="1374"/>
      <c r="AD342" s="1372">
        <v>2015</v>
      </c>
      <c r="AE342" s="1374"/>
      <c r="AM342" s="378"/>
    </row>
    <row r="343" spans="1:48" ht="12.95" customHeight="1" thickBot="1">
      <c r="A343" s="868" t="s">
        <v>64</v>
      </c>
      <c r="B343" s="868" t="s">
        <v>156</v>
      </c>
      <c r="C343" s="9"/>
      <c r="D343" s="1379" t="s">
        <v>714</v>
      </c>
      <c r="E343" s="1380"/>
      <c r="F343" s="1380"/>
      <c r="G343" s="1380"/>
      <c r="H343" s="1380"/>
      <c r="I343" s="1380"/>
      <c r="J343" s="1380"/>
      <c r="K343" s="1380"/>
      <c r="L343" s="1380"/>
      <c r="M343" s="1380"/>
      <c r="N343" s="1380"/>
      <c r="O343" s="1380"/>
      <c r="P343" s="1380"/>
      <c r="Q343" s="1380"/>
      <c r="R343" s="1380"/>
      <c r="S343" s="1380"/>
      <c r="T343" s="1380"/>
      <c r="U343" s="1380"/>
      <c r="V343" s="1380"/>
      <c r="W343" s="1380"/>
      <c r="X343" s="1380"/>
      <c r="Y343" s="1380"/>
      <c r="Z343" s="1380"/>
      <c r="AA343" s="1380"/>
      <c r="AB343" s="1380"/>
      <c r="AC343" s="1380"/>
      <c r="AD343" s="1380"/>
      <c r="AE343" s="1381"/>
      <c r="AG343" s="257" t="s">
        <v>663</v>
      </c>
      <c r="AS343" s="716" t="s">
        <v>1038</v>
      </c>
      <c r="AU343" s="716" t="s">
        <v>1059</v>
      </c>
    </row>
    <row r="344" spans="1:48" ht="13.5" thickBot="1">
      <c r="A344" s="885"/>
      <c r="B344" s="885"/>
      <c r="C344" s="194" t="s">
        <v>610</v>
      </c>
      <c r="D344" s="206"/>
      <c r="E344" s="207"/>
      <c r="F344" s="209"/>
      <c r="G344" s="206"/>
      <c r="H344" s="206"/>
      <c r="I344" s="207"/>
      <c r="J344" s="209"/>
      <c r="K344" s="206"/>
      <c r="L344" s="206"/>
      <c r="M344" s="207"/>
      <c r="N344" s="277"/>
      <c r="O344" s="278">
        <f>(O354-J354)/5/(SUM($C$681:$C$684))/Spend!O344*'State Efficiency Ratios (2014)'!$C$655</f>
        <v>0</v>
      </c>
      <c r="P344" s="278"/>
      <c r="Q344" s="279"/>
      <c r="R344" s="277"/>
      <c r="S344" s="278"/>
      <c r="T344" s="278"/>
      <c r="U344" s="278">
        <f>(U354-O354)/6/(SUM($C$681:$C$684))/Spend!U344*'State Efficiency Ratios (2014)'!$C$655</f>
        <v>85.193417942875229</v>
      </c>
      <c r="V344" s="277"/>
      <c r="W344" s="278"/>
      <c r="X344" s="278"/>
      <c r="Y344" s="278">
        <f>(Y354-U354)/4/(SUM($C$681:$C$684))/Spend!Y344*'State Efficiency Ratios (2014)'!$C$655</f>
        <v>275.47131537155781</v>
      </c>
      <c r="Z344" s="277"/>
      <c r="AA344" s="278"/>
      <c r="AB344" s="278"/>
      <c r="AC344" s="278">
        <f>(AC354-Y354)/4/(SUM($C$681:$C$684))/Spend!AC344*'State Efficiency Ratios (2014)'!$C$655</f>
        <v>-311.4997174388651</v>
      </c>
      <c r="AD344" s="277"/>
      <c r="AE344" s="280"/>
      <c r="AG344" s="410"/>
      <c r="AS344" s="717">
        <f>(O354-J354)/7/$C$673/Spend!O344*'State Efficiency Ratios (2014)'!$C$655</f>
        <v>0</v>
      </c>
      <c r="AU344" s="718">
        <f t="shared" ref="AU344:AU351" si="67">(AS344+AS368)/2</f>
        <v>128.48824089706616</v>
      </c>
    </row>
    <row r="345" spans="1:48" ht="13.5" thickBot="1">
      <c r="A345" s="885"/>
      <c r="B345" s="885"/>
      <c r="C345" s="194" t="s">
        <v>611</v>
      </c>
      <c r="D345" s="206"/>
      <c r="E345" s="207"/>
      <c r="F345" s="209"/>
      <c r="G345" s="206"/>
      <c r="H345" s="206"/>
      <c r="I345" s="207"/>
      <c r="J345" s="209"/>
      <c r="K345" s="206"/>
      <c r="L345" s="206"/>
      <c r="M345" s="207"/>
      <c r="N345" s="277"/>
      <c r="O345" s="278">
        <f>(O355-J355)/5/(SUM($C$681:$C$684))/Spend!O345*'State Efficiency Ratios (2014)'!$C$655</f>
        <v>31.623898290081112</v>
      </c>
      <c r="P345" s="278"/>
      <c r="Q345" s="279"/>
      <c r="R345" s="277"/>
      <c r="S345" s="278"/>
      <c r="T345" s="278"/>
      <c r="U345" s="278">
        <f>(U355-O355)/6/(SUM($C$681:$C$684))/Spend!U345*'State Efficiency Ratios (2014)'!$C$655</f>
        <v>47.888203920818214</v>
      </c>
      <c r="V345" s="277"/>
      <c r="W345" s="278"/>
      <c r="X345" s="278"/>
      <c r="Y345" s="278">
        <f>(Y355-U355)/4/(SUM($C$681:$C$684))/Spend!Y345*'State Efficiency Ratios (2014)'!$C$655</f>
        <v>61.642546924900685</v>
      </c>
      <c r="Z345" s="277"/>
      <c r="AA345" s="278"/>
      <c r="AB345" s="278"/>
      <c r="AC345" s="278">
        <f>(AC355-Y355)/4/(SUM($C$681:$C$684))/Spend!AC345*'State Efficiency Ratios (2014)'!$C$655</f>
        <v>34.284413549193559</v>
      </c>
      <c r="AD345" s="277"/>
      <c r="AE345" s="280"/>
      <c r="AG345" s="410"/>
      <c r="AS345" s="719">
        <f>(O355-J355)/7/$C$673/Spend!O345*'State Efficiency Ratios (2014)'!$C$655</f>
        <v>361.41598045806984</v>
      </c>
      <c r="AU345" s="720">
        <f t="shared" si="67"/>
        <v>316.23898290081115</v>
      </c>
    </row>
    <row r="346" spans="1:48" ht="13.5" thickBot="1">
      <c r="A346" s="885"/>
      <c r="B346" s="885"/>
      <c r="C346" s="194" t="s">
        <v>612</v>
      </c>
      <c r="D346" s="206"/>
      <c r="E346" s="207"/>
      <c r="F346" s="209"/>
      <c r="G346" s="206"/>
      <c r="H346" s="206"/>
      <c r="I346" s="207"/>
      <c r="J346" s="209"/>
      <c r="K346" s="206"/>
      <c r="L346" s="206"/>
      <c r="M346" s="207"/>
      <c r="N346" s="277"/>
      <c r="O346" s="278">
        <f>(O356-J356)/5/(SUM($C$681:$C$684))/Spend!O346*'State Efficiency Ratios (2014)'!$C$655</f>
        <v>14.086292047817937</v>
      </c>
      <c r="P346" s="278"/>
      <c r="Q346" s="279"/>
      <c r="R346" s="277"/>
      <c r="S346" s="278"/>
      <c r="T346" s="278"/>
      <c r="U346" s="278">
        <f>(U356-O356)/6/(SUM($C$681:$C$684))/Spend!U346*'State Efficiency Ratios (2014)'!$C$655</f>
        <v>99.589306184257794</v>
      </c>
      <c r="V346" s="277"/>
      <c r="W346" s="278"/>
      <c r="X346" s="278"/>
      <c r="Y346" s="278">
        <f>(Y356-U356)/4/(SUM($C$681:$C$684))/Spend!Y346*'State Efficiency Ratios (2014)'!$C$655</f>
        <v>-86.032236926612157</v>
      </c>
      <c r="Z346" s="277"/>
      <c r="AA346" s="278"/>
      <c r="AB346" s="278"/>
      <c r="AC346" s="278">
        <f>(AC356-Y356)/4/(SUM($C$681:$C$684))/Spend!AC346*'State Efficiency Ratios (2014)'!$C$655</f>
        <v>450.86726177014123</v>
      </c>
      <c r="AD346" s="277"/>
      <c r="AE346" s="280"/>
      <c r="AG346" s="410" t="s">
        <v>1086</v>
      </c>
      <c r="AS346" s="719">
        <f>(O356-J356)/7/$C$673/Spend!O346*'State Efficiency Ratios (2014)'!$C$655</f>
        <v>160.98619483220497</v>
      </c>
      <c r="AU346" s="720">
        <f t="shared" si="67"/>
        <v>181.10946918623057</v>
      </c>
    </row>
    <row r="347" spans="1:48" ht="13.5" thickBot="1">
      <c r="A347" s="885"/>
      <c r="B347" s="885"/>
      <c r="C347" s="194" t="s">
        <v>613</v>
      </c>
      <c r="D347" s="206"/>
      <c r="E347" s="207"/>
      <c r="F347" s="209"/>
      <c r="G347" s="206"/>
      <c r="H347" s="206"/>
      <c r="I347" s="207"/>
      <c r="J347" s="209"/>
      <c r="K347" s="206"/>
      <c r="L347" s="206"/>
      <c r="M347" s="207"/>
      <c r="N347" s="277"/>
      <c r="O347" s="278">
        <f>(O357-J357)/5/(SUM($C$681:$C$684))/Spend!O347*'State Efficiency Ratios (2014)'!$C$655</f>
        <v>29.456566565542008</v>
      </c>
      <c r="P347" s="278"/>
      <c r="Q347" s="279"/>
      <c r="R347" s="277"/>
      <c r="S347" s="278"/>
      <c r="T347" s="278"/>
      <c r="U347" s="278">
        <f>(U357-O357)/6/(SUM($C$681:$C$684))/Spend!U347*'State Efficiency Ratios (2014)'!$C$655</f>
        <v>26.272730496496052</v>
      </c>
      <c r="V347" s="277"/>
      <c r="W347" s="278"/>
      <c r="X347" s="278"/>
      <c r="Y347" s="278">
        <f>(Y357-U357)/4/(SUM($C$681:$C$684))/Spend!Y347*'State Efficiency Ratios (2014)'!$C$655</f>
        <v>124.92101082498134</v>
      </c>
      <c r="Z347" s="277"/>
      <c r="AA347" s="278"/>
      <c r="AB347" s="278"/>
      <c r="AC347" s="278">
        <f>(AC357-Y357)/4/(SUM($C$681:$C$684))/Spend!AC347*'State Efficiency Ratios (2014)'!$C$655</f>
        <v>54.294854513536308</v>
      </c>
      <c r="AD347" s="277"/>
      <c r="AE347" s="280"/>
      <c r="AG347" s="410" t="s">
        <v>1087</v>
      </c>
      <c r="AS347" s="719">
        <f>(O357-J357)/7/$C$673/Spend!O347*'State Efficiency Ratios (2014)'!$C$655</f>
        <v>336.64647503476579</v>
      </c>
      <c r="AT347" s="714" t="s">
        <v>1070</v>
      </c>
      <c r="AU347" s="720">
        <f t="shared" si="67"/>
        <v>315.60607034509292</v>
      </c>
      <c r="AV347" s="714" t="s">
        <v>1070</v>
      </c>
    </row>
    <row r="348" spans="1:48" ht="13.5" thickBot="1">
      <c r="A348" s="885"/>
      <c r="B348" s="885"/>
      <c r="C348" s="194" t="s">
        <v>614</v>
      </c>
      <c r="D348" s="206"/>
      <c r="E348" s="207"/>
      <c r="F348" s="209"/>
      <c r="G348" s="206"/>
      <c r="H348" s="206"/>
      <c r="I348" s="207"/>
      <c r="J348" s="209"/>
      <c r="K348" s="206"/>
      <c r="L348" s="206"/>
      <c r="M348" s="207"/>
      <c r="N348" s="277"/>
      <c r="O348" s="278">
        <f>(O358-J358)/5/(SUM($C$681:$C$684))/Spend!O348*'State Efficiency Ratios (2014)'!$C$655</f>
        <v>20.834055354932868</v>
      </c>
      <c r="P348" s="278"/>
      <c r="Q348" s="279"/>
      <c r="R348" s="277"/>
      <c r="S348" s="278"/>
      <c r="T348" s="278"/>
      <c r="U348" s="278">
        <f>(U358-O358)/6/(SUM($C$681:$C$684))/Spend!U348*'State Efficiency Ratios (2014)'!$C$655</f>
        <v>43.831905685887904</v>
      </c>
      <c r="V348" s="277"/>
      <c r="W348" s="278"/>
      <c r="X348" s="278"/>
      <c r="Y348" s="278">
        <f>(Y358-U358)/4/(SUM($C$681:$C$684))/Spend!Y348*'State Efficiency Ratios (2014)'!$C$655</f>
        <v>0</v>
      </c>
      <c r="Z348" s="277"/>
      <c r="AA348" s="278"/>
      <c r="AB348" s="278"/>
      <c r="AC348" s="278">
        <f>(AC358-Y358)/4/(SUM($C$681:$C$684))/Spend!AC348*'State Efficiency Ratios (2014)'!$C$655</f>
        <v>115.2698664166986</v>
      </c>
      <c r="AD348" s="277"/>
      <c r="AE348" s="280"/>
      <c r="AG348" s="410" t="s">
        <v>1085</v>
      </c>
      <c r="AS348" s="719">
        <f>(O358-J358)/7/$C$673/Spend!O348*'State Efficiency Ratios (2014)'!$C$655</f>
        <v>238.10348977066135</v>
      </c>
      <c r="AT348" s="721">
        <f>SUM(AS344:AS348)/5</f>
        <v>219.43042801914038</v>
      </c>
      <c r="AU348" s="720">
        <f t="shared" si="67"/>
        <v>257.94544725154981</v>
      </c>
      <c r="AV348" s="721">
        <f>SUM(AU344:AU348)/5</f>
        <v>239.87764211615013</v>
      </c>
    </row>
    <row r="349" spans="1:48" ht="12.95" customHeight="1" thickBot="1">
      <c r="A349" s="885"/>
      <c r="B349" s="885"/>
      <c r="C349" s="194" t="s">
        <v>615</v>
      </c>
      <c r="D349" s="210"/>
      <c r="E349" s="211"/>
      <c r="F349" s="209"/>
      <c r="G349" s="210"/>
      <c r="H349" s="210"/>
      <c r="I349" s="211"/>
      <c r="J349" s="209"/>
      <c r="K349" s="210"/>
      <c r="L349" s="210"/>
      <c r="M349" s="211"/>
      <c r="N349" s="281"/>
      <c r="O349" s="282"/>
      <c r="P349" s="282"/>
      <c r="Q349" s="282"/>
      <c r="R349" s="277"/>
      <c r="S349" s="278"/>
      <c r="T349" s="278"/>
      <c r="U349" s="278">
        <f>(U359-R359)/3/(SUM($C$681:$C$684))/Spend!U349*'State Efficiency Ratios (2014)'!$C$655</f>
        <v>0</v>
      </c>
      <c r="V349" s="277"/>
      <c r="W349" s="278"/>
      <c r="X349" s="278"/>
      <c r="Y349" s="278">
        <f>(Y359-U359)/4/(SUM($C$681:$C$684))/Spend!Y349*'State Efficiency Ratios (2014)'!$C$655</f>
        <v>57.590664921473952</v>
      </c>
      <c r="Z349" s="277"/>
      <c r="AA349" s="278"/>
      <c r="AB349" s="278"/>
      <c r="AC349" s="278">
        <f>(AC359-Y359)/4/(SUM($C$681:$C$684))/Spend!AC349*'State Efficiency Ratios (2014)'!$C$655</f>
        <v>266.92446539501242</v>
      </c>
      <c r="AD349" s="277"/>
      <c r="AE349" s="280"/>
      <c r="AG349" s="410"/>
      <c r="AI349" s="4" t="s">
        <v>1053</v>
      </c>
      <c r="AM349" s="576"/>
      <c r="AN349" s="4" t="s">
        <v>1056</v>
      </c>
      <c r="AR349" s="264" t="s">
        <v>1050</v>
      </c>
      <c r="AS349" s="719">
        <f>(Y359-R359)/7/$C$673/(Spend!U349+Spend!Y349)*'State Efficiency Ratios (2014)'!$C$655</f>
        <v>368.29073606396298</v>
      </c>
      <c r="AU349" s="720">
        <f t="shared" si="67"/>
        <v>138.62054156123526</v>
      </c>
    </row>
    <row r="350" spans="1:48" ht="12.95" customHeight="1" thickBot="1">
      <c r="A350" s="885"/>
      <c r="B350" s="885"/>
      <c r="C350" s="194" t="s">
        <v>616</v>
      </c>
      <c r="D350" s="210"/>
      <c r="E350" s="211"/>
      <c r="F350" s="209"/>
      <c r="G350" s="210"/>
      <c r="H350" s="210"/>
      <c r="I350" s="211"/>
      <c r="J350" s="209"/>
      <c r="K350" s="210"/>
      <c r="L350" s="210"/>
      <c r="M350" s="211"/>
      <c r="N350" s="281"/>
      <c r="O350" s="282"/>
      <c r="P350" s="282"/>
      <c r="Q350" s="282"/>
      <c r="R350" s="277"/>
      <c r="S350" s="278"/>
      <c r="T350" s="278"/>
      <c r="U350" s="278">
        <f>(U360-R360)/3/(SUM($C$681:$C$684))/Spend!U350*'State Efficiency Ratios (2014)'!$C$655</f>
        <v>0</v>
      </c>
      <c r="V350" s="277"/>
      <c r="W350" s="278"/>
      <c r="X350" s="278"/>
      <c r="Y350" s="278">
        <f>(Y360-U360)/4/(SUM($C$681:$C$684))/Spend!Y350*'State Efficiency Ratios (2014)'!$C$655</f>
        <v>131.09289628070448</v>
      </c>
      <c r="Z350" s="277"/>
      <c r="AA350" s="278"/>
      <c r="AB350" s="278"/>
      <c r="AC350" s="278">
        <f>(AC360-Y360)/4/(SUM($C$681:$C$684))/Spend!AC350*'State Efficiency Ratios (2014)'!$C$655</f>
        <v>106.89885850841949</v>
      </c>
      <c r="AD350" s="277"/>
      <c r="AE350" s="280"/>
      <c r="AG350" s="410" t="s">
        <v>1084</v>
      </c>
      <c r="AH350" s="355" t="s">
        <v>1052</v>
      </c>
      <c r="AI350" s="599">
        <f>4/5*SUM(AI354:AI358)/5</f>
        <v>4.16</v>
      </c>
      <c r="AJ350" s="592">
        <f>4/6*SUM(AJ354:AJ358)/5</f>
        <v>6.2666666666666666</v>
      </c>
      <c r="AK350" s="592">
        <f>SUM(AK354:AK361)/8</f>
        <v>9.375</v>
      </c>
      <c r="AL350" s="594">
        <f>SUM(AL354:AL361)/8</f>
        <v>7</v>
      </c>
      <c r="AM350" s="355" t="s">
        <v>1052</v>
      </c>
      <c r="AN350" s="599">
        <f>4/5*SUM(AN354:AN358)/5</f>
        <v>0.14250000000000002</v>
      </c>
      <c r="AO350" s="592">
        <f>4/6*SUM(AO354:AO358)/5</f>
        <v>1.1108333333333333</v>
      </c>
      <c r="AP350" s="592">
        <f>SUM(AP354:AP361)/8</f>
        <v>0.52851562500000004</v>
      </c>
      <c r="AQ350" s="594">
        <f>SUM(AQ354:AQ361)/8</f>
        <v>0.69179687500000009</v>
      </c>
      <c r="AR350" s="695">
        <f>AVERAGE(AN350:AQ350)</f>
        <v>0.61841145833333333</v>
      </c>
      <c r="AS350" s="719">
        <f>(Y360-R360)/7/$C$673/(Spend!U350+Spend!Y350)*'State Efficiency Ratios (2014)'!$C$655</f>
        <v>749.43803134914401</v>
      </c>
      <c r="AT350" s="714" t="s">
        <v>1071</v>
      </c>
      <c r="AU350" s="720">
        <f t="shared" si="67"/>
        <v>648.50894397012394</v>
      </c>
      <c r="AV350" s="714" t="s">
        <v>1071</v>
      </c>
    </row>
    <row r="351" spans="1:48" ht="12.95" customHeight="1" thickBot="1">
      <c r="A351" s="885"/>
      <c r="B351" s="885"/>
      <c r="C351" s="194" t="s">
        <v>617</v>
      </c>
      <c r="D351" s="210"/>
      <c r="E351" s="211"/>
      <c r="F351" s="209"/>
      <c r="G351" s="210"/>
      <c r="H351" s="210"/>
      <c r="I351" s="211"/>
      <c r="J351" s="209"/>
      <c r="K351" s="210"/>
      <c r="L351" s="210"/>
      <c r="M351" s="211"/>
      <c r="N351" s="281"/>
      <c r="O351" s="282"/>
      <c r="P351" s="282"/>
      <c r="Q351" s="282"/>
      <c r="R351" s="277"/>
      <c r="S351" s="278"/>
      <c r="T351" s="278"/>
      <c r="U351" s="278">
        <f>(U361-R361)/3/(SUM($C$681:$C$684))/Spend!U351*'State Efficiency Ratios (2014)'!$C$655</f>
        <v>0</v>
      </c>
      <c r="V351" s="277"/>
      <c r="W351" s="278"/>
      <c r="X351" s="278"/>
      <c r="Y351" s="278">
        <f>(Y361-U361)/4/(SUM($C$681:$C$684))/Spend!Y351*'State Efficiency Ratios (2014)'!$C$655</f>
        <v>212.30570334260813</v>
      </c>
      <c r="Z351" s="277"/>
      <c r="AA351" s="278"/>
      <c r="AB351" s="278"/>
      <c r="AC351" s="278">
        <f>(AC361-Y361)/4/(SUM($C$681:$C$684))/Spend!AC351*'State Efficiency Ratios (2014)'!$C$655</f>
        <v>139.95590729572353</v>
      </c>
      <c r="AD351" s="277"/>
      <c r="AE351" s="280"/>
      <c r="AG351" s="410" t="s">
        <v>1089</v>
      </c>
      <c r="AH351" s="355" t="s">
        <v>1051</v>
      </c>
      <c r="AI351" s="606">
        <f>SUM(O344:O348)/5</f>
        <v>19.200162451674785</v>
      </c>
      <c r="AJ351" s="607">
        <f>SUM(U344:U348)/5</f>
        <v>60.555112846067047</v>
      </c>
      <c r="AK351" s="607">
        <f>SUM(Y344:Y351)/8</f>
        <v>97.123987592451783</v>
      </c>
      <c r="AL351" s="608">
        <f>SUM(AC344:AC351)/8</f>
        <v>107.12448875123249</v>
      </c>
      <c r="AM351" s="355" t="s">
        <v>1051</v>
      </c>
      <c r="AN351" s="606">
        <f>'Composites (2014)'!AI52</f>
        <v>20.989293685163137</v>
      </c>
      <c r="AO351" s="607">
        <f>'Composites (2014)'!AJ52</f>
        <v>53.773103986349973</v>
      </c>
      <c r="AP351" s="607">
        <f>'Composites (2014)'!AK52</f>
        <v>108.68743606747039</v>
      </c>
      <c r="AQ351" s="608">
        <f>'Composites (2014)'!AL52</f>
        <v>129.79035184488555</v>
      </c>
      <c r="AR351" s="696">
        <f>AVERAGE(AN351:AQ351)</f>
        <v>78.310046395967262</v>
      </c>
      <c r="AS351" s="722">
        <f>(Y361-R361)/7/$C$673/(Spend!U351+Spend!Y351)*'State Efficiency Ratios (2014)'!$C$655</f>
        <v>1216.7961669376843</v>
      </c>
      <c r="AT351" s="721">
        <f>SUM(AS349:AS351)/3</f>
        <v>778.17497811693045</v>
      </c>
      <c r="AU351" s="723">
        <f t="shared" si="67"/>
        <v>801.97929184529198</v>
      </c>
      <c r="AV351" s="721">
        <f>SUM(AU349:AU351)/3</f>
        <v>529.70292579221712</v>
      </c>
    </row>
    <row r="352" spans="1:48" ht="12.95" customHeight="1" thickBot="1">
      <c r="A352" s="885"/>
      <c r="B352" s="885"/>
      <c r="C352" s="194" t="s">
        <v>618</v>
      </c>
      <c r="D352" s="210"/>
      <c r="E352" s="211"/>
      <c r="F352" s="209"/>
      <c r="G352" s="210"/>
      <c r="H352" s="210"/>
      <c r="I352" s="211"/>
      <c r="J352" s="209"/>
      <c r="K352" s="210"/>
      <c r="L352" s="210"/>
      <c r="M352" s="211"/>
      <c r="N352" s="281"/>
      <c r="O352" s="282"/>
      <c r="P352" s="282"/>
      <c r="Q352" s="283"/>
      <c r="R352" s="281"/>
      <c r="S352" s="282"/>
      <c r="T352" s="282"/>
      <c r="U352" s="283"/>
      <c r="V352" s="281"/>
      <c r="W352" s="282"/>
      <c r="X352" s="282"/>
      <c r="Y352" s="283"/>
      <c r="Z352" s="277"/>
      <c r="AA352" s="278"/>
      <c r="AB352" s="278"/>
      <c r="AC352" s="278">
        <f>(AC362-Y362)/4/(SUM($C$681:$C$684))/Spend!AC352*'State Efficiency Ratios (2014)'!$C$655</f>
        <v>0</v>
      </c>
      <c r="AD352" s="277"/>
      <c r="AE352" s="280"/>
      <c r="AG352" s="410"/>
      <c r="AM352" s="576"/>
    </row>
    <row r="353" spans="1:48" ht="12.95" customHeight="1" thickBot="1">
      <c r="A353" s="885"/>
      <c r="B353" s="501" t="s">
        <v>151</v>
      </c>
      <c r="C353" s="194" t="s">
        <v>619</v>
      </c>
      <c r="D353" s="210"/>
      <c r="E353" s="211"/>
      <c r="F353" s="209"/>
      <c r="G353" s="210"/>
      <c r="H353" s="210"/>
      <c r="I353" s="211"/>
      <c r="J353" s="209"/>
      <c r="K353" s="210"/>
      <c r="L353" s="210"/>
      <c r="M353" s="211"/>
      <c r="N353" s="281"/>
      <c r="O353" s="282"/>
      <c r="P353" s="282"/>
      <c r="Q353" s="283"/>
      <c r="R353" s="281"/>
      <c r="S353" s="282"/>
      <c r="T353" s="282"/>
      <c r="U353" s="283"/>
      <c r="V353" s="281"/>
      <c r="W353" s="282"/>
      <c r="X353" s="282"/>
      <c r="Y353" s="283"/>
      <c r="Z353" s="277"/>
      <c r="AA353" s="278"/>
      <c r="AB353" s="278"/>
      <c r="AC353" s="278">
        <f>(AC363-Y363)/4/(SUM($C$681:$C$684))/Spend!AC353*'State Efficiency Ratios (2014)'!$C$655</f>
        <v>0</v>
      </c>
      <c r="AD353" s="277"/>
      <c r="AE353" s="280"/>
      <c r="AG353" s="410"/>
      <c r="AI353" s="416" t="s">
        <v>1038</v>
      </c>
      <c r="AM353" s="576"/>
      <c r="AN353" s="416" t="s">
        <v>1059</v>
      </c>
      <c r="AS353" s="716" t="s">
        <v>1038</v>
      </c>
      <c r="AU353" s="716" t="s">
        <v>1059</v>
      </c>
    </row>
    <row r="354" spans="1:48" ht="12.95" customHeight="1" thickBot="1">
      <c r="A354" s="885"/>
      <c r="B354" s="501" t="s">
        <v>150</v>
      </c>
      <c r="C354" s="9" t="s">
        <v>295</v>
      </c>
      <c r="D354" s="241" t="s">
        <v>632</v>
      </c>
      <c r="E354" s="241" t="s">
        <v>632</v>
      </c>
      <c r="F354" s="243" t="s">
        <v>646</v>
      </c>
      <c r="G354" s="241" t="s">
        <v>646</v>
      </c>
      <c r="H354" s="241" t="s">
        <v>646</v>
      </c>
      <c r="I354" s="244" t="s">
        <v>646</v>
      </c>
      <c r="J354" s="195">
        <f>SUM('State DisAgg LFx10 (2014)'!D344:G344)</f>
        <v>0</v>
      </c>
      <c r="K354" s="196"/>
      <c r="L354" s="196"/>
      <c r="M354" s="197"/>
      <c r="N354" s="195"/>
      <c r="O354" s="196">
        <f>SUM('State DisAgg LFx10 (2014)'!H354:K354)</f>
        <v>0</v>
      </c>
      <c r="P354" s="196"/>
      <c r="Q354" s="197"/>
      <c r="R354" s="195"/>
      <c r="S354" s="196"/>
      <c r="T354" s="196"/>
      <c r="U354" s="197">
        <f>SUM('State DisAgg LFx10 (2014)'!L354:O354)</f>
        <v>13</v>
      </c>
      <c r="V354" s="195"/>
      <c r="W354" s="196"/>
      <c r="X354" s="196"/>
      <c r="Y354" s="197">
        <f>SUM('State DisAgg LFx10 (2014)'!P354:S354)</f>
        <v>38</v>
      </c>
      <c r="Z354" s="195"/>
      <c r="AA354" s="196"/>
      <c r="AB354" s="196"/>
      <c r="AC354" s="197">
        <f>SUM('State DisAgg LFx10 (2014)'!T354:W354)</f>
        <v>20</v>
      </c>
      <c r="AD354" s="195"/>
      <c r="AE354" s="197"/>
      <c r="AI354" s="361">
        <f>O354-J354</f>
        <v>0</v>
      </c>
      <c r="AJ354" s="362">
        <f>U354-O354</f>
        <v>13</v>
      </c>
      <c r="AK354" s="362">
        <f t="shared" ref="AK354:AK365" si="68">Y354-U354</f>
        <v>25</v>
      </c>
      <c r="AL354" s="582">
        <f t="shared" ref="AL354:AL363" si="69">AC354-Y354</f>
        <v>-18</v>
      </c>
      <c r="AM354" s="351" t="s">
        <v>756</v>
      </c>
      <c r="AN354" s="370">
        <f>((AI354/($C$681*4))+(AI378/($C$686*4))+(AI402/$C$691)+(AI425/$C$694))*5/4</f>
        <v>9.375E-2</v>
      </c>
      <c r="AO354" s="371">
        <f t="shared" ref="AO354:AQ354" si="70">((AJ354/($C$681*4))+(AJ378/($C$686*4))+(AJ402/$C$691)+(AJ425/$C$694))*5/4</f>
        <v>1.9593750000000001</v>
      </c>
      <c r="AP354" s="371">
        <f t="shared" si="70"/>
        <v>0.55624999999999991</v>
      </c>
      <c r="AQ354" s="372">
        <f t="shared" si="70"/>
        <v>8.12500000000001E-2</v>
      </c>
      <c r="AS354" s="724">
        <f>(O354-J354)</f>
        <v>0</v>
      </c>
      <c r="AU354" s="731">
        <f t="shared" ref="AU354:AU361" si="71">(AS354/($C$681*4))+(AS378/($C$686*4))</f>
        <v>7.4999999999999997E-2</v>
      </c>
    </row>
    <row r="355" spans="1:48" ht="12.95" customHeight="1" thickBot="1">
      <c r="A355" s="885"/>
      <c r="B355" s="885" t="s">
        <v>149</v>
      </c>
      <c r="C355" s="9" t="s">
        <v>296</v>
      </c>
      <c r="D355" s="241" t="s">
        <v>632</v>
      </c>
      <c r="E355" s="241" t="s">
        <v>632</v>
      </c>
      <c r="F355" s="243" t="s">
        <v>646</v>
      </c>
      <c r="G355" s="241" t="s">
        <v>646</v>
      </c>
      <c r="H355" s="241" t="s">
        <v>646</v>
      </c>
      <c r="I355" s="244" t="s">
        <v>646</v>
      </c>
      <c r="J355" s="195">
        <f>SUM('State DisAgg LFx10 (2014)'!D345:G345)</f>
        <v>0</v>
      </c>
      <c r="K355" s="196"/>
      <c r="L355" s="196"/>
      <c r="M355" s="197"/>
      <c r="N355" s="195"/>
      <c r="O355" s="196">
        <f>SUM('State DisAgg LFx10 (2014)'!H355:K355)</f>
        <v>8</v>
      </c>
      <c r="P355" s="196"/>
      <c r="Q355" s="197"/>
      <c r="R355" s="195"/>
      <c r="S355" s="196"/>
      <c r="T355" s="196"/>
      <c r="U355" s="197">
        <f>SUM('State DisAgg LFx10 (2014)'!L355:O355)</f>
        <v>14</v>
      </c>
      <c r="V355" s="195"/>
      <c r="W355" s="196"/>
      <c r="X355" s="196"/>
      <c r="Y355" s="197">
        <f>SUM('State DisAgg LFx10 (2014)'!P355:S355)</f>
        <v>21</v>
      </c>
      <c r="Z355" s="195"/>
      <c r="AA355" s="196"/>
      <c r="AB355" s="196"/>
      <c r="AC355" s="197">
        <f>SUM('State DisAgg LFx10 (2014)'!T355:W355)</f>
        <v>23</v>
      </c>
      <c r="AD355" s="195"/>
      <c r="AE355" s="197"/>
      <c r="AI355" s="364">
        <f>O355-J355</f>
        <v>8</v>
      </c>
      <c r="AJ355" s="360">
        <f>U355-O355</f>
        <v>6</v>
      </c>
      <c r="AK355" s="360">
        <f t="shared" si="68"/>
        <v>7</v>
      </c>
      <c r="AL355" s="584">
        <f t="shared" si="69"/>
        <v>2</v>
      </c>
      <c r="AM355" s="351" t="s">
        <v>757</v>
      </c>
      <c r="AN355" s="373">
        <f t="shared" ref="AN355:AN363" si="72">((AI355/($C$681*4))+(AI379/($C$686*4))+(AI403/$C$691)+(AI426/$C$694))*5/4</f>
        <v>0.21875</v>
      </c>
      <c r="AO355" s="369">
        <f t="shared" ref="AO355:AO363" si="73">((AJ355/($C$681*4))+(AJ379/($C$686*4))+(AJ403/$C$691)+(AJ426/$C$694))*5/4</f>
        <v>1.8968750000000001</v>
      </c>
      <c r="AP355" s="369">
        <f t="shared" ref="AP355:AP363" si="74">((AK355/($C$681*4))+(AK379/($C$686*4))+(AK403/$C$691)+(AK426/$C$694))*5/4</f>
        <v>0.328125</v>
      </c>
      <c r="AQ355" s="374">
        <f t="shared" ref="AQ355:AQ363" si="75">((AL355/($C$681*4))+(AL379/($C$686*4))+(AL403/$C$691)+(AL426/$C$694))*5/4</f>
        <v>0.32812500000000011</v>
      </c>
      <c r="AS355" s="726">
        <f>(O355-J355)</f>
        <v>8</v>
      </c>
      <c r="AU355" s="732">
        <f t="shared" si="71"/>
        <v>0.17499999999999999</v>
      </c>
    </row>
    <row r="356" spans="1:48" ht="12.95" customHeight="1" thickBot="1">
      <c r="A356" s="885"/>
      <c r="B356" s="885"/>
      <c r="C356" s="9" t="s">
        <v>297</v>
      </c>
      <c r="D356" s="241" t="s">
        <v>632</v>
      </c>
      <c r="E356" s="241" t="s">
        <v>632</v>
      </c>
      <c r="F356" s="243" t="s">
        <v>646</v>
      </c>
      <c r="G356" s="241" t="s">
        <v>646</v>
      </c>
      <c r="H356" s="241" t="s">
        <v>646</v>
      </c>
      <c r="I356" s="244" t="s">
        <v>646</v>
      </c>
      <c r="J356" s="195">
        <f>SUM('State DisAgg LFx10 (2014)'!D346:G346)</f>
        <v>2</v>
      </c>
      <c r="K356" s="196"/>
      <c r="L356" s="196"/>
      <c r="M356" s="197"/>
      <c r="N356" s="195"/>
      <c r="O356" s="196">
        <f>SUM('State DisAgg LFx10 (2014)'!H356:K356)</f>
        <v>6</v>
      </c>
      <c r="P356" s="196"/>
      <c r="Q356" s="197"/>
      <c r="R356" s="195"/>
      <c r="S356" s="196"/>
      <c r="T356" s="196"/>
      <c r="U356" s="197">
        <f>SUM('State DisAgg LFx10 (2014)'!L356:O356)</f>
        <v>20</v>
      </c>
      <c r="V356" s="195"/>
      <c r="W356" s="196"/>
      <c r="X356" s="196"/>
      <c r="Y356" s="197">
        <f>SUM('State DisAgg LFx10 (2014)'!P356:S356)</f>
        <v>8</v>
      </c>
      <c r="Z356" s="195"/>
      <c r="AA356" s="196"/>
      <c r="AB356" s="196"/>
      <c r="AC356" s="197">
        <f>SUM('State DisAgg LFx10 (2014)'!T356:W356)</f>
        <v>33</v>
      </c>
      <c r="AD356" s="195"/>
      <c r="AE356" s="197"/>
      <c r="AI356" s="364">
        <f>O356-J356</f>
        <v>4</v>
      </c>
      <c r="AJ356" s="360">
        <f>U356-O356</f>
        <v>14</v>
      </c>
      <c r="AK356" s="360">
        <f t="shared" si="68"/>
        <v>-12</v>
      </c>
      <c r="AL356" s="584">
        <f t="shared" si="69"/>
        <v>25</v>
      </c>
      <c r="AM356" s="351" t="s">
        <v>758</v>
      </c>
      <c r="AN356" s="373">
        <f t="shared" si="72"/>
        <v>0.140625</v>
      </c>
      <c r="AO356" s="369">
        <f t="shared" si="73"/>
        <v>1.6093749999999998</v>
      </c>
      <c r="AP356" s="369">
        <f t="shared" si="74"/>
        <v>0.20312500000000006</v>
      </c>
      <c r="AQ356" s="374">
        <f t="shared" si="75"/>
        <v>1.034375</v>
      </c>
      <c r="AS356" s="726">
        <f>(O356-J356)</f>
        <v>4</v>
      </c>
      <c r="AU356" s="732">
        <f t="shared" si="71"/>
        <v>0.1125</v>
      </c>
    </row>
    <row r="357" spans="1:48" ht="12.95" customHeight="1" thickBot="1">
      <c r="A357" s="885"/>
      <c r="B357" s="885"/>
      <c r="C357" s="9" t="s">
        <v>298</v>
      </c>
      <c r="D357" s="241" t="s">
        <v>632</v>
      </c>
      <c r="E357" s="241" t="s">
        <v>632</v>
      </c>
      <c r="F357" s="243" t="s">
        <v>646</v>
      </c>
      <c r="G357" s="241" t="s">
        <v>646</v>
      </c>
      <c r="H357" s="241" t="s">
        <v>646</v>
      </c>
      <c r="I357" s="244" t="s">
        <v>646</v>
      </c>
      <c r="J357" s="195">
        <f>SUM('State DisAgg LFx10 (2014)'!D347:G347)</f>
        <v>0</v>
      </c>
      <c r="K357" s="196"/>
      <c r="L357" s="196"/>
      <c r="M357" s="197"/>
      <c r="N357" s="195"/>
      <c r="O357" s="196">
        <f>SUM('State DisAgg LFx10 (2014)'!H357:K357)</f>
        <v>8</v>
      </c>
      <c r="P357" s="196"/>
      <c r="Q357" s="197"/>
      <c r="R357" s="195"/>
      <c r="S357" s="196"/>
      <c r="T357" s="196"/>
      <c r="U357" s="197">
        <f>SUM('State DisAgg LFx10 (2014)'!L357:O357)</f>
        <v>12</v>
      </c>
      <c r="V357" s="195"/>
      <c r="W357" s="196"/>
      <c r="X357" s="196"/>
      <c r="Y357" s="197">
        <f>SUM('State DisAgg LFx10 (2014)'!P357:S357)</f>
        <v>24</v>
      </c>
      <c r="Z357" s="195"/>
      <c r="AA357" s="196"/>
      <c r="AB357" s="196"/>
      <c r="AC357" s="197">
        <f>SUM('State DisAgg LFx10 (2014)'!T357:W357)</f>
        <v>27</v>
      </c>
      <c r="AD357" s="195"/>
      <c r="AE357" s="197"/>
      <c r="AI357" s="364">
        <f>O357-J357</f>
        <v>8</v>
      </c>
      <c r="AJ357" s="360">
        <f>U357-O357</f>
        <v>4</v>
      </c>
      <c r="AK357" s="360">
        <f t="shared" si="68"/>
        <v>12</v>
      </c>
      <c r="AL357" s="584">
        <f t="shared" si="69"/>
        <v>3</v>
      </c>
      <c r="AM357" s="351" t="s">
        <v>759</v>
      </c>
      <c r="AN357" s="373">
        <f t="shared" si="72"/>
        <v>0.234375</v>
      </c>
      <c r="AO357" s="369">
        <f t="shared" si="73"/>
        <v>1.5000000000000002</v>
      </c>
      <c r="AP357" s="369">
        <f t="shared" si="74"/>
        <v>0.78749999999999998</v>
      </c>
      <c r="AQ357" s="374">
        <f t="shared" si="75"/>
        <v>0.19999999999999996</v>
      </c>
      <c r="AS357" s="726">
        <f>(O357-J357)</f>
        <v>8</v>
      </c>
      <c r="AT357" s="714" t="s">
        <v>1070</v>
      </c>
      <c r="AU357" s="732">
        <f t="shared" si="71"/>
        <v>0.1875</v>
      </c>
      <c r="AV357" s="714" t="s">
        <v>1070</v>
      </c>
    </row>
    <row r="358" spans="1:48" ht="12.95" customHeight="1" thickBot="1">
      <c r="A358" s="885"/>
      <c r="B358" s="885"/>
      <c r="C358" s="9" t="s">
        <v>299</v>
      </c>
      <c r="D358" s="241" t="s">
        <v>632</v>
      </c>
      <c r="E358" s="241" t="s">
        <v>632</v>
      </c>
      <c r="F358" s="243" t="s">
        <v>646</v>
      </c>
      <c r="G358" s="241" t="s">
        <v>646</v>
      </c>
      <c r="H358" s="241" t="s">
        <v>646</v>
      </c>
      <c r="I358" s="244" t="s">
        <v>646</v>
      </c>
      <c r="J358" s="195">
        <f>SUM('State DisAgg LFx10 (2014)'!D348:G348)</f>
        <v>0</v>
      </c>
      <c r="K358" s="196"/>
      <c r="L358" s="196"/>
      <c r="M358" s="197"/>
      <c r="N358" s="195"/>
      <c r="O358" s="196">
        <f>SUM('State DisAgg LFx10 (2014)'!H358:K358)</f>
        <v>6</v>
      </c>
      <c r="P358" s="196"/>
      <c r="Q358" s="197"/>
      <c r="R358" s="195"/>
      <c r="S358" s="196"/>
      <c r="T358" s="196"/>
      <c r="U358" s="197">
        <f>SUM('State DisAgg LFx10 (2014)'!L358:O358)</f>
        <v>16</v>
      </c>
      <c r="V358" s="195"/>
      <c r="W358" s="196"/>
      <c r="X358" s="196"/>
      <c r="Y358" s="197">
        <f>SUM('State DisAgg LFx10 (2014)'!P358:S358)</f>
        <v>16</v>
      </c>
      <c r="Z358" s="195"/>
      <c r="AA358" s="196"/>
      <c r="AB358" s="196"/>
      <c r="AC358" s="197">
        <f>SUM('State DisAgg LFx10 (2014)'!T358:W358)</f>
        <v>23</v>
      </c>
      <c r="AD358" s="195"/>
      <c r="AE358" s="197"/>
      <c r="AI358" s="364">
        <f>O358-J358</f>
        <v>6</v>
      </c>
      <c r="AJ358" s="360">
        <f>U358-O358</f>
        <v>10</v>
      </c>
      <c r="AK358" s="360">
        <f t="shared" si="68"/>
        <v>0</v>
      </c>
      <c r="AL358" s="584">
        <f t="shared" si="69"/>
        <v>7</v>
      </c>
      <c r="AM358" s="351" t="s">
        <v>760</v>
      </c>
      <c r="AN358" s="373">
        <f t="shared" si="72"/>
        <v>0.20312499999999997</v>
      </c>
      <c r="AO358" s="369">
        <f t="shared" si="73"/>
        <v>1.3656249999999996</v>
      </c>
      <c r="AP358" s="369">
        <f t="shared" si="74"/>
        <v>0.75</v>
      </c>
      <c r="AQ358" s="374">
        <f t="shared" si="75"/>
        <v>0.30312500000000014</v>
      </c>
      <c r="AS358" s="726">
        <f>(O358-J358)</f>
        <v>6</v>
      </c>
      <c r="AT358" s="728">
        <f>SUM(AS354:AS358)/5</f>
        <v>5.2</v>
      </c>
      <c r="AU358" s="732">
        <f t="shared" si="71"/>
        <v>0.16249999999999998</v>
      </c>
      <c r="AV358" s="728">
        <f>SUM(AU354:AU358)/5</f>
        <v>0.14250000000000002</v>
      </c>
    </row>
    <row r="359" spans="1:48" ht="13.5" thickBot="1">
      <c r="A359" s="885"/>
      <c r="B359" s="885"/>
      <c r="C359" s="9" t="s">
        <v>300</v>
      </c>
      <c r="D359" s="199"/>
      <c r="E359" s="200"/>
      <c r="F359" s="201"/>
      <c r="G359" s="199"/>
      <c r="H359" s="199"/>
      <c r="I359" s="200"/>
      <c r="J359" s="201"/>
      <c r="K359" s="199"/>
      <c r="L359" s="199"/>
      <c r="M359" s="200"/>
      <c r="N359" s="198"/>
      <c r="O359" s="217" t="s">
        <v>634</v>
      </c>
      <c r="P359" s="241" t="s">
        <v>632</v>
      </c>
      <c r="Q359" s="244" t="s">
        <v>646</v>
      </c>
      <c r="R359" s="195">
        <f>SUM('State DisAgg LFx10 (2014)'!H349:K349)</f>
        <v>2</v>
      </c>
      <c r="S359" s="196"/>
      <c r="T359" s="196"/>
      <c r="U359" s="197">
        <f>SUM('State DisAgg LFx10 (2014)'!L359:O359)</f>
        <v>2</v>
      </c>
      <c r="V359" s="195"/>
      <c r="W359" s="196"/>
      <c r="X359" s="196"/>
      <c r="Y359" s="197">
        <f>SUM('State DisAgg LFx10 (2014)'!P359:S359)</f>
        <v>10</v>
      </c>
      <c r="Z359" s="195"/>
      <c r="AA359" s="196"/>
      <c r="AB359" s="196"/>
      <c r="AC359" s="197">
        <f>SUM('State DisAgg LFx10 (2014)'!T359:W359)</f>
        <v>34</v>
      </c>
      <c r="AD359" s="195"/>
      <c r="AE359" s="197"/>
      <c r="AI359" s="364">
        <v>0</v>
      </c>
      <c r="AJ359" s="360">
        <f>U359-R359</f>
        <v>0</v>
      </c>
      <c r="AK359" s="360">
        <f t="shared" si="68"/>
        <v>8</v>
      </c>
      <c r="AL359" s="584">
        <f t="shared" si="69"/>
        <v>24</v>
      </c>
      <c r="AM359" s="351" t="s">
        <v>761</v>
      </c>
      <c r="AN359" s="373">
        <f t="shared" si="72"/>
        <v>0</v>
      </c>
      <c r="AO359" s="369">
        <f t="shared" si="73"/>
        <v>0</v>
      </c>
      <c r="AP359" s="369">
        <f t="shared" si="74"/>
        <v>0.40312500000000001</v>
      </c>
      <c r="AQ359" s="374">
        <f t="shared" si="75"/>
        <v>1.7406250000000001</v>
      </c>
      <c r="AS359" s="726">
        <f>(Y359-R359)</f>
        <v>8</v>
      </c>
      <c r="AU359" s="732">
        <f t="shared" si="71"/>
        <v>8.7500000000000008E-2</v>
      </c>
    </row>
    <row r="360" spans="1:48" ht="13.5" thickBot="1">
      <c r="A360" s="885"/>
      <c r="B360" s="885"/>
      <c r="C360" s="9" t="s">
        <v>301</v>
      </c>
      <c r="D360" s="199"/>
      <c r="E360" s="200"/>
      <c r="F360" s="201"/>
      <c r="G360" s="199"/>
      <c r="H360" s="199"/>
      <c r="I360" s="200"/>
      <c r="J360" s="201"/>
      <c r="K360" s="199"/>
      <c r="L360" s="199"/>
      <c r="M360" s="200"/>
      <c r="N360" s="198"/>
      <c r="O360" s="217" t="s">
        <v>634</v>
      </c>
      <c r="P360" s="241" t="s">
        <v>632</v>
      </c>
      <c r="Q360" s="244" t="s">
        <v>646</v>
      </c>
      <c r="R360" s="195">
        <f>SUM('State DisAgg LFx10 (2014)'!H350:K350)</f>
        <v>0</v>
      </c>
      <c r="S360" s="196"/>
      <c r="T360" s="196"/>
      <c r="U360" s="197">
        <f>SUM('State DisAgg LFx10 (2014)'!L360:O360)</f>
        <v>0</v>
      </c>
      <c r="V360" s="195"/>
      <c r="W360" s="196"/>
      <c r="X360" s="196"/>
      <c r="Y360" s="197">
        <f>SUM('State DisAgg LFx10 (2014)'!P360:S360)</f>
        <v>13</v>
      </c>
      <c r="Z360" s="195"/>
      <c r="AA360" s="196"/>
      <c r="AB360" s="196"/>
      <c r="AC360" s="197">
        <f>SUM('State DisAgg LFx10 (2014)'!T360:W360)</f>
        <v>19</v>
      </c>
      <c r="AD360" s="195"/>
      <c r="AE360" s="197"/>
      <c r="AI360" s="364">
        <v>0</v>
      </c>
      <c r="AJ360" s="360">
        <f>U360-R360</f>
        <v>0</v>
      </c>
      <c r="AK360" s="360">
        <f t="shared" si="68"/>
        <v>13</v>
      </c>
      <c r="AL360" s="584">
        <f t="shared" si="69"/>
        <v>6</v>
      </c>
      <c r="AM360" s="351" t="s">
        <v>762</v>
      </c>
      <c r="AN360" s="373">
        <f t="shared" si="72"/>
        <v>0</v>
      </c>
      <c r="AO360" s="369">
        <f t="shared" si="73"/>
        <v>0</v>
      </c>
      <c r="AP360" s="369">
        <f t="shared" si="74"/>
        <v>0.46562499999999984</v>
      </c>
      <c r="AQ360" s="374">
        <f t="shared" si="75"/>
        <v>0.82812500000000011</v>
      </c>
      <c r="AS360" s="726">
        <f>(Y360-R360)</f>
        <v>13</v>
      </c>
      <c r="AT360" s="714" t="s">
        <v>1071</v>
      </c>
      <c r="AU360" s="732">
        <f t="shared" si="71"/>
        <v>0.23749999999999999</v>
      </c>
      <c r="AV360" s="714" t="s">
        <v>1071</v>
      </c>
    </row>
    <row r="361" spans="1:48" ht="13.5" thickBot="1">
      <c r="A361" s="885"/>
      <c r="B361" s="885"/>
      <c r="C361" s="9" t="s">
        <v>302</v>
      </c>
      <c r="D361" s="199"/>
      <c r="E361" s="200"/>
      <c r="F361" s="201"/>
      <c r="G361" s="199"/>
      <c r="H361" s="199"/>
      <c r="I361" s="200"/>
      <c r="J361" s="201"/>
      <c r="K361" s="199"/>
      <c r="L361" s="199"/>
      <c r="M361" s="200"/>
      <c r="N361" s="198"/>
      <c r="O361" s="217" t="s">
        <v>634</v>
      </c>
      <c r="P361" s="241" t="s">
        <v>632</v>
      </c>
      <c r="Q361" s="244" t="s">
        <v>646</v>
      </c>
      <c r="R361" s="195">
        <f>SUM('State DisAgg LFx10 (2014)'!H351:K351)</f>
        <v>0</v>
      </c>
      <c r="S361" s="196"/>
      <c r="T361" s="196"/>
      <c r="U361" s="197">
        <f>SUM('State DisAgg LFx10 (2014)'!L361:O361)</f>
        <v>0</v>
      </c>
      <c r="V361" s="195"/>
      <c r="W361" s="196"/>
      <c r="X361" s="196"/>
      <c r="Y361" s="197">
        <f>SUM('State DisAgg LFx10 (2014)'!P361:S361)</f>
        <v>22</v>
      </c>
      <c r="Z361" s="195"/>
      <c r="AA361" s="196"/>
      <c r="AB361" s="196"/>
      <c r="AC361" s="197">
        <f>SUM('State DisAgg LFx10 (2014)'!T361:W361)</f>
        <v>29</v>
      </c>
      <c r="AD361" s="195"/>
      <c r="AE361" s="197"/>
      <c r="AI361" s="364">
        <v>0</v>
      </c>
      <c r="AJ361" s="360">
        <f>U361-R361</f>
        <v>0</v>
      </c>
      <c r="AK361" s="360">
        <f t="shared" si="68"/>
        <v>22</v>
      </c>
      <c r="AL361" s="584">
        <f t="shared" si="69"/>
        <v>7</v>
      </c>
      <c r="AM361" s="351" t="s">
        <v>763</v>
      </c>
      <c r="AN361" s="373">
        <f t="shared" si="72"/>
        <v>0</v>
      </c>
      <c r="AO361" s="369">
        <f t="shared" si="73"/>
        <v>0</v>
      </c>
      <c r="AP361" s="369">
        <f t="shared" si="74"/>
        <v>0.734375</v>
      </c>
      <c r="AQ361" s="374">
        <f t="shared" si="75"/>
        <v>1.0187499999999998</v>
      </c>
      <c r="AS361" s="729">
        <f>(Y361-R361)</f>
        <v>22</v>
      </c>
      <c r="AT361" s="728">
        <f>SUM(AS359:AS361)/3</f>
        <v>14.333333333333334</v>
      </c>
      <c r="AU361" s="733">
        <f t="shared" si="71"/>
        <v>0.36250000000000004</v>
      </c>
      <c r="AV361" s="728">
        <f>SUM(AU359:AU361)/3</f>
        <v>0.22916666666666666</v>
      </c>
    </row>
    <row r="362" spans="1:48" ht="13.5" thickBot="1">
      <c r="A362" s="885"/>
      <c r="B362" s="885"/>
      <c r="C362" s="9" t="s">
        <v>303</v>
      </c>
      <c r="D362" s="202"/>
      <c r="E362" s="203"/>
      <c r="F362" s="201"/>
      <c r="G362" s="202"/>
      <c r="H362" s="202"/>
      <c r="I362" s="203"/>
      <c r="J362" s="201"/>
      <c r="K362" s="202"/>
      <c r="L362" s="202"/>
      <c r="M362" s="203"/>
      <c r="N362" s="204"/>
      <c r="O362" s="214"/>
      <c r="P362" s="205"/>
      <c r="Q362" s="205"/>
      <c r="R362" s="201"/>
      <c r="S362" s="202"/>
      <c r="T362" s="202"/>
      <c r="U362" s="203"/>
      <c r="V362" s="242"/>
      <c r="W362" s="217" t="s">
        <v>633</v>
      </c>
      <c r="X362" s="241" t="s">
        <v>632</v>
      </c>
      <c r="Y362" s="197">
        <f>SUM('State DisAgg LFx10 (2014)'!P352:S352)</f>
        <v>0</v>
      </c>
      <c r="Z362" s="195"/>
      <c r="AA362" s="196"/>
      <c r="AB362" s="196"/>
      <c r="AC362" s="197">
        <f>SUM('State DisAgg LFx10 (2014)'!T362:W362)</f>
        <v>0</v>
      </c>
      <c r="AD362" s="195"/>
      <c r="AE362" s="197"/>
      <c r="AI362" s="364">
        <f>O362-J362</f>
        <v>0</v>
      </c>
      <c r="AJ362" s="360">
        <f>U362-O362</f>
        <v>0</v>
      </c>
      <c r="AK362" s="360">
        <f t="shared" si="68"/>
        <v>0</v>
      </c>
      <c r="AL362" s="584">
        <f t="shared" si="69"/>
        <v>0</v>
      </c>
      <c r="AM362" s="351" t="s">
        <v>1098</v>
      </c>
      <c r="AN362" s="373">
        <f t="shared" si="72"/>
        <v>0</v>
      </c>
      <c r="AO362" s="369">
        <f t="shared" si="73"/>
        <v>0</v>
      </c>
      <c r="AP362" s="369">
        <f t="shared" si="74"/>
        <v>1.6031249999999999</v>
      </c>
      <c r="AQ362" s="374">
        <f t="shared" si="75"/>
        <v>0</v>
      </c>
    </row>
    <row r="363" spans="1:48" ht="13.5" thickBot="1">
      <c r="A363" s="885"/>
      <c r="B363" s="885"/>
      <c r="C363" s="9" t="s">
        <v>304</v>
      </c>
      <c r="D363" s="202"/>
      <c r="E363" s="203"/>
      <c r="F363" s="201"/>
      <c r="G363" s="202"/>
      <c r="H363" s="202"/>
      <c r="I363" s="203"/>
      <c r="J363" s="201"/>
      <c r="K363" s="202"/>
      <c r="L363" s="202"/>
      <c r="M363" s="203"/>
      <c r="N363" s="204"/>
      <c r="O363" s="205"/>
      <c r="P363" s="205"/>
      <c r="Q363" s="205"/>
      <c r="R363" s="201"/>
      <c r="S363" s="202"/>
      <c r="T363" s="202"/>
      <c r="U363" s="203"/>
      <c r="V363" s="242"/>
      <c r="W363" s="217" t="s">
        <v>633</v>
      </c>
      <c r="X363" s="241" t="s">
        <v>632</v>
      </c>
      <c r="Y363" s="197">
        <f>SUM('State DisAgg LFx10 (2014)'!P353:S353)</f>
        <v>4</v>
      </c>
      <c r="Z363" s="195"/>
      <c r="AA363" s="196"/>
      <c r="AB363" s="196"/>
      <c r="AC363" s="197">
        <f>SUM('State DisAgg LFx10 (2014)'!T363:W363)</f>
        <v>4</v>
      </c>
      <c r="AD363" s="195"/>
      <c r="AE363" s="197"/>
      <c r="AI363" s="366">
        <f>O363-J363</f>
        <v>0</v>
      </c>
      <c r="AJ363" s="367">
        <f>U363-O363</f>
        <v>0</v>
      </c>
      <c r="AK363" s="367">
        <f t="shared" si="68"/>
        <v>4</v>
      </c>
      <c r="AL363" s="587">
        <f t="shared" si="69"/>
        <v>0</v>
      </c>
      <c r="AM363" s="351" t="s">
        <v>1099</v>
      </c>
      <c r="AN363" s="375">
        <f t="shared" si="72"/>
        <v>0</v>
      </c>
      <c r="AO363" s="376">
        <f t="shared" si="73"/>
        <v>0</v>
      </c>
      <c r="AP363" s="376">
        <f t="shared" si="74"/>
        <v>1.4906249999999999</v>
      </c>
      <c r="AQ363" s="377">
        <f t="shared" si="75"/>
        <v>0</v>
      </c>
    </row>
    <row r="364" spans="1:48" ht="12.95" hidden="1" customHeight="1" thickBot="1">
      <c r="A364" s="885"/>
      <c r="B364" s="501"/>
      <c r="C364" s="231"/>
      <c r="D364" s="232"/>
      <c r="E364" s="233"/>
      <c r="F364" s="234"/>
      <c r="G364" s="232"/>
      <c r="H364" s="232"/>
      <c r="I364" s="233"/>
      <c r="J364" s="234"/>
      <c r="K364" s="232"/>
      <c r="L364" s="232"/>
      <c r="M364" s="233"/>
      <c r="N364" s="234"/>
      <c r="O364" s="232"/>
      <c r="P364" s="232"/>
      <c r="Q364" s="233"/>
      <c r="R364" s="234"/>
      <c r="S364" s="232"/>
      <c r="T364" s="232"/>
      <c r="U364" s="233"/>
      <c r="V364" s="234"/>
      <c r="W364" s="232"/>
      <c r="X364" s="232"/>
      <c r="Y364" s="233"/>
      <c r="Z364" s="234"/>
      <c r="AA364" s="232"/>
      <c r="AB364" s="232"/>
      <c r="AC364" s="233"/>
      <c r="AD364" s="234"/>
      <c r="AE364" s="233"/>
      <c r="AI364" s="354">
        <f>O364-J364</f>
        <v>0</v>
      </c>
      <c r="AJ364" s="354">
        <f>U364-O364</f>
        <v>0</v>
      </c>
      <c r="AK364" s="354">
        <f t="shared" si="68"/>
        <v>0</v>
      </c>
      <c r="AN364" s="354">
        <f t="shared" ref="AN364:AP365" si="76">(AI364+AI388+AI412+AI435)/4</f>
        <v>0</v>
      </c>
      <c r="AO364" s="354">
        <f t="shared" si="76"/>
        <v>0</v>
      </c>
      <c r="AP364" s="354">
        <f t="shared" si="76"/>
        <v>0</v>
      </c>
      <c r="AQ364" s="354"/>
    </row>
    <row r="365" spans="1:48" ht="12.95" hidden="1" customHeight="1" thickBot="1">
      <c r="A365" s="885"/>
      <c r="B365" s="501"/>
      <c r="C365" s="231"/>
      <c r="D365" s="232"/>
      <c r="E365" s="233"/>
      <c r="F365" s="234"/>
      <c r="G365" s="232"/>
      <c r="H365" s="232"/>
      <c r="I365" s="233"/>
      <c r="J365" s="234"/>
      <c r="K365" s="232"/>
      <c r="L365" s="232"/>
      <c r="M365" s="233"/>
      <c r="N365" s="234"/>
      <c r="O365" s="232"/>
      <c r="P365" s="232"/>
      <c r="Q365" s="233"/>
      <c r="R365" s="234"/>
      <c r="S365" s="232"/>
      <c r="T365" s="232"/>
      <c r="U365" s="233"/>
      <c r="V365" s="234"/>
      <c r="W365" s="232"/>
      <c r="X365" s="232"/>
      <c r="Y365" s="233"/>
      <c r="Z365" s="234"/>
      <c r="AA365" s="232"/>
      <c r="AB365" s="232"/>
      <c r="AC365" s="233"/>
      <c r="AD365" s="234"/>
      <c r="AE365" s="233"/>
      <c r="AI365" s="354">
        <f>O365-J365</f>
        <v>0</v>
      </c>
      <c r="AJ365" s="354">
        <f>U365-O365</f>
        <v>0</v>
      </c>
      <c r="AK365" s="354">
        <f t="shared" si="68"/>
        <v>0</v>
      </c>
      <c r="AN365" s="354">
        <f t="shared" si="76"/>
        <v>0</v>
      </c>
      <c r="AO365" s="354">
        <f t="shared" si="76"/>
        <v>0</v>
      </c>
      <c r="AP365" s="354">
        <f t="shared" si="76"/>
        <v>0</v>
      </c>
      <c r="AQ365" s="354"/>
    </row>
    <row r="366" spans="1:48" ht="12.95" customHeight="1" thickBot="1">
      <c r="A366" s="885"/>
      <c r="B366" s="3" t="s">
        <v>30</v>
      </c>
      <c r="C366" s="12"/>
      <c r="D366" s="1377">
        <v>2008</v>
      </c>
      <c r="E366" s="1378"/>
      <c r="F366" s="1372">
        <v>2009</v>
      </c>
      <c r="G366" s="1373"/>
      <c r="H366" s="1373"/>
      <c r="I366" s="1374"/>
      <c r="J366" s="1372">
        <v>2010</v>
      </c>
      <c r="K366" s="1373"/>
      <c r="L366" s="1373"/>
      <c r="M366" s="1374"/>
      <c r="N366" s="1372">
        <v>2011</v>
      </c>
      <c r="O366" s="1373"/>
      <c r="P366" s="1373"/>
      <c r="Q366" s="1374"/>
      <c r="R366" s="1372">
        <v>2012</v>
      </c>
      <c r="S366" s="1373"/>
      <c r="T366" s="1373"/>
      <c r="U366" s="1374"/>
      <c r="V366" s="1372">
        <v>2013</v>
      </c>
      <c r="W366" s="1373"/>
      <c r="X366" s="1373"/>
      <c r="Y366" s="1374"/>
      <c r="Z366" s="1372">
        <v>2014</v>
      </c>
      <c r="AA366" s="1373"/>
      <c r="AB366" s="1373"/>
      <c r="AC366" s="1374"/>
      <c r="AD366" s="1372">
        <v>2015</v>
      </c>
      <c r="AE366" s="1374"/>
      <c r="AL366" s="351"/>
      <c r="AM366" s="351"/>
    </row>
    <row r="367" spans="1:48" ht="12.95" customHeight="1" thickBot="1">
      <c r="A367" s="885"/>
      <c r="B367" s="868" t="s">
        <v>157</v>
      </c>
      <c r="C367" s="23"/>
      <c r="D367" s="1379" t="s">
        <v>714</v>
      </c>
      <c r="E367" s="1380"/>
      <c r="F367" s="1380"/>
      <c r="G367" s="1380"/>
      <c r="H367" s="1380"/>
      <c r="I367" s="1380"/>
      <c r="J367" s="1380"/>
      <c r="K367" s="1380"/>
      <c r="L367" s="1380"/>
      <c r="M367" s="1380"/>
      <c r="N367" s="1380"/>
      <c r="O367" s="1380"/>
      <c r="P367" s="1380"/>
      <c r="Q367" s="1380"/>
      <c r="R367" s="1380"/>
      <c r="S367" s="1380"/>
      <c r="T367" s="1380"/>
      <c r="U367" s="1380"/>
      <c r="V367" s="1380"/>
      <c r="W367" s="1380"/>
      <c r="X367" s="1380"/>
      <c r="Y367" s="1380"/>
      <c r="Z367" s="1380"/>
      <c r="AA367" s="1380"/>
      <c r="AB367" s="1380"/>
      <c r="AC367" s="1380"/>
      <c r="AD367" s="1380"/>
      <c r="AE367" s="1381"/>
      <c r="AG367" s="257" t="s">
        <v>663</v>
      </c>
      <c r="AL367" s="351"/>
      <c r="AM367" s="354"/>
      <c r="AS367" s="716" t="s">
        <v>1039</v>
      </c>
    </row>
    <row r="368" spans="1:48" ht="13.5" thickBot="1">
      <c r="A368" s="885"/>
      <c r="B368" s="885"/>
      <c r="C368" s="194" t="s">
        <v>610</v>
      </c>
      <c r="D368" s="206"/>
      <c r="E368" s="207"/>
      <c r="F368" s="209"/>
      <c r="G368" s="206"/>
      <c r="H368" s="206"/>
      <c r="I368" s="207"/>
      <c r="J368" s="209"/>
      <c r="K368" s="206"/>
      <c r="L368" s="206"/>
      <c r="M368" s="207"/>
      <c r="N368" s="277"/>
      <c r="O368" s="278">
        <f>(O378-J378)/5/(SUM($C$686:$C$689))/Spend!O368*'State Efficiency Ratios (2014)'!$C$655</f>
        <v>22.485442156986579</v>
      </c>
      <c r="P368" s="278"/>
      <c r="Q368" s="279"/>
      <c r="R368" s="277"/>
      <c r="S368" s="278"/>
      <c r="T368" s="278"/>
      <c r="U368" s="278">
        <f>(U378-O378)/6/(SUM($C$686:$C$689))/Spend!U368*'State Efficiency Ratios (2014)'!$C$655</f>
        <v>39.320039050557803</v>
      </c>
      <c r="V368" s="277"/>
      <c r="W368" s="278"/>
      <c r="X368" s="278"/>
      <c r="Y368" s="278">
        <f>(Y378-U378)/4/(SUM($C$686:$C$689))/Spend!Y368*'State Efficiency Ratios (2014)'!$C$655</f>
        <v>-44.406040133297743</v>
      </c>
      <c r="Z368" s="277"/>
      <c r="AA368" s="278"/>
      <c r="AB368" s="278"/>
      <c r="AC368" s="278">
        <f>(AC378-Y378)/4/(SUM($C$686:$C$689))/Spend!AC368*'State Efficiency Ratios (2014)'!$C$655</f>
        <v>113.14066153992043</v>
      </c>
      <c r="AD368" s="277"/>
      <c r="AE368" s="280"/>
      <c r="AG368" s="410"/>
      <c r="AL368" s="351"/>
      <c r="AM368" s="378"/>
      <c r="AS368" s="717">
        <f>(O378-J378)/7/$C$673/Spend!O368*'State Efficiency Ratios (2014)'!$C$655</f>
        <v>256.97648179413233</v>
      </c>
    </row>
    <row r="369" spans="1:46" ht="13.5" thickBot="1">
      <c r="A369" s="885"/>
      <c r="B369" s="885"/>
      <c r="C369" s="194" t="s">
        <v>611</v>
      </c>
      <c r="D369" s="206"/>
      <c r="E369" s="207"/>
      <c r="F369" s="209"/>
      <c r="G369" s="206"/>
      <c r="H369" s="206"/>
      <c r="I369" s="207"/>
      <c r="J369" s="209"/>
      <c r="K369" s="206"/>
      <c r="L369" s="206"/>
      <c r="M369" s="207"/>
      <c r="N369" s="277"/>
      <c r="O369" s="278">
        <f>(O379-J379)/5/(SUM($C$686:$C$689))/Spend!O369*'State Efficiency Ratios (2014)'!$C$655</f>
        <v>23.717923717560833</v>
      </c>
      <c r="P369" s="278"/>
      <c r="Q369" s="279"/>
      <c r="R369" s="277"/>
      <c r="S369" s="278"/>
      <c r="T369" s="278"/>
      <c r="U369" s="278">
        <f>(U379-O379)/6/(SUM($C$686:$C$689))/Spend!U369*'State Efficiency Ratios (2014)'!$C$655</f>
        <v>87.795040521500042</v>
      </c>
      <c r="V369" s="277"/>
      <c r="W369" s="278"/>
      <c r="X369" s="278"/>
      <c r="Y369" s="278">
        <f>(Y379-U379)/4/(SUM($C$686:$C$689))/Spend!Y369*'State Efficiency Ratios (2014)'!$C$655</f>
        <v>-36.190645154123807</v>
      </c>
      <c r="Z369" s="277"/>
      <c r="AA369" s="278"/>
      <c r="AB369" s="278"/>
      <c r="AC369" s="278">
        <f>(AC379-Y379)/4/(SUM($C$686:$C$689))/Spend!AC369*'State Efficiency Ratios (2014)'!$C$655</f>
        <v>123.41319009550875</v>
      </c>
      <c r="AD369" s="277"/>
      <c r="AE369" s="280"/>
      <c r="AG369" s="410"/>
      <c r="AS369" s="719">
        <f>(O379-J379)/7/$C$673/Spend!O369*'State Efficiency Ratios (2014)'!$C$655</f>
        <v>271.06198534355241</v>
      </c>
    </row>
    <row r="370" spans="1:46" ht="13.5" thickBot="1">
      <c r="A370" s="885"/>
      <c r="B370" s="885"/>
      <c r="C370" s="194" t="s">
        <v>612</v>
      </c>
      <c r="D370" s="206"/>
      <c r="E370" s="207"/>
      <c r="F370" s="209"/>
      <c r="G370" s="206"/>
      <c r="H370" s="206"/>
      <c r="I370" s="207"/>
      <c r="J370" s="209"/>
      <c r="K370" s="206"/>
      <c r="L370" s="206"/>
      <c r="M370" s="207"/>
      <c r="N370" s="277"/>
      <c r="O370" s="278">
        <f>(O380-J380)/5/(SUM($C$686:$C$689))/Spend!O370*'State Efficiency Ratios (2014)'!$C$655</f>
        <v>17.607865059772422</v>
      </c>
      <c r="P370" s="278"/>
      <c r="Q370" s="279"/>
      <c r="R370" s="277"/>
      <c r="S370" s="278"/>
      <c r="T370" s="278"/>
      <c r="U370" s="278">
        <f>(U380-O380)/6/(SUM($C$686:$C$689))/Spend!U370*'State Efficiency Ratios (2014)'!$C$655</f>
        <v>64.021696832737149</v>
      </c>
      <c r="V370" s="277"/>
      <c r="W370" s="278"/>
      <c r="X370" s="278"/>
      <c r="Y370" s="278">
        <f>(Y380-U380)/4/(SUM($C$686:$C$689))/Spend!Y370*'State Efficiency Ratios (2014)'!$C$655</f>
        <v>99.676797772870231</v>
      </c>
      <c r="Z370" s="277"/>
      <c r="AA370" s="278"/>
      <c r="AB370" s="278"/>
      <c r="AC370" s="278">
        <f>(AC380-Y380)/4/(SUM($C$686:$C$689))/Spend!AC370*'State Efficiency Ratios (2014)'!$C$655</f>
        <v>191.44475460525882</v>
      </c>
      <c r="AD370" s="277"/>
      <c r="AE370" s="280"/>
      <c r="AG370" s="410" t="s">
        <v>1086</v>
      </c>
      <c r="AS370" s="719">
        <f>(O380-J380)/7/$C$673/Spend!O370*'State Efficiency Ratios (2014)'!$C$655</f>
        <v>201.23274354025619</v>
      </c>
    </row>
    <row r="371" spans="1:46" ht="13.5" thickBot="1">
      <c r="A371" s="885"/>
      <c r="B371" s="885"/>
      <c r="C371" s="194" t="s">
        <v>613</v>
      </c>
      <c r="D371" s="206"/>
      <c r="E371" s="207"/>
      <c r="F371" s="209"/>
      <c r="G371" s="206"/>
      <c r="H371" s="206"/>
      <c r="I371" s="207"/>
      <c r="J371" s="209"/>
      <c r="K371" s="206"/>
      <c r="L371" s="206"/>
      <c r="M371" s="207"/>
      <c r="N371" s="277"/>
      <c r="O371" s="278">
        <f>(O381-J381)/5/(SUM($C$686:$C$689))/Spend!O371*'State Efficiency Ratios (2014)'!$C$655</f>
        <v>25.774495744849258</v>
      </c>
      <c r="P371" s="278"/>
      <c r="Q371" s="279"/>
      <c r="R371" s="277"/>
      <c r="S371" s="278"/>
      <c r="T371" s="278"/>
      <c r="U371" s="278">
        <f>(U381-O381)/6/(SUM($C$686:$C$689))/Spend!U371*'State Efficiency Ratios (2014)'!$C$655</f>
        <v>13.136365248248026</v>
      </c>
      <c r="V371" s="277"/>
      <c r="W371" s="278"/>
      <c r="X371" s="278"/>
      <c r="Y371" s="278">
        <f>(Y381-U381)/4/(SUM($C$686:$C$689))/Spend!Y371*'State Efficiency Ratios (2014)'!$C$655</f>
        <v>101.31756165203738</v>
      </c>
      <c r="Z371" s="277"/>
      <c r="AA371" s="278"/>
      <c r="AB371" s="278"/>
      <c r="AC371" s="278">
        <f>(AC381-Y381)/4/(SUM($C$686:$C$689))/Spend!AC371*'State Efficiency Ratios (2014)'!$C$655</f>
        <v>9.3704779251941588</v>
      </c>
      <c r="AD371" s="277"/>
      <c r="AE371" s="280"/>
      <c r="AG371" s="410" t="s">
        <v>1087</v>
      </c>
      <c r="AS371" s="719">
        <f>(O381-J381)/7/$C$673/Spend!O371*'State Efficiency Ratios (2014)'!$C$655</f>
        <v>294.5656656554201</v>
      </c>
      <c r="AT371" s="714" t="s">
        <v>1070</v>
      </c>
    </row>
    <row r="372" spans="1:46" ht="13.5" thickBot="1">
      <c r="A372" s="885"/>
      <c r="B372" s="885"/>
      <c r="C372" s="194" t="s">
        <v>614</v>
      </c>
      <c r="D372" s="206"/>
      <c r="E372" s="207"/>
      <c r="F372" s="209"/>
      <c r="G372" s="206"/>
      <c r="H372" s="206"/>
      <c r="I372" s="207"/>
      <c r="J372" s="209"/>
      <c r="K372" s="206"/>
      <c r="L372" s="206"/>
      <c r="M372" s="207"/>
      <c r="N372" s="277"/>
      <c r="O372" s="278">
        <f>(O382-J382)/5/(SUM($C$686:$C$689))/Spend!O372*'State Efficiency Ratios (2014)'!$C$655</f>
        <v>24.306397914088343</v>
      </c>
      <c r="P372" s="278"/>
      <c r="Q372" s="279"/>
      <c r="R372" s="277"/>
      <c r="S372" s="278"/>
      <c r="T372" s="278"/>
      <c r="U372" s="278">
        <f>(U382-O382)/6/(SUM($C$686:$C$689))/Spend!U372*'State Efficiency Ratios (2014)'!$C$655</f>
        <v>30.682333980121527</v>
      </c>
      <c r="V372" s="277"/>
      <c r="W372" s="278"/>
      <c r="X372" s="278"/>
      <c r="Y372" s="278">
        <f>(Y382-U382)/4/(SUM($C$686:$C$689))/Spend!Y372*'State Efficiency Ratios (2014)'!$C$655</f>
        <v>46.621928163651503</v>
      </c>
      <c r="Z372" s="277"/>
      <c r="AA372" s="278"/>
      <c r="AB372" s="278"/>
      <c r="AC372" s="278">
        <f>(AC382-Y382)/4/(SUM($C$686:$C$689))/Spend!AC372*'State Efficiency Ratios (2014)'!$C$655</f>
        <v>-33.15554358745667</v>
      </c>
      <c r="AD372" s="277"/>
      <c r="AE372" s="280"/>
      <c r="AG372" s="410" t="s">
        <v>1085</v>
      </c>
      <c r="AS372" s="719">
        <f>(O382-J382)/7/$C$673/Spend!O372*'State Efficiency Ratios (2014)'!$C$655</f>
        <v>277.78740473243823</v>
      </c>
      <c r="AT372" s="721">
        <f>SUM(AS368:AS372)/5</f>
        <v>260.32485621315988</v>
      </c>
    </row>
    <row r="373" spans="1:46" ht="13.5" thickBot="1">
      <c r="A373" s="885"/>
      <c r="B373" s="885"/>
      <c r="C373" s="194" t="s">
        <v>615</v>
      </c>
      <c r="D373" s="210"/>
      <c r="E373" s="211"/>
      <c r="F373" s="209"/>
      <c r="G373" s="210"/>
      <c r="H373" s="210"/>
      <c r="I373" s="211"/>
      <c r="J373" s="209"/>
      <c r="K373" s="210"/>
      <c r="L373" s="210"/>
      <c r="M373" s="211"/>
      <c r="N373" s="281"/>
      <c r="O373" s="282"/>
      <c r="P373" s="282"/>
      <c r="Q373" s="282"/>
      <c r="R373" s="277"/>
      <c r="S373" s="278"/>
      <c r="T373" s="278"/>
      <c r="U373" s="278">
        <f>(U383-R383)/3/(SUM($C$686:$C$689))/Spend!U373*'State Efficiency Ratios (2014)'!$C$655</f>
        <v>0</v>
      </c>
      <c r="V373" s="277"/>
      <c r="W373" s="278"/>
      <c r="X373" s="278"/>
      <c r="Y373" s="278">
        <f>(Y383-U383)/4/(SUM($C$686:$C$689))/Spend!Y373*'State Efficiency Ratios (2014)'!$C$655</f>
        <v>-24.553911816692256</v>
      </c>
      <c r="Z373" s="277"/>
      <c r="AA373" s="278"/>
      <c r="AB373" s="278"/>
      <c r="AC373" s="278">
        <f>(AC383-Y383)/4/(SUM($C$686:$C$689))/Spend!AC373*'State Efficiency Ratios (2014)'!$C$655</f>
        <v>225.79194885580029</v>
      </c>
      <c r="AD373" s="277"/>
      <c r="AE373" s="280"/>
      <c r="AG373" s="410"/>
      <c r="AI373" s="4" t="s">
        <v>1053</v>
      </c>
      <c r="AS373" s="719">
        <f>(Y383-R383)/7/$C$673/(Spend!U373+Spend!Y373)*'State Efficiency Ratios (2014)'!$C$655</f>
        <v>-91.049652941492468</v>
      </c>
    </row>
    <row r="374" spans="1:46" ht="13.5" thickBot="1">
      <c r="A374" s="885"/>
      <c r="B374" s="885"/>
      <c r="C374" s="194" t="s">
        <v>616</v>
      </c>
      <c r="D374" s="210"/>
      <c r="E374" s="211"/>
      <c r="F374" s="209"/>
      <c r="G374" s="210"/>
      <c r="H374" s="210"/>
      <c r="I374" s="211"/>
      <c r="J374" s="209"/>
      <c r="K374" s="210"/>
      <c r="L374" s="210"/>
      <c r="M374" s="211"/>
      <c r="N374" s="281"/>
      <c r="O374" s="282"/>
      <c r="P374" s="282"/>
      <c r="Q374" s="282"/>
      <c r="R374" s="277"/>
      <c r="S374" s="278"/>
      <c r="T374" s="278"/>
      <c r="U374" s="278">
        <f>(U384-R384)/3/(SUM($C$686:$C$689))/Spend!U374*'State Efficiency Ratios (2014)'!$C$655</f>
        <v>0</v>
      </c>
      <c r="V374" s="277"/>
      <c r="W374" s="278"/>
      <c r="X374" s="278"/>
      <c r="Y374" s="278">
        <f>(Y384-U384)/4/(SUM($C$686:$C$689))/Spend!Y374*'State Efficiency Ratios (2014)'!$C$655</f>
        <v>147.23067398807999</v>
      </c>
      <c r="Z374" s="277"/>
      <c r="AA374" s="278"/>
      <c r="AB374" s="278"/>
      <c r="AC374" s="278">
        <f>(AC384-Y384)/4/(SUM($C$686:$C$689))/Spend!AC374*'State Efficiency Ratios (2014)'!$C$655</f>
        <v>160.87829241520512</v>
      </c>
      <c r="AD374" s="277"/>
      <c r="AE374" s="280"/>
      <c r="AG374" s="410" t="s">
        <v>1084</v>
      </c>
      <c r="AH374" s="355" t="s">
        <v>1052</v>
      </c>
      <c r="AI374" s="599">
        <f>4/5*SUM(AI378:AI382)/5</f>
        <v>4.96</v>
      </c>
      <c r="AJ374" s="592">
        <f>4/6*SUM(AJ378:AJ382)/5</f>
        <v>4.6666666666666661</v>
      </c>
      <c r="AK374" s="592">
        <f>SUM(AK378:AK385)/8</f>
        <v>3.75</v>
      </c>
      <c r="AL374" s="594">
        <f>SUM(AL378:AL385)/8</f>
        <v>9.375</v>
      </c>
      <c r="AS374" s="719">
        <f>(Y384-R384)/7/$C$673/(Spend!U374+Spend!Y374)*'State Efficiency Ratios (2014)'!$C$655</f>
        <v>547.57985659110386</v>
      </c>
      <c r="AT374" s="714" t="s">
        <v>1071</v>
      </c>
    </row>
    <row r="375" spans="1:46" ht="13.5" thickBot="1">
      <c r="A375" s="885"/>
      <c r="B375" s="885"/>
      <c r="C375" s="194" t="s">
        <v>617</v>
      </c>
      <c r="D375" s="210"/>
      <c r="E375" s="211"/>
      <c r="F375" s="209"/>
      <c r="G375" s="210"/>
      <c r="H375" s="210"/>
      <c r="I375" s="211"/>
      <c r="J375" s="209"/>
      <c r="K375" s="210"/>
      <c r="L375" s="210"/>
      <c r="M375" s="211"/>
      <c r="N375" s="281"/>
      <c r="O375" s="282"/>
      <c r="P375" s="282"/>
      <c r="Q375" s="282"/>
      <c r="R375" s="277"/>
      <c r="S375" s="278"/>
      <c r="T375" s="278"/>
      <c r="U375" s="278">
        <f>(U385-R385)/3/(SUM($C$686:$C$689))/Spend!U375*'State Efficiency Ratios (2014)'!$C$655</f>
        <v>0</v>
      </c>
      <c r="V375" s="277"/>
      <c r="W375" s="278"/>
      <c r="X375" s="278"/>
      <c r="Y375" s="278">
        <f>(Y385-U385)/4/(SUM($C$686:$C$689))/Spend!Y375*'State Efficiency Ratios (2014)'!$C$655</f>
        <v>67.551814699920754</v>
      </c>
      <c r="Z375" s="277"/>
      <c r="AA375" s="278"/>
      <c r="AB375" s="278"/>
      <c r="AC375" s="278">
        <f>(AC385-Y385)/4/(SUM($C$686:$C$689))/Spend!AC375*'State Efficiency Ratios (2014)'!$C$655</f>
        <v>154.29730277141346</v>
      </c>
      <c r="AD375" s="277"/>
      <c r="AE375" s="280"/>
      <c r="AG375" s="410" t="s">
        <v>1089</v>
      </c>
      <c r="AH375" s="355" t="s">
        <v>1051</v>
      </c>
      <c r="AI375" s="606">
        <f>SUM(O368:O372)/5</f>
        <v>22.778424918651488</v>
      </c>
      <c r="AJ375" s="607">
        <f>SUM(U368:U372)/5</f>
        <v>46.991095126632914</v>
      </c>
      <c r="AK375" s="607">
        <f>SUM(Y368:Y375)/8</f>
        <v>44.656022396555755</v>
      </c>
      <c r="AL375" s="608">
        <f>SUM(AC368:AC375)/8</f>
        <v>118.14763557760554</v>
      </c>
      <c r="AS375" s="722">
        <f>(Y385-R385)/7/$C$673/(Spend!U375+Spend!Y375)*'State Efficiency Ratios (2014)'!$C$655</f>
        <v>387.16241675289962</v>
      </c>
      <c r="AT375" s="721">
        <f>SUM(AS373:AS375)/3</f>
        <v>281.23087346750367</v>
      </c>
    </row>
    <row r="376" spans="1:46" ht="13.5" thickBot="1">
      <c r="A376" s="885"/>
      <c r="B376" s="501" t="s">
        <v>151</v>
      </c>
      <c r="C376" s="194" t="s">
        <v>618</v>
      </c>
      <c r="D376" s="210"/>
      <c r="E376" s="211"/>
      <c r="F376" s="209"/>
      <c r="G376" s="210"/>
      <c r="H376" s="210"/>
      <c r="I376" s="211"/>
      <c r="J376" s="209"/>
      <c r="K376" s="210"/>
      <c r="L376" s="210"/>
      <c r="M376" s="211"/>
      <c r="N376" s="281"/>
      <c r="O376" s="282"/>
      <c r="P376" s="282"/>
      <c r="Q376" s="283"/>
      <c r="R376" s="281"/>
      <c r="S376" s="282"/>
      <c r="T376" s="282"/>
      <c r="U376" s="283"/>
      <c r="V376" s="281"/>
      <c r="W376" s="282"/>
      <c r="X376" s="282"/>
      <c r="Y376" s="283"/>
      <c r="Z376" s="277"/>
      <c r="AA376" s="278"/>
      <c r="AB376" s="278"/>
      <c r="AC376" s="278">
        <f>(AC386-Y386)/4/(SUM($C$686:$C$689))/Spend!AC376*'State Efficiency Ratios (2014)'!$C$655</f>
        <v>0</v>
      </c>
      <c r="AD376" s="277"/>
      <c r="AE376" s="280"/>
      <c r="AG376" s="410"/>
    </row>
    <row r="377" spans="1:46" ht="13.5" thickBot="1">
      <c r="A377" s="885"/>
      <c r="B377" s="501" t="s">
        <v>150</v>
      </c>
      <c r="C377" s="194" t="s">
        <v>619</v>
      </c>
      <c r="D377" s="210"/>
      <c r="E377" s="211"/>
      <c r="F377" s="209"/>
      <c r="G377" s="210"/>
      <c r="H377" s="210"/>
      <c r="I377" s="211"/>
      <c r="J377" s="209"/>
      <c r="K377" s="210"/>
      <c r="L377" s="210"/>
      <c r="M377" s="211"/>
      <c r="N377" s="281"/>
      <c r="O377" s="282"/>
      <c r="P377" s="282"/>
      <c r="Q377" s="283"/>
      <c r="R377" s="281"/>
      <c r="S377" s="282"/>
      <c r="T377" s="282"/>
      <c r="U377" s="283"/>
      <c r="V377" s="281"/>
      <c r="W377" s="282"/>
      <c r="X377" s="282"/>
      <c r="Y377" s="283"/>
      <c r="Z377" s="277"/>
      <c r="AA377" s="278"/>
      <c r="AB377" s="278"/>
      <c r="AC377" s="278">
        <f>(AC387-Y387)/4/(SUM($C$686:$C$689))/Spend!AC377*'State Efficiency Ratios (2014)'!$C$655</f>
        <v>0</v>
      </c>
      <c r="AD377" s="277"/>
      <c r="AE377" s="280"/>
      <c r="AG377" s="410"/>
      <c r="AI377" s="416" t="s">
        <v>1039</v>
      </c>
      <c r="AS377" s="716" t="s">
        <v>1039</v>
      </c>
    </row>
    <row r="378" spans="1:46" ht="12.95" customHeight="1" thickBot="1">
      <c r="A378" s="885"/>
      <c r="B378" s="885" t="s">
        <v>152</v>
      </c>
      <c r="C378" s="9" t="s">
        <v>295</v>
      </c>
      <c r="D378" s="241" t="s">
        <v>632</v>
      </c>
      <c r="E378" s="241" t="s">
        <v>632</v>
      </c>
      <c r="F378" s="243" t="s">
        <v>646</v>
      </c>
      <c r="G378" s="241" t="s">
        <v>646</v>
      </c>
      <c r="H378" s="241" t="s">
        <v>646</v>
      </c>
      <c r="I378" s="244" t="s">
        <v>646</v>
      </c>
      <c r="J378" s="195">
        <f>SUM('State DisAgg LFx10 (2014)'!D368:G368)</f>
        <v>0</v>
      </c>
      <c r="K378" s="196"/>
      <c r="L378" s="196"/>
      <c r="M378" s="197"/>
      <c r="N378" s="195"/>
      <c r="O378" s="196">
        <f>SUM('State DisAgg LFx10 (2014)'!H368:K368)</f>
        <v>6</v>
      </c>
      <c r="P378" s="196"/>
      <c r="Q378" s="197"/>
      <c r="R378" s="195"/>
      <c r="S378" s="196"/>
      <c r="T378" s="196"/>
      <c r="U378" s="197">
        <f>SUM('State DisAgg LFx10 (2014)'!L378:O378)</f>
        <v>12</v>
      </c>
      <c r="V378" s="195"/>
      <c r="W378" s="196"/>
      <c r="X378" s="196"/>
      <c r="Y378" s="197">
        <f>SUM('State DisAgg LFx10 (2014)'!P378:S378)</f>
        <v>9</v>
      </c>
      <c r="Z378" s="195"/>
      <c r="AA378" s="196"/>
      <c r="AB378" s="196"/>
      <c r="AC378" s="197">
        <f>SUM('State DisAgg LFx10 (2014)'!T378:W378)</f>
        <v>15</v>
      </c>
      <c r="AD378" s="195"/>
      <c r="AE378" s="197"/>
      <c r="AI378" s="361">
        <f>O378-J378</f>
        <v>6</v>
      </c>
      <c r="AJ378" s="362">
        <f>U378-O378</f>
        <v>6</v>
      </c>
      <c r="AK378" s="362">
        <f t="shared" ref="AK378:AK389" si="77">Y378-U378</f>
        <v>-3</v>
      </c>
      <c r="AL378" s="582">
        <f t="shared" ref="AL378:AL387" si="78">AC378-Y378</f>
        <v>6</v>
      </c>
      <c r="AM378" s="378"/>
      <c r="AQ378" s="354"/>
      <c r="AS378" s="724">
        <f>(O378-J378)</f>
        <v>6</v>
      </c>
    </row>
    <row r="379" spans="1:46" ht="13.5" thickBot="1">
      <c r="A379" s="885"/>
      <c r="B379" s="885"/>
      <c r="C379" s="9" t="s">
        <v>296</v>
      </c>
      <c r="D379" s="241" t="s">
        <v>632</v>
      </c>
      <c r="E379" s="241" t="s">
        <v>632</v>
      </c>
      <c r="F379" s="243" t="s">
        <v>646</v>
      </c>
      <c r="G379" s="241" t="s">
        <v>646</v>
      </c>
      <c r="H379" s="241" t="s">
        <v>646</v>
      </c>
      <c r="I379" s="244" t="s">
        <v>646</v>
      </c>
      <c r="J379" s="195">
        <f>SUM('State DisAgg LFx10 (2014)'!D369:G369)</f>
        <v>0</v>
      </c>
      <c r="K379" s="196"/>
      <c r="L379" s="196"/>
      <c r="M379" s="197"/>
      <c r="N379" s="195"/>
      <c r="O379" s="196">
        <f>SUM('State DisAgg LFx10 (2014)'!H369:K369)</f>
        <v>6</v>
      </c>
      <c r="P379" s="196"/>
      <c r="Q379" s="197"/>
      <c r="R379" s="195"/>
      <c r="S379" s="196"/>
      <c r="T379" s="196"/>
      <c r="U379" s="197">
        <f>SUM('State DisAgg LFx10 (2014)'!L379:O379)</f>
        <v>17</v>
      </c>
      <c r="V379" s="195"/>
      <c r="W379" s="196"/>
      <c r="X379" s="196"/>
      <c r="Y379" s="197">
        <f>SUM('State DisAgg LFx10 (2014)'!P379:S379)</f>
        <v>13</v>
      </c>
      <c r="Z379" s="195"/>
      <c r="AA379" s="196"/>
      <c r="AB379" s="196"/>
      <c r="AC379" s="197">
        <f>SUM('State DisAgg LFx10 (2014)'!T379:W379)</f>
        <v>22</v>
      </c>
      <c r="AD379" s="195"/>
      <c r="AE379" s="197"/>
      <c r="AI379" s="364">
        <f>O379-J379</f>
        <v>6</v>
      </c>
      <c r="AJ379" s="360">
        <f>U379-O379</f>
        <v>11</v>
      </c>
      <c r="AK379" s="360">
        <f t="shared" si="77"/>
        <v>-4</v>
      </c>
      <c r="AL379" s="584">
        <f t="shared" si="78"/>
        <v>9</v>
      </c>
      <c r="AM379" s="378"/>
      <c r="AQ379" s="354"/>
      <c r="AS379" s="726">
        <f>(O379-J379)</f>
        <v>6</v>
      </c>
    </row>
    <row r="380" spans="1:46" ht="13.5" thickBot="1">
      <c r="A380" s="885"/>
      <c r="B380" s="885"/>
      <c r="C380" s="9" t="s">
        <v>297</v>
      </c>
      <c r="D380" s="241" t="s">
        <v>632</v>
      </c>
      <c r="E380" s="241" t="s">
        <v>632</v>
      </c>
      <c r="F380" s="243" t="s">
        <v>646</v>
      </c>
      <c r="G380" s="241" t="s">
        <v>646</v>
      </c>
      <c r="H380" s="241" t="s">
        <v>646</v>
      </c>
      <c r="I380" s="244" t="s">
        <v>646</v>
      </c>
      <c r="J380" s="195">
        <f>SUM('State DisAgg LFx10 (2014)'!D370:G370)</f>
        <v>2</v>
      </c>
      <c r="K380" s="196"/>
      <c r="L380" s="196"/>
      <c r="M380" s="197"/>
      <c r="N380" s="195"/>
      <c r="O380" s="196">
        <f>SUM('State DisAgg LFx10 (2014)'!H370:K370)</f>
        <v>7</v>
      </c>
      <c r="P380" s="196"/>
      <c r="Q380" s="197"/>
      <c r="R380" s="195"/>
      <c r="S380" s="196"/>
      <c r="T380" s="196"/>
      <c r="U380" s="197">
        <f>SUM('State DisAgg LFx10 (2014)'!L380:O380)</f>
        <v>16</v>
      </c>
      <c r="V380" s="195"/>
      <c r="W380" s="196"/>
      <c r="X380" s="196"/>
      <c r="Y380" s="197">
        <f>SUM('State DisAgg LFx10 (2014)'!P380:S380)</f>
        <v>25</v>
      </c>
      <c r="Z380" s="195"/>
      <c r="AA380" s="196"/>
      <c r="AB380" s="196"/>
      <c r="AC380" s="197">
        <f>SUM('State DisAgg LFx10 (2014)'!T380:W380)</f>
        <v>37</v>
      </c>
      <c r="AD380" s="195"/>
      <c r="AE380" s="197"/>
      <c r="AI380" s="364">
        <f>O380-J380</f>
        <v>5</v>
      </c>
      <c r="AJ380" s="360">
        <f>U380-O380</f>
        <v>9</v>
      </c>
      <c r="AK380" s="360">
        <f t="shared" si="77"/>
        <v>9</v>
      </c>
      <c r="AL380" s="584">
        <f t="shared" si="78"/>
        <v>12</v>
      </c>
      <c r="AM380" s="378"/>
      <c r="AQ380" s="354"/>
      <c r="AS380" s="726">
        <f>(O380-J380)</f>
        <v>5</v>
      </c>
    </row>
    <row r="381" spans="1:46" ht="13.5" thickBot="1">
      <c r="A381" s="885"/>
      <c r="B381" s="885"/>
      <c r="C381" s="9" t="s">
        <v>298</v>
      </c>
      <c r="D381" s="241" t="s">
        <v>632</v>
      </c>
      <c r="E381" s="241" t="s">
        <v>632</v>
      </c>
      <c r="F381" s="243" t="s">
        <v>646</v>
      </c>
      <c r="G381" s="241" t="s">
        <v>646</v>
      </c>
      <c r="H381" s="241" t="s">
        <v>646</v>
      </c>
      <c r="I381" s="244" t="s">
        <v>646</v>
      </c>
      <c r="J381" s="195">
        <f>SUM('State DisAgg LFx10 (2014)'!D371:G371)</f>
        <v>0</v>
      </c>
      <c r="K381" s="196"/>
      <c r="L381" s="196"/>
      <c r="M381" s="197"/>
      <c r="N381" s="195"/>
      <c r="O381" s="196">
        <f>SUM('State DisAgg LFx10 (2014)'!H371:K371)</f>
        <v>7</v>
      </c>
      <c r="P381" s="196"/>
      <c r="Q381" s="197"/>
      <c r="R381" s="195"/>
      <c r="S381" s="196"/>
      <c r="T381" s="196"/>
      <c r="U381" s="197">
        <f>SUM('State DisAgg LFx10 (2014)'!L381:O381)</f>
        <v>9</v>
      </c>
      <c r="V381" s="195"/>
      <c r="W381" s="196"/>
      <c r="X381" s="196"/>
      <c r="Y381" s="197">
        <f>SUM('State DisAgg LFx10 (2014)'!P381:S381)</f>
        <v>19</v>
      </c>
      <c r="Z381" s="195"/>
      <c r="AA381" s="196"/>
      <c r="AB381" s="196"/>
      <c r="AC381" s="197">
        <f>SUM('State DisAgg LFx10 (2014)'!T381:W381)</f>
        <v>20</v>
      </c>
      <c r="AD381" s="195"/>
      <c r="AE381" s="197"/>
      <c r="AI381" s="364">
        <f>O381-J381</f>
        <v>7</v>
      </c>
      <c r="AJ381" s="360">
        <f>U381-O381</f>
        <v>2</v>
      </c>
      <c r="AK381" s="360">
        <f t="shared" si="77"/>
        <v>10</v>
      </c>
      <c r="AL381" s="584">
        <f t="shared" si="78"/>
        <v>1</v>
      </c>
      <c r="AM381" s="378"/>
      <c r="AQ381" s="354"/>
      <c r="AS381" s="726">
        <f>(O381-J381)</f>
        <v>7</v>
      </c>
      <c r="AT381" s="714" t="s">
        <v>1070</v>
      </c>
    </row>
    <row r="382" spans="1:46" ht="13.5" thickBot="1">
      <c r="A382" s="885"/>
      <c r="B382" s="885"/>
      <c r="C382" s="9" t="s">
        <v>299</v>
      </c>
      <c r="D382" s="241" t="s">
        <v>632</v>
      </c>
      <c r="E382" s="241" t="s">
        <v>632</v>
      </c>
      <c r="F382" s="243" t="s">
        <v>646</v>
      </c>
      <c r="G382" s="241" t="s">
        <v>646</v>
      </c>
      <c r="H382" s="241" t="s">
        <v>646</v>
      </c>
      <c r="I382" s="244" t="s">
        <v>646</v>
      </c>
      <c r="J382" s="195">
        <f>SUM('State DisAgg LFx10 (2014)'!D372:G372)</f>
        <v>0</v>
      </c>
      <c r="K382" s="196"/>
      <c r="L382" s="196"/>
      <c r="M382" s="197"/>
      <c r="N382" s="195"/>
      <c r="O382" s="196">
        <f>SUM('State DisAgg LFx10 (2014)'!H372:K372)</f>
        <v>7</v>
      </c>
      <c r="P382" s="196"/>
      <c r="Q382" s="197"/>
      <c r="R382" s="195"/>
      <c r="S382" s="196"/>
      <c r="T382" s="196"/>
      <c r="U382" s="197">
        <f>SUM('State DisAgg LFx10 (2014)'!L382:O382)</f>
        <v>14</v>
      </c>
      <c r="V382" s="195"/>
      <c r="W382" s="196"/>
      <c r="X382" s="196"/>
      <c r="Y382" s="197">
        <f>SUM('State DisAgg LFx10 (2014)'!P382:S382)</f>
        <v>20</v>
      </c>
      <c r="Z382" s="195"/>
      <c r="AA382" s="196"/>
      <c r="AB382" s="196"/>
      <c r="AC382" s="197">
        <f>SUM('State DisAgg LFx10 (2014)'!T382:W382)</f>
        <v>16</v>
      </c>
      <c r="AD382" s="195"/>
      <c r="AE382" s="197"/>
      <c r="AI382" s="364">
        <f>O382-J382</f>
        <v>7</v>
      </c>
      <c r="AJ382" s="360">
        <f>U382-O382</f>
        <v>7</v>
      </c>
      <c r="AK382" s="360">
        <f t="shared" si="77"/>
        <v>6</v>
      </c>
      <c r="AL382" s="584">
        <f t="shared" si="78"/>
        <v>-4</v>
      </c>
      <c r="AM382" s="378"/>
      <c r="AQ382" s="354"/>
      <c r="AS382" s="726">
        <f>(O382-J382)</f>
        <v>7</v>
      </c>
      <c r="AT382" s="728">
        <f>SUM(AS378:AS382)/5</f>
        <v>6.2</v>
      </c>
    </row>
    <row r="383" spans="1:46" ht="13.5" thickBot="1">
      <c r="A383" s="885"/>
      <c r="B383" s="885"/>
      <c r="C383" s="9" t="s">
        <v>300</v>
      </c>
      <c r="D383" s="199"/>
      <c r="E383" s="200"/>
      <c r="F383" s="201"/>
      <c r="G383" s="199"/>
      <c r="H383" s="199"/>
      <c r="I383" s="200"/>
      <c r="J383" s="201"/>
      <c r="K383" s="199"/>
      <c r="L383" s="199"/>
      <c r="M383" s="200"/>
      <c r="N383" s="198"/>
      <c r="O383" s="217" t="s">
        <v>634</v>
      </c>
      <c r="P383" s="241" t="s">
        <v>632</v>
      </c>
      <c r="Q383" s="244" t="s">
        <v>646</v>
      </c>
      <c r="R383" s="195">
        <f>SUM('State DisAgg LFx10 (2014)'!H373:K373)</f>
        <v>1</v>
      </c>
      <c r="S383" s="196"/>
      <c r="T383" s="196"/>
      <c r="U383" s="197">
        <f>SUM('State DisAgg LFx10 (2014)'!L383:O383)</f>
        <v>1</v>
      </c>
      <c r="V383" s="195"/>
      <c r="W383" s="196"/>
      <c r="X383" s="196"/>
      <c r="Y383" s="197">
        <f>SUM('State DisAgg LFx10 (2014)'!P383:S383)</f>
        <v>0</v>
      </c>
      <c r="Z383" s="195"/>
      <c r="AA383" s="196"/>
      <c r="AB383" s="196"/>
      <c r="AC383" s="197">
        <f>SUM('State DisAgg LFx10 (2014)'!T383:W383)</f>
        <v>25</v>
      </c>
      <c r="AD383" s="195"/>
      <c r="AE383" s="197"/>
      <c r="AI383" s="364">
        <v>0</v>
      </c>
      <c r="AJ383" s="360">
        <f>U383-R383</f>
        <v>0</v>
      </c>
      <c r="AK383" s="360">
        <f t="shared" si="77"/>
        <v>-1</v>
      </c>
      <c r="AL383" s="584">
        <f t="shared" si="78"/>
        <v>25</v>
      </c>
      <c r="AM383" s="378"/>
      <c r="AQ383" s="354"/>
      <c r="AS383" s="726">
        <f>(Y383-R383)</f>
        <v>-1</v>
      </c>
    </row>
    <row r="384" spans="1:46" ht="13.5" thickBot="1">
      <c r="A384" s="885"/>
      <c r="B384" s="885"/>
      <c r="C384" s="9" t="s">
        <v>301</v>
      </c>
      <c r="D384" s="199"/>
      <c r="E384" s="200"/>
      <c r="F384" s="201"/>
      <c r="G384" s="199"/>
      <c r="H384" s="199"/>
      <c r="I384" s="200"/>
      <c r="J384" s="201"/>
      <c r="K384" s="199"/>
      <c r="L384" s="199"/>
      <c r="M384" s="200"/>
      <c r="N384" s="198"/>
      <c r="O384" s="217" t="s">
        <v>634</v>
      </c>
      <c r="P384" s="241" t="s">
        <v>632</v>
      </c>
      <c r="Q384" s="244" t="s">
        <v>646</v>
      </c>
      <c r="R384" s="195">
        <f>SUM('State DisAgg LFx10 (2014)'!H374:K374)</f>
        <v>0</v>
      </c>
      <c r="S384" s="196"/>
      <c r="T384" s="196"/>
      <c r="U384" s="197">
        <f>SUM('State DisAgg LFx10 (2014)'!L384:O384)</f>
        <v>0</v>
      </c>
      <c r="V384" s="195"/>
      <c r="W384" s="196"/>
      <c r="X384" s="196"/>
      <c r="Y384" s="197">
        <f>SUM('State DisAgg LFx10 (2014)'!P384:S384)</f>
        <v>6</v>
      </c>
      <c r="Z384" s="195"/>
      <c r="AA384" s="196"/>
      <c r="AB384" s="196"/>
      <c r="AC384" s="197">
        <f>SUM('State DisAgg LFx10 (2014)'!T384:W384)</f>
        <v>17</v>
      </c>
      <c r="AD384" s="195"/>
      <c r="AE384" s="197"/>
      <c r="AI384" s="364">
        <v>0</v>
      </c>
      <c r="AJ384" s="360">
        <f>U384-R384</f>
        <v>0</v>
      </c>
      <c r="AK384" s="360">
        <f t="shared" si="77"/>
        <v>6</v>
      </c>
      <c r="AL384" s="584">
        <f t="shared" si="78"/>
        <v>11</v>
      </c>
      <c r="AM384" s="378"/>
      <c r="AQ384" s="354"/>
      <c r="AS384" s="726">
        <f>(Y384-R384)</f>
        <v>6</v>
      </c>
      <c r="AT384" s="714" t="s">
        <v>1071</v>
      </c>
    </row>
    <row r="385" spans="1:46" ht="13.5" thickBot="1">
      <c r="A385" s="885"/>
      <c r="B385" s="885"/>
      <c r="C385" s="9" t="s">
        <v>302</v>
      </c>
      <c r="D385" s="199"/>
      <c r="E385" s="200"/>
      <c r="F385" s="201"/>
      <c r="G385" s="199"/>
      <c r="H385" s="199"/>
      <c r="I385" s="200"/>
      <c r="J385" s="201"/>
      <c r="K385" s="199"/>
      <c r="L385" s="199"/>
      <c r="M385" s="200"/>
      <c r="N385" s="198"/>
      <c r="O385" s="217" t="s">
        <v>634</v>
      </c>
      <c r="P385" s="241" t="s">
        <v>632</v>
      </c>
      <c r="Q385" s="244" t="s">
        <v>646</v>
      </c>
      <c r="R385" s="195">
        <f>SUM('State DisAgg LFx10 (2014)'!H375:K375)</f>
        <v>0</v>
      </c>
      <c r="S385" s="196"/>
      <c r="T385" s="196"/>
      <c r="U385" s="197">
        <f>SUM('State DisAgg LFx10 (2014)'!L385:O385)</f>
        <v>0</v>
      </c>
      <c r="V385" s="195"/>
      <c r="W385" s="196"/>
      <c r="X385" s="196"/>
      <c r="Y385" s="197">
        <f>SUM('State DisAgg LFx10 (2014)'!P385:S385)</f>
        <v>7</v>
      </c>
      <c r="Z385" s="195"/>
      <c r="AA385" s="196"/>
      <c r="AB385" s="196"/>
      <c r="AC385" s="197">
        <f>SUM('State DisAgg LFx10 (2014)'!T385:W385)</f>
        <v>22</v>
      </c>
      <c r="AD385" s="195"/>
      <c r="AE385" s="197"/>
      <c r="AI385" s="364">
        <v>0</v>
      </c>
      <c r="AJ385" s="360">
        <f>U385-R385</f>
        <v>0</v>
      </c>
      <c r="AK385" s="360">
        <f t="shared" si="77"/>
        <v>7</v>
      </c>
      <c r="AL385" s="584">
        <f t="shared" si="78"/>
        <v>15</v>
      </c>
      <c r="AM385" s="378"/>
      <c r="AQ385" s="354"/>
      <c r="AS385" s="729">
        <f>(Y385-R385)</f>
        <v>7</v>
      </c>
      <c r="AT385" s="728">
        <f>SUM(AS383:AS385)/3</f>
        <v>4</v>
      </c>
    </row>
    <row r="386" spans="1:46" ht="13.5" thickBot="1">
      <c r="A386" s="885"/>
      <c r="B386" s="885"/>
      <c r="C386" s="9" t="s">
        <v>303</v>
      </c>
      <c r="D386" s="202"/>
      <c r="E386" s="203"/>
      <c r="F386" s="201"/>
      <c r="G386" s="202"/>
      <c r="H386" s="202"/>
      <c r="I386" s="203"/>
      <c r="J386" s="201"/>
      <c r="K386" s="202"/>
      <c r="L386" s="202"/>
      <c r="M386" s="203"/>
      <c r="N386" s="204"/>
      <c r="O386" s="214"/>
      <c r="P386" s="205"/>
      <c r="Q386" s="205"/>
      <c r="R386" s="201"/>
      <c r="S386" s="202"/>
      <c r="T386" s="202"/>
      <c r="U386" s="203"/>
      <c r="V386" s="242"/>
      <c r="W386" s="217" t="s">
        <v>633</v>
      </c>
      <c r="X386" s="241" t="s">
        <v>632</v>
      </c>
      <c r="Y386" s="197">
        <f>SUM('State DisAgg LFx10 (2014)'!P376:S376)</f>
        <v>9</v>
      </c>
      <c r="Z386" s="195"/>
      <c r="AA386" s="196"/>
      <c r="AB386" s="196"/>
      <c r="AC386" s="197">
        <f>SUM('State DisAgg LFx10 (2014)'!T386:W386)</f>
        <v>9</v>
      </c>
      <c r="AD386" s="195"/>
      <c r="AE386" s="197"/>
      <c r="AI386" s="364">
        <f>O386-J386</f>
        <v>0</v>
      </c>
      <c r="AJ386" s="360">
        <f>U386-O386</f>
        <v>0</v>
      </c>
      <c r="AK386" s="360">
        <f t="shared" si="77"/>
        <v>9</v>
      </c>
      <c r="AL386" s="584">
        <f t="shared" si="78"/>
        <v>0</v>
      </c>
      <c r="AM386" s="378"/>
      <c r="AQ386" s="354"/>
    </row>
    <row r="387" spans="1:46" ht="13.5" thickBot="1">
      <c r="A387" s="885"/>
      <c r="B387" s="885"/>
      <c r="C387" s="9" t="s">
        <v>304</v>
      </c>
      <c r="D387" s="202"/>
      <c r="E387" s="203"/>
      <c r="F387" s="201"/>
      <c r="G387" s="202"/>
      <c r="H387" s="202"/>
      <c r="I387" s="203"/>
      <c r="J387" s="201"/>
      <c r="K387" s="202"/>
      <c r="L387" s="202"/>
      <c r="M387" s="203"/>
      <c r="N387" s="204"/>
      <c r="O387" s="205"/>
      <c r="P387" s="205"/>
      <c r="Q387" s="205"/>
      <c r="R387" s="201"/>
      <c r="S387" s="202"/>
      <c r="T387" s="202"/>
      <c r="U387" s="203"/>
      <c r="V387" s="242"/>
      <c r="W387" s="217" t="s">
        <v>633</v>
      </c>
      <c r="X387" s="241" t="s">
        <v>632</v>
      </c>
      <c r="Y387" s="197">
        <f>SUM('State DisAgg LFx10 (2014)'!P377:S377)</f>
        <v>3</v>
      </c>
      <c r="Z387" s="195"/>
      <c r="AA387" s="196"/>
      <c r="AB387" s="196"/>
      <c r="AC387" s="197">
        <f>SUM('State DisAgg LFx10 (2014)'!T387:W387)</f>
        <v>3</v>
      </c>
      <c r="AD387" s="195"/>
      <c r="AE387" s="197"/>
      <c r="AI387" s="366">
        <f>O387-J387</f>
        <v>0</v>
      </c>
      <c r="AJ387" s="367">
        <f>U387-O387</f>
        <v>0</v>
      </c>
      <c r="AK387" s="367">
        <f t="shared" si="77"/>
        <v>3</v>
      </c>
      <c r="AL387" s="587">
        <f t="shared" si="78"/>
        <v>0</v>
      </c>
      <c r="AM387" s="378"/>
      <c r="AQ387" s="354"/>
    </row>
    <row r="388" spans="1:46" ht="12.95" hidden="1" customHeight="1" thickBot="1">
      <c r="A388" s="885"/>
      <c r="B388" s="501"/>
      <c r="C388" s="231"/>
      <c r="D388" s="232"/>
      <c r="E388" s="233"/>
      <c r="F388" s="234"/>
      <c r="G388" s="232"/>
      <c r="H388" s="232"/>
      <c r="I388" s="233"/>
      <c r="J388" s="234"/>
      <c r="K388" s="232"/>
      <c r="L388" s="232"/>
      <c r="M388" s="233"/>
      <c r="N388" s="234"/>
      <c r="O388" s="232"/>
      <c r="P388" s="232"/>
      <c r="Q388" s="233"/>
      <c r="R388" s="234"/>
      <c r="S388" s="232"/>
      <c r="T388" s="232"/>
      <c r="U388" s="233"/>
      <c r="V388" s="234"/>
      <c r="W388" s="232"/>
      <c r="X388" s="232"/>
      <c r="Y388" s="233"/>
      <c r="Z388" s="234"/>
      <c r="AA388" s="232"/>
      <c r="AB388" s="232"/>
      <c r="AC388" s="233"/>
      <c r="AD388" s="234"/>
      <c r="AE388" s="233"/>
      <c r="AI388" s="354">
        <f>O388-J388</f>
        <v>0</v>
      </c>
      <c r="AJ388" s="354">
        <f>U388-O388</f>
        <v>0</v>
      </c>
      <c r="AK388" s="354">
        <f t="shared" si="77"/>
        <v>0</v>
      </c>
      <c r="AQ388" s="354"/>
    </row>
    <row r="389" spans="1:46" ht="12.95" hidden="1" customHeight="1" thickBot="1">
      <c r="A389" s="885"/>
      <c r="B389" s="501"/>
      <c r="C389" s="231"/>
      <c r="D389" s="232"/>
      <c r="E389" s="233"/>
      <c r="F389" s="234"/>
      <c r="G389" s="232"/>
      <c r="H389" s="232"/>
      <c r="I389" s="233"/>
      <c r="J389" s="234"/>
      <c r="K389" s="232"/>
      <c r="L389" s="232"/>
      <c r="M389" s="233"/>
      <c r="N389" s="234"/>
      <c r="O389" s="232"/>
      <c r="P389" s="232"/>
      <c r="Q389" s="233"/>
      <c r="R389" s="234"/>
      <c r="S389" s="232"/>
      <c r="T389" s="232"/>
      <c r="U389" s="233"/>
      <c r="V389" s="234"/>
      <c r="W389" s="232"/>
      <c r="X389" s="232"/>
      <c r="Y389" s="233"/>
      <c r="Z389" s="234"/>
      <c r="AA389" s="232"/>
      <c r="AB389" s="232"/>
      <c r="AC389" s="233"/>
      <c r="AD389" s="234"/>
      <c r="AE389" s="233"/>
      <c r="AI389" s="354">
        <f>O389-J389</f>
        <v>0</v>
      </c>
      <c r="AJ389" s="354">
        <f>U389-O389</f>
        <v>0</v>
      </c>
      <c r="AK389" s="354">
        <f t="shared" si="77"/>
        <v>0</v>
      </c>
      <c r="AQ389" s="354"/>
    </row>
    <row r="390" spans="1:46" ht="12.95" customHeight="1" thickBot="1">
      <c r="A390" s="885"/>
      <c r="B390" s="3" t="s">
        <v>31</v>
      </c>
      <c r="C390" s="12"/>
      <c r="D390" s="1377">
        <v>2008</v>
      </c>
      <c r="E390" s="1378"/>
      <c r="F390" s="1372">
        <v>2009</v>
      </c>
      <c r="G390" s="1373"/>
      <c r="H390" s="1373"/>
      <c r="I390" s="1374"/>
      <c r="J390" s="1372">
        <v>2010</v>
      </c>
      <c r="K390" s="1373"/>
      <c r="L390" s="1373"/>
      <c r="M390" s="1374"/>
      <c r="N390" s="1372">
        <v>2011</v>
      </c>
      <c r="O390" s="1373"/>
      <c r="P390" s="1373"/>
      <c r="Q390" s="1374"/>
      <c r="R390" s="1372">
        <v>2012</v>
      </c>
      <c r="S390" s="1373"/>
      <c r="T390" s="1373"/>
      <c r="U390" s="1374"/>
      <c r="V390" s="1372">
        <v>2013</v>
      </c>
      <c r="W390" s="1373"/>
      <c r="X390" s="1373"/>
      <c r="Y390" s="1374"/>
      <c r="Z390" s="1372">
        <v>2014</v>
      </c>
      <c r="AA390" s="1373"/>
      <c r="AB390" s="1373"/>
      <c r="AC390" s="1374"/>
      <c r="AD390" s="1372">
        <v>2015</v>
      </c>
      <c r="AE390" s="1374"/>
      <c r="AL390" s="351"/>
      <c r="AM390" s="351"/>
    </row>
    <row r="391" spans="1:46" ht="12.95" customHeight="1" thickBot="1">
      <c r="A391" s="1375"/>
      <c r="B391" s="868" t="s">
        <v>421</v>
      </c>
      <c r="C391" s="23"/>
      <c r="D391" s="1379" t="s">
        <v>717</v>
      </c>
      <c r="E391" s="1380"/>
      <c r="F391" s="1380"/>
      <c r="G391" s="1380"/>
      <c r="H391" s="1380"/>
      <c r="I391" s="1380"/>
      <c r="J391" s="1380"/>
      <c r="K391" s="1380"/>
      <c r="L391" s="1380"/>
      <c r="M391" s="1380"/>
      <c r="N391" s="1380"/>
      <c r="O391" s="1380"/>
      <c r="P391" s="1380"/>
      <c r="Q391" s="1380"/>
      <c r="R391" s="1380"/>
      <c r="S391" s="1380"/>
      <c r="T391" s="1380"/>
      <c r="U391" s="1380"/>
      <c r="V391" s="1380"/>
      <c r="W391" s="1380"/>
      <c r="X391" s="1380"/>
      <c r="Y391" s="1380"/>
      <c r="Z391" s="1380"/>
      <c r="AA391" s="1380"/>
      <c r="AB391" s="1380"/>
      <c r="AC391" s="1380"/>
      <c r="AD391" s="1380"/>
      <c r="AE391" s="1381"/>
      <c r="AG391" s="257" t="s">
        <v>663</v>
      </c>
      <c r="AL391" s="351"/>
      <c r="AM391" s="354"/>
      <c r="AS391" s="716" t="s">
        <v>1040</v>
      </c>
    </row>
    <row r="392" spans="1:46" ht="12.95" customHeight="1" thickBot="1">
      <c r="A392" s="1375"/>
      <c r="B392" s="885"/>
      <c r="C392" s="194" t="s">
        <v>610</v>
      </c>
      <c r="D392" s="206"/>
      <c r="E392" s="207"/>
      <c r="F392" s="209"/>
      <c r="G392" s="206"/>
      <c r="H392" s="206"/>
      <c r="I392" s="207"/>
      <c r="J392" s="209"/>
      <c r="K392" s="206"/>
      <c r="L392" s="206"/>
      <c r="M392" s="207"/>
      <c r="N392" s="209"/>
      <c r="O392" s="210"/>
      <c r="P392" s="210"/>
      <c r="Q392" s="211"/>
      <c r="R392" s="209"/>
      <c r="S392" s="210"/>
      <c r="T392" s="210"/>
      <c r="U392" s="211"/>
      <c r="V392" s="281"/>
      <c r="W392" s="278"/>
      <c r="X392" s="278"/>
      <c r="Y392" s="278">
        <f>(Y402-U402)/4/$C$691/Spend!Y392*'State Efficiency Ratios (2014)'!$C$655</f>
        <v>153.47606540599426</v>
      </c>
      <c r="Z392" s="277"/>
      <c r="AA392" s="278"/>
      <c r="AB392" s="278"/>
      <c r="AC392" s="278">
        <f>(AC402-Y402)/4/$C$691/Spend!AC392*'State Efficiency Ratios (2014)'!$C$655</f>
        <v>157.02975696721711</v>
      </c>
      <c r="AD392" s="208"/>
      <c r="AE392" s="213"/>
      <c r="AG392" s="410"/>
      <c r="AL392" s="351"/>
      <c r="AM392" s="378"/>
      <c r="AS392" s="717">
        <f t="shared" ref="AS392:AS399" si="79">Y392</f>
        <v>153.47606540599426</v>
      </c>
    </row>
    <row r="393" spans="1:46" ht="12.95" customHeight="1" thickBot="1">
      <c r="A393" s="1375"/>
      <c r="B393" s="885"/>
      <c r="C393" s="194" t="s">
        <v>611</v>
      </c>
      <c r="D393" s="206"/>
      <c r="E393" s="207"/>
      <c r="F393" s="209"/>
      <c r="G393" s="206"/>
      <c r="H393" s="206"/>
      <c r="I393" s="207"/>
      <c r="J393" s="209"/>
      <c r="K393" s="206"/>
      <c r="L393" s="206"/>
      <c r="M393" s="207"/>
      <c r="N393" s="209"/>
      <c r="O393" s="210"/>
      <c r="P393" s="210"/>
      <c r="Q393" s="211"/>
      <c r="R393" s="209"/>
      <c r="S393" s="210"/>
      <c r="T393" s="210"/>
      <c r="U393" s="211"/>
      <c r="V393" s="281"/>
      <c r="W393" s="278"/>
      <c r="X393" s="278"/>
      <c r="Y393" s="278">
        <f>(Y403-U403)/4/$C$691/Spend!Y393*'State Efficiency Ratios (2014)'!$C$655</f>
        <v>238.36421201119023</v>
      </c>
      <c r="Z393" s="277"/>
      <c r="AA393" s="278"/>
      <c r="AB393" s="278"/>
      <c r="AC393" s="278">
        <f>(AC403-Y403)/4/$C$691/Spend!AC393*'State Efficiency Ratios (2014)'!$C$655</f>
        <v>5.3400961395981508</v>
      </c>
      <c r="AD393" s="208"/>
      <c r="AE393" s="213"/>
      <c r="AG393" s="410"/>
      <c r="AS393" s="719">
        <f t="shared" si="79"/>
        <v>238.36421201119023</v>
      </c>
    </row>
    <row r="394" spans="1:46" ht="12.95" customHeight="1" thickBot="1">
      <c r="A394" s="1375"/>
      <c r="B394" s="885"/>
      <c r="C394" s="194" t="s">
        <v>612</v>
      </c>
      <c r="D394" s="206"/>
      <c r="E394" s="207"/>
      <c r="F394" s="209"/>
      <c r="G394" s="206"/>
      <c r="H394" s="206"/>
      <c r="I394" s="207"/>
      <c r="J394" s="209"/>
      <c r="K394" s="206"/>
      <c r="L394" s="206"/>
      <c r="M394" s="207"/>
      <c r="N394" s="209"/>
      <c r="O394" s="210"/>
      <c r="P394" s="210"/>
      <c r="Q394" s="211"/>
      <c r="R394" s="209"/>
      <c r="S394" s="210"/>
      <c r="T394" s="210"/>
      <c r="U394" s="211"/>
      <c r="V394" s="281"/>
      <c r="W394" s="278"/>
      <c r="X394" s="278"/>
      <c r="Y394" s="278">
        <f>(Y404-U404)/4/$C$691/Spend!Y394*'State Efficiency Ratios (2014)'!$C$655</f>
        <v>192.54198908691865</v>
      </c>
      <c r="Z394" s="277"/>
      <c r="AA394" s="278"/>
      <c r="AB394" s="278"/>
      <c r="AC394" s="278">
        <f>(AC404-Y404)/4/$C$691/Spend!AC394*'State Efficiency Ratios (2014)'!$C$655</f>
        <v>350.08572718072634</v>
      </c>
      <c r="AD394" s="208"/>
      <c r="AE394" s="213"/>
      <c r="AG394" s="410" t="s">
        <v>1086</v>
      </c>
      <c r="AS394" s="719">
        <f t="shared" si="79"/>
        <v>192.54198908691865</v>
      </c>
    </row>
    <row r="395" spans="1:46" ht="12.95" customHeight="1" thickBot="1">
      <c r="A395" s="1375"/>
      <c r="B395" s="885"/>
      <c r="C395" s="194" t="s">
        <v>613</v>
      </c>
      <c r="D395" s="206"/>
      <c r="E395" s="207"/>
      <c r="F395" s="209"/>
      <c r="G395" s="206"/>
      <c r="H395" s="206"/>
      <c r="I395" s="207"/>
      <c r="J395" s="209"/>
      <c r="K395" s="206"/>
      <c r="L395" s="206"/>
      <c r="M395" s="207"/>
      <c r="N395" s="209"/>
      <c r="O395" s="210"/>
      <c r="P395" s="210"/>
      <c r="Q395" s="211"/>
      <c r="R395" s="209"/>
      <c r="S395" s="210"/>
      <c r="T395" s="210"/>
      <c r="U395" s="211"/>
      <c r="V395" s="281"/>
      <c r="W395" s="278"/>
      <c r="X395" s="278"/>
      <c r="Y395" s="278">
        <f>(Y405-U405)/4/$C$691/Spend!Y395*'State Efficiency Ratios (2014)'!$C$655</f>
        <v>159.29902425469743</v>
      </c>
      <c r="Z395" s="277"/>
      <c r="AA395" s="278"/>
      <c r="AB395" s="278"/>
      <c r="AC395" s="278">
        <f>(AC405-Y405)/4/$C$691/Spend!AC395*'State Efficiency Ratios (2014)'!$C$655</f>
        <v>121.18858044227282</v>
      </c>
      <c r="AD395" s="208"/>
      <c r="AE395" s="213"/>
      <c r="AG395" s="410" t="s">
        <v>1087</v>
      </c>
      <c r="AS395" s="719">
        <f t="shared" si="79"/>
        <v>159.29902425469743</v>
      </c>
      <c r="AT395" s="714" t="s">
        <v>1070</v>
      </c>
    </row>
    <row r="396" spans="1:46" ht="12.95" customHeight="1" thickBot="1">
      <c r="A396" s="1375"/>
      <c r="B396" s="885"/>
      <c r="C396" s="194" t="s">
        <v>614</v>
      </c>
      <c r="D396" s="206"/>
      <c r="E396" s="207"/>
      <c r="F396" s="209"/>
      <c r="G396" s="206"/>
      <c r="H396" s="206"/>
      <c r="I396" s="207"/>
      <c r="J396" s="209"/>
      <c r="K396" s="206"/>
      <c r="L396" s="206"/>
      <c r="M396" s="207"/>
      <c r="N396" s="209"/>
      <c r="O396" s="210"/>
      <c r="P396" s="210"/>
      <c r="Q396" s="211"/>
      <c r="R396" s="209"/>
      <c r="S396" s="210"/>
      <c r="T396" s="210"/>
      <c r="U396" s="211"/>
      <c r="V396" s="281"/>
      <c r="W396" s="278"/>
      <c r="X396" s="278"/>
      <c r="Y396" s="278">
        <f>(Y406-U406)/4/$C$691/Spend!Y396*'State Efficiency Ratios (2014)'!$C$655</f>
        <v>284.9159038076146</v>
      </c>
      <c r="Z396" s="277"/>
      <c r="AA396" s="278"/>
      <c r="AB396" s="278"/>
      <c r="AC396" s="278">
        <f>(AC406-Y406)/4/$C$691/Spend!AC396*'State Efficiency Ratios (2014)'!$C$655</f>
        <v>37.485136485222128</v>
      </c>
      <c r="AD396" s="208"/>
      <c r="AE396" s="213"/>
      <c r="AG396" s="410" t="s">
        <v>1085</v>
      </c>
      <c r="AS396" s="719">
        <f t="shared" si="79"/>
        <v>284.9159038076146</v>
      </c>
      <c r="AT396" s="721">
        <f>SUM(AS392:AS396)/5</f>
        <v>205.71943891328306</v>
      </c>
    </row>
    <row r="397" spans="1:46" ht="12.95" customHeight="1" thickBot="1">
      <c r="A397" s="1375"/>
      <c r="B397" s="885"/>
      <c r="C397" s="194" t="s">
        <v>615</v>
      </c>
      <c r="D397" s="210"/>
      <c r="E397" s="211"/>
      <c r="F397" s="209"/>
      <c r="G397" s="210"/>
      <c r="H397" s="210"/>
      <c r="I397" s="211"/>
      <c r="J397" s="209"/>
      <c r="K397" s="210"/>
      <c r="L397" s="210"/>
      <c r="M397" s="211"/>
      <c r="N397" s="209"/>
      <c r="O397" s="210"/>
      <c r="P397" s="210"/>
      <c r="Q397" s="211"/>
      <c r="R397" s="209"/>
      <c r="S397" s="210"/>
      <c r="T397" s="210"/>
      <c r="U397" s="211"/>
      <c r="V397" s="281"/>
      <c r="W397" s="278"/>
      <c r="X397" s="278"/>
      <c r="Y397" s="278">
        <f>(Y407-U407)/4/$C$691/Spend!Y397*'State Efficiency Ratios (2014)'!$C$655</f>
        <v>107.14164007186088</v>
      </c>
      <c r="Z397" s="277"/>
      <c r="AA397" s="278"/>
      <c r="AB397" s="278"/>
      <c r="AC397" s="278">
        <f>(AC407-Y407)/4/$C$691/Spend!AC397*'State Efficiency Ratios (2014)'!$C$655</f>
        <v>311.20901172506171</v>
      </c>
      <c r="AD397" s="208"/>
      <c r="AE397" s="213"/>
      <c r="AG397" s="410"/>
      <c r="AI397" s="4" t="s">
        <v>1053</v>
      </c>
      <c r="AS397" s="719">
        <f t="shared" si="79"/>
        <v>107.14164007186088</v>
      </c>
    </row>
    <row r="398" spans="1:46" ht="12.95" customHeight="1" thickBot="1">
      <c r="A398" s="1375"/>
      <c r="B398" s="885"/>
      <c r="C398" s="194" t="s">
        <v>616</v>
      </c>
      <c r="D398" s="210"/>
      <c r="E398" s="211"/>
      <c r="F398" s="209"/>
      <c r="G398" s="210"/>
      <c r="H398" s="210"/>
      <c r="I398" s="211"/>
      <c r="J398" s="209"/>
      <c r="K398" s="210"/>
      <c r="L398" s="210"/>
      <c r="M398" s="211"/>
      <c r="N398" s="209"/>
      <c r="O398" s="210"/>
      <c r="P398" s="210"/>
      <c r="Q398" s="211"/>
      <c r="R398" s="209"/>
      <c r="S398" s="210"/>
      <c r="T398" s="210"/>
      <c r="U398" s="211"/>
      <c r="V398" s="281"/>
      <c r="W398" s="278"/>
      <c r="X398" s="278"/>
      <c r="Y398" s="278">
        <f>(Y408-U408)/4/$C$691/Spend!Y398*'State Efficiency Ratios (2014)'!$C$655</f>
        <v>216.09239370208257</v>
      </c>
      <c r="Z398" s="277"/>
      <c r="AA398" s="278"/>
      <c r="AB398" s="278"/>
      <c r="AC398" s="278">
        <f>(AC408-Y408)/4/$C$691/Spend!AC398*'State Efficiency Ratios (2014)'!$C$655</f>
        <v>282.13500432947876</v>
      </c>
      <c r="AD398" s="208"/>
      <c r="AE398" s="213"/>
      <c r="AG398" s="410" t="s">
        <v>1084</v>
      </c>
      <c r="AH398" s="355" t="s">
        <v>1052</v>
      </c>
      <c r="AI398" s="603">
        <f>4/5*SUM(AI402:AI406)/5</f>
        <v>0</v>
      </c>
      <c r="AJ398" s="604">
        <f>4/6*SUM(AJ402:AJ406)/5</f>
        <v>28.8</v>
      </c>
      <c r="AK398" s="604">
        <f>SUM(AK402:AK409)/8</f>
        <v>19.375</v>
      </c>
      <c r="AL398" s="605">
        <f>SUM(AL402:AL409)/8</f>
        <v>22.875</v>
      </c>
      <c r="AS398" s="719">
        <f t="shared" si="79"/>
        <v>216.09239370208257</v>
      </c>
      <c r="AT398" s="714" t="s">
        <v>1071</v>
      </c>
    </row>
    <row r="399" spans="1:46" ht="12.95" customHeight="1" thickBot="1">
      <c r="A399" s="1375"/>
      <c r="B399" s="885"/>
      <c r="C399" s="194" t="s">
        <v>617</v>
      </c>
      <c r="D399" s="210"/>
      <c r="E399" s="211"/>
      <c r="F399" s="209"/>
      <c r="G399" s="210"/>
      <c r="H399" s="210"/>
      <c r="I399" s="211"/>
      <c r="J399" s="209"/>
      <c r="K399" s="210"/>
      <c r="L399" s="210"/>
      <c r="M399" s="211"/>
      <c r="N399" s="209"/>
      <c r="O399" s="210"/>
      <c r="P399" s="210"/>
      <c r="Q399" s="211"/>
      <c r="R399" s="209"/>
      <c r="S399" s="210"/>
      <c r="T399" s="210"/>
      <c r="U399" s="211"/>
      <c r="V399" s="281"/>
      <c r="W399" s="278"/>
      <c r="X399" s="278"/>
      <c r="Y399" s="278">
        <f>(Y409-U409)/4/$C$691/Spend!Y399*'State Efficiency Ratios (2014)'!$C$655</f>
        <v>118.70577830201569</v>
      </c>
      <c r="Z399" s="277"/>
      <c r="AA399" s="278"/>
      <c r="AB399" s="278"/>
      <c r="AC399" s="278">
        <f>(AC409-Y409)/4/$C$691/Spend!AC399*'State Efficiency Ratios (2014)'!$C$655</f>
        <v>503.74104374466384</v>
      </c>
      <c r="AD399" s="208"/>
      <c r="AE399" s="213"/>
      <c r="AG399" s="410" t="s">
        <v>1089</v>
      </c>
      <c r="AH399" s="355" t="s">
        <v>1051</v>
      </c>
      <c r="AI399" s="606">
        <f>SUM(O392:O396)/5</f>
        <v>0</v>
      </c>
      <c r="AJ399" s="607">
        <f>SUM(U392:U396)/5</f>
        <v>0</v>
      </c>
      <c r="AK399" s="607">
        <f>SUM(Y392:Y399)/8</f>
        <v>183.81712583029679</v>
      </c>
      <c r="AL399" s="608">
        <f>SUM(AC392:AC399)/8</f>
        <v>221.02679462678009</v>
      </c>
      <c r="AS399" s="722">
        <f t="shared" si="79"/>
        <v>118.70577830201569</v>
      </c>
      <c r="AT399" s="721">
        <f>SUM(AS397:AS399)/3</f>
        <v>147.31327069198639</v>
      </c>
    </row>
    <row r="400" spans="1:46" ht="12.95" customHeight="1" thickBot="1">
      <c r="A400" s="1375"/>
      <c r="B400" s="885"/>
      <c r="C400" s="194" t="s">
        <v>618</v>
      </c>
      <c r="D400" s="210"/>
      <c r="E400" s="211"/>
      <c r="F400" s="209"/>
      <c r="G400" s="210"/>
      <c r="H400" s="210"/>
      <c r="I400" s="211"/>
      <c r="J400" s="209"/>
      <c r="K400" s="210"/>
      <c r="L400" s="210"/>
      <c r="M400" s="211"/>
      <c r="N400" s="209"/>
      <c r="O400" s="210"/>
      <c r="P400" s="210"/>
      <c r="Q400" s="211"/>
      <c r="R400" s="209"/>
      <c r="S400" s="210"/>
      <c r="T400" s="210"/>
      <c r="U400" s="211"/>
      <c r="V400" s="281"/>
      <c r="W400" s="282"/>
      <c r="X400" s="282"/>
      <c r="Y400" s="283"/>
      <c r="Z400" s="277"/>
      <c r="AA400" s="278"/>
      <c r="AB400" s="278"/>
      <c r="AC400" s="278">
        <f>(AC410-Y410)/4/$C$691/Spend!AC400*'State Efficiency Ratios (2014)'!$C$655</f>
        <v>0</v>
      </c>
      <c r="AD400" s="208"/>
      <c r="AE400" s="213"/>
      <c r="AG400" s="410"/>
    </row>
    <row r="401" spans="1:46" ht="12.95" customHeight="1" thickBot="1">
      <c r="A401" s="1375"/>
      <c r="B401" s="885" t="s">
        <v>179</v>
      </c>
      <c r="C401" s="194" t="s">
        <v>619</v>
      </c>
      <c r="D401" s="210"/>
      <c r="E401" s="211"/>
      <c r="F401" s="209"/>
      <c r="G401" s="210"/>
      <c r="H401" s="210"/>
      <c r="I401" s="211"/>
      <c r="J401" s="209"/>
      <c r="K401" s="210"/>
      <c r="L401" s="210"/>
      <c r="M401" s="211"/>
      <c r="N401" s="209"/>
      <c r="O401" s="210"/>
      <c r="P401" s="210"/>
      <c r="Q401" s="211"/>
      <c r="R401" s="209"/>
      <c r="S401" s="210"/>
      <c r="T401" s="210"/>
      <c r="U401" s="211"/>
      <c r="V401" s="281"/>
      <c r="W401" s="282"/>
      <c r="X401" s="282"/>
      <c r="Y401" s="283"/>
      <c r="Z401" s="277"/>
      <c r="AA401" s="278"/>
      <c r="AB401" s="278"/>
      <c r="AC401" s="278">
        <f>(AC411-Y411)/4/$C$691/Spend!AC401*'State Efficiency Ratios (2014)'!$C$655</f>
        <v>0</v>
      </c>
      <c r="AD401" s="208"/>
      <c r="AE401" s="213"/>
      <c r="AG401" s="410"/>
      <c r="AI401" s="416" t="s">
        <v>1040</v>
      </c>
      <c r="AS401" s="716" t="s">
        <v>1040</v>
      </c>
    </row>
    <row r="402" spans="1:46" ht="12.95" customHeight="1" thickBot="1">
      <c r="A402" s="1375"/>
      <c r="B402" s="885"/>
      <c r="C402" s="9" t="s">
        <v>295</v>
      </c>
      <c r="D402" s="202"/>
      <c r="E402" s="203"/>
      <c r="F402" s="201"/>
      <c r="G402" s="202"/>
      <c r="H402" s="202"/>
      <c r="I402" s="203"/>
      <c r="J402" s="201"/>
      <c r="K402" s="202"/>
      <c r="L402" s="202"/>
      <c r="M402" s="203"/>
      <c r="N402" s="204"/>
      <c r="O402" s="214"/>
      <c r="P402" s="205"/>
      <c r="Q402" s="205"/>
      <c r="R402" s="201"/>
      <c r="S402" s="202"/>
      <c r="T402" s="202"/>
      <c r="U402" s="197">
        <f>SUM('State DisAgg LFx10 (2014)'!L392:O392)/2</f>
        <v>55</v>
      </c>
      <c r="V402" s="195"/>
      <c r="W402" s="196"/>
      <c r="X402" s="196"/>
      <c r="Y402" s="197">
        <f>SUM('State DisAgg LFx10 (2014)'!P402:S402)/2</f>
        <v>68</v>
      </c>
      <c r="Z402" s="195"/>
      <c r="AA402" s="196"/>
      <c r="AB402" s="196"/>
      <c r="AC402" s="197">
        <f>SUM('State DisAgg LFx10 (2014)'!T402:W402)/2</f>
        <v>87.5</v>
      </c>
      <c r="AD402" s="195"/>
      <c r="AE402" s="197"/>
      <c r="AI402" s="361">
        <f t="shared" ref="AI402:AI413" si="80">O402-J402</f>
        <v>0</v>
      </c>
      <c r="AJ402" s="362">
        <f>U402-O402</f>
        <v>55</v>
      </c>
      <c r="AK402" s="362">
        <f t="shared" ref="AK402:AK413" si="81">Y402-U402</f>
        <v>13</v>
      </c>
      <c r="AL402" s="363">
        <f t="shared" ref="AL402:AL411" si="82">AC402-Y402</f>
        <v>19.5</v>
      </c>
      <c r="AM402" s="354"/>
      <c r="AQ402" s="354"/>
      <c r="AS402" s="724">
        <f>(O402-J402)</f>
        <v>0</v>
      </c>
    </row>
    <row r="403" spans="1:46" ht="13.5" thickBot="1">
      <c r="A403" s="1375"/>
      <c r="B403" s="885"/>
      <c r="C403" s="9" t="s">
        <v>296</v>
      </c>
      <c r="D403" s="202"/>
      <c r="E403" s="203"/>
      <c r="F403" s="201"/>
      <c r="G403" s="202"/>
      <c r="H403" s="202"/>
      <c r="I403" s="203"/>
      <c r="J403" s="201"/>
      <c r="K403" s="202"/>
      <c r="L403" s="202"/>
      <c r="M403" s="203"/>
      <c r="N403" s="204"/>
      <c r="O403" s="214"/>
      <c r="P403" s="205"/>
      <c r="Q403" s="205"/>
      <c r="R403" s="201"/>
      <c r="S403" s="202"/>
      <c r="T403" s="202"/>
      <c r="U403" s="197">
        <f>SUM('State DisAgg LFx10 (2014)'!L393:O393)/2</f>
        <v>58.5</v>
      </c>
      <c r="V403" s="195"/>
      <c r="W403" s="196"/>
      <c r="X403" s="196"/>
      <c r="Y403" s="197">
        <f>SUM('State DisAgg LFx10 (2014)'!P403:S403)/2</f>
        <v>81</v>
      </c>
      <c r="Z403" s="195"/>
      <c r="AA403" s="196"/>
      <c r="AB403" s="196"/>
      <c r="AC403" s="197">
        <f>SUM('State DisAgg LFx10 (2014)'!T403:W403)/2</f>
        <v>81.5</v>
      </c>
      <c r="AD403" s="195"/>
      <c r="AE403" s="197"/>
      <c r="AI403" s="364">
        <f t="shared" si="80"/>
        <v>0</v>
      </c>
      <c r="AJ403" s="360">
        <f>U403-O403</f>
        <v>58.5</v>
      </c>
      <c r="AK403" s="360">
        <f t="shared" si="81"/>
        <v>22.5</v>
      </c>
      <c r="AL403" s="365">
        <f t="shared" si="82"/>
        <v>0.5</v>
      </c>
      <c r="AM403" s="354"/>
      <c r="AQ403" s="354"/>
      <c r="AS403" s="726">
        <f>(O403-J403)</f>
        <v>0</v>
      </c>
    </row>
    <row r="404" spans="1:46" ht="13.5" thickBot="1">
      <c r="A404" s="1375"/>
      <c r="B404" s="885"/>
      <c r="C404" s="9" t="s">
        <v>297</v>
      </c>
      <c r="D404" s="202"/>
      <c r="E404" s="203"/>
      <c r="F404" s="201"/>
      <c r="G404" s="202"/>
      <c r="H404" s="202"/>
      <c r="I404" s="203"/>
      <c r="J404" s="201"/>
      <c r="K404" s="202"/>
      <c r="L404" s="202"/>
      <c r="M404" s="203"/>
      <c r="N404" s="204"/>
      <c r="O404" s="214"/>
      <c r="P404" s="205"/>
      <c r="Q404" s="205"/>
      <c r="R404" s="201"/>
      <c r="S404" s="202"/>
      <c r="T404" s="202"/>
      <c r="U404" s="197">
        <f>SUM('State DisAgg LFx10 (2014)'!L394:O394)/2</f>
        <v>30</v>
      </c>
      <c r="V404" s="195"/>
      <c r="W404" s="196"/>
      <c r="X404" s="196"/>
      <c r="Y404" s="197">
        <f>SUM('State DisAgg LFx10 (2014)'!P404:S404)/2</f>
        <v>50</v>
      </c>
      <c r="Z404" s="195"/>
      <c r="AA404" s="196"/>
      <c r="AB404" s="196"/>
      <c r="AC404" s="197">
        <f>SUM('State DisAgg LFx10 (2014)'!T404:W404)/2</f>
        <v>76.5</v>
      </c>
      <c r="AD404" s="195"/>
      <c r="AE404" s="197"/>
      <c r="AI404" s="364">
        <f t="shared" si="80"/>
        <v>0</v>
      </c>
      <c r="AJ404" s="360">
        <f>U404-O404</f>
        <v>30</v>
      </c>
      <c r="AK404" s="360">
        <f t="shared" si="81"/>
        <v>20</v>
      </c>
      <c r="AL404" s="365">
        <f t="shared" si="82"/>
        <v>26.5</v>
      </c>
      <c r="AM404" s="354"/>
      <c r="AQ404" s="354"/>
      <c r="AS404" s="726">
        <f>(O404-J404)</f>
        <v>0</v>
      </c>
    </row>
    <row r="405" spans="1:46" ht="13.5" thickBot="1">
      <c r="A405" s="1375"/>
      <c r="B405" s="885"/>
      <c r="C405" s="9" t="s">
        <v>298</v>
      </c>
      <c r="D405" s="202"/>
      <c r="E405" s="203"/>
      <c r="F405" s="201"/>
      <c r="G405" s="202"/>
      <c r="H405" s="202"/>
      <c r="I405" s="203"/>
      <c r="J405" s="201"/>
      <c r="K405" s="202"/>
      <c r="L405" s="202"/>
      <c r="M405" s="203"/>
      <c r="N405" s="204"/>
      <c r="O405" s="214"/>
      <c r="P405" s="205"/>
      <c r="Q405" s="205"/>
      <c r="R405" s="201"/>
      <c r="S405" s="202"/>
      <c r="T405" s="202"/>
      <c r="U405" s="197">
        <f>SUM('State DisAgg LFx10 (2014)'!L395:O395)/2</f>
        <v>52.5</v>
      </c>
      <c r="V405" s="195"/>
      <c r="W405" s="196"/>
      <c r="X405" s="196"/>
      <c r="Y405" s="197">
        <f>SUM('State DisAgg LFx10 (2014)'!P405:S405)/2</f>
        <v>76</v>
      </c>
      <c r="Z405" s="195"/>
      <c r="AA405" s="196"/>
      <c r="AB405" s="196"/>
      <c r="AC405" s="197">
        <f>SUM('State DisAgg LFx10 (2014)'!T405:W405)/2</f>
        <v>91</v>
      </c>
      <c r="AD405" s="195"/>
      <c r="AE405" s="197"/>
      <c r="AI405" s="364">
        <f t="shared" si="80"/>
        <v>0</v>
      </c>
      <c r="AJ405" s="360">
        <f>U405-O405</f>
        <v>52.5</v>
      </c>
      <c r="AK405" s="360">
        <f t="shared" si="81"/>
        <v>23.5</v>
      </c>
      <c r="AL405" s="365">
        <f t="shared" si="82"/>
        <v>15</v>
      </c>
      <c r="AM405" s="354"/>
      <c r="AQ405" s="354"/>
      <c r="AS405" s="726">
        <f>(O405-J405)</f>
        <v>0</v>
      </c>
      <c r="AT405" s="714" t="s">
        <v>1070</v>
      </c>
    </row>
    <row r="406" spans="1:46" ht="13.5" thickBot="1">
      <c r="A406" s="1375"/>
      <c r="B406" s="885"/>
      <c r="C406" s="9" t="s">
        <v>299</v>
      </c>
      <c r="D406" s="202"/>
      <c r="E406" s="203"/>
      <c r="F406" s="201"/>
      <c r="G406" s="202"/>
      <c r="H406" s="202"/>
      <c r="I406" s="203"/>
      <c r="J406" s="201"/>
      <c r="K406" s="202"/>
      <c r="L406" s="202"/>
      <c r="M406" s="203"/>
      <c r="N406" s="204"/>
      <c r="O406" s="214"/>
      <c r="P406" s="205"/>
      <c r="Q406" s="205"/>
      <c r="R406" s="201"/>
      <c r="S406" s="202"/>
      <c r="T406" s="202"/>
      <c r="U406" s="197">
        <f>SUM('State DisAgg LFx10 (2014)'!L396:O396)/2</f>
        <v>20</v>
      </c>
      <c r="V406" s="195"/>
      <c r="W406" s="196"/>
      <c r="X406" s="196"/>
      <c r="Y406" s="197">
        <f>SUM('State DisAgg LFx10 (2014)'!P406:S406)/2</f>
        <v>64.5</v>
      </c>
      <c r="Z406" s="195"/>
      <c r="AA406" s="196"/>
      <c r="AB406" s="196"/>
      <c r="AC406" s="197">
        <f>SUM('State DisAgg LFx10 (2014)'!T406:W406)/2</f>
        <v>73</v>
      </c>
      <c r="AD406" s="195"/>
      <c r="AE406" s="197"/>
      <c r="AI406" s="364">
        <f t="shared" si="80"/>
        <v>0</v>
      </c>
      <c r="AJ406" s="360">
        <f>U406-O406</f>
        <v>20</v>
      </c>
      <c r="AK406" s="360">
        <f t="shared" si="81"/>
        <v>44.5</v>
      </c>
      <c r="AL406" s="365">
        <f t="shared" si="82"/>
        <v>8.5</v>
      </c>
      <c r="AM406" s="354"/>
      <c r="AQ406" s="354"/>
      <c r="AS406" s="726">
        <f>(O406-J406)</f>
        <v>0</v>
      </c>
      <c r="AT406" s="728">
        <f>SUM(AS402:AS406)/5</f>
        <v>0</v>
      </c>
    </row>
    <row r="407" spans="1:46" ht="12.95" customHeight="1" thickBot="1">
      <c r="A407" s="1375"/>
      <c r="B407" s="885"/>
      <c r="C407" s="9" t="s">
        <v>300</v>
      </c>
      <c r="D407" s="202"/>
      <c r="E407" s="203"/>
      <c r="F407" s="201"/>
      <c r="G407" s="202"/>
      <c r="H407" s="202"/>
      <c r="I407" s="203"/>
      <c r="J407" s="201"/>
      <c r="K407" s="202"/>
      <c r="L407" s="202"/>
      <c r="M407" s="203"/>
      <c r="N407" s="204"/>
      <c r="O407" s="214"/>
      <c r="P407" s="205"/>
      <c r="Q407" s="205"/>
      <c r="R407" s="201"/>
      <c r="S407" s="202"/>
      <c r="T407" s="202"/>
      <c r="U407" s="197">
        <f>SUM('State DisAgg LFx10 (2014)'!L397:O397)/2</f>
        <v>12.5</v>
      </c>
      <c r="V407" s="195"/>
      <c r="W407" s="196"/>
      <c r="X407" s="196"/>
      <c r="Y407" s="197">
        <f>SUM('State DisAgg LFx10 (2014)'!P407:S407)/2</f>
        <v>20</v>
      </c>
      <c r="Z407" s="195"/>
      <c r="AA407" s="196"/>
      <c r="AB407" s="196"/>
      <c r="AC407" s="197">
        <f>SUM('State DisAgg LFx10 (2014)'!T407:W407)/2</f>
        <v>74</v>
      </c>
      <c r="AD407" s="195"/>
      <c r="AE407" s="197"/>
      <c r="AI407" s="364">
        <f t="shared" si="80"/>
        <v>0</v>
      </c>
      <c r="AJ407" s="360">
        <v>0</v>
      </c>
      <c r="AK407" s="360">
        <f t="shared" si="81"/>
        <v>7.5</v>
      </c>
      <c r="AL407" s="365">
        <f t="shared" si="82"/>
        <v>54</v>
      </c>
      <c r="AM407" s="354"/>
      <c r="AQ407" s="354"/>
      <c r="AS407" s="726">
        <f>(Y407-R407)</f>
        <v>20</v>
      </c>
    </row>
    <row r="408" spans="1:46" ht="12.95" customHeight="1" thickBot="1">
      <c r="A408" s="1375"/>
      <c r="B408" s="885"/>
      <c r="C408" s="9" t="s">
        <v>301</v>
      </c>
      <c r="D408" s="202"/>
      <c r="E408" s="203"/>
      <c r="F408" s="201"/>
      <c r="G408" s="202"/>
      <c r="H408" s="202"/>
      <c r="I408" s="203"/>
      <c r="J408" s="201"/>
      <c r="K408" s="202"/>
      <c r="L408" s="202"/>
      <c r="M408" s="203"/>
      <c r="N408" s="204"/>
      <c r="O408" s="214"/>
      <c r="P408" s="205"/>
      <c r="Q408" s="205"/>
      <c r="R408" s="201"/>
      <c r="S408" s="202"/>
      <c r="T408" s="202"/>
      <c r="U408" s="197">
        <f>SUM('State DisAgg LFx10 (2014)'!L398:O398)/2</f>
        <v>28.5</v>
      </c>
      <c r="V408" s="195"/>
      <c r="W408" s="196"/>
      <c r="X408" s="196"/>
      <c r="Y408" s="197">
        <f>SUM('State DisAgg LFx10 (2014)'!P408:S408)/2</f>
        <v>40</v>
      </c>
      <c r="Z408" s="195"/>
      <c r="AA408" s="196"/>
      <c r="AB408" s="196"/>
      <c r="AC408" s="197">
        <f>SUM('State DisAgg LFx10 (2014)'!T408:W408)/2</f>
        <v>63</v>
      </c>
      <c r="AD408" s="195"/>
      <c r="AE408" s="197"/>
      <c r="AI408" s="364">
        <f t="shared" si="80"/>
        <v>0</v>
      </c>
      <c r="AJ408" s="360">
        <v>0</v>
      </c>
      <c r="AK408" s="360">
        <f t="shared" si="81"/>
        <v>11.5</v>
      </c>
      <c r="AL408" s="365">
        <f t="shared" si="82"/>
        <v>23</v>
      </c>
      <c r="AM408" s="354"/>
      <c r="AQ408" s="354"/>
      <c r="AS408" s="726">
        <f>(Y408-R408)</f>
        <v>40</v>
      </c>
      <c r="AT408" s="714" t="s">
        <v>1071</v>
      </c>
    </row>
    <row r="409" spans="1:46" ht="12.95" customHeight="1" thickBot="1">
      <c r="A409" s="1375"/>
      <c r="B409" s="885"/>
      <c r="C409" s="9" t="s">
        <v>302</v>
      </c>
      <c r="D409" s="202"/>
      <c r="E409" s="203"/>
      <c r="F409" s="201"/>
      <c r="G409" s="202"/>
      <c r="H409" s="202"/>
      <c r="I409" s="203"/>
      <c r="J409" s="201"/>
      <c r="K409" s="202"/>
      <c r="L409" s="202"/>
      <c r="M409" s="203"/>
      <c r="N409" s="204"/>
      <c r="O409" s="214"/>
      <c r="P409" s="205"/>
      <c r="Q409" s="205"/>
      <c r="R409" s="201"/>
      <c r="S409" s="202"/>
      <c r="T409" s="202"/>
      <c r="U409" s="197">
        <f>SUM('State DisAgg LFx10 (2014)'!L399:O399)/2</f>
        <v>32.5</v>
      </c>
      <c r="V409" s="195"/>
      <c r="W409" s="196"/>
      <c r="X409" s="196"/>
      <c r="Y409" s="197">
        <f>SUM('State DisAgg LFx10 (2014)'!P409:S409)/2</f>
        <v>45</v>
      </c>
      <c r="Z409" s="195"/>
      <c r="AA409" s="196"/>
      <c r="AB409" s="196"/>
      <c r="AC409" s="197">
        <f>SUM('State DisAgg LFx10 (2014)'!T409:W409)/2</f>
        <v>81</v>
      </c>
      <c r="AD409" s="195"/>
      <c r="AE409" s="197"/>
      <c r="AI409" s="364">
        <f t="shared" si="80"/>
        <v>0</v>
      </c>
      <c r="AJ409" s="360">
        <v>0</v>
      </c>
      <c r="AK409" s="360">
        <f t="shared" si="81"/>
        <v>12.5</v>
      </c>
      <c r="AL409" s="365">
        <f t="shared" si="82"/>
        <v>36</v>
      </c>
      <c r="AM409" s="354"/>
      <c r="AQ409" s="354"/>
      <c r="AS409" s="729">
        <f>(Y409-R409)</f>
        <v>45</v>
      </c>
      <c r="AT409" s="728">
        <f>SUM(AS407:AS409)/3</f>
        <v>35</v>
      </c>
    </row>
    <row r="410" spans="1:46" ht="13.5" thickBot="1">
      <c r="A410" s="1375"/>
      <c r="B410" s="885"/>
      <c r="C410" s="9" t="s">
        <v>303</v>
      </c>
      <c r="D410" s="202"/>
      <c r="E410" s="203"/>
      <c r="F410" s="201"/>
      <c r="G410" s="202"/>
      <c r="H410" s="202"/>
      <c r="I410" s="203"/>
      <c r="J410" s="201"/>
      <c r="K410" s="202"/>
      <c r="L410" s="202"/>
      <c r="M410" s="203"/>
      <c r="N410" s="204"/>
      <c r="O410" s="214"/>
      <c r="P410" s="205"/>
      <c r="Q410" s="205"/>
      <c r="R410" s="201"/>
      <c r="S410" s="202"/>
      <c r="T410" s="202"/>
      <c r="U410" s="203"/>
      <c r="V410" s="242"/>
      <c r="W410" s="217" t="s">
        <v>633</v>
      </c>
      <c r="X410" s="241" t="s">
        <v>632</v>
      </c>
      <c r="Y410" s="197">
        <f>SUM('State DisAgg LFx10 (2014)'!P400:S400)/2</f>
        <v>59</v>
      </c>
      <c r="Z410" s="195"/>
      <c r="AA410" s="196"/>
      <c r="AB410" s="196"/>
      <c r="AC410" s="197">
        <f>SUM('State DisAgg LFx10 (2014)'!T410:W410)/2</f>
        <v>59</v>
      </c>
      <c r="AD410" s="195"/>
      <c r="AE410" s="197"/>
      <c r="AI410" s="364">
        <f t="shared" si="80"/>
        <v>0</v>
      </c>
      <c r="AJ410" s="360">
        <f>U410-O410</f>
        <v>0</v>
      </c>
      <c r="AK410" s="360">
        <f t="shared" si="81"/>
        <v>59</v>
      </c>
      <c r="AL410" s="365">
        <f t="shared" si="82"/>
        <v>0</v>
      </c>
      <c r="AM410" s="354"/>
      <c r="AQ410" s="354"/>
    </row>
    <row r="411" spans="1:46" ht="13.5" thickBot="1">
      <c r="A411" s="1375"/>
      <c r="B411" s="885"/>
      <c r="C411" s="9" t="s">
        <v>304</v>
      </c>
      <c r="D411" s="202"/>
      <c r="E411" s="203"/>
      <c r="F411" s="201"/>
      <c r="G411" s="202"/>
      <c r="H411" s="202"/>
      <c r="I411" s="203"/>
      <c r="J411" s="201"/>
      <c r="K411" s="202"/>
      <c r="L411" s="202"/>
      <c r="M411" s="203"/>
      <c r="N411" s="204"/>
      <c r="O411" s="205"/>
      <c r="P411" s="205"/>
      <c r="Q411" s="205"/>
      <c r="R411" s="201"/>
      <c r="S411" s="202"/>
      <c r="T411" s="202"/>
      <c r="U411" s="203"/>
      <c r="V411" s="242"/>
      <c r="W411" s="217" t="s">
        <v>633</v>
      </c>
      <c r="X411" s="241" t="s">
        <v>632</v>
      </c>
      <c r="Y411" s="197">
        <f>SUM('State DisAgg LFx10 (2014)'!P401:S401)/2</f>
        <v>56.5</v>
      </c>
      <c r="Z411" s="195"/>
      <c r="AA411" s="196"/>
      <c r="AB411" s="196"/>
      <c r="AC411" s="197">
        <f>SUM('State DisAgg LFx10 (2014)'!T411:W411)/2</f>
        <v>56.5</v>
      </c>
      <c r="AD411" s="195"/>
      <c r="AE411" s="197"/>
      <c r="AI411" s="366">
        <f t="shared" si="80"/>
        <v>0</v>
      </c>
      <c r="AJ411" s="367">
        <f>U411-O411</f>
        <v>0</v>
      </c>
      <c r="AK411" s="367">
        <f t="shared" si="81"/>
        <v>56.5</v>
      </c>
      <c r="AL411" s="368">
        <f t="shared" si="82"/>
        <v>0</v>
      </c>
      <c r="AM411" s="354"/>
      <c r="AQ411" s="354"/>
    </row>
    <row r="412" spans="1:46" ht="12.95" hidden="1" customHeight="1" thickBot="1">
      <c r="A412" s="1375"/>
      <c r="B412" s="501"/>
      <c r="C412" s="231"/>
      <c r="D412" s="232"/>
      <c r="E412" s="233"/>
      <c r="F412" s="234"/>
      <c r="G412" s="232"/>
      <c r="H412" s="232"/>
      <c r="I412" s="233"/>
      <c r="J412" s="234"/>
      <c r="K412" s="232"/>
      <c r="L412" s="232"/>
      <c r="M412" s="233"/>
      <c r="N412" s="234"/>
      <c r="O412" s="232"/>
      <c r="P412" s="232"/>
      <c r="Q412" s="233"/>
      <c r="R412" s="234"/>
      <c r="S412" s="232"/>
      <c r="T412" s="232"/>
      <c r="U412" s="233"/>
      <c r="V412" s="234"/>
      <c r="W412" s="232"/>
      <c r="X412" s="232"/>
      <c r="Y412" s="233"/>
      <c r="Z412" s="234"/>
      <c r="AA412" s="232"/>
      <c r="AB412" s="232"/>
      <c r="AC412" s="233"/>
      <c r="AD412" s="234"/>
      <c r="AE412" s="233"/>
      <c r="AI412" s="354">
        <f t="shared" si="80"/>
        <v>0</v>
      </c>
      <c r="AJ412" s="354">
        <f>U412-O412</f>
        <v>0</v>
      </c>
      <c r="AK412" s="354">
        <f t="shared" si="81"/>
        <v>0</v>
      </c>
      <c r="AQ412" s="354"/>
    </row>
    <row r="413" spans="1:46" ht="12.95" hidden="1" customHeight="1" thickBot="1">
      <c r="A413" s="1375"/>
      <c r="B413" s="501"/>
      <c r="C413" s="231"/>
      <c r="D413" s="232"/>
      <c r="E413" s="233"/>
      <c r="F413" s="234"/>
      <c r="G413" s="232"/>
      <c r="H413" s="232"/>
      <c r="I413" s="233"/>
      <c r="J413" s="234"/>
      <c r="K413" s="232"/>
      <c r="L413" s="232"/>
      <c r="M413" s="233"/>
      <c r="N413" s="234"/>
      <c r="O413" s="232"/>
      <c r="P413" s="232"/>
      <c r="Q413" s="233"/>
      <c r="R413" s="234"/>
      <c r="S413" s="232"/>
      <c r="T413" s="232"/>
      <c r="U413" s="233"/>
      <c r="V413" s="234"/>
      <c r="W413" s="232"/>
      <c r="X413" s="232"/>
      <c r="Y413" s="233"/>
      <c r="Z413" s="234"/>
      <c r="AA413" s="232"/>
      <c r="AB413" s="232"/>
      <c r="AC413" s="233"/>
      <c r="AD413" s="234"/>
      <c r="AE413" s="233"/>
      <c r="AI413" s="354">
        <f t="shared" si="80"/>
        <v>0</v>
      </c>
      <c r="AJ413" s="354">
        <f>U413-O413</f>
        <v>0</v>
      </c>
      <c r="AK413" s="354">
        <f t="shared" si="81"/>
        <v>0</v>
      </c>
      <c r="AQ413" s="354"/>
    </row>
    <row r="414" spans="1:46" ht="12.95" customHeight="1" thickBot="1">
      <c r="A414" s="885"/>
      <c r="B414" s="3" t="s">
        <v>40</v>
      </c>
      <c r="C414" s="12"/>
      <c r="D414" s="1377">
        <v>2008</v>
      </c>
      <c r="E414" s="1378"/>
      <c r="F414" s="1372">
        <v>2009</v>
      </c>
      <c r="G414" s="1373"/>
      <c r="H414" s="1373"/>
      <c r="I414" s="1374"/>
      <c r="J414" s="1372">
        <v>2010</v>
      </c>
      <c r="K414" s="1373"/>
      <c r="L414" s="1373"/>
      <c r="M414" s="1374"/>
      <c r="N414" s="1372">
        <v>2011</v>
      </c>
      <c r="O414" s="1373"/>
      <c r="P414" s="1373"/>
      <c r="Q414" s="1374"/>
      <c r="R414" s="1372">
        <v>2012</v>
      </c>
      <c r="S414" s="1373"/>
      <c r="T414" s="1373"/>
      <c r="U414" s="1374"/>
      <c r="V414" s="1372">
        <v>2013</v>
      </c>
      <c r="W414" s="1373"/>
      <c r="X414" s="1373"/>
      <c r="Y414" s="1374"/>
      <c r="Z414" s="1372">
        <v>2014</v>
      </c>
      <c r="AA414" s="1373"/>
      <c r="AB414" s="1373"/>
      <c r="AC414" s="1374"/>
      <c r="AD414" s="1372">
        <v>2015</v>
      </c>
      <c r="AE414" s="1374"/>
      <c r="AG414" s="257" t="s">
        <v>663</v>
      </c>
      <c r="AL414" s="351"/>
      <c r="AM414" s="351"/>
      <c r="AS414" s="716" t="s">
        <v>1041</v>
      </c>
    </row>
    <row r="415" spans="1:46" ht="12.95" customHeight="1" thickBot="1">
      <c r="A415" s="885"/>
      <c r="B415" s="868" t="s">
        <v>644</v>
      </c>
      <c r="C415" s="194" t="s">
        <v>610</v>
      </c>
      <c r="D415" s="206"/>
      <c r="E415" s="207"/>
      <c r="F415" s="209"/>
      <c r="G415" s="206"/>
      <c r="H415" s="206"/>
      <c r="I415" s="207"/>
      <c r="J415" s="209"/>
      <c r="K415" s="206"/>
      <c r="L415" s="206"/>
      <c r="M415" s="207"/>
      <c r="N415" s="209"/>
      <c r="O415" s="210"/>
      <c r="P415" s="210"/>
      <c r="Q415" s="211"/>
      <c r="R415" s="209"/>
      <c r="S415" s="210"/>
      <c r="T415" s="210"/>
      <c r="U415" s="211"/>
      <c r="V415" s="281"/>
      <c r="W415" s="278"/>
      <c r="X415" s="278"/>
      <c r="Y415" s="278">
        <f>(Y425-U425)/4/$C$694/Spend!Y415*'State Efficiency Ratios (2014)'!$C$655</f>
        <v>40.32135058437084</v>
      </c>
      <c r="Z415" s="277"/>
      <c r="AA415" s="278"/>
      <c r="AB415" s="278"/>
      <c r="AC415" s="278">
        <f>(AC425-Y425)/4/$C$694/Spend!AC415*'State Efficiency Ratios (2014)'!$C$655</f>
        <v>13.120697161397654</v>
      </c>
      <c r="AD415" s="208"/>
      <c r="AE415" s="213"/>
      <c r="AG415" s="410"/>
      <c r="AL415" s="351"/>
      <c r="AM415" s="354"/>
      <c r="AS415" s="717">
        <f t="shared" ref="AS415:AS422" si="83">Y415</f>
        <v>40.32135058437084</v>
      </c>
    </row>
    <row r="416" spans="1:46" ht="12.95" customHeight="1" thickBot="1">
      <c r="A416" s="885"/>
      <c r="B416" s="885"/>
      <c r="C416" s="194" t="s">
        <v>611</v>
      </c>
      <c r="D416" s="206"/>
      <c r="E416" s="207"/>
      <c r="F416" s="209"/>
      <c r="G416" s="206"/>
      <c r="H416" s="206"/>
      <c r="I416" s="207"/>
      <c r="J416" s="209"/>
      <c r="K416" s="206"/>
      <c r="L416" s="206"/>
      <c r="M416" s="207"/>
      <c r="N416" s="209"/>
      <c r="O416" s="210"/>
      <c r="P416" s="210"/>
      <c r="Q416" s="211"/>
      <c r="R416" s="209"/>
      <c r="S416" s="210"/>
      <c r="T416" s="210"/>
      <c r="U416" s="211"/>
      <c r="V416" s="281"/>
      <c r="W416" s="278"/>
      <c r="X416" s="278"/>
      <c r="Y416" s="278">
        <f>(Y426-U426)/4/$C$694/Spend!Y416*'State Efficiency Ratios (2014)'!$C$655</f>
        <v>0</v>
      </c>
      <c r="Z416" s="277"/>
      <c r="AA416" s="278"/>
      <c r="AB416" s="278"/>
      <c r="AC416" s="278">
        <f>(AC426-Y426)/4/$C$694/Spend!AC416*'State Efficiency Ratios (2014)'!$C$655</f>
        <v>81.248905084146998</v>
      </c>
      <c r="AD416" s="208"/>
      <c r="AE416" s="213"/>
      <c r="AG416" s="410"/>
      <c r="AL416" s="351"/>
      <c r="AM416" s="378"/>
      <c r="AS416" s="719">
        <f t="shared" si="83"/>
        <v>0</v>
      </c>
    </row>
    <row r="417" spans="1:46" ht="12.95" customHeight="1" thickBot="1">
      <c r="A417" s="885"/>
      <c r="B417" s="885"/>
      <c r="C417" s="194" t="s">
        <v>612</v>
      </c>
      <c r="D417" s="206"/>
      <c r="E417" s="207"/>
      <c r="F417" s="209"/>
      <c r="G417" s="206"/>
      <c r="H417" s="206"/>
      <c r="I417" s="207"/>
      <c r="J417" s="209"/>
      <c r="K417" s="206"/>
      <c r="L417" s="206"/>
      <c r="M417" s="207"/>
      <c r="N417" s="209"/>
      <c r="O417" s="210"/>
      <c r="P417" s="210"/>
      <c r="Q417" s="211"/>
      <c r="R417" s="209"/>
      <c r="S417" s="210"/>
      <c r="T417" s="210"/>
      <c r="U417" s="211"/>
      <c r="V417" s="281"/>
      <c r="W417" s="278"/>
      <c r="X417" s="278"/>
      <c r="Y417" s="278">
        <f>(Y427-U427)/4/$C$694/Spend!Y417*'State Efficiency Ratios (2014)'!$C$655</f>
        <v>0</v>
      </c>
      <c r="Z417" s="277"/>
      <c r="AA417" s="278"/>
      <c r="AB417" s="278"/>
      <c r="AC417" s="278">
        <f>(AC427-Y427)/4/$C$694/Spend!AC417*'State Efficiency Ratios (2014)'!$C$655</f>
        <v>65.311711828239837</v>
      </c>
      <c r="AD417" s="208"/>
      <c r="AE417" s="213"/>
      <c r="AG417" s="410" t="s">
        <v>1086</v>
      </c>
      <c r="AS417" s="719">
        <f t="shared" si="83"/>
        <v>0</v>
      </c>
    </row>
    <row r="418" spans="1:46" ht="12.95" customHeight="1" thickBot="1">
      <c r="A418" s="885"/>
      <c r="B418" s="885"/>
      <c r="C418" s="194" t="s">
        <v>613</v>
      </c>
      <c r="D418" s="206"/>
      <c r="E418" s="207"/>
      <c r="F418" s="209"/>
      <c r="G418" s="206"/>
      <c r="H418" s="206"/>
      <c r="I418" s="207"/>
      <c r="J418" s="209"/>
      <c r="K418" s="206"/>
      <c r="L418" s="206"/>
      <c r="M418" s="207"/>
      <c r="N418" s="209"/>
      <c r="O418" s="210"/>
      <c r="P418" s="210"/>
      <c r="Q418" s="211"/>
      <c r="R418" s="209"/>
      <c r="S418" s="210"/>
      <c r="T418" s="210"/>
      <c r="U418" s="211"/>
      <c r="V418" s="281"/>
      <c r="W418" s="278"/>
      <c r="X418" s="278"/>
      <c r="Y418" s="278">
        <f>(Y428-U428)/4/$C$694/Spend!Y418*'State Efficiency Ratios (2014)'!$C$655</f>
        <v>170.90334794886081</v>
      </c>
      <c r="Z418" s="277"/>
      <c r="AA418" s="278"/>
      <c r="AB418" s="278"/>
      <c r="AC418" s="278">
        <f>(AC428-Y428)/4/$C$694/Spend!AC418*'State Efficiency Ratios (2014)'!$C$655</f>
        <v>-33.102345777504333</v>
      </c>
      <c r="AD418" s="208"/>
      <c r="AE418" s="213"/>
      <c r="AG418" s="410" t="s">
        <v>1087</v>
      </c>
      <c r="AS418" s="719">
        <f t="shared" si="83"/>
        <v>170.90334794886081</v>
      </c>
      <c r="AT418" s="714" t="s">
        <v>1070</v>
      </c>
    </row>
    <row r="419" spans="1:46" ht="12.95" customHeight="1" thickBot="1">
      <c r="A419" s="885"/>
      <c r="B419" s="885"/>
      <c r="C419" s="194" t="s">
        <v>614</v>
      </c>
      <c r="D419" s="206"/>
      <c r="E419" s="207"/>
      <c r="F419" s="209"/>
      <c r="G419" s="206"/>
      <c r="H419" s="206"/>
      <c r="I419" s="207"/>
      <c r="J419" s="209"/>
      <c r="K419" s="206"/>
      <c r="L419" s="206"/>
      <c r="M419" s="207"/>
      <c r="N419" s="209"/>
      <c r="O419" s="210"/>
      <c r="P419" s="210"/>
      <c r="Q419" s="211"/>
      <c r="R419" s="209"/>
      <c r="S419" s="210"/>
      <c r="T419" s="210"/>
      <c r="U419" s="211"/>
      <c r="V419" s="281"/>
      <c r="W419" s="278"/>
      <c r="X419" s="278"/>
      <c r="Y419" s="278">
        <f>(Y429-U429)/4/$C$694/Spend!Y419*'State Efficiency Ratios (2014)'!$C$655</f>
        <v>110.16317612119759</v>
      </c>
      <c r="Z419" s="277"/>
      <c r="AA419" s="278"/>
      <c r="AB419" s="278"/>
      <c r="AC419" s="278">
        <f>(AC429-Y429)/4/$C$694/Spend!AC419*'State Efficiency Ratios (2014)'!$C$655</f>
        <v>75.476779190227646</v>
      </c>
      <c r="AD419" s="208"/>
      <c r="AE419" s="213"/>
      <c r="AG419" s="410" t="s">
        <v>1085</v>
      </c>
      <c r="AS419" s="719">
        <f t="shared" si="83"/>
        <v>110.16317612119759</v>
      </c>
      <c r="AT419" s="721">
        <f>SUM(AS415:AS419)/5</f>
        <v>64.277574930885848</v>
      </c>
    </row>
    <row r="420" spans="1:46" ht="12.95" customHeight="1" thickBot="1">
      <c r="A420" s="885"/>
      <c r="B420" s="885"/>
      <c r="C420" s="194" t="s">
        <v>615</v>
      </c>
      <c r="D420" s="210"/>
      <c r="E420" s="211"/>
      <c r="F420" s="209"/>
      <c r="G420" s="210"/>
      <c r="H420" s="210"/>
      <c r="I420" s="211"/>
      <c r="J420" s="209"/>
      <c r="K420" s="210"/>
      <c r="L420" s="210"/>
      <c r="M420" s="211"/>
      <c r="N420" s="209"/>
      <c r="O420" s="210"/>
      <c r="P420" s="210"/>
      <c r="Q420" s="211"/>
      <c r="R420" s="209"/>
      <c r="S420" s="210"/>
      <c r="T420" s="210"/>
      <c r="U420" s="211"/>
      <c r="V420" s="281"/>
      <c r="W420" s="278"/>
      <c r="X420" s="278"/>
      <c r="Y420" s="278">
        <f>(Y430-U430)/4/$C$694/Spend!Y420*'State Efficiency Ratios (2014)'!$C$655</f>
        <v>314.29007125366076</v>
      </c>
      <c r="Z420" s="277"/>
      <c r="AA420" s="278"/>
      <c r="AB420" s="278"/>
      <c r="AC420" s="278">
        <f>(AC430-Y430)/4/$C$694/Spend!AC420*'State Efficiency Ratios (2014)'!$C$655</f>
        <v>169.52826065858247</v>
      </c>
      <c r="AD420" s="208"/>
      <c r="AE420" s="213"/>
      <c r="AG420" s="410"/>
      <c r="AI420" s="4" t="s">
        <v>1053</v>
      </c>
      <c r="AS420" s="719">
        <f t="shared" si="83"/>
        <v>314.29007125366076</v>
      </c>
    </row>
    <row r="421" spans="1:46" ht="12.95" customHeight="1" thickBot="1">
      <c r="A421" s="885"/>
      <c r="B421" s="885"/>
      <c r="C421" s="194" t="s">
        <v>616</v>
      </c>
      <c r="D421" s="210"/>
      <c r="E421" s="211"/>
      <c r="F421" s="209"/>
      <c r="G421" s="210"/>
      <c r="H421" s="210"/>
      <c r="I421" s="211"/>
      <c r="J421" s="209"/>
      <c r="K421" s="210"/>
      <c r="L421" s="210"/>
      <c r="M421" s="211"/>
      <c r="N421" s="209"/>
      <c r="O421" s="210"/>
      <c r="P421" s="210"/>
      <c r="Q421" s="211"/>
      <c r="R421" s="209"/>
      <c r="S421" s="210"/>
      <c r="T421" s="210"/>
      <c r="U421" s="211"/>
      <c r="V421" s="281"/>
      <c r="W421" s="278"/>
      <c r="X421" s="278"/>
      <c r="Y421" s="278">
        <f>(Y431-U431)/4/$C$694/Spend!Y421*'State Efficiency Ratios (2014)'!$C$655</f>
        <v>39.261513063487854</v>
      </c>
      <c r="Z421" s="277"/>
      <c r="AA421" s="278"/>
      <c r="AB421" s="278"/>
      <c r="AC421" s="278">
        <f>(AC431-Y431)/4/$C$694/Spend!AC421*'State Efficiency Ratios (2014)'!$C$655</f>
        <v>122.97958558190187</v>
      </c>
      <c r="AD421" s="208"/>
      <c r="AE421" s="213"/>
      <c r="AG421" s="410" t="s">
        <v>1084</v>
      </c>
      <c r="AH421" s="355" t="s">
        <v>1052</v>
      </c>
      <c r="AI421" s="599">
        <f>4/5*SUM(AI425:AI429)/5</f>
        <v>0</v>
      </c>
      <c r="AJ421" s="592">
        <f>4/6*SUM(AJ425:AJ429)/5</f>
        <v>2.3199999999999994</v>
      </c>
      <c r="AK421" s="592">
        <f>SUM(AK425:AK432)/8</f>
        <v>0.3249999999999999</v>
      </c>
      <c r="AL421" s="594">
        <f>SUM(AL425:AL432)/8</f>
        <v>0.60000000000000009</v>
      </c>
      <c r="AS421" s="719">
        <f t="shared" si="83"/>
        <v>39.261513063487854</v>
      </c>
      <c r="AT421" s="714" t="s">
        <v>1071</v>
      </c>
    </row>
    <row r="422" spans="1:46" ht="12.95" customHeight="1" thickBot="1">
      <c r="A422" s="885"/>
      <c r="B422" s="885"/>
      <c r="C422" s="194" t="s">
        <v>617</v>
      </c>
      <c r="D422" s="210"/>
      <c r="E422" s="211"/>
      <c r="F422" s="209"/>
      <c r="G422" s="210"/>
      <c r="H422" s="210"/>
      <c r="I422" s="211"/>
      <c r="J422" s="209"/>
      <c r="K422" s="210"/>
      <c r="L422" s="210"/>
      <c r="M422" s="211"/>
      <c r="N422" s="209"/>
      <c r="O422" s="210"/>
      <c r="P422" s="210"/>
      <c r="Q422" s="211"/>
      <c r="R422" s="209"/>
      <c r="S422" s="210"/>
      <c r="T422" s="210"/>
      <c r="U422" s="211"/>
      <c r="V422" s="281"/>
      <c r="W422" s="278"/>
      <c r="X422" s="278"/>
      <c r="Y422" s="278">
        <f>(Y432-U432)/4/$C$694/Spend!Y422*'State Efficiency Ratios (2014)'!$C$655</f>
        <v>198.28140863304003</v>
      </c>
      <c r="Z422" s="277"/>
      <c r="AA422" s="278"/>
      <c r="AB422" s="278"/>
      <c r="AC422" s="278">
        <f>(AC432-Y432)/4/$C$694/Spend!AC422*'State Efficiency Ratios (2014)'!$C$655</f>
        <v>88.336313664400123</v>
      </c>
      <c r="AD422" s="208"/>
      <c r="AE422" s="213"/>
      <c r="AG422" s="410" t="s">
        <v>1089</v>
      </c>
      <c r="AH422" s="355" t="s">
        <v>1051</v>
      </c>
      <c r="AI422" s="606">
        <f>SUM(O415:O419)/5</f>
        <v>0</v>
      </c>
      <c r="AJ422" s="607">
        <f>SUM(U415:U419)/5</f>
        <v>0</v>
      </c>
      <c r="AK422" s="607">
        <f>SUM(Y415:Y422)/8</f>
        <v>109.15260845057725</v>
      </c>
      <c r="AL422" s="608">
        <f>SUM(AC415:AC422)/8</f>
        <v>72.862488423924034</v>
      </c>
      <c r="AS422" s="722">
        <f t="shared" si="83"/>
        <v>198.28140863304003</v>
      </c>
      <c r="AT422" s="721">
        <f>SUM(AS420:AS422)/3</f>
        <v>183.94433098339618</v>
      </c>
    </row>
    <row r="423" spans="1:46" ht="12.95" customHeight="1" thickBot="1">
      <c r="A423" s="885"/>
      <c r="B423" s="885"/>
      <c r="C423" s="194" t="s">
        <v>618</v>
      </c>
      <c r="D423" s="210"/>
      <c r="E423" s="211"/>
      <c r="F423" s="209"/>
      <c r="G423" s="210"/>
      <c r="H423" s="210"/>
      <c r="I423" s="211"/>
      <c r="J423" s="209"/>
      <c r="K423" s="210"/>
      <c r="L423" s="210"/>
      <c r="M423" s="211"/>
      <c r="N423" s="209"/>
      <c r="O423" s="210"/>
      <c r="P423" s="210"/>
      <c r="Q423" s="211"/>
      <c r="R423" s="209"/>
      <c r="S423" s="210"/>
      <c r="T423" s="210"/>
      <c r="U423" s="211"/>
      <c r="V423" s="281"/>
      <c r="W423" s="282"/>
      <c r="X423" s="282"/>
      <c r="Y423" s="283"/>
      <c r="Z423" s="277"/>
      <c r="AA423" s="278"/>
      <c r="AB423" s="278"/>
      <c r="AC423" s="278">
        <f>(AC433-Y433)/4/$C$694/Spend!AC423*'State Efficiency Ratios (2014)'!$C$655</f>
        <v>0</v>
      </c>
      <c r="AD423" s="208"/>
      <c r="AE423" s="213"/>
      <c r="AG423" s="410"/>
    </row>
    <row r="424" spans="1:46" ht="12.95" customHeight="1" thickBot="1">
      <c r="A424" s="885"/>
      <c r="B424" s="885"/>
      <c r="C424" s="194" t="s">
        <v>619</v>
      </c>
      <c r="D424" s="210"/>
      <c r="E424" s="211"/>
      <c r="F424" s="209"/>
      <c r="G424" s="210"/>
      <c r="H424" s="210"/>
      <c r="I424" s="211"/>
      <c r="J424" s="209"/>
      <c r="K424" s="210"/>
      <c r="L424" s="210"/>
      <c r="M424" s="211"/>
      <c r="N424" s="209"/>
      <c r="O424" s="210"/>
      <c r="P424" s="210"/>
      <c r="Q424" s="211"/>
      <c r="R424" s="209"/>
      <c r="S424" s="210"/>
      <c r="T424" s="210"/>
      <c r="U424" s="211"/>
      <c r="V424" s="281"/>
      <c r="W424" s="282"/>
      <c r="X424" s="282"/>
      <c r="Y424" s="283"/>
      <c r="Z424" s="277"/>
      <c r="AA424" s="278"/>
      <c r="AB424" s="278"/>
      <c r="AC424" s="278">
        <f>(AC434-Y434)/4/$C$694/Spend!AC424*'State Efficiency Ratios (2014)'!$C$655</f>
        <v>0</v>
      </c>
      <c r="AD424" s="208"/>
      <c r="AE424" s="213"/>
      <c r="AG424" s="410"/>
      <c r="AI424" s="416" t="s">
        <v>1041</v>
      </c>
      <c r="AS424" s="716" t="s">
        <v>1041</v>
      </c>
    </row>
    <row r="425" spans="1:46" ht="13.5" thickBot="1">
      <c r="A425" s="885"/>
      <c r="B425" s="885"/>
      <c r="C425" s="9" t="s">
        <v>295</v>
      </c>
      <c r="D425" s="202"/>
      <c r="E425" s="203"/>
      <c r="F425" s="201"/>
      <c r="G425" s="202"/>
      <c r="H425" s="202"/>
      <c r="I425" s="203"/>
      <c r="J425" s="201"/>
      <c r="K425" s="202"/>
      <c r="L425" s="202"/>
      <c r="M425" s="203"/>
      <c r="N425" s="204"/>
      <c r="O425" s="214"/>
      <c r="P425" s="205"/>
      <c r="Q425" s="205"/>
      <c r="R425" s="201"/>
      <c r="S425" s="202"/>
      <c r="T425" s="202"/>
      <c r="U425" s="197">
        <f>'State DisAgg LFx10 (2014)'!L415</f>
        <v>3.9</v>
      </c>
      <c r="V425" s="195"/>
      <c r="W425" s="196"/>
      <c r="X425" s="196"/>
      <c r="Y425" s="197">
        <f>'State DisAgg LFx10 (2014)'!P425</f>
        <v>4.0999999999999996</v>
      </c>
      <c r="Z425" s="195"/>
      <c r="AA425" s="196"/>
      <c r="AB425" s="196"/>
      <c r="AC425" s="197">
        <f>'State DisAgg LFx10 (2014)'!T425</f>
        <v>4.2</v>
      </c>
      <c r="AD425" s="195"/>
      <c r="AE425" s="197"/>
      <c r="AI425" s="361">
        <f t="shared" ref="AI425:AI436" si="84">O425-J425</f>
        <v>0</v>
      </c>
      <c r="AJ425" s="362">
        <f>U425-O425</f>
        <v>3.9</v>
      </c>
      <c r="AK425" s="362">
        <f t="shared" ref="AK425:AK436" si="85">Y425-U425</f>
        <v>0.19999999999999973</v>
      </c>
      <c r="AL425" s="363">
        <f t="shared" ref="AL425:AL434" si="86">AC425-Y425</f>
        <v>0.10000000000000053</v>
      </c>
      <c r="AM425" s="354"/>
      <c r="AQ425" s="354"/>
      <c r="AS425" s="724">
        <f>(O425-J425)</f>
        <v>0</v>
      </c>
    </row>
    <row r="426" spans="1:46" ht="13.5" thickBot="1">
      <c r="A426" s="885"/>
      <c r="B426" s="885"/>
      <c r="C426" s="9" t="s">
        <v>296</v>
      </c>
      <c r="D426" s="202"/>
      <c r="E426" s="203"/>
      <c r="F426" s="201"/>
      <c r="G426" s="202"/>
      <c r="H426" s="202"/>
      <c r="I426" s="203"/>
      <c r="J426" s="201"/>
      <c r="K426" s="202"/>
      <c r="L426" s="202"/>
      <c r="M426" s="203"/>
      <c r="N426" s="204"/>
      <c r="O426" s="214"/>
      <c r="P426" s="205"/>
      <c r="Q426" s="205"/>
      <c r="R426" s="201"/>
      <c r="S426" s="202"/>
      <c r="T426" s="202"/>
      <c r="U426" s="197">
        <f>'State DisAgg LFx10 (2014)'!L416</f>
        <v>3.6</v>
      </c>
      <c r="V426" s="195"/>
      <c r="W426" s="196"/>
      <c r="X426" s="196"/>
      <c r="Y426" s="197">
        <f>'State DisAgg LFx10 (2014)'!P426</f>
        <v>3.6</v>
      </c>
      <c r="Z426" s="195"/>
      <c r="AA426" s="196"/>
      <c r="AB426" s="196"/>
      <c r="AC426" s="197">
        <f>'State DisAgg LFx10 (2014)'!T426</f>
        <v>4.2</v>
      </c>
      <c r="AD426" s="195"/>
      <c r="AE426" s="197"/>
      <c r="AI426" s="364">
        <f t="shared" si="84"/>
        <v>0</v>
      </c>
      <c r="AJ426" s="360">
        <f>U426-O426</f>
        <v>3.6</v>
      </c>
      <c r="AK426" s="360">
        <f t="shared" si="85"/>
        <v>0</v>
      </c>
      <c r="AL426" s="365">
        <f t="shared" si="86"/>
        <v>0.60000000000000009</v>
      </c>
      <c r="AM426" s="354"/>
      <c r="AQ426" s="354"/>
      <c r="AS426" s="726">
        <f>(O426-J426)</f>
        <v>0</v>
      </c>
    </row>
    <row r="427" spans="1:46" ht="13.5" thickBot="1">
      <c r="A427" s="885"/>
      <c r="B427" s="885"/>
      <c r="C427" s="9" t="s">
        <v>297</v>
      </c>
      <c r="D427" s="202"/>
      <c r="E427" s="203"/>
      <c r="F427" s="201"/>
      <c r="G427" s="202"/>
      <c r="H427" s="202"/>
      <c r="I427" s="203"/>
      <c r="J427" s="201"/>
      <c r="K427" s="202"/>
      <c r="L427" s="202"/>
      <c r="M427" s="203"/>
      <c r="N427" s="204"/>
      <c r="O427" s="214"/>
      <c r="P427" s="205"/>
      <c r="Q427" s="205"/>
      <c r="R427" s="201"/>
      <c r="S427" s="202"/>
      <c r="T427" s="202"/>
      <c r="U427" s="197">
        <f>'State DisAgg LFx10 (2014)'!L417</f>
        <v>3.5</v>
      </c>
      <c r="V427" s="195"/>
      <c r="W427" s="196"/>
      <c r="X427" s="196"/>
      <c r="Y427" s="197">
        <f>'State DisAgg LFx10 (2014)'!P427</f>
        <v>3.5</v>
      </c>
      <c r="Z427" s="195"/>
      <c r="AA427" s="196"/>
      <c r="AB427" s="196"/>
      <c r="AC427" s="197">
        <f>'State DisAgg LFx10 (2014)'!T427</f>
        <v>4</v>
      </c>
      <c r="AD427" s="195"/>
      <c r="AE427" s="197"/>
      <c r="AI427" s="364">
        <f t="shared" si="84"/>
        <v>0</v>
      </c>
      <c r="AJ427" s="360">
        <f>U427-O427</f>
        <v>3.5</v>
      </c>
      <c r="AK427" s="360">
        <f t="shared" si="85"/>
        <v>0</v>
      </c>
      <c r="AL427" s="365">
        <f t="shared" si="86"/>
        <v>0.5</v>
      </c>
      <c r="AM427" s="354"/>
      <c r="AQ427" s="354"/>
      <c r="AS427" s="726">
        <f>(O427-J427)</f>
        <v>0</v>
      </c>
    </row>
    <row r="428" spans="1:46" ht="13.5" thickBot="1">
      <c r="A428" s="885"/>
      <c r="B428" s="885"/>
      <c r="C428" s="9" t="s">
        <v>298</v>
      </c>
      <c r="D428" s="202"/>
      <c r="E428" s="203"/>
      <c r="F428" s="201"/>
      <c r="G428" s="202"/>
      <c r="H428" s="202"/>
      <c r="I428" s="203"/>
      <c r="J428" s="201"/>
      <c r="K428" s="202"/>
      <c r="L428" s="202"/>
      <c r="M428" s="203"/>
      <c r="N428" s="204"/>
      <c r="O428" s="214"/>
      <c r="P428" s="205"/>
      <c r="Q428" s="205"/>
      <c r="R428" s="201"/>
      <c r="S428" s="202"/>
      <c r="T428" s="202"/>
      <c r="U428" s="197">
        <f>'State DisAgg LFx10 (2014)'!L418</f>
        <v>3</v>
      </c>
      <c r="V428" s="195"/>
      <c r="W428" s="196"/>
      <c r="X428" s="196"/>
      <c r="Y428" s="197">
        <f>'State DisAgg LFx10 (2014)'!P428</f>
        <v>3.6</v>
      </c>
      <c r="Z428" s="195"/>
      <c r="AA428" s="196"/>
      <c r="AB428" s="196"/>
      <c r="AC428" s="197">
        <f>'State DisAgg LFx10 (2014)'!T428</f>
        <v>3.4</v>
      </c>
      <c r="AD428" s="195"/>
      <c r="AE428" s="197"/>
      <c r="AI428" s="364">
        <f t="shared" si="84"/>
        <v>0</v>
      </c>
      <c r="AJ428" s="360">
        <f>U428-O428</f>
        <v>3</v>
      </c>
      <c r="AK428" s="360">
        <f t="shared" si="85"/>
        <v>0.60000000000000009</v>
      </c>
      <c r="AL428" s="365">
        <f t="shared" si="86"/>
        <v>-0.20000000000000018</v>
      </c>
      <c r="AM428" s="354"/>
      <c r="AQ428" s="354"/>
      <c r="AS428" s="726">
        <f>(O428-J428)</f>
        <v>0</v>
      </c>
      <c r="AT428" s="714" t="s">
        <v>1070</v>
      </c>
    </row>
    <row r="429" spans="1:46" ht="13.5" thickBot="1">
      <c r="A429" s="885"/>
      <c r="B429" s="885"/>
      <c r="C429" s="9" t="s">
        <v>299</v>
      </c>
      <c r="D429" s="202"/>
      <c r="E429" s="203"/>
      <c r="F429" s="201"/>
      <c r="G429" s="202"/>
      <c r="H429" s="202"/>
      <c r="I429" s="203"/>
      <c r="J429" s="201"/>
      <c r="K429" s="202"/>
      <c r="L429" s="202"/>
      <c r="M429" s="203"/>
      <c r="N429" s="204"/>
      <c r="O429" s="214"/>
      <c r="P429" s="205"/>
      <c r="Q429" s="205"/>
      <c r="R429" s="201"/>
      <c r="S429" s="202"/>
      <c r="T429" s="202"/>
      <c r="U429" s="197">
        <f>'State DisAgg LFx10 (2014)'!L419</f>
        <v>3.4</v>
      </c>
      <c r="V429" s="195"/>
      <c r="W429" s="196"/>
      <c r="X429" s="196"/>
      <c r="Y429" s="197">
        <f>'State DisAgg LFx10 (2014)'!P429</f>
        <v>3.8</v>
      </c>
      <c r="Z429" s="195"/>
      <c r="AA429" s="196"/>
      <c r="AB429" s="196"/>
      <c r="AC429" s="197">
        <f>'State DisAgg LFx10 (2014)'!T429</f>
        <v>4.4000000000000004</v>
      </c>
      <c r="AD429" s="195"/>
      <c r="AE429" s="197"/>
      <c r="AI429" s="364">
        <f t="shared" si="84"/>
        <v>0</v>
      </c>
      <c r="AJ429" s="360">
        <f>U429-O429</f>
        <v>3.4</v>
      </c>
      <c r="AK429" s="360">
        <f t="shared" si="85"/>
        <v>0.39999999999999991</v>
      </c>
      <c r="AL429" s="365">
        <f t="shared" si="86"/>
        <v>0.60000000000000053</v>
      </c>
      <c r="AM429" s="354"/>
      <c r="AQ429" s="354"/>
      <c r="AS429" s="726">
        <f>(O429-J429)</f>
        <v>0</v>
      </c>
      <c r="AT429" s="728">
        <f>SUM(AS425:AS429)/5</f>
        <v>0</v>
      </c>
    </row>
    <row r="430" spans="1:46" ht="13.5" thickBot="1">
      <c r="A430" s="885"/>
      <c r="B430" s="885"/>
      <c r="C430" s="9" t="s">
        <v>300</v>
      </c>
      <c r="D430" s="202"/>
      <c r="E430" s="203"/>
      <c r="F430" s="201"/>
      <c r="G430" s="202"/>
      <c r="H430" s="202"/>
      <c r="I430" s="203"/>
      <c r="J430" s="201"/>
      <c r="K430" s="202"/>
      <c r="L430" s="202"/>
      <c r="M430" s="203"/>
      <c r="N430" s="204"/>
      <c r="O430" s="214"/>
      <c r="P430" s="205"/>
      <c r="Q430" s="205"/>
      <c r="R430" s="201"/>
      <c r="S430" s="202"/>
      <c r="T430" s="202"/>
      <c r="U430" s="197">
        <f>'State DisAgg LFx10 (2014)'!L420</f>
        <v>2</v>
      </c>
      <c r="V430" s="195"/>
      <c r="W430" s="196"/>
      <c r="X430" s="196"/>
      <c r="Y430" s="197">
        <f>'State DisAgg LFx10 (2014)'!P430</f>
        <v>2.8</v>
      </c>
      <c r="Z430" s="195"/>
      <c r="AA430" s="196"/>
      <c r="AB430" s="196"/>
      <c r="AC430" s="197">
        <f>'State DisAgg LFx10 (2014)'!T430</f>
        <v>4</v>
      </c>
      <c r="AD430" s="195"/>
      <c r="AE430" s="197"/>
      <c r="AI430" s="364">
        <f t="shared" si="84"/>
        <v>0</v>
      </c>
      <c r="AJ430" s="360">
        <v>0</v>
      </c>
      <c r="AK430" s="360">
        <f t="shared" si="85"/>
        <v>0.79999999999999982</v>
      </c>
      <c r="AL430" s="365">
        <f t="shared" si="86"/>
        <v>1.2000000000000002</v>
      </c>
      <c r="AM430" s="354"/>
      <c r="AQ430" s="354"/>
      <c r="AS430" s="726">
        <f>(Y430-R430)</f>
        <v>2.8</v>
      </c>
    </row>
    <row r="431" spans="1:46" ht="13.5" thickBot="1">
      <c r="A431" s="885"/>
      <c r="B431" s="885"/>
      <c r="C431" s="9" t="s">
        <v>301</v>
      </c>
      <c r="D431" s="202"/>
      <c r="E431" s="203"/>
      <c r="F431" s="201"/>
      <c r="G431" s="202"/>
      <c r="H431" s="202"/>
      <c r="I431" s="203"/>
      <c r="J431" s="201"/>
      <c r="K431" s="202"/>
      <c r="L431" s="202"/>
      <c r="M431" s="203"/>
      <c r="N431" s="204"/>
      <c r="O431" s="214"/>
      <c r="P431" s="205"/>
      <c r="Q431" s="205"/>
      <c r="R431" s="201"/>
      <c r="S431" s="202"/>
      <c r="T431" s="202"/>
      <c r="U431" s="197">
        <f>'State DisAgg LFx10 (2014)'!L421</f>
        <v>2.2000000000000002</v>
      </c>
      <c r="V431" s="195"/>
      <c r="W431" s="196"/>
      <c r="X431" s="196"/>
      <c r="Y431" s="197">
        <f>'State DisAgg LFx10 (2014)'!P431</f>
        <v>2.2999999999999998</v>
      </c>
      <c r="Z431" s="195"/>
      <c r="AA431" s="196"/>
      <c r="AB431" s="196"/>
      <c r="AC431" s="197">
        <f>'State DisAgg LFx10 (2014)'!T431</f>
        <v>3.4</v>
      </c>
      <c r="AD431" s="195"/>
      <c r="AE431" s="197"/>
      <c r="AI431" s="364">
        <f t="shared" si="84"/>
        <v>0</v>
      </c>
      <c r="AJ431" s="360">
        <v>0</v>
      </c>
      <c r="AK431" s="360">
        <f t="shared" si="85"/>
        <v>9.9999999999999645E-2</v>
      </c>
      <c r="AL431" s="365">
        <f t="shared" si="86"/>
        <v>1.1000000000000001</v>
      </c>
      <c r="AM431" s="354"/>
      <c r="AQ431" s="354"/>
      <c r="AS431" s="726">
        <f>(Y431-R431)</f>
        <v>2.2999999999999998</v>
      </c>
      <c r="AT431" s="714" t="s">
        <v>1071</v>
      </c>
    </row>
    <row r="432" spans="1:46" ht="13.5" thickBot="1">
      <c r="A432" s="885"/>
      <c r="B432" s="885"/>
      <c r="C432" s="9" t="s">
        <v>302</v>
      </c>
      <c r="D432" s="202"/>
      <c r="E432" s="203"/>
      <c r="F432" s="201"/>
      <c r="G432" s="202"/>
      <c r="H432" s="202"/>
      <c r="I432" s="203"/>
      <c r="J432" s="201"/>
      <c r="K432" s="202"/>
      <c r="L432" s="202"/>
      <c r="M432" s="203"/>
      <c r="N432" s="204"/>
      <c r="O432" s="214"/>
      <c r="P432" s="205"/>
      <c r="Q432" s="205"/>
      <c r="R432" s="201"/>
      <c r="S432" s="202"/>
      <c r="T432" s="202"/>
      <c r="U432" s="197">
        <f>'State DisAgg LFx10 (2014)'!L422</f>
        <v>1.9</v>
      </c>
      <c r="V432" s="195"/>
      <c r="W432" s="196"/>
      <c r="X432" s="196"/>
      <c r="Y432" s="197">
        <f>'State DisAgg LFx10 (2014)'!P432</f>
        <v>2.4</v>
      </c>
      <c r="Z432" s="195"/>
      <c r="AA432" s="196"/>
      <c r="AB432" s="196"/>
      <c r="AC432" s="197">
        <f>'State DisAgg LFx10 (2014)'!T432</f>
        <v>3.3</v>
      </c>
      <c r="AD432" s="195"/>
      <c r="AE432" s="197"/>
      <c r="AI432" s="364">
        <f t="shared" si="84"/>
        <v>0</v>
      </c>
      <c r="AJ432" s="360">
        <v>0</v>
      </c>
      <c r="AK432" s="360">
        <f t="shared" si="85"/>
        <v>0.5</v>
      </c>
      <c r="AL432" s="365">
        <f t="shared" si="86"/>
        <v>0.89999999999999991</v>
      </c>
      <c r="AM432" s="354"/>
      <c r="AQ432" s="354"/>
      <c r="AS432" s="729">
        <f>(Y432-R432)</f>
        <v>2.4</v>
      </c>
      <c r="AT432" s="728">
        <f>SUM(AS430:AS432)/3</f>
        <v>2.5</v>
      </c>
    </row>
    <row r="433" spans="1:48" ht="13.5" thickBot="1">
      <c r="A433" s="885"/>
      <c r="B433" s="885"/>
      <c r="C433" s="9" t="s">
        <v>303</v>
      </c>
      <c r="D433" s="202"/>
      <c r="E433" s="203"/>
      <c r="F433" s="201"/>
      <c r="G433" s="202"/>
      <c r="H433" s="202"/>
      <c r="I433" s="203"/>
      <c r="J433" s="201"/>
      <c r="K433" s="202"/>
      <c r="L433" s="202"/>
      <c r="M433" s="203"/>
      <c r="N433" s="204"/>
      <c r="O433" s="214"/>
      <c r="P433" s="205"/>
      <c r="Q433" s="205"/>
      <c r="R433" s="201"/>
      <c r="S433" s="202"/>
      <c r="T433" s="202"/>
      <c r="U433" s="203"/>
      <c r="V433" s="242"/>
      <c r="W433" s="217" t="s">
        <v>633</v>
      </c>
      <c r="X433" s="241" t="s">
        <v>632</v>
      </c>
      <c r="Y433" s="197">
        <f>'State DisAgg LFx10 (2014)'!P423</f>
        <v>2.9</v>
      </c>
      <c r="Z433" s="195"/>
      <c r="AA433" s="196"/>
      <c r="AB433" s="196"/>
      <c r="AC433" s="197">
        <f>'State DisAgg LFx10 (2014)'!T433</f>
        <v>2.9</v>
      </c>
      <c r="AD433" s="195"/>
      <c r="AE433" s="197"/>
      <c r="AI433" s="364">
        <f t="shared" si="84"/>
        <v>0</v>
      </c>
      <c r="AJ433" s="360">
        <f>U433-O433</f>
        <v>0</v>
      </c>
      <c r="AK433" s="360">
        <f t="shared" si="85"/>
        <v>2.9</v>
      </c>
      <c r="AL433" s="365">
        <f t="shared" si="86"/>
        <v>0</v>
      </c>
      <c r="AM433" s="354"/>
      <c r="AQ433" s="354"/>
    </row>
    <row r="434" spans="1:48" ht="13.5" thickBot="1">
      <c r="A434" s="869"/>
      <c r="B434" s="869"/>
      <c r="C434" s="9" t="s">
        <v>304</v>
      </c>
      <c r="D434" s="202"/>
      <c r="E434" s="203"/>
      <c r="F434" s="201"/>
      <c r="G434" s="202"/>
      <c r="H434" s="202"/>
      <c r="I434" s="203"/>
      <c r="J434" s="201"/>
      <c r="K434" s="202"/>
      <c r="L434" s="202"/>
      <c r="M434" s="203"/>
      <c r="N434" s="204"/>
      <c r="O434" s="205"/>
      <c r="P434" s="205"/>
      <c r="Q434" s="205"/>
      <c r="R434" s="201"/>
      <c r="S434" s="202"/>
      <c r="T434" s="202"/>
      <c r="U434" s="203"/>
      <c r="V434" s="242"/>
      <c r="W434" s="217" t="s">
        <v>633</v>
      </c>
      <c r="X434" s="241" t="s">
        <v>632</v>
      </c>
      <c r="Y434" s="197">
        <f>'State DisAgg LFx10 (2014)'!P424</f>
        <v>2.7</v>
      </c>
      <c r="Z434" s="195"/>
      <c r="AA434" s="196"/>
      <c r="AB434" s="196"/>
      <c r="AC434" s="197">
        <f>'State DisAgg LFx10 (2014)'!T434</f>
        <v>2.7</v>
      </c>
      <c r="AD434" s="195"/>
      <c r="AE434" s="197"/>
      <c r="AI434" s="366">
        <f t="shared" si="84"/>
        <v>0</v>
      </c>
      <c r="AJ434" s="367">
        <f>U434-O434</f>
        <v>0</v>
      </c>
      <c r="AK434" s="367">
        <f t="shared" si="85"/>
        <v>2.7</v>
      </c>
      <c r="AL434" s="368">
        <f t="shared" si="86"/>
        <v>0</v>
      </c>
      <c r="AM434" s="354"/>
      <c r="AQ434" s="354"/>
    </row>
    <row r="435" spans="1:48" ht="12.95" hidden="1" customHeight="1" thickBot="1">
      <c r="A435" s="231"/>
      <c r="B435" s="231"/>
      <c r="C435" s="231"/>
      <c r="D435" s="232"/>
      <c r="E435" s="233"/>
      <c r="F435" s="234"/>
      <c r="G435" s="232"/>
      <c r="H435" s="232"/>
      <c r="I435" s="233"/>
      <c r="J435" s="234"/>
      <c r="K435" s="232"/>
      <c r="L435" s="232"/>
      <c r="M435" s="233"/>
      <c r="N435" s="234"/>
      <c r="O435" s="232"/>
      <c r="P435" s="232"/>
      <c r="Q435" s="233"/>
      <c r="R435" s="234"/>
      <c r="S435" s="232"/>
      <c r="T435" s="232"/>
      <c r="U435" s="233"/>
      <c r="V435" s="234"/>
      <c r="W435" s="232"/>
      <c r="X435" s="232"/>
      <c r="Y435" s="233"/>
      <c r="Z435" s="234"/>
      <c r="AA435" s="232"/>
      <c r="AB435" s="232"/>
      <c r="AC435" s="233"/>
      <c r="AD435" s="234"/>
      <c r="AE435" s="233"/>
      <c r="AI435" s="354">
        <f t="shared" si="84"/>
        <v>0</v>
      </c>
      <c r="AJ435" s="354">
        <f>U435-O435</f>
        <v>0</v>
      </c>
      <c r="AK435" s="354">
        <f t="shared" si="85"/>
        <v>0</v>
      </c>
      <c r="AQ435" s="354"/>
    </row>
    <row r="436" spans="1:48" ht="12.95" hidden="1" customHeight="1" thickBot="1">
      <c r="A436" s="231"/>
      <c r="B436" s="231"/>
      <c r="C436" s="231"/>
      <c r="D436" s="232"/>
      <c r="E436" s="233"/>
      <c r="F436" s="234"/>
      <c r="G436" s="232"/>
      <c r="H436" s="232"/>
      <c r="I436" s="233"/>
      <c r="J436" s="234"/>
      <c r="K436" s="232"/>
      <c r="L436" s="232"/>
      <c r="M436" s="233"/>
      <c r="N436" s="234"/>
      <c r="O436" s="232"/>
      <c r="P436" s="232"/>
      <c r="Q436" s="233"/>
      <c r="R436" s="234"/>
      <c r="S436" s="232"/>
      <c r="T436" s="232"/>
      <c r="U436" s="233"/>
      <c r="V436" s="234"/>
      <c r="W436" s="232"/>
      <c r="X436" s="232"/>
      <c r="Y436" s="233"/>
      <c r="Z436" s="234"/>
      <c r="AA436" s="232"/>
      <c r="AB436" s="232"/>
      <c r="AC436" s="233"/>
      <c r="AD436" s="234"/>
      <c r="AE436" s="233"/>
      <c r="AI436" s="354">
        <f t="shared" si="84"/>
        <v>0</v>
      </c>
      <c r="AJ436" s="354">
        <f>U436-O436</f>
        <v>0</v>
      </c>
      <c r="AK436" s="354">
        <f t="shared" si="85"/>
        <v>0</v>
      </c>
      <c r="AQ436" s="354"/>
    </row>
    <row r="437" spans="1:48" ht="12.95" hidden="1" customHeight="1" thickBot="1">
      <c r="A437" s="231"/>
      <c r="B437" s="231"/>
      <c r="C437" s="231"/>
      <c r="D437" s="232"/>
      <c r="E437" s="233"/>
      <c r="F437" s="234"/>
      <c r="G437" s="232"/>
      <c r="H437" s="232"/>
      <c r="I437" s="233"/>
      <c r="J437" s="234"/>
      <c r="K437" s="232"/>
      <c r="L437" s="232"/>
      <c r="M437" s="233"/>
      <c r="N437" s="234"/>
      <c r="O437" s="232"/>
      <c r="P437" s="232"/>
      <c r="Q437" s="233"/>
      <c r="R437" s="234"/>
      <c r="S437" s="232"/>
      <c r="T437" s="232"/>
      <c r="U437" s="233"/>
      <c r="V437" s="234"/>
      <c r="W437" s="232"/>
      <c r="X437" s="232"/>
      <c r="Y437" s="233"/>
      <c r="Z437" s="234"/>
      <c r="AA437" s="232"/>
      <c r="AB437" s="232"/>
      <c r="AC437" s="233"/>
      <c r="AD437" s="234"/>
      <c r="AE437" s="233"/>
      <c r="AL437" s="351"/>
      <c r="AM437" s="351"/>
    </row>
    <row r="438" spans="1:48" ht="12.95" hidden="1" customHeight="1" thickBot="1">
      <c r="A438" s="231"/>
      <c r="B438" s="231"/>
      <c r="C438" s="231"/>
      <c r="D438" s="232"/>
      <c r="E438" s="233"/>
      <c r="F438" s="234"/>
      <c r="G438" s="232"/>
      <c r="H438" s="232"/>
      <c r="I438" s="233"/>
      <c r="J438" s="234"/>
      <c r="K438" s="232"/>
      <c r="L438" s="232"/>
      <c r="M438" s="233"/>
      <c r="N438" s="234"/>
      <c r="O438" s="232"/>
      <c r="P438" s="232"/>
      <c r="Q438" s="233"/>
      <c r="R438" s="234"/>
      <c r="S438" s="232"/>
      <c r="T438" s="232"/>
      <c r="U438" s="233"/>
      <c r="V438" s="234"/>
      <c r="W438" s="232"/>
      <c r="X438" s="232"/>
      <c r="Y438" s="233"/>
      <c r="Z438" s="234"/>
      <c r="AA438" s="232"/>
      <c r="AB438" s="232"/>
      <c r="AC438" s="233"/>
      <c r="AD438" s="234"/>
      <c r="AE438" s="233"/>
      <c r="AL438" s="356">
        <f>SUM(AL425:AL432)/8</f>
        <v>0.60000000000000009</v>
      </c>
      <c r="AM438" s="356"/>
    </row>
    <row r="439" spans="1:48" ht="12.95" hidden="1" customHeight="1" thickBot="1">
      <c r="A439" s="231"/>
      <c r="B439" s="231"/>
      <c r="C439" s="231"/>
      <c r="D439" s="232"/>
      <c r="E439" s="233"/>
      <c r="F439" s="234"/>
      <c r="G439" s="232"/>
      <c r="H439" s="232"/>
      <c r="I439" s="233"/>
      <c r="J439" s="234"/>
      <c r="K439" s="232"/>
      <c r="L439" s="232"/>
      <c r="M439" s="233"/>
      <c r="N439" s="234"/>
      <c r="O439" s="232"/>
      <c r="P439" s="232"/>
      <c r="Q439" s="233"/>
      <c r="R439" s="234"/>
      <c r="S439" s="232"/>
      <c r="T439" s="232"/>
      <c r="U439" s="233"/>
      <c r="V439" s="234"/>
      <c r="W439" s="232"/>
      <c r="X439" s="232"/>
      <c r="Y439" s="233"/>
      <c r="Z439" s="234"/>
      <c r="AA439" s="232"/>
      <c r="AB439" s="232"/>
      <c r="AC439" s="233"/>
      <c r="AD439" s="234"/>
      <c r="AE439" s="233"/>
      <c r="AL439" s="378">
        <f>SUM(AC415:AC422)/8</f>
        <v>72.862488423924034</v>
      </c>
      <c r="AM439" s="378"/>
    </row>
    <row r="440" spans="1:48" ht="12.95" hidden="1" customHeight="1" thickBot="1">
      <c r="A440" s="231"/>
      <c r="B440" s="231"/>
      <c r="C440" s="231"/>
      <c r="D440" s="232"/>
      <c r="E440" s="233"/>
      <c r="F440" s="234"/>
      <c r="G440" s="232"/>
      <c r="H440" s="232"/>
      <c r="I440" s="233"/>
      <c r="J440" s="234"/>
      <c r="K440" s="232"/>
      <c r="L440" s="232"/>
      <c r="M440" s="233"/>
      <c r="N440" s="234"/>
      <c r="O440" s="232"/>
      <c r="P440" s="232"/>
      <c r="Q440" s="233"/>
      <c r="R440" s="234"/>
      <c r="S440" s="232"/>
      <c r="T440" s="232"/>
      <c r="U440" s="233"/>
      <c r="V440" s="234"/>
      <c r="W440" s="232"/>
      <c r="X440" s="232"/>
      <c r="Y440" s="233"/>
      <c r="Z440" s="234"/>
      <c r="AA440" s="232"/>
      <c r="AB440" s="232"/>
      <c r="AC440" s="233"/>
      <c r="AD440" s="234"/>
      <c r="AE440" s="233"/>
    </row>
    <row r="441" spans="1:48">
      <c r="A441" s="5"/>
      <c r="B441" s="5"/>
      <c r="C441" s="6"/>
      <c r="D441" s="5"/>
      <c r="E441" s="5"/>
      <c r="F441" s="5"/>
      <c r="G441" s="5"/>
      <c r="H441" s="5"/>
      <c r="I441" s="5"/>
      <c r="J441" s="5"/>
      <c r="K441" s="5"/>
      <c r="L441" s="5"/>
      <c r="M441" s="5"/>
      <c r="N441" s="5"/>
      <c r="O441" s="5"/>
      <c r="P441" s="5"/>
      <c r="Q441" s="5"/>
      <c r="R441" s="5"/>
      <c r="S441" s="5"/>
      <c r="T441" s="5"/>
      <c r="U441" s="5"/>
      <c r="V441" s="5"/>
      <c r="W441" s="5"/>
      <c r="X441" s="5"/>
      <c r="Y441" s="5"/>
      <c r="Z441" s="5"/>
      <c r="AA441" s="5"/>
      <c r="AB441" s="5"/>
      <c r="AC441" s="5"/>
      <c r="AD441" s="5"/>
      <c r="AE441" s="5"/>
    </row>
    <row r="442" spans="1:48" ht="13.5" thickBot="1">
      <c r="A442" s="5"/>
      <c r="B442" s="5"/>
      <c r="C442" s="6"/>
      <c r="D442" s="5"/>
      <c r="E442" s="5"/>
      <c r="F442" s="5"/>
      <c r="G442" s="5"/>
      <c r="H442" s="5"/>
      <c r="I442" s="5"/>
      <c r="J442" s="5"/>
      <c r="K442" s="5"/>
      <c r="L442" s="5"/>
      <c r="M442" s="5"/>
      <c r="N442" s="5"/>
      <c r="O442" s="5"/>
      <c r="P442" s="5"/>
      <c r="Q442" s="5"/>
      <c r="R442" s="5"/>
      <c r="S442" s="5"/>
      <c r="T442" s="5"/>
      <c r="U442" s="5"/>
      <c r="V442" s="5"/>
      <c r="W442" s="5"/>
      <c r="X442" s="5"/>
      <c r="Y442" s="5"/>
      <c r="Z442" s="5"/>
      <c r="AA442" s="5"/>
      <c r="AB442" s="5"/>
      <c r="AC442" s="5"/>
      <c r="AD442" s="5"/>
      <c r="AE442" s="5"/>
      <c r="AL442" s="351"/>
      <c r="AM442" s="356"/>
    </row>
    <row r="443" spans="1:48" ht="12.95" customHeight="1" thickBot="1">
      <c r="A443" s="506" t="s">
        <v>28</v>
      </c>
      <c r="B443" s="514" t="s">
        <v>32</v>
      </c>
      <c r="C443" s="8"/>
      <c r="D443" s="1377">
        <v>2008</v>
      </c>
      <c r="E443" s="1378"/>
      <c r="F443" s="1372">
        <v>2009</v>
      </c>
      <c r="G443" s="1373"/>
      <c r="H443" s="1373"/>
      <c r="I443" s="1374"/>
      <c r="J443" s="1372">
        <v>2010</v>
      </c>
      <c r="K443" s="1373"/>
      <c r="L443" s="1373"/>
      <c r="M443" s="1374"/>
      <c r="N443" s="1372">
        <v>2011</v>
      </c>
      <c r="O443" s="1373"/>
      <c r="P443" s="1373"/>
      <c r="Q443" s="1374"/>
      <c r="R443" s="1372">
        <v>2012</v>
      </c>
      <c r="S443" s="1373"/>
      <c r="T443" s="1373"/>
      <c r="U443" s="1374"/>
      <c r="V443" s="1372">
        <v>2013</v>
      </c>
      <c r="W443" s="1373"/>
      <c r="X443" s="1373"/>
      <c r="Y443" s="1374"/>
      <c r="Z443" s="1372">
        <v>2014</v>
      </c>
      <c r="AA443" s="1373"/>
      <c r="AB443" s="1373"/>
      <c r="AC443" s="1374"/>
      <c r="AD443" s="1372">
        <v>2015</v>
      </c>
      <c r="AE443" s="1374"/>
      <c r="AG443" s="257" t="s">
        <v>663</v>
      </c>
      <c r="AM443" s="378"/>
      <c r="AS443" s="716" t="s">
        <v>1042</v>
      </c>
      <c r="AU443" s="716" t="s">
        <v>1060</v>
      </c>
    </row>
    <row r="444" spans="1:48" ht="12.95" customHeight="1" thickBot="1">
      <c r="A444" s="868" t="s">
        <v>65</v>
      </c>
      <c r="B444" s="868" t="s">
        <v>66</v>
      </c>
      <c r="C444" s="194" t="s">
        <v>610</v>
      </c>
      <c r="D444" s="206"/>
      <c r="E444" s="207"/>
      <c r="F444" s="209"/>
      <c r="G444" s="206"/>
      <c r="H444" s="206"/>
      <c r="I444" s="207"/>
      <c r="J444" s="209"/>
      <c r="K444" s="206"/>
      <c r="L444" s="206"/>
      <c r="M444" s="207"/>
      <c r="N444" s="277"/>
      <c r="O444" s="278">
        <f>(O454-H454)/7/$C$696/Spend!O444*'State Efficiency Ratios (2014)'!$C$655</f>
        <v>22.30075942078189</v>
      </c>
      <c r="P444" s="278"/>
      <c r="Q444" s="279"/>
      <c r="R444" s="277"/>
      <c r="S444" s="278"/>
      <c r="T444" s="278"/>
      <c r="U444" s="278">
        <f>(U454-O454)/6/$C$696/Spend!U444*'State Efficiency Ratios (2014)'!$C$655</f>
        <v>124.90208691137836</v>
      </c>
      <c r="V444" s="277"/>
      <c r="W444" s="278"/>
      <c r="X444" s="278"/>
      <c r="Y444" s="278">
        <f>(Y454-U454)/4/$C$696/Spend!Y444*'State Efficiency Ratios (2014)'!$C$655</f>
        <v>21.240980358389908</v>
      </c>
      <c r="Z444" s="277"/>
      <c r="AA444" s="278"/>
      <c r="AB444" s="278"/>
      <c r="AC444" s="278">
        <f>(AC454-Y454)/4/$C$696/Spend!AC444*'State Efficiency Ratios (2014)'!$C$655</f>
        <v>-150.01205144999005</v>
      </c>
      <c r="AD444" s="208"/>
      <c r="AE444" s="213"/>
      <c r="AG444" s="410"/>
      <c r="AS444" s="717">
        <f>(O454-H454)/7/$C$673/Spend!O444*'State Efficiency Ratios (2014)'!$C$655</f>
        <v>22.30075942078189</v>
      </c>
      <c r="AU444" s="718">
        <f t="shared" ref="AU444:AU451" si="87">(AS444+AS467+AS490+AS513+AS537)/5</f>
        <v>40.141366957407399</v>
      </c>
    </row>
    <row r="445" spans="1:48" ht="13.5" thickBot="1">
      <c r="A445" s="885"/>
      <c r="B445" s="885"/>
      <c r="C445" s="194" t="s">
        <v>611</v>
      </c>
      <c r="D445" s="206"/>
      <c r="E445" s="207"/>
      <c r="F445" s="209"/>
      <c r="G445" s="206"/>
      <c r="H445" s="206"/>
      <c r="I445" s="207"/>
      <c r="J445" s="209"/>
      <c r="K445" s="206"/>
      <c r="L445" s="206"/>
      <c r="M445" s="207"/>
      <c r="N445" s="277"/>
      <c r="O445" s="278">
        <f>(O455-H455)/7/$C$696/Spend!O445*'State Efficiency Ratios (2014)'!$C$655</f>
        <v>29.797669864916994</v>
      </c>
      <c r="P445" s="278"/>
      <c r="Q445" s="279"/>
      <c r="R445" s="277"/>
      <c r="S445" s="278"/>
      <c r="T445" s="278"/>
      <c r="U445" s="278">
        <f>(U455-O455)/6/$C$696/Spend!U445*'State Efficiency Ratios (2014)'!$C$655</f>
        <v>79.067021352875827</v>
      </c>
      <c r="V445" s="277"/>
      <c r="W445" s="278"/>
      <c r="X445" s="278"/>
      <c r="Y445" s="278">
        <f>(Y455-U455)/4/$C$696/Spend!Y445*'State Efficiency Ratios (2014)'!$C$655</f>
        <v>128.96722767793275</v>
      </c>
      <c r="Z445" s="277"/>
      <c r="AA445" s="278"/>
      <c r="AB445" s="278"/>
      <c r="AC445" s="278">
        <f>(AC455-Y455)/4/$C$696/Spend!AC445*'State Efficiency Ratios (2014)'!$C$655</f>
        <v>281.24675906255982</v>
      </c>
      <c r="AD445" s="208"/>
      <c r="AE445" s="213"/>
      <c r="AG445" s="410"/>
      <c r="AS445" s="719">
        <f>(O455-H455)/7/$C$673/Spend!O445*'State Efficiency Ratios (2014)'!$C$655</f>
        <v>29.797669864916994</v>
      </c>
      <c r="AU445" s="720">
        <f t="shared" si="87"/>
        <v>70.521152013636851</v>
      </c>
    </row>
    <row r="446" spans="1:48" ht="13.5" thickBot="1">
      <c r="A446" s="885"/>
      <c r="B446" s="885"/>
      <c r="C446" s="194" t="s">
        <v>612</v>
      </c>
      <c r="D446" s="206"/>
      <c r="E446" s="207"/>
      <c r="F446" s="209"/>
      <c r="G446" s="206"/>
      <c r="H446" s="206"/>
      <c r="I446" s="207"/>
      <c r="J446" s="209"/>
      <c r="K446" s="206"/>
      <c r="L446" s="206"/>
      <c r="M446" s="207"/>
      <c r="N446" s="277"/>
      <c r="O446" s="278">
        <f>(O456-H456)/7/$C$696/Spend!O446*'State Efficiency Ratios (2014)'!$C$655</f>
        <v>22.687799876064375</v>
      </c>
      <c r="P446" s="278"/>
      <c r="Q446" s="279"/>
      <c r="R446" s="277"/>
      <c r="S446" s="278"/>
      <c r="T446" s="278"/>
      <c r="U446" s="278">
        <f>(U456-O456)/6/$C$696/Spend!U446*'State Efficiency Ratios (2014)'!$C$655</f>
        <v>48.963587024680841</v>
      </c>
      <c r="V446" s="277"/>
      <c r="W446" s="278"/>
      <c r="X446" s="278"/>
      <c r="Y446" s="278">
        <f>(Y456-U456)/4/$C$696/Spend!Y446*'State Efficiency Ratios (2014)'!$C$655</f>
        <v>181.21068747545564</v>
      </c>
      <c r="Z446" s="277"/>
      <c r="AA446" s="278"/>
      <c r="AB446" s="278"/>
      <c r="AC446" s="278">
        <f>(AC456-Y456)/4/$C$696/Spend!AC446*'State Efficiency Ratios (2014)'!$C$655</f>
        <v>80.656051079279663</v>
      </c>
      <c r="AD446" s="208"/>
      <c r="AE446" s="213"/>
      <c r="AG446" s="410" t="s">
        <v>1086</v>
      </c>
      <c r="AS446" s="719">
        <f>(O456-H456)/7/$C$673/Spend!O446*'State Efficiency Ratios (2014)'!$C$655</f>
        <v>22.687799876064375</v>
      </c>
      <c r="AU446" s="720">
        <f t="shared" si="87"/>
        <v>49.913159727341622</v>
      </c>
    </row>
    <row r="447" spans="1:48" ht="13.5" thickBot="1">
      <c r="A447" s="885"/>
      <c r="B447" s="885"/>
      <c r="C447" s="194" t="s">
        <v>613</v>
      </c>
      <c r="D447" s="206"/>
      <c r="E447" s="207"/>
      <c r="F447" s="209"/>
      <c r="G447" s="206"/>
      <c r="H447" s="206"/>
      <c r="I447" s="207"/>
      <c r="J447" s="209"/>
      <c r="K447" s="206"/>
      <c r="L447" s="206"/>
      <c r="M447" s="207"/>
      <c r="N447" s="277"/>
      <c r="O447" s="278">
        <f>(O457-H457)/7/$C$696/Spend!O447*'State Efficiency Ratios (2014)'!$C$655</f>
        <v>0</v>
      </c>
      <c r="P447" s="278"/>
      <c r="Q447" s="279"/>
      <c r="R447" s="277"/>
      <c r="S447" s="278"/>
      <c r="T447" s="278"/>
      <c r="U447" s="278">
        <f>(U457-O457)/6/$C$696/Spend!U447*'State Efficiency Ratios (2014)'!$C$655</f>
        <v>106.25062722043117</v>
      </c>
      <c r="V447" s="277"/>
      <c r="W447" s="278"/>
      <c r="X447" s="278"/>
      <c r="Y447" s="278">
        <f>(Y457-U457)/4/$C$696/Spend!Y447*'State Efficiency Ratios (2014)'!$C$655</f>
        <v>-120.83111299431212</v>
      </c>
      <c r="Z447" s="277"/>
      <c r="AA447" s="278"/>
      <c r="AB447" s="278"/>
      <c r="AC447" s="278">
        <f>(AC457-Y457)/4/$C$696/Spend!AC447*'State Efficiency Ratios (2014)'!$C$655</f>
        <v>40.275594198976584</v>
      </c>
      <c r="AD447" s="208"/>
      <c r="AE447" s="213"/>
      <c r="AG447" s="410" t="s">
        <v>1090</v>
      </c>
      <c r="AS447" s="719">
        <f>(O457-H457)/7/$C$673/Spend!O447*'State Efficiency Ratios (2014)'!$C$655</f>
        <v>0</v>
      </c>
      <c r="AT447" s="714" t="s">
        <v>1070</v>
      </c>
      <c r="AU447" s="720">
        <f t="shared" si="87"/>
        <v>69.996000134201068</v>
      </c>
      <c r="AV447" s="714" t="s">
        <v>1070</v>
      </c>
    </row>
    <row r="448" spans="1:48" ht="13.5" thickBot="1">
      <c r="A448" s="885"/>
      <c r="B448" s="885"/>
      <c r="C448" s="194" t="s">
        <v>614</v>
      </c>
      <c r="D448" s="206"/>
      <c r="E448" s="207"/>
      <c r="F448" s="209"/>
      <c r="G448" s="206"/>
      <c r="H448" s="206"/>
      <c r="I448" s="207"/>
      <c r="J448" s="209"/>
      <c r="K448" s="206"/>
      <c r="L448" s="206"/>
      <c r="M448" s="207"/>
      <c r="N448" s="277"/>
      <c r="O448" s="278">
        <f>(O458-H458)/7/$C$696/Spend!O448*'State Efficiency Ratios (2014)'!$C$655</f>
        <v>69.081392940770584</v>
      </c>
      <c r="P448" s="278"/>
      <c r="Q448" s="279"/>
      <c r="R448" s="277"/>
      <c r="S448" s="278"/>
      <c r="T448" s="278"/>
      <c r="U448" s="278">
        <f>(U458-O458)/6/$C$696/Spend!U448*'State Efficiency Ratios (2014)'!$C$655</f>
        <v>0</v>
      </c>
      <c r="V448" s="277"/>
      <c r="W448" s="278"/>
      <c r="X448" s="278"/>
      <c r="Y448" s="278">
        <f>(Y458-U458)/4/$C$696/Spend!Y448*'State Efficiency Ratios (2014)'!$C$655</f>
        <v>332.58092796418913</v>
      </c>
      <c r="Z448" s="277"/>
      <c r="AA448" s="278"/>
      <c r="AB448" s="278"/>
      <c r="AC448" s="278">
        <f>(AC458-Y458)/4/$C$696/Spend!AC448*'State Efficiency Ratios (2014)'!$C$655</f>
        <v>0</v>
      </c>
      <c r="AD448" s="208"/>
      <c r="AE448" s="213"/>
      <c r="AG448" s="410" t="s">
        <v>1088</v>
      </c>
      <c r="AS448" s="719">
        <f>(O458-H458)/7/$C$673/Spend!O448*'State Efficiency Ratios (2014)'!$C$655</f>
        <v>69.081392940770584</v>
      </c>
      <c r="AT448" s="721">
        <f>SUM(AS444:AS448)/5</f>
        <v>28.773524420506771</v>
      </c>
      <c r="AU448" s="720">
        <f t="shared" si="87"/>
        <v>69.081392940770584</v>
      </c>
      <c r="AV448" s="721">
        <f>SUM(AU444:AU448)/5</f>
        <v>59.930614354671505</v>
      </c>
    </row>
    <row r="449" spans="1:48" ht="12.95" customHeight="1" thickBot="1">
      <c r="A449" s="885"/>
      <c r="B449" s="885"/>
      <c r="C449" s="194" t="s">
        <v>615</v>
      </c>
      <c r="D449" s="210"/>
      <c r="E449" s="211"/>
      <c r="F449" s="209"/>
      <c r="G449" s="210"/>
      <c r="H449" s="210"/>
      <c r="I449" s="211"/>
      <c r="J449" s="209"/>
      <c r="K449" s="210"/>
      <c r="L449" s="210"/>
      <c r="M449" s="211"/>
      <c r="N449" s="281"/>
      <c r="O449" s="282"/>
      <c r="P449" s="282"/>
      <c r="Q449" s="282"/>
      <c r="R449" s="277"/>
      <c r="S449" s="278"/>
      <c r="T449" s="278"/>
      <c r="U449" s="278">
        <f>(U459-R459)/3/$C$696/Spend!U449*'State Efficiency Ratios (2014)'!$C$655</f>
        <v>0</v>
      </c>
      <c r="V449" s="277"/>
      <c r="W449" s="278"/>
      <c r="X449" s="278"/>
      <c r="Y449" s="278">
        <f>(Y459-U459)/4/$C$696/Spend!Y449*'State Efficiency Ratios (2014)'!$C$655</f>
        <v>1178.824881276448</v>
      </c>
      <c r="Z449" s="277"/>
      <c r="AA449" s="278"/>
      <c r="AB449" s="278"/>
      <c r="AC449" s="278">
        <f>(AC459-Y459)/4/$C$696/Spend!AC449*'State Efficiency Ratios (2014)'!$C$655</f>
        <v>148.60463771729124</v>
      </c>
      <c r="AD449" s="208"/>
      <c r="AE449" s="213"/>
      <c r="AG449" s="410"/>
      <c r="AI449" s="4" t="s">
        <v>1053</v>
      </c>
      <c r="AM449" s="576"/>
      <c r="AN449" s="4" t="s">
        <v>1056</v>
      </c>
      <c r="AR449" s="264" t="s">
        <v>1050</v>
      </c>
      <c r="AS449" s="719">
        <f>(Y459-R459)/7/$C$673/(Spend!U449+Spend!Y449)*'State Efficiency Ratios (2014)'!$C$655</f>
        <v>267.52943466549181</v>
      </c>
      <c r="AU449" s="720">
        <f t="shared" si="87"/>
        <v>331.70142531940343</v>
      </c>
    </row>
    <row r="450" spans="1:48" ht="12.95" customHeight="1" thickBot="1">
      <c r="A450" s="885"/>
      <c r="B450" s="885"/>
      <c r="C450" s="194" t="s">
        <v>616</v>
      </c>
      <c r="D450" s="210"/>
      <c r="E450" s="211"/>
      <c r="F450" s="209"/>
      <c r="G450" s="210"/>
      <c r="H450" s="210"/>
      <c r="I450" s="211"/>
      <c r="J450" s="209"/>
      <c r="K450" s="210"/>
      <c r="L450" s="210"/>
      <c r="M450" s="211"/>
      <c r="N450" s="281"/>
      <c r="O450" s="282"/>
      <c r="P450" s="282"/>
      <c r="Q450" s="282"/>
      <c r="R450" s="277"/>
      <c r="S450" s="278"/>
      <c r="T450" s="278"/>
      <c r="U450" s="278">
        <f>(U460-R460)/3/$C$696/Spend!U450*'State Efficiency Ratios (2014)'!$C$655</f>
        <v>0</v>
      </c>
      <c r="V450" s="277"/>
      <c r="W450" s="278"/>
      <c r="X450" s="278"/>
      <c r="Y450" s="278">
        <f>(Y460-U460)/4/$C$696/Spend!Y450*'State Efficiency Ratios (2014)'!$C$655</f>
        <v>175.6325463722311</v>
      </c>
      <c r="Z450" s="277"/>
      <c r="AA450" s="278"/>
      <c r="AB450" s="278"/>
      <c r="AC450" s="278">
        <f>(AC460-Y460)/4/$C$696/Spend!AC450*'State Efficiency Ratios (2014)'!$C$655</f>
        <v>338.51822946325234</v>
      </c>
      <c r="AD450" s="208"/>
      <c r="AE450" s="213"/>
      <c r="AG450" s="410" t="s">
        <v>1084</v>
      </c>
      <c r="AH450" s="355" t="s">
        <v>1052</v>
      </c>
      <c r="AI450" s="599">
        <f>4/5*SUM(AI454:AI458)/5</f>
        <v>1.536</v>
      </c>
      <c r="AJ450" s="592">
        <f>4/6*SUM(AJ454:AJ458)/5</f>
        <v>0.49333333333333329</v>
      </c>
      <c r="AK450" s="592">
        <f>SUM(AK454:AK461)/8</f>
        <v>0.68749999999999989</v>
      </c>
      <c r="AL450" s="594">
        <f>SUM(AL454:AL461)/8</f>
        <v>0.55000000000000004</v>
      </c>
      <c r="AM450" s="355" t="s">
        <v>1052</v>
      </c>
      <c r="AN450" s="599">
        <f>4/5*SUM(AN454:AN458)/5</f>
        <v>1.3312000000000002</v>
      </c>
      <c r="AO450" s="592">
        <f>4/6*SUM(AO454:AO458)/5</f>
        <v>0.35644444444444445</v>
      </c>
      <c r="AP450" s="592">
        <f>SUM(AP454:AP461)/8</f>
        <v>0.78999999999999992</v>
      </c>
      <c r="AQ450" s="594">
        <f>SUM(AQ454:AQ461)/8</f>
        <v>1.2041666666666666</v>
      </c>
      <c r="AR450" s="695">
        <f>AVERAGE(AN450:AQ450)</f>
        <v>0.92045277777777779</v>
      </c>
      <c r="AS450" s="719">
        <f>(Y460-R460)/7/$C$673/(Spend!U450+Spend!Y450)*'State Efficiency Ratios (2014)'!$C$655</f>
        <v>40.345987106746783</v>
      </c>
      <c r="AT450" s="714" t="s">
        <v>1071</v>
      </c>
      <c r="AU450" s="720">
        <f t="shared" si="87"/>
        <v>108.82091284384137</v>
      </c>
      <c r="AV450" s="714" t="s">
        <v>1071</v>
      </c>
    </row>
    <row r="451" spans="1:48" ht="12.95" customHeight="1" thickBot="1">
      <c r="A451" s="885"/>
      <c r="B451" s="885"/>
      <c r="C451" s="194" t="s">
        <v>617</v>
      </c>
      <c r="D451" s="210"/>
      <c r="E451" s="211"/>
      <c r="F451" s="209"/>
      <c r="G451" s="210"/>
      <c r="H451" s="210"/>
      <c r="I451" s="211"/>
      <c r="J451" s="209"/>
      <c r="K451" s="210"/>
      <c r="L451" s="210"/>
      <c r="M451" s="211"/>
      <c r="N451" s="281"/>
      <c r="O451" s="282"/>
      <c r="P451" s="282"/>
      <c r="Q451" s="282"/>
      <c r="R451" s="277"/>
      <c r="S451" s="278"/>
      <c r="T451" s="278"/>
      <c r="U451" s="278">
        <f>(U461-R461)/3/$C$696/Spend!U451*'State Efficiency Ratios (2014)'!$C$655</f>
        <v>0</v>
      </c>
      <c r="V451" s="277"/>
      <c r="W451" s="278"/>
      <c r="X451" s="278"/>
      <c r="Y451" s="278">
        <f>(Y461-U461)/4/$C$696/Spend!Y451*'State Efficiency Ratios (2014)'!$C$655</f>
        <v>783.41155167249599</v>
      </c>
      <c r="Z451" s="277"/>
      <c r="AA451" s="278"/>
      <c r="AB451" s="278"/>
      <c r="AC451" s="278">
        <f>(AC461-Y461)/4/$C$696/Spend!AC451*'State Efficiency Ratios (2014)'!$C$655</f>
        <v>299.14807184348257</v>
      </c>
      <c r="AD451" s="208"/>
      <c r="AE451" s="213"/>
      <c r="AG451" s="410" t="s">
        <v>1089</v>
      </c>
      <c r="AH451" s="355" t="s">
        <v>1051</v>
      </c>
      <c r="AI451" s="606">
        <f>SUM(O444:O448)/5</f>
        <v>28.773524420506771</v>
      </c>
      <c r="AJ451" s="607">
        <f>SUM(U444:U448)/5</f>
        <v>71.836664501873244</v>
      </c>
      <c r="AK451" s="607">
        <f>SUM(Y444:Y451)/8</f>
        <v>335.12971122535379</v>
      </c>
      <c r="AL451" s="608">
        <f>SUM(AC444:AC451)/8</f>
        <v>129.8046614893565</v>
      </c>
      <c r="AM451" s="355" t="s">
        <v>1051</v>
      </c>
      <c r="AN451" s="606">
        <f>'Composites (2014)'!AI64</f>
        <v>29.950486025809887</v>
      </c>
      <c r="AO451" s="607">
        <f>'Composites (2014)'!AJ64</f>
        <v>52.230505588693305</v>
      </c>
      <c r="AP451" s="607">
        <f>'Composites (2014)'!AK64</f>
        <v>299.37365179335461</v>
      </c>
      <c r="AQ451" s="608">
        <f>'Composites (2014)'!AL64</f>
        <v>237.67035279639509</v>
      </c>
      <c r="AR451" s="696">
        <f>AVERAGE(AN451:AQ451)</f>
        <v>154.80624905106322</v>
      </c>
      <c r="AS451" s="722">
        <f>(Y461-R461)/7/$C$673/(Spend!U451+Spend!Y451)*'State Efficiency Ratios (2014)'!$C$655</f>
        <v>172.16677545437693</v>
      </c>
      <c r="AT451" s="721">
        <f>SUM(AS449:AS451)/3</f>
        <v>160.01406574220519</v>
      </c>
      <c r="AU451" s="723">
        <f t="shared" si="87"/>
        <v>152.43731178887657</v>
      </c>
      <c r="AV451" s="721">
        <f>SUM(AU449:AU451)/3</f>
        <v>197.65321665070712</v>
      </c>
    </row>
    <row r="452" spans="1:48" ht="12.95" customHeight="1" thickBot="1">
      <c r="A452" s="885"/>
      <c r="B452" s="885"/>
      <c r="C452" s="194" t="s">
        <v>618</v>
      </c>
      <c r="D452" s="210"/>
      <c r="E452" s="211"/>
      <c r="F452" s="209"/>
      <c r="G452" s="210"/>
      <c r="H452" s="210"/>
      <c r="I452" s="211"/>
      <c r="J452" s="209"/>
      <c r="K452" s="210"/>
      <c r="L452" s="210"/>
      <c r="M452" s="211"/>
      <c r="N452" s="281"/>
      <c r="O452" s="282"/>
      <c r="P452" s="282"/>
      <c r="Q452" s="283"/>
      <c r="R452" s="281"/>
      <c r="S452" s="282"/>
      <c r="T452" s="282"/>
      <c r="U452" s="283"/>
      <c r="V452" s="281"/>
      <c r="W452" s="282"/>
      <c r="X452" s="282"/>
      <c r="Y452" s="283"/>
      <c r="Z452" s="277"/>
      <c r="AA452" s="278"/>
      <c r="AB452" s="278"/>
      <c r="AC452" s="278">
        <f>(AC462-Y462)/4/$C$696/Spend!AC452*'State Efficiency Ratios (2014)'!$C$655</f>
        <v>0</v>
      </c>
      <c r="AD452" s="208"/>
      <c r="AE452" s="213"/>
      <c r="AG452" s="410"/>
      <c r="AM452" s="576"/>
    </row>
    <row r="453" spans="1:48" ht="12.95" customHeight="1" thickBot="1">
      <c r="A453" s="885"/>
      <c r="B453" s="885"/>
      <c r="C453" s="194" t="s">
        <v>619</v>
      </c>
      <c r="D453" s="210"/>
      <c r="E453" s="211"/>
      <c r="F453" s="209"/>
      <c r="G453" s="210"/>
      <c r="H453" s="210"/>
      <c r="I453" s="211"/>
      <c r="J453" s="209"/>
      <c r="K453" s="210"/>
      <c r="L453" s="210"/>
      <c r="M453" s="211"/>
      <c r="N453" s="281"/>
      <c r="O453" s="282"/>
      <c r="P453" s="282"/>
      <c r="Q453" s="283"/>
      <c r="R453" s="281"/>
      <c r="S453" s="282"/>
      <c r="T453" s="282"/>
      <c r="U453" s="283"/>
      <c r="V453" s="281"/>
      <c r="W453" s="282"/>
      <c r="X453" s="282"/>
      <c r="Y453" s="283"/>
      <c r="Z453" s="277"/>
      <c r="AA453" s="278"/>
      <c r="AB453" s="278"/>
      <c r="AC453" s="278">
        <f>(AC463-Y463)/4/$C$696/Spend!AC453*'State Efficiency Ratios (2014)'!$C$655</f>
        <v>0</v>
      </c>
      <c r="AD453" s="208"/>
      <c r="AE453" s="213"/>
      <c r="AG453" s="410"/>
      <c r="AI453" s="416" t="s">
        <v>1042</v>
      </c>
      <c r="AM453" s="576"/>
      <c r="AN453" s="416" t="s">
        <v>1060</v>
      </c>
      <c r="AS453" s="716" t="s">
        <v>1042</v>
      </c>
      <c r="AU453" s="716" t="s">
        <v>1060</v>
      </c>
    </row>
    <row r="454" spans="1:48" ht="13.5" thickBot="1">
      <c r="A454" s="885"/>
      <c r="B454" s="885"/>
      <c r="C454" s="9" t="s">
        <v>295</v>
      </c>
      <c r="D454" s="241" t="s">
        <v>632</v>
      </c>
      <c r="E454" s="241" t="s">
        <v>632</v>
      </c>
      <c r="F454" s="243" t="s">
        <v>646</v>
      </c>
      <c r="G454" s="241" t="s">
        <v>646</v>
      </c>
      <c r="H454" s="196">
        <f>'State DisAgg LFx10 (2014)'!D444</f>
        <v>1</v>
      </c>
      <c r="I454" s="244" t="s">
        <v>646</v>
      </c>
      <c r="J454" s="195"/>
      <c r="K454" s="196"/>
      <c r="L454" s="196"/>
      <c r="M454" s="197"/>
      <c r="N454" s="195"/>
      <c r="O454" s="196">
        <f>'State DisAgg LFx10 (2014)'!H454</f>
        <v>1.5</v>
      </c>
      <c r="P454" s="196"/>
      <c r="Q454" s="197"/>
      <c r="R454" s="195"/>
      <c r="S454" s="196"/>
      <c r="T454" s="196"/>
      <c r="U454" s="197">
        <f>'State DisAgg LFx10 (2014)'!L454</f>
        <v>2.7</v>
      </c>
      <c r="V454" s="195"/>
      <c r="W454" s="196"/>
      <c r="X454" s="196"/>
      <c r="Y454" s="197">
        <f>'State DisAgg LFx10 (2014)'!P454</f>
        <v>2.8</v>
      </c>
      <c r="Z454" s="195"/>
      <c r="AA454" s="196"/>
      <c r="AB454" s="196"/>
      <c r="AC454" s="197">
        <f>'State DisAgg LFx10 (2014)'!T454</f>
        <v>2.2999999999999998</v>
      </c>
      <c r="AD454" s="195"/>
      <c r="AE454" s="197"/>
      <c r="AI454" s="361">
        <f>O454-J454</f>
        <v>1.5</v>
      </c>
      <c r="AJ454" s="362">
        <f>U454-O454</f>
        <v>1.2000000000000002</v>
      </c>
      <c r="AK454" s="362">
        <f t="shared" ref="AK454:AK465" si="88">Y454-U454</f>
        <v>9.9999999999999645E-2</v>
      </c>
      <c r="AL454" s="363">
        <f t="shared" ref="AL454:AL463" si="89">AC454-Y454</f>
        <v>-0.5</v>
      </c>
      <c r="AM454" s="351" t="s">
        <v>756</v>
      </c>
      <c r="AN454" s="361">
        <f>((AI454/$C$696)+(AI477/$C$697)+(AI500/$C$698)+(AI523/$C$699)+(AI547/($C$700+$C$701)))*5/5</f>
        <v>1.5333333333333334</v>
      </c>
      <c r="AO454" s="362">
        <f t="shared" ref="AO454:AQ454" si="90">((AJ454/$C$696)+(AJ477/$C$697)+(AJ500/$C$698)+(AJ523/$C$699)+(AJ547/($C$700+$C$701)))*5/5</f>
        <v>0.64666666666666672</v>
      </c>
      <c r="AP454" s="362">
        <f t="shared" si="90"/>
        <v>0.85333333333333328</v>
      </c>
      <c r="AQ454" s="363">
        <f t="shared" si="90"/>
        <v>0.52666666666666673</v>
      </c>
      <c r="AS454" s="724">
        <f>(O454-J454)</f>
        <v>1.5</v>
      </c>
      <c r="AU454" s="725">
        <f t="shared" ref="AU454:AU461" si="91">(AS454/$C$696)+(AS477/$C$697)+(AS500/$C$698)+(AS523/$C$699)+(AS547/($C$700+$C$701))</f>
        <v>1.5333333333333334</v>
      </c>
    </row>
    <row r="455" spans="1:48" ht="13.5" thickBot="1">
      <c r="A455" s="885"/>
      <c r="B455" s="885"/>
      <c r="C455" s="9" t="s">
        <v>296</v>
      </c>
      <c r="D455" s="241" t="s">
        <v>632</v>
      </c>
      <c r="E455" s="241" t="s">
        <v>632</v>
      </c>
      <c r="F455" s="243" t="s">
        <v>646</v>
      </c>
      <c r="G455" s="241" t="s">
        <v>646</v>
      </c>
      <c r="H455" s="196">
        <f>'State DisAgg LFx10 (2014)'!D445</f>
        <v>1</v>
      </c>
      <c r="I455" s="244" t="s">
        <v>646</v>
      </c>
      <c r="J455" s="195"/>
      <c r="K455" s="196"/>
      <c r="L455" s="196"/>
      <c r="M455" s="197"/>
      <c r="N455" s="195"/>
      <c r="O455" s="196">
        <f>'State DisAgg LFx10 (2014)'!H455</f>
        <v>1.6</v>
      </c>
      <c r="P455" s="196"/>
      <c r="Q455" s="197"/>
      <c r="R455" s="195"/>
      <c r="S455" s="196"/>
      <c r="T455" s="196"/>
      <c r="U455" s="197">
        <f>'State DisAgg LFx10 (2014)'!L455</f>
        <v>2.2999999999999998</v>
      </c>
      <c r="V455" s="195"/>
      <c r="W455" s="196"/>
      <c r="X455" s="196"/>
      <c r="Y455" s="197">
        <f>'State DisAgg LFx10 (2014)'!P455</f>
        <v>2.8</v>
      </c>
      <c r="Z455" s="195"/>
      <c r="AA455" s="196"/>
      <c r="AB455" s="196"/>
      <c r="AC455" s="197">
        <f>'State DisAgg LFx10 (2014)'!T455</f>
        <v>3.8</v>
      </c>
      <c r="AD455" s="195"/>
      <c r="AE455" s="197"/>
      <c r="AI455" s="364">
        <f>O455-J455</f>
        <v>1.6</v>
      </c>
      <c r="AJ455" s="360">
        <f>U455-O455</f>
        <v>0.69999999999999973</v>
      </c>
      <c r="AK455" s="360">
        <f t="shared" si="88"/>
        <v>0.5</v>
      </c>
      <c r="AL455" s="365">
        <f t="shared" si="89"/>
        <v>1</v>
      </c>
      <c r="AM455" s="351" t="s">
        <v>757</v>
      </c>
      <c r="AN455" s="364">
        <f t="shared" ref="AN455:AN463" si="92">((AI455/$C$696)+(AI478/$C$697)+(AI501/$C$698)+(AI524/$C$699)+(AI548/($C$700+$C$701)))*5/5</f>
        <v>1.7199999999999995</v>
      </c>
      <c r="AO455" s="360">
        <f t="shared" ref="AO455:AO463" si="93">((AJ455/$C$696)+(AJ478/$C$697)+(AJ501/$C$698)+(AJ524/$C$699)+(AJ548/($C$700+$C$701)))*5/5</f>
        <v>0.32666666666666666</v>
      </c>
      <c r="AP455" s="360">
        <f t="shared" ref="AP455:AP463" si="94">((AK455/$C$696)+(AK478/$C$697)+(AK501/$C$698)+(AK524/$C$699)+(AK548/($C$700+$C$701)))*5/5</f>
        <v>1.2466666666666668</v>
      </c>
      <c r="AQ455" s="365">
        <f t="shared" ref="AQ455:AQ463" si="95">((AL455/$C$696)+(AL478/$C$697)+(AL501/$C$698)+(AL524/$C$699)+(AL548/($C$700+$C$701)))*5/5</f>
        <v>1.1800000000000002</v>
      </c>
      <c r="AS455" s="726">
        <f>(O455-J455)</f>
        <v>1.6</v>
      </c>
      <c r="AU455" s="727">
        <f t="shared" si="91"/>
        <v>1.7199999999999998</v>
      </c>
    </row>
    <row r="456" spans="1:48" ht="13.5" thickBot="1">
      <c r="A456" s="885"/>
      <c r="B456" s="885"/>
      <c r="C456" s="9" t="s">
        <v>297</v>
      </c>
      <c r="D456" s="241" t="s">
        <v>632</v>
      </c>
      <c r="E456" s="241" t="s">
        <v>632</v>
      </c>
      <c r="F456" s="243" t="s">
        <v>646</v>
      </c>
      <c r="G456" s="241" t="s">
        <v>646</v>
      </c>
      <c r="H456" s="196">
        <f>'State DisAgg LFx10 (2014)'!D446</f>
        <v>1</v>
      </c>
      <c r="I456" s="244" t="s">
        <v>646</v>
      </c>
      <c r="J456" s="195"/>
      <c r="K456" s="196"/>
      <c r="L456" s="196"/>
      <c r="M456" s="197"/>
      <c r="N456" s="195"/>
      <c r="O456" s="196">
        <f>'State DisAgg LFx10 (2014)'!H456</f>
        <v>1.5</v>
      </c>
      <c r="P456" s="196"/>
      <c r="Q456" s="197"/>
      <c r="R456" s="195"/>
      <c r="S456" s="196"/>
      <c r="T456" s="196"/>
      <c r="U456" s="197">
        <f>'State DisAgg LFx10 (2014)'!L456</f>
        <v>2</v>
      </c>
      <c r="V456" s="195"/>
      <c r="W456" s="196"/>
      <c r="X456" s="196"/>
      <c r="Y456" s="197">
        <f>'State DisAgg LFx10 (2014)'!P456</f>
        <v>2.8</v>
      </c>
      <c r="Z456" s="195"/>
      <c r="AA456" s="196"/>
      <c r="AB456" s="196"/>
      <c r="AC456" s="197">
        <f>'State DisAgg LFx10 (2014)'!T456</f>
        <v>3.3</v>
      </c>
      <c r="AD456" s="195"/>
      <c r="AE456" s="197"/>
      <c r="AI456" s="364">
        <f>O456-J456</f>
        <v>1.5</v>
      </c>
      <c r="AJ456" s="360">
        <f>U456-O456</f>
        <v>0.5</v>
      </c>
      <c r="AK456" s="360">
        <f t="shared" si="88"/>
        <v>0.79999999999999982</v>
      </c>
      <c r="AL456" s="365">
        <f t="shared" si="89"/>
        <v>0.5</v>
      </c>
      <c r="AM456" s="351" t="s">
        <v>758</v>
      </c>
      <c r="AN456" s="364">
        <f t="shared" si="92"/>
        <v>1.0666666666666667</v>
      </c>
      <c r="AO456" s="360">
        <f t="shared" si="93"/>
        <v>0.86</v>
      </c>
      <c r="AP456" s="360">
        <f t="shared" si="94"/>
        <v>0.83333333333333326</v>
      </c>
      <c r="AQ456" s="365">
        <f t="shared" si="95"/>
        <v>1.18</v>
      </c>
      <c r="AS456" s="726">
        <f>(O456-J456)</f>
        <v>1.5</v>
      </c>
      <c r="AU456" s="727">
        <f t="shared" si="91"/>
        <v>1.0666666666666667</v>
      </c>
    </row>
    <row r="457" spans="1:48" ht="13.5" thickBot="1">
      <c r="A457" s="885"/>
      <c r="B457" s="885"/>
      <c r="C457" s="9" t="s">
        <v>298</v>
      </c>
      <c r="D457" s="241" t="s">
        <v>632</v>
      </c>
      <c r="E457" s="241" t="s">
        <v>632</v>
      </c>
      <c r="F457" s="243" t="s">
        <v>646</v>
      </c>
      <c r="G457" s="241" t="s">
        <v>646</v>
      </c>
      <c r="H457" s="196">
        <f>'State DisAgg LFx10 (2014)'!D447</f>
        <v>2</v>
      </c>
      <c r="I457" s="244" t="s">
        <v>646</v>
      </c>
      <c r="J457" s="195"/>
      <c r="K457" s="196"/>
      <c r="L457" s="196"/>
      <c r="M457" s="197"/>
      <c r="N457" s="195"/>
      <c r="O457" s="196">
        <f>'State DisAgg LFx10 (2014)'!H457</f>
        <v>2</v>
      </c>
      <c r="P457" s="196"/>
      <c r="Q457" s="197"/>
      <c r="R457" s="195"/>
      <c r="S457" s="196"/>
      <c r="T457" s="196"/>
      <c r="U457" s="197">
        <f>'State DisAgg LFx10 (2014)'!L457</f>
        <v>3.3</v>
      </c>
      <c r="V457" s="195"/>
      <c r="W457" s="196"/>
      <c r="X457" s="196"/>
      <c r="Y457" s="197">
        <f>'State DisAgg LFx10 (2014)'!P457</f>
        <v>2.8</v>
      </c>
      <c r="Z457" s="195"/>
      <c r="AA457" s="196"/>
      <c r="AB457" s="196"/>
      <c r="AC457" s="197">
        <f>'State DisAgg LFx10 (2014)'!T457</f>
        <v>3</v>
      </c>
      <c r="AD457" s="195"/>
      <c r="AE457" s="197"/>
      <c r="AI457" s="364">
        <f>O457-J457</f>
        <v>2</v>
      </c>
      <c r="AJ457" s="360">
        <f>U457-O457</f>
        <v>1.2999999999999998</v>
      </c>
      <c r="AK457" s="360">
        <f t="shared" si="88"/>
        <v>-0.5</v>
      </c>
      <c r="AL457" s="365">
        <f t="shared" si="89"/>
        <v>0.20000000000000018</v>
      </c>
      <c r="AM457" s="351" t="s">
        <v>759</v>
      </c>
      <c r="AN457" s="364">
        <f t="shared" si="92"/>
        <v>1.6333333333333333</v>
      </c>
      <c r="AO457" s="360">
        <f t="shared" si="93"/>
        <v>0.55333333333333334</v>
      </c>
      <c r="AP457" s="360">
        <f t="shared" si="94"/>
        <v>0.63333333333333319</v>
      </c>
      <c r="AQ457" s="365">
        <f t="shared" si="95"/>
        <v>1.3866666666666667</v>
      </c>
      <c r="AS457" s="726">
        <f>(O457-J457)</f>
        <v>2</v>
      </c>
      <c r="AT457" s="714" t="s">
        <v>1070</v>
      </c>
      <c r="AU457" s="727">
        <f t="shared" si="91"/>
        <v>1.6333333333333333</v>
      </c>
      <c r="AV457" s="714" t="s">
        <v>1070</v>
      </c>
    </row>
    <row r="458" spans="1:48" ht="13.5" thickBot="1">
      <c r="A458" s="885"/>
      <c r="B458" s="885"/>
      <c r="C458" s="9" t="s">
        <v>299</v>
      </c>
      <c r="D458" s="241" t="s">
        <v>632</v>
      </c>
      <c r="E458" s="241" t="s">
        <v>632</v>
      </c>
      <c r="F458" s="243" t="s">
        <v>646</v>
      </c>
      <c r="G458" s="241" t="s">
        <v>646</v>
      </c>
      <c r="H458" s="196">
        <f>'State DisAgg LFx10 (2014)'!D448</f>
        <v>1</v>
      </c>
      <c r="I458" s="244" t="s">
        <v>646</v>
      </c>
      <c r="J458" s="195"/>
      <c r="K458" s="196"/>
      <c r="L458" s="196"/>
      <c r="M458" s="197"/>
      <c r="N458" s="195"/>
      <c r="O458" s="196">
        <f>'State DisAgg LFx10 (2014)'!H458</f>
        <v>3</v>
      </c>
      <c r="P458" s="196"/>
      <c r="Q458" s="197"/>
      <c r="R458" s="195"/>
      <c r="S458" s="196"/>
      <c r="T458" s="196"/>
      <c r="U458" s="197">
        <f>'State DisAgg LFx10 (2014)'!L458</f>
        <v>3</v>
      </c>
      <c r="V458" s="195"/>
      <c r="W458" s="196"/>
      <c r="X458" s="196"/>
      <c r="Y458" s="197">
        <f>'State DisAgg LFx10 (2014)'!P458</f>
        <v>4</v>
      </c>
      <c r="Z458" s="195"/>
      <c r="AA458" s="196"/>
      <c r="AB458" s="196"/>
      <c r="AC458" s="197">
        <f>'State DisAgg LFx10 (2014)'!T458</f>
        <v>4</v>
      </c>
      <c r="AD458" s="195"/>
      <c r="AE458" s="197"/>
      <c r="AI458" s="364">
        <f>O458-J458</f>
        <v>3</v>
      </c>
      <c r="AJ458" s="360">
        <f>U458-O458</f>
        <v>0</v>
      </c>
      <c r="AK458" s="360">
        <f t="shared" si="88"/>
        <v>1</v>
      </c>
      <c r="AL458" s="365">
        <f t="shared" si="89"/>
        <v>0</v>
      </c>
      <c r="AM458" s="351" t="s">
        <v>760</v>
      </c>
      <c r="AN458" s="364">
        <f t="shared" si="92"/>
        <v>2.3666666666666663</v>
      </c>
      <c r="AO458" s="360">
        <f t="shared" si="93"/>
        <v>0.28666666666666668</v>
      </c>
      <c r="AP458" s="360">
        <f t="shared" si="94"/>
        <v>0.58666666666666656</v>
      </c>
      <c r="AQ458" s="365">
        <f t="shared" si="95"/>
        <v>0.21333333333333332</v>
      </c>
      <c r="AS458" s="726">
        <f>(O458-J458)</f>
        <v>3</v>
      </c>
      <c r="AT458" s="714">
        <f>SUM(AS454:AS458)/5</f>
        <v>1.92</v>
      </c>
      <c r="AU458" s="727">
        <f t="shared" si="91"/>
        <v>2.3666666666666663</v>
      </c>
      <c r="AV458" s="728">
        <f>SUM(AU454:AU458)/5</f>
        <v>1.6640000000000001</v>
      </c>
    </row>
    <row r="459" spans="1:48" ht="13.5" thickBot="1">
      <c r="A459" s="885"/>
      <c r="B459" s="885"/>
      <c r="C459" s="9" t="s">
        <v>300</v>
      </c>
      <c r="D459" s="199"/>
      <c r="E459" s="200"/>
      <c r="F459" s="201"/>
      <c r="G459" s="199"/>
      <c r="H459" s="199"/>
      <c r="I459" s="200"/>
      <c r="J459" s="201"/>
      <c r="K459" s="199"/>
      <c r="L459" s="199"/>
      <c r="M459" s="200"/>
      <c r="N459" s="198"/>
      <c r="O459" s="217" t="s">
        <v>634</v>
      </c>
      <c r="P459" s="241" t="s">
        <v>632</v>
      </c>
      <c r="Q459" s="244" t="s">
        <v>646</v>
      </c>
      <c r="R459" s="195">
        <f>'State DisAgg LFx10 (2014)'!H449</f>
        <v>1</v>
      </c>
      <c r="S459" s="196"/>
      <c r="T459" s="196"/>
      <c r="U459" s="197">
        <f>'State DisAgg LFx10 (2014)'!L459</f>
        <v>1</v>
      </c>
      <c r="V459" s="195"/>
      <c r="W459" s="196"/>
      <c r="X459" s="196"/>
      <c r="Y459" s="197">
        <f>'State DisAgg LFx10 (2014)'!P459</f>
        <v>3</v>
      </c>
      <c r="Z459" s="195"/>
      <c r="AA459" s="196"/>
      <c r="AB459" s="196"/>
      <c r="AC459" s="197">
        <f>'State DisAgg LFx10 (2014)'!T459</f>
        <v>3.8</v>
      </c>
      <c r="AD459" s="195"/>
      <c r="AE459" s="197"/>
      <c r="AI459" s="364">
        <v>0</v>
      </c>
      <c r="AJ459" s="360">
        <f>U459-R459</f>
        <v>0</v>
      </c>
      <c r="AK459" s="360">
        <f t="shared" si="88"/>
        <v>2</v>
      </c>
      <c r="AL459" s="365">
        <f t="shared" si="89"/>
        <v>0.79999999999999982</v>
      </c>
      <c r="AM459" s="351" t="s">
        <v>761</v>
      </c>
      <c r="AN459" s="364">
        <f t="shared" si="92"/>
        <v>0</v>
      </c>
      <c r="AO459" s="360">
        <f t="shared" si="93"/>
        <v>0.1</v>
      </c>
      <c r="AP459" s="360">
        <f t="shared" si="94"/>
        <v>1.3800000000000001</v>
      </c>
      <c r="AQ459" s="365">
        <f t="shared" si="95"/>
        <v>1.3399999999999999</v>
      </c>
      <c r="AS459" s="726">
        <f>(Y459-R459)</f>
        <v>2</v>
      </c>
      <c r="AU459" s="727">
        <f t="shared" si="91"/>
        <v>1.48</v>
      </c>
    </row>
    <row r="460" spans="1:48" ht="13.5" thickBot="1">
      <c r="A460" s="885"/>
      <c r="B460" s="885"/>
      <c r="C460" s="9" t="s">
        <v>301</v>
      </c>
      <c r="D460" s="199"/>
      <c r="E460" s="200"/>
      <c r="F460" s="201"/>
      <c r="G460" s="199"/>
      <c r="H460" s="199"/>
      <c r="I460" s="200"/>
      <c r="J460" s="201"/>
      <c r="K460" s="199"/>
      <c r="L460" s="199"/>
      <c r="M460" s="200"/>
      <c r="N460" s="198"/>
      <c r="O460" s="217" t="s">
        <v>634</v>
      </c>
      <c r="P460" s="241" t="s">
        <v>632</v>
      </c>
      <c r="Q460" s="244" t="s">
        <v>646</v>
      </c>
      <c r="R460" s="195">
        <f>'State DisAgg LFx10 (2014)'!H450</f>
        <v>2.5</v>
      </c>
      <c r="S460" s="196"/>
      <c r="T460" s="196"/>
      <c r="U460" s="197">
        <f>'State DisAgg LFx10 (2014)'!L460</f>
        <v>2.5</v>
      </c>
      <c r="V460" s="195"/>
      <c r="W460" s="196"/>
      <c r="X460" s="196"/>
      <c r="Y460" s="197">
        <f>'State DisAgg LFx10 (2014)'!P460</f>
        <v>2.8</v>
      </c>
      <c r="Z460" s="195"/>
      <c r="AA460" s="196"/>
      <c r="AB460" s="196"/>
      <c r="AC460" s="197">
        <f>'State DisAgg LFx10 (2014)'!T460</f>
        <v>4</v>
      </c>
      <c r="AD460" s="195"/>
      <c r="AE460" s="197"/>
      <c r="AI460" s="364">
        <v>0</v>
      </c>
      <c r="AJ460" s="360">
        <f>U460-R460</f>
        <v>0</v>
      </c>
      <c r="AK460" s="360">
        <f t="shared" si="88"/>
        <v>0.29999999999999982</v>
      </c>
      <c r="AL460" s="365">
        <f t="shared" si="89"/>
        <v>1.2000000000000002</v>
      </c>
      <c r="AM460" s="351" t="s">
        <v>762</v>
      </c>
      <c r="AN460" s="364">
        <f t="shared" si="92"/>
        <v>0</v>
      </c>
      <c r="AO460" s="360">
        <f t="shared" si="93"/>
        <v>0</v>
      </c>
      <c r="AP460" s="360">
        <f t="shared" si="94"/>
        <v>0.1333333333333333</v>
      </c>
      <c r="AQ460" s="365">
        <f t="shared" si="95"/>
        <v>1.8333333333333333</v>
      </c>
      <c r="AS460" s="726">
        <f>(Y460-R460)</f>
        <v>0.29999999999999982</v>
      </c>
      <c r="AT460" s="714" t="s">
        <v>1071</v>
      </c>
      <c r="AU460" s="727">
        <f t="shared" si="91"/>
        <v>0.1333333333333333</v>
      </c>
      <c r="AV460" s="714" t="s">
        <v>1071</v>
      </c>
    </row>
    <row r="461" spans="1:48" ht="13.5" thickBot="1">
      <c r="A461" s="885"/>
      <c r="B461" s="885"/>
      <c r="C461" s="9" t="s">
        <v>302</v>
      </c>
      <c r="D461" s="199"/>
      <c r="E461" s="200"/>
      <c r="F461" s="201"/>
      <c r="G461" s="199"/>
      <c r="H461" s="199"/>
      <c r="I461" s="200"/>
      <c r="J461" s="201"/>
      <c r="K461" s="199"/>
      <c r="L461" s="199"/>
      <c r="M461" s="200"/>
      <c r="N461" s="198"/>
      <c r="O461" s="217" t="s">
        <v>634</v>
      </c>
      <c r="P461" s="241" t="s">
        <v>632</v>
      </c>
      <c r="Q461" s="244" t="s">
        <v>646</v>
      </c>
      <c r="R461" s="195">
        <f>'State DisAgg LFx10 (2014)'!H451</f>
        <v>1</v>
      </c>
      <c r="S461" s="196"/>
      <c r="T461" s="196"/>
      <c r="U461" s="197">
        <f>'State DisAgg LFx10 (2014)'!L461</f>
        <v>1</v>
      </c>
      <c r="V461" s="195"/>
      <c r="W461" s="196"/>
      <c r="X461" s="196"/>
      <c r="Y461" s="197">
        <f>'State DisAgg LFx10 (2014)'!P461</f>
        <v>2.2999999999999998</v>
      </c>
      <c r="Z461" s="195"/>
      <c r="AA461" s="196"/>
      <c r="AB461" s="196"/>
      <c r="AC461" s="197">
        <f>'State DisAgg LFx10 (2014)'!T461</f>
        <v>3.5</v>
      </c>
      <c r="AD461" s="195"/>
      <c r="AE461" s="197"/>
      <c r="AI461" s="364">
        <v>0</v>
      </c>
      <c r="AJ461" s="360">
        <f>U461-R461</f>
        <v>0</v>
      </c>
      <c r="AK461" s="360">
        <f t="shared" si="88"/>
        <v>1.2999999999999998</v>
      </c>
      <c r="AL461" s="365">
        <f t="shared" si="89"/>
        <v>1.2000000000000002</v>
      </c>
      <c r="AM461" s="351" t="s">
        <v>763</v>
      </c>
      <c r="AN461" s="364">
        <f t="shared" si="92"/>
        <v>0</v>
      </c>
      <c r="AO461" s="360">
        <f t="shared" si="93"/>
        <v>0</v>
      </c>
      <c r="AP461" s="360">
        <f t="shared" si="94"/>
        <v>0.65333333333333321</v>
      </c>
      <c r="AQ461" s="365">
        <f t="shared" si="95"/>
        <v>1.9733333333333334</v>
      </c>
      <c r="AS461" s="729">
        <f>(Y461-R461)</f>
        <v>1.2999999999999998</v>
      </c>
      <c r="AT461" s="728">
        <f>SUM(AS459:AS461)/3</f>
        <v>1.2</v>
      </c>
      <c r="AU461" s="730">
        <f t="shared" si="91"/>
        <v>0.65333333333333321</v>
      </c>
      <c r="AV461" s="728">
        <f>SUM(AU459:AU461)/3</f>
        <v>0.75555555555555554</v>
      </c>
    </row>
    <row r="462" spans="1:48" ht="13.5" thickBot="1">
      <c r="A462" s="885"/>
      <c r="B462" s="885"/>
      <c r="C462" s="9" t="s">
        <v>303</v>
      </c>
      <c r="D462" s="202"/>
      <c r="E462" s="203"/>
      <c r="F462" s="201"/>
      <c r="G462" s="202"/>
      <c r="H462" s="202"/>
      <c r="I462" s="203"/>
      <c r="J462" s="201"/>
      <c r="K462" s="202"/>
      <c r="L462" s="202"/>
      <c r="M462" s="203"/>
      <c r="N462" s="204"/>
      <c r="O462" s="214"/>
      <c r="P462" s="205"/>
      <c r="Q462" s="205"/>
      <c r="R462" s="201"/>
      <c r="S462" s="202"/>
      <c r="T462" s="202"/>
      <c r="U462" s="203"/>
      <c r="V462" s="242"/>
      <c r="W462" s="217" t="s">
        <v>633</v>
      </c>
      <c r="X462" s="241" t="s">
        <v>632</v>
      </c>
      <c r="Y462" s="197">
        <f>'State DisAgg LFx10 (2014)'!P452</f>
        <v>1</v>
      </c>
      <c r="Z462" s="195"/>
      <c r="AA462" s="196"/>
      <c r="AB462" s="196"/>
      <c r="AC462" s="197">
        <f>'State DisAgg LFx10 (2014)'!T462</f>
        <v>1</v>
      </c>
      <c r="AD462" s="195"/>
      <c r="AE462" s="197"/>
      <c r="AI462" s="364">
        <f>O462-J462</f>
        <v>0</v>
      </c>
      <c r="AJ462" s="360">
        <f>U462-O462</f>
        <v>0</v>
      </c>
      <c r="AK462" s="360">
        <f t="shared" si="88"/>
        <v>1</v>
      </c>
      <c r="AL462" s="365">
        <f t="shared" si="89"/>
        <v>0</v>
      </c>
      <c r="AM462" s="351" t="s">
        <v>1098</v>
      </c>
      <c r="AN462" s="364">
        <f t="shared" si="92"/>
        <v>0</v>
      </c>
      <c r="AO462" s="360">
        <f t="shared" si="93"/>
        <v>0</v>
      </c>
      <c r="AP462" s="360">
        <f t="shared" si="94"/>
        <v>1.02</v>
      </c>
      <c r="AQ462" s="365">
        <f t="shared" si="95"/>
        <v>0</v>
      </c>
    </row>
    <row r="463" spans="1:48" ht="13.5" thickBot="1">
      <c r="A463" s="885"/>
      <c r="B463" s="885"/>
      <c r="C463" s="9" t="s">
        <v>304</v>
      </c>
      <c r="D463" s="202"/>
      <c r="E463" s="203"/>
      <c r="F463" s="201"/>
      <c r="G463" s="202"/>
      <c r="H463" s="202"/>
      <c r="I463" s="203"/>
      <c r="J463" s="201"/>
      <c r="K463" s="202"/>
      <c r="L463" s="202"/>
      <c r="M463" s="203"/>
      <c r="N463" s="204"/>
      <c r="O463" s="205"/>
      <c r="P463" s="205"/>
      <c r="Q463" s="205"/>
      <c r="R463" s="201"/>
      <c r="S463" s="202"/>
      <c r="T463" s="202"/>
      <c r="U463" s="203"/>
      <c r="V463" s="242"/>
      <c r="W463" s="217" t="s">
        <v>633</v>
      </c>
      <c r="X463" s="241" t="s">
        <v>632</v>
      </c>
      <c r="Y463" s="197">
        <f>'State DisAgg LFx10 (2014)'!P453</f>
        <v>1.5</v>
      </c>
      <c r="Z463" s="195"/>
      <c r="AA463" s="196"/>
      <c r="AB463" s="196"/>
      <c r="AC463" s="197">
        <f>'State DisAgg LFx10 (2014)'!T463</f>
        <v>1.5</v>
      </c>
      <c r="AD463" s="195"/>
      <c r="AE463" s="197"/>
      <c r="AI463" s="366">
        <f>O463-J463</f>
        <v>0</v>
      </c>
      <c r="AJ463" s="367">
        <f>U463-O463</f>
        <v>0</v>
      </c>
      <c r="AK463" s="367">
        <f t="shared" si="88"/>
        <v>1.5</v>
      </c>
      <c r="AL463" s="368">
        <f t="shared" si="89"/>
        <v>0</v>
      </c>
      <c r="AM463" s="351" t="s">
        <v>1099</v>
      </c>
      <c r="AN463" s="366">
        <f t="shared" si="92"/>
        <v>0</v>
      </c>
      <c r="AO463" s="367">
        <f t="shared" si="93"/>
        <v>0</v>
      </c>
      <c r="AP463" s="367">
        <f t="shared" si="94"/>
        <v>1.2066666666666666</v>
      </c>
      <c r="AQ463" s="368">
        <f t="shared" si="95"/>
        <v>0</v>
      </c>
    </row>
    <row r="464" spans="1:48" ht="12.95" hidden="1" customHeight="1" thickBot="1">
      <c r="A464" s="885"/>
      <c r="B464" s="501"/>
      <c r="C464" s="231"/>
      <c r="D464" s="232"/>
      <c r="E464" s="233"/>
      <c r="F464" s="234"/>
      <c r="G464" s="232"/>
      <c r="H464" s="232"/>
      <c r="I464" s="233"/>
      <c r="J464" s="234"/>
      <c r="K464" s="232"/>
      <c r="L464" s="232"/>
      <c r="M464" s="233"/>
      <c r="N464" s="234"/>
      <c r="O464" s="232"/>
      <c r="P464" s="232"/>
      <c r="Q464" s="233"/>
      <c r="R464" s="234"/>
      <c r="S464" s="232"/>
      <c r="T464" s="232"/>
      <c r="U464" s="233"/>
      <c r="V464" s="234"/>
      <c r="W464" s="232"/>
      <c r="X464" s="232"/>
      <c r="Y464" s="233"/>
      <c r="Z464" s="234"/>
      <c r="AA464" s="232"/>
      <c r="AB464" s="232"/>
      <c r="AC464" s="233"/>
      <c r="AD464" s="234"/>
      <c r="AE464" s="233"/>
      <c r="AI464" s="354">
        <f>O464-J464</f>
        <v>0</v>
      </c>
      <c r="AJ464" s="354">
        <f>U464-O464</f>
        <v>0</v>
      </c>
      <c r="AK464" s="354">
        <f t="shared" si="88"/>
        <v>0</v>
      </c>
      <c r="AN464" s="354">
        <f t="shared" ref="AN464:AP465" si="96">(AI464+AI487+AI510+AI533+AI557)/5</f>
        <v>0</v>
      </c>
      <c r="AO464" s="354">
        <f t="shared" si="96"/>
        <v>0</v>
      </c>
      <c r="AP464" s="354">
        <f t="shared" si="96"/>
        <v>0</v>
      </c>
      <c r="AQ464" s="354"/>
    </row>
    <row r="465" spans="1:46" ht="12.95" hidden="1" customHeight="1" thickBot="1">
      <c r="A465" s="885"/>
      <c r="B465" s="501"/>
      <c r="C465" s="231"/>
      <c r="D465" s="232"/>
      <c r="E465" s="233"/>
      <c r="F465" s="234"/>
      <c r="G465" s="232"/>
      <c r="H465" s="232"/>
      <c r="I465" s="233"/>
      <c r="J465" s="234"/>
      <c r="K465" s="232"/>
      <c r="L465" s="232"/>
      <c r="M465" s="233"/>
      <c r="N465" s="234"/>
      <c r="O465" s="232"/>
      <c r="P465" s="232"/>
      <c r="Q465" s="233"/>
      <c r="R465" s="234"/>
      <c r="S465" s="232"/>
      <c r="T465" s="232"/>
      <c r="U465" s="233"/>
      <c r="V465" s="234"/>
      <c r="W465" s="232"/>
      <c r="X465" s="232"/>
      <c r="Y465" s="233"/>
      <c r="Z465" s="234"/>
      <c r="AA465" s="232"/>
      <c r="AB465" s="232"/>
      <c r="AC465" s="233"/>
      <c r="AD465" s="234"/>
      <c r="AE465" s="233"/>
      <c r="AI465" s="354">
        <f>O465-J465</f>
        <v>0</v>
      </c>
      <c r="AJ465" s="354">
        <f>U465-O465</f>
        <v>0</v>
      </c>
      <c r="AK465" s="354">
        <f t="shared" si="88"/>
        <v>0</v>
      </c>
      <c r="AN465" s="354">
        <f t="shared" si="96"/>
        <v>0</v>
      </c>
      <c r="AO465" s="354">
        <f t="shared" si="96"/>
        <v>0</v>
      </c>
      <c r="AP465" s="354">
        <f t="shared" si="96"/>
        <v>0</v>
      </c>
      <c r="AQ465" s="354"/>
    </row>
    <row r="466" spans="1:46" ht="12.95" customHeight="1" thickBot="1">
      <c r="A466" s="885"/>
      <c r="B466" s="3" t="s">
        <v>33</v>
      </c>
      <c r="C466" s="12"/>
      <c r="D466" s="1377">
        <v>2008</v>
      </c>
      <c r="E466" s="1378"/>
      <c r="F466" s="1372">
        <v>2009</v>
      </c>
      <c r="G466" s="1373"/>
      <c r="H466" s="1373"/>
      <c r="I466" s="1374"/>
      <c r="J466" s="1372">
        <v>2010</v>
      </c>
      <c r="K466" s="1373"/>
      <c r="L466" s="1373"/>
      <c r="M466" s="1374"/>
      <c r="N466" s="1372">
        <v>2011</v>
      </c>
      <c r="O466" s="1373"/>
      <c r="P466" s="1373"/>
      <c r="Q466" s="1374"/>
      <c r="R466" s="1372">
        <v>2012</v>
      </c>
      <c r="S466" s="1373"/>
      <c r="T466" s="1373"/>
      <c r="U466" s="1374"/>
      <c r="V466" s="1372">
        <v>2013</v>
      </c>
      <c r="W466" s="1373"/>
      <c r="X466" s="1373"/>
      <c r="Y466" s="1374"/>
      <c r="Z466" s="1372">
        <v>2014</v>
      </c>
      <c r="AA466" s="1373"/>
      <c r="AB466" s="1373"/>
      <c r="AC466" s="1374"/>
      <c r="AD466" s="1372">
        <v>2015</v>
      </c>
      <c r="AE466" s="1374"/>
      <c r="AG466" s="257" t="s">
        <v>663</v>
      </c>
      <c r="AL466" s="351"/>
      <c r="AM466" s="351"/>
      <c r="AS466" s="716" t="s">
        <v>1043</v>
      </c>
    </row>
    <row r="467" spans="1:46" ht="13.5" thickBot="1">
      <c r="A467" s="885"/>
      <c r="B467" s="868" t="s">
        <v>67</v>
      </c>
      <c r="C467" s="194" t="s">
        <v>610</v>
      </c>
      <c r="D467" s="206"/>
      <c r="E467" s="207"/>
      <c r="F467" s="209"/>
      <c r="G467" s="206"/>
      <c r="H467" s="206"/>
      <c r="I467" s="207"/>
      <c r="J467" s="209"/>
      <c r="K467" s="206"/>
      <c r="L467" s="206"/>
      <c r="M467" s="207"/>
      <c r="N467" s="277"/>
      <c r="O467" s="278">
        <f>(O477-H477)/7/$C$697/Spend!O467*'State Efficiency Ratios (2014)'!$C$655</f>
        <v>22.30075942078189</v>
      </c>
      <c r="P467" s="278"/>
      <c r="Q467" s="279"/>
      <c r="R467" s="277"/>
      <c r="S467" s="278"/>
      <c r="T467" s="278"/>
      <c r="U467" s="278">
        <f>(U477-O477)/6/$C$697/Spend!U467*'State Efficiency Ratios (2014)'!$C$655</f>
        <v>187.35313036706754</v>
      </c>
      <c r="V467" s="277"/>
      <c r="W467" s="278"/>
      <c r="X467" s="278"/>
      <c r="Y467" s="278">
        <f>(Y477-U477)/4/$C$697/Spend!Y467*'State Efficiency Ratios (2014)'!$C$655</f>
        <v>167.0731520144233</v>
      </c>
      <c r="Z467" s="277"/>
      <c r="AA467" s="278"/>
      <c r="AB467" s="278"/>
      <c r="AC467" s="278">
        <f>(AC477-Y477)/4/$C$697/Spend!AC467*'State Efficiency Ratios (2014)'!$C$655</f>
        <v>0</v>
      </c>
      <c r="AD467" s="208"/>
      <c r="AE467" s="213"/>
      <c r="AG467" s="410"/>
      <c r="AM467" s="356"/>
      <c r="AS467" s="717">
        <f>(O477-H477)/7/$C$673/Spend!O467*'State Efficiency Ratios (2014)'!$C$655</f>
        <v>22.30075942078189</v>
      </c>
    </row>
    <row r="468" spans="1:46" ht="13.5" thickBot="1">
      <c r="A468" s="885"/>
      <c r="B468" s="885"/>
      <c r="C468" s="194" t="s">
        <v>611</v>
      </c>
      <c r="D468" s="206"/>
      <c r="E468" s="207"/>
      <c r="F468" s="209"/>
      <c r="G468" s="206"/>
      <c r="H468" s="206"/>
      <c r="I468" s="207"/>
      <c r="J468" s="209"/>
      <c r="K468" s="206"/>
      <c r="L468" s="206"/>
      <c r="M468" s="207"/>
      <c r="N468" s="277"/>
      <c r="O468" s="278">
        <f>(O478-H478)/7/$C$697/Spend!O468*'State Efficiency Ratios (2014)'!$C$655</f>
        <v>89.393009594750936</v>
      </c>
      <c r="P468" s="278"/>
      <c r="Q468" s="279"/>
      <c r="R468" s="277"/>
      <c r="S468" s="278"/>
      <c r="T468" s="278"/>
      <c r="U468" s="278">
        <f>(U478-O478)/6/$C$697/Spend!U468*'State Efficiency Ratios (2014)'!$C$655</f>
        <v>-90.362310117572378</v>
      </c>
      <c r="V468" s="277"/>
      <c r="W468" s="278"/>
      <c r="X468" s="278"/>
      <c r="Y468" s="278">
        <f>(Y478-U478)/4/$C$697/Spend!Y468*'State Efficiency Ratios (2014)'!$C$655</f>
        <v>811.07883635904523</v>
      </c>
      <c r="Z468" s="277"/>
      <c r="AA468" s="278"/>
      <c r="AB468" s="278"/>
      <c r="AC468" s="278">
        <f>(AC478-Y478)/4/$C$697/Spend!AC468*'State Efficiency Ratios (2014)'!$C$655</f>
        <v>75.202774356565087</v>
      </c>
      <c r="AD468" s="208"/>
      <c r="AE468" s="213"/>
      <c r="AG468" s="410"/>
      <c r="AM468" s="378"/>
      <c r="AS468" s="719">
        <f>(O478-H478)/7/$C$673/Spend!O468*'State Efficiency Ratios (2014)'!$C$655</f>
        <v>89.393009594750936</v>
      </c>
    </row>
    <row r="469" spans="1:46" ht="13.5" thickBot="1">
      <c r="A469" s="885"/>
      <c r="B469" s="885"/>
      <c r="C469" s="194" t="s">
        <v>612</v>
      </c>
      <c r="D469" s="206"/>
      <c r="E469" s="207"/>
      <c r="F469" s="209"/>
      <c r="G469" s="206"/>
      <c r="H469" s="206"/>
      <c r="I469" s="207"/>
      <c r="J469" s="209"/>
      <c r="K469" s="206"/>
      <c r="L469" s="206"/>
      <c r="M469" s="207"/>
      <c r="N469" s="277"/>
      <c r="O469" s="278">
        <f>(O479-H479)/7/$C$697/Spend!O469*'State Efficiency Ratios (2014)'!$C$655</f>
        <v>0</v>
      </c>
      <c r="P469" s="278"/>
      <c r="Q469" s="279"/>
      <c r="R469" s="277"/>
      <c r="S469" s="278"/>
      <c r="T469" s="278"/>
      <c r="U469" s="278">
        <f>(U479-O479)/6/$C$697/Spend!U469*'State Efficiency Ratios (2014)'!$C$655</f>
        <v>97.927174049361682</v>
      </c>
      <c r="V469" s="277"/>
      <c r="W469" s="278"/>
      <c r="X469" s="278"/>
      <c r="Y469" s="278">
        <f>(Y479-U479)/4/$C$697/Spend!Y469*'State Efficiency Ratios (2014)'!$C$655</f>
        <v>607.13210251364933</v>
      </c>
      <c r="Z469" s="277"/>
      <c r="AA469" s="278"/>
      <c r="AB469" s="278"/>
      <c r="AC469" s="278">
        <f>(AC479-Y479)/4/$C$697/Spend!AC469*'State Efficiency Ratios (2014)'!$C$655</f>
        <v>62.041033885290872</v>
      </c>
      <c r="AD469" s="208"/>
      <c r="AE469" s="213"/>
      <c r="AG469" s="410" t="s">
        <v>1086</v>
      </c>
      <c r="AS469" s="719">
        <f>(O479-H479)/7/$C$673/Spend!O469*'State Efficiency Ratios (2014)'!$C$655</f>
        <v>0</v>
      </c>
    </row>
    <row r="470" spans="1:46" ht="13.5" thickBot="1">
      <c r="A470" s="885"/>
      <c r="B470" s="885"/>
      <c r="C470" s="194" t="s">
        <v>613</v>
      </c>
      <c r="D470" s="206"/>
      <c r="E470" s="207"/>
      <c r="F470" s="209"/>
      <c r="G470" s="206"/>
      <c r="H470" s="206"/>
      <c r="I470" s="207"/>
      <c r="J470" s="209"/>
      <c r="K470" s="206"/>
      <c r="L470" s="206"/>
      <c r="M470" s="207"/>
      <c r="N470" s="277"/>
      <c r="O470" s="278">
        <f>(O480-H480)/7/$C$697/Spend!O470*'State Efficiency Ratios (2014)'!$C$655</f>
        <v>-43.747500083875671</v>
      </c>
      <c r="P470" s="278"/>
      <c r="Q470" s="279"/>
      <c r="R470" s="277"/>
      <c r="S470" s="278"/>
      <c r="T470" s="278"/>
      <c r="U470" s="278">
        <f>(U480-O480)/6/$C$697/Spend!U470*'State Efficiency Ratios (2014)'!$C$655</f>
        <v>138.9431279036408</v>
      </c>
      <c r="V470" s="277"/>
      <c r="W470" s="278"/>
      <c r="X470" s="278"/>
      <c r="Y470" s="278">
        <f>(Y480-U480)/4/$C$697/Spend!Y470*'State Efficiency Ratios (2014)'!$C$655</f>
        <v>520.76661498095211</v>
      </c>
      <c r="Z470" s="277"/>
      <c r="AA470" s="278"/>
      <c r="AB470" s="278"/>
      <c r="AC470" s="278">
        <f>(AC480-Y480)/4/$C$697/Spend!AC470*'State Efficiency Ratios (2014)'!$C$655</f>
        <v>0</v>
      </c>
      <c r="AD470" s="208"/>
      <c r="AE470" s="213"/>
      <c r="AG470" s="410" t="s">
        <v>1090</v>
      </c>
      <c r="AS470" s="719">
        <f>(O480-H480)/7/$C$673/Spend!O470*'State Efficiency Ratios (2014)'!$C$655</f>
        <v>-43.747500083875671</v>
      </c>
      <c r="AT470" s="714" t="s">
        <v>1070</v>
      </c>
    </row>
    <row r="471" spans="1:46" ht="13.5" thickBot="1">
      <c r="A471" s="885"/>
      <c r="B471" s="885"/>
      <c r="C471" s="194" t="s">
        <v>614</v>
      </c>
      <c r="D471" s="206"/>
      <c r="E471" s="207"/>
      <c r="F471" s="209"/>
      <c r="G471" s="206"/>
      <c r="H471" s="206"/>
      <c r="I471" s="207"/>
      <c r="J471" s="209"/>
      <c r="K471" s="206"/>
      <c r="L471" s="206"/>
      <c r="M471" s="207"/>
      <c r="N471" s="277"/>
      <c r="O471" s="278">
        <f>(O481-H481)/7/$C$697/Spend!O471*'State Efficiency Ratios (2014)'!$C$655</f>
        <v>69.081392940770584</v>
      </c>
      <c r="P471" s="278"/>
      <c r="Q471" s="279"/>
      <c r="R471" s="277"/>
      <c r="S471" s="278"/>
      <c r="T471" s="278"/>
      <c r="U471" s="278">
        <f>(U481-O481)/6/$C$697/Spend!U471*'State Efficiency Ratios (2014)'!$C$655</f>
        <v>28.783509260571574</v>
      </c>
      <c r="V471" s="277"/>
      <c r="W471" s="278"/>
      <c r="X471" s="278"/>
      <c r="Y471" s="278">
        <f>(Y481-U481)/4/$C$697/Spend!Y471*'State Efficiency Ratios (2014)'!$C$655</f>
        <v>0</v>
      </c>
      <c r="Z471" s="277"/>
      <c r="AA471" s="278"/>
      <c r="AB471" s="278"/>
      <c r="AC471" s="278">
        <f>(AC481-Y481)/4/$C$697/Spend!AC471*'State Efficiency Ratios (2014)'!$C$655</f>
        <v>43.860728959108378</v>
      </c>
      <c r="AD471" s="208"/>
      <c r="AE471" s="213"/>
      <c r="AG471" s="410" t="s">
        <v>1088</v>
      </c>
      <c r="AS471" s="719">
        <f>(O481-H481)/7/$C$673/Spend!O471*'State Efficiency Ratios (2014)'!$C$655</f>
        <v>69.081392940770584</v>
      </c>
      <c r="AT471" s="721">
        <f>SUM(AS467:AS471)/5</f>
        <v>27.405532374485553</v>
      </c>
    </row>
    <row r="472" spans="1:46" ht="12.95" customHeight="1" thickBot="1">
      <c r="A472" s="885"/>
      <c r="B472" s="885"/>
      <c r="C472" s="194" t="s">
        <v>615</v>
      </c>
      <c r="D472" s="210"/>
      <c r="E472" s="211"/>
      <c r="F472" s="209"/>
      <c r="G472" s="210"/>
      <c r="H472" s="210"/>
      <c r="I472" s="211"/>
      <c r="J472" s="209"/>
      <c r="K472" s="210"/>
      <c r="L472" s="210"/>
      <c r="M472" s="211"/>
      <c r="N472" s="281"/>
      <c r="O472" s="282"/>
      <c r="P472" s="282"/>
      <c r="Q472" s="282"/>
      <c r="R472" s="277"/>
      <c r="S472" s="278"/>
      <c r="T472" s="278"/>
      <c r="U472" s="278">
        <f>(U482-R482)/3/$C$697/Spend!U472*'State Efficiency Ratios (2014)'!$C$655</f>
        <v>0</v>
      </c>
      <c r="V472" s="277"/>
      <c r="W472" s="278"/>
      <c r="X472" s="278"/>
      <c r="Y472" s="278">
        <f>(Y482-U482)/4/$C$697/Spend!Y472*'State Efficiency Ratios (2014)'!$C$655</f>
        <v>766.23617282969099</v>
      </c>
      <c r="Z472" s="277"/>
      <c r="AA472" s="278"/>
      <c r="AB472" s="278"/>
      <c r="AC472" s="278">
        <f>(AC482-Y482)/4/$C$697/Spend!AC472*'State Efficiency Ratios (2014)'!$C$655</f>
        <v>114.9254871659506</v>
      </c>
      <c r="AD472" s="208"/>
      <c r="AE472" s="213"/>
      <c r="AG472" s="410"/>
      <c r="AI472" s="4" t="s">
        <v>1053</v>
      </c>
      <c r="AS472" s="719">
        <f>(Y482-R482)/7/$C$673/(Spend!U472+Spend!Y472)*'State Efficiency Ratios (2014)'!$C$655</f>
        <v>173.89413253256964</v>
      </c>
    </row>
    <row r="473" spans="1:46" ht="12.95" customHeight="1" thickBot="1">
      <c r="A473" s="885"/>
      <c r="B473" s="885"/>
      <c r="C473" s="194" t="s">
        <v>616</v>
      </c>
      <c r="D473" s="210"/>
      <c r="E473" s="211"/>
      <c r="F473" s="209"/>
      <c r="G473" s="210"/>
      <c r="H473" s="210"/>
      <c r="I473" s="211"/>
      <c r="J473" s="209"/>
      <c r="K473" s="210"/>
      <c r="L473" s="210"/>
      <c r="M473" s="211"/>
      <c r="N473" s="281"/>
      <c r="O473" s="282"/>
      <c r="P473" s="282"/>
      <c r="Q473" s="282"/>
      <c r="R473" s="277"/>
      <c r="S473" s="278"/>
      <c r="T473" s="278"/>
      <c r="U473" s="278">
        <f>(U483-R483)/3/$C$697/Spend!U473*'State Efficiency Ratios (2014)'!$C$655</f>
        <v>0</v>
      </c>
      <c r="V473" s="277"/>
      <c r="W473" s="278"/>
      <c r="X473" s="278"/>
      <c r="Y473" s="278">
        <f>(Y483-U483)/4/$C$697/Spend!Y473*'State Efficiency Ratios (2014)'!$C$655</f>
        <v>-118.64425273392092</v>
      </c>
      <c r="Z473" s="277"/>
      <c r="AA473" s="278"/>
      <c r="AB473" s="278"/>
      <c r="AC473" s="278">
        <f>(AC483-Y483)/4/$C$697/Spend!AC473*'State Efficiency Ratios (2014)'!$C$655</f>
        <v>370.98161331617501</v>
      </c>
      <c r="AD473" s="208"/>
      <c r="AE473" s="213"/>
      <c r="AG473" s="410" t="s">
        <v>1084</v>
      </c>
      <c r="AH473" s="355" t="s">
        <v>1052</v>
      </c>
      <c r="AI473" s="599">
        <f>4/5*SUM(AI477:AI481)/5</f>
        <v>1.4880000000000002</v>
      </c>
      <c r="AJ473" s="592">
        <f>4/6*SUM(AJ477:AJ481)/5</f>
        <v>0.53333333333333333</v>
      </c>
      <c r="AK473" s="592">
        <f>SUM(AK477:AK484)/8</f>
        <v>1.1375</v>
      </c>
      <c r="AL473" s="594">
        <f>SUM(AL477:AL484)/8</f>
        <v>0.5625</v>
      </c>
      <c r="AS473" s="719">
        <f>(Y483-R483)/7/$C$673/(Spend!U473+Spend!Y473)*'State Efficiency Ratios (2014)'!$C$655</f>
        <v>-27.03987559954605</v>
      </c>
      <c r="AT473" s="714" t="s">
        <v>1071</v>
      </c>
    </row>
    <row r="474" spans="1:46" ht="12.95" customHeight="1" thickBot="1">
      <c r="A474" s="885"/>
      <c r="B474" s="885"/>
      <c r="C474" s="194" t="s">
        <v>617</v>
      </c>
      <c r="D474" s="210"/>
      <c r="E474" s="211"/>
      <c r="F474" s="209"/>
      <c r="G474" s="210"/>
      <c r="H474" s="210"/>
      <c r="I474" s="211"/>
      <c r="J474" s="209"/>
      <c r="K474" s="210"/>
      <c r="L474" s="210"/>
      <c r="M474" s="211"/>
      <c r="N474" s="281"/>
      <c r="O474" s="282"/>
      <c r="P474" s="282"/>
      <c r="Q474" s="282"/>
      <c r="R474" s="277"/>
      <c r="S474" s="278"/>
      <c r="T474" s="278"/>
      <c r="U474" s="278">
        <f>(U484-R484)/3/$C$697/Spend!U474*'State Efficiency Ratios (2014)'!$C$655</f>
        <v>0</v>
      </c>
      <c r="V474" s="277"/>
      <c r="W474" s="278"/>
      <c r="X474" s="278"/>
      <c r="Y474" s="278">
        <f>(Y484-U484)/4/$C$697/Spend!Y474*'State Efficiency Ratios (2014)'!$C$655</f>
        <v>361.57456231038265</v>
      </c>
      <c r="Z474" s="277"/>
      <c r="AA474" s="278"/>
      <c r="AB474" s="278"/>
      <c r="AC474" s="278">
        <f>(AC484-Y484)/4/$C$697/Spend!AC474*'State Efficiency Ratios (2014)'!$C$655</f>
        <v>446.57538429442491</v>
      </c>
      <c r="AD474" s="208"/>
      <c r="AE474" s="213"/>
      <c r="AG474" s="410" t="s">
        <v>1089</v>
      </c>
      <c r="AH474" s="355" t="s">
        <v>1051</v>
      </c>
      <c r="AI474" s="606">
        <f>SUM(O467:O471)/5</f>
        <v>27.405532374485553</v>
      </c>
      <c r="AJ474" s="607">
        <f>SUM(U467:U471)/5</f>
        <v>72.528926292613846</v>
      </c>
      <c r="AK474" s="607">
        <f>SUM(Y467:Y474)/8</f>
        <v>389.40214853427784</v>
      </c>
      <c r="AL474" s="608">
        <f>SUM(AC467:AC474)/8</f>
        <v>139.19837774718934</v>
      </c>
      <c r="AS474" s="722">
        <f>(Y484-R484)/7/$C$673/(Spend!U474+Spend!Y474)*'State Efficiency Ratios (2014)'!$C$655</f>
        <v>79.461588671250894</v>
      </c>
      <c r="AT474" s="721">
        <f>SUM(AS472:AS474)/3</f>
        <v>75.438615201424824</v>
      </c>
    </row>
    <row r="475" spans="1:46" ht="12.95" customHeight="1" thickBot="1">
      <c r="A475" s="885"/>
      <c r="B475" s="885"/>
      <c r="C475" s="194" t="s">
        <v>618</v>
      </c>
      <c r="D475" s="210"/>
      <c r="E475" s="211"/>
      <c r="F475" s="209"/>
      <c r="G475" s="210"/>
      <c r="H475" s="210"/>
      <c r="I475" s="211"/>
      <c r="J475" s="209"/>
      <c r="K475" s="210"/>
      <c r="L475" s="210"/>
      <c r="M475" s="211"/>
      <c r="N475" s="281"/>
      <c r="O475" s="282"/>
      <c r="P475" s="282"/>
      <c r="Q475" s="283"/>
      <c r="R475" s="281"/>
      <c r="S475" s="282"/>
      <c r="T475" s="282"/>
      <c r="U475" s="283"/>
      <c r="V475" s="281"/>
      <c r="W475" s="282"/>
      <c r="X475" s="282"/>
      <c r="Y475" s="283"/>
      <c r="Z475" s="277"/>
      <c r="AA475" s="278"/>
      <c r="AB475" s="278"/>
      <c r="AC475" s="278">
        <f>(AC485-Y485)/4/$C$697/Spend!AC475*'State Efficiency Ratios (2014)'!$C$655</f>
        <v>0</v>
      </c>
      <c r="AD475" s="208"/>
      <c r="AE475" s="213"/>
      <c r="AG475" s="410"/>
    </row>
    <row r="476" spans="1:46" ht="12.95" customHeight="1" thickBot="1">
      <c r="A476" s="885"/>
      <c r="B476" s="885"/>
      <c r="C476" s="194" t="s">
        <v>619</v>
      </c>
      <c r="D476" s="210"/>
      <c r="E476" s="211"/>
      <c r="F476" s="209"/>
      <c r="G476" s="210"/>
      <c r="H476" s="210"/>
      <c r="I476" s="211"/>
      <c r="J476" s="209"/>
      <c r="K476" s="210"/>
      <c r="L476" s="210"/>
      <c r="M476" s="211"/>
      <c r="N476" s="281"/>
      <c r="O476" s="282"/>
      <c r="P476" s="282"/>
      <c r="Q476" s="283"/>
      <c r="R476" s="281"/>
      <c r="S476" s="282"/>
      <c r="T476" s="282"/>
      <c r="U476" s="283"/>
      <c r="V476" s="281"/>
      <c r="W476" s="282"/>
      <c r="X476" s="282"/>
      <c r="Y476" s="283"/>
      <c r="Z476" s="277"/>
      <c r="AA476" s="278"/>
      <c r="AB476" s="278"/>
      <c r="AC476" s="278">
        <f>(AC486-Y486)/4/$C$697/Spend!AC476*'State Efficiency Ratios (2014)'!$C$655</f>
        <v>0</v>
      </c>
      <c r="AD476" s="208"/>
      <c r="AE476" s="213"/>
      <c r="AG476" s="410"/>
      <c r="AI476" s="416" t="s">
        <v>1043</v>
      </c>
      <c r="AS476" s="716" t="s">
        <v>1043</v>
      </c>
    </row>
    <row r="477" spans="1:46" ht="13.5" thickBot="1">
      <c r="A477" s="885"/>
      <c r="B477" s="885"/>
      <c r="C477" s="9" t="s">
        <v>295</v>
      </c>
      <c r="D477" s="241" t="s">
        <v>632</v>
      </c>
      <c r="E477" s="241" t="s">
        <v>632</v>
      </c>
      <c r="F477" s="243" t="s">
        <v>646</v>
      </c>
      <c r="G477" s="241" t="s">
        <v>646</v>
      </c>
      <c r="H477" s="196">
        <f>'State DisAgg LFx10 (2014)'!D467</f>
        <v>1</v>
      </c>
      <c r="I477" s="244" t="s">
        <v>646</v>
      </c>
      <c r="J477" s="195"/>
      <c r="K477" s="196"/>
      <c r="L477" s="196"/>
      <c r="M477" s="197"/>
      <c r="N477" s="195"/>
      <c r="O477" s="196">
        <f>'State DisAgg LFx10 (2014)'!H477</f>
        <v>1.5</v>
      </c>
      <c r="P477" s="196"/>
      <c r="Q477" s="197"/>
      <c r="R477" s="195"/>
      <c r="S477" s="196"/>
      <c r="T477" s="196"/>
      <c r="U477" s="197">
        <f>'State DisAgg LFx10 (2014)'!L477</f>
        <v>3.3</v>
      </c>
      <c r="V477" s="195"/>
      <c r="W477" s="196"/>
      <c r="X477" s="196"/>
      <c r="Y477" s="197">
        <f>'State DisAgg LFx10 (2014)'!P477</f>
        <v>4.3</v>
      </c>
      <c r="Z477" s="195"/>
      <c r="AA477" s="196"/>
      <c r="AB477" s="196"/>
      <c r="AC477" s="197">
        <f>'State DisAgg LFx10 (2014)'!T477</f>
        <v>4.3</v>
      </c>
      <c r="AD477" s="195"/>
      <c r="AE477" s="197"/>
      <c r="AI477" s="361">
        <f>O477-J477</f>
        <v>1.5</v>
      </c>
      <c r="AJ477" s="362">
        <f>U477-O477</f>
        <v>1.7999999999999998</v>
      </c>
      <c r="AK477" s="362">
        <f t="shared" ref="AK477:AK488" si="97">Y477-U477</f>
        <v>1</v>
      </c>
      <c r="AL477" s="363">
        <f t="shared" ref="AL477:AL486" si="98">AC477-Y477</f>
        <v>0</v>
      </c>
      <c r="AM477" s="354"/>
      <c r="AQ477" s="354"/>
      <c r="AS477" s="724">
        <f>(O477-J477)</f>
        <v>1.5</v>
      </c>
    </row>
    <row r="478" spans="1:46" ht="13.5" thickBot="1">
      <c r="A478" s="885"/>
      <c r="B478" s="885"/>
      <c r="C478" s="9" t="s">
        <v>296</v>
      </c>
      <c r="D478" s="241" t="s">
        <v>632</v>
      </c>
      <c r="E478" s="241" t="s">
        <v>632</v>
      </c>
      <c r="F478" s="243" t="s">
        <v>646</v>
      </c>
      <c r="G478" s="241" t="s">
        <v>646</v>
      </c>
      <c r="H478" s="196">
        <f>'State DisAgg LFx10 (2014)'!D468</f>
        <v>1</v>
      </c>
      <c r="I478" s="244" t="s">
        <v>646</v>
      </c>
      <c r="J478" s="195"/>
      <c r="K478" s="196"/>
      <c r="L478" s="196"/>
      <c r="M478" s="197"/>
      <c r="N478" s="195"/>
      <c r="O478" s="196">
        <f>'State DisAgg LFx10 (2014)'!H478</f>
        <v>2.8</v>
      </c>
      <c r="P478" s="196"/>
      <c r="Q478" s="197"/>
      <c r="R478" s="195"/>
      <c r="S478" s="196"/>
      <c r="T478" s="196"/>
      <c r="U478" s="197">
        <f>'State DisAgg LFx10 (2014)'!L478</f>
        <v>2</v>
      </c>
      <c r="V478" s="195"/>
      <c r="W478" s="196"/>
      <c r="X478" s="196"/>
      <c r="Y478" s="197">
        <f>'State DisAgg LFx10 (2014)'!P478</f>
        <v>4.5</v>
      </c>
      <c r="Z478" s="195"/>
      <c r="AA478" s="196"/>
      <c r="AB478" s="196"/>
      <c r="AC478" s="197">
        <f>'State DisAgg LFx10 (2014)'!T478</f>
        <v>4.8</v>
      </c>
      <c r="AD478" s="195"/>
      <c r="AE478" s="197"/>
      <c r="AI478" s="364">
        <f>O478-J478</f>
        <v>2.8</v>
      </c>
      <c r="AJ478" s="360">
        <f>U478-O478</f>
        <v>-0.79999999999999982</v>
      </c>
      <c r="AK478" s="360">
        <f t="shared" si="97"/>
        <v>2.5</v>
      </c>
      <c r="AL478" s="365">
        <f t="shared" si="98"/>
        <v>0.29999999999999982</v>
      </c>
      <c r="AM478" s="354"/>
      <c r="AQ478" s="354"/>
      <c r="AS478" s="726">
        <f>(O478-J478)</f>
        <v>2.8</v>
      </c>
    </row>
    <row r="479" spans="1:46" ht="13.5" thickBot="1">
      <c r="A479" s="885"/>
      <c r="B479" s="885"/>
      <c r="C479" s="9" t="s">
        <v>297</v>
      </c>
      <c r="D479" s="241" t="s">
        <v>632</v>
      </c>
      <c r="E479" s="241" t="s">
        <v>632</v>
      </c>
      <c r="F479" s="243" t="s">
        <v>646</v>
      </c>
      <c r="G479" s="241" t="s">
        <v>646</v>
      </c>
      <c r="H479" s="196">
        <f>'State DisAgg LFx10 (2014)'!D469</f>
        <v>1</v>
      </c>
      <c r="I479" s="244" t="s">
        <v>646</v>
      </c>
      <c r="J479" s="195"/>
      <c r="K479" s="196"/>
      <c r="L479" s="196"/>
      <c r="M479" s="197"/>
      <c r="N479" s="195"/>
      <c r="O479" s="196">
        <f>'State DisAgg LFx10 (2014)'!H479</f>
        <v>1</v>
      </c>
      <c r="P479" s="196"/>
      <c r="Q479" s="197"/>
      <c r="R479" s="195"/>
      <c r="S479" s="196"/>
      <c r="T479" s="196"/>
      <c r="U479" s="197">
        <f>'State DisAgg LFx10 (2014)'!L479</f>
        <v>2</v>
      </c>
      <c r="V479" s="195"/>
      <c r="W479" s="196"/>
      <c r="X479" s="196"/>
      <c r="Y479" s="197">
        <f>'State DisAgg LFx10 (2014)'!P479</f>
        <v>4.3</v>
      </c>
      <c r="Z479" s="195"/>
      <c r="AA479" s="196"/>
      <c r="AB479" s="196"/>
      <c r="AC479" s="197">
        <f>'State DisAgg LFx10 (2014)'!T479</f>
        <v>4.5</v>
      </c>
      <c r="AD479" s="195"/>
      <c r="AE479" s="197"/>
      <c r="AI479" s="364">
        <f>O479-J479</f>
        <v>1</v>
      </c>
      <c r="AJ479" s="360">
        <f>U479-O479</f>
        <v>1</v>
      </c>
      <c r="AK479" s="360">
        <f t="shared" si="97"/>
        <v>2.2999999999999998</v>
      </c>
      <c r="AL479" s="365">
        <f t="shared" si="98"/>
        <v>0.20000000000000018</v>
      </c>
      <c r="AM479" s="354"/>
      <c r="AQ479" s="354"/>
      <c r="AS479" s="726">
        <f>(O479-J479)</f>
        <v>1</v>
      </c>
    </row>
    <row r="480" spans="1:46" ht="13.5" thickBot="1">
      <c r="A480" s="885"/>
      <c r="B480" s="885"/>
      <c r="C480" s="9" t="s">
        <v>298</v>
      </c>
      <c r="D480" s="241" t="s">
        <v>632</v>
      </c>
      <c r="E480" s="241" t="s">
        <v>632</v>
      </c>
      <c r="F480" s="243" t="s">
        <v>646</v>
      </c>
      <c r="G480" s="241" t="s">
        <v>646</v>
      </c>
      <c r="H480" s="196">
        <f>'State DisAgg LFx10 (2014)'!D470</f>
        <v>2</v>
      </c>
      <c r="I480" s="244" t="s">
        <v>646</v>
      </c>
      <c r="J480" s="195"/>
      <c r="K480" s="196"/>
      <c r="L480" s="196"/>
      <c r="M480" s="197"/>
      <c r="N480" s="195"/>
      <c r="O480" s="196">
        <f>'State DisAgg LFx10 (2014)'!H480</f>
        <v>1</v>
      </c>
      <c r="P480" s="196"/>
      <c r="Q480" s="197"/>
      <c r="R480" s="195"/>
      <c r="S480" s="196"/>
      <c r="T480" s="196"/>
      <c r="U480" s="197">
        <f>'State DisAgg LFx10 (2014)'!L480</f>
        <v>2.7</v>
      </c>
      <c r="V480" s="195"/>
      <c r="W480" s="196"/>
      <c r="X480" s="196"/>
      <c r="Y480" s="197">
        <f>'State DisAgg LFx10 (2014)'!P480</f>
        <v>4.3</v>
      </c>
      <c r="Z480" s="195"/>
      <c r="AA480" s="196"/>
      <c r="AB480" s="196"/>
      <c r="AC480" s="197">
        <f>'State DisAgg LFx10 (2014)'!T480</f>
        <v>4.3</v>
      </c>
      <c r="AD480" s="195"/>
      <c r="AE480" s="197"/>
      <c r="AI480" s="364">
        <f>O480-J480</f>
        <v>1</v>
      </c>
      <c r="AJ480" s="360">
        <f>U480-O480</f>
        <v>1.7000000000000002</v>
      </c>
      <c r="AK480" s="360">
        <f t="shared" si="97"/>
        <v>1.5999999999999996</v>
      </c>
      <c r="AL480" s="365">
        <f t="shared" si="98"/>
        <v>0</v>
      </c>
      <c r="AM480" s="354"/>
      <c r="AQ480" s="354"/>
      <c r="AS480" s="726">
        <f>(O480-J480)</f>
        <v>1</v>
      </c>
      <c r="AT480" s="714" t="s">
        <v>1070</v>
      </c>
    </row>
    <row r="481" spans="1:46" ht="13.5" thickBot="1">
      <c r="A481" s="885"/>
      <c r="B481" s="885"/>
      <c r="C481" s="9" t="s">
        <v>299</v>
      </c>
      <c r="D481" s="241" t="s">
        <v>632</v>
      </c>
      <c r="E481" s="241" t="s">
        <v>632</v>
      </c>
      <c r="F481" s="243" t="s">
        <v>646</v>
      </c>
      <c r="G481" s="241" t="s">
        <v>646</v>
      </c>
      <c r="H481" s="196">
        <f>'State DisAgg LFx10 (2014)'!D471</f>
        <v>1</v>
      </c>
      <c r="I481" s="244" t="s">
        <v>646</v>
      </c>
      <c r="J481" s="195"/>
      <c r="K481" s="196"/>
      <c r="L481" s="196"/>
      <c r="M481" s="197"/>
      <c r="N481" s="195"/>
      <c r="O481" s="196">
        <f>'State DisAgg LFx10 (2014)'!H481</f>
        <v>3</v>
      </c>
      <c r="P481" s="196"/>
      <c r="Q481" s="197"/>
      <c r="R481" s="195"/>
      <c r="S481" s="196"/>
      <c r="T481" s="196"/>
      <c r="U481" s="197">
        <f>'State DisAgg LFx10 (2014)'!L481</f>
        <v>3.3</v>
      </c>
      <c r="V481" s="195"/>
      <c r="W481" s="196"/>
      <c r="X481" s="196"/>
      <c r="Y481" s="197">
        <f>'State DisAgg LFx10 (2014)'!P481</f>
        <v>3.3</v>
      </c>
      <c r="Z481" s="195"/>
      <c r="AA481" s="196"/>
      <c r="AB481" s="196"/>
      <c r="AC481" s="197">
        <f>'State DisAgg LFx10 (2014)'!T481</f>
        <v>3.5</v>
      </c>
      <c r="AD481" s="195"/>
      <c r="AE481" s="197"/>
      <c r="AI481" s="364">
        <f>O481-J481</f>
        <v>3</v>
      </c>
      <c r="AJ481" s="360">
        <f>U481-O481</f>
        <v>0.29999999999999982</v>
      </c>
      <c r="AK481" s="360">
        <f t="shared" si="97"/>
        <v>0</v>
      </c>
      <c r="AL481" s="365">
        <f t="shared" si="98"/>
        <v>0.20000000000000018</v>
      </c>
      <c r="AM481" s="354"/>
      <c r="AQ481" s="354"/>
      <c r="AS481" s="726">
        <f>(O481-J481)</f>
        <v>3</v>
      </c>
      <c r="AT481" s="714">
        <f>SUM(AS477:AS481)/5</f>
        <v>1.86</v>
      </c>
    </row>
    <row r="482" spans="1:46" ht="13.5" thickBot="1">
      <c r="A482" s="885"/>
      <c r="B482" s="885"/>
      <c r="C482" s="9" t="s">
        <v>300</v>
      </c>
      <c r="D482" s="199"/>
      <c r="E482" s="200"/>
      <c r="F482" s="201"/>
      <c r="G482" s="199"/>
      <c r="H482" s="199"/>
      <c r="I482" s="200"/>
      <c r="J482" s="201"/>
      <c r="K482" s="199"/>
      <c r="L482" s="199"/>
      <c r="M482" s="200"/>
      <c r="N482" s="198"/>
      <c r="O482" s="217" t="s">
        <v>634</v>
      </c>
      <c r="P482" s="241" t="s">
        <v>632</v>
      </c>
      <c r="Q482" s="244" t="s">
        <v>646</v>
      </c>
      <c r="R482" s="195">
        <f>'State DisAgg LFx10 (2014)'!H472</f>
        <v>2</v>
      </c>
      <c r="S482" s="196"/>
      <c r="T482" s="196"/>
      <c r="U482" s="197">
        <f>'State DisAgg LFx10 (2014)'!L482</f>
        <v>2</v>
      </c>
      <c r="V482" s="195"/>
      <c r="W482" s="196"/>
      <c r="X482" s="196"/>
      <c r="Y482" s="197">
        <f>'State DisAgg LFx10 (2014)'!P482</f>
        <v>3.3</v>
      </c>
      <c r="Z482" s="195"/>
      <c r="AA482" s="196"/>
      <c r="AB482" s="196"/>
      <c r="AC482" s="197">
        <f>'State DisAgg LFx10 (2014)'!T482</f>
        <v>4.3</v>
      </c>
      <c r="AD482" s="195"/>
      <c r="AE482" s="197"/>
      <c r="AI482" s="364">
        <v>0</v>
      </c>
      <c r="AJ482" s="360">
        <f>U482-R482</f>
        <v>0</v>
      </c>
      <c r="AK482" s="360">
        <f t="shared" si="97"/>
        <v>1.2999999999999998</v>
      </c>
      <c r="AL482" s="365">
        <f t="shared" si="98"/>
        <v>1</v>
      </c>
      <c r="AM482" s="354"/>
      <c r="AQ482" s="354"/>
      <c r="AS482" s="726">
        <f>(Y482-R482)</f>
        <v>1.2999999999999998</v>
      </c>
    </row>
    <row r="483" spans="1:46" ht="13.5" thickBot="1">
      <c r="A483" s="885"/>
      <c r="B483" s="885"/>
      <c r="C483" s="9" t="s">
        <v>301</v>
      </c>
      <c r="D483" s="199"/>
      <c r="E483" s="200"/>
      <c r="F483" s="201"/>
      <c r="G483" s="199"/>
      <c r="H483" s="199"/>
      <c r="I483" s="200"/>
      <c r="J483" s="201"/>
      <c r="K483" s="199"/>
      <c r="L483" s="199"/>
      <c r="M483" s="200"/>
      <c r="N483" s="198"/>
      <c r="O483" s="217" t="s">
        <v>634</v>
      </c>
      <c r="P483" s="241" t="s">
        <v>632</v>
      </c>
      <c r="Q483" s="244" t="s">
        <v>646</v>
      </c>
      <c r="R483" s="195">
        <f>'State DisAgg LFx10 (2014)'!H473</f>
        <v>3.7</v>
      </c>
      <c r="S483" s="196"/>
      <c r="T483" s="196"/>
      <c r="U483" s="197">
        <f>'State DisAgg LFx10 (2014)'!L483</f>
        <v>3.7</v>
      </c>
      <c r="V483" s="195"/>
      <c r="W483" s="196"/>
      <c r="X483" s="196"/>
      <c r="Y483" s="197">
        <f>'State DisAgg LFx10 (2014)'!P483</f>
        <v>3.5</v>
      </c>
      <c r="Z483" s="195"/>
      <c r="AA483" s="196"/>
      <c r="AB483" s="196"/>
      <c r="AC483" s="197">
        <f>'State DisAgg LFx10 (2014)'!T483</f>
        <v>4.8</v>
      </c>
      <c r="AD483" s="195"/>
      <c r="AE483" s="197"/>
      <c r="AI483" s="364">
        <v>0</v>
      </c>
      <c r="AJ483" s="360">
        <f>U483-R483</f>
        <v>0</v>
      </c>
      <c r="AK483" s="360">
        <f t="shared" si="97"/>
        <v>-0.20000000000000018</v>
      </c>
      <c r="AL483" s="365">
        <f t="shared" si="98"/>
        <v>1.2999999999999998</v>
      </c>
      <c r="AM483" s="354"/>
      <c r="AQ483" s="354"/>
      <c r="AS483" s="726">
        <f>(Y483-R483)</f>
        <v>-0.20000000000000018</v>
      </c>
      <c r="AT483" s="714" t="s">
        <v>1071</v>
      </c>
    </row>
    <row r="484" spans="1:46" ht="13.5" thickBot="1">
      <c r="A484" s="885"/>
      <c r="B484" s="885"/>
      <c r="C484" s="9" t="s">
        <v>302</v>
      </c>
      <c r="D484" s="199"/>
      <c r="E484" s="200"/>
      <c r="F484" s="201"/>
      <c r="G484" s="199"/>
      <c r="H484" s="199"/>
      <c r="I484" s="200"/>
      <c r="J484" s="201"/>
      <c r="K484" s="199"/>
      <c r="L484" s="199"/>
      <c r="M484" s="200"/>
      <c r="N484" s="198"/>
      <c r="O484" s="217" t="s">
        <v>634</v>
      </c>
      <c r="P484" s="241" t="s">
        <v>632</v>
      </c>
      <c r="Q484" s="244" t="s">
        <v>646</v>
      </c>
      <c r="R484" s="195">
        <f>'State DisAgg LFx10 (2014)'!H474</f>
        <v>1.7</v>
      </c>
      <c r="S484" s="196"/>
      <c r="T484" s="196"/>
      <c r="U484" s="197">
        <f>'State DisAgg LFx10 (2014)'!L484</f>
        <v>1.7</v>
      </c>
      <c r="V484" s="195"/>
      <c r="W484" s="196"/>
      <c r="X484" s="196"/>
      <c r="Y484" s="197">
        <f>'State DisAgg LFx10 (2014)'!P484</f>
        <v>2.2999999999999998</v>
      </c>
      <c r="Z484" s="195"/>
      <c r="AA484" s="196"/>
      <c r="AB484" s="196"/>
      <c r="AC484" s="197">
        <f>'State DisAgg LFx10 (2014)'!T484</f>
        <v>3.8</v>
      </c>
      <c r="AD484" s="195"/>
      <c r="AE484" s="197"/>
      <c r="AI484" s="364">
        <v>0</v>
      </c>
      <c r="AJ484" s="360">
        <f>U484-R484</f>
        <v>0</v>
      </c>
      <c r="AK484" s="360">
        <f t="shared" si="97"/>
        <v>0.59999999999999987</v>
      </c>
      <c r="AL484" s="365">
        <f t="shared" si="98"/>
        <v>1.5</v>
      </c>
      <c r="AM484" s="354"/>
      <c r="AQ484" s="354"/>
      <c r="AS484" s="729">
        <f>(Y484-R484)</f>
        <v>0.59999999999999987</v>
      </c>
      <c r="AT484" s="728">
        <f>SUM(AS482:AS484)/3</f>
        <v>0.56666666666666654</v>
      </c>
    </row>
    <row r="485" spans="1:46" ht="13.5" thickBot="1">
      <c r="A485" s="885"/>
      <c r="B485" s="885"/>
      <c r="C485" s="9" t="s">
        <v>303</v>
      </c>
      <c r="D485" s="202"/>
      <c r="E485" s="203"/>
      <c r="F485" s="201"/>
      <c r="G485" s="202"/>
      <c r="H485" s="202"/>
      <c r="I485" s="203"/>
      <c r="J485" s="201"/>
      <c r="K485" s="202"/>
      <c r="L485" s="202"/>
      <c r="M485" s="203"/>
      <c r="N485" s="204"/>
      <c r="O485" s="214"/>
      <c r="P485" s="205"/>
      <c r="Q485" s="205"/>
      <c r="R485" s="201"/>
      <c r="S485" s="202"/>
      <c r="T485" s="202"/>
      <c r="U485" s="203"/>
      <c r="V485" s="242"/>
      <c r="W485" s="217" t="s">
        <v>633</v>
      </c>
      <c r="X485" s="241" t="s">
        <v>632</v>
      </c>
      <c r="Y485" s="197">
        <f>'State DisAgg LFx10 (2014)'!P475</f>
        <v>1.8</v>
      </c>
      <c r="Z485" s="195"/>
      <c r="AA485" s="196"/>
      <c r="AB485" s="196"/>
      <c r="AC485" s="197">
        <f>'State DisAgg LFx10 (2014)'!T485</f>
        <v>1.8</v>
      </c>
      <c r="AD485" s="195"/>
      <c r="AE485" s="197"/>
      <c r="AI485" s="364">
        <f>O485-J485</f>
        <v>0</v>
      </c>
      <c r="AJ485" s="360">
        <f>U485-O485</f>
        <v>0</v>
      </c>
      <c r="AK485" s="360">
        <f t="shared" si="97"/>
        <v>1.8</v>
      </c>
      <c r="AL485" s="365">
        <f t="shared" si="98"/>
        <v>0</v>
      </c>
      <c r="AM485" s="354"/>
      <c r="AQ485" s="354"/>
      <c r="AS485" s="728"/>
    </row>
    <row r="486" spans="1:46" ht="13.5" thickBot="1">
      <c r="A486" s="885"/>
      <c r="B486" s="885"/>
      <c r="C486" s="9" t="s">
        <v>304</v>
      </c>
      <c r="D486" s="202"/>
      <c r="E486" s="203"/>
      <c r="F486" s="201"/>
      <c r="G486" s="202"/>
      <c r="H486" s="202"/>
      <c r="I486" s="203"/>
      <c r="J486" s="201"/>
      <c r="K486" s="202"/>
      <c r="L486" s="202"/>
      <c r="M486" s="203"/>
      <c r="N486" s="204"/>
      <c r="O486" s="205"/>
      <c r="P486" s="205"/>
      <c r="Q486" s="205"/>
      <c r="R486" s="201"/>
      <c r="S486" s="202"/>
      <c r="T486" s="202"/>
      <c r="U486" s="203"/>
      <c r="V486" s="242"/>
      <c r="W486" s="217" t="s">
        <v>633</v>
      </c>
      <c r="X486" s="241" t="s">
        <v>632</v>
      </c>
      <c r="Y486" s="197">
        <f>'State DisAgg LFx10 (2014)'!P476</f>
        <v>1.8</v>
      </c>
      <c r="Z486" s="195"/>
      <c r="AA486" s="196"/>
      <c r="AB486" s="196"/>
      <c r="AC486" s="197">
        <f>'State DisAgg LFx10 (2014)'!T486</f>
        <v>1.8</v>
      </c>
      <c r="AD486" s="195"/>
      <c r="AE486" s="197"/>
      <c r="AI486" s="366">
        <f>O486-J486</f>
        <v>0</v>
      </c>
      <c r="AJ486" s="367">
        <f>U486-O486</f>
        <v>0</v>
      </c>
      <c r="AK486" s="367">
        <f t="shared" si="97"/>
        <v>1.8</v>
      </c>
      <c r="AL486" s="368">
        <f t="shared" si="98"/>
        <v>0</v>
      </c>
      <c r="AM486" s="354"/>
      <c r="AQ486" s="354"/>
    </row>
    <row r="487" spans="1:46" ht="12.95" hidden="1" customHeight="1" thickBot="1">
      <c r="A487" s="885"/>
      <c r="B487" s="501"/>
      <c r="C487" s="231"/>
      <c r="D487" s="232"/>
      <c r="E487" s="233"/>
      <c r="F487" s="234"/>
      <c r="G487" s="232"/>
      <c r="H487" s="232"/>
      <c r="I487" s="233"/>
      <c r="J487" s="234"/>
      <c r="K487" s="232"/>
      <c r="L487" s="232"/>
      <c r="M487" s="233"/>
      <c r="N487" s="234"/>
      <c r="O487" s="232"/>
      <c r="P487" s="232"/>
      <c r="Q487" s="233"/>
      <c r="R487" s="234"/>
      <c r="S487" s="232"/>
      <c r="T487" s="232"/>
      <c r="U487" s="233"/>
      <c r="V487" s="234"/>
      <c r="W487" s="232"/>
      <c r="X487" s="232"/>
      <c r="Y487" s="233"/>
      <c r="Z487" s="234"/>
      <c r="AA487" s="232"/>
      <c r="AB487" s="232"/>
      <c r="AC487" s="233"/>
      <c r="AD487" s="234"/>
      <c r="AE487" s="233"/>
      <c r="AI487" s="354">
        <f>O487-J487</f>
        <v>0</v>
      </c>
      <c r="AJ487" s="354">
        <f>U487-O487</f>
        <v>0</v>
      </c>
      <c r="AK487" s="354">
        <f t="shared" si="97"/>
        <v>0</v>
      </c>
      <c r="AQ487" s="354"/>
    </row>
    <row r="488" spans="1:46" ht="12.95" hidden="1" customHeight="1" thickBot="1">
      <c r="A488" s="885"/>
      <c r="B488" s="501"/>
      <c r="C488" s="231"/>
      <c r="D488" s="232"/>
      <c r="E488" s="233"/>
      <c r="F488" s="234"/>
      <c r="G488" s="232"/>
      <c r="H488" s="232"/>
      <c r="I488" s="233"/>
      <c r="J488" s="234"/>
      <c r="K488" s="232"/>
      <c r="L488" s="232"/>
      <c r="M488" s="233"/>
      <c r="N488" s="234"/>
      <c r="O488" s="232"/>
      <c r="P488" s="232"/>
      <c r="Q488" s="233"/>
      <c r="R488" s="234"/>
      <c r="S488" s="232"/>
      <c r="T488" s="232"/>
      <c r="U488" s="233"/>
      <c r="V488" s="234"/>
      <c r="W488" s="232"/>
      <c r="X488" s="232"/>
      <c r="Y488" s="233"/>
      <c r="Z488" s="234"/>
      <c r="AA488" s="232"/>
      <c r="AB488" s="232"/>
      <c r="AC488" s="233"/>
      <c r="AD488" s="234"/>
      <c r="AE488" s="233"/>
      <c r="AI488" s="354">
        <f>O488-J488</f>
        <v>0</v>
      </c>
      <c r="AJ488" s="354">
        <f>U488-O488</f>
        <v>0</v>
      </c>
      <c r="AK488" s="354">
        <f t="shared" si="97"/>
        <v>0</v>
      </c>
      <c r="AQ488" s="354"/>
    </row>
    <row r="489" spans="1:46" ht="12.95" customHeight="1" thickBot="1">
      <c r="A489" s="885"/>
      <c r="B489" s="3" t="s">
        <v>34</v>
      </c>
      <c r="C489" s="12"/>
      <c r="D489" s="1377">
        <v>2008</v>
      </c>
      <c r="E489" s="1378"/>
      <c r="F489" s="1372">
        <v>2009</v>
      </c>
      <c r="G489" s="1373"/>
      <c r="H489" s="1373"/>
      <c r="I489" s="1374"/>
      <c r="J489" s="1372">
        <v>2010</v>
      </c>
      <c r="K489" s="1373"/>
      <c r="L489" s="1373"/>
      <c r="M489" s="1374"/>
      <c r="N489" s="1372">
        <v>2011</v>
      </c>
      <c r="O489" s="1373"/>
      <c r="P489" s="1373"/>
      <c r="Q489" s="1374"/>
      <c r="R489" s="1372">
        <v>2012</v>
      </c>
      <c r="S489" s="1373"/>
      <c r="T489" s="1373"/>
      <c r="U489" s="1374"/>
      <c r="V489" s="1372">
        <v>2013</v>
      </c>
      <c r="W489" s="1373"/>
      <c r="X489" s="1373"/>
      <c r="Y489" s="1374"/>
      <c r="Z489" s="1372">
        <v>2014</v>
      </c>
      <c r="AA489" s="1373"/>
      <c r="AB489" s="1373"/>
      <c r="AC489" s="1374"/>
      <c r="AD489" s="1372">
        <v>2015</v>
      </c>
      <c r="AE489" s="1374"/>
      <c r="AG489" s="257" t="s">
        <v>663</v>
      </c>
      <c r="AL489" s="351"/>
      <c r="AM489" s="351"/>
      <c r="AS489" s="716" t="s">
        <v>1044</v>
      </c>
    </row>
    <row r="490" spans="1:46" ht="13.5" thickBot="1">
      <c r="A490" s="885"/>
      <c r="B490" s="868" t="s">
        <v>68</v>
      </c>
      <c r="C490" s="194" t="s">
        <v>610</v>
      </c>
      <c r="D490" s="206"/>
      <c r="E490" s="207"/>
      <c r="F490" s="209"/>
      <c r="G490" s="206"/>
      <c r="H490" s="206"/>
      <c r="I490" s="207"/>
      <c r="J490" s="209"/>
      <c r="K490" s="206"/>
      <c r="L490" s="206"/>
      <c r="M490" s="207"/>
      <c r="N490" s="277"/>
      <c r="O490" s="278">
        <f>(O500-H500)/7/$C$698/Spend!O490*'State Efficiency Ratios (2014)'!$C$655</f>
        <v>66.902278262345675</v>
      </c>
      <c r="P490" s="278"/>
      <c r="Q490" s="279"/>
      <c r="R490" s="277"/>
      <c r="S490" s="278"/>
      <c r="T490" s="278"/>
      <c r="U490" s="278">
        <f>(U500-O500)/6/$C$698/Spend!U490*'State Efficiency Ratios (2014)'!$C$655</f>
        <v>-20.817014485229741</v>
      </c>
      <c r="V490" s="277"/>
      <c r="W490" s="278"/>
      <c r="X490" s="278"/>
      <c r="Y490" s="278">
        <f>(Y500-U500)/4/$C$698/Spend!Y490*'State Efficiency Ratios (2014)'!$C$655</f>
        <v>214.90662137331904</v>
      </c>
      <c r="Z490" s="277"/>
      <c r="AA490" s="278"/>
      <c r="AB490" s="278"/>
      <c r="AC490" s="278">
        <f>(AC500-Y500)/4/$C$698/Spend!AC490*'State Efficiency Ratios (2014)'!$C$655</f>
        <v>148.66618391433039</v>
      </c>
      <c r="AD490" s="208"/>
      <c r="AE490" s="213"/>
      <c r="AG490" s="410"/>
      <c r="AM490" s="356"/>
      <c r="AQ490" s="356"/>
      <c r="AS490" s="717">
        <f>(O500-H500)/7/$C$673/Spend!O490*'State Efficiency Ratios (2014)'!$C$655</f>
        <v>66.902278262345675</v>
      </c>
    </row>
    <row r="491" spans="1:46" ht="13.5" thickBot="1">
      <c r="A491" s="885"/>
      <c r="B491" s="885"/>
      <c r="C491" s="194" t="s">
        <v>611</v>
      </c>
      <c r="D491" s="206"/>
      <c r="E491" s="207"/>
      <c r="F491" s="209"/>
      <c r="G491" s="206"/>
      <c r="H491" s="206"/>
      <c r="I491" s="207"/>
      <c r="J491" s="209"/>
      <c r="K491" s="206"/>
      <c r="L491" s="206"/>
      <c r="M491" s="207"/>
      <c r="N491" s="277"/>
      <c r="O491" s="278">
        <f>(O501-H501)/7/$C$698/Spend!O491*'State Efficiency Ratios (2014)'!$C$655</f>
        <v>49.662783108194965</v>
      </c>
      <c r="P491" s="278"/>
      <c r="Q491" s="279"/>
      <c r="R491" s="277"/>
      <c r="S491" s="278"/>
      <c r="T491" s="278"/>
      <c r="U491" s="278">
        <f>(U501-O501)/6/$C$698/Spend!U491*'State Efficiency Ratios (2014)'!$C$655</f>
        <v>22.590577529393119</v>
      </c>
      <c r="V491" s="277"/>
      <c r="W491" s="278"/>
      <c r="X491" s="278"/>
      <c r="Y491" s="278">
        <f>(Y501-U501)/4/$C$698/Spend!Y491*'State Efficiency Ratios (2014)'!$C$655</f>
        <v>256.56171181551156</v>
      </c>
      <c r="Z491" s="277"/>
      <c r="AA491" s="278"/>
      <c r="AB491" s="278"/>
      <c r="AC491" s="278">
        <f>(AC501-Y501)/4/$C$698/Spend!AC491*'State Efficiency Ratios (2014)'!$C$655</f>
        <v>205.70360087542551</v>
      </c>
      <c r="AD491" s="208"/>
      <c r="AE491" s="213"/>
      <c r="AG491" s="410"/>
      <c r="AM491" s="378"/>
      <c r="AS491" s="719">
        <f>(O501-H501)/7/$C$673/Spend!O491*'State Efficiency Ratios (2014)'!$C$655</f>
        <v>49.662783108194965</v>
      </c>
    </row>
    <row r="492" spans="1:46" ht="13.5" thickBot="1">
      <c r="A492" s="885"/>
      <c r="B492" s="885"/>
      <c r="C492" s="194" t="s">
        <v>612</v>
      </c>
      <c r="D492" s="206"/>
      <c r="E492" s="207"/>
      <c r="F492" s="209"/>
      <c r="G492" s="206"/>
      <c r="H492" s="206"/>
      <c r="I492" s="207"/>
      <c r="J492" s="209"/>
      <c r="K492" s="206"/>
      <c r="L492" s="206"/>
      <c r="M492" s="207"/>
      <c r="N492" s="277"/>
      <c r="O492" s="278">
        <f>(O502-H502)/7/$C$698/Spend!O492*'State Efficiency Ratios (2014)'!$C$655</f>
        <v>0</v>
      </c>
      <c r="P492" s="278"/>
      <c r="Q492" s="279"/>
      <c r="R492" s="277"/>
      <c r="S492" s="278"/>
      <c r="T492" s="278"/>
      <c r="U492" s="278">
        <f>(U502-O502)/6/$C$698/Spend!U492*'State Efficiency Ratios (2014)'!$C$655</f>
        <v>127.30532626417016</v>
      </c>
      <c r="V492" s="277"/>
      <c r="W492" s="278"/>
      <c r="X492" s="278"/>
      <c r="Y492" s="278">
        <f>(Y502-U502)/4/$C$698/Spend!Y492*'State Efficiency Ratios (2014)'!$C$655</f>
        <v>99.031851473894847</v>
      </c>
      <c r="Z492" s="277"/>
      <c r="AA492" s="278"/>
      <c r="AB492" s="278"/>
      <c r="AC492" s="278">
        <f>(AC502-Y502)/4/$C$698/Spend!AC492*'State Efficiency Ratios (2014)'!$C$655</f>
        <v>85.604738405239999</v>
      </c>
      <c r="AD492" s="208"/>
      <c r="AE492" s="213"/>
      <c r="AG492" s="410" t="s">
        <v>1086</v>
      </c>
      <c r="AS492" s="719">
        <f>(O502-H502)/7/$C$673/Spend!O492*'State Efficiency Ratios (2014)'!$C$655</f>
        <v>0</v>
      </c>
    </row>
    <row r="493" spans="1:46" ht="13.5" thickBot="1">
      <c r="A493" s="885"/>
      <c r="B493" s="885"/>
      <c r="C493" s="194" t="s">
        <v>613</v>
      </c>
      <c r="D493" s="206"/>
      <c r="E493" s="207"/>
      <c r="F493" s="209"/>
      <c r="G493" s="206"/>
      <c r="H493" s="206"/>
      <c r="I493" s="207"/>
      <c r="J493" s="209"/>
      <c r="K493" s="206"/>
      <c r="L493" s="206"/>
      <c r="M493" s="207"/>
      <c r="N493" s="277"/>
      <c r="O493" s="278">
        <f>(O503-H503)/7/$C$698/Spend!O493*'State Efficiency Ratios (2014)'!$C$655</f>
        <v>43.747500083875671</v>
      </c>
      <c r="P493" s="278"/>
      <c r="Q493" s="279"/>
      <c r="R493" s="277"/>
      <c r="S493" s="278"/>
      <c r="T493" s="278"/>
      <c r="U493" s="278">
        <f>(U503-O503)/6/$C$698/Spend!U493*'State Efficiency Ratios (2014)'!$C$655</f>
        <v>-32.692500683209587</v>
      </c>
      <c r="V493" s="277"/>
      <c r="W493" s="278"/>
      <c r="X493" s="278"/>
      <c r="Y493" s="278">
        <f>(Y503-U503)/4/$C$698/Spend!Y493*'State Efficiency Ratios (2014)'!$C$655</f>
        <v>327.40232333394209</v>
      </c>
      <c r="Z493" s="277"/>
      <c r="AA493" s="278"/>
      <c r="AB493" s="278"/>
      <c r="AC493" s="278">
        <f>(AC503-Y503)/4/$C$698/Spend!AC493*'State Efficiency Ratios (2014)'!$C$655</f>
        <v>367.11523473122611</v>
      </c>
      <c r="AD493" s="208"/>
      <c r="AE493" s="213"/>
      <c r="AG493" s="410" t="s">
        <v>1090</v>
      </c>
      <c r="AS493" s="719">
        <f>(O503-H503)/7/$C$673/Spend!O493*'State Efficiency Ratios (2014)'!$C$655</f>
        <v>43.747500083875671</v>
      </c>
      <c r="AT493" s="714" t="s">
        <v>1070</v>
      </c>
    </row>
    <row r="494" spans="1:46" ht="13.5" thickBot="1">
      <c r="A494" s="885"/>
      <c r="B494" s="885"/>
      <c r="C494" s="194" t="s">
        <v>614</v>
      </c>
      <c r="D494" s="206"/>
      <c r="E494" s="207"/>
      <c r="F494" s="209"/>
      <c r="G494" s="206"/>
      <c r="H494" s="206"/>
      <c r="I494" s="207"/>
      <c r="J494" s="209"/>
      <c r="K494" s="206"/>
      <c r="L494" s="206"/>
      <c r="M494" s="207"/>
      <c r="N494" s="277"/>
      <c r="O494" s="278">
        <f>(O504-H504)/7/$C$698/Spend!O494*'State Efficiency Ratios (2014)'!$C$655</f>
        <v>34.540696470385292</v>
      </c>
      <c r="P494" s="278"/>
      <c r="Q494" s="279"/>
      <c r="R494" s="277"/>
      <c r="S494" s="278"/>
      <c r="T494" s="278"/>
      <c r="U494" s="278">
        <f>(U504-O504)/6/$C$698/Spend!U494*'State Efficiency Ratios (2014)'!$C$655</f>
        <v>-28.783509260571574</v>
      </c>
      <c r="V494" s="277"/>
      <c r="W494" s="278"/>
      <c r="X494" s="278"/>
      <c r="Y494" s="278">
        <f>(Y504-U504)/4/$C$698/Spend!Y494*'State Efficiency Ratios (2014)'!$C$655</f>
        <v>99.706216696842176</v>
      </c>
      <c r="Z494" s="277"/>
      <c r="AA494" s="278"/>
      <c r="AB494" s="278"/>
      <c r="AC494" s="278">
        <f>(AC504-Y504)/4/$C$698/Spend!AC494*'State Efficiency Ratios (2014)'!$C$655</f>
        <v>62.225020706512197</v>
      </c>
      <c r="AD494" s="208"/>
      <c r="AE494" s="213"/>
      <c r="AG494" s="410" t="s">
        <v>1088</v>
      </c>
      <c r="AS494" s="719">
        <f>(O504-H504)/7/$C$673/Spend!O494*'State Efficiency Ratios (2014)'!$C$655</f>
        <v>34.540696470385292</v>
      </c>
      <c r="AT494" s="721">
        <f>SUM(AS490:AS494)/5</f>
        <v>38.970651584960322</v>
      </c>
    </row>
    <row r="495" spans="1:46" ht="12.95" customHeight="1" thickBot="1">
      <c r="A495" s="885"/>
      <c r="B495" s="885"/>
      <c r="C495" s="194" t="s">
        <v>615</v>
      </c>
      <c r="D495" s="210"/>
      <c r="E495" s="211"/>
      <c r="F495" s="209"/>
      <c r="G495" s="210"/>
      <c r="H495" s="210"/>
      <c r="I495" s="211"/>
      <c r="J495" s="209"/>
      <c r="K495" s="210"/>
      <c r="L495" s="210"/>
      <c r="M495" s="211"/>
      <c r="N495" s="281"/>
      <c r="O495" s="282"/>
      <c r="P495" s="282"/>
      <c r="Q495" s="282"/>
      <c r="R495" s="277"/>
      <c r="S495" s="278"/>
      <c r="T495" s="278"/>
      <c r="U495" s="278">
        <f>(U505-R505)/3/$C$698/Spend!U495*'State Efficiency Ratios (2014)'!$C$655</f>
        <v>0</v>
      </c>
      <c r="V495" s="277"/>
      <c r="W495" s="278"/>
      <c r="X495" s="278"/>
      <c r="Y495" s="278">
        <f>(Y505-U505)/4/$C$698/Spend!Y495*'State Efficiency Ratios (2014)'!$C$655</f>
        <v>943.05990502115844</v>
      </c>
      <c r="Z495" s="277"/>
      <c r="AA495" s="278"/>
      <c r="AB495" s="278"/>
      <c r="AC495" s="278">
        <f>(AC505-Y505)/4/$C$698/Spend!AC495*'State Efficiency Ratios (2014)'!$C$655</f>
        <v>211.93457690196234</v>
      </c>
      <c r="AD495" s="208"/>
      <c r="AE495" s="213"/>
      <c r="AG495" s="410"/>
      <c r="AI495" s="4" t="s">
        <v>1053</v>
      </c>
      <c r="AS495" s="719">
        <f>(Y505-R505)/7/$C$673/(Spend!U495+Spend!Y495)*'State Efficiency Ratios (2014)'!$C$655</f>
        <v>214.02354773239347</v>
      </c>
    </row>
    <row r="496" spans="1:46" ht="12.95" customHeight="1" thickBot="1">
      <c r="A496" s="885"/>
      <c r="B496" s="885"/>
      <c r="C496" s="194" t="s">
        <v>616</v>
      </c>
      <c r="D496" s="210"/>
      <c r="E496" s="211"/>
      <c r="F496" s="209"/>
      <c r="G496" s="210"/>
      <c r="H496" s="210"/>
      <c r="I496" s="211"/>
      <c r="J496" s="209"/>
      <c r="K496" s="210"/>
      <c r="L496" s="210"/>
      <c r="M496" s="211"/>
      <c r="N496" s="281"/>
      <c r="O496" s="282"/>
      <c r="P496" s="282"/>
      <c r="Q496" s="282"/>
      <c r="R496" s="277"/>
      <c r="S496" s="278"/>
      <c r="T496" s="278"/>
      <c r="U496" s="278">
        <f>(U506-R506)/3/$C$698/Spend!U496*'State Efficiency Ratios (2014)'!$C$655</f>
        <v>0</v>
      </c>
      <c r="V496" s="277"/>
      <c r="W496" s="278"/>
      <c r="X496" s="278"/>
      <c r="Y496" s="278">
        <f>(Y506-U506)/4/$C$698/Spend!Y496*'State Efficiency Ratios (2014)'!$C$655</f>
        <v>237.28850546784159</v>
      </c>
      <c r="Z496" s="277"/>
      <c r="AA496" s="278"/>
      <c r="AB496" s="278"/>
      <c r="AC496" s="278">
        <f>(AC506-Y506)/4/$C$698/Spend!AC496*'State Efficiency Ratios (2014)'!$C$655</f>
        <v>462.38588787808118</v>
      </c>
      <c r="AD496" s="208"/>
      <c r="AE496" s="213"/>
      <c r="AG496" s="410" t="s">
        <v>1084</v>
      </c>
      <c r="AH496" s="355" t="s">
        <v>1052</v>
      </c>
      <c r="AI496" s="599">
        <f>4/5*SUM(AI500:AI504)/5</f>
        <v>1.6800000000000002</v>
      </c>
      <c r="AJ496" s="592">
        <f>4/6*SUM(AJ500:AJ504)/5</f>
        <v>0.08</v>
      </c>
      <c r="AK496" s="592">
        <f>SUM(AK500:AK507)/8</f>
        <v>0.66249999999999998</v>
      </c>
      <c r="AL496" s="594">
        <f>SUM(AL500:AL507)/8</f>
        <v>0.89999999999999991</v>
      </c>
      <c r="AS496" s="719">
        <f>(Y506-R506)/7/$C$673/(Spend!U496+Spend!Y496)*'State Efficiency Ratios (2014)'!$C$655</f>
        <v>54.079751199092037</v>
      </c>
      <c r="AT496" s="714" t="s">
        <v>1071</v>
      </c>
    </row>
    <row r="497" spans="1:46" ht="12.95" customHeight="1" thickBot="1">
      <c r="A497" s="885"/>
      <c r="B497" s="885"/>
      <c r="C497" s="194" t="s">
        <v>617</v>
      </c>
      <c r="D497" s="210"/>
      <c r="E497" s="211"/>
      <c r="F497" s="209"/>
      <c r="G497" s="210"/>
      <c r="H497" s="210"/>
      <c r="I497" s="211"/>
      <c r="J497" s="209"/>
      <c r="K497" s="210"/>
      <c r="L497" s="210"/>
      <c r="M497" s="211"/>
      <c r="N497" s="281"/>
      <c r="O497" s="282"/>
      <c r="P497" s="282"/>
      <c r="Q497" s="282"/>
      <c r="R497" s="277"/>
      <c r="S497" s="278"/>
      <c r="T497" s="278"/>
      <c r="U497" s="278">
        <f>(U507-R507)/3/$C$698/Spend!U497*'State Efficiency Ratios (2014)'!$C$655</f>
        <v>0</v>
      </c>
      <c r="V497" s="277"/>
      <c r="W497" s="278"/>
      <c r="X497" s="278"/>
      <c r="Y497" s="278">
        <f>(Y507-U507)/4/$C$698/Spend!Y497*'State Efficiency Ratios (2014)'!$C$655</f>
        <v>36.171985538119024</v>
      </c>
      <c r="Z497" s="277"/>
      <c r="AA497" s="278"/>
      <c r="AB497" s="278"/>
      <c r="AC497" s="278">
        <f>(AC507-Y507)/4/$C$698/Spend!AC497*'State Efficiency Ratios (2014)'!$C$655</f>
        <v>307.13571924143133</v>
      </c>
      <c r="AD497" s="208"/>
      <c r="AE497" s="213"/>
      <c r="AG497" s="410" t="s">
        <v>1089</v>
      </c>
      <c r="AH497" s="355" t="s">
        <v>1051</v>
      </c>
      <c r="AI497" s="606">
        <f>SUM(O490:O494)/5</f>
        <v>38.970651584960322</v>
      </c>
      <c r="AJ497" s="607">
        <f>SUM(U490:U494)/5</f>
        <v>13.520575872910475</v>
      </c>
      <c r="AK497" s="607">
        <f>SUM(Y490:Y497)/8</f>
        <v>276.76614009007858</v>
      </c>
      <c r="AL497" s="608">
        <f>SUM(AC490:AC497)/8</f>
        <v>231.34637033177611</v>
      </c>
      <c r="AS497" s="722">
        <f>(Y507-R507)/7/$C$673/(Spend!U497+Spend!Y497)*'State Efficiency Ratios (2014)'!$C$655</f>
        <v>13.963702260211591</v>
      </c>
      <c r="AT497" s="721">
        <f>SUM(AS495:AS497)/3</f>
        <v>94.022333730565677</v>
      </c>
    </row>
    <row r="498" spans="1:46" ht="12.95" customHeight="1" thickBot="1">
      <c r="A498" s="885"/>
      <c r="B498" s="885"/>
      <c r="C498" s="194" t="s">
        <v>618</v>
      </c>
      <c r="D498" s="210"/>
      <c r="E498" s="211"/>
      <c r="F498" s="209"/>
      <c r="G498" s="210"/>
      <c r="H498" s="210"/>
      <c r="I498" s="211"/>
      <c r="J498" s="209"/>
      <c r="K498" s="210"/>
      <c r="L498" s="210"/>
      <c r="M498" s="211"/>
      <c r="N498" s="281"/>
      <c r="O498" s="282"/>
      <c r="P498" s="282"/>
      <c r="Q498" s="283"/>
      <c r="R498" s="281"/>
      <c r="S498" s="282"/>
      <c r="T498" s="282"/>
      <c r="U498" s="283"/>
      <c r="V498" s="281"/>
      <c r="W498" s="282"/>
      <c r="X498" s="282"/>
      <c r="Y498" s="283"/>
      <c r="Z498" s="277"/>
      <c r="AA498" s="278"/>
      <c r="AB498" s="278"/>
      <c r="AC498" s="278">
        <f>(AC508-Y508)/4/$C$698/Spend!AC498*'State Efficiency Ratios (2014)'!$C$655</f>
        <v>0</v>
      </c>
      <c r="AD498" s="208"/>
      <c r="AE498" s="213"/>
      <c r="AG498" s="410"/>
    </row>
    <row r="499" spans="1:46" ht="12.95" customHeight="1" thickBot="1">
      <c r="A499" s="885"/>
      <c r="B499" s="885"/>
      <c r="C499" s="194" t="s">
        <v>619</v>
      </c>
      <c r="D499" s="210"/>
      <c r="E499" s="211"/>
      <c r="F499" s="209"/>
      <c r="G499" s="210"/>
      <c r="H499" s="210"/>
      <c r="I499" s="211"/>
      <c r="J499" s="209"/>
      <c r="K499" s="210"/>
      <c r="L499" s="210"/>
      <c r="M499" s="211"/>
      <c r="N499" s="281"/>
      <c r="O499" s="282"/>
      <c r="P499" s="282"/>
      <c r="Q499" s="283"/>
      <c r="R499" s="281"/>
      <c r="S499" s="282"/>
      <c r="T499" s="282"/>
      <c r="U499" s="283"/>
      <c r="V499" s="281"/>
      <c r="W499" s="282"/>
      <c r="X499" s="282"/>
      <c r="Y499" s="283"/>
      <c r="Z499" s="277"/>
      <c r="AA499" s="278"/>
      <c r="AB499" s="278"/>
      <c r="AC499" s="278">
        <f>(AC509-Y509)/4/$C$698/Spend!AC499*'State Efficiency Ratios (2014)'!$C$655</f>
        <v>0</v>
      </c>
      <c r="AD499" s="208"/>
      <c r="AE499" s="213"/>
      <c r="AG499" s="410"/>
      <c r="AI499" s="416" t="s">
        <v>1044</v>
      </c>
      <c r="AS499" s="716" t="s">
        <v>1044</v>
      </c>
    </row>
    <row r="500" spans="1:46" ht="13.5" thickBot="1">
      <c r="A500" s="885"/>
      <c r="B500" s="885"/>
      <c r="C500" s="9" t="s">
        <v>295</v>
      </c>
      <c r="D500" s="241" t="s">
        <v>632</v>
      </c>
      <c r="E500" s="241" t="s">
        <v>632</v>
      </c>
      <c r="F500" s="243" t="s">
        <v>646</v>
      </c>
      <c r="G500" s="241" t="s">
        <v>646</v>
      </c>
      <c r="H500" s="196">
        <f>'State DisAgg LFx10 (2014)'!D490</f>
        <v>1</v>
      </c>
      <c r="I500" s="244" t="s">
        <v>646</v>
      </c>
      <c r="J500" s="195"/>
      <c r="K500" s="196"/>
      <c r="L500" s="196"/>
      <c r="M500" s="197"/>
      <c r="N500" s="195"/>
      <c r="O500" s="196">
        <f>'State DisAgg LFx10 (2014)'!H500</f>
        <v>2.5</v>
      </c>
      <c r="P500" s="196"/>
      <c r="Q500" s="197"/>
      <c r="R500" s="195"/>
      <c r="S500" s="196"/>
      <c r="T500" s="196"/>
      <c r="U500" s="197">
        <f>'State DisAgg LFx10 (2014)'!L500</f>
        <v>2.2999999999999998</v>
      </c>
      <c r="V500" s="195"/>
      <c r="W500" s="196"/>
      <c r="X500" s="196"/>
      <c r="Y500" s="197">
        <f>'State DisAgg LFx10 (2014)'!P500</f>
        <v>3</v>
      </c>
      <c r="Z500" s="195"/>
      <c r="AA500" s="196"/>
      <c r="AB500" s="196"/>
      <c r="AC500" s="197">
        <f>'State DisAgg LFx10 (2014)'!T500</f>
        <v>3.6</v>
      </c>
      <c r="AD500" s="195"/>
      <c r="AE500" s="197"/>
      <c r="AI500" s="361">
        <f>O500-J500</f>
        <v>2.5</v>
      </c>
      <c r="AJ500" s="362">
        <f>U500-O500</f>
        <v>-0.20000000000000018</v>
      </c>
      <c r="AK500" s="362">
        <f t="shared" ref="AK500:AK511" si="99">Y500-U500</f>
        <v>0.70000000000000018</v>
      </c>
      <c r="AL500" s="363">
        <f t="shared" ref="AL500:AL509" si="100">AC500-Y500</f>
        <v>0.60000000000000009</v>
      </c>
      <c r="AM500" s="354"/>
      <c r="AQ500" s="354"/>
      <c r="AS500" s="724">
        <f>(O500-J500)</f>
        <v>2.5</v>
      </c>
    </row>
    <row r="501" spans="1:46" ht="13.5" thickBot="1">
      <c r="A501" s="885"/>
      <c r="B501" s="885"/>
      <c r="C501" s="9" t="s">
        <v>296</v>
      </c>
      <c r="D501" s="241" t="s">
        <v>632</v>
      </c>
      <c r="E501" s="241" t="s">
        <v>632</v>
      </c>
      <c r="F501" s="243" t="s">
        <v>646</v>
      </c>
      <c r="G501" s="241" t="s">
        <v>646</v>
      </c>
      <c r="H501" s="196">
        <f>'State DisAgg LFx10 (2014)'!D491</f>
        <v>1</v>
      </c>
      <c r="I501" s="244" t="s">
        <v>646</v>
      </c>
      <c r="J501" s="195"/>
      <c r="K501" s="196"/>
      <c r="L501" s="196"/>
      <c r="M501" s="197"/>
      <c r="N501" s="195"/>
      <c r="O501" s="196">
        <f>'State DisAgg LFx10 (2014)'!H501</f>
        <v>2</v>
      </c>
      <c r="P501" s="196"/>
      <c r="Q501" s="197"/>
      <c r="R501" s="195"/>
      <c r="S501" s="196"/>
      <c r="T501" s="196"/>
      <c r="U501" s="197">
        <f>'State DisAgg LFx10 (2014)'!L501</f>
        <v>2.2000000000000002</v>
      </c>
      <c r="V501" s="195"/>
      <c r="W501" s="196"/>
      <c r="X501" s="196"/>
      <c r="Y501" s="197">
        <f>'State DisAgg LFx10 (2014)'!P501</f>
        <v>3</v>
      </c>
      <c r="Z501" s="195"/>
      <c r="AA501" s="196"/>
      <c r="AB501" s="196"/>
      <c r="AC501" s="197">
        <f>'State DisAgg LFx10 (2014)'!T501</f>
        <v>3.7</v>
      </c>
      <c r="AD501" s="195"/>
      <c r="AE501" s="197"/>
      <c r="AI501" s="364">
        <f>O501-J501</f>
        <v>2</v>
      </c>
      <c r="AJ501" s="360">
        <f>U501-O501</f>
        <v>0.20000000000000018</v>
      </c>
      <c r="AK501" s="360">
        <f t="shared" si="99"/>
        <v>0.79999999999999982</v>
      </c>
      <c r="AL501" s="365">
        <f t="shared" si="100"/>
        <v>0.70000000000000018</v>
      </c>
      <c r="AM501" s="354"/>
      <c r="AQ501" s="354"/>
      <c r="AS501" s="726">
        <f>(O501-J501)</f>
        <v>2</v>
      </c>
    </row>
    <row r="502" spans="1:46" ht="13.5" thickBot="1">
      <c r="A502" s="885"/>
      <c r="B502" s="885"/>
      <c r="C502" s="9" t="s">
        <v>297</v>
      </c>
      <c r="D502" s="241" t="s">
        <v>632</v>
      </c>
      <c r="E502" s="241" t="s">
        <v>632</v>
      </c>
      <c r="F502" s="243" t="s">
        <v>646</v>
      </c>
      <c r="G502" s="241" t="s">
        <v>646</v>
      </c>
      <c r="H502" s="196">
        <f>'State DisAgg LFx10 (2014)'!D492</f>
        <v>1</v>
      </c>
      <c r="I502" s="244" t="s">
        <v>646</v>
      </c>
      <c r="J502" s="195"/>
      <c r="K502" s="196"/>
      <c r="L502" s="196"/>
      <c r="M502" s="197"/>
      <c r="N502" s="195"/>
      <c r="O502" s="196">
        <f>'State DisAgg LFx10 (2014)'!H502</f>
        <v>1</v>
      </c>
      <c r="P502" s="196"/>
      <c r="Q502" s="197"/>
      <c r="R502" s="195"/>
      <c r="S502" s="196"/>
      <c r="T502" s="196"/>
      <c r="U502" s="197">
        <f>'State DisAgg LFx10 (2014)'!L502</f>
        <v>2.2999999999999998</v>
      </c>
      <c r="V502" s="195"/>
      <c r="W502" s="196"/>
      <c r="X502" s="196"/>
      <c r="Y502" s="197">
        <f>'State DisAgg LFx10 (2014)'!P502</f>
        <v>2.6</v>
      </c>
      <c r="Z502" s="195"/>
      <c r="AA502" s="196"/>
      <c r="AB502" s="196"/>
      <c r="AC502" s="197">
        <f>'State DisAgg LFx10 (2014)'!T502</f>
        <v>2.9</v>
      </c>
      <c r="AD502" s="195"/>
      <c r="AE502" s="197"/>
      <c r="AI502" s="364">
        <f>O502-J502</f>
        <v>1</v>
      </c>
      <c r="AJ502" s="360">
        <f>U502-O502</f>
        <v>1.2999999999999998</v>
      </c>
      <c r="AK502" s="360">
        <f t="shared" si="99"/>
        <v>0.30000000000000027</v>
      </c>
      <c r="AL502" s="365">
        <f t="shared" si="100"/>
        <v>0.29999999999999982</v>
      </c>
      <c r="AM502" s="354"/>
      <c r="AQ502" s="354"/>
      <c r="AS502" s="726">
        <f>(O502-J502)</f>
        <v>1</v>
      </c>
    </row>
    <row r="503" spans="1:46" ht="13.5" thickBot="1">
      <c r="A503" s="885"/>
      <c r="B503" s="885"/>
      <c r="C503" s="9" t="s">
        <v>298</v>
      </c>
      <c r="D503" s="241" t="s">
        <v>632</v>
      </c>
      <c r="E503" s="241" t="s">
        <v>632</v>
      </c>
      <c r="F503" s="243" t="s">
        <v>646</v>
      </c>
      <c r="G503" s="241" t="s">
        <v>646</v>
      </c>
      <c r="H503" s="196">
        <f>'State DisAgg LFx10 (2014)'!D493</f>
        <v>1</v>
      </c>
      <c r="I503" s="244" t="s">
        <v>646</v>
      </c>
      <c r="J503" s="195"/>
      <c r="K503" s="196"/>
      <c r="L503" s="196"/>
      <c r="M503" s="197"/>
      <c r="N503" s="195"/>
      <c r="O503" s="196">
        <f>'State DisAgg LFx10 (2014)'!H503</f>
        <v>2</v>
      </c>
      <c r="P503" s="196"/>
      <c r="Q503" s="197"/>
      <c r="R503" s="195"/>
      <c r="S503" s="196"/>
      <c r="T503" s="196"/>
      <c r="U503" s="197">
        <f>'State DisAgg LFx10 (2014)'!L503</f>
        <v>1.6</v>
      </c>
      <c r="V503" s="195"/>
      <c r="W503" s="196"/>
      <c r="X503" s="196"/>
      <c r="Y503" s="197">
        <f>'State DisAgg LFx10 (2014)'!P503</f>
        <v>2.6</v>
      </c>
      <c r="Z503" s="195"/>
      <c r="AA503" s="196"/>
      <c r="AB503" s="196"/>
      <c r="AC503" s="197">
        <f>'State DisAgg LFx10 (2014)'!T503</f>
        <v>3.9</v>
      </c>
      <c r="AD503" s="195"/>
      <c r="AE503" s="197"/>
      <c r="AI503" s="364">
        <f>O503-J503</f>
        <v>2</v>
      </c>
      <c r="AJ503" s="360">
        <f>U503-O503</f>
        <v>-0.39999999999999991</v>
      </c>
      <c r="AK503" s="360">
        <f t="shared" si="99"/>
        <v>1</v>
      </c>
      <c r="AL503" s="365">
        <f t="shared" si="100"/>
        <v>1.2999999999999998</v>
      </c>
      <c r="AM503" s="354"/>
      <c r="AQ503" s="354"/>
      <c r="AS503" s="726">
        <f>(O503-J503)</f>
        <v>2</v>
      </c>
      <c r="AT503" s="714" t="s">
        <v>1070</v>
      </c>
    </row>
    <row r="504" spans="1:46" ht="13.5" thickBot="1">
      <c r="A504" s="885"/>
      <c r="B504" s="885"/>
      <c r="C504" s="9" t="s">
        <v>299</v>
      </c>
      <c r="D504" s="241" t="s">
        <v>632</v>
      </c>
      <c r="E504" s="241" t="s">
        <v>632</v>
      </c>
      <c r="F504" s="243" t="s">
        <v>646</v>
      </c>
      <c r="G504" s="241" t="s">
        <v>646</v>
      </c>
      <c r="H504" s="196">
        <f>'State DisAgg LFx10 (2014)'!D494</f>
        <v>2</v>
      </c>
      <c r="I504" s="244" t="s">
        <v>646</v>
      </c>
      <c r="J504" s="195"/>
      <c r="K504" s="196"/>
      <c r="L504" s="196"/>
      <c r="M504" s="197"/>
      <c r="N504" s="195"/>
      <c r="O504" s="196">
        <f>'State DisAgg LFx10 (2014)'!H504</f>
        <v>3</v>
      </c>
      <c r="P504" s="196"/>
      <c r="Q504" s="197"/>
      <c r="R504" s="195"/>
      <c r="S504" s="196"/>
      <c r="T504" s="196"/>
      <c r="U504" s="197">
        <f>'State DisAgg LFx10 (2014)'!L504</f>
        <v>2.7</v>
      </c>
      <c r="V504" s="195"/>
      <c r="W504" s="196"/>
      <c r="X504" s="196"/>
      <c r="Y504" s="197">
        <f>'State DisAgg LFx10 (2014)'!P504</f>
        <v>3</v>
      </c>
      <c r="Z504" s="195"/>
      <c r="AA504" s="196"/>
      <c r="AB504" s="196"/>
      <c r="AC504" s="197">
        <f>'State DisAgg LFx10 (2014)'!T504</f>
        <v>3.3</v>
      </c>
      <c r="AD504" s="195"/>
      <c r="AE504" s="197"/>
      <c r="AI504" s="364">
        <f>O504-J504</f>
        <v>3</v>
      </c>
      <c r="AJ504" s="360">
        <f>U504-O504</f>
        <v>-0.29999999999999982</v>
      </c>
      <c r="AK504" s="360">
        <f t="shared" si="99"/>
        <v>0.29999999999999982</v>
      </c>
      <c r="AL504" s="365">
        <f t="shared" si="100"/>
        <v>0.29999999999999982</v>
      </c>
      <c r="AM504" s="354"/>
      <c r="AQ504" s="354"/>
      <c r="AS504" s="726">
        <f>(O504-J504)</f>
        <v>3</v>
      </c>
      <c r="AT504" s="728">
        <f>SUM(AS500:AS504)/5</f>
        <v>2.1</v>
      </c>
    </row>
    <row r="505" spans="1:46" ht="13.5" thickBot="1">
      <c r="A505" s="885"/>
      <c r="B505" s="885"/>
      <c r="C505" s="9" t="s">
        <v>300</v>
      </c>
      <c r="D505" s="199"/>
      <c r="E505" s="200"/>
      <c r="F505" s="201"/>
      <c r="G505" s="199"/>
      <c r="H505" s="199"/>
      <c r="I505" s="200"/>
      <c r="J505" s="201"/>
      <c r="K505" s="199"/>
      <c r="L505" s="199"/>
      <c r="M505" s="200"/>
      <c r="N505" s="198"/>
      <c r="O505" s="217" t="s">
        <v>634</v>
      </c>
      <c r="P505" s="241" t="s">
        <v>632</v>
      </c>
      <c r="Q505" s="244" t="s">
        <v>646</v>
      </c>
      <c r="R505" s="195">
        <f>'State DisAgg LFx10 (2014)'!H495</f>
        <v>1</v>
      </c>
      <c r="S505" s="196"/>
      <c r="T505" s="196"/>
      <c r="U505" s="197">
        <f>'State DisAgg LFx10 (2014)'!L505</f>
        <v>1</v>
      </c>
      <c r="V505" s="195"/>
      <c r="W505" s="196"/>
      <c r="X505" s="196"/>
      <c r="Y505" s="197">
        <f>'State DisAgg LFx10 (2014)'!P505</f>
        <v>2.6</v>
      </c>
      <c r="Z505" s="195"/>
      <c r="AA505" s="196"/>
      <c r="AB505" s="196"/>
      <c r="AC505" s="197">
        <f>'State DisAgg LFx10 (2014)'!T505</f>
        <v>3.3</v>
      </c>
      <c r="AD505" s="195"/>
      <c r="AE505" s="197"/>
      <c r="AI505" s="364">
        <v>0</v>
      </c>
      <c r="AJ505" s="360">
        <f>U505-R505</f>
        <v>0</v>
      </c>
      <c r="AK505" s="360">
        <f t="shared" si="99"/>
        <v>1.6</v>
      </c>
      <c r="AL505" s="365">
        <f t="shared" si="100"/>
        <v>0.69999999999999973</v>
      </c>
      <c r="AM505" s="354"/>
      <c r="AQ505" s="354"/>
      <c r="AS505" s="726">
        <f>(Y505-R505)</f>
        <v>1.6</v>
      </c>
    </row>
    <row r="506" spans="1:46" ht="13.5" thickBot="1">
      <c r="A506" s="885"/>
      <c r="B506" s="885"/>
      <c r="C506" s="9" t="s">
        <v>301</v>
      </c>
      <c r="D506" s="199"/>
      <c r="E506" s="200"/>
      <c r="F506" s="201"/>
      <c r="G506" s="199"/>
      <c r="H506" s="199"/>
      <c r="I506" s="200"/>
      <c r="J506" s="201"/>
      <c r="K506" s="199"/>
      <c r="L506" s="199"/>
      <c r="M506" s="200"/>
      <c r="N506" s="198"/>
      <c r="O506" s="217" t="s">
        <v>634</v>
      </c>
      <c r="P506" s="241" t="s">
        <v>632</v>
      </c>
      <c r="Q506" s="244" t="s">
        <v>646</v>
      </c>
      <c r="R506" s="195">
        <f>'State DisAgg LFx10 (2014)'!H496</f>
        <v>2</v>
      </c>
      <c r="S506" s="196"/>
      <c r="T506" s="196"/>
      <c r="U506" s="197">
        <f>'State DisAgg LFx10 (2014)'!L506</f>
        <v>2</v>
      </c>
      <c r="V506" s="195"/>
      <c r="W506" s="196"/>
      <c r="X506" s="196"/>
      <c r="Y506" s="197">
        <f>'State DisAgg LFx10 (2014)'!P506</f>
        <v>2.4</v>
      </c>
      <c r="Z506" s="195"/>
      <c r="AA506" s="196"/>
      <c r="AB506" s="196"/>
      <c r="AC506" s="197">
        <f>'State DisAgg LFx10 (2014)'!T506</f>
        <v>4.0999999999999996</v>
      </c>
      <c r="AD506" s="195"/>
      <c r="AE506" s="197"/>
      <c r="AI506" s="364">
        <v>0</v>
      </c>
      <c r="AJ506" s="360">
        <f>U506-R506</f>
        <v>0</v>
      </c>
      <c r="AK506" s="360">
        <f t="shared" si="99"/>
        <v>0.39999999999999991</v>
      </c>
      <c r="AL506" s="365">
        <f t="shared" si="100"/>
        <v>1.6999999999999997</v>
      </c>
      <c r="AM506" s="354"/>
      <c r="AQ506" s="354"/>
      <c r="AS506" s="726">
        <f>(Y506-R506)</f>
        <v>0.39999999999999991</v>
      </c>
      <c r="AT506" s="714" t="s">
        <v>1071</v>
      </c>
    </row>
    <row r="507" spans="1:46" ht="13.5" thickBot="1">
      <c r="A507" s="885"/>
      <c r="B507" s="885"/>
      <c r="C507" s="9" t="s">
        <v>302</v>
      </c>
      <c r="D507" s="199"/>
      <c r="E507" s="200"/>
      <c r="F507" s="201"/>
      <c r="G507" s="199"/>
      <c r="H507" s="199"/>
      <c r="I507" s="200"/>
      <c r="J507" s="201"/>
      <c r="K507" s="199"/>
      <c r="L507" s="199"/>
      <c r="M507" s="200"/>
      <c r="N507" s="198"/>
      <c r="O507" s="217" t="s">
        <v>634</v>
      </c>
      <c r="P507" s="241" t="s">
        <v>632</v>
      </c>
      <c r="Q507" s="244" t="s">
        <v>646</v>
      </c>
      <c r="R507" s="195">
        <f>'State DisAgg LFx10 (2014)'!H497</f>
        <v>1.8</v>
      </c>
      <c r="S507" s="196"/>
      <c r="T507" s="196"/>
      <c r="U507" s="197">
        <f>'State DisAgg LFx10 (2014)'!L507</f>
        <v>1.8</v>
      </c>
      <c r="V507" s="195"/>
      <c r="W507" s="196"/>
      <c r="X507" s="196"/>
      <c r="Y507" s="197">
        <f>'State DisAgg LFx10 (2014)'!P507</f>
        <v>2</v>
      </c>
      <c r="Z507" s="195"/>
      <c r="AA507" s="196"/>
      <c r="AB507" s="196"/>
      <c r="AC507" s="197">
        <f>'State DisAgg LFx10 (2014)'!T507</f>
        <v>3.6</v>
      </c>
      <c r="AD507" s="195"/>
      <c r="AE507" s="197"/>
      <c r="AI507" s="364">
        <v>0</v>
      </c>
      <c r="AJ507" s="360">
        <f>U507-R507</f>
        <v>0</v>
      </c>
      <c r="AK507" s="360">
        <f t="shared" si="99"/>
        <v>0.19999999999999996</v>
      </c>
      <c r="AL507" s="365">
        <f t="shared" si="100"/>
        <v>1.6</v>
      </c>
      <c r="AM507" s="354"/>
      <c r="AQ507" s="354"/>
      <c r="AS507" s="729">
        <f>(Y507-R507)</f>
        <v>0.19999999999999996</v>
      </c>
      <c r="AT507" s="728">
        <f>SUM(AS505:AS507)/3</f>
        <v>0.73333333333333339</v>
      </c>
    </row>
    <row r="508" spans="1:46" ht="13.5" thickBot="1">
      <c r="A508" s="885"/>
      <c r="B508" s="885"/>
      <c r="C508" s="9" t="s">
        <v>303</v>
      </c>
      <c r="D508" s="202"/>
      <c r="E508" s="203"/>
      <c r="F508" s="201"/>
      <c r="G508" s="202"/>
      <c r="H508" s="202"/>
      <c r="I508" s="203"/>
      <c r="J508" s="201"/>
      <c r="K508" s="202"/>
      <c r="L508" s="202"/>
      <c r="M508" s="203"/>
      <c r="N508" s="204"/>
      <c r="O508" s="214"/>
      <c r="P508" s="205"/>
      <c r="Q508" s="205"/>
      <c r="R508" s="201"/>
      <c r="S508" s="202"/>
      <c r="T508" s="202"/>
      <c r="U508" s="203"/>
      <c r="V508" s="242"/>
      <c r="W508" s="217" t="s">
        <v>633</v>
      </c>
      <c r="X508" s="241" t="s">
        <v>632</v>
      </c>
      <c r="Y508" s="197">
        <f>'State DisAgg LFx10 (2014)'!P498</f>
        <v>1.1000000000000001</v>
      </c>
      <c r="Z508" s="195"/>
      <c r="AA508" s="196"/>
      <c r="AB508" s="196"/>
      <c r="AC508" s="197">
        <f>'State DisAgg LFx10 (2014)'!T508</f>
        <v>1.1000000000000001</v>
      </c>
      <c r="AD508" s="195"/>
      <c r="AE508" s="197"/>
      <c r="AI508" s="364">
        <f>O508-J508</f>
        <v>0</v>
      </c>
      <c r="AJ508" s="360">
        <f>U508-O508</f>
        <v>0</v>
      </c>
      <c r="AK508" s="360">
        <f t="shared" si="99"/>
        <v>1.1000000000000001</v>
      </c>
      <c r="AL508" s="365">
        <f t="shared" si="100"/>
        <v>0</v>
      </c>
      <c r="AM508" s="354"/>
      <c r="AQ508" s="354"/>
    </row>
    <row r="509" spans="1:46" ht="13.5" thickBot="1">
      <c r="A509" s="885"/>
      <c r="B509" s="885"/>
      <c r="C509" s="9" t="s">
        <v>304</v>
      </c>
      <c r="D509" s="202"/>
      <c r="E509" s="203"/>
      <c r="F509" s="201"/>
      <c r="G509" s="202"/>
      <c r="H509" s="202"/>
      <c r="I509" s="203"/>
      <c r="J509" s="201"/>
      <c r="K509" s="202"/>
      <c r="L509" s="202"/>
      <c r="M509" s="203"/>
      <c r="N509" s="204"/>
      <c r="O509" s="205"/>
      <c r="P509" s="205"/>
      <c r="Q509" s="205"/>
      <c r="R509" s="201"/>
      <c r="S509" s="202"/>
      <c r="T509" s="202"/>
      <c r="U509" s="203"/>
      <c r="V509" s="242"/>
      <c r="W509" s="217" t="s">
        <v>633</v>
      </c>
      <c r="X509" s="241" t="s">
        <v>632</v>
      </c>
      <c r="Y509" s="197">
        <f>'State DisAgg LFx10 (2014)'!P499</f>
        <v>1.1000000000000001</v>
      </c>
      <c r="Z509" s="195"/>
      <c r="AA509" s="196"/>
      <c r="AB509" s="196"/>
      <c r="AC509" s="197">
        <f>'State DisAgg LFx10 (2014)'!T509</f>
        <v>1.1000000000000001</v>
      </c>
      <c r="AD509" s="195"/>
      <c r="AE509" s="197"/>
      <c r="AI509" s="366">
        <f>O509-J509</f>
        <v>0</v>
      </c>
      <c r="AJ509" s="367">
        <f>U509-O509</f>
        <v>0</v>
      </c>
      <c r="AK509" s="367">
        <f t="shared" si="99"/>
        <v>1.1000000000000001</v>
      </c>
      <c r="AL509" s="368">
        <f t="shared" si="100"/>
        <v>0</v>
      </c>
      <c r="AM509" s="354"/>
      <c r="AQ509" s="354"/>
    </row>
    <row r="510" spans="1:46" ht="12.95" hidden="1" customHeight="1" thickBot="1">
      <c r="A510" s="885"/>
      <c r="B510" s="501"/>
      <c r="C510" s="231"/>
      <c r="D510" s="232"/>
      <c r="E510" s="233"/>
      <c r="F510" s="234"/>
      <c r="G510" s="232"/>
      <c r="H510" s="232"/>
      <c r="I510" s="233"/>
      <c r="J510" s="234"/>
      <c r="K510" s="232"/>
      <c r="L510" s="232"/>
      <c r="M510" s="233"/>
      <c r="N510" s="234"/>
      <c r="O510" s="232"/>
      <c r="P510" s="232"/>
      <c r="Q510" s="233"/>
      <c r="R510" s="234"/>
      <c r="S510" s="232"/>
      <c r="T510" s="232"/>
      <c r="U510" s="233"/>
      <c r="V510" s="234"/>
      <c r="W510" s="232"/>
      <c r="X510" s="232"/>
      <c r="Y510" s="233"/>
      <c r="Z510" s="234"/>
      <c r="AA510" s="232"/>
      <c r="AB510" s="232"/>
      <c r="AC510" s="233"/>
      <c r="AD510" s="234"/>
      <c r="AE510" s="233"/>
      <c r="AI510" s="354">
        <f>O510-J510</f>
        <v>0</v>
      </c>
      <c r="AJ510" s="354">
        <f>U510-O510</f>
        <v>0</v>
      </c>
      <c r="AK510" s="354">
        <f t="shared" si="99"/>
        <v>0</v>
      </c>
      <c r="AQ510" s="354"/>
    </row>
    <row r="511" spans="1:46" ht="12.95" hidden="1" customHeight="1" thickBot="1">
      <c r="A511" s="885"/>
      <c r="B511" s="501"/>
      <c r="C511" s="231"/>
      <c r="D511" s="232"/>
      <c r="E511" s="233"/>
      <c r="F511" s="234"/>
      <c r="G511" s="232"/>
      <c r="H511" s="232"/>
      <c r="I511" s="233"/>
      <c r="J511" s="234"/>
      <c r="K511" s="232"/>
      <c r="L511" s="232"/>
      <c r="M511" s="233"/>
      <c r="N511" s="234"/>
      <c r="O511" s="232"/>
      <c r="P511" s="232"/>
      <c r="Q511" s="233"/>
      <c r="R511" s="234"/>
      <c r="S511" s="232"/>
      <c r="T511" s="232"/>
      <c r="U511" s="233"/>
      <c r="V511" s="234"/>
      <c r="W511" s="232"/>
      <c r="X511" s="232"/>
      <c r="Y511" s="233"/>
      <c r="Z511" s="234"/>
      <c r="AA511" s="232"/>
      <c r="AB511" s="232"/>
      <c r="AC511" s="233"/>
      <c r="AD511" s="234"/>
      <c r="AE511" s="233"/>
      <c r="AI511" s="354">
        <f>O511-J511</f>
        <v>0</v>
      </c>
      <c r="AJ511" s="354">
        <f>U511-O511</f>
        <v>0</v>
      </c>
      <c r="AK511" s="354">
        <f t="shared" si="99"/>
        <v>0</v>
      </c>
      <c r="AQ511" s="354"/>
    </row>
    <row r="512" spans="1:46" ht="12.95" customHeight="1" thickBot="1">
      <c r="A512" s="885"/>
      <c r="B512" s="3" t="s">
        <v>41</v>
      </c>
      <c r="C512" s="12"/>
      <c r="D512" s="1377">
        <v>2008</v>
      </c>
      <c r="E512" s="1378"/>
      <c r="F512" s="1372">
        <v>2009</v>
      </c>
      <c r="G512" s="1373"/>
      <c r="H512" s="1373"/>
      <c r="I512" s="1374"/>
      <c r="J512" s="1372">
        <v>2010</v>
      </c>
      <c r="K512" s="1373"/>
      <c r="L512" s="1373"/>
      <c r="M512" s="1374"/>
      <c r="N512" s="1372">
        <v>2011</v>
      </c>
      <c r="O512" s="1373"/>
      <c r="P512" s="1373"/>
      <c r="Q512" s="1374"/>
      <c r="R512" s="1372">
        <v>2012</v>
      </c>
      <c r="S512" s="1373"/>
      <c r="T512" s="1373"/>
      <c r="U512" s="1374"/>
      <c r="V512" s="1372">
        <v>2013</v>
      </c>
      <c r="W512" s="1373"/>
      <c r="X512" s="1373"/>
      <c r="Y512" s="1374"/>
      <c r="Z512" s="1372">
        <v>2014</v>
      </c>
      <c r="AA512" s="1373"/>
      <c r="AB512" s="1373"/>
      <c r="AC512" s="1374"/>
      <c r="AD512" s="1372">
        <v>2015</v>
      </c>
      <c r="AE512" s="1374"/>
      <c r="AG512" s="257" t="s">
        <v>663</v>
      </c>
      <c r="AL512" s="351"/>
      <c r="AM512" s="351"/>
      <c r="AS512" s="716" t="s">
        <v>1045</v>
      </c>
    </row>
    <row r="513" spans="1:46" ht="13.5" thickBot="1">
      <c r="A513" s="885"/>
      <c r="B513" s="868" t="s">
        <v>69</v>
      </c>
      <c r="C513" s="194" t="s">
        <v>610</v>
      </c>
      <c r="D513" s="206"/>
      <c r="E513" s="207"/>
      <c r="F513" s="209"/>
      <c r="G513" s="206"/>
      <c r="H513" s="206"/>
      <c r="I513" s="207"/>
      <c r="J513" s="209"/>
      <c r="K513" s="206"/>
      <c r="L513" s="206"/>
      <c r="M513" s="207"/>
      <c r="N513" s="277"/>
      <c r="O513" s="278">
        <f>(O523-H523)/7/$C$699/Spend!O513*'State Efficiency Ratios (2014)'!$C$655</f>
        <v>44.601518841563781</v>
      </c>
      <c r="P513" s="278"/>
      <c r="Q513" s="279"/>
      <c r="R513" s="277"/>
      <c r="S513" s="278"/>
      <c r="T513" s="278"/>
      <c r="U513" s="278">
        <f>(U523-O523)/6/$C$699/Spend!U513*'State Efficiency Ratios (2014)'!$C$655</f>
        <v>-41.63402897045944</v>
      </c>
      <c r="V513" s="277"/>
      <c r="W513" s="278"/>
      <c r="X513" s="278"/>
      <c r="Y513" s="278">
        <f>(Y523-U523)/4/$C$699/Spend!Y513*'State Efficiency Ratios (2014)'!$C$655</f>
        <v>134.8755859917139</v>
      </c>
      <c r="Z513" s="277"/>
      <c r="AA513" s="278"/>
      <c r="AB513" s="278"/>
      <c r="AC513" s="278">
        <f>(AC523-Y523)/4/$C$699/Spend!AC513*'State Efficiency Ratios (2014)'!$C$655</f>
        <v>18.254313931070289</v>
      </c>
      <c r="AD513" s="208"/>
      <c r="AE513" s="213"/>
      <c r="AG513" s="410"/>
      <c r="AM513" s="356"/>
      <c r="AQ513" s="356"/>
      <c r="AS513" s="717">
        <f>(O523-H523)/7/$C$673/Spend!O513*'State Efficiency Ratios (2014)'!$C$655</f>
        <v>44.601518841563781</v>
      </c>
    </row>
    <row r="514" spans="1:46" ht="13.5" thickBot="1">
      <c r="A514" s="885"/>
      <c r="B514" s="885"/>
      <c r="C514" s="194" t="s">
        <v>611</v>
      </c>
      <c r="D514" s="206"/>
      <c r="E514" s="207"/>
      <c r="F514" s="209"/>
      <c r="G514" s="206"/>
      <c r="H514" s="206"/>
      <c r="I514" s="207"/>
      <c r="J514" s="209"/>
      <c r="K514" s="206"/>
      <c r="L514" s="206"/>
      <c r="M514" s="207"/>
      <c r="N514" s="277"/>
      <c r="O514" s="278">
        <f>(O524-H524)/7/$C$699/Spend!O514*'State Efficiency Ratios (2014)'!$C$655</f>
        <v>34.763948175736473</v>
      </c>
      <c r="P514" s="278"/>
      <c r="Q514" s="279"/>
      <c r="R514" s="277"/>
      <c r="S514" s="278"/>
      <c r="T514" s="278"/>
      <c r="U514" s="278">
        <f>(U524-O524)/6/$C$699/Spend!U514*'State Efficiency Ratios (2014)'!$C$655</f>
        <v>79.067021352875841</v>
      </c>
      <c r="V514" s="277"/>
      <c r="W514" s="278"/>
      <c r="X514" s="278"/>
      <c r="Y514" s="278">
        <f>(Y524-U524)/4/$C$699/Spend!Y514*'State Efficiency Ratios (2014)'!$C$655</f>
        <v>504.52664640996517</v>
      </c>
      <c r="Z514" s="277"/>
      <c r="AA514" s="278"/>
      <c r="AB514" s="278"/>
      <c r="AC514" s="278">
        <f>(AC524-Y524)/4/$C$699/Spend!AC514*'State Efficiency Ratios (2014)'!$C$655</f>
        <v>123.91989657140249</v>
      </c>
      <c r="AD514" s="208"/>
      <c r="AE514" s="213"/>
      <c r="AG514" s="410"/>
      <c r="AM514" s="378"/>
      <c r="AS514" s="719">
        <f>(O524-H524)/7/$C$673/Spend!O514*'State Efficiency Ratios (2014)'!$C$655</f>
        <v>34.763948175736473</v>
      </c>
    </row>
    <row r="515" spans="1:46" ht="13.5" thickBot="1">
      <c r="A515" s="885"/>
      <c r="B515" s="885"/>
      <c r="C515" s="194" t="s">
        <v>612</v>
      </c>
      <c r="D515" s="206"/>
      <c r="E515" s="207"/>
      <c r="F515" s="209"/>
      <c r="G515" s="206"/>
      <c r="H515" s="206"/>
      <c r="I515" s="207"/>
      <c r="J515" s="209"/>
      <c r="K515" s="206"/>
      <c r="L515" s="206"/>
      <c r="M515" s="207"/>
      <c r="N515" s="277"/>
      <c r="O515" s="278">
        <f>(O525-H525)/7/$C$699/Spend!O515*'State Efficiency Ratios (2014)'!$C$655</f>
        <v>0</v>
      </c>
      <c r="P515" s="278"/>
      <c r="Q515" s="279"/>
      <c r="R515" s="277"/>
      <c r="S515" s="278"/>
      <c r="T515" s="278"/>
      <c r="U515" s="278">
        <f>(U525-O525)/6/$C$699/Spend!U515*'State Efficiency Ratios (2014)'!$C$655</f>
        <v>97.927174049361682</v>
      </c>
      <c r="V515" s="277"/>
      <c r="W515" s="278"/>
      <c r="X515" s="278"/>
      <c r="Y515" s="278">
        <f>(Y525-U525)/4/$C$699/Spend!Y515*'State Efficiency Ratios (2014)'!$C$655</f>
        <v>356.00492920124367</v>
      </c>
      <c r="Z515" s="277"/>
      <c r="AA515" s="278"/>
      <c r="AB515" s="278"/>
      <c r="AC515" s="278">
        <f>(AC525-Y525)/4/$C$699/Spend!AC515*'State Efficiency Ratios (2014)'!$C$655</f>
        <v>-15.815599574043867</v>
      </c>
      <c r="AD515" s="208"/>
      <c r="AE515" s="213"/>
      <c r="AG515" s="410" t="s">
        <v>1086</v>
      </c>
      <c r="AS515" s="719">
        <f>(O525-H525)/7/$C$673/Spend!O515*'State Efficiency Ratios (2014)'!$C$655</f>
        <v>0</v>
      </c>
    </row>
    <row r="516" spans="1:46" ht="13.5" thickBot="1">
      <c r="A516" s="885"/>
      <c r="B516" s="885"/>
      <c r="C516" s="194" t="s">
        <v>613</v>
      </c>
      <c r="D516" s="206"/>
      <c r="E516" s="207"/>
      <c r="F516" s="209"/>
      <c r="G516" s="206"/>
      <c r="H516" s="206"/>
      <c r="I516" s="207"/>
      <c r="J516" s="209"/>
      <c r="K516" s="206"/>
      <c r="L516" s="206"/>
      <c r="M516" s="207"/>
      <c r="N516" s="277"/>
      <c r="O516" s="278">
        <f>(O526-H526)/7/$C$699/Spend!O516*'State Efficiency Ratios (2014)'!$C$655</f>
        <v>43.747500083875671</v>
      </c>
      <c r="P516" s="278"/>
      <c r="Q516" s="279"/>
      <c r="R516" s="277"/>
      <c r="S516" s="278"/>
      <c r="T516" s="278"/>
      <c r="U516" s="278">
        <f>(U526-O526)/6/$C$699/Spend!U516*'State Efficiency Ratios (2014)'!$C$655</f>
        <v>0</v>
      </c>
      <c r="V516" s="277"/>
      <c r="W516" s="278"/>
      <c r="X516" s="278"/>
      <c r="Y516" s="278">
        <f>(Y526-U526)/4/$C$699/Spend!Y516*'State Efficiency Ratios (2014)'!$C$655</f>
        <v>84.769199397118996</v>
      </c>
      <c r="Z516" s="277"/>
      <c r="AA516" s="278"/>
      <c r="AB516" s="278"/>
      <c r="AC516" s="278">
        <f>(AC526-Y526)/4/$C$699/Spend!AC516*'State Efficiency Ratios (2014)'!$C$655</f>
        <v>314.04166657019277</v>
      </c>
      <c r="AD516" s="208"/>
      <c r="AE516" s="213"/>
      <c r="AG516" s="410" t="s">
        <v>1090</v>
      </c>
      <c r="AS516" s="719">
        <f>(O526-H526)/7/$C$673/Spend!O516*'State Efficiency Ratios (2014)'!$C$655</f>
        <v>43.747500083875671</v>
      </c>
      <c r="AT516" s="714" t="s">
        <v>1070</v>
      </c>
    </row>
    <row r="517" spans="1:46" ht="13.5" thickBot="1">
      <c r="A517" s="885"/>
      <c r="B517" s="885"/>
      <c r="C517" s="194" t="s">
        <v>614</v>
      </c>
      <c r="D517" s="206"/>
      <c r="E517" s="207"/>
      <c r="F517" s="209"/>
      <c r="G517" s="206"/>
      <c r="H517" s="206"/>
      <c r="I517" s="207"/>
      <c r="J517" s="209"/>
      <c r="K517" s="206"/>
      <c r="L517" s="206"/>
      <c r="M517" s="207"/>
      <c r="N517" s="277"/>
      <c r="O517" s="278">
        <f>(O527-H527)/7/$C$699/Spend!O517*'State Efficiency Ratios (2014)'!$C$655</f>
        <v>0</v>
      </c>
      <c r="P517" s="278"/>
      <c r="Q517" s="279"/>
      <c r="R517" s="277"/>
      <c r="S517" s="278"/>
      <c r="T517" s="278"/>
      <c r="U517" s="278">
        <f>(U527-O527)/6/$C$699/Spend!U517*'State Efficiency Ratios (2014)'!$C$655</f>
        <v>57.56701852114319</v>
      </c>
      <c r="V517" s="277"/>
      <c r="W517" s="278"/>
      <c r="X517" s="278"/>
      <c r="Y517" s="278">
        <f>(Y527-U527)/4/$C$699/Spend!Y517*'State Efficiency Ratios (2014)'!$C$655</f>
        <v>80.689449864478235</v>
      </c>
      <c r="Z517" s="277"/>
      <c r="AA517" s="278"/>
      <c r="AB517" s="278"/>
      <c r="AC517" s="278">
        <f>(AC527-Y527)/4/$C$699/Spend!AC517*'State Efficiency Ratios (2014)'!$C$655</f>
        <v>98.087749913873679</v>
      </c>
      <c r="AD517" s="208"/>
      <c r="AE517" s="213"/>
      <c r="AG517" s="410" t="s">
        <v>1088</v>
      </c>
      <c r="AS517" s="719">
        <f>(O527-H527)/7/$C$673/Spend!O517*'State Efficiency Ratios (2014)'!$C$655</f>
        <v>0</v>
      </c>
      <c r="AT517" s="721">
        <f>SUM(AS513:AS517)/5</f>
        <v>24.622593420235187</v>
      </c>
    </row>
    <row r="518" spans="1:46" ht="12.95" customHeight="1" thickBot="1">
      <c r="A518" s="885"/>
      <c r="B518" s="885"/>
      <c r="C518" s="194" t="s">
        <v>615</v>
      </c>
      <c r="D518" s="210"/>
      <c r="E518" s="211"/>
      <c r="F518" s="209"/>
      <c r="G518" s="210"/>
      <c r="H518" s="210"/>
      <c r="I518" s="211"/>
      <c r="J518" s="209"/>
      <c r="K518" s="210"/>
      <c r="L518" s="210"/>
      <c r="M518" s="211"/>
      <c r="N518" s="281"/>
      <c r="O518" s="282"/>
      <c r="P518" s="282"/>
      <c r="Q518" s="282"/>
      <c r="R518" s="277"/>
      <c r="S518" s="278"/>
      <c r="T518" s="278"/>
      <c r="U518" s="278">
        <f>(U528-R528)/3/$C$699/Spend!U518*'State Efficiency Ratios (2014)'!$C$655</f>
        <v>0</v>
      </c>
      <c r="V518" s="277"/>
      <c r="W518" s="278"/>
      <c r="X518" s="278"/>
      <c r="Y518" s="278">
        <f>(Y528-U528)/4/$C$699/Spend!Y518*'State Efficiency Ratios (2014)'!$C$655</f>
        <v>882.17557159157138</v>
      </c>
      <c r="Z518" s="277"/>
      <c r="AA518" s="278"/>
      <c r="AB518" s="278"/>
      <c r="AC518" s="278">
        <f>(AC528-Y528)/4/$C$699/Spend!AC518*'State Efficiency Ratios (2014)'!$C$655</f>
        <v>222.70118459230181</v>
      </c>
      <c r="AD518" s="208"/>
      <c r="AE518" s="213"/>
      <c r="AG518" s="410"/>
      <c r="AI518" s="4" t="s">
        <v>1053</v>
      </c>
      <c r="AS518" s="719">
        <f>(Y528-R528)/7/$C$673/(Spend!U518+Spend!Y518)*'State Efficiency Ratios (2014)'!$C$655</f>
        <v>200.4717076700866</v>
      </c>
    </row>
    <row r="519" spans="1:46" ht="12.95" customHeight="1" thickBot="1">
      <c r="A519" s="885"/>
      <c r="B519" s="885"/>
      <c r="C519" s="194" t="s">
        <v>616</v>
      </c>
      <c r="D519" s="210"/>
      <c r="E519" s="211"/>
      <c r="F519" s="209"/>
      <c r="G519" s="210"/>
      <c r="H519" s="210"/>
      <c r="I519" s="211"/>
      <c r="J519" s="209"/>
      <c r="K519" s="210"/>
      <c r="L519" s="210"/>
      <c r="M519" s="211"/>
      <c r="N519" s="281"/>
      <c r="O519" s="282"/>
      <c r="P519" s="282"/>
      <c r="Q519" s="282"/>
      <c r="R519" s="277"/>
      <c r="S519" s="278"/>
      <c r="T519" s="278"/>
      <c r="U519" s="278">
        <f>(U529-R529)/3/$C$699/Spend!U519*'State Efficiency Ratios (2014)'!$C$655</f>
        <v>0</v>
      </c>
      <c r="V519" s="277"/>
      <c r="W519" s="278"/>
      <c r="X519" s="278"/>
      <c r="Y519" s="278">
        <f>(Y529-U529)/4/$C$699/Spend!Y519*'State Efficiency Ratios (2014)'!$C$655</f>
        <v>-260.69574443479712</v>
      </c>
      <c r="Z519" s="277"/>
      <c r="AA519" s="278"/>
      <c r="AB519" s="278"/>
      <c r="AC519" s="278">
        <f>(AC529-Y529)/4/$C$699/Spend!AC519*'State Efficiency Ratios (2014)'!$C$655</f>
        <v>528.20174536548257</v>
      </c>
      <c r="AD519" s="208"/>
      <c r="AE519" s="213"/>
      <c r="AG519" s="410" t="s">
        <v>1084</v>
      </c>
      <c r="AH519" s="355" t="s">
        <v>1052</v>
      </c>
      <c r="AI519" s="599">
        <f>4/5*SUM(AI523:AI527)/5</f>
        <v>1.3919999999999999</v>
      </c>
      <c r="AJ519" s="592">
        <f>4/6*SUM(AJ523:AJ527)/5</f>
        <v>0.2533333333333333</v>
      </c>
      <c r="AK519" s="592">
        <f>SUM(AK523:AK530)/8</f>
        <v>0.77500000000000002</v>
      </c>
      <c r="AL519" s="594">
        <f>SUM(AL523:AL530)/8</f>
        <v>0.73750000000000004</v>
      </c>
      <c r="AS519" s="719">
        <f>(Y529-R529)/7/$C$673/(Spend!U519+Spend!Y519)*'State Efficiency Ratios (2014)'!$C$655</f>
        <v>-64.078810478006474</v>
      </c>
      <c r="AT519" s="714" t="s">
        <v>1071</v>
      </c>
    </row>
    <row r="520" spans="1:46" ht="12.95" customHeight="1" thickBot="1">
      <c r="A520" s="885"/>
      <c r="B520" s="885"/>
      <c r="C520" s="194" t="s">
        <v>617</v>
      </c>
      <c r="D520" s="210"/>
      <c r="E520" s="211"/>
      <c r="F520" s="209"/>
      <c r="G520" s="210"/>
      <c r="H520" s="210"/>
      <c r="I520" s="211"/>
      <c r="J520" s="209"/>
      <c r="K520" s="210"/>
      <c r="L520" s="210"/>
      <c r="M520" s="211"/>
      <c r="N520" s="281"/>
      <c r="O520" s="282"/>
      <c r="P520" s="282"/>
      <c r="Q520" s="282"/>
      <c r="R520" s="277"/>
      <c r="S520" s="278"/>
      <c r="T520" s="278"/>
      <c r="U520" s="278">
        <f>(U530-R530)/3/$C$699/Spend!U520*'State Efficiency Ratios (2014)'!$C$655</f>
        <v>0</v>
      </c>
      <c r="V520" s="277"/>
      <c r="W520" s="278"/>
      <c r="X520" s="278"/>
      <c r="Y520" s="278">
        <f>(Y530-U530)/4/$C$699/Spend!Y520*'State Efficiency Ratios (2014)'!$C$655</f>
        <v>301.04804201475133</v>
      </c>
      <c r="Z520" s="277"/>
      <c r="AA520" s="278"/>
      <c r="AB520" s="278"/>
      <c r="AC520" s="278">
        <f>(AC530-Y530)/4/$C$699/Spend!AC520*'State Efficiency Ratios (2014)'!$C$655</f>
        <v>287.57882224544608</v>
      </c>
      <c r="AD520" s="208"/>
      <c r="AE520" s="213"/>
      <c r="AG520" s="410" t="s">
        <v>1089</v>
      </c>
      <c r="AH520" s="355" t="s">
        <v>1051</v>
      </c>
      <c r="AI520" s="606">
        <f>SUM(O513:O517)/5</f>
        <v>24.622593420235187</v>
      </c>
      <c r="AJ520" s="607">
        <f>SUM(U513:U517)/5</f>
        <v>38.585436990584256</v>
      </c>
      <c r="AK520" s="607">
        <f>SUM(Y513:Y520)/8</f>
        <v>260.42421000450571</v>
      </c>
      <c r="AL520" s="608">
        <f>SUM(AC513:AC520)/8</f>
        <v>197.12122245196576</v>
      </c>
      <c r="AS520" s="722">
        <f>(Y530-R530)/7/$C$673/(Spend!U520+Spend!Y520)*'State Efficiency Ratios (2014)'!$C$655</f>
        <v>66.195657490386878</v>
      </c>
      <c r="AT520" s="721">
        <f>SUM(AS518:AS520)/3</f>
        <v>67.529518227488992</v>
      </c>
    </row>
    <row r="521" spans="1:46" ht="12.95" customHeight="1" thickBot="1">
      <c r="A521" s="885"/>
      <c r="B521" s="885"/>
      <c r="C521" s="194" t="s">
        <v>618</v>
      </c>
      <c r="D521" s="210"/>
      <c r="E521" s="211"/>
      <c r="F521" s="209"/>
      <c r="G521" s="210"/>
      <c r="H521" s="210"/>
      <c r="I521" s="211"/>
      <c r="J521" s="209"/>
      <c r="K521" s="210"/>
      <c r="L521" s="210"/>
      <c r="M521" s="211"/>
      <c r="N521" s="281"/>
      <c r="O521" s="282"/>
      <c r="P521" s="282"/>
      <c r="Q521" s="283"/>
      <c r="R521" s="281"/>
      <c r="S521" s="282"/>
      <c r="T521" s="282"/>
      <c r="U521" s="283"/>
      <c r="V521" s="281"/>
      <c r="W521" s="282"/>
      <c r="X521" s="282"/>
      <c r="Y521" s="283"/>
      <c r="Z521" s="277"/>
      <c r="AA521" s="278"/>
      <c r="AB521" s="278"/>
      <c r="AC521" s="278">
        <f>(AC531-Y531)/4/$C$699/Spend!AC521*'State Efficiency Ratios (2014)'!$C$655</f>
        <v>0</v>
      </c>
      <c r="AD521" s="208"/>
      <c r="AE521" s="213"/>
      <c r="AG521" s="410"/>
    </row>
    <row r="522" spans="1:46" ht="12.95" customHeight="1" thickBot="1">
      <c r="A522" s="885"/>
      <c r="B522" s="885"/>
      <c r="C522" s="194" t="s">
        <v>619</v>
      </c>
      <c r="D522" s="210"/>
      <c r="E522" s="211"/>
      <c r="F522" s="209"/>
      <c r="G522" s="210"/>
      <c r="H522" s="210"/>
      <c r="I522" s="211"/>
      <c r="J522" s="209"/>
      <c r="K522" s="210"/>
      <c r="L522" s="210"/>
      <c r="M522" s="211"/>
      <c r="N522" s="281"/>
      <c r="O522" s="282"/>
      <c r="P522" s="282"/>
      <c r="Q522" s="283"/>
      <c r="R522" s="281"/>
      <c r="S522" s="282"/>
      <c r="T522" s="282"/>
      <c r="U522" s="283"/>
      <c r="V522" s="281"/>
      <c r="W522" s="282"/>
      <c r="X522" s="282"/>
      <c r="Y522" s="283"/>
      <c r="Z522" s="277"/>
      <c r="AA522" s="278"/>
      <c r="AB522" s="278"/>
      <c r="AC522" s="278">
        <f>(AC532-Y532)/4/$C$699/Spend!AC522*'State Efficiency Ratios (2014)'!$C$655</f>
        <v>0</v>
      </c>
      <c r="AD522" s="208"/>
      <c r="AE522" s="213"/>
      <c r="AG522" s="410"/>
      <c r="AI522" s="416" t="s">
        <v>1045</v>
      </c>
      <c r="AS522" s="716" t="s">
        <v>1045</v>
      </c>
    </row>
    <row r="523" spans="1:46" ht="13.5" thickBot="1">
      <c r="A523" s="885"/>
      <c r="B523" s="885"/>
      <c r="C523" s="9" t="s">
        <v>295</v>
      </c>
      <c r="D523" s="241" t="s">
        <v>632</v>
      </c>
      <c r="E523" s="241" t="s">
        <v>632</v>
      </c>
      <c r="F523" s="243" t="s">
        <v>646</v>
      </c>
      <c r="G523" s="241" t="s">
        <v>646</v>
      </c>
      <c r="H523" s="196">
        <f>'State DisAgg LFx10 (2014)'!D513</f>
        <v>1</v>
      </c>
      <c r="I523" s="244" t="s">
        <v>646</v>
      </c>
      <c r="J523" s="195"/>
      <c r="K523" s="196"/>
      <c r="L523" s="196"/>
      <c r="M523" s="197"/>
      <c r="N523" s="195"/>
      <c r="O523" s="196">
        <f>'State DisAgg LFx10 (2014)'!H523</f>
        <v>2</v>
      </c>
      <c r="P523" s="196"/>
      <c r="Q523" s="197"/>
      <c r="R523" s="195"/>
      <c r="S523" s="196"/>
      <c r="T523" s="196"/>
      <c r="U523" s="197">
        <f>'State DisAgg LFx10 (2014)'!L523</f>
        <v>1.6</v>
      </c>
      <c r="V523" s="195"/>
      <c r="W523" s="196"/>
      <c r="X523" s="196"/>
      <c r="Y523" s="197">
        <f>'State DisAgg LFx10 (2014)'!P523</f>
        <v>2.9</v>
      </c>
      <c r="Z523" s="195"/>
      <c r="AA523" s="196"/>
      <c r="AB523" s="196"/>
      <c r="AC523" s="197">
        <f>'State DisAgg LFx10 (2014)'!T523</f>
        <v>3.1</v>
      </c>
      <c r="AD523" s="195"/>
      <c r="AE523" s="197"/>
      <c r="AI523" s="361">
        <f>O523-J523</f>
        <v>2</v>
      </c>
      <c r="AJ523" s="362">
        <f>U523-O523</f>
        <v>-0.39999999999999991</v>
      </c>
      <c r="AK523" s="362">
        <f t="shared" ref="AK523:AK534" si="101">Y523-U523</f>
        <v>1.2999999999999998</v>
      </c>
      <c r="AL523" s="363">
        <f t="shared" ref="AL523:AL532" si="102">AC523-Y523</f>
        <v>0.20000000000000018</v>
      </c>
      <c r="AM523" s="354"/>
      <c r="AQ523" s="354"/>
      <c r="AS523" s="724">
        <f>(O523-J523)</f>
        <v>2</v>
      </c>
    </row>
    <row r="524" spans="1:46" ht="13.5" thickBot="1">
      <c r="A524" s="885"/>
      <c r="B524" s="885"/>
      <c r="C524" s="9" t="s">
        <v>296</v>
      </c>
      <c r="D524" s="241" t="s">
        <v>632</v>
      </c>
      <c r="E524" s="241" t="s">
        <v>632</v>
      </c>
      <c r="F524" s="243" t="s">
        <v>646</v>
      </c>
      <c r="G524" s="241" t="s">
        <v>646</v>
      </c>
      <c r="H524" s="196">
        <f>'State DisAgg LFx10 (2014)'!D514</f>
        <v>1</v>
      </c>
      <c r="I524" s="244" t="s">
        <v>646</v>
      </c>
      <c r="J524" s="195"/>
      <c r="K524" s="196"/>
      <c r="L524" s="196"/>
      <c r="M524" s="197"/>
      <c r="N524" s="195"/>
      <c r="O524" s="196">
        <f>'State DisAgg LFx10 (2014)'!H524</f>
        <v>1.7</v>
      </c>
      <c r="P524" s="196"/>
      <c r="Q524" s="197"/>
      <c r="R524" s="195"/>
      <c r="S524" s="196"/>
      <c r="T524" s="196"/>
      <c r="U524" s="197">
        <f>'State DisAgg LFx10 (2014)'!L524</f>
        <v>2.4</v>
      </c>
      <c r="V524" s="195"/>
      <c r="W524" s="196"/>
      <c r="X524" s="196"/>
      <c r="Y524" s="197">
        <f>'State DisAgg LFx10 (2014)'!P524</f>
        <v>4</v>
      </c>
      <c r="Z524" s="195"/>
      <c r="AA524" s="196"/>
      <c r="AB524" s="196"/>
      <c r="AC524" s="197">
        <f>'State DisAgg LFx10 (2014)'!T524</f>
        <v>4.4000000000000004</v>
      </c>
      <c r="AD524" s="195"/>
      <c r="AE524" s="197"/>
      <c r="AI524" s="364">
        <f>O524-J524</f>
        <v>1.7</v>
      </c>
      <c r="AJ524" s="360">
        <f>U524-O524</f>
        <v>0.7</v>
      </c>
      <c r="AK524" s="360">
        <f t="shared" si="101"/>
        <v>1.6</v>
      </c>
      <c r="AL524" s="365">
        <f t="shared" si="102"/>
        <v>0.40000000000000036</v>
      </c>
      <c r="AM524" s="354"/>
      <c r="AQ524" s="354"/>
      <c r="AS524" s="726">
        <f>(O524-J524)</f>
        <v>1.7</v>
      </c>
    </row>
    <row r="525" spans="1:46" ht="13.5" thickBot="1">
      <c r="A525" s="885"/>
      <c r="B525" s="885"/>
      <c r="C525" s="9" t="s">
        <v>297</v>
      </c>
      <c r="D525" s="241" t="s">
        <v>632</v>
      </c>
      <c r="E525" s="241" t="s">
        <v>632</v>
      </c>
      <c r="F525" s="243" t="s">
        <v>646</v>
      </c>
      <c r="G525" s="241" t="s">
        <v>646</v>
      </c>
      <c r="H525" s="196">
        <f>'State DisAgg LFx10 (2014)'!D515</f>
        <v>1</v>
      </c>
      <c r="I525" s="244" t="s">
        <v>646</v>
      </c>
      <c r="J525" s="195"/>
      <c r="K525" s="196"/>
      <c r="L525" s="196"/>
      <c r="M525" s="197"/>
      <c r="N525" s="195"/>
      <c r="O525" s="196">
        <f>'State DisAgg LFx10 (2014)'!H525</f>
        <v>1</v>
      </c>
      <c r="P525" s="196"/>
      <c r="Q525" s="197"/>
      <c r="R525" s="195"/>
      <c r="S525" s="196"/>
      <c r="T525" s="196"/>
      <c r="U525" s="197">
        <f>'State DisAgg LFx10 (2014)'!L525</f>
        <v>2</v>
      </c>
      <c r="V525" s="195"/>
      <c r="W525" s="196"/>
      <c r="X525" s="196"/>
      <c r="Y525" s="197">
        <f>'State DisAgg LFx10 (2014)'!P525</f>
        <v>3.1</v>
      </c>
      <c r="Z525" s="195"/>
      <c r="AA525" s="196"/>
      <c r="AB525" s="196"/>
      <c r="AC525" s="197">
        <f>'State DisAgg LFx10 (2014)'!T525</f>
        <v>3</v>
      </c>
      <c r="AD525" s="195"/>
      <c r="AE525" s="197"/>
      <c r="AI525" s="364">
        <f>O525-J525</f>
        <v>1</v>
      </c>
      <c r="AJ525" s="360">
        <f>U525-O525</f>
        <v>1</v>
      </c>
      <c r="AK525" s="360">
        <f t="shared" si="101"/>
        <v>1.1000000000000001</v>
      </c>
      <c r="AL525" s="365">
        <f t="shared" si="102"/>
        <v>-0.10000000000000009</v>
      </c>
      <c r="AM525" s="354"/>
      <c r="AQ525" s="354"/>
      <c r="AS525" s="726">
        <f>(O525-J525)</f>
        <v>1</v>
      </c>
    </row>
    <row r="526" spans="1:46" ht="13.5" thickBot="1">
      <c r="A526" s="885"/>
      <c r="B526" s="885"/>
      <c r="C526" s="9" t="s">
        <v>298</v>
      </c>
      <c r="D526" s="241" t="s">
        <v>632</v>
      </c>
      <c r="E526" s="241" t="s">
        <v>632</v>
      </c>
      <c r="F526" s="243" t="s">
        <v>646</v>
      </c>
      <c r="G526" s="241" t="s">
        <v>646</v>
      </c>
      <c r="H526" s="196">
        <f>'State DisAgg LFx10 (2014)'!D516</f>
        <v>1</v>
      </c>
      <c r="I526" s="244" t="s">
        <v>646</v>
      </c>
      <c r="J526" s="195"/>
      <c r="K526" s="196"/>
      <c r="L526" s="196"/>
      <c r="M526" s="197"/>
      <c r="N526" s="195"/>
      <c r="O526" s="196">
        <f>'State DisAgg LFx10 (2014)'!H526</f>
        <v>2</v>
      </c>
      <c r="P526" s="196"/>
      <c r="Q526" s="197"/>
      <c r="R526" s="195"/>
      <c r="S526" s="196"/>
      <c r="T526" s="196"/>
      <c r="U526" s="197">
        <f>'State DisAgg LFx10 (2014)'!L526</f>
        <v>2</v>
      </c>
      <c r="V526" s="195"/>
      <c r="W526" s="196"/>
      <c r="X526" s="196"/>
      <c r="Y526" s="197">
        <f>'State DisAgg LFx10 (2014)'!P526</f>
        <v>2.4</v>
      </c>
      <c r="Z526" s="195"/>
      <c r="AA526" s="196"/>
      <c r="AB526" s="196"/>
      <c r="AC526" s="197">
        <f>'State DisAgg LFx10 (2014)'!T526</f>
        <v>3.5</v>
      </c>
      <c r="AD526" s="195"/>
      <c r="AE526" s="197"/>
      <c r="AI526" s="364">
        <f>O526-J526</f>
        <v>2</v>
      </c>
      <c r="AJ526" s="360">
        <f>U526-O526</f>
        <v>0</v>
      </c>
      <c r="AK526" s="360">
        <f t="shared" si="101"/>
        <v>0.39999999999999991</v>
      </c>
      <c r="AL526" s="365">
        <f t="shared" si="102"/>
        <v>1.1000000000000001</v>
      </c>
      <c r="AM526" s="354"/>
      <c r="AQ526" s="354"/>
      <c r="AS526" s="726">
        <f>(O526-J526)</f>
        <v>2</v>
      </c>
      <c r="AT526" s="714" t="s">
        <v>1070</v>
      </c>
    </row>
    <row r="527" spans="1:46" ht="13.5" thickBot="1">
      <c r="A527" s="885"/>
      <c r="B527" s="885"/>
      <c r="C527" s="9" t="s">
        <v>299</v>
      </c>
      <c r="D527" s="241" t="s">
        <v>632</v>
      </c>
      <c r="E527" s="241" t="s">
        <v>632</v>
      </c>
      <c r="F527" s="243" t="s">
        <v>646</v>
      </c>
      <c r="G527" s="241" t="s">
        <v>646</v>
      </c>
      <c r="H527" s="196">
        <f>'State DisAgg LFx10 (2014)'!D517</f>
        <v>2</v>
      </c>
      <c r="I527" s="244" t="s">
        <v>646</v>
      </c>
      <c r="J527" s="195"/>
      <c r="K527" s="196"/>
      <c r="L527" s="196"/>
      <c r="M527" s="197"/>
      <c r="N527" s="195"/>
      <c r="O527" s="196">
        <f>'State DisAgg LFx10 (2014)'!H527</f>
        <v>2</v>
      </c>
      <c r="P527" s="196"/>
      <c r="Q527" s="197"/>
      <c r="R527" s="195"/>
      <c r="S527" s="196"/>
      <c r="T527" s="196"/>
      <c r="U527" s="197">
        <f>'State DisAgg LFx10 (2014)'!L527</f>
        <v>2.6</v>
      </c>
      <c r="V527" s="195"/>
      <c r="W527" s="196"/>
      <c r="X527" s="196"/>
      <c r="Y527" s="197">
        <f>'State DisAgg LFx10 (2014)'!P527</f>
        <v>2.9</v>
      </c>
      <c r="Z527" s="195"/>
      <c r="AA527" s="196"/>
      <c r="AB527" s="196"/>
      <c r="AC527" s="197">
        <f>'State DisAgg LFx10 (2014)'!T527</f>
        <v>3.3</v>
      </c>
      <c r="AD527" s="195"/>
      <c r="AE527" s="197"/>
      <c r="AI527" s="364">
        <f>O527-J527</f>
        <v>2</v>
      </c>
      <c r="AJ527" s="360">
        <f>U527-O527</f>
        <v>0.60000000000000009</v>
      </c>
      <c r="AK527" s="360">
        <f t="shared" si="101"/>
        <v>0.29999999999999982</v>
      </c>
      <c r="AL527" s="365">
        <f t="shared" si="102"/>
        <v>0.39999999999999991</v>
      </c>
      <c r="AM527" s="354"/>
      <c r="AQ527" s="354"/>
      <c r="AS527" s="726">
        <f>(O527-J527)</f>
        <v>2</v>
      </c>
      <c r="AT527" s="714">
        <f>SUM(AS523:AS527)/5</f>
        <v>1.7399999999999998</v>
      </c>
    </row>
    <row r="528" spans="1:46" ht="13.5" thickBot="1">
      <c r="A528" s="885"/>
      <c r="B528" s="885"/>
      <c r="C528" s="9" t="s">
        <v>300</v>
      </c>
      <c r="D528" s="199"/>
      <c r="E528" s="200"/>
      <c r="F528" s="201"/>
      <c r="G528" s="199"/>
      <c r="H528" s="199"/>
      <c r="I528" s="200"/>
      <c r="J528" s="201"/>
      <c r="K528" s="199"/>
      <c r="L528" s="199"/>
      <c r="M528" s="200"/>
      <c r="N528" s="198"/>
      <c r="O528" s="217" t="s">
        <v>634</v>
      </c>
      <c r="P528" s="241" t="s">
        <v>632</v>
      </c>
      <c r="Q528" s="244" t="s">
        <v>646</v>
      </c>
      <c r="R528" s="195">
        <f>'State DisAgg LFx10 (2014)'!H518</f>
        <v>1</v>
      </c>
      <c r="S528" s="196"/>
      <c r="T528" s="196"/>
      <c r="U528" s="197">
        <f>'State DisAgg LFx10 (2014)'!L528</f>
        <v>1</v>
      </c>
      <c r="V528" s="195"/>
      <c r="W528" s="196"/>
      <c r="X528" s="196"/>
      <c r="Y528" s="197">
        <f>'State DisAgg LFx10 (2014)'!P528</f>
        <v>2.5</v>
      </c>
      <c r="Z528" s="195"/>
      <c r="AA528" s="196"/>
      <c r="AB528" s="196"/>
      <c r="AC528" s="197">
        <f>'State DisAgg LFx10 (2014)'!T528</f>
        <v>3.2</v>
      </c>
      <c r="AD528" s="195"/>
      <c r="AE528" s="197"/>
      <c r="AI528" s="364">
        <v>0</v>
      </c>
      <c r="AJ528" s="360">
        <f>U528-R528</f>
        <v>0</v>
      </c>
      <c r="AK528" s="360">
        <f t="shared" si="101"/>
        <v>1.5</v>
      </c>
      <c r="AL528" s="365">
        <f t="shared" si="102"/>
        <v>0.70000000000000018</v>
      </c>
      <c r="AM528" s="354"/>
      <c r="AQ528" s="354"/>
      <c r="AS528" s="726">
        <f>(Y528-R528)</f>
        <v>1.5</v>
      </c>
    </row>
    <row r="529" spans="1:46" ht="13.5" thickBot="1">
      <c r="A529" s="885"/>
      <c r="B529" s="885"/>
      <c r="C529" s="9" t="s">
        <v>301</v>
      </c>
      <c r="D529" s="199"/>
      <c r="E529" s="200"/>
      <c r="F529" s="201"/>
      <c r="G529" s="199"/>
      <c r="H529" s="199"/>
      <c r="I529" s="200"/>
      <c r="J529" s="201"/>
      <c r="K529" s="199"/>
      <c r="L529" s="199"/>
      <c r="M529" s="200"/>
      <c r="N529" s="198"/>
      <c r="O529" s="217" t="s">
        <v>634</v>
      </c>
      <c r="P529" s="241" t="s">
        <v>632</v>
      </c>
      <c r="Q529" s="244" t="s">
        <v>646</v>
      </c>
      <c r="R529" s="195">
        <f>'State DisAgg LFx10 (2014)'!H519</f>
        <v>2.2999999999999998</v>
      </c>
      <c r="S529" s="196"/>
      <c r="T529" s="196"/>
      <c r="U529" s="197">
        <f>'State DisAgg LFx10 (2014)'!L529</f>
        <v>2.2999999999999998</v>
      </c>
      <c r="V529" s="195"/>
      <c r="W529" s="196"/>
      <c r="X529" s="196"/>
      <c r="Y529" s="197">
        <f>'State DisAgg LFx10 (2014)'!P529</f>
        <v>1.8</v>
      </c>
      <c r="Z529" s="195"/>
      <c r="AA529" s="196"/>
      <c r="AB529" s="196"/>
      <c r="AC529" s="197">
        <f>'State DisAgg LFx10 (2014)'!T529</f>
        <v>3.6</v>
      </c>
      <c r="AD529" s="195"/>
      <c r="AE529" s="197"/>
      <c r="AI529" s="364">
        <v>0</v>
      </c>
      <c r="AJ529" s="360">
        <f>U529-R529</f>
        <v>0</v>
      </c>
      <c r="AK529" s="360">
        <f t="shared" si="101"/>
        <v>-0.49999999999999978</v>
      </c>
      <c r="AL529" s="365">
        <f t="shared" si="102"/>
        <v>1.8</v>
      </c>
      <c r="AM529" s="354"/>
      <c r="AQ529" s="354"/>
      <c r="AS529" s="726">
        <f>(Y529-R529)</f>
        <v>-0.49999999999999978</v>
      </c>
      <c r="AT529" s="714" t="s">
        <v>1071</v>
      </c>
    </row>
    <row r="530" spans="1:46" ht="13.5" thickBot="1">
      <c r="A530" s="885"/>
      <c r="B530" s="885"/>
      <c r="C530" s="9" t="s">
        <v>302</v>
      </c>
      <c r="D530" s="199"/>
      <c r="E530" s="200"/>
      <c r="F530" s="201"/>
      <c r="G530" s="199"/>
      <c r="H530" s="199"/>
      <c r="I530" s="200"/>
      <c r="J530" s="201"/>
      <c r="K530" s="199"/>
      <c r="L530" s="199"/>
      <c r="M530" s="200"/>
      <c r="N530" s="198"/>
      <c r="O530" s="217" t="s">
        <v>634</v>
      </c>
      <c r="P530" s="241" t="s">
        <v>632</v>
      </c>
      <c r="Q530" s="244" t="s">
        <v>646</v>
      </c>
      <c r="R530" s="195">
        <f>'State DisAgg LFx10 (2014)'!H520</f>
        <v>1.9</v>
      </c>
      <c r="S530" s="196"/>
      <c r="T530" s="196"/>
      <c r="U530" s="197">
        <f>'State DisAgg LFx10 (2014)'!L530</f>
        <v>1.9</v>
      </c>
      <c r="V530" s="195"/>
      <c r="W530" s="196"/>
      <c r="X530" s="196"/>
      <c r="Y530" s="197">
        <f>'State DisAgg LFx10 (2014)'!P530</f>
        <v>2.4</v>
      </c>
      <c r="Z530" s="195"/>
      <c r="AA530" s="196"/>
      <c r="AB530" s="196"/>
      <c r="AC530" s="197">
        <f>'State DisAgg LFx10 (2014)'!T530</f>
        <v>3.8</v>
      </c>
      <c r="AD530" s="195"/>
      <c r="AE530" s="197"/>
      <c r="AI530" s="364">
        <v>0</v>
      </c>
      <c r="AJ530" s="360">
        <f>U530-R530</f>
        <v>0</v>
      </c>
      <c r="AK530" s="360">
        <f t="shared" si="101"/>
        <v>0.5</v>
      </c>
      <c r="AL530" s="365">
        <f t="shared" si="102"/>
        <v>1.4</v>
      </c>
      <c r="AM530" s="354"/>
      <c r="AQ530" s="354"/>
      <c r="AS530" s="729">
        <f>(Y530-R530)</f>
        <v>0.5</v>
      </c>
      <c r="AT530" s="728">
        <f>SUM(AS528:AS530)/3</f>
        <v>0.50000000000000011</v>
      </c>
    </row>
    <row r="531" spans="1:46" ht="13.5" thickBot="1">
      <c r="A531" s="885"/>
      <c r="B531" s="885"/>
      <c r="C531" s="9" t="s">
        <v>303</v>
      </c>
      <c r="D531" s="202"/>
      <c r="E531" s="203"/>
      <c r="F531" s="201"/>
      <c r="G531" s="202"/>
      <c r="H531" s="202"/>
      <c r="I531" s="203"/>
      <c r="J531" s="201"/>
      <c r="K531" s="202"/>
      <c r="L531" s="202"/>
      <c r="M531" s="203"/>
      <c r="N531" s="204"/>
      <c r="O531" s="214"/>
      <c r="P531" s="205"/>
      <c r="Q531" s="205"/>
      <c r="R531" s="201"/>
      <c r="S531" s="202"/>
      <c r="T531" s="202"/>
      <c r="U531" s="203"/>
      <c r="V531" s="242"/>
      <c r="W531" s="217" t="s">
        <v>633</v>
      </c>
      <c r="X531" s="241" t="s">
        <v>632</v>
      </c>
      <c r="Y531" s="197">
        <f>'State DisAgg LFx10 (2014)'!P521</f>
        <v>1.2</v>
      </c>
      <c r="Z531" s="195"/>
      <c r="AA531" s="196"/>
      <c r="AB531" s="196"/>
      <c r="AC531" s="197">
        <f>'State DisAgg LFx10 (2014)'!T531</f>
        <v>1.2</v>
      </c>
      <c r="AD531" s="195"/>
      <c r="AE531" s="197"/>
      <c r="AI531" s="364">
        <f>O531-J531</f>
        <v>0</v>
      </c>
      <c r="AJ531" s="360">
        <f>U531-O531</f>
        <v>0</v>
      </c>
      <c r="AK531" s="360">
        <f t="shared" si="101"/>
        <v>1.2</v>
      </c>
      <c r="AL531" s="365">
        <f t="shared" si="102"/>
        <v>0</v>
      </c>
      <c r="AM531" s="354"/>
      <c r="AQ531" s="354"/>
    </row>
    <row r="532" spans="1:46" ht="13.5" thickBot="1">
      <c r="A532" s="885"/>
      <c r="B532" s="885"/>
      <c r="C532" s="9" t="s">
        <v>304</v>
      </c>
      <c r="D532" s="202"/>
      <c r="E532" s="203"/>
      <c r="F532" s="201"/>
      <c r="G532" s="202"/>
      <c r="H532" s="202"/>
      <c r="I532" s="203"/>
      <c r="J532" s="201"/>
      <c r="K532" s="202"/>
      <c r="L532" s="202"/>
      <c r="M532" s="203"/>
      <c r="N532" s="204"/>
      <c r="O532" s="205"/>
      <c r="P532" s="205"/>
      <c r="Q532" s="205"/>
      <c r="R532" s="201"/>
      <c r="S532" s="202"/>
      <c r="T532" s="202"/>
      <c r="U532" s="203"/>
      <c r="V532" s="242"/>
      <c r="W532" s="217" t="s">
        <v>633</v>
      </c>
      <c r="X532" s="241" t="s">
        <v>632</v>
      </c>
      <c r="Y532" s="197">
        <f>'State DisAgg LFx10 (2014)'!P522</f>
        <v>1.3</v>
      </c>
      <c r="Z532" s="195"/>
      <c r="AA532" s="196"/>
      <c r="AB532" s="196"/>
      <c r="AC532" s="197">
        <f>'State DisAgg LFx10 (2014)'!T532</f>
        <v>1.3</v>
      </c>
      <c r="AD532" s="195"/>
      <c r="AE532" s="197"/>
      <c r="AI532" s="366">
        <f>O532-J532</f>
        <v>0</v>
      </c>
      <c r="AJ532" s="367">
        <f>U532-O532</f>
        <v>0</v>
      </c>
      <c r="AK532" s="367">
        <f t="shared" si="101"/>
        <v>1.3</v>
      </c>
      <c r="AL532" s="368">
        <f t="shared" si="102"/>
        <v>0</v>
      </c>
      <c r="AM532" s="354"/>
      <c r="AQ532" s="354"/>
      <c r="AS532" s="716"/>
    </row>
    <row r="533" spans="1:46" ht="12.95" hidden="1" customHeight="1" thickBot="1">
      <c r="A533" s="885"/>
      <c r="B533" s="501"/>
      <c r="C533" s="231"/>
      <c r="D533" s="232"/>
      <c r="E533" s="233"/>
      <c r="F533" s="234"/>
      <c r="G533" s="232"/>
      <c r="H533" s="232"/>
      <c r="I533" s="233"/>
      <c r="J533" s="234"/>
      <c r="K533" s="232"/>
      <c r="L533" s="232"/>
      <c r="M533" s="233"/>
      <c r="N533" s="234"/>
      <c r="O533" s="232"/>
      <c r="P533" s="232"/>
      <c r="Q533" s="233"/>
      <c r="R533" s="234"/>
      <c r="S533" s="232"/>
      <c r="T533" s="232"/>
      <c r="U533" s="233"/>
      <c r="V533" s="234"/>
      <c r="W533" s="232"/>
      <c r="X533" s="232"/>
      <c r="Y533" s="233"/>
      <c r="Z533" s="234"/>
      <c r="AA533" s="232"/>
      <c r="AB533" s="232"/>
      <c r="AC533" s="233"/>
      <c r="AD533" s="234"/>
      <c r="AE533" s="233"/>
      <c r="AI533" s="354">
        <f>O533-J533</f>
        <v>0</v>
      </c>
      <c r="AJ533" s="354">
        <f>U533-O533</f>
        <v>0</v>
      </c>
      <c r="AK533" s="354">
        <f t="shared" si="101"/>
        <v>0</v>
      </c>
      <c r="AQ533" s="354"/>
    </row>
    <row r="534" spans="1:46" ht="12.95" hidden="1" customHeight="1" thickBot="1">
      <c r="A534" s="885"/>
      <c r="B534" s="501"/>
      <c r="C534" s="231"/>
      <c r="D534" s="232"/>
      <c r="E534" s="233"/>
      <c r="F534" s="234"/>
      <c r="G534" s="232"/>
      <c r="H534" s="232"/>
      <c r="I534" s="233"/>
      <c r="J534" s="234"/>
      <c r="K534" s="232"/>
      <c r="L534" s="232"/>
      <c r="M534" s="233"/>
      <c r="N534" s="234"/>
      <c r="O534" s="232"/>
      <c r="P534" s="232"/>
      <c r="Q534" s="233"/>
      <c r="R534" s="234"/>
      <c r="S534" s="232"/>
      <c r="T534" s="232"/>
      <c r="U534" s="233"/>
      <c r="V534" s="234"/>
      <c r="W534" s="232"/>
      <c r="X534" s="232"/>
      <c r="Y534" s="233"/>
      <c r="Z534" s="234"/>
      <c r="AA534" s="232"/>
      <c r="AB534" s="232"/>
      <c r="AC534" s="233"/>
      <c r="AD534" s="234"/>
      <c r="AE534" s="233"/>
      <c r="AI534" s="354">
        <f>O534-J534</f>
        <v>0</v>
      </c>
      <c r="AJ534" s="354">
        <f>U534-O534</f>
        <v>0</v>
      </c>
      <c r="AK534" s="354">
        <f t="shared" si="101"/>
        <v>0</v>
      </c>
      <c r="AQ534" s="354"/>
    </row>
    <row r="535" spans="1:46" ht="12.95" customHeight="1" thickBot="1">
      <c r="A535" s="885"/>
      <c r="B535" s="136" t="s">
        <v>42</v>
      </c>
      <c r="C535" s="28"/>
      <c r="D535" s="1377">
        <v>2008</v>
      </c>
      <c r="E535" s="1378"/>
      <c r="F535" s="1372">
        <v>2009</v>
      </c>
      <c r="G535" s="1373"/>
      <c r="H535" s="1373"/>
      <c r="I535" s="1374"/>
      <c r="J535" s="1372">
        <v>2010</v>
      </c>
      <c r="K535" s="1373"/>
      <c r="L535" s="1373"/>
      <c r="M535" s="1374"/>
      <c r="N535" s="1372">
        <v>2011</v>
      </c>
      <c r="O535" s="1373"/>
      <c r="P535" s="1373"/>
      <c r="Q535" s="1374"/>
      <c r="R535" s="1372">
        <v>2012</v>
      </c>
      <c r="S535" s="1373"/>
      <c r="T535" s="1373"/>
      <c r="U535" s="1374"/>
      <c r="V535" s="1372">
        <v>2013</v>
      </c>
      <c r="W535" s="1373"/>
      <c r="X535" s="1373"/>
      <c r="Y535" s="1374"/>
      <c r="Z535" s="1372">
        <v>2014</v>
      </c>
      <c r="AA535" s="1373"/>
      <c r="AB535" s="1373"/>
      <c r="AC535" s="1374"/>
      <c r="AD535" s="1372">
        <v>2015</v>
      </c>
      <c r="AE535" s="1374"/>
      <c r="AL535" s="351"/>
      <c r="AM535" s="351"/>
    </row>
    <row r="536" spans="1:46" ht="12.95" customHeight="1" thickBot="1">
      <c r="A536" s="1382"/>
      <c r="B536" s="868" t="s">
        <v>180</v>
      </c>
      <c r="C536" s="193"/>
      <c r="D536" s="1379" t="s">
        <v>718</v>
      </c>
      <c r="E536" s="1380"/>
      <c r="F536" s="1380"/>
      <c r="G536" s="1380"/>
      <c r="H536" s="1380"/>
      <c r="I536" s="1380"/>
      <c r="J536" s="1380"/>
      <c r="K536" s="1380"/>
      <c r="L536" s="1380"/>
      <c r="M536" s="1380"/>
      <c r="N536" s="1380"/>
      <c r="O536" s="1380"/>
      <c r="P536" s="1380"/>
      <c r="Q536" s="1380"/>
      <c r="R536" s="1380"/>
      <c r="S536" s="1380"/>
      <c r="T536" s="1380"/>
      <c r="U536" s="1380"/>
      <c r="V536" s="1380"/>
      <c r="W536" s="1380"/>
      <c r="X536" s="1380"/>
      <c r="Y536" s="1380"/>
      <c r="Z536" s="1380"/>
      <c r="AA536" s="1380"/>
      <c r="AB536" s="1380"/>
      <c r="AC536" s="1380"/>
      <c r="AD536" s="1380"/>
      <c r="AE536" s="1381"/>
      <c r="AG536" s="257" t="s">
        <v>663</v>
      </c>
      <c r="AM536" s="356"/>
      <c r="AQ536" s="356"/>
      <c r="AS536" s="716" t="s">
        <v>1046</v>
      </c>
    </row>
    <row r="537" spans="1:46" ht="13.5" thickBot="1">
      <c r="A537" s="1382"/>
      <c r="B537" s="885"/>
      <c r="C537" s="194" t="s">
        <v>610</v>
      </c>
      <c r="D537" s="206"/>
      <c r="E537" s="207"/>
      <c r="F537" s="209"/>
      <c r="G537" s="206"/>
      <c r="H537" s="206"/>
      <c r="I537" s="207"/>
      <c r="J537" s="209"/>
      <c r="K537" s="206"/>
      <c r="L537" s="206"/>
      <c r="M537" s="207"/>
      <c r="N537" s="277"/>
      <c r="O537" s="278">
        <f>(O547-H547)/7/(SUM($C$700:$C$701))/Spend!O537*'State Efficiency Ratios (2014)'!$C$655</f>
        <v>7.4335864735939632</v>
      </c>
      <c r="P537" s="278"/>
      <c r="Q537" s="279"/>
      <c r="R537" s="277"/>
      <c r="S537" s="278"/>
      <c r="T537" s="278"/>
      <c r="U537" s="278">
        <f>(U547-O547)/6/(SUM($C$700:$C$701))/Spend!U537*'State Efficiency Ratios (2014)'!$C$655</f>
        <v>86.737560355123861</v>
      </c>
      <c r="V537" s="277"/>
      <c r="W537" s="278"/>
      <c r="X537" s="278"/>
      <c r="Y537" s="278">
        <f>(Y547-U547)/4/(SUM($C$700:$C$701))/Spend!Y537*'State Efficiency Ratios (2014)'!$C$655</f>
        <v>357.25621704846202</v>
      </c>
      <c r="Z537" s="277"/>
      <c r="AA537" s="278"/>
      <c r="AB537" s="278"/>
      <c r="AC537" s="278">
        <f>(AC547-Y547)/4/(SUM($C$700:$C$701))/Spend!AC537*'State Efficiency Ratios (2014)'!$C$655</f>
        <v>300.08172201140536</v>
      </c>
      <c r="AD537" s="208"/>
      <c r="AE537" s="213"/>
      <c r="AG537" s="410"/>
      <c r="AM537" s="378"/>
      <c r="AS537" s="717">
        <f>(O547-H547)/7/$C$673/Spend!O537*'State Efficiency Ratios (2014)'!$C$655</f>
        <v>44.601518841563781</v>
      </c>
    </row>
    <row r="538" spans="1:46" ht="13.5" thickBot="1">
      <c r="A538" s="1382"/>
      <c r="B538" s="885"/>
      <c r="C538" s="194" t="s">
        <v>611</v>
      </c>
      <c r="D538" s="206"/>
      <c r="E538" s="207"/>
      <c r="F538" s="209"/>
      <c r="G538" s="206"/>
      <c r="H538" s="206"/>
      <c r="I538" s="207"/>
      <c r="J538" s="209"/>
      <c r="K538" s="206"/>
      <c r="L538" s="206"/>
      <c r="M538" s="207"/>
      <c r="N538" s="277"/>
      <c r="O538" s="278">
        <f>(O548-H548)/7/(SUM($C$700:$C$701))/Spend!O538*'State Efficiency Ratios (2014)'!$C$655</f>
        <v>24.831391554097483</v>
      </c>
      <c r="P538" s="278"/>
      <c r="Q538" s="279"/>
      <c r="R538" s="277"/>
      <c r="S538" s="278"/>
      <c r="T538" s="278"/>
      <c r="U538" s="278">
        <f>(U548-O548)/6/(SUM($C$700:$C$701))/Spend!U538*'State Efficiency Ratios (2014)'!$C$655</f>
        <v>94.12740637247127</v>
      </c>
      <c r="V538" s="277"/>
      <c r="W538" s="278"/>
      <c r="X538" s="278"/>
      <c r="Y538" s="278">
        <f>(Y548-U548)/4/(SUM($C$700:$C$701))/Spend!Y538*'State Efficiency Ratios (2014)'!$C$655</f>
        <v>122.37147428112837</v>
      </c>
      <c r="Z538" s="277"/>
      <c r="AA538" s="278"/>
      <c r="AB538" s="278"/>
      <c r="AC538" s="278">
        <f>(AC548-Y548)/4/(SUM($C$700:$C$701))/Spend!AC538*'State Efficiency Ratios (2014)'!$C$655</f>
        <v>590.20785017265052</v>
      </c>
      <c r="AD538" s="208"/>
      <c r="AE538" s="213"/>
      <c r="AG538" s="410"/>
      <c r="AS538" s="719">
        <f>(O548-H548)/7/$C$673/Spend!O538*'State Efficiency Ratios (2014)'!$C$655</f>
        <v>148.98834932458493</v>
      </c>
    </row>
    <row r="539" spans="1:46" ht="13.5" thickBot="1">
      <c r="A539" s="1382"/>
      <c r="B539" s="885"/>
      <c r="C539" s="194" t="s">
        <v>612</v>
      </c>
      <c r="D539" s="206"/>
      <c r="E539" s="207"/>
      <c r="F539" s="209"/>
      <c r="G539" s="206"/>
      <c r="H539" s="206"/>
      <c r="I539" s="207"/>
      <c r="J539" s="209"/>
      <c r="K539" s="206"/>
      <c r="L539" s="206"/>
      <c r="M539" s="207"/>
      <c r="N539" s="277"/>
      <c r="O539" s="278">
        <f>(O549-H549)/7/(SUM($C$700:$C$701))/Spend!O539*'State Efficiency Ratios (2014)'!$C$655</f>
        <v>37.812999793440625</v>
      </c>
      <c r="P539" s="278"/>
      <c r="Q539" s="279"/>
      <c r="R539" s="277"/>
      <c r="S539" s="278"/>
      <c r="T539" s="278"/>
      <c r="U539" s="278">
        <f>(U549-O549)/6/(SUM($C$700:$C$701))/Spend!U539*'State Efficiency Ratios (2014)'!$C$655</f>
        <v>48.963587024680841</v>
      </c>
      <c r="V539" s="277"/>
      <c r="W539" s="278"/>
      <c r="X539" s="278"/>
      <c r="Y539" s="278">
        <f>(Y549-U549)/4/(SUM($C$700:$C$701))/Spend!Y539*'State Efficiency Ratios (2014)'!$C$655</f>
        <v>-75.663818858325413</v>
      </c>
      <c r="Z539" s="277"/>
      <c r="AA539" s="278"/>
      <c r="AB539" s="278"/>
      <c r="AC539" s="278">
        <f>(AC549-Y549)/4/(SUM($C$700:$C$701))/Spend!AC539*'State Efficiency Ratios (2014)'!$C$655</f>
        <v>954.12917587138702</v>
      </c>
      <c r="AD539" s="208"/>
      <c r="AE539" s="213"/>
      <c r="AG539" s="410" t="s">
        <v>1086</v>
      </c>
      <c r="AS539" s="719">
        <f>(O549-H549)/7/$C$673/Spend!O539*'State Efficiency Ratios (2014)'!$C$655</f>
        <v>226.87799876064372</v>
      </c>
    </row>
    <row r="540" spans="1:46" ht="13.5" thickBot="1">
      <c r="A540" s="1382"/>
      <c r="B540" s="885"/>
      <c r="C540" s="194" t="s">
        <v>613</v>
      </c>
      <c r="D540" s="206"/>
      <c r="E540" s="207"/>
      <c r="F540" s="209"/>
      <c r="G540" s="206"/>
      <c r="H540" s="206"/>
      <c r="I540" s="207"/>
      <c r="J540" s="209"/>
      <c r="K540" s="206"/>
      <c r="L540" s="206"/>
      <c r="M540" s="207"/>
      <c r="N540" s="277"/>
      <c r="O540" s="278">
        <f>(O550-H550)/7/(SUM($C$700:$C$701))/Spend!O540*'State Efficiency Ratios (2014)'!$C$655</f>
        <v>51.038750097854951</v>
      </c>
      <c r="P540" s="278"/>
      <c r="Q540" s="279"/>
      <c r="R540" s="277"/>
      <c r="S540" s="278"/>
      <c r="T540" s="278"/>
      <c r="U540" s="278">
        <f>(U550-O550)/6/(SUM($C$700:$C$701))/Spend!U540*'State Efficiency Ratios (2014)'!$C$655</f>
        <v>13.621875284670661</v>
      </c>
      <c r="V540" s="277"/>
      <c r="W540" s="278"/>
      <c r="X540" s="278"/>
      <c r="Y540" s="278">
        <f>(Y550-U550)/4/(SUM($C$700:$C$701))/Spend!Y540*'State Efficiency Ratios (2014)'!$C$655</f>
        <v>125.48815115255249</v>
      </c>
      <c r="Z540" s="277"/>
      <c r="AA540" s="278"/>
      <c r="AB540" s="278"/>
      <c r="AC540" s="278">
        <f>(AC550-Y550)/4/(SUM($C$700:$C$701))/Spend!AC540*'State Efficiency Ratios (2014)'!$C$655</f>
        <v>427.75474903417989</v>
      </c>
      <c r="AD540" s="208"/>
      <c r="AE540" s="213"/>
      <c r="AG540" s="410" t="s">
        <v>1090</v>
      </c>
      <c r="AS540" s="719">
        <f>(O550-H550)/7/$C$673/Spend!O540*'State Efficiency Ratios (2014)'!$C$655</f>
        <v>306.23250058712966</v>
      </c>
      <c r="AT540" s="714" t="s">
        <v>1070</v>
      </c>
    </row>
    <row r="541" spans="1:46" ht="13.5" thickBot="1">
      <c r="A541" s="1382"/>
      <c r="B541" s="885"/>
      <c r="C541" s="194" t="s">
        <v>614</v>
      </c>
      <c r="D541" s="206"/>
      <c r="E541" s="207"/>
      <c r="F541" s="209"/>
      <c r="G541" s="206"/>
      <c r="H541" s="206"/>
      <c r="I541" s="207"/>
      <c r="J541" s="209"/>
      <c r="K541" s="206"/>
      <c r="L541" s="206"/>
      <c r="M541" s="207"/>
      <c r="N541" s="277"/>
      <c r="O541" s="278">
        <f>(O551-H551)/7/(SUM($C$700:$C$701))/Spend!O541*'State Efficiency Ratios (2014)'!$C$655</f>
        <v>28.783913725321082</v>
      </c>
      <c r="P541" s="278"/>
      <c r="Q541" s="279"/>
      <c r="R541" s="277"/>
      <c r="S541" s="278"/>
      <c r="T541" s="278"/>
      <c r="U541" s="278">
        <f>(U551-O551)/6/(SUM($C$700:$C$701))/Spend!U541*'State Efficiency Ratios (2014)'!$C$655</f>
        <v>79.954192390476649</v>
      </c>
      <c r="V541" s="277"/>
      <c r="W541" s="278"/>
      <c r="X541" s="278"/>
      <c r="Y541" s="278">
        <f>(Y551-U551)/4/(SUM($C$700:$C$701))/Spend!Y541*'State Efficiency Ratios (2014)'!$C$655</f>
        <v>410.46331938803309</v>
      </c>
      <c r="Z541" s="277"/>
      <c r="AA541" s="278"/>
      <c r="AB541" s="278"/>
      <c r="AC541" s="278">
        <f>(AC551-Y551)/4/(SUM($C$700:$C$701))/Spend!AC541*'State Efficiency Ratios (2014)'!$C$655</f>
        <v>23.570067534714546</v>
      </c>
      <c r="AD541" s="208"/>
      <c r="AE541" s="213"/>
      <c r="AG541" s="410" t="s">
        <v>1088</v>
      </c>
      <c r="AS541" s="719">
        <f>(O551-H551)/7/$C$673/Spend!O541*'State Efficiency Ratios (2014)'!$C$655</f>
        <v>172.70348235192645</v>
      </c>
      <c r="AT541" s="721">
        <f>SUM(AS537:AS541)/5</f>
        <v>179.88076997316972</v>
      </c>
    </row>
    <row r="542" spans="1:46" ht="12.95" customHeight="1" thickBot="1">
      <c r="A542" s="1382"/>
      <c r="B542" s="885"/>
      <c r="C542" s="194" t="s">
        <v>615</v>
      </c>
      <c r="D542" s="210"/>
      <c r="E542" s="211"/>
      <c r="F542" s="209"/>
      <c r="G542" s="210"/>
      <c r="H542" s="210"/>
      <c r="I542" s="211"/>
      <c r="J542" s="209"/>
      <c r="K542" s="210"/>
      <c r="L542" s="210"/>
      <c r="M542" s="211"/>
      <c r="N542" s="281"/>
      <c r="O542" s="282"/>
      <c r="P542" s="282"/>
      <c r="Q542" s="282"/>
      <c r="R542" s="277"/>
      <c r="S542" s="278"/>
      <c r="T542" s="278"/>
      <c r="U542" s="278">
        <f>(U552-R552)/3/(SUM($C$700:$C$701))/Spend!U542*'State Efficiency Ratios (2014)'!$C$655</f>
        <v>258.87069818859976</v>
      </c>
      <c r="V542" s="277"/>
      <c r="W542" s="278"/>
      <c r="X542" s="278"/>
      <c r="Y542" s="278">
        <f>(Y552-U552)/4/(SUM($C$700:$C$701))/Spend!Y542*'State Efficiency Ratios (2014)'!$C$655</f>
        <v>294.70622031911199</v>
      </c>
      <c r="Z542" s="277"/>
      <c r="AA542" s="278"/>
      <c r="AB542" s="278"/>
      <c r="AC542" s="278">
        <f>(AC552-Y552)/4/(SUM($C$700:$C$701))/Spend!AC542*'State Efficiency Ratios (2014)'!$C$655</f>
        <v>451.74845072379918</v>
      </c>
      <c r="AD542" s="208"/>
      <c r="AE542" s="213"/>
      <c r="AG542" s="410"/>
      <c r="AI542" s="4" t="s">
        <v>1053</v>
      </c>
      <c r="AS542" s="719">
        <f>(Y552-R552)/7/$C$673/(Spend!U542+Spend!Y542)*'State Efficiency Ratios (2014)'!$C$655</f>
        <v>802.58830399647547</v>
      </c>
    </row>
    <row r="543" spans="1:46" ht="12.95" customHeight="1" thickBot="1">
      <c r="A543" s="1382"/>
      <c r="B543" s="885" t="s">
        <v>178</v>
      </c>
      <c r="C543" s="194" t="s">
        <v>616</v>
      </c>
      <c r="D543" s="210"/>
      <c r="E543" s="211"/>
      <c r="F543" s="209"/>
      <c r="G543" s="210"/>
      <c r="H543" s="210"/>
      <c r="I543" s="211"/>
      <c r="J543" s="209"/>
      <c r="K543" s="210"/>
      <c r="L543" s="210"/>
      <c r="M543" s="211"/>
      <c r="N543" s="281"/>
      <c r="O543" s="282"/>
      <c r="P543" s="282"/>
      <c r="Q543" s="282"/>
      <c r="R543" s="277"/>
      <c r="S543" s="278"/>
      <c r="T543" s="278"/>
      <c r="U543" s="278">
        <f>(U553-R553)/3/(SUM($C$700:$C$701))/Spend!U543*'State Efficiency Ratios (2014)'!$C$655</f>
        <v>0</v>
      </c>
      <c r="V543" s="277"/>
      <c r="W543" s="278"/>
      <c r="X543" s="278"/>
      <c r="Y543" s="278">
        <f>(Y553-U553)/4/(SUM($C$700:$C$701))/Spend!Y543*'State Efficiency Ratios (2014)'!$C$655</f>
        <v>395.48084244640268</v>
      </c>
      <c r="Z543" s="277"/>
      <c r="AA543" s="278"/>
      <c r="AB543" s="278"/>
      <c r="AC543" s="278">
        <f>(AC553-Y553)/4/(SUM($C$700:$C$701))/Spend!AC543*'State Efficiency Ratios (2014)'!$C$655</f>
        <v>473.9310033830011</v>
      </c>
      <c r="AD543" s="208"/>
      <c r="AE543" s="213"/>
      <c r="AG543" s="410" t="s">
        <v>1084</v>
      </c>
      <c r="AH543" s="355" t="s">
        <v>1052</v>
      </c>
      <c r="AI543" s="599">
        <f>4/5*SUM(AI547:AI551)/5</f>
        <v>3.3600000000000003</v>
      </c>
      <c r="AJ543" s="592">
        <f>4/6*SUM(AJ547:AJ551)/5</f>
        <v>2.5333333333333332</v>
      </c>
      <c r="AK543" s="592">
        <f>SUM(AK547:AK554)/8</f>
        <v>4.125</v>
      </c>
      <c r="AL543" s="594">
        <f>SUM(AL547:AL554)/8</f>
        <v>19.625</v>
      </c>
      <c r="AS543" s="719">
        <f>(Y553-R553)/7/$C$673/(Spend!U543+Spend!Y543)*'State Efficiency Ratios (2014)'!$C$655</f>
        <v>540.79751199092061</v>
      </c>
      <c r="AT543" s="714" t="s">
        <v>1071</v>
      </c>
    </row>
    <row r="544" spans="1:46" ht="12.95" customHeight="1" thickBot="1">
      <c r="A544" s="1382"/>
      <c r="B544" s="885"/>
      <c r="C544" s="194" t="s">
        <v>617</v>
      </c>
      <c r="D544" s="210"/>
      <c r="E544" s="211"/>
      <c r="F544" s="209"/>
      <c r="G544" s="210"/>
      <c r="H544" s="210"/>
      <c r="I544" s="211"/>
      <c r="J544" s="209"/>
      <c r="K544" s="210"/>
      <c r="L544" s="210"/>
      <c r="M544" s="211"/>
      <c r="N544" s="281"/>
      <c r="O544" s="282"/>
      <c r="P544" s="282"/>
      <c r="Q544" s="282"/>
      <c r="R544" s="277"/>
      <c r="S544" s="278"/>
      <c r="T544" s="278"/>
      <c r="U544" s="278">
        <f>(U554-R554)/3/(SUM($C$700:$C$701))/Spend!U544*'State Efficiency Ratios (2014)'!$C$655</f>
        <v>0</v>
      </c>
      <c r="V544" s="277"/>
      <c r="W544" s="278"/>
      <c r="X544" s="278"/>
      <c r="Y544" s="278">
        <f>(Y554-U554)/4/(SUM($C$700:$C$701))/Spend!Y544*'State Efficiency Ratios (2014)'!$C$655</f>
        <v>251.06598712309133</v>
      </c>
      <c r="Z544" s="277"/>
      <c r="AA544" s="278"/>
      <c r="AB544" s="278"/>
      <c r="AC544" s="278">
        <f>(AC554-Y554)/4/(SUM($C$700:$C$701))/Spend!AC544*'State Efficiency Ratios (2014)'!$C$655</f>
        <v>705.62603696236476</v>
      </c>
      <c r="AD544" s="208"/>
      <c r="AE544" s="213"/>
      <c r="AG544" s="410" t="s">
        <v>1089</v>
      </c>
      <c r="AH544" s="355" t="s">
        <v>1051</v>
      </c>
      <c r="AI544" s="606">
        <f>SUM(O537:O541)/5</f>
        <v>29.980128328861618</v>
      </c>
      <c r="AJ544" s="607">
        <f>SUM(U537:U541)/5</f>
        <v>64.68092428548465</v>
      </c>
      <c r="AK544" s="607">
        <f>SUM(Y537:Y544)/8</f>
        <v>235.14604911255708</v>
      </c>
      <c r="AL544" s="608">
        <f>SUM(AC537:AC544)/8</f>
        <v>490.88113196168774</v>
      </c>
      <c r="AS544" s="722">
        <f>(Y554-R554)/7/$C$673/(Spend!U544+Spend!Y544)*'State Efficiency Ratios (2014)'!$C$655</f>
        <v>430.39883506815659</v>
      </c>
      <c r="AT544" s="721">
        <f>SUM(AS542:AS544)/3</f>
        <v>591.26155035185093</v>
      </c>
    </row>
    <row r="545" spans="1:46" ht="12.95" customHeight="1" thickBot="1">
      <c r="A545" s="1382"/>
      <c r="B545" s="885"/>
      <c r="C545" s="194" t="s">
        <v>618</v>
      </c>
      <c r="D545" s="210"/>
      <c r="E545" s="211"/>
      <c r="F545" s="209"/>
      <c r="G545" s="210"/>
      <c r="H545" s="210"/>
      <c r="I545" s="211"/>
      <c r="J545" s="209"/>
      <c r="K545" s="210"/>
      <c r="L545" s="210"/>
      <c r="M545" s="211"/>
      <c r="N545" s="281"/>
      <c r="O545" s="282"/>
      <c r="P545" s="282"/>
      <c r="Q545" s="283"/>
      <c r="R545" s="281"/>
      <c r="S545" s="282"/>
      <c r="T545" s="282"/>
      <c r="U545" s="283"/>
      <c r="V545" s="281"/>
      <c r="W545" s="282"/>
      <c r="X545" s="282"/>
      <c r="Y545" s="283"/>
      <c r="Z545" s="277"/>
      <c r="AA545" s="278"/>
      <c r="AB545" s="278"/>
      <c r="AC545" s="278">
        <f>(AC555-Y555)/4/(SUM($C$700:$C$701))/Spend!AC545*'State Efficiency Ratios (2014)'!$C$655</f>
        <v>0</v>
      </c>
      <c r="AD545" s="208"/>
      <c r="AE545" s="213"/>
      <c r="AG545" s="410"/>
    </row>
    <row r="546" spans="1:46" ht="12.95" customHeight="1" thickBot="1">
      <c r="A546" s="1382"/>
      <c r="B546" s="885"/>
      <c r="C546" s="194" t="s">
        <v>619</v>
      </c>
      <c r="D546" s="210"/>
      <c r="E546" s="211"/>
      <c r="F546" s="209"/>
      <c r="G546" s="210"/>
      <c r="H546" s="210"/>
      <c r="I546" s="211"/>
      <c r="J546" s="209"/>
      <c r="K546" s="210"/>
      <c r="L546" s="210"/>
      <c r="M546" s="211"/>
      <c r="N546" s="281"/>
      <c r="O546" s="282"/>
      <c r="P546" s="282"/>
      <c r="Q546" s="283"/>
      <c r="R546" s="281"/>
      <c r="S546" s="282"/>
      <c r="T546" s="282"/>
      <c r="U546" s="283"/>
      <c r="V546" s="281"/>
      <c r="W546" s="282"/>
      <c r="X546" s="282"/>
      <c r="Y546" s="283"/>
      <c r="Z546" s="277"/>
      <c r="AA546" s="278"/>
      <c r="AB546" s="278"/>
      <c r="AC546" s="278">
        <f>(AC556-Y556)/4/(SUM($C$700:$C$701))/Spend!AC546*'State Efficiency Ratios (2014)'!$C$655</f>
        <v>0</v>
      </c>
      <c r="AD546" s="208"/>
      <c r="AE546" s="213"/>
      <c r="AG546" s="410"/>
      <c r="AI546" s="416" t="s">
        <v>1046</v>
      </c>
      <c r="AS546" s="716" t="s">
        <v>1046</v>
      </c>
    </row>
    <row r="547" spans="1:46" ht="12.95" customHeight="1" thickBot="1">
      <c r="A547" s="1382"/>
      <c r="B547" s="885"/>
      <c r="C547" s="9" t="s">
        <v>295</v>
      </c>
      <c r="D547" s="241" t="s">
        <v>632</v>
      </c>
      <c r="E547" s="241" t="s">
        <v>632</v>
      </c>
      <c r="F547" s="243" t="s">
        <v>646</v>
      </c>
      <c r="G547" s="241" t="s">
        <v>646</v>
      </c>
      <c r="H547" s="196">
        <f>'State DisAgg LFx10 (2014)'!D537</f>
        <v>0</v>
      </c>
      <c r="I547" s="244" t="s">
        <v>646</v>
      </c>
      <c r="J547" s="195"/>
      <c r="K547" s="196"/>
      <c r="L547" s="196"/>
      <c r="M547" s="197"/>
      <c r="N547" s="195"/>
      <c r="O547" s="196">
        <f>SUM('State DisAgg LFx10 (2014)'!H537:K537)</f>
        <v>1</v>
      </c>
      <c r="P547" s="196"/>
      <c r="Q547" s="197"/>
      <c r="R547" s="195"/>
      <c r="S547" s="196"/>
      <c r="T547" s="196"/>
      <c r="U547" s="197">
        <f>SUM('State DisAgg LFx10 (2014)'!L547:O547)</f>
        <v>6</v>
      </c>
      <c r="V547" s="195"/>
      <c r="W547" s="196"/>
      <c r="X547" s="196"/>
      <c r="Y547" s="197">
        <f>SUM('State DisAgg LFx10 (2014)'!P547:S547)</f>
        <v>13</v>
      </c>
      <c r="Z547" s="195"/>
      <c r="AA547" s="196"/>
      <c r="AB547" s="196"/>
      <c r="AC547" s="197">
        <f>SUM('State DisAgg LFx10 (2014)'!T547:W547)</f>
        <v>27</v>
      </c>
      <c r="AD547" s="195"/>
      <c r="AE547" s="197"/>
      <c r="AI547" s="361">
        <f>O547-J547</f>
        <v>1</v>
      </c>
      <c r="AJ547" s="362">
        <f>U547-O547</f>
        <v>5</v>
      </c>
      <c r="AK547" s="362">
        <f t="shared" ref="AK547:AK558" si="103">Y547-U547</f>
        <v>7</v>
      </c>
      <c r="AL547" s="582">
        <f t="shared" ref="AL547:AL556" si="104">AC547-Y547</f>
        <v>14</v>
      </c>
      <c r="AM547" s="378"/>
      <c r="AQ547" s="354"/>
      <c r="AS547" s="724">
        <f>(O547-J547)</f>
        <v>1</v>
      </c>
    </row>
    <row r="548" spans="1:46" ht="12.95" customHeight="1" thickBot="1">
      <c r="A548" s="1382"/>
      <c r="B548" s="885"/>
      <c r="C548" s="9" t="s">
        <v>296</v>
      </c>
      <c r="D548" s="241" t="s">
        <v>632</v>
      </c>
      <c r="E548" s="241" t="s">
        <v>632</v>
      </c>
      <c r="F548" s="243" t="s">
        <v>646</v>
      </c>
      <c r="G548" s="241" t="s">
        <v>646</v>
      </c>
      <c r="H548" s="196">
        <f>'State DisAgg LFx10 (2014)'!D538</f>
        <v>0</v>
      </c>
      <c r="I548" s="244" t="s">
        <v>646</v>
      </c>
      <c r="J548" s="195"/>
      <c r="K548" s="196"/>
      <c r="L548" s="196"/>
      <c r="M548" s="197"/>
      <c r="N548" s="195"/>
      <c r="O548" s="196">
        <f>SUM('State DisAgg LFx10 (2014)'!H538:K538)</f>
        <v>3</v>
      </c>
      <c r="P548" s="196"/>
      <c r="Q548" s="197"/>
      <c r="R548" s="195"/>
      <c r="S548" s="196"/>
      <c r="T548" s="196"/>
      <c r="U548" s="197">
        <f>SUM('State DisAgg LFx10 (2014)'!L548:O548)</f>
        <v>8</v>
      </c>
      <c r="V548" s="195"/>
      <c r="W548" s="196"/>
      <c r="X548" s="196"/>
      <c r="Y548" s="197">
        <f>SUM('State DisAgg LFx10 (2014)'!P548:S548)</f>
        <v>13</v>
      </c>
      <c r="Z548" s="195"/>
      <c r="AA548" s="196"/>
      <c r="AB548" s="196"/>
      <c r="AC548" s="197">
        <f>SUM('State DisAgg LFx10 (2014)'!T548:W548)</f>
        <v>34</v>
      </c>
      <c r="AD548" s="195"/>
      <c r="AE548" s="197"/>
      <c r="AI548" s="364">
        <f>O548-J548</f>
        <v>3</v>
      </c>
      <c r="AJ548" s="360">
        <f>U548-O548</f>
        <v>5</v>
      </c>
      <c r="AK548" s="360">
        <f t="shared" si="103"/>
        <v>5</v>
      </c>
      <c r="AL548" s="584">
        <f t="shared" si="104"/>
        <v>21</v>
      </c>
      <c r="AM548" s="378"/>
      <c r="AQ548" s="354"/>
      <c r="AS548" s="726">
        <f>(O548-J548)</f>
        <v>3</v>
      </c>
    </row>
    <row r="549" spans="1:46" ht="13.5" thickBot="1">
      <c r="A549" s="1382"/>
      <c r="B549" s="885"/>
      <c r="C549" s="9" t="s">
        <v>297</v>
      </c>
      <c r="D549" s="241" t="s">
        <v>632</v>
      </c>
      <c r="E549" s="241" t="s">
        <v>632</v>
      </c>
      <c r="F549" s="243" t="s">
        <v>646</v>
      </c>
      <c r="G549" s="241" t="s">
        <v>646</v>
      </c>
      <c r="H549" s="196">
        <f>'State DisAgg LFx10 (2014)'!D539</f>
        <v>0</v>
      </c>
      <c r="I549" s="244" t="s">
        <v>646</v>
      </c>
      <c r="J549" s="195"/>
      <c r="K549" s="196"/>
      <c r="L549" s="196"/>
      <c r="M549" s="197"/>
      <c r="N549" s="195"/>
      <c r="O549" s="196">
        <f>SUM('State DisAgg LFx10 (2014)'!H539:K539)</f>
        <v>5</v>
      </c>
      <c r="P549" s="196"/>
      <c r="Q549" s="197"/>
      <c r="R549" s="195"/>
      <c r="S549" s="196"/>
      <c r="T549" s="196"/>
      <c r="U549" s="197">
        <f>SUM('State DisAgg LFx10 (2014)'!L549:O549)</f>
        <v>8</v>
      </c>
      <c r="V549" s="195"/>
      <c r="W549" s="196"/>
      <c r="X549" s="196"/>
      <c r="Y549" s="197">
        <f>SUM('State DisAgg LFx10 (2014)'!P549:S549)</f>
        <v>6</v>
      </c>
      <c r="Z549" s="195"/>
      <c r="AA549" s="196"/>
      <c r="AB549" s="196"/>
      <c r="AC549" s="197">
        <f>SUM('State DisAgg LFx10 (2014)'!T549:W549)</f>
        <v>36</v>
      </c>
      <c r="AD549" s="195"/>
      <c r="AE549" s="197"/>
      <c r="AI549" s="364">
        <f>O549-J549</f>
        <v>5</v>
      </c>
      <c r="AJ549" s="360">
        <f>U549-O549</f>
        <v>3</v>
      </c>
      <c r="AK549" s="360">
        <f t="shared" si="103"/>
        <v>-2</v>
      </c>
      <c r="AL549" s="584">
        <f t="shared" si="104"/>
        <v>30</v>
      </c>
      <c r="AM549" s="378"/>
      <c r="AQ549" s="354"/>
      <c r="AS549" s="726">
        <f>(O549-J549)</f>
        <v>5</v>
      </c>
    </row>
    <row r="550" spans="1:46" ht="13.5" thickBot="1">
      <c r="A550" s="1382"/>
      <c r="B550" s="885"/>
      <c r="C550" s="9" t="s">
        <v>298</v>
      </c>
      <c r="D550" s="241" t="s">
        <v>632</v>
      </c>
      <c r="E550" s="241" t="s">
        <v>632</v>
      </c>
      <c r="F550" s="243" t="s">
        <v>646</v>
      </c>
      <c r="G550" s="241" t="s">
        <v>646</v>
      </c>
      <c r="H550" s="196">
        <f>'State DisAgg LFx10 (2014)'!D540</f>
        <v>0</v>
      </c>
      <c r="I550" s="244" t="s">
        <v>646</v>
      </c>
      <c r="J550" s="195"/>
      <c r="K550" s="196"/>
      <c r="L550" s="196"/>
      <c r="M550" s="197"/>
      <c r="N550" s="195"/>
      <c r="O550" s="196">
        <f>SUM('State DisAgg LFx10 (2014)'!H540:K540)</f>
        <v>7</v>
      </c>
      <c r="P550" s="196"/>
      <c r="Q550" s="197"/>
      <c r="R550" s="195"/>
      <c r="S550" s="196"/>
      <c r="T550" s="196"/>
      <c r="U550" s="197">
        <f>SUM('State DisAgg LFx10 (2014)'!L550:O550)</f>
        <v>8</v>
      </c>
      <c r="V550" s="195"/>
      <c r="W550" s="196"/>
      <c r="X550" s="196"/>
      <c r="Y550" s="197">
        <f>SUM('State DisAgg LFx10 (2014)'!P550:S550)</f>
        <v>12</v>
      </c>
      <c r="Z550" s="195"/>
      <c r="AA550" s="196"/>
      <c r="AB550" s="196"/>
      <c r="AC550" s="197">
        <f>SUM('State DisAgg LFx10 (2014)'!T550:W550)</f>
        <v>38</v>
      </c>
      <c r="AD550" s="195"/>
      <c r="AE550" s="197"/>
      <c r="AI550" s="364">
        <f>O550-J550</f>
        <v>7</v>
      </c>
      <c r="AJ550" s="360">
        <f>U550-O550</f>
        <v>1</v>
      </c>
      <c r="AK550" s="360">
        <f t="shared" si="103"/>
        <v>4</v>
      </c>
      <c r="AL550" s="584">
        <f t="shared" si="104"/>
        <v>26</v>
      </c>
      <c r="AM550" s="378"/>
      <c r="AQ550" s="354"/>
      <c r="AS550" s="726">
        <f>(O550-J550)</f>
        <v>7</v>
      </c>
      <c r="AT550" s="714" t="s">
        <v>1070</v>
      </c>
    </row>
    <row r="551" spans="1:46" ht="13.5" thickBot="1">
      <c r="A551" s="1382"/>
      <c r="B551" s="885"/>
      <c r="C551" s="9" t="s">
        <v>299</v>
      </c>
      <c r="D551" s="241" t="s">
        <v>632</v>
      </c>
      <c r="E551" s="241" t="s">
        <v>632</v>
      </c>
      <c r="F551" s="243" t="s">
        <v>646</v>
      </c>
      <c r="G551" s="241" t="s">
        <v>646</v>
      </c>
      <c r="H551" s="196">
        <f>'State DisAgg LFx10 (2014)'!D541</f>
        <v>0</v>
      </c>
      <c r="I551" s="244" t="s">
        <v>646</v>
      </c>
      <c r="J551" s="195"/>
      <c r="K551" s="196"/>
      <c r="L551" s="196"/>
      <c r="M551" s="197"/>
      <c r="N551" s="195"/>
      <c r="O551" s="196">
        <f>SUM('State DisAgg LFx10 (2014)'!H541:K541)</f>
        <v>5</v>
      </c>
      <c r="P551" s="196"/>
      <c r="Q551" s="197"/>
      <c r="R551" s="195"/>
      <c r="S551" s="196"/>
      <c r="T551" s="196"/>
      <c r="U551" s="197">
        <f>SUM('State DisAgg LFx10 (2014)'!L551:O551)</f>
        <v>10</v>
      </c>
      <c r="V551" s="195"/>
      <c r="W551" s="196"/>
      <c r="X551" s="196"/>
      <c r="Y551" s="197">
        <f>SUM('State DisAgg LFx10 (2014)'!P551:S551)</f>
        <v>18</v>
      </c>
      <c r="Z551" s="195"/>
      <c r="AA551" s="196"/>
      <c r="AB551" s="196"/>
      <c r="AC551" s="197">
        <f>SUM('State DisAgg LFx10 (2014)'!T551:W551)</f>
        <v>19</v>
      </c>
      <c r="AD551" s="195"/>
      <c r="AE551" s="197"/>
      <c r="AI551" s="364">
        <f>O551-J551</f>
        <v>5</v>
      </c>
      <c r="AJ551" s="360">
        <f>U551-O551</f>
        <v>5</v>
      </c>
      <c r="AK551" s="360">
        <f t="shared" si="103"/>
        <v>8</v>
      </c>
      <c r="AL551" s="584">
        <f t="shared" si="104"/>
        <v>1</v>
      </c>
      <c r="AM551" s="378"/>
      <c r="AQ551" s="354"/>
      <c r="AS551" s="726">
        <f>(O551-J551)</f>
        <v>5</v>
      </c>
      <c r="AT551" s="728">
        <f>SUM(AS547:AS551)/5</f>
        <v>4.2</v>
      </c>
    </row>
    <row r="552" spans="1:46" ht="13.5" thickBot="1">
      <c r="A552" s="1382"/>
      <c r="B552" s="885"/>
      <c r="C552" s="9" t="s">
        <v>300</v>
      </c>
      <c r="D552" s="199"/>
      <c r="E552" s="200"/>
      <c r="F552" s="201"/>
      <c r="G552" s="199"/>
      <c r="H552" s="199"/>
      <c r="I552" s="200"/>
      <c r="J552" s="201"/>
      <c r="K552" s="199"/>
      <c r="L552" s="199"/>
      <c r="M552" s="200"/>
      <c r="N552" s="198"/>
      <c r="O552" s="217" t="s">
        <v>634</v>
      </c>
      <c r="P552" s="241" t="s">
        <v>632</v>
      </c>
      <c r="Q552" s="244" t="s">
        <v>646</v>
      </c>
      <c r="R552" s="195">
        <f>SUM('State DisAgg LFx10 (2014)'!H542:K542)</f>
        <v>0</v>
      </c>
      <c r="S552" s="196"/>
      <c r="T552" s="196"/>
      <c r="U552" s="197">
        <f>SUM('State DisAgg LFx10 (2014)'!L552:O552)</f>
        <v>3</v>
      </c>
      <c r="V552" s="195"/>
      <c r="W552" s="196"/>
      <c r="X552" s="196"/>
      <c r="Y552" s="197">
        <f>SUM('State DisAgg LFx10 (2014)'!P552:S552)</f>
        <v>6</v>
      </c>
      <c r="Z552" s="195"/>
      <c r="AA552" s="196"/>
      <c r="AB552" s="196"/>
      <c r="AC552" s="197">
        <f>SUM('State DisAgg LFx10 (2014)'!T552:W552)</f>
        <v>27</v>
      </c>
      <c r="AD552" s="195"/>
      <c r="AE552" s="197"/>
      <c r="AI552" s="364">
        <v>0</v>
      </c>
      <c r="AJ552" s="360">
        <f>U552-R552</f>
        <v>3</v>
      </c>
      <c r="AK552" s="360">
        <f t="shared" si="103"/>
        <v>3</v>
      </c>
      <c r="AL552" s="584">
        <f t="shared" si="104"/>
        <v>21</v>
      </c>
      <c r="AM552" s="378"/>
      <c r="AQ552" s="354"/>
      <c r="AS552" s="726">
        <f>(Y552-R552)</f>
        <v>6</v>
      </c>
    </row>
    <row r="553" spans="1:46" ht="13.5" thickBot="1">
      <c r="A553" s="1382"/>
      <c r="B553" s="885"/>
      <c r="C553" s="9" t="s">
        <v>301</v>
      </c>
      <c r="D553" s="199"/>
      <c r="E553" s="200"/>
      <c r="F553" s="201"/>
      <c r="G553" s="199"/>
      <c r="H553" s="199"/>
      <c r="I553" s="200"/>
      <c r="J553" s="201"/>
      <c r="K553" s="199"/>
      <c r="L553" s="199"/>
      <c r="M553" s="200"/>
      <c r="N553" s="198"/>
      <c r="O553" s="217" t="s">
        <v>634</v>
      </c>
      <c r="P553" s="241" t="s">
        <v>632</v>
      </c>
      <c r="Q553" s="244" t="s">
        <v>646</v>
      </c>
      <c r="R553" s="195">
        <f>SUM('State DisAgg LFx10 (2014)'!H543:K543)</f>
        <v>0</v>
      </c>
      <c r="S553" s="196"/>
      <c r="T553" s="196"/>
      <c r="U553" s="197">
        <f>SUM('State DisAgg LFx10 (2014)'!L553:O553)</f>
        <v>0</v>
      </c>
      <c r="V553" s="195"/>
      <c r="W553" s="196"/>
      <c r="X553" s="196"/>
      <c r="Y553" s="197">
        <f>SUM('State DisAgg LFx10 (2014)'!P553:S553)</f>
        <v>4</v>
      </c>
      <c r="Z553" s="195"/>
      <c r="AA553" s="196"/>
      <c r="AB553" s="196"/>
      <c r="AC553" s="197">
        <f>SUM('State DisAgg LFx10 (2014)'!T553:W553)</f>
        <v>23</v>
      </c>
      <c r="AD553" s="195"/>
      <c r="AE553" s="197"/>
      <c r="AI553" s="364">
        <v>0</v>
      </c>
      <c r="AJ553" s="360">
        <f>U553-R553</f>
        <v>0</v>
      </c>
      <c r="AK553" s="360">
        <f t="shared" si="103"/>
        <v>4</v>
      </c>
      <c r="AL553" s="584">
        <f t="shared" si="104"/>
        <v>19</v>
      </c>
      <c r="AM553" s="378"/>
      <c r="AQ553" s="354"/>
      <c r="AS553" s="726">
        <f>(Y553-R553)</f>
        <v>4</v>
      </c>
      <c r="AT553" s="714" t="s">
        <v>1071</v>
      </c>
    </row>
    <row r="554" spans="1:46" ht="13.5" thickBot="1">
      <c r="A554" s="1382"/>
      <c r="B554" s="885"/>
      <c r="C554" s="9" t="s">
        <v>302</v>
      </c>
      <c r="D554" s="199"/>
      <c r="E554" s="200"/>
      <c r="F554" s="201"/>
      <c r="G554" s="199"/>
      <c r="H554" s="199"/>
      <c r="I554" s="200"/>
      <c r="J554" s="201"/>
      <c r="K554" s="199"/>
      <c r="L554" s="199"/>
      <c r="M554" s="200"/>
      <c r="N554" s="198"/>
      <c r="O554" s="217" t="s">
        <v>634</v>
      </c>
      <c r="P554" s="241" t="s">
        <v>632</v>
      </c>
      <c r="Q554" s="244" t="s">
        <v>646</v>
      </c>
      <c r="R554" s="195">
        <f>SUM('State DisAgg LFx10 (2014)'!H544:K544)</f>
        <v>0</v>
      </c>
      <c r="S554" s="196"/>
      <c r="T554" s="196"/>
      <c r="U554" s="197">
        <f>SUM('State DisAgg LFx10 (2014)'!L554:O554)</f>
        <v>0</v>
      </c>
      <c r="V554" s="195"/>
      <c r="W554" s="196"/>
      <c r="X554" s="196"/>
      <c r="Y554" s="197">
        <f>SUM('State DisAgg LFx10 (2014)'!P554:S554)</f>
        <v>4</v>
      </c>
      <c r="Z554" s="195"/>
      <c r="AA554" s="196"/>
      <c r="AB554" s="196"/>
      <c r="AC554" s="197">
        <f>SUM('State DisAgg LFx10 (2014)'!T554:W554)</f>
        <v>29</v>
      </c>
      <c r="AD554" s="195"/>
      <c r="AE554" s="197"/>
      <c r="AI554" s="364">
        <v>0</v>
      </c>
      <c r="AJ554" s="360">
        <f>U554-R554</f>
        <v>0</v>
      </c>
      <c r="AK554" s="360">
        <f t="shared" si="103"/>
        <v>4</v>
      </c>
      <c r="AL554" s="584">
        <f t="shared" si="104"/>
        <v>25</v>
      </c>
      <c r="AM554" s="378"/>
      <c r="AQ554" s="354"/>
      <c r="AS554" s="729">
        <f>(Y554-R554)</f>
        <v>4</v>
      </c>
      <c r="AT554" s="728">
        <f>SUM(AS552:AS554)/3</f>
        <v>4.666666666666667</v>
      </c>
    </row>
    <row r="555" spans="1:46" ht="13.5" thickBot="1">
      <c r="A555" s="1382"/>
      <c r="B555" s="885"/>
      <c r="C555" s="9" t="s">
        <v>303</v>
      </c>
      <c r="D555" s="202"/>
      <c r="E555" s="203"/>
      <c r="F555" s="201"/>
      <c r="G555" s="202"/>
      <c r="H555" s="202"/>
      <c r="I555" s="203"/>
      <c r="J555" s="201"/>
      <c r="K555" s="202"/>
      <c r="L555" s="202"/>
      <c r="M555" s="203"/>
      <c r="N555" s="204"/>
      <c r="O555" s="214"/>
      <c r="P555" s="205"/>
      <c r="Q555" s="205"/>
      <c r="R555" s="201"/>
      <c r="S555" s="202"/>
      <c r="T555" s="202"/>
      <c r="U555" s="203"/>
      <c r="V555" s="242"/>
      <c r="W555" s="217" t="s">
        <v>633</v>
      </c>
      <c r="X555" s="241" t="s">
        <v>632</v>
      </c>
      <c r="Y555" s="197">
        <f>SUM('State DisAgg LFx10 (2014)'!P545:S545)</f>
        <v>0</v>
      </c>
      <c r="Z555" s="195"/>
      <c r="AA555" s="196"/>
      <c r="AB555" s="196"/>
      <c r="AC555" s="197">
        <f>SUM('State DisAgg LFx10 (2014)'!T555:W555)</f>
        <v>0</v>
      </c>
      <c r="AD555" s="195"/>
      <c r="AE555" s="197"/>
      <c r="AI555" s="364">
        <f>O555-J555</f>
        <v>0</v>
      </c>
      <c r="AJ555" s="360">
        <f>U555-O555</f>
        <v>0</v>
      </c>
      <c r="AK555" s="360">
        <f t="shared" si="103"/>
        <v>0</v>
      </c>
      <c r="AL555" s="584">
        <f t="shared" si="104"/>
        <v>0</v>
      </c>
      <c r="AM555" s="378"/>
      <c r="AQ555" s="354"/>
    </row>
    <row r="556" spans="1:46" ht="13.5" thickBot="1">
      <c r="A556" s="1383"/>
      <c r="B556" s="869"/>
      <c r="C556" s="9" t="s">
        <v>304</v>
      </c>
      <c r="D556" s="202"/>
      <c r="E556" s="203"/>
      <c r="F556" s="201"/>
      <c r="G556" s="202"/>
      <c r="H556" s="202"/>
      <c r="I556" s="203"/>
      <c r="J556" s="201"/>
      <c r="K556" s="202"/>
      <c r="L556" s="202"/>
      <c r="M556" s="203"/>
      <c r="N556" s="204"/>
      <c r="O556" s="205"/>
      <c r="P556" s="205"/>
      <c r="Q556" s="205"/>
      <c r="R556" s="201"/>
      <c r="S556" s="202"/>
      <c r="T556" s="202"/>
      <c r="U556" s="203"/>
      <c r="V556" s="242"/>
      <c r="W556" s="217" t="s">
        <v>633</v>
      </c>
      <c r="X556" s="241" t="s">
        <v>632</v>
      </c>
      <c r="Y556" s="197">
        <f>SUM('State DisAgg LFx10 (2014)'!P546:S546)</f>
        <v>2</v>
      </c>
      <c r="Z556" s="195"/>
      <c r="AA556" s="196"/>
      <c r="AB556" s="196"/>
      <c r="AC556" s="197">
        <f>SUM('State DisAgg LFx10 (2014)'!T556:W556)</f>
        <v>2</v>
      </c>
      <c r="AD556" s="195"/>
      <c r="AE556" s="197"/>
      <c r="AI556" s="366">
        <f>O556-J556</f>
        <v>0</v>
      </c>
      <c r="AJ556" s="367">
        <f>U556-O556</f>
        <v>0</v>
      </c>
      <c r="AK556" s="367">
        <f t="shared" si="103"/>
        <v>2</v>
      </c>
      <c r="AL556" s="587">
        <f t="shared" si="104"/>
        <v>0</v>
      </c>
      <c r="AM556" s="378"/>
      <c r="AQ556" s="354"/>
    </row>
    <row r="557" spans="1:46" ht="12.95" hidden="1" customHeight="1" thickBot="1">
      <c r="A557" s="231"/>
      <c r="B557" s="231"/>
      <c r="C557" s="231"/>
      <c r="D557" s="232"/>
      <c r="E557" s="233"/>
      <c r="F557" s="234"/>
      <c r="G557" s="232"/>
      <c r="H557" s="232"/>
      <c r="I557" s="233"/>
      <c r="J557" s="234"/>
      <c r="K557" s="232"/>
      <c r="L557" s="232"/>
      <c r="M557" s="233"/>
      <c r="N557" s="234"/>
      <c r="O557" s="232"/>
      <c r="P557" s="232"/>
      <c r="Q557" s="233"/>
      <c r="R557" s="234"/>
      <c r="S557" s="232"/>
      <c r="T557" s="232"/>
      <c r="U557" s="233"/>
      <c r="V557" s="234"/>
      <c r="W557" s="232"/>
      <c r="X557" s="232"/>
      <c r="Y557" s="233"/>
      <c r="Z557" s="234"/>
      <c r="AA557" s="232"/>
      <c r="AB557" s="232"/>
      <c r="AC557" s="233"/>
      <c r="AD557" s="234"/>
      <c r="AE557" s="233"/>
      <c r="AI557" s="354">
        <f>O557-J557</f>
        <v>0</v>
      </c>
      <c r="AJ557" s="354">
        <f>U557-O557</f>
        <v>0</v>
      </c>
      <c r="AK557" s="354">
        <f t="shared" si="103"/>
        <v>0</v>
      </c>
      <c r="AQ557" s="354"/>
    </row>
    <row r="558" spans="1:46" ht="12.95" hidden="1" customHeight="1" thickBot="1">
      <c r="A558" s="231"/>
      <c r="B558" s="231"/>
      <c r="C558" s="231"/>
      <c r="D558" s="232"/>
      <c r="E558" s="233"/>
      <c r="F558" s="234"/>
      <c r="G558" s="232"/>
      <c r="H558" s="232"/>
      <c r="I558" s="233"/>
      <c r="J558" s="234"/>
      <c r="K558" s="232"/>
      <c r="L558" s="232"/>
      <c r="M558" s="233"/>
      <c r="N558" s="234"/>
      <c r="O558" s="232"/>
      <c r="P558" s="232"/>
      <c r="Q558" s="233"/>
      <c r="R558" s="234"/>
      <c r="S558" s="232"/>
      <c r="T558" s="232"/>
      <c r="U558" s="233"/>
      <c r="V558" s="234"/>
      <c r="W558" s="232"/>
      <c r="X558" s="232"/>
      <c r="Y558" s="233"/>
      <c r="Z558" s="234"/>
      <c r="AA558" s="232"/>
      <c r="AB558" s="232"/>
      <c r="AC558" s="233"/>
      <c r="AD558" s="234"/>
      <c r="AE558" s="233"/>
      <c r="AI558" s="354">
        <f>O558-J558</f>
        <v>0</v>
      </c>
      <c r="AJ558" s="354">
        <f>U558-O558</f>
        <v>0</v>
      </c>
      <c r="AK558" s="354">
        <f t="shared" si="103"/>
        <v>0</v>
      </c>
      <c r="AQ558" s="354"/>
    </row>
    <row r="559" spans="1:46" ht="12.95" hidden="1" customHeight="1" thickBot="1">
      <c r="A559" s="231"/>
      <c r="B559" s="231"/>
      <c r="C559" s="231"/>
      <c r="D559" s="232"/>
      <c r="E559" s="233"/>
      <c r="F559" s="234"/>
      <c r="G559" s="232"/>
      <c r="H559" s="232"/>
      <c r="I559" s="233"/>
      <c r="J559" s="234"/>
      <c r="K559" s="232"/>
      <c r="L559" s="232"/>
      <c r="M559" s="233"/>
      <c r="N559" s="234"/>
      <c r="O559" s="232"/>
      <c r="P559" s="232"/>
      <c r="Q559" s="233"/>
      <c r="R559" s="234"/>
      <c r="S559" s="232"/>
      <c r="T559" s="232"/>
      <c r="U559" s="233"/>
      <c r="V559" s="234"/>
      <c r="W559" s="232"/>
      <c r="X559" s="232"/>
      <c r="Y559" s="233"/>
      <c r="Z559" s="234"/>
      <c r="AA559" s="232"/>
      <c r="AB559" s="232"/>
      <c r="AC559" s="233"/>
      <c r="AD559" s="234"/>
      <c r="AE559" s="233"/>
      <c r="AL559" s="351"/>
      <c r="AM559" s="351"/>
    </row>
    <row r="560" spans="1:46" ht="12.95" hidden="1" customHeight="1" thickBot="1">
      <c r="A560" s="231"/>
      <c r="B560" s="231"/>
      <c r="C560" s="231"/>
      <c r="D560" s="232"/>
      <c r="E560" s="233"/>
      <c r="F560" s="234"/>
      <c r="G560" s="232"/>
      <c r="H560" s="232"/>
      <c r="I560" s="233"/>
      <c r="J560" s="234"/>
      <c r="K560" s="232"/>
      <c r="L560" s="232"/>
      <c r="M560" s="233"/>
      <c r="N560" s="234"/>
      <c r="O560" s="232"/>
      <c r="P560" s="232"/>
      <c r="Q560" s="233"/>
      <c r="R560" s="234"/>
      <c r="S560" s="232"/>
      <c r="T560" s="232"/>
      <c r="U560" s="233"/>
      <c r="V560" s="234"/>
      <c r="W560" s="232"/>
      <c r="X560" s="232"/>
      <c r="Y560" s="233"/>
      <c r="Z560" s="234"/>
      <c r="AA560" s="232"/>
      <c r="AB560" s="232"/>
      <c r="AC560" s="233"/>
      <c r="AD560" s="234"/>
      <c r="AE560" s="233"/>
      <c r="AL560" s="356">
        <f>SUM(AL547:AL554)/8</f>
        <v>19.625</v>
      </c>
      <c r="AM560" s="356"/>
    </row>
    <row r="561" spans="1:48" ht="12.95" hidden="1" customHeight="1" thickBot="1">
      <c r="A561" s="231"/>
      <c r="B561" s="231"/>
      <c r="C561" s="231"/>
      <c r="D561" s="232"/>
      <c r="E561" s="233"/>
      <c r="F561" s="234"/>
      <c r="G561" s="232"/>
      <c r="H561" s="232"/>
      <c r="I561" s="233"/>
      <c r="J561" s="234"/>
      <c r="K561" s="232"/>
      <c r="L561" s="232"/>
      <c r="M561" s="233"/>
      <c r="N561" s="234"/>
      <c r="O561" s="232"/>
      <c r="P561" s="232"/>
      <c r="Q561" s="233"/>
      <c r="R561" s="234"/>
      <c r="S561" s="232"/>
      <c r="T561" s="232"/>
      <c r="U561" s="233"/>
      <c r="V561" s="234"/>
      <c r="W561" s="232"/>
      <c r="X561" s="232"/>
      <c r="Y561" s="233"/>
      <c r="Z561" s="234"/>
      <c r="AA561" s="232"/>
      <c r="AB561" s="232"/>
      <c r="AC561" s="233"/>
      <c r="AD561" s="234"/>
      <c r="AE561" s="233"/>
      <c r="AL561" s="378">
        <f>SUM(AC537:AC544)/8</f>
        <v>490.88113196168774</v>
      </c>
      <c r="AM561" s="378"/>
    </row>
    <row r="562" spans="1:48" ht="12.95" hidden="1" customHeight="1" thickBot="1">
      <c r="A562" s="231"/>
      <c r="B562" s="231"/>
      <c r="C562" s="231"/>
      <c r="D562" s="232"/>
      <c r="E562" s="233"/>
      <c r="F562" s="234"/>
      <c r="G562" s="232"/>
      <c r="H562" s="232"/>
      <c r="I562" s="233"/>
      <c r="J562" s="234"/>
      <c r="K562" s="232"/>
      <c r="L562" s="232"/>
      <c r="M562" s="233"/>
      <c r="N562" s="234"/>
      <c r="O562" s="232"/>
      <c r="P562" s="232"/>
      <c r="Q562" s="233"/>
      <c r="R562" s="234"/>
      <c r="S562" s="232"/>
      <c r="T562" s="232"/>
      <c r="U562" s="233"/>
      <c r="V562" s="234"/>
      <c r="W562" s="232"/>
      <c r="X562" s="232"/>
      <c r="Y562" s="233"/>
      <c r="Z562" s="234"/>
      <c r="AA562" s="232"/>
      <c r="AB562" s="232"/>
      <c r="AC562" s="233"/>
      <c r="AD562" s="234"/>
      <c r="AE562" s="233"/>
    </row>
    <row r="564" spans="1:48" ht="13.5" thickBot="1">
      <c r="AM564" s="354"/>
    </row>
    <row r="565" spans="1:48" ht="12.95" customHeight="1" thickBot="1">
      <c r="A565" s="506" t="s">
        <v>27</v>
      </c>
      <c r="B565" s="514" t="s">
        <v>35</v>
      </c>
      <c r="C565" s="8"/>
      <c r="D565" s="1377">
        <v>2008</v>
      </c>
      <c r="E565" s="1378"/>
      <c r="F565" s="1372">
        <v>2009</v>
      </c>
      <c r="G565" s="1373"/>
      <c r="H565" s="1373"/>
      <c r="I565" s="1374"/>
      <c r="J565" s="1372">
        <v>2010</v>
      </c>
      <c r="K565" s="1373"/>
      <c r="L565" s="1373"/>
      <c r="M565" s="1374"/>
      <c r="N565" s="1372">
        <v>2011</v>
      </c>
      <c r="O565" s="1373"/>
      <c r="P565" s="1373"/>
      <c r="Q565" s="1374"/>
      <c r="R565" s="1372">
        <v>2012</v>
      </c>
      <c r="S565" s="1373"/>
      <c r="T565" s="1373"/>
      <c r="U565" s="1374"/>
      <c r="V565" s="1372">
        <v>2013</v>
      </c>
      <c r="W565" s="1373"/>
      <c r="X565" s="1373"/>
      <c r="Y565" s="1374"/>
      <c r="Z565" s="1372">
        <v>2014</v>
      </c>
      <c r="AA565" s="1373"/>
      <c r="AB565" s="1373"/>
      <c r="AC565" s="1374"/>
      <c r="AD565" s="1372">
        <v>2015</v>
      </c>
      <c r="AE565" s="1374"/>
      <c r="AG565" s="257" t="s">
        <v>663</v>
      </c>
      <c r="AM565" s="378"/>
      <c r="AS565" s="716" t="s">
        <v>1047</v>
      </c>
      <c r="AU565" s="716" t="s">
        <v>1061</v>
      </c>
    </row>
    <row r="566" spans="1:48" ht="12.95" customHeight="1" thickBot="1">
      <c r="A566" s="868" t="s">
        <v>70</v>
      </c>
      <c r="B566" s="868" t="s">
        <v>609</v>
      </c>
      <c r="C566" s="194" t="s">
        <v>610</v>
      </c>
      <c r="D566" s="206"/>
      <c r="E566" s="207"/>
      <c r="F566" s="209"/>
      <c r="G566" s="206"/>
      <c r="H566" s="206"/>
      <c r="I566" s="207"/>
      <c r="J566" s="209"/>
      <c r="K566" s="206"/>
      <c r="L566" s="206"/>
      <c r="M566" s="207"/>
      <c r="N566" s="277"/>
      <c r="O566" s="278">
        <f>(O579-J579)/5/$C$703/Spend!O566*'State Efficiency Ratios (2014)'!$C$655</f>
        <v>0</v>
      </c>
      <c r="P566" s="278"/>
      <c r="Q566" s="279"/>
      <c r="R566" s="277"/>
      <c r="S566" s="278"/>
      <c r="T566" s="278"/>
      <c r="U566" s="278">
        <f>(U579-O579)/6/$C$703/Spend!U566*'State Efficiency Ratios (2014)'!$C$655</f>
        <v>215.04739680219805</v>
      </c>
      <c r="V566" s="277"/>
      <c r="W566" s="278"/>
      <c r="X566" s="278"/>
      <c r="Y566" s="278">
        <f>(Y579-U579)/4/(SUM($C$703:$C$706))/Spend!Y566*'State Efficiency Ratios (2014)'!$C$655</f>
        <v>1399.4025257595019</v>
      </c>
      <c r="Z566" s="277"/>
      <c r="AA566" s="278"/>
      <c r="AB566" s="278"/>
      <c r="AC566" s="278">
        <f>(AC579-Y579)/4/(SUM($C$703:$C$706))/Spend!AC566*'State Efficiency Ratios (2014)'!$C$655</f>
        <v>-394.5017524417255</v>
      </c>
      <c r="AD566" s="208"/>
      <c r="AE566" s="213"/>
      <c r="AG566" s="410"/>
      <c r="AS566" s="717">
        <f>(O579-J579)/7/$C$673/Spend!O566*'State Efficiency Ratios (2014)'!$C$655</f>
        <v>0</v>
      </c>
      <c r="AU566" s="718">
        <f t="shared" ref="AU566:AU573" si="105">(AS566+AS595)/2</f>
        <v>7.9855361478625122</v>
      </c>
    </row>
    <row r="567" spans="1:48" ht="13.5" thickBot="1">
      <c r="A567" s="885"/>
      <c r="B567" s="885"/>
      <c r="C567" s="194" t="s">
        <v>611</v>
      </c>
      <c r="D567" s="206"/>
      <c r="E567" s="207"/>
      <c r="F567" s="209"/>
      <c r="G567" s="206"/>
      <c r="H567" s="206"/>
      <c r="I567" s="207"/>
      <c r="J567" s="209"/>
      <c r="K567" s="206"/>
      <c r="L567" s="206"/>
      <c r="M567" s="207"/>
      <c r="N567" s="277"/>
      <c r="O567" s="278">
        <f>(O580-J580)/5/$C$703/Spend!O567*'State Efficiency Ratios (2014)'!$C$655</f>
        <v>11.491565922971217</v>
      </c>
      <c r="P567" s="278"/>
      <c r="Q567" s="279"/>
      <c r="R567" s="277"/>
      <c r="S567" s="278"/>
      <c r="T567" s="278"/>
      <c r="U567" s="278">
        <f>(U580-O580)/6/$C$703/Spend!U567*'State Efficiency Ratios (2014)'!$C$655</f>
        <v>557.29468500513622</v>
      </c>
      <c r="V567" s="277"/>
      <c r="W567" s="278"/>
      <c r="X567" s="278"/>
      <c r="Y567" s="278">
        <f>(Y580-U580)/4/(SUM($C$703:$C$706))/Spend!Y567*'State Efficiency Ratios (2014)'!$C$655</f>
        <v>1507.182789768879</v>
      </c>
      <c r="Z567" s="277"/>
      <c r="AA567" s="278"/>
      <c r="AB567" s="278"/>
      <c r="AC567" s="278">
        <f>(AC580-Y580)/4/(SUM($C$703:$C$706))/Spend!AC567*'State Efficiency Ratios (2014)'!$C$655</f>
        <v>505.02218913497899</v>
      </c>
      <c r="AD567" s="208"/>
      <c r="AE567" s="213"/>
      <c r="AG567" s="410" t="s">
        <v>1091</v>
      </c>
      <c r="AS567" s="719">
        <f>(O580-J580)/7/$C$673/Spend!O567*'State Efficiency Ratios (2014)'!$C$655</f>
        <v>32.833045494203475</v>
      </c>
      <c r="AU567" s="720">
        <f t="shared" si="105"/>
        <v>24.624784120652606</v>
      </c>
    </row>
    <row r="568" spans="1:48" ht="13.5" thickBot="1">
      <c r="A568" s="885"/>
      <c r="B568" s="885"/>
      <c r="C568" s="194" t="s">
        <v>612</v>
      </c>
      <c r="D568" s="206"/>
      <c r="E568" s="207"/>
      <c r="F568" s="209"/>
      <c r="G568" s="206"/>
      <c r="H568" s="206"/>
      <c r="I568" s="207"/>
      <c r="J568" s="209"/>
      <c r="K568" s="206"/>
      <c r="L568" s="206"/>
      <c r="M568" s="207"/>
      <c r="N568" s="277"/>
      <c r="O568" s="278">
        <f>(O581-J581)/5/$C$703/Spend!O568*'State Efficiency Ratios (2014)'!$C$655</f>
        <v>46.21508819914925</v>
      </c>
      <c r="P568" s="278"/>
      <c r="Q568" s="279"/>
      <c r="R568" s="277"/>
      <c r="S568" s="278"/>
      <c r="T568" s="278"/>
      <c r="U568" s="278">
        <f>(U581-O581)/6/$C$703/Spend!U568*'State Efficiency Ratios (2014)'!$C$655</f>
        <v>25.172383848051044</v>
      </c>
      <c r="V568" s="277"/>
      <c r="W568" s="278"/>
      <c r="X568" s="278"/>
      <c r="Y568" s="278">
        <f>(Y581-U581)/4/(SUM($C$703:$C$706))/Spend!Y568*'State Efficiency Ratios (2014)'!$C$655</f>
        <v>668.0405258369284</v>
      </c>
      <c r="Z568" s="277"/>
      <c r="AA568" s="278"/>
      <c r="AB568" s="278"/>
      <c r="AC568" s="278">
        <f>(AC581-Y581)/4/(SUM($C$703:$C$706))/Spend!AC568*'State Efficiency Ratios (2014)'!$C$655</f>
        <v>516.76537931531379</v>
      </c>
      <c r="AD568" s="208"/>
      <c r="AE568" s="213"/>
      <c r="AG568" s="410" t="s">
        <v>1086</v>
      </c>
      <c r="AS568" s="719">
        <f>(O581-J581)/7/$C$673/Spend!O568*'State Efficiency Ratios (2014)'!$C$655</f>
        <v>132.04310914042642</v>
      </c>
      <c r="AU568" s="720">
        <f t="shared" si="105"/>
        <v>82.526943212766511</v>
      </c>
    </row>
    <row r="569" spans="1:48" ht="13.5" thickBot="1">
      <c r="A569" s="885"/>
      <c r="B569" s="885"/>
      <c r="C569" s="194" t="s">
        <v>613</v>
      </c>
      <c r="D569" s="206"/>
      <c r="E569" s="207"/>
      <c r="F569" s="209"/>
      <c r="G569" s="206"/>
      <c r="H569" s="206"/>
      <c r="I569" s="207"/>
      <c r="J569" s="209"/>
      <c r="K569" s="206"/>
      <c r="L569" s="206"/>
      <c r="M569" s="207"/>
      <c r="N569" s="277"/>
      <c r="O569" s="278">
        <f>(O582-J582)/5/$C$703/Spend!O569*'State Efficiency Ratios (2014)'!$C$655</f>
        <v>33.592092628491123</v>
      </c>
      <c r="P569" s="278"/>
      <c r="Q569" s="279"/>
      <c r="R569" s="277"/>
      <c r="S569" s="278"/>
      <c r="T569" s="278"/>
      <c r="U569" s="278">
        <f>(U582-O582)/6/$C$703/Spend!U569*'State Efficiency Ratios (2014)'!$C$655</f>
        <v>180.58660794344124</v>
      </c>
      <c r="V569" s="277"/>
      <c r="W569" s="278"/>
      <c r="X569" s="278"/>
      <c r="Y569" s="278">
        <f>(Y582-U582)/4/(SUM($C$703:$C$706))/Spend!Y569*'State Efficiency Ratios (2014)'!$C$655</f>
        <v>220.75812112018497</v>
      </c>
      <c r="Z569" s="277"/>
      <c r="AA569" s="278"/>
      <c r="AB569" s="278"/>
      <c r="AC569" s="278">
        <f>(AC582-Y582)/4/(SUM($C$703:$C$706))/Spend!AC569*'State Efficiency Ratios (2014)'!$C$655</f>
        <v>554.71478519733978</v>
      </c>
      <c r="AD569" s="208"/>
      <c r="AE569" s="213"/>
      <c r="AG569" s="410" t="s">
        <v>1090</v>
      </c>
      <c r="AI569" s="4" t="s">
        <v>1054</v>
      </c>
      <c r="AN569" s="4" t="s">
        <v>1063</v>
      </c>
      <c r="AR569" s="264" t="s">
        <v>1050</v>
      </c>
      <c r="AS569" s="719">
        <f>(O582-J582)/7/$C$673/Spend!O569*'State Efficiency Ratios (2014)'!$C$655</f>
        <v>95.97740750997464</v>
      </c>
      <c r="AT569" s="714" t="s">
        <v>1070</v>
      </c>
      <c r="AU569" s="720">
        <f t="shared" si="105"/>
        <v>87.979290217476745</v>
      </c>
      <c r="AV569" s="714" t="s">
        <v>1070</v>
      </c>
    </row>
    <row r="570" spans="1:48" ht="13.5" thickBot="1">
      <c r="A570" s="885"/>
      <c r="B570" s="885"/>
      <c r="C570" s="194" t="s">
        <v>614</v>
      </c>
      <c r="D570" s="206"/>
      <c r="E570" s="207"/>
      <c r="F570" s="209"/>
      <c r="G570" s="206"/>
      <c r="H570" s="206"/>
      <c r="I570" s="207"/>
      <c r="J570" s="209"/>
      <c r="K570" s="206"/>
      <c r="L570" s="206"/>
      <c r="M570" s="207"/>
      <c r="N570" s="277"/>
      <c r="O570" s="278">
        <f>(O583-J583)/5/$C$703/Spend!O570*'State Efficiency Ratios (2014)'!$C$655</f>
        <v>34.301121374442609</v>
      </c>
      <c r="P570" s="278"/>
      <c r="Q570" s="279"/>
      <c r="R570" s="277"/>
      <c r="S570" s="278"/>
      <c r="T570" s="278"/>
      <c r="U570" s="278">
        <f>(U583-O583)/6/$C$703/Spend!U570*'State Efficiency Ratios (2014)'!$C$655</f>
        <v>68.373270155703494</v>
      </c>
      <c r="V570" s="277"/>
      <c r="W570" s="278"/>
      <c r="X570" s="278"/>
      <c r="Y570" s="278">
        <f>(Y583-U583)/4/(SUM($C$703:$C$706))/Spend!Y570*'State Efficiency Ratios (2014)'!$C$655</f>
        <v>308.08607556642994</v>
      </c>
      <c r="Z570" s="277"/>
      <c r="AA570" s="278"/>
      <c r="AB570" s="278"/>
      <c r="AC570" s="278">
        <f>(AC583-Y583)/4/(SUM($C$703:$C$706))/Spend!AC570*'State Efficiency Ratios (2014)'!$C$655</f>
        <v>107.52517130992729</v>
      </c>
      <c r="AD570" s="208"/>
      <c r="AE570" s="213"/>
      <c r="AG570" s="410" t="s">
        <v>1092</v>
      </c>
      <c r="AH570" s="355" t="s">
        <v>1052</v>
      </c>
      <c r="AI570" s="600">
        <f>SUM(AI579:AI583)/5</f>
        <v>2.2000000000000002</v>
      </c>
      <c r="AJ570" s="601">
        <f>SUM(AJ579:AJ586)/8</f>
        <v>3.125</v>
      </c>
      <c r="AK570" s="601">
        <f t="shared" ref="AK570" si="106">SUM(AK579:AK586)/8</f>
        <v>14.25</v>
      </c>
      <c r="AL570" s="602">
        <f>SUM(AL579:AL586)/8</f>
        <v>12.125</v>
      </c>
      <c r="AN570" s="603">
        <f>4/5*SUM(AN579:AN583)/5</f>
        <v>0.7</v>
      </c>
      <c r="AO570" s="604">
        <f>4/6*SUM(AO579:AO586)/8</f>
        <v>0.23958333333333331</v>
      </c>
      <c r="AP570" s="604">
        <f>SUM(AP579:AP586)/8</f>
        <v>1.2083333333333335</v>
      </c>
      <c r="AQ570" s="605">
        <f>SUM(AQ578:AQ586)/8</f>
        <v>1.2673611111111109</v>
      </c>
      <c r="AR570" s="695">
        <f>AVERAGE(AN570:AQ570)</f>
        <v>0.85381944444444446</v>
      </c>
      <c r="AS570" s="719">
        <f>(O583-J583)/7/$C$673/Spend!O570*'State Efficiency Ratios (2014)'!$C$655</f>
        <v>98.003203926978884</v>
      </c>
      <c r="AT570" s="721">
        <f>SUM(AS566:AS570)/5</f>
        <v>71.77135321431669</v>
      </c>
      <c r="AU570" s="720">
        <f t="shared" si="105"/>
        <v>73.502402945234167</v>
      </c>
      <c r="AV570" s="721">
        <f>SUM(AU566:AU570)/5</f>
        <v>55.323791328798507</v>
      </c>
    </row>
    <row r="571" spans="1:48" ht="12.95" customHeight="1" thickBot="1">
      <c r="A571" s="885"/>
      <c r="B571" s="885"/>
      <c r="C571" s="194" t="s">
        <v>615</v>
      </c>
      <c r="D571" s="210"/>
      <c r="E571" s="211"/>
      <c r="F571" s="209"/>
      <c r="G571" s="210"/>
      <c r="H571" s="210"/>
      <c r="I571" s="211"/>
      <c r="J571" s="209"/>
      <c r="K571" s="210"/>
      <c r="L571" s="210"/>
      <c r="M571" s="211"/>
      <c r="N571" s="281"/>
      <c r="O571" s="282"/>
      <c r="P571" s="282"/>
      <c r="Q571" s="282"/>
      <c r="R571" s="277"/>
      <c r="S571" s="278"/>
      <c r="T571" s="278"/>
      <c r="U571" s="278">
        <f>(U584-R584)/3/$C$703/Spend!U571*'State Efficiency Ratios (2014)'!$C$655</f>
        <v>461.80245231795629</v>
      </c>
      <c r="V571" s="277"/>
      <c r="W571" s="278"/>
      <c r="X571" s="278"/>
      <c r="Y571" s="278">
        <f>(Y584-U584)/4/(SUM($C$703:$C$706))/Spend!Y571*'State Efficiency Ratios (2014)'!$C$655</f>
        <v>207.87774073567709</v>
      </c>
      <c r="Z571" s="277"/>
      <c r="AA571" s="278"/>
      <c r="AB571" s="278"/>
      <c r="AC571" s="278">
        <f>(AC584-Y584)/4/(SUM($C$703:$C$706))/Spend!AC571*'State Efficiency Ratios (2014)'!$C$655</f>
        <v>153.08768306861384</v>
      </c>
      <c r="AD571" s="208"/>
      <c r="AE571" s="213"/>
      <c r="AG571" s="410"/>
      <c r="AH571" s="355" t="s">
        <v>1051</v>
      </c>
      <c r="AI571" s="606">
        <f>SUM(O566:O570)/5</f>
        <v>25.119973625010839</v>
      </c>
      <c r="AJ571" s="607">
        <f>SUM(U566:U570)/5</f>
        <v>209.29486875090598</v>
      </c>
      <c r="AK571" s="607">
        <f>SUM(Y566:Y573)/8</f>
        <v>613.79736204210315</v>
      </c>
      <c r="AL571" s="608">
        <f>SUM(AC566:AC573)/8</f>
        <v>321.20794637568849</v>
      </c>
      <c r="AN571" s="606">
        <f>'Composites (2014)'!AI76</f>
        <v>26.166667117653539</v>
      </c>
      <c r="AO571" s="607">
        <f>'Composites (2014)'!AJ76</f>
        <v>130.49826178922143</v>
      </c>
      <c r="AP571" s="607">
        <f>'Composites (2014)'!AK76</f>
        <v>445.59616661007925</v>
      </c>
      <c r="AQ571" s="608">
        <f>'Composites (2014)'!AL76</f>
        <v>447.04349647757539</v>
      </c>
      <c r="AR571" s="696">
        <f>AVERAGE(AN571:AQ571)</f>
        <v>262.32614799863239</v>
      </c>
      <c r="AS571" s="719">
        <f>(Y584-R584)/7/$C$673/(Spend!U571+Spend!Y571)*'State Efficiency Ratios (2014)'!$C$655</f>
        <v>1017.966845561733</v>
      </c>
      <c r="AU571" s="720">
        <f t="shared" si="105"/>
        <v>696.55091127336971</v>
      </c>
    </row>
    <row r="572" spans="1:48" ht="12.95" customHeight="1" thickBot="1">
      <c r="A572" s="885"/>
      <c r="B572" s="885"/>
      <c r="C572" s="194" t="s">
        <v>616</v>
      </c>
      <c r="D572" s="210"/>
      <c r="E572" s="211"/>
      <c r="F572" s="209"/>
      <c r="G572" s="210"/>
      <c r="H572" s="210"/>
      <c r="I572" s="211"/>
      <c r="J572" s="209"/>
      <c r="K572" s="210"/>
      <c r="L572" s="210"/>
      <c r="M572" s="211"/>
      <c r="N572" s="281"/>
      <c r="O572" s="282"/>
      <c r="P572" s="282"/>
      <c r="Q572" s="282"/>
      <c r="R572" s="277"/>
      <c r="S572" s="278"/>
      <c r="T572" s="278"/>
      <c r="U572" s="278">
        <f>(U585-R585)/3/$C$703/Spend!U572*'State Efficiency Ratios (2014)'!$C$655</f>
        <v>232.74449407904845</v>
      </c>
      <c r="V572" s="277"/>
      <c r="W572" s="278"/>
      <c r="X572" s="278"/>
      <c r="Y572" s="278">
        <f>(Y585-U585)/4/(SUM($C$703:$C$706))/Spend!Y572*'State Efficiency Ratios (2014)'!$C$655</f>
        <v>588.06597223317601</v>
      </c>
      <c r="Z572" s="277"/>
      <c r="AA572" s="278"/>
      <c r="AB572" s="278"/>
      <c r="AC572" s="278">
        <f>(AC585-Y585)/4/(SUM($C$703:$C$706))/Spend!AC572*'State Efficiency Ratios (2014)'!$C$655</f>
        <v>743.94664777748221</v>
      </c>
      <c r="AD572" s="208"/>
      <c r="AE572" s="213"/>
      <c r="AG572" s="410" t="s">
        <v>1084</v>
      </c>
      <c r="AL572" s="378"/>
      <c r="AS572" s="719">
        <f>(Y585-R585)/7/$C$673/(Spend!U572+Spend!Y572)*'State Efficiency Ratios (2014)'!$C$655</f>
        <v>1601.5951031723985</v>
      </c>
      <c r="AT572" s="714" t="s">
        <v>1071</v>
      </c>
      <c r="AU572" s="720">
        <f t="shared" si="105"/>
        <v>941.20766559210892</v>
      </c>
      <c r="AV572" s="714" t="s">
        <v>1071</v>
      </c>
    </row>
    <row r="573" spans="1:48" ht="12.95" customHeight="1" thickBot="1">
      <c r="A573" s="885"/>
      <c r="B573" s="885"/>
      <c r="C573" s="194" t="s">
        <v>617</v>
      </c>
      <c r="D573" s="210"/>
      <c r="E573" s="211"/>
      <c r="F573" s="209"/>
      <c r="G573" s="210"/>
      <c r="H573" s="210"/>
      <c r="I573" s="211"/>
      <c r="J573" s="209"/>
      <c r="K573" s="210"/>
      <c r="L573" s="210"/>
      <c r="M573" s="211"/>
      <c r="N573" s="281"/>
      <c r="O573" s="282"/>
      <c r="P573" s="282"/>
      <c r="Q573" s="282"/>
      <c r="R573" s="277"/>
      <c r="S573" s="278"/>
      <c r="T573" s="278"/>
      <c r="U573" s="278">
        <f>(U586-R586)/3/$C$703/Spend!U573*'State Efficiency Ratios (2014)'!$C$655</f>
        <v>195.99980644386886</v>
      </c>
      <c r="V573" s="277"/>
      <c r="W573" s="278"/>
      <c r="X573" s="278"/>
      <c r="Y573" s="278">
        <f>(Y586-U586)/4/(SUM($C$703:$C$706))/Spend!Y573*'State Efficiency Ratios (2014)'!$C$655</f>
        <v>10.965145316047481</v>
      </c>
      <c r="Z573" s="277"/>
      <c r="AA573" s="278"/>
      <c r="AB573" s="278"/>
      <c r="AC573" s="278">
        <f>(AC586-Y586)/4/(SUM($C$703:$C$706))/Spend!AC573*'State Efficiency Ratios (2014)'!$C$655</f>
        <v>383.10346764357723</v>
      </c>
      <c r="AD573" s="208"/>
      <c r="AE573" s="213"/>
      <c r="AG573" s="410" t="s">
        <v>1093</v>
      </c>
      <c r="AI573" s="4" t="s">
        <v>1055</v>
      </c>
      <c r="AM573" s="576"/>
      <c r="AN573" s="4" t="s">
        <v>1062</v>
      </c>
      <c r="AR573" s="264" t="s">
        <v>1050</v>
      </c>
      <c r="AS573" s="722">
        <f>(Y586-R586)/7/$C$673/(Spend!U573+Spend!Y573)*'State Efficiency Ratios (2014)'!$C$655</f>
        <v>122.88098832978595</v>
      </c>
      <c r="AT573" s="721">
        <f>SUM(AS571:AS573)/3</f>
        <v>914.14764568797239</v>
      </c>
      <c r="AU573" s="723">
        <f t="shared" si="105"/>
        <v>147.98686996405172</v>
      </c>
      <c r="AV573" s="721">
        <f>SUM(AU571:AU573)/3</f>
        <v>595.24848227651012</v>
      </c>
    </row>
    <row r="574" spans="1:48" ht="12.95" customHeight="1" thickBot="1">
      <c r="A574" s="885"/>
      <c r="B574" s="885"/>
      <c r="C574" s="194" t="s">
        <v>618</v>
      </c>
      <c r="D574" s="210"/>
      <c r="E574" s="211"/>
      <c r="F574" s="209"/>
      <c r="G574" s="210"/>
      <c r="H574" s="210"/>
      <c r="I574" s="211"/>
      <c r="J574" s="209"/>
      <c r="K574" s="210"/>
      <c r="L574" s="210"/>
      <c r="M574" s="211"/>
      <c r="N574" s="281"/>
      <c r="O574" s="282"/>
      <c r="P574" s="282"/>
      <c r="Q574" s="283"/>
      <c r="R574" s="281"/>
      <c r="S574" s="282"/>
      <c r="T574" s="282"/>
      <c r="U574" s="283"/>
      <c r="V574" s="281"/>
      <c r="W574" s="282"/>
      <c r="X574" s="282"/>
      <c r="Y574" s="283"/>
      <c r="Z574" s="277"/>
      <c r="AA574" s="278"/>
      <c r="AB574" s="278"/>
      <c r="AC574" s="278">
        <f>(AC587-Y587)/4/(SUM($C$703:$C$706))/Spend!AC574*'State Efficiency Ratios (2014)'!$C$655</f>
        <v>0</v>
      </c>
      <c r="AD574" s="208"/>
      <c r="AE574" s="213"/>
      <c r="AG574" s="295"/>
      <c r="AH574" s="355" t="s">
        <v>1052</v>
      </c>
      <c r="AI574" s="618">
        <f>(SUM(AI579:AI583)+SUM(AI589:AI590))/7</f>
        <v>3</v>
      </c>
      <c r="AJ574" s="619">
        <f>SUM(AJ579:AJ590)/10</f>
        <v>2.8</v>
      </c>
      <c r="AK574" s="619">
        <f>SUM(AK579:AK590)/10</f>
        <v>19.5</v>
      </c>
      <c r="AL574" s="620">
        <f>SUM(AL579:AL590)/10</f>
        <v>19.3</v>
      </c>
      <c r="AM574" s="355" t="s">
        <v>1052</v>
      </c>
      <c r="AN574" s="621">
        <f>4/5*(SUM(AN578:AN590))/6</f>
        <v>0.75</v>
      </c>
      <c r="AO574" s="622">
        <f>4/6*(SUM(AO578:AO590))/9</f>
        <v>0.3888888888888889</v>
      </c>
      <c r="AP574" s="622">
        <f>SUM(AP578:AP590)/10</f>
        <v>1.5625</v>
      </c>
      <c r="AQ574" s="623">
        <f>SUM(AQ578:AQ590)/10</f>
        <v>1.875</v>
      </c>
      <c r="AR574" s="695">
        <f>AVERAGE(AN574:AQ574)</f>
        <v>1.1440972222222223</v>
      </c>
    </row>
    <row r="575" spans="1:48" ht="12.95" customHeight="1" thickBot="1">
      <c r="A575" s="885"/>
      <c r="B575" s="885"/>
      <c r="C575" s="194" t="s">
        <v>619</v>
      </c>
      <c r="D575" s="210"/>
      <c r="E575" s="211"/>
      <c r="F575" s="209"/>
      <c r="G575" s="210"/>
      <c r="H575" s="210"/>
      <c r="I575" s="211"/>
      <c r="J575" s="209"/>
      <c r="K575" s="210"/>
      <c r="L575" s="210"/>
      <c r="M575" s="211"/>
      <c r="N575" s="281"/>
      <c r="O575" s="282"/>
      <c r="P575" s="282"/>
      <c r="Q575" s="283"/>
      <c r="R575" s="281"/>
      <c r="S575" s="282"/>
      <c r="T575" s="282"/>
      <c r="U575" s="283"/>
      <c r="V575" s="281"/>
      <c r="W575" s="282"/>
      <c r="X575" s="282"/>
      <c r="Y575" s="283"/>
      <c r="Z575" s="277"/>
      <c r="AA575" s="278"/>
      <c r="AB575" s="278"/>
      <c r="AC575" s="278">
        <f>(AC588-Y588)/4/(SUM($C$703:$C$706))/Spend!AC575*'State Efficiency Ratios (2014)'!$C$655</f>
        <v>0</v>
      </c>
      <c r="AD575" s="208"/>
      <c r="AE575" s="213"/>
      <c r="AG575" s="295"/>
      <c r="AH575" s="355" t="s">
        <v>1051</v>
      </c>
      <c r="AI575" s="606">
        <f>(SUM(O566:O570)+O576)/7</f>
        <v>26.592184191914676</v>
      </c>
      <c r="AJ575" s="607">
        <f>(SUM(U566:U573)+U576)/7</f>
        <v>279.2638623903681</v>
      </c>
      <c r="AK575" s="607">
        <f>(SUM(Y566:Y573)+Y576)/10</f>
        <v>600.45465094905069</v>
      </c>
      <c r="AL575" s="608">
        <f>(SUM(AC566:AC573)+SUM(AC576:AC577))/10</f>
        <v>643.85749994698631</v>
      </c>
      <c r="AM575" s="355" t="s">
        <v>1051</v>
      </c>
      <c r="AN575" s="606">
        <f>'Composites (2014)'!AI89</f>
        <v>26.851007699573657</v>
      </c>
      <c r="AO575" s="607">
        <f>'Composites (2014)'!AJ89</f>
        <v>119.97708162750648</v>
      </c>
      <c r="AP575" s="607">
        <f>'Composites (2014)'!AK89</f>
        <v>550.97322715133589</v>
      </c>
      <c r="AQ575" s="608">
        <f>'Composites (2014)'!AL89</f>
        <v>754.40013232897945</v>
      </c>
      <c r="AR575" s="696">
        <f>AVERAGE(AN575:AQ575)</f>
        <v>363.05036220184888</v>
      </c>
    </row>
    <row r="576" spans="1:48" ht="13.5" thickBot="1">
      <c r="A576" s="885"/>
      <c r="B576" s="885"/>
      <c r="C576" s="194" t="s">
        <v>620</v>
      </c>
      <c r="D576" s="206"/>
      <c r="E576" s="207"/>
      <c r="F576" s="209"/>
      <c r="G576" s="206"/>
      <c r="H576" s="206"/>
      <c r="I576" s="207"/>
      <c r="J576" s="209"/>
      <c r="K576" s="206"/>
      <c r="L576" s="206"/>
      <c r="M576" s="207"/>
      <c r="N576" s="277"/>
      <c r="O576" s="278">
        <f>(O589-J589)/5/$C$703/Spend!O576*'State Efficiency Ratios (2014)'!$C$655</f>
        <v>60.54542121834853</v>
      </c>
      <c r="P576" s="278"/>
      <c r="Q576" s="279"/>
      <c r="R576" s="277"/>
      <c r="S576" s="278"/>
      <c r="T576" s="278"/>
      <c r="U576" s="278">
        <f>(U589-O589)/6/$C$703/Spend!U576*'State Efficiency Ratios (2014)'!$C$655</f>
        <v>17.82594013717307</v>
      </c>
      <c r="V576" s="277"/>
      <c r="W576" s="278"/>
      <c r="X576" s="278"/>
      <c r="Y576" s="278">
        <f>(Y589-U589)/4/(SUM($C$703:$C$706))/Spend!Y576*'State Efficiency Ratios (2014)'!$C$655</f>
        <v>1094.1676131536813</v>
      </c>
      <c r="Z576" s="277"/>
      <c r="AA576" s="278"/>
      <c r="AB576" s="278"/>
      <c r="AC576" s="278">
        <f>(AC589-Y589)/4/(SUM($C$703:$C$706))/Spend!AC576*'State Efficiency Ratios (2014)'!$C$655</f>
        <v>2135.961517798029</v>
      </c>
      <c r="AD576" s="208"/>
      <c r="AE576" s="213"/>
      <c r="AG576" s="410" t="s">
        <v>1094</v>
      </c>
      <c r="AL576" s="351"/>
      <c r="AM576" s="576"/>
    </row>
    <row r="577" spans="1:48" ht="13.5" thickBot="1">
      <c r="A577" s="885"/>
      <c r="B577" s="885"/>
      <c r="C577" s="194" t="s">
        <v>645</v>
      </c>
      <c r="D577" s="206"/>
      <c r="E577" s="207"/>
      <c r="F577" s="209"/>
      <c r="G577" s="206"/>
      <c r="H577" s="206"/>
      <c r="I577" s="207"/>
      <c r="J577" s="209"/>
      <c r="K577" s="206"/>
      <c r="L577" s="206"/>
      <c r="M577" s="207"/>
      <c r="N577" s="277"/>
      <c r="O577" s="278" t="e">
        <f>(O590-J590)/5/$C$703/Spend!O577*'State Efficiency Ratios (2014)'!$C$655</f>
        <v>#DIV/0!</v>
      </c>
      <c r="P577" s="278"/>
      <c r="Q577" s="279"/>
      <c r="R577" s="277"/>
      <c r="S577" s="278"/>
      <c r="T577" s="278"/>
      <c r="U577" s="278" t="e">
        <f>(U590-O590)/6/$C$703/Spend!U577*'State Efficiency Ratios (2014)'!$C$655</f>
        <v>#DIV/0!</v>
      </c>
      <c r="V577" s="277"/>
      <c r="W577" s="278"/>
      <c r="X577" s="278"/>
      <c r="Y577" s="278" t="e">
        <f>(Y590-U590)/4/(SUM($C$703:$C$706))/Spend!Y577*'State Efficiency Ratios (2014)'!$C$655</f>
        <v>#DIV/0!</v>
      </c>
      <c r="Z577" s="277"/>
      <c r="AA577" s="278"/>
      <c r="AB577" s="278"/>
      <c r="AC577" s="278">
        <f>(AC590-Y590)/4/(SUM($C$703:$C$706))/Spend!AC577*'State Efficiency Ratios (2014)'!$C$655</f>
        <v>1732.9499106663256</v>
      </c>
      <c r="AD577" s="208"/>
      <c r="AE577" s="213"/>
      <c r="AG577" s="410" t="s">
        <v>1095</v>
      </c>
      <c r="AI577" s="416" t="s">
        <v>1047</v>
      </c>
      <c r="AM577" s="576"/>
      <c r="AN577" s="416" t="s">
        <v>1061</v>
      </c>
      <c r="AS577" s="716" t="s">
        <v>1047</v>
      </c>
      <c r="AU577" s="716" t="s">
        <v>1061</v>
      </c>
    </row>
    <row r="578" spans="1:48" ht="13.5" hidden="1" thickBot="1">
      <c r="A578" s="885"/>
      <c r="B578" s="885"/>
      <c r="C578" s="194" t="s">
        <v>621</v>
      </c>
      <c r="D578" s="206"/>
      <c r="E578" s="207"/>
      <c r="F578" s="209"/>
      <c r="G578" s="206"/>
      <c r="H578" s="206"/>
      <c r="I578" s="207"/>
      <c r="J578" s="209"/>
      <c r="K578" s="206"/>
      <c r="L578" s="206"/>
      <c r="M578" s="207"/>
      <c r="N578" s="277"/>
      <c r="O578" s="278" t="e">
        <f>(O591-J591)/5/$C$703/Spend!O578*'State Efficiency Ratios (2014)'!$C$655</f>
        <v>#DIV/0!</v>
      </c>
      <c r="P578" s="278"/>
      <c r="Q578" s="279"/>
      <c r="R578" s="277"/>
      <c r="S578" s="278"/>
      <c r="T578" s="278"/>
      <c r="U578" s="278" t="e">
        <f>(U591-O591)/6/$C$703/Spend!U578*'State Efficiency Ratios (2014)'!$C$655</f>
        <v>#DIV/0!</v>
      </c>
      <c r="V578" s="277"/>
      <c r="W578" s="278"/>
      <c r="X578" s="278"/>
      <c r="Y578" s="278" t="e">
        <f>(Y591-U591)/4/$C$703/Spend!Y578*'State Efficiency Ratios (2014)'!$C$655</f>
        <v>#DIV/0!</v>
      </c>
      <c r="Z578" s="277"/>
      <c r="AA578" s="278"/>
      <c r="AB578" s="278"/>
      <c r="AC578" s="278" t="e">
        <f>(AC591-Y591)/4/$C$703/Spend!AC578*'State Efficiency Ratios (2014)'!$C$655</f>
        <v>#DIV/0!</v>
      </c>
      <c r="AD578" s="208"/>
      <c r="AE578" s="213"/>
      <c r="AG578" s="295"/>
      <c r="AN578" s="351" t="s">
        <v>741</v>
      </c>
      <c r="AO578" s="351" t="s">
        <v>741</v>
      </c>
      <c r="AP578" s="351" t="s">
        <v>741</v>
      </c>
      <c r="AU578" s="715" t="s">
        <v>741</v>
      </c>
    </row>
    <row r="579" spans="1:48" ht="13.5" thickBot="1">
      <c r="A579" s="885"/>
      <c r="B579" s="885"/>
      <c r="C579" s="9" t="s">
        <v>295</v>
      </c>
      <c r="D579" s="241" t="s">
        <v>632</v>
      </c>
      <c r="E579" s="241" t="s">
        <v>632</v>
      </c>
      <c r="F579" s="243" t="s">
        <v>646</v>
      </c>
      <c r="G579" s="241" t="s">
        <v>646</v>
      </c>
      <c r="H579" s="241" t="s">
        <v>646</v>
      </c>
      <c r="I579" s="244" t="s">
        <v>646</v>
      </c>
      <c r="J579" s="195">
        <f>'State DisAgg LFx10 (2014)'!D566</f>
        <v>0</v>
      </c>
      <c r="K579" s="196"/>
      <c r="L579" s="196"/>
      <c r="M579" s="197"/>
      <c r="N579" s="195"/>
      <c r="O579" s="196">
        <f>'State DisAgg LFx10 (2014)'!H578</f>
        <v>0</v>
      </c>
      <c r="P579" s="196"/>
      <c r="Q579" s="197"/>
      <c r="R579" s="195"/>
      <c r="S579" s="196"/>
      <c r="T579" s="196"/>
      <c r="U579" s="197">
        <f>'State DisAgg LFx10 (2014)'!L578</f>
        <v>3</v>
      </c>
      <c r="V579" s="195"/>
      <c r="W579" s="196"/>
      <c r="X579" s="196"/>
      <c r="Y579" s="197">
        <f>SUM('State DisAgg LFx10 (2014)'!P578:S578)</f>
        <v>33</v>
      </c>
      <c r="Z579" s="195"/>
      <c r="AA579" s="196"/>
      <c r="AB579" s="196"/>
      <c r="AC579" s="197">
        <f>SUM('State DisAgg LFx10 (2014)'!T578:W578)</f>
        <v>20</v>
      </c>
      <c r="AD579" s="195"/>
      <c r="AE579" s="197"/>
      <c r="AI579" s="361">
        <f>O579-J579</f>
        <v>0</v>
      </c>
      <c r="AJ579" s="362">
        <f>U579-O579</f>
        <v>3</v>
      </c>
      <c r="AK579" s="362">
        <f t="shared" ref="AK579:AK590" si="107">Y579-U579</f>
        <v>30</v>
      </c>
      <c r="AL579" s="582">
        <f t="shared" ref="AL579:AL590" si="108">AC579-Y579</f>
        <v>-13</v>
      </c>
      <c r="AM579" s="351" t="s">
        <v>756</v>
      </c>
      <c r="AN579" s="361">
        <f>((AI579/$C$703)+(AI608/$C$708))*5/2</f>
        <v>0.25</v>
      </c>
      <c r="AO579" s="362">
        <f t="shared" ref="AO579" si="109">((AJ579/$C$703)+(AJ608/$C$708))*5/2</f>
        <v>0.375</v>
      </c>
      <c r="AP579" s="362">
        <f>((AK579/($C$703*3))+(AK608/($C$708*3)))*5/2</f>
        <v>2.083333333333333</v>
      </c>
      <c r="AQ579" s="363">
        <f>((AL579/($C$703*3))+(AL608/($C$708*3))+(AL637/($C$713*3)))*5/3</f>
        <v>0.36111111111111116</v>
      </c>
      <c r="AS579" s="724">
        <f>(O579-J579)</f>
        <v>0</v>
      </c>
      <c r="AU579" s="725">
        <f t="shared" ref="AU579:AU586" si="110">(AS579/$C$703)+(AS608/$C$708)</f>
        <v>0.1</v>
      </c>
    </row>
    <row r="580" spans="1:48" ht="13.5" thickBot="1">
      <c r="A580" s="885"/>
      <c r="B580" s="885"/>
      <c r="C580" s="9" t="s">
        <v>296</v>
      </c>
      <c r="D580" s="241" t="s">
        <v>632</v>
      </c>
      <c r="E580" s="241" t="s">
        <v>632</v>
      </c>
      <c r="F580" s="243" t="s">
        <v>646</v>
      </c>
      <c r="G580" s="241" t="s">
        <v>646</v>
      </c>
      <c r="H580" s="241" t="s">
        <v>646</v>
      </c>
      <c r="I580" s="244" t="s">
        <v>646</v>
      </c>
      <c r="J580" s="195">
        <f>'State DisAgg LFx10 (2014)'!D567</f>
        <v>0</v>
      </c>
      <c r="K580" s="196"/>
      <c r="L580" s="196"/>
      <c r="M580" s="197"/>
      <c r="N580" s="195"/>
      <c r="O580" s="196">
        <f>'State DisAgg LFx10 (2014)'!H579</f>
        <v>1</v>
      </c>
      <c r="P580" s="196"/>
      <c r="Q580" s="197"/>
      <c r="R580" s="195"/>
      <c r="S580" s="196"/>
      <c r="T580" s="196"/>
      <c r="U580" s="197">
        <f>'State DisAgg LFx10 (2014)'!L579</f>
        <v>10</v>
      </c>
      <c r="V580" s="195"/>
      <c r="W580" s="196"/>
      <c r="X580" s="196"/>
      <c r="Y580" s="197">
        <f>SUM('State DisAgg LFx10 (2014)'!P579:S579)</f>
        <v>35</v>
      </c>
      <c r="Z580" s="195"/>
      <c r="AA580" s="196"/>
      <c r="AB580" s="196"/>
      <c r="AC580" s="197">
        <f>SUM('State DisAgg LFx10 (2014)'!T579:W579)</f>
        <v>55</v>
      </c>
      <c r="AD580" s="195"/>
      <c r="AE580" s="197"/>
      <c r="AI580" s="364">
        <f>O580-J580</f>
        <v>1</v>
      </c>
      <c r="AJ580" s="360">
        <f>U580-O580</f>
        <v>9</v>
      </c>
      <c r="AK580" s="360">
        <f t="shared" si="107"/>
        <v>25</v>
      </c>
      <c r="AL580" s="584">
        <f t="shared" si="108"/>
        <v>20</v>
      </c>
      <c r="AM580" s="351" t="s">
        <v>757</v>
      </c>
      <c r="AN580" s="364">
        <f t="shared" ref="AN580:AN588" si="111">((AI580/$C$703)+(AI609/$C$708))*5/2</f>
        <v>0.37500000000000006</v>
      </c>
      <c r="AO580" s="360">
        <f t="shared" ref="AO580:AO588" si="112">((AJ580/$C$703)+(AJ609/$C$708))*5/2</f>
        <v>0.875</v>
      </c>
      <c r="AP580" s="360">
        <f t="shared" ref="AP580:AP590" si="113">((AK580/($C$703*3))+(AK609/($C$708*3)))*5/2</f>
        <v>1.7083333333333335</v>
      </c>
      <c r="AQ580" s="365">
        <f t="shared" ref="AQ580:AQ588" si="114">((AL580/($C$703*3))+(AL609/($C$708*3))+(AL638/($C$713*3)))*5/3</f>
        <v>1.8333333333333333</v>
      </c>
      <c r="AS580" s="726">
        <f>(O580-J580)</f>
        <v>1</v>
      </c>
      <c r="AU580" s="727">
        <f t="shared" si="110"/>
        <v>0.15000000000000002</v>
      </c>
    </row>
    <row r="581" spans="1:48" ht="13.5" thickBot="1">
      <c r="A581" s="885"/>
      <c r="B581" s="885"/>
      <c r="C581" s="9" t="s">
        <v>297</v>
      </c>
      <c r="D581" s="241" t="s">
        <v>632</v>
      </c>
      <c r="E581" s="241" t="s">
        <v>632</v>
      </c>
      <c r="F581" s="243" t="s">
        <v>646</v>
      </c>
      <c r="G581" s="241" t="s">
        <v>646</v>
      </c>
      <c r="H581" s="241" t="s">
        <v>646</v>
      </c>
      <c r="I581" s="244" t="s">
        <v>646</v>
      </c>
      <c r="J581" s="195">
        <f>'State DisAgg LFx10 (2014)'!D568</f>
        <v>3</v>
      </c>
      <c r="K581" s="196"/>
      <c r="L581" s="196"/>
      <c r="M581" s="197"/>
      <c r="N581" s="195"/>
      <c r="O581" s="196">
        <f>'State DisAgg LFx10 (2014)'!H580</f>
        <v>7</v>
      </c>
      <c r="P581" s="196"/>
      <c r="Q581" s="197"/>
      <c r="R581" s="195"/>
      <c r="S581" s="196"/>
      <c r="T581" s="196"/>
      <c r="U581" s="197">
        <f>'State DisAgg LFx10 (2014)'!L580</f>
        <v>8</v>
      </c>
      <c r="V581" s="195"/>
      <c r="W581" s="196"/>
      <c r="X581" s="196"/>
      <c r="Y581" s="197">
        <f>SUM('State DisAgg LFx10 (2014)'!P580:S580)</f>
        <v>22</v>
      </c>
      <c r="Z581" s="195"/>
      <c r="AA581" s="196"/>
      <c r="AB581" s="196"/>
      <c r="AC581" s="197">
        <f>SUM('State DisAgg LFx10 (2014)'!T580:W580)</f>
        <v>39</v>
      </c>
      <c r="AD581" s="195"/>
      <c r="AE581" s="197"/>
      <c r="AI581" s="364">
        <f>O581-J581</f>
        <v>4</v>
      </c>
      <c r="AJ581" s="360">
        <f>U581-O581</f>
        <v>1</v>
      </c>
      <c r="AK581" s="360">
        <f t="shared" si="107"/>
        <v>14</v>
      </c>
      <c r="AL581" s="584">
        <f t="shared" si="108"/>
        <v>17</v>
      </c>
      <c r="AM581" s="351" t="s">
        <v>758</v>
      </c>
      <c r="AN581" s="364">
        <f t="shared" si="111"/>
        <v>1</v>
      </c>
      <c r="AO581" s="360">
        <f t="shared" si="112"/>
        <v>0.625</v>
      </c>
      <c r="AP581" s="360">
        <f t="shared" si="113"/>
        <v>1.1666666666666667</v>
      </c>
      <c r="AQ581" s="365">
        <f t="shared" si="114"/>
        <v>1.0833333333333333</v>
      </c>
      <c r="AS581" s="726">
        <f>(O581-J581)</f>
        <v>4</v>
      </c>
      <c r="AU581" s="727">
        <f t="shared" si="110"/>
        <v>0.4</v>
      </c>
    </row>
    <row r="582" spans="1:48" ht="13.5" thickBot="1">
      <c r="A582" s="885"/>
      <c r="B582" s="885"/>
      <c r="C582" s="9" t="s">
        <v>298</v>
      </c>
      <c r="D582" s="241" t="s">
        <v>632</v>
      </c>
      <c r="E582" s="241" t="s">
        <v>632</v>
      </c>
      <c r="F582" s="243" t="s">
        <v>646</v>
      </c>
      <c r="G582" s="241" t="s">
        <v>646</v>
      </c>
      <c r="H582" s="241" t="s">
        <v>646</v>
      </c>
      <c r="I582" s="244" t="s">
        <v>646</v>
      </c>
      <c r="J582" s="195">
        <f>'State DisAgg LFx10 (2014)'!D569</f>
        <v>0</v>
      </c>
      <c r="K582" s="196"/>
      <c r="L582" s="196"/>
      <c r="M582" s="197"/>
      <c r="N582" s="195"/>
      <c r="O582" s="196">
        <f>'State DisAgg LFx10 (2014)'!H581</f>
        <v>3</v>
      </c>
      <c r="P582" s="196"/>
      <c r="Q582" s="197"/>
      <c r="R582" s="195"/>
      <c r="S582" s="196"/>
      <c r="T582" s="196"/>
      <c r="U582" s="197">
        <f>'State DisAgg LFx10 (2014)'!L581</f>
        <v>8</v>
      </c>
      <c r="V582" s="195"/>
      <c r="W582" s="196"/>
      <c r="X582" s="196"/>
      <c r="Y582" s="197">
        <f>SUM('State DisAgg LFx10 (2014)'!P581:S581)</f>
        <v>26</v>
      </c>
      <c r="Z582" s="195"/>
      <c r="AA582" s="196"/>
      <c r="AB582" s="196"/>
      <c r="AC582" s="197">
        <f>SUM('State DisAgg LFx10 (2014)'!T581:W581)</f>
        <v>47</v>
      </c>
      <c r="AD582" s="195"/>
      <c r="AE582" s="197"/>
      <c r="AI582" s="364">
        <f>O582-J582</f>
        <v>3</v>
      </c>
      <c r="AJ582" s="360">
        <f>U582-O582</f>
        <v>5</v>
      </c>
      <c r="AK582" s="360">
        <f t="shared" si="107"/>
        <v>18</v>
      </c>
      <c r="AL582" s="584">
        <f t="shared" si="108"/>
        <v>21</v>
      </c>
      <c r="AM582" s="351" t="s">
        <v>759</v>
      </c>
      <c r="AN582" s="364">
        <f t="shared" si="111"/>
        <v>1.625</v>
      </c>
      <c r="AO582" s="360">
        <f t="shared" si="112"/>
        <v>0.625</v>
      </c>
      <c r="AP582" s="360">
        <f t="shared" si="113"/>
        <v>1.6666666666666665</v>
      </c>
      <c r="AQ582" s="365">
        <f t="shared" si="114"/>
        <v>1.6388888888888886</v>
      </c>
      <c r="AS582" s="726">
        <f>(O582-J582)</f>
        <v>3</v>
      </c>
      <c r="AT582" s="714" t="s">
        <v>1070</v>
      </c>
      <c r="AU582" s="727">
        <f t="shared" si="110"/>
        <v>0.65</v>
      </c>
      <c r="AV582" s="714" t="s">
        <v>1070</v>
      </c>
    </row>
    <row r="583" spans="1:48" ht="13.5" thickBot="1">
      <c r="A583" s="885"/>
      <c r="B583" s="885"/>
      <c r="C583" s="9" t="s">
        <v>299</v>
      </c>
      <c r="D583" s="241" t="s">
        <v>632</v>
      </c>
      <c r="E583" s="241" t="s">
        <v>632</v>
      </c>
      <c r="F583" s="243" t="s">
        <v>646</v>
      </c>
      <c r="G583" s="241" t="s">
        <v>646</v>
      </c>
      <c r="H583" s="241" t="s">
        <v>646</v>
      </c>
      <c r="I583" s="244" t="s">
        <v>646</v>
      </c>
      <c r="J583" s="195">
        <f>'State DisAgg LFx10 (2014)'!D570</f>
        <v>2</v>
      </c>
      <c r="K583" s="196"/>
      <c r="L583" s="196"/>
      <c r="M583" s="197"/>
      <c r="N583" s="195"/>
      <c r="O583" s="196">
        <f>'State DisAgg LFx10 (2014)'!H582</f>
        <v>5</v>
      </c>
      <c r="P583" s="196"/>
      <c r="Q583" s="197"/>
      <c r="R583" s="195"/>
      <c r="S583" s="196"/>
      <c r="T583" s="196"/>
      <c r="U583" s="197">
        <f>'State DisAgg LFx10 (2014)'!L582</f>
        <v>8</v>
      </c>
      <c r="V583" s="195"/>
      <c r="W583" s="196"/>
      <c r="X583" s="196"/>
      <c r="Y583" s="197">
        <f>SUM('State DisAgg LFx10 (2014)'!P582:S582)</f>
        <v>27</v>
      </c>
      <c r="Z583" s="195"/>
      <c r="AA583" s="196"/>
      <c r="AB583" s="196"/>
      <c r="AC583" s="197">
        <f>SUM('State DisAgg LFx10 (2014)'!T582:W582)</f>
        <v>32</v>
      </c>
      <c r="AD583" s="195"/>
      <c r="AE583" s="197"/>
      <c r="AI583" s="364">
        <f>O583-J583</f>
        <v>3</v>
      </c>
      <c r="AJ583" s="360">
        <f>U583-O583</f>
        <v>3</v>
      </c>
      <c r="AK583" s="360">
        <f t="shared" si="107"/>
        <v>19</v>
      </c>
      <c r="AL583" s="584">
        <f t="shared" si="108"/>
        <v>5</v>
      </c>
      <c r="AM583" s="351" t="s">
        <v>760</v>
      </c>
      <c r="AN583" s="364">
        <f t="shared" si="111"/>
        <v>1.125</v>
      </c>
      <c r="AO583" s="360">
        <f t="shared" si="112"/>
        <v>-0.375</v>
      </c>
      <c r="AP583" s="360">
        <f t="shared" si="113"/>
        <v>2.0416666666666665</v>
      </c>
      <c r="AQ583" s="365">
        <f t="shared" si="114"/>
        <v>1.4722222222222221</v>
      </c>
      <c r="AS583" s="726">
        <f>(O583-J583)</f>
        <v>3</v>
      </c>
      <c r="AT583" s="728">
        <f>SUM(AS579:AS583)/5</f>
        <v>2.2000000000000002</v>
      </c>
      <c r="AU583" s="727">
        <f t="shared" si="110"/>
        <v>0.44999999999999996</v>
      </c>
      <c r="AV583" s="714">
        <f>SUM(AU579:AU583)/5</f>
        <v>0.35</v>
      </c>
    </row>
    <row r="584" spans="1:48" ht="13.5" thickBot="1">
      <c r="A584" s="885"/>
      <c r="B584" s="885"/>
      <c r="C584" s="9" t="s">
        <v>300</v>
      </c>
      <c r="D584" s="199"/>
      <c r="E584" s="200"/>
      <c r="F584" s="201"/>
      <c r="G584" s="199"/>
      <c r="H584" s="199"/>
      <c r="I584" s="200"/>
      <c r="J584" s="201"/>
      <c r="K584" s="199"/>
      <c r="L584" s="199"/>
      <c r="M584" s="200"/>
      <c r="N584" s="198"/>
      <c r="O584" s="217" t="s">
        <v>634</v>
      </c>
      <c r="P584" s="241" t="s">
        <v>632</v>
      </c>
      <c r="Q584" s="244" t="s">
        <v>646</v>
      </c>
      <c r="R584" s="195">
        <f>'State DisAgg LFx10 (2014)'!H571</f>
        <v>0</v>
      </c>
      <c r="S584" s="196"/>
      <c r="T584" s="196"/>
      <c r="U584" s="197">
        <f>'State DisAgg LFx10 (2014)'!L583</f>
        <v>2</v>
      </c>
      <c r="V584" s="195"/>
      <c r="W584" s="196"/>
      <c r="X584" s="196"/>
      <c r="Y584" s="197">
        <f>SUM('State DisAgg LFx10 (2014)'!P583:S583)</f>
        <v>4</v>
      </c>
      <c r="Z584" s="195"/>
      <c r="AA584" s="196"/>
      <c r="AB584" s="196"/>
      <c r="AC584" s="197">
        <f>SUM('State DisAgg LFx10 (2014)'!T583:W583)</f>
        <v>9</v>
      </c>
      <c r="AD584" s="195"/>
      <c r="AE584" s="197"/>
      <c r="AI584" s="364">
        <v>0</v>
      </c>
      <c r="AJ584" s="360">
        <f>U584-R584</f>
        <v>2</v>
      </c>
      <c r="AK584" s="360">
        <f t="shared" si="107"/>
        <v>2</v>
      </c>
      <c r="AL584" s="584">
        <f t="shared" si="108"/>
        <v>5</v>
      </c>
      <c r="AM584" s="351" t="s">
        <v>761</v>
      </c>
      <c r="AN584" s="364">
        <f t="shared" si="111"/>
        <v>0</v>
      </c>
      <c r="AO584" s="360">
        <f t="shared" si="112"/>
        <v>0.5</v>
      </c>
      <c r="AP584" s="360">
        <f t="shared" si="113"/>
        <v>0.33333333333333331</v>
      </c>
      <c r="AQ584" s="365">
        <f t="shared" si="114"/>
        <v>0.47222222222222215</v>
      </c>
      <c r="AS584" s="726">
        <f>(Y584-R584)</f>
        <v>4</v>
      </c>
      <c r="AU584" s="727">
        <f t="shared" si="110"/>
        <v>0.60000000000000009</v>
      </c>
    </row>
    <row r="585" spans="1:48" ht="13.5" thickBot="1">
      <c r="A585" s="885"/>
      <c r="B585" s="885"/>
      <c r="C585" s="9" t="s">
        <v>301</v>
      </c>
      <c r="D585" s="199"/>
      <c r="E585" s="200"/>
      <c r="F585" s="201"/>
      <c r="G585" s="199"/>
      <c r="H585" s="199"/>
      <c r="I585" s="200"/>
      <c r="J585" s="201"/>
      <c r="K585" s="199"/>
      <c r="L585" s="199"/>
      <c r="M585" s="200"/>
      <c r="N585" s="198"/>
      <c r="O585" s="217" t="s">
        <v>634</v>
      </c>
      <c r="P585" s="241" t="s">
        <v>632</v>
      </c>
      <c r="Q585" s="244" t="s">
        <v>646</v>
      </c>
      <c r="R585" s="195">
        <f>'State DisAgg LFx10 (2014)'!H572</f>
        <v>0</v>
      </c>
      <c r="S585" s="196"/>
      <c r="T585" s="196"/>
      <c r="U585" s="197">
        <f>'State DisAgg LFx10 (2014)'!L584</f>
        <v>1</v>
      </c>
      <c r="V585" s="195"/>
      <c r="W585" s="196"/>
      <c r="X585" s="196"/>
      <c r="Y585" s="197">
        <f>SUM('State DisAgg LFx10 (2014)'!P584:S584)</f>
        <v>6</v>
      </c>
      <c r="Z585" s="195"/>
      <c r="AA585" s="196"/>
      <c r="AB585" s="196"/>
      <c r="AC585" s="197">
        <f>SUM('State DisAgg LFx10 (2014)'!T584:W584)</f>
        <v>33</v>
      </c>
      <c r="AD585" s="195"/>
      <c r="AE585" s="197"/>
      <c r="AI585" s="364">
        <v>0</v>
      </c>
      <c r="AJ585" s="360">
        <f>U585-R585</f>
        <v>1</v>
      </c>
      <c r="AK585" s="360">
        <f t="shared" si="107"/>
        <v>5</v>
      </c>
      <c r="AL585" s="584">
        <f t="shared" si="108"/>
        <v>27</v>
      </c>
      <c r="AM585" s="351" t="s">
        <v>762</v>
      </c>
      <c r="AN585" s="364">
        <f t="shared" si="111"/>
        <v>0</v>
      </c>
      <c r="AO585" s="360">
        <f t="shared" si="112"/>
        <v>0.125</v>
      </c>
      <c r="AP585" s="360">
        <f t="shared" si="113"/>
        <v>0.45833333333333337</v>
      </c>
      <c r="AQ585" s="365">
        <f t="shared" si="114"/>
        <v>1.8055555555555554</v>
      </c>
      <c r="AS585" s="726">
        <f>(Y585-R585)</f>
        <v>6</v>
      </c>
      <c r="AT585" s="714" t="s">
        <v>1071</v>
      </c>
      <c r="AU585" s="727">
        <f t="shared" si="110"/>
        <v>0.6</v>
      </c>
      <c r="AV585" s="714" t="s">
        <v>1071</v>
      </c>
    </row>
    <row r="586" spans="1:48" ht="13.5" thickBot="1">
      <c r="A586" s="885"/>
      <c r="B586" s="885"/>
      <c r="C586" s="9" t="s">
        <v>302</v>
      </c>
      <c r="D586" s="199"/>
      <c r="E586" s="200"/>
      <c r="F586" s="201"/>
      <c r="G586" s="199"/>
      <c r="H586" s="199"/>
      <c r="I586" s="200"/>
      <c r="J586" s="201"/>
      <c r="K586" s="199"/>
      <c r="L586" s="199"/>
      <c r="M586" s="200"/>
      <c r="N586" s="198"/>
      <c r="O586" s="217" t="s">
        <v>634</v>
      </c>
      <c r="P586" s="241" t="s">
        <v>632</v>
      </c>
      <c r="Q586" s="244" t="s">
        <v>646</v>
      </c>
      <c r="R586" s="195">
        <f>'State DisAgg LFx10 (2014)'!H573</f>
        <v>0</v>
      </c>
      <c r="S586" s="196"/>
      <c r="T586" s="196"/>
      <c r="U586" s="197">
        <f>'State DisAgg LFx10 (2014)'!L585</f>
        <v>1</v>
      </c>
      <c r="V586" s="195"/>
      <c r="W586" s="196"/>
      <c r="X586" s="196"/>
      <c r="Y586" s="197">
        <f>SUM('State DisAgg LFx10 (2014)'!P585:S585)</f>
        <v>2</v>
      </c>
      <c r="Z586" s="195"/>
      <c r="AA586" s="196"/>
      <c r="AB586" s="196"/>
      <c r="AC586" s="197">
        <f>SUM('State DisAgg LFx10 (2014)'!T585:W585)</f>
        <v>17</v>
      </c>
      <c r="AD586" s="195"/>
      <c r="AE586" s="197"/>
      <c r="AI586" s="364">
        <v>0</v>
      </c>
      <c r="AJ586" s="360">
        <f>U586-R586</f>
        <v>1</v>
      </c>
      <c r="AK586" s="360">
        <f t="shared" si="107"/>
        <v>1</v>
      </c>
      <c r="AL586" s="584">
        <f t="shared" si="108"/>
        <v>15</v>
      </c>
      <c r="AM586" s="351" t="s">
        <v>763</v>
      </c>
      <c r="AN586" s="364">
        <f t="shared" si="111"/>
        <v>0</v>
      </c>
      <c r="AO586" s="360">
        <f t="shared" si="112"/>
        <v>0.125</v>
      </c>
      <c r="AP586" s="360">
        <f t="shared" si="113"/>
        <v>0.20833333333333331</v>
      </c>
      <c r="AQ586" s="365">
        <f t="shared" si="114"/>
        <v>1.4722222222222221</v>
      </c>
      <c r="AS586" s="729">
        <f>(Y586-R586)</f>
        <v>2</v>
      </c>
      <c r="AT586" s="728">
        <f>SUM(AS584:AS586)/3</f>
        <v>4</v>
      </c>
      <c r="AU586" s="730">
        <f t="shared" si="110"/>
        <v>0.30000000000000004</v>
      </c>
      <c r="AV586" s="728">
        <f>SUM(AU584:AU586)/3</f>
        <v>0.50000000000000011</v>
      </c>
    </row>
    <row r="587" spans="1:48" ht="13.5" thickBot="1">
      <c r="A587" s="885"/>
      <c r="B587" s="885"/>
      <c r="C587" s="9" t="s">
        <v>303</v>
      </c>
      <c r="D587" s="202"/>
      <c r="E587" s="203"/>
      <c r="F587" s="201"/>
      <c r="G587" s="202"/>
      <c r="H587" s="202"/>
      <c r="I587" s="203"/>
      <c r="J587" s="201"/>
      <c r="K587" s="202"/>
      <c r="L587" s="202"/>
      <c r="M587" s="203"/>
      <c r="N587" s="204"/>
      <c r="O587" s="214"/>
      <c r="P587" s="205"/>
      <c r="Q587" s="205"/>
      <c r="R587" s="201"/>
      <c r="S587" s="202"/>
      <c r="T587" s="202"/>
      <c r="U587" s="203"/>
      <c r="V587" s="242"/>
      <c r="W587" s="217" t="s">
        <v>633</v>
      </c>
      <c r="X587" s="241" t="s">
        <v>632</v>
      </c>
      <c r="Y587" s="197">
        <f>SUM('State DisAgg LFx10 (2014)'!P586:S586)</f>
        <v>0</v>
      </c>
      <c r="Z587" s="195"/>
      <c r="AA587" s="196"/>
      <c r="AB587" s="196"/>
      <c r="AC587" s="197">
        <f>SUM('State DisAgg LFx10 (2014)'!T586:W586)</f>
        <v>0</v>
      </c>
      <c r="AD587" s="195"/>
      <c r="AE587" s="197"/>
      <c r="AI587" s="364">
        <f>O587-J587</f>
        <v>0</v>
      </c>
      <c r="AJ587" s="360">
        <f>U587-O587</f>
        <v>0</v>
      </c>
      <c r="AK587" s="360">
        <f t="shared" si="107"/>
        <v>0</v>
      </c>
      <c r="AL587" s="584">
        <f t="shared" si="108"/>
        <v>0</v>
      </c>
      <c r="AM587" s="351" t="s">
        <v>1098</v>
      </c>
      <c r="AN587" s="364">
        <f t="shared" si="111"/>
        <v>0</v>
      </c>
      <c r="AO587" s="360">
        <f t="shared" si="112"/>
        <v>0</v>
      </c>
      <c r="AP587" s="360">
        <f t="shared" si="113"/>
        <v>0</v>
      </c>
      <c r="AQ587" s="365">
        <f t="shared" si="114"/>
        <v>0</v>
      </c>
    </row>
    <row r="588" spans="1:48" ht="13.5" thickBot="1">
      <c r="A588" s="885"/>
      <c r="B588" s="885"/>
      <c r="C588" s="9" t="s">
        <v>304</v>
      </c>
      <c r="D588" s="202"/>
      <c r="E588" s="203"/>
      <c r="F588" s="201"/>
      <c r="G588" s="202"/>
      <c r="H588" s="202"/>
      <c r="I588" s="203"/>
      <c r="J588" s="201"/>
      <c r="K588" s="202"/>
      <c r="L588" s="202"/>
      <c r="M588" s="203"/>
      <c r="N588" s="204"/>
      <c r="O588" s="205"/>
      <c r="P588" s="205"/>
      <c r="Q588" s="205"/>
      <c r="R588" s="201"/>
      <c r="S588" s="202"/>
      <c r="T588" s="202"/>
      <c r="U588" s="203"/>
      <c r="V588" s="242"/>
      <c r="W588" s="217" t="s">
        <v>633</v>
      </c>
      <c r="X588" s="241" t="s">
        <v>632</v>
      </c>
      <c r="Y588" s="197">
        <f>SUM('State DisAgg LFx10 (2014)'!P587:S587)</f>
        <v>0</v>
      </c>
      <c r="Z588" s="195"/>
      <c r="AA588" s="196"/>
      <c r="AB588" s="196"/>
      <c r="AC588" s="197">
        <f>SUM('State DisAgg LFx10 (2014)'!T587:W587)</f>
        <v>0</v>
      </c>
      <c r="AD588" s="195"/>
      <c r="AE588" s="197"/>
      <c r="AI588" s="588">
        <f>O588-J588</f>
        <v>0</v>
      </c>
      <c r="AJ588" s="589">
        <f>U588-O588</f>
        <v>0</v>
      </c>
      <c r="AK588" s="589">
        <f t="shared" si="107"/>
        <v>0</v>
      </c>
      <c r="AL588" s="590">
        <f t="shared" si="108"/>
        <v>0</v>
      </c>
      <c r="AM588" s="351" t="s">
        <v>1099</v>
      </c>
      <c r="AN588" s="588">
        <f t="shared" si="111"/>
        <v>0</v>
      </c>
      <c r="AO588" s="589">
        <f t="shared" si="112"/>
        <v>0</v>
      </c>
      <c r="AP588" s="589">
        <f t="shared" si="113"/>
        <v>0</v>
      </c>
      <c r="AQ588" s="609">
        <f t="shared" si="114"/>
        <v>0</v>
      </c>
    </row>
    <row r="589" spans="1:48" ht="13.5" thickBot="1">
      <c r="A589" s="885"/>
      <c r="B589" s="885"/>
      <c r="C589" s="9" t="s">
        <v>435</v>
      </c>
      <c r="D589" s="241" t="s">
        <v>632</v>
      </c>
      <c r="E589" s="241" t="s">
        <v>632</v>
      </c>
      <c r="F589" s="243" t="s">
        <v>646</v>
      </c>
      <c r="G589" s="241" t="s">
        <v>646</v>
      </c>
      <c r="H589" s="241" t="s">
        <v>646</v>
      </c>
      <c r="I589" s="244" t="s">
        <v>646</v>
      </c>
      <c r="J589" s="195">
        <f>'State DisAgg LFx10 (2014)'!D576</f>
        <v>0</v>
      </c>
      <c r="K589" s="196"/>
      <c r="L589" s="196"/>
      <c r="M589" s="197"/>
      <c r="N589" s="195"/>
      <c r="O589" s="196">
        <f>'State DisAgg LFx10 (2014)'!H588</f>
        <v>10</v>
      </c>
      <c r="P589" s="196"/>
      <c r="Q589" s="197"/>
      <c r="R589" s="195"/>
      <c r="S589" s="196"/>
      <c r="T589" s="196"/>
      <c r="U589" s="197">
        <f>'State DisAgg LFx10 (2014)'!L588</f>
        <v>13</v>
      </c>
      <c r="V589" s="195"/>
      <c r="W589" s="196"/>
      <c r="X589" s="196"/>
      <c r="Y589" s="197">
        <f>SUM('State DisAgg LFx10 (2014)'!P588:S588)</f>
        <v>57</v>
      </c>
      <c r="Z589" s="195"/>
      <c r="AA589" s="196"/>
      <c r="AB589" s="196"/>
      <c r="AC589" s="197">
        <f>SUM('State DisAgg LFx10 (2014)'!T588:W588)</f>
        <v>110</v>
      </c>
      <c r="AD589" s="195"/>
      <c r="AE589" s="197"/>
      <c r="AI589" s="610">
        <f>O589-J589</f>
        <v>10</v>
      </c>
      <c r="AJ589" s="611">
        <f>U589-O589</f>
        <v>3</v>
      </c>
      <c r="AK589" s="611">
        <f t="shared" si="107"/>
        <v>44</v>
      </c>
      <c r="AL589" s="612">
        <f t="shared" si="108"/>
        <v>53</v>
      </c>
      <c r="AM589" s="351" t="s">
        <v>1100</v>
      </c>
      <c r="AN589" s="610">
        <f t="shared" ref="AN589:AN593" si="115">((AI589/$C$703)+(AI618/$C$708))*5/2</f>
        <v>1.25</v>
      </c>
      <c r="AO589" s="611">
        <f t="shared" ref="AO589:AO593" si="116">((AJ589/$C$703)+(AJ618/$C$708))*5/2</f>
        <v>2.375</v>
      </c>
      <c r="AP589" s="611">
        <f t="shared" si="113"/>
        <v>3.1666666666666665</v>
      </c>
      <c r="AQ589" s="616">
        <f t="shared" ref="AQ589:AQ593" si="117">((AL589/($C$703*3))+(AL618/($C$708*3))+(AL647/($C$713*3)))*5/3</f>
        <v>4.1388888888888893</v>
      </c>
    </row>
    <row r="590" spans="1:48" ht="13.5" thickBot="1">
      <c r="A590" s="885"/>
      <c r="B590" s="885"/>
      <c r="C590" s="9" t="s">
        <v>642</v>
      </c>
      <c r="D590" s="241" t="s">
        <v>632</v>
      </c>
      <c r="E590" s="241" t="s">
        <v>632</v>
      </c>
      <c r="F590" s="243" t="s">
        <v>646</v>
      </c>
      <c r="G590" s="241" t="s">
        <v>646</v>
      </c>
      <c r="H590" s="241" t="s">
        <v>646</v>
      </c>
      <c r="I590" s="244" t="s">
        <v>646</v>
      </c>
      <c r="J590" s="195">
        <f>'State DisAgg LFx10 (2014)'!D577</f>
        <v>0</v>
      </c>
      <c r="K590" s="196"/>
      <c r="L590" s="196"/>
      <c r="M590" s="197"/>
      <c r="N590" s="195"/>
      <c r="O590" s="196">
        <f>'State DisAgg LFx10 (2014)'!H589</f>
        <v>0</v>
      </c>
      <c r="P590" s="196"/>
      <c r="Q590" s="197"/>
      <c r="R590" s="195"/>
      <c r="S590" s="196"/>
      <c r="T590" s="196"/>
      <c r="U590" s="197">
        <f>'State DisAgg LFx10 (2014)'!L589</f>
        <v>0</v>
      </c>
      <c r="V590" s="195"/>
      <c r="W590" s="196"/>
      <c r="X590" s="196"/>
      <c r="Y590" s="197">
        <f>SUM('State DisAgg LFx10 (2014)'!P589:S589)</f>
        <v>37</v>
      </c>
      <c r="Z590" s="195"/>
      <c r="AA590" s="196"/>
      <c r="AB590" s="196"/>
      <c r="AC590" s="197">
        <f>SUM('State DisAgg LFx10 (2014)'!T589:W589)</f>
        <v>80</v>
      </c>
      <c r="AD590" s="195"/>
      <c r="AE590" s="197"/>
      <c r="AI590" s="613">
        <f>O590-J590</f>
        <v>0</v>
      </c>
      <c r="AJ590" s="614">
        <f>U590-O590</f>
        <v>0</v>
      </c>
      <c r="AK590" s="614">
        <f t="shared" si="107"/>
        <v>37</v>
      </c>
      <c r="AL590" s="615">
        <f t="shared" si="108"/>
        <v>43</v>
      </c>
      <c r="AM590" s="351" t="s">
        <v>1101</v>
      </c>
      <c r="AN590" s="613">
        <f t="shared" si="115"/>
        <v>0</v>
      </c>
      <c r="AO590" s="614">
        <f t="shared" si="116"/>
        <v>0</v>
      </c>
      <c r="AP590" s="614">
        <f t="shared" si="113"/>
        <v>2.791666666666667</v>
      </c>
      <c r="AQ590" s="617">
        <f t="shared" si="117"/>
        <v>4.4722222222222223</v>
      </c>
    </row>
    <row r="591" spans="1:48" ht="13.5" hidden="1" thickBot="1">
      <c r="A591" s="885"/>
      <c r="B591" s="885"/>
      <c r="C591" s="9" t="s">
        <v>437</v>
      </c>
      <c r="D591" s="201"/>
      <c r="E591" s="203"/>
      <c r="F591" s="201"/>
      <c r="G591" s="202"/>
      <c r="H591" s="202"/>
      <c r="I591" s="203"/>
      <c r="J591" s="201"/>
      <c r="K591" s="202"/>
      <c r="L591" s="202"/>
      <c r="M591" s="203"/>
      <c r="N591" s="204"/>
      <c r="O591" s="205"/>
      <c r="P591" s="205"/>
      <c r="Q591" s="205"/>
      <c r="R591" s="201"/>
      <c r="S591" s="202"/>
      <c r="T591" s="202"/>
      <c r="U591" s="203"/>
      <c r="V591" s="204"/>
      <c r="W591" s="205"/>
      <c r="X591" s="205"/>
      <c r="Y591" s="205"/>
      <c r="Z591" s="201"/>
      <c r="AA591" s="202"/>
      <c r="AB591" s="202"/>
      <c r="AC591" s="203"/>
      <c r="AD591" s="201"/>
      <c r="AE591" s="203"/>
      <c r="AI591" s="354"/>
      <c r="AJ591" s="354"/>
      <c r="AK591" s="354"/>
      <c r="AL591" s="351"/>
      <c r="AM591" s="351"/>
      <c r="AN591" s="711">
        <f t="shared" si="115"/>
        <v>0</v>
      </c>
      <c r="AO591" s="711">
        <f t="shared" si="116"/>
        <v>0</v>
      </c>
      <c r="AP591" s="711">
        <f t="shared" ref="AP591:AP593" si="118">((AK591/$C$703)+(AK620/$C$708))*5/2</f>
        <v>0</v>
      </c>
      <c r="AQ591" s="712">
        <f t="shared" si="117"/>
        <v>0</v>
      </c>
    </row>
    <row r="592" spans="1:48" ht="12.95" hidden="1" customHeight="1" thickBot="1">
      <c r="A592" s="885"/>
      <c r="B592" s="574"/>
      <c r="C592" s="231"/>
      <c r="D592" s="232"/>
      <c r="E592" s="233"/>
      <c r="F592" s="234"/>
      <c r="G592" s="232"/>
      <c r="H592" s="232"/>
      <c r="I592" s="233"/>
      <c r="J592" s="234"/>
      <c r="K592" s="232"/>
      <c r="L592" s="232"/>
      <c r="M592" s="233"/>
      <c r="N592" s="234"/>
      <c r="O592" s="232"/>
      <c r="P592" s="232"/>
      <c r="Q592" s="233"/>
      <c r="R592" s="234"/>
      <c r="S592" s="232"/>
      <c r="T592" s="232"/>
      <c r="U592" s="233"/>
      <c r="V592" s="234"/>
      <c r="W592" s="232"/>
      <c r="X592" s="232"/>
      <c r="Y592" s="233"/>
      <c r="Z592" s="234"/>
      <c r="AA592" s="232"/>
      <c r="AB592" s="232"/>
      <c r="AC592" s="233"/>
      <c r="AD592" s="234"/>
      <c r="AE592" s="233"/>
      <c r="AI592" s="354">
        <f>O592-J592</f>
        <v>0</v>
      </c>
      <c r="AJ592" s="354">
        <f>U592-O592</f>
        <v>0</v>
      </c>
      <c r="AK592" s="354">
        <f>Y592-U592</f>
        <v>0</v>
      </c>
      <c r="AL592" s="356">
        <f>SUM(AL579:AL586)/8</f>
        <v>12.125</v>
      </c>
      <c r="AM592" s="356"/>
      <c r="AN592" s="361">
        <f t="shared" si="115"/>
        <v>0</v>
      </c>
      <c r="AO592" s="361">
        <f t="shared" si="116"/>
        <v>0</v>
      </c>
      <c r="AP592" s="361">
        <f t="shared" si="118"/>
        <v>0</v>
      </c>
      <c r="AQ592" s="363">
        <f t="shared" si="117"/>
        <v>0.33680555555555558</v>
      </c>
    </row>
    <row r="593" spans="1:46" ht="12.95" hidden="1" customHeight="1" thickBot="1">
      <c r="A593" s="885"/>
      <c r="B593" s="574"/>
      <c r="C593" s="231"/>
      <c r="D593" s="232"/>
      <c r="E593" s="233"/>
      <c r="F593" s="234"/>
      <c r="G593" s="232"/>
      <c r="H593" s="232"/>
      <c r="I593" s="233"/>
      <c r="J593" s="234"/>
      <c r="K593" s="232"/>
      <c r="L593" s="232"/>
      <c r="M593" s="233"/>
      <c r="N593" s="234"/>
      <c r="O593" s="232"/>
      <c r="P593" s="232"/>
      <c r="Q593" s="233"/>
      <c r="R593" s="234"/>
      <c r="S593" s="232"/>
      <c r="T593" s="232"/>
      <c r="U593" s="233"/>
      <c r="V593" s="234"/>
      <c r="W593" s="232"/>
      <c r="X593" s="232"/>
      <c r="Y593" s="233"/>
      <c r="Z593" s="234"/>
      <c r="AA593" s="232"/>
      <c r="AB593" s="232"/>
      <c r="AC593" s="233"/>
      <c r="AD593" s="234"/>
      <c r="AE593" s="233"/>
      <c r="AI593" s="354">
        <f>O593-J593</f>
        <v>0</v>
      </c>
      <c r="AJ593" s="354">
        <f>U593-O593</f>
        <v>0</v>
      </c>
      <c r="AK593" s="354">
        <f>Y593-U593</f>
        <v>0</v>
      </c>
      <c r="AL593" s="378">
        <f>SUM(AC569:AC576)/8</f>
        <v>509.79240909937118</v>
      </c>
      <c r="AM593" s="378"/>
      <c r="AN593" s="361">
        <f t="shared" si="115"/>
        <v>0</v>
      </c>
      <c r="AO593" s="361">
        <f t="shared" si="116"/>
        <v>0</v>
      </c>
      <c r="AP593" s="361">
        <f t="shared" si="118"/>
        <v>0</v>
      </c>
      <c r="AQ593" s="363">
        <f t="shared" si="117"/>
        <v>14.160900252760309</v>
      </c>
    </row>
    <row r="594" spans="1:46" ht="12.95" customHeight="1" thickBot="1">
      <c r="A594" s="885"/>
      <c r="B594" s="3" t="s">
        <v>36</v>
      </c>
      <c r="C594" s="12"/>
      <c r="D594" s="1377">
        <v>2008</v>
      </c>
      <c r="E594" s="1378"/>
      <c r="F594" s="1372">
        <v>2009</v>
      </c>
      <c r="G594" s="1373"/>
      <c r="H594" s="1373"/>
      <c r="I594" s="1374"/>
      <c r="J594" s="1372">
        <v>2010</v>
      </c>
      <c r="K594" s="1373"/>
      <c r="L594" s="1373"/>
      <c r="M594" s="1374"/>
      <c r="N594" s="1372">
        <v>2011</v>
      </c>
      <c r="O594" s="1373"/>
      <c r="P594" s="1373"/>
      <c r="Q594" s="1374"/>
      <c r="R594" s="1372">
        <v>2012</v>
      </c>
      <c r="S594" s="1373"/>
      <c r="T594" s="1373"/>
      <c r="U594" s="1374"/>
      <c r="V594" s="1372">
        <v>2013</v>
      </c>
      <c r="W594" s="1373"/>
      <c r="X594" s="1373"/>
      <c r="Y594" s="1374"/>
      <c r="Z594" s="1372">
        <v>2014</v>
      </c>
      <c r="AA594" s="1373"/>
      <c r="AB594" s="1373"/>
      <c r="AC594" s="1374"/>
      <c r="AD594" s="1372">
        <v>2015</v>
      </c>
      <c r="AE594" s="1374"/>
      <c r="AG594" s="257" t="s">
        <v>663</v>
      </c>
      <c r="AS594" s="716" t="s">
        <v>1048</v>
      </c>
    </row>
    <row r="595" spans="1:46" ht="13.5" thickBot="1">
      <c r="A595" s="885"/>
      <c r="B595" s="868" t="s">
        <v>601</v>
      </c>
      <c r="C595" s="194" t="s">
        <v>610</v>
      </c>
      <c r="D595" s="206"/>
      <c r="E595" s="207"/>
      <c r="F595" s="209"/>
      <c r="G595" s="206"/>
      <c r="H595" s="206"/>
      <c r="I595" s="207"/>
      <c r="J595" s="209"/>
      <c r="K595" s="206"/>
      <c r="L595" s="206"/>
      <c r="M595" s="207"/>
      <c r="N595" s="277"/>
      <c r="O595" s="278">
        <f>(O608-J608)/5/$C$708/Spend!O595*'State Efficiency Ratios (2014)'!$C$655</f>
        <v>11.179750607007517</v>
      </c>
      <c r="P595" s="278"/>
      <c r="Q595" s="279"/>
      <c r="R595" s="277"/>
      <c r="S595" s="278"/>
      <c r="T595" s="278"/>
      <c r="U595" s="278">
        <f>(U608-O608)/6/$C$708/Spend!U595*'State Efficiency Ratios (2014)'!$C$655</f>
        <v>0</v>
      </c>
      <c r="V595" s="277"/>
      <c r="W595" s="278"/>
      <c r="X595" s="278"/>
      <c r="Y595" s="278">
        <f>(Y608-U608)/4/(SUM($C$708:$C$711))/Spend!Y595*'State Efficiency Ratios (2014)'!$C$655</f>
        <v>360.75529592815172</v>
      </c>
      <c r="Z595" s="277"/>
      <c r="AA595" s="278"/>
      <c r="AB595" s="278"/>
      <c r="AC595" s="278">
        <f>(AC608-Y608)/4/(SUM($C$708:$C$711))/Spend!AC595*'State Efficiency Ratios (2014)'!$C$655</f>
        <v>83.236979404083229</v>
      </c>
      <c r="AD595" s="208"/>
      <c r="AE595" s="213"/>
      <c r="AG595" s="410"/>
      <c r="AM595" s="354"/>
      <c r="AS595" s="717">
        <f>(O608-J608)/7/$C$673/Spend!O595*'State Efficiency Ratios (2014)'!$C$655</f>
        <v>15.971072295725024</v>
      </c>
    </row>
    <row r="596" spans="1:46" ht="13.5" thickBot="1">
      <c r="A596" s="885"/>
      <c r="B596" s="885"/>
      <c r="C596" s="194" t="s">
        <v>611</v>
      </c>
      <c r="D596" s="206"/>
      <c r="E596" s="207"/>
      <c r="F596" s="209"/>
      <c r="G596" s="206"/>
      <c r="H596" s="206"/>
      <c r="I596" s="207"/>
      <c r="J596" s="209"/>
      <c r="K596" s="206"/>
      <c r="L596" s="206"/>
      <c r="M596" s="207"/>
      <c r="N596" s="277"/>
      <c r="O596" s="278">
        <f>(O609-J609)/5/$C$708/Spend!O596*'State Efficiency Ratios (2014)'!$C$655</f>
        <v>11.491565922971217</v>
      </c>
      <c r="P596" s="278"/>
      <c r="Q596" s="279"/>
      <c r="R596" s="277"/>
      <c r="S596" s="278"/>
      <c r="T596" s="278"/>
      <c r="U596" s="278">
        <f>(U609-O609)/6/$C$708/Spend!U596*'State Efficiency Ratios (2014)'!$C$655</f>
        <v>-61.921631667237364</v>
      </c>
      <c r="V596" s="277"/>
      <c r="W596" s="278"/>
      <c r="X596" s="278"/>
      <c r="Y596" s="278">
        <f>(Y609-U609)/4/(SUM($C$708:$C$711))/Spend!Y596*'State Efficiency Ratios (2014)'!$C$655</f>
        <v>309.08765804917698</v>
      </c>
      <c r="Z596" s="277"/>
      <c r="AA596" s="278"/>
      <c r="AB596" s="278"/>
      <c r="AC596" s="278">
        <f>(AC609-Y609)/4/(SUM($C$708:$C$711))/Spend!AC596*'State Efficiency Ratios (2014)'!$C$655</f>
        <v>689.15474158854931</v>
      </c>
      <c r="AD596" s="208"/>
      <c r="AE596" s="213"/>
      <c r="AG596" s="410" t="s">
        <v>1091</v>
      </c>
      <c r="AM596" s="378"/>
      <c r="AS596" s="719">
        <f>(O609-J609)/7/$C$673/Spend!O596*'State Efficiency Ratios (2014)'!$C$655</f>
        <v>16.416522747101737</v>
      </c>
    </row>
    <row r="597" spans="1:46" ht="13.5" thickBot="1">
      <c r="A597" s="885"/>
      <c r="B597" s="885"/>
      <c r="C597" s="194" t="s">
        <v>612</v>
      </c>
      <c r="D597" s="206"/>
      <c r="E597" s="207"/>
      <c r="F597" s="209"/>
      <c r="G597" s="206"/>
      <c r="H597" s="206"/>
      <c r="I597" s="207"/>
      <c r="J597" s="209"/>
      <c r="K597" s="206"/>
      <c r="L597" s="206"/>
      <c r="M597" s="207"/>
      <c r="N597" s="277"/>
      <c r="O597" s="278">
        <f>(O610-J610)/5/$C$708/Spend!O597*'State Efficiency Ratios (2014)'!$C$655</f>
        <v>23.107544099574625</v>
      </c>
      <c r="P597" s="278"/>
      <c r="Q597" s="279"/>
      <c r="R597" s="277"/>
      <c r="S597" s="278"/>
      <c r="T597" s="278"/>
      <c r="U597" s="278">
        <f>(U610-O610)/6/$C$708/Spend!U597*'State Efficiency Ratios (2014)'!$C$655</f>
        <v>50.344767696102089</v>
      </c>
      <c r="V597" s="277"/>
      <c r="W597" s="278"/>
      <c r="X597" s="278"/>
      <c r="Y597" s="278">
        <f>(Y610-U610)/4/(SUM($C$708:$C$711))/Spend!Y597*'State Efficiency Ratios (2014)'!$C$655</f>
        <v>259.06276133897086</v>
      </c>
      <c r="Z597" s="277"/>
      <c r="AA597" s="278"/>
      <c r="AB597" s="278"/>
      <c r="AC597" s="278">
        <f>(AC610-Y610)/4/(SUM($C$708:$C$711))/Spend!AC597*'State Efficiency Ratios (2014)'!$C$655</f>
        <v>142.85207133032731</v>
      </c>
      <c r="AD597" s="208"/>
      <c r="AE597" s="213"/>
      <c r="AG597" s="410" t="s">
        <v>1086</v>
      </c>
      <c r="AS597" s="719">
        <f>(O610-J610)/7/$C$673/Spend!O597*'State Efficiency Ratios (2014)'!$C$655</f>
        <v>33.010777285106606</v>
      </c>
    </row>
    <row r="598" spans="1:46" ht="13.5" thickBot="1">
      <c r="A598" s="885"/>
      <c r="B598" s="885"/>
      <c r="C598" s="194" t="s">
        <v>613</v>
      </c>
      <c r="D598" s="206"/>
      <c r="E598" s="207"/>
      <c r="F598" s="209"/>
      <c r="G598" s="206"/>
      <c r="H598" s="206"/>
      <c r="I598" s="207"/>
      <c r="J598" s="209"/>
      <c r="K598" s="206"/>
      <c r="L598" s="206"/>
      <c r="M598" s="207"/>
      <c r="N598" s="277"/>
      <c r="O598" s="278">
        <f>(O611-J611)/5/$C$708/Spend!O598*'State Efficiency Ratios (2014)'!$C$655</f>
        <v>55.986821047485208</v>
      </c>
      <c r="P598" s="278"/>
      <c r="Q598" s="279"/>
      <c r="R598" s="277"/>
      <c r="S598" s="278"/>
      <c r="T598" s="278"/>
      <c r="U598" s="278">
        <f>(U611-O611)/6/$C$708/Spend!U598*'State Efficiency Ratios (2014)'!$C$655</f>
        <v>0</v>
      </c>
      <c r="V598" s="277"/>
      <c r="W598" s="278"/>
      <c r="X598" s="278"/>
      <c r="Y598" s="278">
        <f>(Y611-U611)/4/(SUM($C$708:$C$711))/Spend!Y598*'State Efficiency Ratios (2014)'!$C$655</f>
        <v>412.82993413720652</v>
      </c>
      <c r="Z598" s="277"/>
      <c r="AA598" s="278"/>
      <c r="AB598" s="278"/>
      <c r="AC598" s="278">
        <f>(AC611-Y611)/4/(SUM($C$708:$C$711))/Spend!AC598*'State Efficiency Ratios (2014)'!$C$655</f>
        <v>443.41004290796639</v>
      </c>
      <c r="AD598" s="208"/>
      <c r="AE598" s="213"/>
      <c r="AG598" s="410" t="s">
        <v>1090</v>
      </c>
      <c r="AI598" s="4" t="s">
        <v>1054</v>
      </c>
      <c r="AM598" s="354"/>
      <c r="AS598" s="719">
        <f>(O611-J611)/7/$C$673/Spend!O598*'State Efficiency Ratios (2014)'!$C$655</f>
        <v>79.981172924978864</v>
      </c>
      <c r="AT598" s="714" t="s">
        <v>1070</v>
      </c>
    </row>
    <row r="599" spans="1:46" ht="13.5" thickBot="1">
      <c r="A599" s="885"/>
      <c r="B599" s="885"/>
      <c r="C599" s="194" t="s">
        <v>614</v>
      </c>
      <c r="D599" s="206"/>
      <c r="E599" s="207"/>
      <c r="F599" s="209"/>
      <c r="G599" s="206"/>
      <c r="H599" s="206"/>
      <c r="I599" s="207"/>
      <c r="J599" s="209"/>
      <c r="K599" s="206"/>
      <c r="L599" s="206"/>
      <c r="M599" s="207"/>
      <c r="N599" s="277"/>
      <c r="O599" s="278">
        <f>(O612-J612)/5/$C$708/Spend!O599*'State Efficiency Ratios (2014)'!$C$655</f>
        <v>34.301121374442609</v>
      </c>
      <c r="P599" s="278"/>
      <c r="Q599" s="279"/>
      <c r="R599" s="277"/>
      <c r="S599" s="278"/>
      <c r="T599" s="278"/>
      <c r="U599" s="278">
        <f>(U612-O612)/6/$C$708/Spend!U599*'State Efficiency Ratios (2014)'!$C$655</f>
        <v>-68.373270155703494</v>
      </c>
      <c r="V599" s="277"/>
      <c r="W599" s="278"/>
      <c r="X599" s="278"/>
      <c r="Y599" s="278">
        <f>(Y612-U612)/4/(SUM($C$708:$C$711))/Spend!Y599*'State Efficiency Ratios (2014)'!$C$655</f>
        <v>463.01807995649966</v>
      </c>
      <c r="Z599" s="277"/>
      <c r="AA599" s="278"/>
      <c r="AB599" s="278"/>
      <c r="AC599" s="278">
        <f>(AC612-Y612)/4/(SUM($C$708:$C$711))/Spend!AC599*'State Efficiency Ratios (2014)'!$C$655</f>
        <v>617.70702981478257</v>
      </c>
      <c r="AD599" s="208"/>
      <c r="AE599" s="213"/>
      <c r="AG599" s="410" t="s">
        <v>1092</v>
      </c>
      <c r="AH599" s="355" t="s">
        <v>1052</v>
      </c>
      <c r="AI599" s="600">
        <f>SUM(AI608:AI612)/5</f>
        <v>2.4</v>
      </c>
      <c r="AJ599" s="601">
        <f>SUM(AJ608:AJ615)/8</f>
        <v>-0.125</v>
      </c>
      <c r="AK599" s="601">
        <f t="shared" ref="AK599" si="119">SUM(AK608:AK615)/8</f>
        <v>7.375</v>
      </c>
      <c r="AL599" s="602">
        <f>SUM(AL608:AL615)/8</f>
        <v>7.125</v>
      </c>
      <c r="AM599" s="378"/>
      <c r="AS599" s="719">
        <f>(O612-J612)/7/$C$673/Spend!O599*'State Efficiency Ratios (2014)'!$C$655</f>
        <v>49.001601963489442</v>
      </c>
      <c r="AT599" s="721">
        <f>SUM(AS595:AS599)/5</f>
        <v>38.876229443280337</v>
      </c>
    </row>
    <row r="600" spans="1:46" ht="12.95" customHeight="1" thickBot="1">
      <c r="A600" s="885"/>
      <c r="B600" s="885"/>
      <c r="C600" s="194" t="s">
        <v>615</v>
      </c>
      <c r="D600" s="210"/>
      <c r="E600" s="211"/>
      <c r="F600" s="209"/>
      <c r="G600" s="210"/>
      <c r="H600" s="210"/>
      <c r="I600" s="211"/>
      <c r="J600" s="209"/>
      <c r="K600" s="210"/>
      <c r="L600" s="210"/>
      <c r="M600" s="211"/>
      <c r="N600" s="281"/>
      <c r="O600" s="282"/>
      <c r="P600" s="282"/>
      <c r="Q600" s="282"/>
      <c r="R600" s="277"/>
      <c r="S600" s="278"/>
      <c r="T600" s="278"/>
      <c r="U600" s="278">
        <f>(U613-R613)/3/$C$708/Spend!U600*'State Efficiency Ratios (2014)'!$C$655</f>
        <v>230.90122615897815</v>
      </c>
      <c r="V600" s="277"/>
      <c r="W600" s="278"/>
      <c r="X600" s="278"/>
      <c r="Y600" s="278">
        <f>(Y613-U613)/4/(SUM($C$708:$C$711))/Spend!Y600*'State Efficiency Ratios (2014)'!$C$655</f>
        <v>155.96694308879512</v>
      </c>
      <c r="Z600" s="277"/>
      <c r="AA600" s="278"/>
      <c r="AB600" s="278"/>
      <c r="AC600" s="278">
        <f>(AC613-Y613)/4/(SUM($C$708:$C$711))/Spend!AC600*'State Efficiency Ratios (2014)'!$C$655</f>
        <v>160.04235597577244</v>
      </c>
      <c r="AD600" s="208"/>
      <c r="AE600" s="213"/>
      <c r="AG600" s="410"/>
      <c r="AH600" s="355" t="s">
        <v>1051</v>
      </c>
      <c r="AI600" s="606">
        <f>SUM(O595:O599)/5</f>
        <v>27.213360610296235</v>
      </c>
      <c r="AJ600" s="607">
        <f>SUM(U595:U599)/5</f>
        <v>-15.990026825367755</v>
      </c>
      <c r="AK600" s="607">
        <f>SUM(Y595:Y602)/8</f>
        <v>277.39497117805541</v>
      </c>
      <c r="AL600" s="608">
        <f>SUM(AC595:AC602)/8</f>
        <v>488.39271339143994</v>
      </c>
      <c r="AS600" s="719">
        <f>(Y613-R613)/7/$C$673/(Spend!U600+Spend!Y600)*'State Efficiency Ratios (2014)'!$C$655</f>
        <v>375.13497698500652</v>
      </c>
    </row>
    <row r="601" spans="1:46" ht="12.95" customHeight="1" thickBot="1">
      <c r="A601" s="885"/>
      <c r="B601" s="885"/>
      <c r="C601" s="194" t="s">
        <v>616</v>
      </c>
      <c r="D601" s="210"/>
      <c r="E601" s="211"/>
      <c r="F601" s="209"/>
      <c r="G601" s="210"/>
      <c r="H601" s="210"/>
      <c r="I601" s="211"/>
      <c r="J601" s="209"/>
      <c r="K601" s="210"/>
      <c r="L601" s="210"/>
      <c r="M601" s="211"/>
      <c r="N601" s="281"/>
      <c r="O601" s="282"/>
      <c r="P601" s="282"/>
      <c r="Q601" s="282"/>
      <c r="R601" s="277"/>
      <c r="S601" s="278"/>
      <c r="T601" s="278"/>
      <c r="U601" s="278">
        <f>(U614-R614)/3/$C$708/Spend!U601*'State Efficiency Ratios (2014)'!$C$655</f>
        <v>0</v>
      </c>
      <c r="V601" s="277"/>
      <c r="W601" s="278"/>
      <c r="X601" s="278"/>
      <c r="Y601" s="278">
        <f>(Y614-U614)/4/(SUM($C$708:$C$711))/Spend!Y601*'State Efficiency Ratios (2014)'!$C$655</f>
        <v>154.31170160071795</v>
      </c>
      <c r="Z601" s="277"/>
      <c r="AA601" s="278"/>
      <c r="AB601" s="278"/>
      <c r="AC601" s="278">
        <f>(AC614-Y614)/4/(SUM($C$708:$C$711))/Spend!AC601*'State Efficiency Ratios (2014)'!$C$655</f>
        <v>865.5288792962051</v>
      </c>
      <c r="AD601" s="208"/>
      <c r="AE601" s="213"/>
      <c r="AG601" s="410" t="s">
        <v>1084</v>
      </c>
      <c r="AL601" s="378"/>
      <c r="AS601" s="719">
        <f>(Y614-R614)/7/$C$673/(Spend!U601+Spend!Y601)*'State Efficiency Ratios (2014)'!$C$655</f>
        <v>280.82022801181944</v>
      </c>
      <c r="AT601" s="714" t="s">
        <v>1071</v>
      </c>
    </row>
    <row r="602" spans="1:46" ht="12.95" customHeight="1" thickBot="1">
      <c r="A602" s="885"/>
      <c r="B602" s="885"/>
      <c r="C602" s="194" t="s">
        <v>617</v>
      </c>
      <c r="D602" s="210"/>
      <c r="E602" s="211"/>
      <c r="F602" s="209"/>
      <c r="G602" s="210"/>
      <c r="H602" s="210"/>
      <c r="I602" s="211"/>
      <c r="J602" s="209"/>
      <c r="K602" s="210"/>
      <c r="L602" s="210"/>
      <c r="M602" s="211"/>
      <c r="N602" s="281"/>
      <c r="O602" s="282"/>
      <c r="P602" s="282"/>
      <c r="Q602" s="282"/>
      <c r="R602" s="277"/>
      <c r="S602" s="278"/>
      <c r="T602" s="278"/>
      <c r="U602" s="278">
        <f>(U615-R615)/3/$C$708/Spend!U602*'State Efficiency Ratios (2014)'!$C$655</f>
        <v>0</v>
      </c>
      <c r="V602" s="277"/>
      <c r="W602" s="278"/>
      <c r="X602" s="278"/>
      <c r="Y602" s="278">
        <f>(Y615-U615)/4/(SUM($C$708:$C$711))/Spend!Y602*'State Efficiency Ratios (2014)'!$C$655</f>
        <v>104.12739532492436</v>
      </c>
      <c r="Z602" s="277"/>
      <c r="AA602" s="278"/>
      <c r="AB602" s="278"/>
      <c r="AC602" s="278">
        <f>(AC615-Y615)/4/(SUM($C$708:$C$711))/Spend!AC602*'State Efficiency Ratios (2014)'!$C$655</f>
        <v>905.20960681383292</v>
      </c>
      <c r="AD602" s="208"/>
      <c r="AE602" s="213"/>
      <c r="AG602" s="410" t="s">
        <v>1093</v>
      </c>
      <c r="AI602" s="4" t="s">
        <v>1055</v>
      </c>
      <c r="AS602" s="722">
        <f>(Y615-R615)/7/$C$673/(Spend!U602+Spend!Y602)*'State Efficiency Ratios (2014)'!$C$655</f>
        <v>173.09275159831748</v>
      </c>
      <c r="AT602" s="721">
        <f>SUM(AS600:AS602)/3</f>
        <v>276.34931886504779</v>
      </c>
    </row>
    <row r="603" spans="1:46" ht="12.95" customHeight="1" thickBot="1">
      <c r="A603" s="885"/>
      <c r="B603" s="885"/>
      <c r="C603" s="194" t="s">
        <v>618</v>
      </c>
      <c r="D603" s="210"/>
      <c r="E603" s="211"/>
      <c r="F603" s="209"/>
      <c r="G603" s="210"/>
      <c r="H603" s="210"/>
      <c r="I603" s="211"/>
      <c r="J603" s="209"/>
      <c r="K603" s="210"/>
      <c r="L603" s="210"/>
      <c r="M603" s="211"/>
      <c r="N603" s="281"/>
      <c r="O603" s="282"/>
      <c r="P603" s="282"/>
      <c r="Q603" s="283"/>
      <c r="R603" s="281"/>
      <c r="S603" s="282"/>
      <c r="T603" s="282"/>
      <c r="U603" s="283"/>
      <c r="V603" s="281"/>
      <c r="W603" s="282"/>
      <c r="X603" s="282"/>
      <c r="Y603" s="283"/>
      <c r="Z603" s="277"/>
      <c r="AA603" s="278"/>
      <c r="AB603" s="278"/>
      <c r="AC603" s="278">
        <f>(AC616-Y616)/4/(SUM($C$708:$C$711))/Spend!AC603*'State Efficiency Ratios (2014)'!$C$655</f>
        <v>0</v>
      </c>
      <c r="AD603" s="208"/>
      <c r="AE603" s="213"/>
      <c r="AG603" s="295"/>
      <c r="AH603" s="355" t="s">
        <v>1052</v>
      </c>
      <c r="AI603" s="618">
        <f>(SUM(AI608:AI612)+SUM(AI618:AI619))/7</f>
        <v>1.7142857142857142</v>
      </c>
      <c r="AJ603" s="619">
        <f>SUM(AJ608:AJ619)/10</f>
        <v>0.7</v>
      </c>
      <c r="AK603" s="619">
        <f>SUM(AK608:AK619)/10</f>
        <v>9</v>
      </c>
      <c r="AL603" s="620">
        <f>SUM(AL608:AL619)/10</f>
        <v>10.199999999999999</v>
      </c>
    </row>
    <row r="604" spans="1:46" ht="12.95" customHeight="1" thickBot="1">
      <c r="A604" s="885"/>
      <c r="B604" s="885"/>
      <c r="C604" s="194" t="s">
        <v>619</v>
      </c>
      <c r="D604" s="210"/>
      <c r="E604" s="211"/>
      <c r="F604" s="209"/>
      <c r="G604" s="210"/>
      <c r="H604" s="210"/>
      <c r="I604" s="211"/>
      <c r="J604" s="209"/>
      <c r="K604" s="210"/>
      <c r="L604" s="210"/>
      <c r="M604" s="211"/>
      <c r="N604" s="281"/>
      <c r="O604" s="282"/>
      <c r="P604" s="282"/>
      <c r="Q604" s="283"/>
      <c r="R604" s="281"/>
      <c r="S604" s="282"/>
      <c r="T604" s="282"/>
      <c r="U604" s="283"/>
      <c r="V604" s="281"/>
      <c r="W604" s="282"/>
      <c r="X604" s="282"/>
      <c r="Y604" s="283"/>
      <c r="Z604" s="277"/>
      <c r="AA604" s="278"/>
      <c r="AB604" s="278"/>
      <c r="AC604" s="278">
        <f>(AC617-Y617)/4/(SUM($C$708:$C$711))/Spend!AC604*'State Efficiency Ratios (2014)'!$C$655</f>
        <v>0</v>
      </c>
      <c r="AD604" s="208"/>
      <c r="AE604" s="213"/>
      <c r="AG604" s="295"/>
      <c r="AH604" s="355" t="s">
        <v>1051</v>
      </c>
      <c r="AI604" s="606">
        <f>(SUM(O595:O599)+O605)/7</f>
        <v>19.438114721640169</v>
      </c>
      <c r="AJ604" s="607">
        <f>(SUM(U595:U602)+U605)/7</f>
        <v>29.248633223220015</v>
      </c>
      <c r="AK604" s="607">
        <f>(SUM(Y595:Y602)+Y605)/10</f>
        <v>301.49180335362115</v>
      </c>
      <c r="AL604" s="608">
        <f>(SUM(AC595:AC602)+SUM(AC605:AC606))/10</f>
        <v>756.31439855682697</v>
      </c>
    </row>
    <row r="605" spans="1:46" ht="13.5" thickBot="1">
      <c r="A605" s="885"/>
      <c r="B605" s="885"/>
      <c r="C605" s="194" t="s">
        <v>620</v>
      </c>
      <c r="D605" s="206"/>
      <c r="E605" s="207"/>
      <c r="F605" s="209"/>
      <c r="G605" s="206"/>
      <c r="H605" s="206"/>
      <c r="I605" s="207"/>
      <c r="J605" s="209"/>
      <c r="K605" s="206"/>
      <c r="L605" s="206"/>
      <c r="M605" s="207"/>
      <c r="N605" s="277"/>
      <c r="O605" s="278">
        <f>(O618-J618)/5/$C$708/Spend!O605*'State Efficiency Ratios (2014)'!$C$655</f>
        <v>0</v>
      </c>
      <c r="P605" s="278"/>
      <c r="Q605" s="279"/>
      <c r="R605" s="277"/>
      <c r="S605" s="278"/>
      <c r="T605" s="278"/>
      <c r="U605" s="278">
        <f>(U618-O618)/6/$C$708/Spend!U605*'State Efficiency Ratios (2014)'!$C$655</f>
        <v>53.789340530400729</v>
      </c>
      <c r="V605" s="277"/>
      <c r="W605" s="278"/>
      <c r="X605" s="278"/>
      <c r="Y605" s="278">
        <f>(Y618-U618)/4/(SUM($C$708:$C$711))/Spend!Y605*'State Efficiency Ratios (2014)'!$C$655</f>
        <v>795.7582641117682</v>
      </c>
      <c r="Z605" s="277"/>
      <c r="AA605" s="278"/>
      <c r="AB605" s="278"/>
      <c r="AC605" s="278">
        <f>(AC618-Y618)/4/(SUM($C$708:$C$711))/Spend!AC605*'State Efficiency Ratios (2014)'!$C$655</f>
        <v>1628.0761100255804</v>
      </c>
      <c r="AD605" s="208"/>
      <c r="AE605" s="213"/>
      <c r="AG605" s="410" t="s">
        <v>1094</v>
      </c>
      <c r="AL605" s="378"/>
    </row>
    <row r="606" spans="1:46" ht="13.5" thickBot="1">
      <c r="A606" s="885"/>
      <c r="B606" s="885"/>
      <c r="C606" s="194" t="s">
        <v>645</v>
      </c>
      <c r="D606" s="206"/>
      <c r="E606" s="207"/>
      <c r="F606" s="209"/>
      <c r="G606" s="206"/>
      <c r="H606" s="206"/>
      <c r="I606" s="207"/>
      <c r="J606" s="209"/>
      <c r="K606" s="206"/>
      <c r="L606" s="206"/>
      <c r="M606" s="207"/>
      <c r="N606" s="277"/>
      <c r="O606" s="278" t="e">
        <f>(O619-J619)/5/$C$708/Spend!O606*'State Efficiency Ratios (2014)'!$C$655</f>
        <v>#DIV/0!</v>
      </c>
      <c r="P606" s="278"/>
      <c r="Q606" s="279"/>
      <c r="R606" s="277"/>
      <c r="S606" s="278"/>
      <c r="T606" s="278"/>
      <c r="U606" s="278" t="e">
        <f>(U619-O619)/6/$C$708/Spend!U606*'State Efficiency Ratios (2014)'!$C$655</f>
        <v>#DIV/0!</v>
      </c>
      <c r="V606" s="277"/>
      <c r="W606" s="278"/>
      <c r="X606" s="278"/>
      <c r="Y606" s="278">
        <f>(Y619-U619)/4/(SUM($C$708:$C$711))/Spend!Y606*'State Efficiency Ratios (2014)'!$C$655</f>
        <v>1869.8578908002992</v>
      </c>
      <c r="Z606" s="277"/>
      <c r="AA606" s="278"/>
      <c r="AB606" s="278"/>
      <c r="AC606" s="278">
        <f>(AC619-Y619)/4/(SUM($C$708:$C$711))/Spend!AC606*'State Efficiency Ratios (2014)'!$C$655</f>
        <v>2027.9261684111698</v>
      </c>
      <c r="AD606" s="208"/>
      <c r="AE606" s="213"/>
      <c r="AG606" s="410" t="s">
        <v>1095</v>
      </c>
      <c r="AI606" s="416" t="s">
        <v>1048</v>
      </c>
      <c r="AS606" s="716" t="s">
        <v>1048</v>
      </c>
    </row>
    <row r="607" spans="1:46" ht="13.5" hidden="1" thickBot="1">
      <c r="A607" s="885"/>
      <c r="B607" s="885"/>
      <c r="C607" s="194" t="s">
        <v>621</v>
      </c>
      <c r="D607" s="206"/>
      <c r="E607" s="207"/>
      <c r="F607" s="209"/>
      <c r="G607" s="206"/>
      <c r="H607" s="206"/>
      <c r="I607" s="207"/>
      <c r="J607" s="209"/>
      <c r="K607" s="206"/>
      <c r="L607" s="206"/>
      <c r="M607" s="207"/>
      <c r="N607" s="277"/>
      <c r="O607" s="278" t="e">
        <f>(O620-J620)/5/$C$708/Spend!O607*'State Efficiency Ratios (2014)'!$C$655</f>
        <v>#DIV/0!</v>
      </c>
      <c r="P607" s="278"/>
      <c r="Q607" s="279"/>
      <c r="R607" s="277"/>
      <c r="S607" s="278"/>
      <c r="T607" s="278"/>
      <c r="U607" s="278" t="e">
        <f>(U620-O620)/6/$C$708/Spend!U607*'State Efficiency Ratios (2014)'!$C$655</f>
        <v>#DIV/0!</v>
      </c>
      <c r="V607" s="277"/>
      <c r="W607" s="278"/>
      <c r="X607" s="278"/>
      <c r="Y607" s="278" t="e">
        <f>(Y620-U620)/4/$C$708/Spend!Y607*'State Efficiency Ratios (2014)'!$C$655</f>
        <v>#DIV/0!</v>
      </c>
      <c r="Z607" s="277"/>
      <c r="AA607" s="278"/>
      <c r="AB607" s="278"/>
      <c r="AC607" s="278">
        <f>(AC620-Y620)/4/$C$708/Spend!AC597*'State Efficiency Ratios (2014)'!$C$655</f>
        <v>0</v>
      </c>
      <c r="AD607" s="208"/>
      <c r="AE607" s="213"/>
    </row>
    <row r="608" spans="1:46" ht="12.95" customHeight="1" thickBot="1">
      <c r="A608" s="885"/>
      <c r="B608" s="885"/>
      <c r="C608" s="9" t="s">
        <v>295</v>
      </c>
      <c r="D608" s="241" t="s">
        <v>632</v>
      </c>
      <c r="E608" s="241" t="s">
        <v>632</v>
      </c>
      <c r="F608" s="243" t="s">
        <v>646</v>
      </c>
      <c r="G608" s="241" t="s">
        <v>646</v>
      </c>
      <c r="H608" s="241" t="s">
        <v>646</v>
      </c>
      <c r="I608" s="244" t="s">
        <v>646</v>
      </c>
      <c r="J608" s="195">
        <f>'State DisAgg LFx10 (2014)'!D593</f>
        <v>0</v>
      </c>
      <c r="K608" s="196"/>
      <c r="L608" s="196"/>
      <c r="M608" s="197"/>
      <c r="N608" s="195"/>
      <c r="O608" s="196">
        <f>'State DisAgg LFx10 (2014)'!H593</f>
        <v>1</v>
      </c>
      <c r="P608" s="196"/>
      <c r="Q608" s="197"/>
      <c r="R608" s="195"/>
      <c r="S608" s="196"/>
      <c r="T608" s="196"/>
      <c r="U608" s="197">
        <f>'State DisAgg LFx10 (2014)'!L605</f>
        <v>1</v>
      </c>
      <c r="V608" s="195"/>
      <c r="W608" s="196"/>
      <c r="X608" s="196"/>
      <c r="Y608" s="197">
        <f>SUM('State DisAgg LFx10 (2014)'!P605:S605)</f>
        <v>11</v>
      </c>
      <c r="Z608" s="195"/>
      <c r="AA608" s="196"/>
      <c r="AB608" s="196"/>
      <c r="AC608" s="197">
        <f>SUM('State DisAgg LFx10 (2014)'!T605:W605)</f>
        <v>12</v>
      </c>
      <c r="AD608" s="195"/>
      <c r="AE608" s="197"/>
      <c r="AI608" s="361">
        <f t="shared" ref="AI608:AI619" si="120">O608-J608</f>
        <v>1</v>
      </c>
      <c r="AJ608" s="362">
        <f>U608-O608</f>
        <v>0</v>
      </c>
      <c r="AK608" s="362">
        <f t="shared" ref="AK608:AK619" si="121">Y608-U608</f>
        <v>10</v>
      </c>
      <c r="AL608" s="582">
        <f t="shared" ref="AL608:AL619" si="122">AC608-Y608</f>
        <v>1</v>
      </c>
      <c r="AM608" s="378"/>
      <c r="AQ608" s="354"/>
      <c r="AS608" s="724">
        <f>(O608-J608)</f>
        <v>1</v>
      </c>
    </row>
    <row r="609" spans="1:46" ht="12.95" customHeight="1" thickBot="1">
      <c r="A609" s="885"/>
      <c r="B609" s="885"/>
      <c r="C609" s="9" t="s">
        <v>296</v>
      </c>
      <c r="D609" s="241" t="s">
        <v>632</v>
      </c>
      <c r="E609" s="241" t="s">
        <v>632</v>
      </c>
      <c r="F609" s="243" t="s">
        <v>646</v>
      </c>
      <c r="G609" s="241" t="s">
        <v>646</v>
      </c>
      <c r="H609" s="241" t="s">
        <v>646</v>
      </c>
      <c r="I609" s="244" t="s">
        <v>646</v>
      </c>
      <c r="J609" s="195">
        <f>'State DisAgg LFx10 (2014)'!D594</f>
        <v>0</v>
      </c>
      <c r="K609" s="196"/>
      <c r="L609" s="196"/>
      <c r="M609" s="197"/>
      <c r="N609" s="195"/>
      <c r="O609" s="196">
        <f>'State DisAgg LFx10 (2014)'!H594</f>
        <v>1</v>
      </c>
      <c r="P609" s="196"/>
      <c r="Q609" s="197"/>
      <c r="R609" s="195"/>
      <c r="S609" s="196"/>
      <c r="T609" s="196"/>
      <c r="U609" s="197">
        <f>'State DisAgg LFx10 (2014)'!L606</f>
        <v>0</v>
      </c>
      <c r="V609" s="195"/>
      <c r="W609" s="196"/>
      <c r="X609" s="196"/>
      <c r="Y609" s="197">
        <f>SUM('State DisAgg LFx10 (2014)'!P606:S606)</f>
        <v>8</v>
      </c>
      <c r="Z609" s="195"/>
      <c r="AA609" s="196"/>
      <c r="AB609" s="196"/>
      <c r="AC609" s="197">
        <f>SUM('State DisAgg LFx10 (2014)'!T606:W606)</f>
        <v>19</v>
      </c>
      <c r="AD609" s="195"/>
      <c r="AE609" s="197"/>
      <c r="AI609" s="364">
        <f t="shared" si="120"/>
        <v>1</v>
      </c>
      <c r="AJ609" s="360">
        <f>U609-O609</f>
        <v>-1</v>
      </c>
      <c r="AK609" s="360">
        <f t="shared" si="121"/>
        <v>8</v>
      </c>
      <c r="AL609" s="584">
        <f t="shared" si="122"/>
        <v>11</v>
      </c>
      <c r="AM609" s="378"/>
      <c r="AQ609" s="354"/>
      <c r="AS609" s="726">
        <f t="shared" ref="AS609:AS612" si="123">(O609-J609)</f>
        <v>1</v>
      </c>
    </row>
    <row r="610" spans="1:46" ht="13.5" thickBot="1">
      <c r="A610" s="885"/>
      <c r="B610" s="885"/>
      <c r="C610" s="9" t="s">
        <v>297</v>
      </c>
      <c r="D610" s="241" t="s">
        <v>632</v>
      </c>
      <c r="E610" s="241" t="s">
        <v>632</v>
      </c>
      <c r="F610" s="243" t="s">
        <v>646</v>
      </c>
      <c r="G610" s="241" t="s">
        <v>646</v>
      </c>
      <c r="H610" s="241" t="s">
        <v>646</v>
      </c>
      <c r="I610" s="244" t="s">
        <v>646</v>
      </c>
      <c r="J610" s="195">
        <f>'State DisAgg LFx10 (2014)'!D595</f>
        <v>0</v>
      </c>
      <c r="K610" s="196"/>
      <c r="L610" s="196"/>
      <c r="M610" s="197"/>
      <c r="N610" s="195"/>
      <c r="O610" s="196">
        <f>'State DisAgg LFx10 (2014)'!H595</f>
        <v>2</v>
      </c>
      <c r="P610" s="196"/>
      <c r="Q610" s="197"/>
      <c r="R610" s="195"/>
      <c r="S610" s="196"/>
      <c r="T610" s="196"/>
      <c r="U610" s="197">
        <f>'State DisAgg LFx10 (2014)'!L607</f>
        <v>4</v>
      </c>
      <c r="V610" s="195"/>
      <c r="W610" s="196"/>
      <c r="X610" s="196"/>
      <c r="Y610" s="197">
        <f>SUM('State DisAgg LFx10 (2014)'!P607:S607)</f>
        <v>11</v>
      </c>
      <c r="Z610" s="195"/>
      <c r="AA610" s="196"/>
      <c r="AB610" s="196"/>
      <c r="AC610" s="197">
        <f>SUM('State DisAgg LFx10 (2014)'!T607:W607)</f>
        <v>13</v>
      </c>
      <c r="AD610" s="195"/>
      <c r="AE610" s="197"/>
      <c r="AI610" s="364">
        <f t="shared" si="120"/>
        <v>2</v>
      </c>
      <c r="AJ610" s="360">
        <f>U610-O610</f>
        <v>2</v>
      </c>
      <c r="AK610" s="360">
        <f t="shared" si="121"/>
        <v>7</v>
      </c>
      <c r="AL610" s="584">
        <f t="shared" si="122"/>
        <v>2</v>
      </c>
      <c r="AM610" s="378"/>
      <c r="AQ610" s="354"/>
      <c r="AS610" s="726">
        <f t="shared" si="123"/>
        <v>2</v>
      </c>
    </row>
    <row r="611" spans="1:46" ht="13.5" thickBot="1">
      <c r="A611" s="885"/>
      <c r="B611" s="885"/>
      <c r="C611" s="9" t="s">
        <v>298</v>
      </c>
      <c r="D611" s="241" t="s">
        <v>632</v>
      </c>
      <c r="E611" s="241" t="s">
        <v>632</v>
      </c>
      <c r="F611" s="243" t="s">
        <v>646</v>
      </c>
      <c r="G611" s="241" t="s">
        <v>646</v>
      </c>
      <c r="H611" s="241" t="s">
        <v>646</v>
      </c>
      <c r="I611" s="244" t="s">
        <v>646</v>
      </c>
      <c r="J611" s="195">
        <f>'State DisAgg LFx10 (2014)'!D596</f>
        <v>0</v>
      </c>
      <c r="K611" s="196"/>
      <c r="L611" s="196"/>
      <c r="M611" s="197"/>
      <c r="N611" s="195"/>
      <c r="O611" s="196">
        <f>'State DisAgg LFx10 (2014)'!H596</f>
        <v>5</v>
      </c>
      <c r="P611" s="196"/>
      <c r="Q611" s="197"/>
      <c r="R611" s="195"/>
      <c r="S611" s="196"/>
      <c r="T611" s="196"/>
      <c r="U611" s="197">
        <f>'State DisAgg LFx10 (2014)'!L608</f>
        <v>5</v>
      </c>
      <c r="V611" s="195"/>
      <c r="W611" s="196"/>
      <c r="X611" s="196"/>
      <c r="Y611" s="197">
        <f>SUM('State DisAgg LFx10 (2014)'!P608:S608)</f>
        <v>16</v>
      </c>
      <c r="Z611" s="195"/>
      <c r="AA611" s="196"/>
      <c r="AB611" s="196"/>
      <c r="AC611" s="197">
        <f>SUM('State DisAgg LFx10 (2014)'!T608:W608)</f>
        <v>23</v>
      </c>
      <c r="AD611" s="195"/>
      <c r="AE611" s="197"/>
      <c r="AI611" s="364">
        <f t="shared" si="120"/>
        <v>5</v>
      </c>
      <c r="AJ611" s="360">
        <f>U611-O611</f>
        <v>0</v>
      </c>
      <c r="AK611" s="360">
        <f t="shared" si="121"/>
        <v>11</v>
      </c>
      <c r="AL611" s="584">
        <f t="shared" si="122"/>
        <v>7</v>
      </c>
      <c r="AM611" s="378"/>
      <c r="AQ611" s="354"/>
      <c r="AS611" s="726">
        <f t="shared" si="123"/>
        <v>5</v>
      </c>
      <c r="AT611" s="714" t="s">
        <v>1070</v>
      </c>
    </row>
    <row r="612" spans="1:46" ht="13.5" thickBot="1">
      <c r="A612" s="885"/>
      <c r="B612" s="885"/>
      <c r="C612" s="9" t="s">
        <v>299</v>
      </c>
      <c r="D612" s="241" t="s">
        <v>632</v>
      </c>
      <c r="E612" s="241" t="s">
        <v>632</v>
      </c>
      <c r="F612" s="243" t="s">
        <v>646</v>
      </c>
      <c r="G612" s="241" t="s">
        <v>646</v>
      </c>
      <c r="H612" s="241" t="s">
        <v>646</v>
      </c>
      <c r="I612" s="244" t="s">
        <v>646</v>
      </c>
      <c r="J612" s="195">
        <f>'State DisAgg LFx10 (2014)'!D597</f>
        <v>2</v>
      </c>
      <c r="K612" s="196"/>
      <c r="L612" s="196"/>
      <c r="M612" s="197"/>
      <c r="N612" s="195"/>
      <c r="O612" s="196">
        <f>'State DisAgg LFx10 (2014)'!H597</f>
        <v>5</v>
      </c>
      <c r="P612" s="196"/>
      <c r="Q612" s="197"/>
      <c r="R612" s="195"/>
      <c r="S612" s="196"/>
      <c r="T612" s="196"/>
      <c r="U612" s="197">
        <f>'State DisAgg LFx10 (2014)'!L609</f>
        <v>2</v>
      </c>
      <c r="V612" s="195"/>
      <c r="W612" s="196"/>
      <c r="X612" s="196"/>
      <c r="Y612" s="197">
        <f>SUM('State DisAgg LFx10 (2014)'!P609:S609)</f>
        <v>17</v>
      </c>
      <c r="Z612" s="195"/>
      <c r="AA612" s="196"/>
      <c r="AB612" s="196"/>
      <c r="AC612" s="197">
        <f>SUM('State DisAgg LFx10 (2014)'!T609:W609)</f>
        <v>25</v>
      </c>
      <c r="AD612" s="195"/>
      <c r="AE612" s="197"/>
      <c r="AI612" s="364">
        <f t="shared" si="120"/>
        <v>3</v>
      </c>
      <c r="AJ612" s="360">
        <f>U612-O612</f>
        <v>-3</v>
      </c>
      <c r="AK612" s="360">
        <f t="shared" si="121"/>
        <v>15</v>
      </c>
      <c r="AL612" s="584">
        <f t="shared" si="122"/>
        <v>8</v>
      </c>
      <c r="AM612" s="378"/>
      <c r="AQ612" s="354"/>
      <c r="AS612" s="726">
        <f t="shared" si="123"/>
        <v>3</v>
      </c>
      <c r="AT612" s="728">
        <f>SUM(AS608:AS612)/5</f>
        <v>2.4</v>
      </c>
    </row>
    <row r="613" spans="1:46" ht="13.5" thickBot="1">
      <c r="A613" s="885"/>
      <c r="B613" s="885"/>
      <c r="C613" s="9" t="s">
        <v>300</v>
      </c>
      <c r="D613" s="199"/>
      <c r="E613" s="200"/>
      <c r="F613" s="201"/>
      <c r="G613" s="199"/>
      <c r="H613" s="199"/>
      <c r="I613" s="200"/>
      <c r="J613" s="201"/>
      <c r="K613" s="199"/>
      <c r="L613" s="199"/>
      <c r="M613" s="200"/>
      <c r="N613" s="198"/>
      <c r="O613" s="217" t="s">
        <v>634</v>
      </c>
      <c r="P613" s="241" t="s">
        <v>632</v>
      </c>
      <c r="Q613" s="244" t="s">
        <v>646</v>
      </c>
      <c r="R613" s="195">
        <f>'State DisAgg LFx10 (2014)'!H598</f>
        <v>0</v>
      </c>
      <c r="S613" s="196"/>
      <c r="T613" s="196"/>
      <c r="U613" s="197">
        <f>'State DisAgg LFx10 (2014)'!L610</f>
        <v>1</v>
      </c>
      <c r="V613" s="195"/>
      <c r="W613" s="196"/>
      <c r="X613" s="196"/>
      <c r="Y613" s="197">
        <f>SUM('State DisAgg LFx10 (2014)'!P610:S610)</f>
        <v>4</v>
      </c>
      <c r="Z613" s="195"/>
      <c r="AA613" s="196"/>
      <c r="AB613" s="196"/>
      <c r="AC613" s="197">
        <f>SUM('State DisAgg LFx10 (2014)'!T610:W610)</f>
        <v>6</v>
      </c>
      <c r="AD613" s="195"/>
      <c r="AE613" s="197"/>
      <c r="AI613" s="364">
        <v>0</v>
      </c>
      <c r="AJ613" s="360">
        <f>U613-R613</f>
        <v>1</v>
      </c>
      <c r="AK613" s="360">
        <f t="shared" si="121"/>
        <v>3</v>
      </c>
      <c r="AL613" s="584">
        <f t="shared" si="122"/>
        <v>2</v>
      </c>
      <c r="AM613" s="378"/>
      <c r="AQ613" s="354"/>
      <c r="AS613" s="726">
        <f>(Y613-R613)</f>
        <v>4</v>
      </c>
    </row>
    <row r="614" spans="1:46" ht="13.5" thickBot="1">
      <c r="A614" s="885"/>
      <c r="B614" s="885"/>
      <c r="C614" s="9" t="s">
        <v>301</v>
      </c>
      <c r="D614" s="199"/>
      <c r="E614" s="200"/>
      <c r="F614" s="201"/>
      <c r="G614" s="199"/>
      <c r="H614" s="199"/>
      <c r="I614" s="200"/>
      <c r="J614" s="201"/>
      <c r="K614" s="199"/>
      <c r="L614" s="199"/>
      <c r="M614" s="200"/>
      <c r="N614" s="198"/>
      <c r="O614" s="217" t="s">
        <v>634</v>
      </c>
      <c r="P614" s="241" t="s">
        <v>632</v>
      </c>
      <c r="Q614" s="244" t="s">
        <v>646</v>
      </c>
      <c r="R614" s="195">
        <f>'State DisAgg LFx10 (2014)'!H599</f>
        <v>0</v>
      </c>
      <c r="S614" s="196"/>
      <c r="T614" s="196"/>
      <c r="U614" s="197">
        <f>'State DisAgg LFx10 (2014)'!L611</f>
        <v>0</v>
      </c>
      <c r="V614" s="195"/>
      <c r="W614" s="196"/>
      <c r="X614" s="196"/>
      <c r="Y614" s="197">
        <f>SUM('State DisAgg LFx10 (2014)'!P611:S611)</f>
        <v>3</v>
      </c>
      <c r="Z614" s="195"/>
      <c r="AA614" s="196"/>
      <c r="AB614" s="196"/>
      <c r="AC614" s="197">
        <f>SUM('State DisAgg LFx10 (2014)'!T611:W611)</f>
        <v>16</v>
      </c>
      <c r="AD614" s="195"/>
      <c r="AE614" s="197"/>
      <c r="AI614" s="364">
        <v>0</v>
      </c>
      <c r="AJ614" s="360">
        <f>U614-R614</f>
        <v>0</v>
      </c>
      <c r="AK614" s="360">
        <f t="shared" si="121"/>
        <v>3</v>
      </c>
      <c r="AL614" s="584">
        <f t="shared" si="122"/>
        <v>13</v>
      </c>
      <c r="AM614" s="378"/>
      <c r="AQ614" s="354"/>
      <c r="AS614" s="726">
        <f t="shared" ref="AS614:AS615" si="124">(Y614-R614)</f>
        <v>3</v>
      </c>
      <c r="AT614" s="714" t="s">
        <v>1071</v>
      </c>
    </row>
    <row r="615" spans="1:46" ht="13.5" thickBot="1">
      <c r="A615" s="885"/>
      <c r="B615" s="885"/>
      <c r="C615" s="9" t="s">
        <v>302</v>
      </c>
      <c r="D615" s="199"/>
      <c r="E615" s="200"/>
      <c r="F615" s="201"/>
      <c r="G615" s="199"/>
      <c r="H615" s="199"/>
      <c r="I615" s="200"/>
      <c r="J615" s="201"/>
      <c r="K615" s="199"/>
      <c r="L615" s="199"/>
      <c r="M615" s="200"/>
      <c r="N615" s="198"/>
      <c r="O615" s="217" t="s">
        <v>634</v>
      </c>
      <c r="P615" s="241" t="s">
        <v>632</v>
      </c>
      <c r="Q615" s="244" t="s">
        <v>646</v>
      </c>
      <c r="R615" s="195">
        <f>'State DisAgg LFx10 (2014)'!H600</f>
        <v>0</v>
      </c>
      <c r="S615" s="196"/>
      <c r="T615" s="196"/>
      <c r="U615" s="197">
        <f>'State DisAgg LFx10 (2014)'!L612</f>
        <v>0</v>
      </c>
      <c r="V615" s="195"/>
      <c r="W615" s="196"/>
      <c r="X615" s="196"/>
      <c r="Y615" s="197">
        <f>SUM('State DisAgg LFx10 (2014)'!P612:S612)</f>
        <v>2</v>
      </c>
      <c r="Z615" s="195"/>
      <c r="AA615" s="196"/>
      <c r="AB615" s="196"/>
      <c r="AC615" s="197">
        <f>SUM('State DisAgg LFx10 (2014)'!T612:W612)</f>
        <v>15</v>
      </c>
      <c r="AD615" s="195"/>
      <c r="AE615" s="197"/>
      <c r="AI615" s="364">
        <v>0</v>
      </c>
      <c r="AJ615" s="360">
        <f>U615-R615</f>
        <v>0</v>
      </c>
      <c r="AK615" s="360">
        <f t="shared" si="121"/>
        <v>2</v>
      </c>
      <c r="AL615" s="584">
        <f t="shared" si="122"/>
        <v>13</v>
      </c>
      <c r="AM615" s="378"/>
      <c r="AQ615" s="354"/>
      <c r="AS615" s="729">
        <f t="shared" si="124"/>
        <v>2</v>
      </c>
      <c r="AT615" s="728">
        <f>SUM(AS613:AS615)/3</f>
        <v>3</v>
      </c>
    </row>
    <row r="616" spans="1:46" ht="13.5" thickBot="1">
      <c r="A616" s="885"/>
      <c r="B616" s="885"/>
      <c r="C616" s="9" t="s">
        <v>303</v>
      </c>
      <c r="D616" s="202"/>
      <c r="E616" s="203"/>
      <c r="F616" s="201"/>
      <c r="G616" s="202"/>
      <c r="H616" s="202"/>
      <c r="I616" s="203"/>
      <c r="J616" s="201"/>
      <c r="K616" s="202"/>
      <c r="L616" s="202"/>
      <c r="M616" s="203"/>
      <c r="N616" s="204"/>
      <c r="O616" s="214"/>
      <c r="P616" s="205"/>
      <c r="Q616" s="205"/>
      <c r="R616" s="201"/>
      <c r="S616" s="202"/>
      <c r="T616" s="202"/>
      <c r="U616" s="203"/>
      <c r="V616" s="242"/>
      <c r="W616" s="217" t="s">
        <v>633</v>
      </c>
      <c r="X616" s="241" t="s">
        <v>632</v>
      </c>
      <c r="Y616" s="197">
        <f>SUM('State DisAgg LFx10 (2014)'!P613:S613)</f>
        <v>0</v>
      </c>
      <c r="Z616" s="195"/>
      <c r="AA616" s="196"/>
      <c r="AB616" s="196"/>
      <c r="AC616" s="197">
        <f>SUM('State DisAgg LFx10 (2014)'!T613:W613)</f>
        <v>0</v>
      </c>
      <c r="AD616" s="195"/>
      <c r="AE616" s="197"/>
      <c r="AI616" s="364">
        <f t="shared" si="120"/>
        <v>0</v>
      </c>
      <c r="AJ616" s="360">
        <f>U616-O616</f>
        <v>0</v>
      </c>
      <c r="AK616" s="360">
        <f t="shared" si="121"/>
        <v>0</v>
      </c>
      <c r="AL616" s="584">
        <f t="shared" si="122"/>
        <v>0</v>
      </c>
      <c r="AM616" s="378"/>
      <c r="AQ616" s="354"/>
    </row>
    <row r="617" spans="1:46" ht="13.5" thickBot="1">
      <c r="A617" s="885"/>
      <c r="B617" s="885"/>
      <c r="C617" s="9" t="s">
        <v>304</v>
      </c>
      <c r="D617" s="202"/>
      <c r="E617" s="203"/>
      <c r="F617" s="201"/>
      <c r="G617" s="202"/>
      <c r="H617" s="202"/>
      <c r="I617" s="203"/>
      <c r="J617" s="201"/>
      <c r="K617" s="202"/>
      <c r="L617" s="202"/>
      <c r="M617" s="203"/>
      <c r="N617" s="204"/>
      <c r="O617" s="205"/>
      <c r="P617" s="205"/>
      <c r="Q617" s="205"/>
      <c r="R617" s="201"/>
      <c r="S617" s="202"/>
      <c r="T617" s="202"/>
      <c r="U617" s="203"/>
      <c r="V617" s="242"/>
      <c r="W617" s="217" t="s">
        <v>633</v>
      </c>
      <c r="X617" s="241" t="s">
        <v>632</v>
      </c>
      <c r="Y617" s="197">
        <f>SUM('State DisAgg LFx10 (2014)'!P614:S614)</f>
        <v>0</v>
      </c>
      <c r="Z617" s="195"/>
      <c r="AA617" s="196"/>
      <c r="AB617" s="196"/>
      <c r="AC617" s="197">
        <f>SUM('State DisAgg LFx10 (2014)'!T614:W614)</f>
        <v>0</v>
      </c>
      <c r="AD617" s="195"/>
      <c r="AE617" s="197"/>
      <c r="AI617" s="588">
        <f t="shared" si="120"/>
        <v>0</v>
      </c>
      <c r="AJ617" s="589">
        <f>U617-O617</f>
        <v>0</v>
      </c>
      <c r="AK617" s="589">
        <f t="shared" si="121"/>
        <v>0</v>
      </c>
      <c r="AL617" s="590">
        <f t="shared" si="122"/>
        <v>0</v>
      </c>
      <c r="AM617" s="378"/>
      <c r="AQ617" s="354"/>
    </row>
    <row r="618" spans="1:46" ht="13.5" thickBot="1">
      <c r="A618" s="885"/>
      <c r="B618" s="885"/>
      <c r="C618" s="9" t="s">
        <v>435</v>
      </c>
      <c r="D618" s="241" t="s">
        <v>632</v>
      </c>
      <c r="E618" s="241" t="s">
        <v>632</v>
      </c>
      <c r="F618" s="243" t="s">
        <v>646</v>
      </c>
      <c r="G618" s="241" t="s">
        <v>646</v>
      </c>
      <c r="H618" s="241" t="s">
        <v>646</v>
      </c>
      <c r="I618" s="244" t="s">
        <v>646</v>
      </c>
      <c r="J618" s="195">
        <f>'State DisAgg LFx10 (2014)'!D603</f>
        <v>0</v>
      </c>
      <c r="K618" s="196"/>
      <c r="L618" s="196"/>
      <c r="M618" s="197"/>
      <c r="N618" s="195"/>
      <c r="O618" s="196">
        <f>'State DisAgg LFx10 (2014)'!H615</f>
        <v>0</v>
      </c>
      <c r="P618" s="196"/>
      <c r="Q618" s="197"/>
      <c r="R618" s="195"/>
      <c r="S618" s="196"/>
      <c r="T618" s="196"/>
      <c r="U618" s="197">
        <f>'State DisAgg LFx10 (2014)'!L615</f>
        <v>8</v>
      </c>
      <c r="V618" s="195"/>
      <c r="W618" s="196"/>
      <c r="X618" s="196"/>
      <c r="Y618" s="197">
        <f>SUM('State DisAgg LFx10 (2014)'!P615:S615)</f>
        <v>24</v>
      </c>
      <c r="Z618" s="195"/>
      <c r="AA618" s="196"/>
      <c r="AB618" s="196"/>
      <c r="AC618" s="197">
        <f>SUM('State DisAgg LFx10 (2014)'!T615:W615)</f>
        <v>42</v>
      </c>
      <c r="AD618" s="195"/>
      <c r="AE618" s="197"/>
      <c r="AI618" s="610">
        <f t="shared" si="120"/>
        <v>0</v>
      </c>
      <c r="AJ618" s="611">
        <f>U618-O618</f>
        <v>8</v>
      </c>
      <c r="AK618" s="611">
        <f t="shared" si="121"/>
        <v>16</v>
      </c>
      <c r="AL618" s="612">
        <f t="shared" si="122"/>
        <v>18</v>
      </c>
      <c r="AM618" s="378"/>
      <c r="AQ618" s="354"/>
    </row>
    <row r="619" spans="1:46" ht="13.5" thickBot="1">
      <c r="A619" s="885"/>
      <c r="B619" s="885"/>
      <c r="C619" s="9" t="s">
        <v>642</v>
      </c>
      <c r="D619" s="241" t="s">
        <v>632</v>
      </c>
      <c r="E619" s="241" t="s">
        <v>632</v>
      </c>
      <c r="F619" s="243" t="s">
        <v>646</v>
      </c>
      <c r="G619" s="241" t="s">
        <v>646</v>
      </c>
      <c r="H619" s="241" t="s">
        <v>646</v>
      </c>
      <c r="I619" s="244" t="s">
        <v>646</v>
      </c>
      <c r="J619" s="195">
        <f>'State DisAgg LFx10 (2014)'!D604</f>
        <v>0</v>
      </c>
      <c r="K619" s="196"/>
      <c r="L619" s="196"/>
      <c r="M619" s="197"/>
      <c r="N619" s="195"/>
      <c r="O619" s="196">
        <f>'State DisAgg LFx10 (2014)'!H616</f>
        <v>0</v>
      </c>
      <c r="P619" s="196"/>
      <c r="Q619" s="197"/>
      <c r="R619" s="195"/>
      <c r="S619" s="196"/>
      <c r="T619" s="196"/>
      <c r="U619" s="197">
        <f>'State DisAgg LFx10 (2014)'!L616</f>
        <v>0</v>
      </c>
      <c r="V619" s="195"/>
      <c r="W619" s="196"/>
      <c r="X619" s="196"/>
      <c r="Y619" s="197">
        <f>SUM('State DisAgg LFx10 (2014)'!P616:S616)</f>
        <v>15</v>
      </c>
      <c r="Z619" s="195"/>
      <c r="AA619" s="196"/>
      <c r="AB619" s="196"/>
      <c r="AC619" s="197">
        <f>SUM('State DisAgg LFx10 (2014)'!T616:W616)</f>
        <v>42</v>
      </c>
      <c r="AD619" s="195"/>
      <c r="AE619" s="197"/>
      <c r="AI619" s="613">
        <f t="shared" si="120"/>
        <v>0</v>
      </c>
      <c r="AJ619" s="614">
        <f>U619-O619</f>
        <v>0</v>
      </c>
      <c r="AK619" s="614">
        <f t="shared" si="121"/>
        <v>15</v>
      </c>
      <c r="AL619" s="615">
        <f t="shared" si="122"/>
        <v>27</v>
      </c>
      <c r="AM619" s="378"/>
      <c r="AQ619" s="354"/>
    </row>
    <row r="620" spans="1:46" ht="13.5" hidden="1" thickBot="1">
      <c r="A620" s="885"/>
      <c r="B620" s="885"/>
      <c r="C620" s="9" t="s">
        <v>437</v>
      </c>
      <c r="D620" s="201"/>
      <c r="E620" s="203"/>
      <c r="F620" s="201"/>
      <c r="G620" s="202"/>
      <c r="H620" s="202"/>
      <c r="I620" s="203"/>
      <c r="J620" s="201"/>
      <c r="K620" s="202"/>
      <c r="L620" s="202"/>
      <c r="M620" s="203"/>
      <c r="N620" s="204"/>
      <c r="O620" s="205"/>
      <c r="P620" s="205"/>
      <c r="Q620" s="205"/>
      <c r="R620" s="201"/>
      <c r="S620" s="202"/>
      <c r="T620" s="202"/>
      <c r="U620" s="203"/>
      <c r="V620" s="204"/>
      <c r="W620" s="205"/>
      <c r="X620" s="205"/>
      <c r="Y620" s="205"/>
      <c r="Z620" s="201"/>
      <c r="AA620" s="202"/>
      <c r="AB620" s="202"/>
      <c r="AC620" s="203"/>
      <c r="AD620" s="201"/>
      <c r="AE620" s="203"/>
    </row>
    <row r="621" spans="1:46" ht="12.95" hidden="1" customHeight="1" thickBot="1">
      <c r="A621" s="885"/>
      <c r="B621" s="885"/>
      <c r="C621" s="231"/>
      <c r="D621" s="232"/>
      <c r="E621" s="233"/>
      <c r="F621" s="234"/>
      <c r="G621" s="232"/>
      <c r="H621" s="232"/>
      <c r="I621" s="233"/>
      <c r="J621" s="234"/>
      <c r="K621" s="232"/>
      <c r="L621" s="232"/>
      <c r="M621" s="233"/>
      <c r="N621" s="234"/>
      <c r="O621" s="232"/>
      <c r="P621" s="232"/>
      <c r="Q621" s="233"/>
      <c r="R621" s="234"/>
      <c r="S621" s="232"/>
      <c r="T621" s="232"/>
      <c r="U621" s="233"/>
      <c r="V621" s="234"/>
      <c r="W621" s="232"/>
      <c r="X621" s="232"/>
      <c r="Y621" s="233"/>
      <c r="Z621" s="234"/>
      <c r="AA621" s="232"/>
      <c r="AB621" s="232"/>
      <c r="AC621" s="233"/>
      <c r="AD621" s="234"/>
      <c r="AE621" s="233"/>
    </row>
    <row r="622" spans="1:46" ht="12.95" hidden="1" customHeight="1" thickBot="1">
      <c r="A622" s="885"/>
      <c r="B622" s="869"/>
      <c r="C622" s="231"/>
      <c r="D622" s="232"/>
      <c r="E622" s="233"/>
      <c r="F622" s="234"/>
      <c r="G622" s="232"/>
      <c r="H622" s="232"/>
      <c r="I622" s="233"/>
      <c r="J622" s="234"/>
      <c r="K622" s="232"/>
      <c r="L622" s="232"/>
      <c r="M622" s="233"/>
      <c r="N622" s="234"/>
      <c r="O622" s="232"/>
      <c r="P622" s="232"/>
      <c r="Q622" s="233"/>
      <c r="R622" s="234"/>
      <c r="S622" s="232"/>
      <c r="T622" s="232"/>
      <c r="U622" s="233"/>
      <c r="V622" s="234"/>
      <c r="W622" s="232"/>
      <c r="X622" s="232"/>
      <c r="Y622" s="233"/>
      <c r="Z622" s="234"/>
      <c r="AA622" s="232"/>
      <c r="AB622" s="232"/>
      <c r="AC622" s="233"/>
      <c r="AD622" s="234"/>
      <c r="AE622" s="233"/>
    </row>
    <row r="623" spans="1:46" ht="12.95" customHeight="1" thickBot="1">
      <c r="A623" s="885"/>
      <c r="B623" s="3" t="s">
        <v>600</v>
      </c>
      <c r="C623" s="12"/>
      <c r="D623" s="1377">
        <v>2008</v>
      </c>
      <c r="E623" s="1378"/>
      <c r="F623" s="1372">
        <v>2009</v>
      </c>
      <c r="G623" s="1373"/>
      <c r="H623" s="1373"/>
      <c r="I623" s="1374"/>
      <c r="J623" s="1372">
        <v>2010</v>
      </c>
      <c r="K623" s="1373"/>
      <c r="L623" s="1373"/>
      <c r="M623" s="1374"/>
      <c r="N623" s="1372">
        <v>2011</v>
      </c>
      <c r="O623" s="1373"/>
      <c r="P623" s="1373"/>
      <c r="Q623" s="1374"/>
      <c r="R623" s="1372">
        <v>2012</v>
      </c>
      <c r="S623" s="1373"/>
      <c r="T623" s="1373"/>
      <c r="U623" s="1374"/>
      <c r="V623" s="1372">
        <v>2013</v>
      </c>
      <c r="W623" s="1373"/>
      <c r="X623" s="1373"/>
      <c r="Y623" s="1374"/>
      <c r="Z623" s="1372">
        <v>2014</v>
      </c>
      <c r="AA623" s="1373"/>
      <c r="AB623" s="1373"/>
      <c r="AC623" s="1374"/>
      <c r="AD623" s="1372">
        <v>2015</v>
      </c>
      <c r="AE623" s="1374"/>
      <c r="AG623" s="257" t="s">
        <v>663</v>
      </c>
    </row>
    <row r="624" spans="1:46" ht="13.5" thickBot="1">
      <c r="A624" s="885"/>
      <c r="B624" s="868" t="s">
        <v>647</v>
      </c>
      <c r="C624" s="194" t="s">
        <v>610</v>
      </c>
      <c r="D624" s="206"/>
      <c r="E624" s="207"/>
      <c r="F624" s="209"/>
      <c r="G624" s="206"/>
      <c r="H624" s="206"/>
      <c r="I624" s="207"/>
      <c r="J624" s="209"/>
      <c r="K624" s="206"/>
      <c r="L624" s="206"/>
      <c r="M624" s="207"/>
      <c r="N624" s="209"/>
      <c r="O624" s="206"/>
      <c r="P624" s="206"/>
      <c r="Q624" s="207"/>
      <c r="R624" s="209"/>
      <c r="S624" s="206"/>
      <c r="T624" s="206"/>
      <c r="U624" s="207"/>
      <c r="V624" s="209"/>
      <c r="W624" s="206"/>
      <c r="X624" s="206"/>
      <c r="Y624" s="207"/>
      <c r="Z624" s="281"/>
      <c r="AA624" s="278"/>
      <c r="AB624" s="278"/>
      <c r="AC624" s="278">
        <f>(AC637-Y637)/4/(SUM($C$713:$C$716))/Spend!AC624*'State Efficiency Ratios (2014)'!$C$655</f>
        <v>711.54122326865013</v>
      </c>
      <c r="AD624" s="208"/>
      <c r="AE624" s="213"/>
      <c r="AG624" s="410"/>
      <c r="AM624" s="354"/>
    </row>
    <row r="625" spans="1:43" ht="13.5" thickBot="1">
      <c r="A625" s="885"/>
      <c r="B625" s="885"/>
      <c r="C625" s="194" t="s">
        <v>611</v>
      </c>
      <c r="D625" s="206"/>
      <c r="E625" s="207"/>
      <c r="F625" s="209"/>
      <c r="G625" s="206"/>
      <c r="H625" s="206"/>
      <c r="I625" s="207"/>
      <c r="J625" s="209"/>
      <c r="K625" s="206"/>
      <c r="L625" s="206"/>
      <c r="M625" s="207"/>
      <c r="N625" s="209"/>
      <c r="O625" s="206"/>
      <c r="P625" s="206"/>
      <c r="Q625" s="207"/>
      <c r="R625" s="209"/>
      <c r="S625" s="206"/>
      <c r="T625" s="206"/>
      <c r="U625" s="207"/>
      <c r="V625" s="209"/>
      <c r="W625" s="206"/>
      <c r="X625" s="206"/>
      <c r="Y625" s="207"/>
      <c r="Z625" s="281"/>
      <c r="AA625" s="278"/>
      <c r="AB625" s="278"/>
      <c r="AC625" s="278">
        <f>(AC638-Y638)/4/(SUM($C$713:$C$716))/Spend!AC625*'State Efficiency Ratios (2014)'!$C$655</f>
        <v>597.72737598008018</v>
      </c>
      <c r="AD625" s="208"/>
      <c r="AE625" s="213"/>
      <c r="AG625" s="410" t="s">
        <v>1091</v>
      </c>
      <c r="AM625" s="378"/>
    </row>
    <row r="626" spans="1:43" ht="13.5" thickBot="1">
      <c r="A626" s="885"/>
      <c r="B626" s="885"/>
      <c r="C626" s="194" t="s">
        <v>612</v>
      </c>
      <c r="D626" s="206"/>
      <c r="E626" s="207"/>
      <c r="F626" s="209"/>
      <c r="G626" s="206"/>
      <c r="H626" s="206"/>
      <c r="I626" s="207"/>
      <c r="J626" s="209"/>
      <c r="K626" s="206"/>
      <c r="L626" s="206"/>
      <c r="M626" s="207"/>
      <c r="N626" s="209"/>
      <c r="O626" s="206"/>
      <c r="P626" s="206"/>
      <c r="Q626" s="207"/>
      <c r="R626" s="209"/>
      <c r="S626" s="206"/>
      <c r="T626" s="206"/>
      <c r="U626" s="207"/>
      <c r="V626" s="209"/>
      <c r="W626" s="206"/>
      <c r="X626" s="206"/>
      <c r="Y626" s="207"/>
      <c r="Z626" s="281"/>
      <c r="AA626" s="278"/>
      <c r="AB626" s="278"/>
      <c r="AC626" s="278">
        <f>(AC639-Y639)/4/(SUM($C$713:$C$716))/Spend!AC626*'State Efficiency Ratios (2014)'!$C$655</f>
        <v>514.16847470303105</v>
      </c>
      <c r="AD626" s="208"/>
      <c r="AE626" s="213"/>
      <c r="AG626" s="410" t="s">
        <v>1086</v>
      </c>
    </row>
    <row r="627" spans="1:43" ht="13.5" thickBot="1">
      <c r="A627" s="885"/>
      <c r="B627" s="885"/>
      <c r="C627" s="194" t="s">
        <v>613</v>
      </c>
      <c r="D627" s="206"/>
      <c r="E627" s="207"/>
      <c r="F627" s="209"/>
      <c r="G627" s="206"/>
      <c r="H627" s="206"/>
      <c r="I627" s="207"/>
      <c r="J627" s="209"/>
      <c r="K627" s="206"/>
      <c r="L627" s="206"/>
      <c r="M627" s="207"/>
      <c r="N627" s="209"/>
      <c r="O627" s="206"/>
      <c r="P627" s="206"/>
      <c r="Q627" s="207"/>
      <c r="R627" s="209"/>
      <c r="S627" s="206"/>
      <c r="T627" s="206"/>
      <c r="U627" s="207"/>
      <c r="V627" s="209"/>
      <c r="W627" s="206"/>
      <c r="X627" s="206"/>
      <c r="Y627" s="207"/>
      <c r="Z627" s="281"/>
      <c r="AA627" s="278"/>
      <c r="AB627" s="278"/>
      <c r="AC627" s="278">
        <f>(AC640-Y640)/4/(SUM($C$713:$C$716))/Spend!AC627*'State Efficiency Ratios (2014)'!$C$655</f>
        <v>654.69911740618738</v>
      </c>
      <c r="AD627" s="208"/>
      <c r="AE627" s="213"/>
      <c r="AG627" s="410" t="s">
        <v>1090</v>
      </c>
      <c r="AI627" s="4" t="s">
        <v>1054</v>
      </c>
      <c r="AK627" s="4"/>
      <c r="AM627" s="354"/>
    </row>
    <row r="628" spans="1:43" ht="13.5" thickBot="1">
      <c r="A628" s="885"/>
      <c r="B628" s="885"/>
      <c r="C628" s="194" t="s">
        <v>614</v>
      </c>
      <c r="D628" s="206"/>
      <c r="E628" s="207"/>
      <c r="F628" s="209"/>
      <c r="G628" s="206"/>
      <c r="H628" s="206"/>
      <c r="I628" s="207"/>
      <c r="J628" s="209"/>
      <c r="K628" s="206"/>
      <c r="L628" s="206"/>
      <c r="M628" s="207"/>
      <c r="N628" s="209"/>
      <c r="O628" s="206"/>
      <c r="P628" s="206"/>
      <c r="Q628" s="207"/>
      <c r="R628" s="209"/>
      <c r="S628" s="206"/>
      <c r="T628" s="206"/>
      <c r="U628" s="207"/>
      <c r="V628" s="209"/>
      <c r="W628" s="206"/>
      <c r="X628" s="206"/>
      <c r="Y628" s="207"/>
      <c r="Z628" s="281"/>
      <c r="AA628" s="278"/>
      <c r="AB628" s="278"/>
      <c r="AC628" s="278">
        <f>(AC641-Y641)/4/(SUM($C$713:$C$716))/Spend!AC628*'State Efficiency Ratios (2014)'!$C$655</f>
        <v>882.06942204197151</v>
      </c>
      <c r="AD628" s="208"/>
      <c r="AE628" s="213"/>
      <c r="AG628" s="410" t="s">
        <v>1092</v>
      </c>
      <c r="AH628" s="355" t="s">
        <v>1052</v>
      </c>
      <c r="AI628" s="600">
        <f>SUM(AI637:AI641)/5</f>
        <v>0</v>
      </c>
      <c r="AJ628" s="601">
        <f>SUM(AJ637:AJ644)/8</f>
        <v>0</v>
      </c>
      <c r="AK628" s="601">
        <f t="shared" ref="AK628" si="125">SUM(AK637:AK644)/8</f>
        <v>0</v>
      </c>
      <c r="AL628" s="691">
        <f>SUM(AL637:AL644)/8</f>
        <v>9.625</v>
      </c>
      <c r="AM628" s="378"/>
    </row>
    <row r="629" spans="1:43" ht="12.95" customHeight="1" thickBot="1">
      <c r="A629" s="885"/>
      <c r="B629" s="885"/>
      <c r="C629" s="194" t="s">
        <v>615</v>
      </c>
      <c r="D629" s="210"/>
      <c r="E629" s="211"/>
      <c r="F629" s="209"/>
      <c r="G629" s="210"/>
      <c r="H629" s="210"/>
      <c r="I629" s="211"/>
      <c r="J629" s="209"/>
      <c r="K629" s="210"/>
      <c r="L629" s="210"/>
      <c r="M629" s="211"/>
      <c r="N629" s="209"/>
      <c r="O629" s="210"/>
      <c r="P629" s="210"/>
      <c r="Q629" s="211"/>
      <c r="R629" s="209"/>
      <c r="S629" s="210"/>
      <c r="T629" s="210"/>
      <c r="U629" s="211"/>
      <c r="V629" s="209"/>
      <c r="W629" s="210"/>
      <c r="X629" s="210"/>
      <c r="Y629" s="211"/>
      <c r="Z629" s="281"/>
      <c r="AA629" s="278"/>
      <c r="AB629" s="278"/>
      <c r="AC629" s="278">
        <f>(AC642-Y642)/4/(SUM($C$713:$C$716))/Spend!AC629*'State Efficiency Ratios (2014)'!$C$655</f>
        <v>244.89620397305089</v>
      </c>
      <c r="AD629" s="208"/>
      <c r="AE629" s="213"/>
      <c r="AG629" s="410"/>
      <c r="AH629" s="355" t="s">
        <v>1051</v>
      </c>
      <c r="AI629" s="606">
        <f>SUM(O624:O628)/5</f>
        <v>0</v>
      </c>
      <c r="AJ629" s="607">
        <f>SUM(U624:U628)/5</f>
        <v>0</v>
      </c>
      <c r="AK629" s="607">
        <f>SUM(Y624:Y631)/8</f>
        <v>0</v>
      </c>
      <c r="AL629" s="608">
        <f>SUM(AC624:AC631)/8</f>
        <v>531.52982966559773</v>
      </c>
    </row>
    <row r="630" spans="1:43" ht="12.95" customHeight="1" thickBot="1">
      <c r="A630" s="885"/>
      <c r="B630" s="885"/>
      <c r="C630" s="194" t="s">
        <v>616</v>
      </c>
      <c r="D630" s="210"/>
      <c r="E630" s="211"/>
      <c r="F630" s="209"/>
      <c r="G630" s="210"/>
      <c r="H630" s="210"/>
      <c r="I630" s="211"/>
      <c r="J630" s="209"/>
      <c r="K630" s="210"/>
      <c r="L630" s="210"/>
      <c r="M630" s="211"/>
      <c r="N630" s="209"/>
      <c r="O630" s="210"/>
      <c r="P630" s="210"/>
      <c r="Q630" s="211"/>
      <c r="R630" s="209"/>
      <c r="S630" s="210"/>
      <c r="T630" s="210"/>
      <c r="U630" s="211"/>
      <c r="V630" s="209"/>
      <c r="W630" s="210"/>
      <c r="X630" s="210"/>
      <c r="Y630" s="211"/>
      <c r="Z630" s="281"/>
      <c r="AA630" s="278"/>
      <c r="AB630" s="278"/>
      <c r="AC630" s="278">
        <f>(AC643-Y643)/4/(SUM($C$713:$C$716))/Spend!AC630*'State Efficiency Ratios (2014)'!$C$655</f>
        <v>338.91751582788316</v>
      </c>
      <c r="AD630" s="208"/>
      <c r="AE630" s="213"/>
      <c r="AG630" s="410" t="s">
        <v>1084</v>
      </c>
      <c r="AL630" s="378"/>
    </row>
    <row r="631" spans="1:43" ht="12.95" customHeight="1" thickBot="1">
      <c r="A631" s="885"/>
      <c r="B631" s="885"/>
      <c r="C631" s="194" t="s">
        <v>617</v>
      </c>
      <c r="D631" s="210"/>
      <c r="E631" s="211"/>
      <c r="F631" s="209"/>
      <c r="G631" s="210"/>
      <c r="H631" s="210"/>
      <c r="I631" s="211"/>
      <c r="J631" s="209"/>
      <c r="K631" s="210"/>
      <c r="L631" s="210"/>
      <c r="M631" s="211"/>
      <c r="N631" s="209"/>
      <c r="O631" s="210"/>
      <c r="P631" s="210"/>
      <c r="Q631" s="211"/>
      <c r="R631" s="209"/>
      <c r="S631" s="210"/>
      <c r="T631" s="210"/>
      <c r="U631" s="211"/>
      <c r="V631" s="209"/>
      <c r="W631" s="210"/>
      <c r="X631" s="210"/>
      <c r="Y631" s="211"/>
      <c r="Z631" s="281"/>
      <c r="AA631" s="278"/>
      <c r="AB631" s="278"/>
      <c r="AC631" s="278">
        <f>(AC644-Y644)/4/(SUM($C$713:$C$716))/Spend!AC631*'State Efficiency Ratios (2014)'!$C$655</f>
        <v>308.21930412392783</v>
      </c>
      <c r="AD631" s="208"/>
      <c r="AE631" s="213"/>
      <c r="AG631" s="410" t="s">
        <v>1093</v>
      </c>
      <c r="AI631" s="4" t="s">
        <v>1055</v>
      </c>
    </row>
    <row r="632" spans="1:43" ht="12.95" customHeight="1" thickBot="1">
      <c r="A632" s="885"/>
      <c r="B632" s="885"/>
      <c r="C632" s="194" t="s">
        <v>618</v>
      </c>
      <c r="D632" s="210"/>
      <c r="E632" s="211"/>
      <c r="F632" s="209"/>
      <c r="G632" s="210"/>
      <c r="H632" s="210"/>
      <c r="I632" s="211"/>
      <c r="J632" s="209"/>
      <c r="K632" s="210"/>
      <c r="L632" s="210"/>
      <c r="M632" s="211"/>
      <c r="N632" s="209"/>
      <c r="O632" s="210"/>
      <c r="P632" s="210"/>
      <c r="Q632" s="211"/>
      <c r="R632" s="209"/>
      <c r="S632" s="210"/>
      <c r="T632" s="210"/>
      <c r="U632" s="211"/>
      <c r="V632" s="209"/>
      <c r="W632" s="210"/>
      <c r="X632" s="210"/>
      <c r="Y632" s="211"/>
      <c r="Z632" s="281"/>
      <c r="AA632" s="278"/>
      <c r="AB632" s="278"/>
      <c r="AC632" s="278">
        <f>(AC645-Y645)/4/(SUM($C$713:$C$716))/Spend!AC632*'State Efficiency Ratios (2014)'!$C$655</f>
        <v>0</v>
      </c>
      <c r="AD632" s="208"/>
      <c r="AE632" s="213"/>
      <c r="AG632" s="295"/>
      <c r="AH632" s="355" t="s">
        <v>1052</v>
      </c>
      <c r="AI632" s="618">
        <f>(SUM(AI637:AI641)+SUM(AI647:AI648))/7</f>
        <v>0</v>
      </c>
      <c r="AJ632" s="619">
        <f>SUM(AJ637:AJ648)/10</f>
        <v>0</v>
      </c>
      <c r="AK632" s="619">
        <f>SUM(AK637:AK648)/10</f>
        <v>0</v>
      </c>
      <c r="AL632" s="620">
        <f>SUM(AL637:AL648)/10</f>
        <v>13.9</v>
      </c>
    </row>
    <row r="633" spans="1:43" ht="12.95" customHeight="1" thickBot="1">
      <c r="A633" s="885"/>
      <c r="B633" s="885"/>
      <c r="C633" s="194" t="s">
        <v>619</v>
      </c>
      <c r="D633" s="210"/>
      <c r="E633" s="211"/>
      <c r="F633" s="209"/>
      <c r="G633" s="210"/>
      <c r="H633" s="210"/>
      <c r="I633" s="211"/>
      <c r="J633" s="209"/>
      <c r="K633" s="210"/>
      <c r="L633" s="210"/>
      <c r="M633" s="211"/>
      <c r="N633" s="209"/>
      <c r="O633" s="210"/>
      <c r="P633" s="210"/>
      <c r="Q633" s="211"/>
      <c r="R633" s="209"/>
      <c r="S633" s="210"/>
      <c r="T633" s="210"/>
      <c r="U633" s="211"/>
      <c r="V633" s="209"/>
      <c r="W633" s="210"/>
      <c r="X633" s="210"/>
      <c r="Y633" s="211"/>
      <c r="Z633" s="281"/>
      <c r="AA633" s="278"/>
      <c r="AB633" s="278"/>
      <c r="AC633" s="278">
        <f>(AC646-Y646)/4/(SUM($C$713:$C$716))/Spend!AC633*'State Efficiency Ratios (2014)'!$C$655</f>
        <v>0</v>
      </c>
      <c r="AD633" s="208"/>
      <c r="AE633" s="213"/>
      <c r="AG633" s="295"/>
      <c r="AH633" s="355" t="s">
        <v>1051</v>
      </c>
      <c r="AI633" s="606">
        <f>(SUM(O624:O628)+O634)/7</f>
        <v>0</v>
      </c>
      <c r="AJ633" s="607">
        <f>(SUM(U624:U631)+U634)/7</f>
        <v>0</v>
      </c>
      <c r="AK633" s="607">
        <f>(SUM(Y624:Y631)+Y634)/10</f>
        <v>0</v>
      </c>
      <c r="AL633" s="608">
        <f>(SUM(AC624:AC631)+SUM(AC634:AC635))/10</f>
        <v>863.0284984831253</v>
      </c>
    </row>
    <row r="634" spans="1:43" ht="13.5" thickBot="1">
      <c r="A634" s="885"/>
      <c r="B634" s="885"/>
      <c r="C634" s="194" t="s">
        <v>620</v>
      </c>
      <c r="D634" s="206"/>
      <c r="E634" s="207"/>
      <c r="F634" s="209"/>
      <c r="G634" s="206"/>
      <c r="H634" s="206"/>
      <c r="I634" s="207"/>
      <c r="J634" s="209"/>
      <c r="K634" s="206"/>
      <c r="L634" s="206"/>
      <c r="M634" s="207"/>
      <c r="N634" s="209"/>
      <c r="O634" s="206"/>
      <c r="P634" s="206"/>
      <c r="Q634" s="207"/>
      <c r="R634" s="209"/>
      <c r="S634" s="206"/>
      <c r="T634" s="206"/>
      <c r="U634" s="207"/>
      <c r="V634" s="209"/>
      <c r="W634" s="206"/>
      <c r="X634" s="206"/>
      <c r="Y634" s="207"/>
      <c r="Z634" s="281"/>
      <c r="AA634" s="278"/>
      <c r="AB634" s="278"/>
      <c r="AC634" s="278">
        <f>(AC647-Y647)/4/(SUM($C$713:$C$716))/Spend!AC634*'State Efficiency Ratios (2014)'!$C$655</f>
        <v>2118.4095229870018</v>
      </c>
      <c r="AD634" s="208"/>
      <c r="AE634" s="213"/>
      <c r="AG634" s="410" t="s">
        <v>1094</v>
      </c>
      <c r="AL634" s="378"/>
    </row>
    <row r="635" spans="1:43" ht="13.5" thickBot="1">
      <c r="A635" s="885"/>
      <c r="B635" s="885"/>
      <c r="C635" s="194" t="s">
        <v>645</v>
      </c>
      <c r="D635" s="206"/>
      <c r="E635" s="207"/>
      <c r="F635" s="209"/>
      <c r="G635" s="206"/>
      <c r="H635" s="206"/>
      <c r="I635" s="207"/>
      <c r="J635" s="209"/>
      <c r="K635" s="206"/>
      <c r="L635" s="206"/>
      <c r="M635" s="207"/>
      <c r="N635" s="209"/>
      <c r="O635" s="206"/>
      <c r="P635" s="206"/>
      <c r="Q635" s="207"/>
      <c r="R635" s="209"/>
      <c r="S635" s="206"/>
      <c r="T635" s="206"/>
      <c r="U635" s="207"/>
      <c r="V635" s="209"/>
      <c r="W635" s="206"/>
      <c r="X635" s="206"/>
      <c r="Y635" s="207"/>
      <c r="Z635" s="281"/>
      <c r="AA635" s="278"/>
      <c r="AB635" s="278"/>
      <c r="AC635" s="278">
        <f>(AC648-Y648)/4/(SUM($C$713:$C$716))/Spend!AC635*'State Efficiency Ratios (2014)'!$C$655</f>
        <v>2259.636824519469</v>
      </c>
      <c r="AD635" s="208"/>
      <c r="AE635" s="213"/>
      <c r="AG635" s="410" t="s">
        <v>1095</v>
      </c>
      <c r="AI635" s="416" t="s">
        <v>1049</v>
      </c>
    </row>
    <row r="636" spans="1:43" ht="13.5" hidden="1" thickBot="1">
      <c r="A636" s="885"/>
      <c r="B636" s="885"/>
      <c r="C636" s="194" t="s">
        <v>621</v>
      </c>
      <c r="D636" s="206"/>
      <c r="E636" s="207"/>
      <c r="F636" s="209"/>
      <c r="G636" s="206"/>
      <c r="H636" s="206"/>
      <c r="I636" s="207"/>
      <c r="J636" s="209"/>
      <c r="K636" s="206"/>
      <c r="L636" s="206"/>
      <c r="M636" s="207"/>
      <c r="N636" s="209"/>
      <c r="O636" s="206"/>
      <c r="P636" s="206"/>
      <c r="Q636" s="207"/>
      <c r="R636" s="209"/>
      <c r="S636" s="206"/>
      <c r="T636" s="206"/>
      <c r="U636" s="207"/>
      <c r="V636" s="209"/>
      <c r="W636" s="206"/>
      <c r="X636" s="206"/>
      <c r="Y636" s="207"/>
      <c r="Z636" s="281"/>
      <c r="AA636" s="278"/>
      <c r="AB636" s="278"/>
      <c r="AC636" s="278" t="e">
        <f>(AC649-Y649)/4/$C$713/Spend!AC636*'State Efficiency Ratios (2014)'!$C$655</f>
        <v>#DIV/0!</v>
      </c>
      <c r="AD636" s="208"/>
      <c r="AE636" s="213"/>
    </row>
    <row r="637" spans="1:43" ht="12.95" customHeight="1" thickBot="1">
      <c r="A637" s="885"/>
      <c r="B637" s="885"/>
      <c r="C637" s="9" t="s">
        <v>295</v>
      </c>
      <c r="D637" s="202"/>
      <c r="E637" s="203"/>
      <c r="F637" s="201"/>
      <c r="G637" s="202"/>
      <c r="H637" s="202"/>
      <c r="I637" s="203"/>
      <c r="J637" s="201"/>
      <c r="K637" s="202"/>
      <c r="L637" s="202"/>
      <c r="M637" s="203"/>
      <c r="N637" s="204"/>
      <c r="O637" s="214"/>
      <c r="P637" s="205"/>
      <c r="Q637" s="205"/>
      <c r="R637" s="201"/>
      <c r="S637" s="202"/>
      <c r="T637" s="202"/>
      <c r="U637" s="205"/>
      <c r="V637" s="201"/>
      <c r="W637" s="202"/>
      <c r="X637" s="202"/>
      <c r="Y637" s="197">
        <f>SUM('State DisAgg LFx10 (2014)'!P632:S632)</f>
        <v>0</v>
      </c>
      <c r="Z637" s="195"/>
      <c r="AA637" s="196"/>
      <c r="AB637" s="196"/>
      <c r="AC637" s="197">
        <f>SUM('State DisAgg LFx10 (2014)'!T632:W632)</f>
        <v>12</v>
      </c>
      <c r="AD637" s="195"/>
      <c r="AE637" s="197"/>
      <c r="AI637" s="361">
        <f t="shared" ref="AI637:AI648" si="126">O637-J637</f>
        <v>0</v>
      </c>
      <c r="AJ637" s="362">
        <f>U637-O637</f>
        <v>0</v>
      </c>
      <c r="AK637" s="362">
        <f t="shared" ref="AK637:AK648" si="127">Y637-U637</f>
        <v>0</v>
      </c>
      <c r="AL637" s="582">
        <f t="shared" ref="AL637:AL648" si="128">AC637-Y637</f>
        <v>12</v>
      </c>
      <c r="AM637" s="378"/>
      <c r="AQ637" s="353"/>
    </row>
    <row r="638" spans="1:43" ht="12.95" customHeight="1" thickBot="1">
      <c r="A638" s="885"/>
      <c r="B638" s="885"/>
      <c r="C638" s="9" t="s">
        <v>296</v>
      </c>
      <c r="D638" s="202"/>
      <c r="E638" s="203"/>
      <c r="F638" s="201"/>
      <c r="G638" s="202"/>
      <c r="H638" s="202"/>
      <c r="I638" s="203"/>
      <c r="J638" s="201"/>
      <c r="K638" s="202"/>
      <c r="L638" s="202"/>
      <c r="M638" s="203"/>
      <c r="N638" s="204"/>
      <c r="O638" s="214"/>
      <c r="P638" s="205"/>
      <c r="Q638" s="205"/>
      <c r="R638" s="201"/>
      <c r="S638" s="202"/>
      <c r="T638" s="202"/>
      <c r="U638" s="205"/>
      <c r="V638" s="201"/>
      <c r="W638" s="202"/>
      <c r="X638" s="202"/>
      <c r="Y638" s="197">
        <f>SUM('State DisAgg LFx10 (2014)'!P633:S633)</f>
        <v>0</v>
      </c>
      <c r="Z638" s="195"/>
      <c r="AA638" s="196"/>
      <c r="AB638" s="196"/>
      <c r="AC638" s="197">
        <f>SUM('State DisAgg LFx10 (2014)'!T633:W633)</f>
        <v>12</v>
      </c>
      <c r="AD638" s="195"/>
      <c r="AE638" s="197"/>
      <c r="AI638" s="364">
        <f t="shared" si="126"/>
        <v>0</v>
      </c>
      <c r="AJ638" s="360">
        <f>U638-O638</f>
        <v>0</v>
      </c>
      <c r="AK638" s="360">
        <f t="shared" si="127"/>
        <v>0</v>
      </c>
      <c r="AL638" s="584">
        <f t="shared" si="128"/>
        <v>12</v>
      </c>
      <c r="AM638" s="378"/>
      <c r="AQ638" s="353"/>
    </row>
    <row r="639" spans="1:43" ht="13.5" thickBot="1">
      <c r="A639" s="885"/>
      <c r="B639" s="885"/>
      <c r="C639" s="9" t="s">
        <v>297</v>
      </c>
      <c r="D639" s="202"/>
      <c r="E639" s="203"/>
      <c r="F639" s="201"/>
      <c r="G639" s="202"/>
      <c r="H639" s="202"/>
      <c r="I639" s="203"/>
      <c r="J639" s="201"/>
      <c r="K639" s="202"/>
      <c r="L639" s="202"/>
      <c r="M639" s="203"/>
      <c r="N639" s="204"/>
      <c r="O639" s="214"/>
      <c r="P639" s="205"/>
      <c r="Q639" s="205"/>
      <c r="R639" s="201"/>
      <c r="S639" s="202"/>
      <c r="T639" s="202"/>
      <c r="U639" s="205"/>
      <c r="V639" s="201"/>
      <c r="W639" s="202"/>
      <c r="X639" s="202"/>
      <c r="Y639" s="197">
        <f>SUM('State DisAgg LFx10 (2014)'!P634:S634)</f>
        <v>0</v>
      </c>
      <c r="Z639" s="195"/>
      <c r="AA639" s="196"/>
      <c r="AB639" s="196"/>
      <c r="AC639" s="197">
        <f>SUM('State DisAgg LFx10 (2014)'!T634:W634)</f>
        <v>9</v>
      </c>
      <c r="AD639" s="195"/>
      <c r="AE639" s="197"/>
      <c r="AI639" s="364">
        <f t="shared" si="126"/>
        <v>0</v>
      </c>
      <c r="AJ639" s="360">
        <f>U639-O639</f>
        <v>0</v>
      </c>
      <c r="AK639" s="360">
        <f t="shared" si="127"/>
        <v>0</v>
      </c>
      <c r="AL639" s="584">
        <f t="shared" si="128"/>
        <v>9</v>
      </c>
      <c r="AM639" s="378"/>
      <c r="AQ639" s="353"/>
    </row>
    <row r="640" spans="1:43" ht="13.5" thickBot="1">
      <c r="A640" s="885"/>
      <c r="B640" s="885"/>
      <c r="C640" s="9" t="s">
        <v>298</v>
      </c>
      <c r="D640" s="202"/>
      <c r="E640" s="203"/>
      <c r="F640" s="201"/>
      <c r="G640" s="202"/>
      <c r="H640" s="202"/>
      <c r="I640" s="203"/>
      <c r="J640" s="201"/>
      <c r="K640" s="202"/>
      <c r="L640" s="202"/>
      <c r="M640" s="203"/>
      <c r="N640" s="204"/>
      <c r="O640" s="214"/>
      <c r="P640" s="205"/>
      <c r="Q640" s="205"/>
      <c r="R640" s="201"/>
      <c r="S640" s="202"/>
      <c r="T640" s="202"/>
      <c r="U640" s="205"/>
      <c r="V640" s="201"/>
      <c r="W640" s="202"/>
      <c r="X640" s="202"/>
      <c r="Y640" s="197">
        <f>SUM('State DisAgg LFx10 (2014)'!P635:S635)</f>
        <v>0</v>
      </c>
      <c r="Z640" s="195"/>
      <c r="AA640" s="196"/>
      <c r="AB640" s="196"/>
      <c r="AC640" s="197">
        <f>SUM('State DisAgg LFx10 (2014)'!T635:W635)</f>
        <v>12</v>
      </c>
      <c r="AD640" s="195"/>
      <c r="AE640" s="197"/>
      <c r="AI640" s="364">
        <f t="shared" si="126"/>
        <v>0</v>
      </c>
      <c r="AJ640" s="360">
        <f>U640-O640</f>
        <v>0</v>
      </c>
      <c r="AK640" s="360">
        <f t="shared" si="127"/>
        <v>0</v>
      </c>
      <c r="AL640" s="584">
        <f t="shared" si="128"/>
        <v>12</v>
      </c>
      <c r="AM640" s="378"/>
      <c r="AQ640" s="353"/>
    </row>
    <row r="641" spans="1:48" ht="13.5" thickBot="1">
      <c r="A641" s="885"/>
      <c r="B641" s="885"/>
      <c r="C641" s="9" t="s">
        <v>299</v>
      </c>
      <c r="D641" s="202"/>
      <c r="E641" s="203"/>
      <c r="F641" s="201"/>
      <c r="G641" s="202"/>
      <c r="H641" s="202"/>
      <c r="I641" s="203"/>
      <c r="J641" s="201"/>
      <c r="K641" s="202"/>
      <c r="L641" s="202"/>
      <c r="M641" s="203"/>
      <c r="N641" s="204"/>
      <c r="O641" s="214"/>
      <c r="P641" s="205"/>
      <c r="Q641" s="205"/>
      <c r="R641" s="201"/>
      <c r="S641" s="202"/>
      <c r="T641" s="202"/>
      <c r="U641" s="205"/>
      <c r="V641" s="201"/>
      <c r="W641" s="202"/>
      <c r="X641" s="202"/>
      <c r="Y641" s="197">
        <f>SUM('State DisAgg LFx10 (2014)'!P636:S636)</f>
        <v>0</v>
      </c>
      <c r="Z641" s="195"/>
      <c r="AA641" s="196"/>
      <c r="AB641" s="196"/>
      <c r="AC641" s="197">
        <f>SUM('State DisAgg LFx10 (2014)'!T636:W636)</f>
        <v>16</v>
      </c>
      <c r="AD641" s="195"/>
      <c r="AE641" s="197"/>
      <c r="AI641" s="364">
        <f t="shared" si="126"/>
        <v>0</v>
      </c>
      <c r="AJ641" s="360">
        <f>U641-O641</f>
        <v>0</v>
      </c>
      <c r="AK641" s="360">
        <f t="shared" si="127"/>
        <v>0</v>
      </c>
      <c r="AL641" s="584">
        <f t="shared" si="128"/>
        <v>16</v>
      </c>
      <c r="AM641" s="378"/>
      <c r="AQ641" s="353"/>
    </row>
    <row r="642" spans="1:48" ht="13.5" thickBot="1">
      <c r="A642" s="885"/>
      <c r="B642" s="885"/>
      <c r="C642" s="9" t="s">
        <v>300</v>
      </c>
      <c r="D642" s="202"/>
      <c r="E642" s="203"/>
      <c r="F642" s="201"/>
      <c r="G642" s="202"/>
      <c r="H642" s="202"/>
      <c r="I642" s="203"/>
      <c r="J642" s="201"/>
      <c r="K642" s="202"/>
      <c r="L642" s="202"/>
      <c r="M642" s="203"/>
      <c r="N642" s="204"/>
      <c r="O642" s="214"/>
      <c r="P642" s="205"/>
      <c r="Q642" s="205"/>
      <c r="R642" s="201"/>
      <c r="S642" s="202"/>
      <c r="T642" s="202"/>
      <c r="U642" s="205"/>
      <c r="V642" s="201"/>
      <c r="W642" s="202"/>
      <c r="X642" s="202"/>
      <c r="Y642" s="197">
        <f>SUM('State DisAgg LFx10 (2014)'!P637:S637)</f>
        <v>0</v>
      </c>
      <c r="Z642" s="195"/>
      <c r="AA642" s="196"/>
      <c r="AB642" s="196"/>
      <c r="AC642" s="197">
        <f>SUM('State DisAgg LFx10 (2014)'!T637:W637)</f>
        <v>4</v>
      </c>
      <c r="AD642" s="195"/>
      <c r="AE642" s="197"/>
      <c r="AI642" s="364">
        <f t="shared" si="126"/>
        <v>0</v>
      </c>
      <c r="AJ642" s="360">
        <f>U642-R642</f>
        <v>0</v>
      </c>
      <c r="AK642" s="360">
        <f t="shared" si="127"/>
        <v>0</v>
      </c>
      <c r="AL642" s="584">
        <f t="shared" si="128"/>
        <v>4</v>
      </c>
      <c r="AM642" s="378"/>
      <c r="AQ642" s="353"/>
    </row>
    <row r="643" spans="1:48" ht="13.5" thickBot="1">
      <c r="A643" s="885"/>
      <c r="B643" s="885"/>
      <c r="C643" s="9" t="s">
        <v>301</v>
      </c>
      <c r="D643" s="202"/>
      <c r="E643" s="203"/>
      <c r="F643" s="201"/>
      <c r="G643" s="202"/>
      <c r="H643" s="202"/>
      <c r="I643" s="203"/>
      <c r="J643" s="201"/>
      <c r="K643" s="202"/>
      <c r="L643" s="202"/>
      <c r="M643" s="203"/>
      <c r="N643" s="204"/>
      <c r="O643" s="214"/>
      <c r="P643" s="205"/>
      <c r="Q643" s="205"/>
      <c r="R643" s="201"/>
      <c r="S643" s="202"/>
      <c r="T643" s="202"/>
      <c r="U643" s="205"/>
      <c r="V643" s="201"/>
      <c r="W643" s="202"/>
      <c r="X643" s="202"/>
      <c r="Y643" s="197">
        <f>SUM('State DisAgg LFx10 (2014)'!P638:S638)</f>
        <v>0</v>
      </c>
      <c r="Z643" s="195"/>
      <c r="AA643" s="196"/>
      <c r="AB643" s="196"/>
      <c r="AC643" s="197">
        <f>SUM('State DisAgg LFx10 (2014)'!T638:W638)</f>
        <v>6</v>
      </c>
      <c r="AD643" s="195"/>
      <c r="AE643" s="197"/>
      <c r="AI643" s="364">
        <f t="shared" si="126"/>
        <v>0</v>
      </c>
      <c r="AJ643" s="360">
        <f>U643-R643</f>
        <v>0</v>
      </c>
      <c r="AK643" s="360">
        <f t="shared" si="127"/>
        <v>0</v>
      </c>
      <c r="AL643" s="584">
        <f t="shared" si="128"/>
        <v>6</v>
      </c>
      <c r="AM643" s="378"/>
      <c r="AQ643" s="353"/>
    </row>
    <row r="644" spans="1:48" ht="13.5" thickBot="1">
      <c r="A644" s="885"/>
      <c r="B644" s="885"/>
      <c r="C644" s="9" t="s">
        <v>302</v>
      </c>
      <c r="D644" s="202"/>
      <c r="E644" s="203"/>
      <c r="F644" s="201"/>
      <c r="G644" s="202"/>
      <c r="H644" s="202"/>
      <c r="I644" s="203"/>
      <c r="J644" s="201"/>
      <c r="K644" s="202"/>
      <c r="L644" s="202"/>
      <c r="M644" s="203"/>
      <c r="N644" s="204"/>
      <c r="O644" s="214"/>
      <c r="P644" s="205"/>
      <c r="Q644" s="205"/>
      <c r="R644" s="201"/>
      <c r="S644" s="202"/>
      <c r="T644" s="202"/>
      <c r="U644" s="205"/>
      <c r="V644" s="201"/>
      <c r="W644" s="202"/>
      <c r="X644" s="202"/>
      <c r="Y644" s="197">
        <f>SUM('State DisAgg LFx10 (2014)'!P639:S639)</f>
        <v>0</v>
      </c>
      <c r="Z644" s="195"/>
      <c r="AA644" s="196"/>
      <c r="AB644" s="196"/>
      <c r="AC644" s="197">
        <f>SUM('State DisAgg LFx10 (2014)'!T639:W639)</f>
        <v>6</v>
      </c>
      <c r="AD644" s="195"/>
      <c r="AE644" s="197"/>
      <c r="AI644" s="364">
        <f t="shared" si="126"/>
        <v>0</v>
      </c>
      <c r="AJ644" s="360">
        <f>U644-R644</f>
        <v>0</v>
      </c>
      <c r="AK644" s="360">
        <f t="shared" si="127"/>
        <v>0</v>
      </c>
      <c r="AL644" s="584">
        <f t="shared" si="128"/>
        <v>6</v>
      </c>
      <c r="AM644" s="378"/>
      <c r="AQ644" s="353"/>
    </row>
    <row r="645" spans="1:48" ht="13.5" thickBot="1">
      <c r="A645" s="885"/>
      <c r="B645" s="885"/>
      <c r="C645" s="9" t="s">
        <v>303</v>
      </c>
      <c r="D645" s="202"/>
      <c r="E645" s="203"/>
      <c r="F645" s="201"/>
      <c r="G645" s="202"/>
      <c r="H645" s="202"/>
      <c r="I645" s="203"/>
      <c r="J645" s="201"/>
      <c r="K645" s="202"/>
      <c r="L645" s="202"/>
      <c r="M645" s="203"/>
      <c r="N645" s="204"/>
      <c r="O645" s="214"/>
      <c r="P645" s="205"/>
      <c r="Q645" s="205"/>
      <c r="R645" s="201"/>
      <c r="S645" s="202"/>
      <c r="T645" s="202"/>
      <c r="U645" s="205"/>
      <c r="V645" s="201"/>
      <c r="W645" s="202"/>
      <c r="X645" s="202"/>
      <c r="Y645" s="197">
        <f>SUM('State DisAgg LFx10 (2014)'!P640:S640)</f>
        <v>0</v>
      </c>
      <c r="Z645" s="195"/>
      <c r="AA645" s="196"/>
      <c r="AB645" s="196"/>
      <c r="AC645" s="197">
        <f>SUM('State DisAgg LFx10 (2014)'!T640:W640)</f>
        <v>0</v>
      </c>
      <c r="AD645" s="195"/>
      <c r="AE645" s="197"/>
      <c r="AI645" s="364">
        <f t="shared" si="126"/>
        <v>0</v>
      </c>
      <c r="AJ645" s="360">
        <f>U645-O645</f>
        <v>0</v>
      </c>
      <c r="AK645" s="360">
        <f t="shared" si="127"/>
        <v>0</v>
      </c>
      <c r="AL645" s="584">
        <f t="shared" si="128"/>
        <v>0</v>
      </c>
      <c r="AM645" s="378"/>
      <c r="AQ645" s="353"/>
    </row>
    <row r="646" spans="1:48" ht="13.5" thickBot="1">
      <c r="A646" s="885"/>
      <c r="B646" s="885"/>
      <c r="C646" s="9" t="s">
        <v>304</v>
      </c>
      <c r="D646" s="202"/>
      <c r="E646" s="203"/>
      <c r="F646" s="201"/>
      <c r="G646" s="202"/>
      <c r="H646" s="202"/>
      <c r="I646" s="203"/>
      <c r="J646" s="201"/>
      <c r="K646" s="202"/>
      <c r="L646" s="202"/>
      <c r="M646" s="203"/>
      <c r="N646" s="204"/>
      <c r="O646" s="205"/>
      <c r="P646" s="205"/>
      <c r="Q646" s="205"/>
      <c r="R646" s="201"/>
      <c r="S646" s="202"/>
      <c r="T646" s="202"/>
      <c r="U646" s="205"/>
      <c r="V646" s="201"/>
      <c r="W646" s="202"/>
      <c r="X646" s="202"/>
      <c r="Y646" s="197">
        <f>SUM('State DisAgg LFx10 (2014)'!P641:S641)</f>
        <v>0</v>
      </c>
      <c r="Z646" s="195"/>
      <c r="AA646" s="196"/>
      <c r="AB646" s="196"/>
      <c r="AC646" s="197">
        <f>SUM('State DisAgg LFx10 (2014)'!T641:W641)</f>
        <v>0</v>
      </c>
      <c r="AD646" s="195"/>
      <c r="AE646" s="197"/>
      <c r="AI646" s="588">
        <f t="shared" si="126"/>
        <v>0</v>
      </c>
      <c r="AJ646" s="589">
        <f>U646-O646</f>
        <v>0</v>
      </c>
      <c r="AK646" s="589">
        <f t="shared" si="127"/>
        <v>0</v>
      </c>
      <c r="AL646" s="590">
        <f t="shared" si="128"/>
        <v>0</v>
      </c>
      <c r="AM646" s="378"/>
      <c r="AQ646" s="353"/>
    </row>
    <row r="647" spans="1:48" ht="13.5" thickBot="1">
      <c r="A647" s="885"/>
      <c r="B647" s="885"/>
      <c r="C647" s="9" t="s">
        <v>435</v>
      </c>
      <c r="D647" s="202"/>
      <c r="E647" s="203"/>
      <c r="F647" s="201"/>
      <c r="G647" s="202"/>
      <c r="H647" s="202"/>
      <c r="I647" s="203"/>
      <c r="J647" s="201"/>
      <c r="K647" s="202"/>
      <c r="L647" s="202"/>
      <c r="M647" s="203"/>
      <c r="N647" s="204"/>
      <c r="O647" s="214"/>
      <c r="P647" s="205"/>
      <c r="Q647" s="205"/>
      <c r="R647" s="201"/>
      <c r="S647" s="202"/>
      <c r="T647" s="202"/>
      <c r="U647" s="205"/>
      <c r="V647" s="201"/>
      <c r="W647" s="202"/>
      <c r="X647" s="202"/>
      <c r="Y647" s="197">
        <f>SUM('State DisAgg LFx10 (2014)'!P642:S642)</f>
        <v>0</v>
      </c>
      <c r="Z647" s="195"/>
      <c r="AA647" s="196"/>
      <c r="AB647" s="196"/>
      <c r="AC647" s="197">
        <f>SUM('State DisAgg LFx10 (2014)'!T642:W642)</f>
        <v>30</v>
      </c>
      <c r="AD647" s="195"/>
      <c r="AE647" s="197"/>
      <c r="AI647" s="610">
        <f t="shared" si="126"/>
        <v>0</v>
      </c>
      <c r="AJ647" s="611">
        <f>U647-O647</f>
        <v>0</v>
      </c>
      <c r="AK647" s="611">
        <f t="shared" si="127"/>
        <v>0</v>
      </c>
      <c r="AL647" s="612">
        <f t="shared" si="128"/>
        <v>30</v>
      </c>
      <c r="AM647" s="378"/>
      <c r="AQ647" s="353"/>
    </row>
    <row r="648" spans="1:48" ht="13.5" thickBot="1">
      <c r="A648" s="885"/>
      <c r="B648" s="885"/>
      <c r="C648" s="9" t="s">
        <v>642</v>
      </c>
      <c r="D648" s="202"/>
      <c r="E648" s="203"/>
      <c r="F648" s="201"/>
      <c r="G648" s="202"/>
      <c r="H648" s="202"/>
      <c r="I648" s="203"/>
      <c r="J648" s="201"/>
      <c r="K648" s="202"/>
      <c r="L648" s="202"/>
      <c r="M648" s="203"/>
      <c r="N648" s="204"/>
      <c r="O648" s="214"/>
      <c r="P648" s="205"/>
      <c r="Q648" s="205"/>
      <c r="R648" s="201"/>
      <c r="S648" s="202"/>
      <c r="T648" s="202"/>
      <c r="U648" s="205"/>
      <c r="V648" s="201"/>
      <c r="W648" s="202"/>
      <c r="X648" s="202"/>
      <c r="Y648" s="197">
        <f>SUM('State DisAgg LFx10 (2014)'!P643:S643)</f>
        <v>0</v>
      </c>
      <c r="Z648" s="195"/>
      <c r="AA648" s="196"/>
      <c r="AB648" s="196"/>
      <c r="AC648" s="197">
        <f>SUM('State DisAgg LFx10 (2014)'!T643:W643)</f>
        <v>32</v>
      </c>
      <c r="AD648" s="195"/>
      <c r="AE648" s="197"/>
      <c r="AI648" s="613">
        <f t="shared" si="126"/>
        <v>0</v>
      </c>
      <c r="AJ648" s="614">
        <f>U648-O648</f>
        <v>0</v>
      </c>
      <c r="AK648" s="614">
        <f t="shared" si="127"/>
        <v>0</v>
      </c>
      <c r="AL648" s="615">
        <f t="shared" si="128"/>
        <v>32</v>
      </c>
      <c r="AM648" s="378"/>
      <c r="AQ648" s="353"/>
    </row>
    <row r="649" spans="1:48" ht="13.5" hidden="1" thickBot="1">
      <c r="A649" s="869"/>
      <c r="B649" s="869"/>
      <c r="C649" s="9" t="s">
        <v>437</v>
      </c>
      <c r="D649" s="202"/>
      <c r="E649" s="203"/>
      <c r="F649" s="201"/>
      <c r="G649" s="202"/>
      <c r="H649" s="202"/>
      <c r="I649" s="203"/>
      <c r="J649" s="201"/>
      <c r="K649" s="202"/>
      <c r="L649" s="202"/>
      <c r="M649" s="203"/>
      <c r="N649" s="204"/>
      <c r="O649" s="214"/>
      <c r="P649" s="205"/>
      <c r="Q649" s="205"/>
      <c r="R649" s="201"/>
      <c r="S649" s="202"/>
      <c r="T649" s="202"/>
      <c r="U649" s="205"/>
      <c r="V649" s="204"/>
      <c r="W649" s="205"/>
      <c r="X649" s="205"/>
      <c r="Y649" s="205"/>
      <c r="Z649" s="201"/>
      <c r="AA649" s="202"/>
      <c r="AB649" s="202"/>
      <c r="AC649" s="203"/>
      <c r="AD649" s="201"/>
      <c r="AE649" s="203"/>
    </row>
    <row r="651" spans="1:48" ht="13.5" thickBot="1">
      <c r="AM651" s="354"/>
    </row>
    <row r="652" spans="1:48" ht="13.5" thickBot="1">
      <c r="B652" s="287" t="s">
        <v>710</v>
      </c>
      <c r="C652" s="288"/>
      <c r="AM652" s="378"/>
    </row>
    <row r="653" spans="1:48" s="121" customFormat="1">
      <c r="B653" s="291" t="s">
        <v>711</v>
      </c>
      <c r="C653" s="292" t="s">
        <v>709</v>
      </c>
      <c r="AI653" s="355"/>
      <c r="AJ653" s="355"/>
      <c r="AK653" s="355"/>
      <c r="AN653" s="4"/>
      <c r="AO653" s="4"/>
      <c r="AP653" s="4"/>
      <c r="AQ653" s="355"/>
      <c r="AS653" s="714"/>
      <c r="AT653" s="714"/>
      <c r="AU653" s="734"/>
      <c r="AV653" s="734"/>
    </row>
    <row r="654" spans="1:48" s="121" customFormat="1">
      <c r="B654" s="286" t="s">
        <v>712</v>
      </c>
      <c r="C654" s="334">
        <v>2000000000</v>
      </c>
      <c r="AI654" s="355"/>
      <c r="AJ654" s="355"/>
      <c r="AK654" s="4"/>
      <c r="AM654" s="354"/>
      <c r="AN654" s="4"/>
      <c r="AO654" s="4"/>
      <c r="AP654" s="4"/>
      <c r="AQ654" s="355"/>
      <c r="AS654" s="714"/>
      <c r="AT654" s="714"/>
      <c r="AU654" s="734"/>
      <c r="AV654" s="734"/>
    </row>
    <row r="655" spans="1:48" s="121" customFormat="1">
      <c r="B655" s="286" t="s">
        <v>713</v>
      </c>
      <c r="C655" s="334">
        <v>100000000</v>
      </c>
      <c r="AI655" s="355"/>
      <c r="AJ655" s="355"/>
      <c r="AK655" s="351"/>
      <c r="AM655" s="378"/>
      <c r="AN655" s="4"/>
      <c r="AO655" s="4"/>
      <c r="AP655" s="4"/>
      <c r="AQ655" s="355"/>
      <c r="AS655" s="714"/>
      <c r="AT655" s="714"/>
      <c r="AU655" s="734"/>
      <c r="AV655" s="734"/>
    </row>
    <row r="656" spans="1:48" s="121" customFormat="1" ht="13.5" thickBot="1">
      <c r="B656" s="293"/>
      <c r="C656" s="294"/>
      <c r="AI656" s="355"/>
      <c r="AJ656" s="355"/>
      <c r="AK656" s="355"/>
      <c r="AN656" s="4"/>
      <c r="AO656" s="4"/>
      <c r="AP656" s="4"/>
      <c r="AQ656" s="355"/>
      <c r="AS656" s="714"/>
      <c r="AT656" s="714"/>
      <c r="AU656" s="734"/>
      <c r="AV656" s="734"/>
    </row>
    <row r="657" spans="2:48" s="121" customFormat="1">
      <c r="B657" s="289" t="s">
        <v>707</v>
      </c>
      <c r="C657" s="290" t="s">
        <v>708</v>
      </c>
      <c r="AI657" s="355"/>
      <c r="AJ657" s="355"/>
      <c r="AK657" s="355"/>
      <c r="AN657" s="4"/>
      <c r="AO657" s="4"/>
      <c r="AP657" s="4"/>
      <c r="AQ657" s="355"/>
      <c r="AS657" s="714"/>
      <c r="AT657" s="714"/>
      <c r="AU657" s="734"/>
      <c r="AV657" s="734"/>
    </row>
    <row r="658" spans="2:48" s="121" customFormat="1">
      <c r="B658" s="284" t="s">
        <v>24</v>
      </c>
      <c r="C658" s="330">
        <v>5</v>
      </c>
      <c r="AI658" s="355"/>
      <c r="AJ658" s="355"/>
      <c r="AK658" s="355"/>
      <c r="AN658" s="4"/>
      <c r="AO658" s="4"/>
      <c r="AP658" s="4"/>
      <c r="AQ658" s="355"/>
      <c r="AS658" s="714"/>
      <c r="AT658" s="714"/>
      <c r="AU658" s="734"/>
      <c r="AV658" s="734"/>
    </row>
    <row r="659" spans="2:48" s="121" customFormat="1">
      <c r="B659" s="284" t="s">
        <v>25</v>
      </c>
      <c r="C659" s="330">
        <v>5</v>
      </c>
      <c r="AI659" s="355"/>
      <c r="AJ659" s="355"/>
      <c r="AK659" s="355"/>
      <c r="AN659" s="4"/>
      <c r="AO659" s="4"/>
      <c r="AP659" s="4"/>
      <c r="AQ659" s="355"/>
      <c r="AS659" s="714"/>
      <c r="AT659" s="714"/>
      <c r="AU659" s="734"/>
      <c r="AV659" s="734"/>
    </row>
    <row r="660" spans="2:48" s="121" customFormat="1">
      <c r="B660" s="284" t="s">
        <v>186</v>
      </c>
      <c r="C660" s="330">
        <v>15</v>
      </c>
      <c r="AI660" s="355"/>
      <c r="AJ660" s="355"/>
      <c r="AK660" s="355"/>
      <c r="AQ660" s="355"/>
      <c r="AS660" s="714"/>
      <c r="AT660" s="714"/>
      <c r="AU660" s="734"/>
      <c r="AV660" s="734"/>
    </row>
    <row r="661" spans="2:48" s="121" customFormat="1">
      <c r="B661" s="284" t="s">
        <v>187</v>
      </c>
      <c r="C661" s="330">
        <v>15</v>
      </c>
      <c r="AI661" s="355"/>
      <c r="AJ661" s="355"/>
      <c r="AK661" s="355"/>
      <c r="AQ661" s="355"/>
      <c r="AS661" s="714"/>
      <c r="AT661" s="714"/>
      <c r="AU661" s="734"/>
      <c r="AV661" s="734"/>
    </row>
    <row r="662" spans="2:48" s="121" customFormat="1">
      <c r="B662" s="284" t="s">
        <v>188</v>
      </c>
      <c r="C662" s="330">
        <v>15</v>
      </c>
      <c r="AI662" s="355"/>
      <c r="AJ662" s="355"/>
      <c r="AK662" s="355"/>
      <c r="AQ662" s="355"/>
      <c r="AS662" s="714"/>
      <c r="AT662" s="714"/>
      <c r="AU662" s="734"/>
      <c r="AV662" s="734"/>
    </row>
    <row r="663" spans="2:48" s="121" customFormat="1">
      <c r="B663" s="284" t="s">
        <v>189</v>
      </c>
      <c r="C663" s="330">
        <v>15</v>
      </c>
      <c r="AI663" s="355"/>
      <c r="AJ663" s="355"/>
      <c r="AK663" s="355"/>
      <c r="AQ663" s="355"/>
      <c r="AS663" s="714"/>
      <c r="AT663" s="714"/>
      <c r="AU663" s="734"/>
      <c r="AV663" s="734"/>
    </row>
    <row r="664" spans="2:48" s="121" customFormat="1">
      <c r="B664" s="284"/>
      <c r="C664" s="330"/>
      <c r="AI664" s="355"/>
      <c r="AJ664" s="355"/>
      <c r="AK664" s="355"/>
      <c r="AQ664" s="355"/>
      <c r="AS664" s="714"/>
      <c r="AT664" s="714"/>
      <c r="AU664" s="734"/>
      <c r="AV664" s="734"/>
    </row>
    <row r="665" spans="2:48" s="121" customFormat="1">
      <c r="B665" s="284" t="s">
        <v>22</v>
      </c>
      <c r="C665" s="330">
        <v>5</v>
      </c>
      <c r="AI665" s="355"/>
      <c r="AJ665" s="355"/>
      <c r="AK665" s="355"/>
      <c r="AQ665" s="355"/>
      <c r="AS665" s="714"/>
      <c r="AT665" s="714"/>
      <c r="AU665" s="734"/>
      <c r="AV665" s="734"/>
    </row>
    <row r="666" spans="2:48" s="121" customFormat="1">
      <c r="B666" s="284" t="s">
        <v>23</v>
      </c>
      <c r="C666" s="330">
        <v>5</v>
      </c>
      <c r="AI666" s="355"/>
      <c r="AJ666" s="355"/>
      <c r="AK666" s="355"/>
      <c r="AQ666" s="355"/>
      <c r="AS666" s="714"/>
      <c r="AT666" s="714"/>
      <c r="AU666" s="734"/>
      <c r="AV666" s="734"/>
    </row>
    <row r="667" spans="2:48" s="121" customFormat="1">
      <c r="B667" s="284" t="s">
        <v>38</v>
      </c>
      <c r="C667" s="330">
        <v>5</v>
      </c>
      <c r="AI667" s="355"/>
      <c r="AJ667" s="355"/>
      <c r="AK667" s="355"/>
      <c r="AQ667" s="355"/>
      <c r="AS667" s="714"/>
      <c r="AT667" s="714"/>
      <c r="AU667" s="734"/>
      <c r="AV667" s="734"/>
    </row>
    <row r="668" spans="2:48" s="121" customFormat="1">
      <c r="B668" s="284" t="s">
        <v>39</v>
      </c>
      <c r="C668" s="333">
        <v>20</v>
      </c>
      <c r="AI668" s="355"/>
      <c r="AJ668" s="355"/>
      <c r="AK668" s="355"/>
      <c r="AQ668" s="355"/>
      <c r="AS668" s="714"/>
      <c r="AT668" s="714"/>
      <c r="AU668" s="734"/>
      <c r="AV668" s="734"/>
    </row>
    <row r="669" spans="2:48" s="121" customFormat="1">
      <c r="B669" s="284" t="s">
        <v>185</v>
      </c>
      <c r="C669" s="333">
        <v>15</v>
      </c>
      <c r="AI669" s="355"/>
      <c r="AJ669" s="355"/>
      <c r="AK669" s="355"/>
      <c r="AQ669" s="355"/>
      <c r="AS669" s="714"/>
      <c r="AT669" s="714"/>
      <c r="AU669" s="734"/>
      <c r="AV669" s="734"/>
    </row>
    <row r="670" spans="2:48" s="121" customFormat="1">
      <c r="B670" s="284" t="s">
        <v>184</v>
      </c>
      <c r="C670" s="333">
        <v>10</v>
      </c>
      <c r="AI670" s="355"/>
      <c r="AJ670" s="355"/>
      <c r="AK670" s="355"/>
      <c r="AQ670" s="355"/>
      <c r="AS670" s="714"/>
      <c r="AT670" s="714"/>
      <c r="AU670" s="734"/>
      <c r="AV670" s="734"/>
    </row>
    <row r="671" spans="2:48" s="121" customFormat="1">
      <c r="B671" s="284" t="s">
        <v>183</v>
      </c>
      <c r="C671" s="333">
        <v>5</v>
      </c>
      <c r="AI671" s="355"/>
      <c r="AJ671" s="355"/>
      <c r="AK671" s="355"/>
      <c r="AQ671" s="355"/>
      <c r="AS671" s="714"/>
      <c r="AT671" s="714"/>
      <c r="AU671" s="734"/>
      <c r="AV671" s="734"/>
    </row>
    <row r="672" spans="2:48" s="121" customFormat="1">
      <c r="B672" s="284"/>
      <c r="C672" s="330"/>
      <c r="AI672" s="355"/>
      <c r="AJ672" s="355"/>
      <c r="AK672" s="355"/>
      <c r="AQ672" s="355"/>
      <c r="AS672" s="714"/>
      <c r="AT672" s="714"/>
      <c r="AU672" s="734"/>
      <c r="AV672" s="734"/>
    </row>
    <row r="673" spans="2:48" s="121" customFormat="1">
      <c r="B673" s="284" t="s">
        <v>16</v>
      </c>
      <c r="C673" s="330">
        <v>5</v>
      </c>
      <c r="AI673" s="355"/>
      <c r="AJ673" s="355"/>
      <c r="AK673" s="355"/>
      <c r="AQ673" s="355"/>
      <c r="AS673" s="714"/>
      <c r="AT673" s="714"/>
      <c r="AU673" s="734"/>
      <c r="AV673" s="734"/>
    </row>
    <row r="674" spans="2:48" s="121" customFormat="1">
      <c r="B674" s="284" t="s">
        <v>17</v>
      </c>
      <c r="C674" s="330">
        <v>5</v>
      </c>
      <c r="AI674" s="355"/>
      <c r="AJ674" s="355"/>
      <c r="AK674" s="355"/>
      <c r="AQ674" s="355"/>
      <c r="AS674" s="714"/>
      <c r="AT674" s="714"/>
      <c r="AU674" s="734"/>
      <c r="AV674" s="734"/>
    </row>
    <row r="675" spans="2:48" s="121" customFormat="1">
      <c r="B675" s="284" t="s">
        <v>18</v>
      </c>
      <c r="C675" s="333">
        <v>10</v>
      </c>
      <c r="AI675" s="355"/>
      <c r="AJ675" s="355"/>
      <c r="AK675" s="355"/>
      <c r="AQ675" s="355"/>
      <c r="AS675" s="714"/>
      <c r="AT675" s="714"/>
      <c r="AU675" s="734"/>
      <c r="AV675" s="734"/>
    </row>
    <row r="676" spans="2:48" s="121" customFormat="1">
      <c r="B676" s="284"/>
      <c r="C676" s="330"/>
      <c r="AI676" s="355"/>
      <c r="AJ676" s="355"/>
      <c r="AK676" s="355"/>
      <c r="AQ676" s="355"/>
      <c r="AS676" s="714"/>
      <c r="AT676" s="714"/>
      <c r="AU676" s="734"/>
      <c r="AV676" s="734"/>
    </row>
    <row r="677" spans="2:48" s="121" customFormat="1">
      <c r="B677" s="284" t="s">
        <v>19</v>
      </c>
      <c r="C677" s="330">
        <v>5</v>
      </c>
      <c r="AI677" s="355"/>
      <c r="AJ677" s="355"/>
      <c r="AK677" s="355"/>
      <c r="AQ677" s="355"/>
      <c r="AS677" s="714"/>
      <c r="AT677" s="714"/>
      <c r="AU677" s="734"/>
      <c r="AV677" s="734"/>
    </row>
    <row r="678" spans="2:48" s="121" customFormat="1">
      <c r="B678" s="284" t="s">
        <v>20</v>
      </c>
      <c r="C678" s="330">
        <v>5</v>
      </c>
      <c r="AI678" s="355"/>
      <c r="AJ678" s="355"/>
      <c r="AK678" s="355"/>
      <c r="AQ678" s="355"/>
      <c r="AS678" s="714"/>
      <c r="AT678" s="714"/>
      <c r="AU678" s="734"/>
      <c r="AV678" s="734"/>
    </row>
    <row r="679" spans="2:48" s="121" customFormat="1">
      <c r="B679" s="284" t="s">
        <v>21</v>
      </c>
      <c r="C679" s="333">
        <v>15</v>
      </c>
      <c r="AI679" s="355"/>
      <c r="AJ679" s="355"/>
      <c r="AK679" s="355"/>
      <c r="AQ679" s="355"/>
      <c r="AS679" s="714"/>
      <c r="AT679" s="714"/>
      <c r="AU679" s="734"/>
      <c r="AV679" s="734"/>
    </row>
    <row r="680" spans="2:48" s="121" customFormat="1">
      <c r="B680" s="284"/>
      <c r="C680" s="330"/>
      <c r="AI680" s="355"/>
      <c r="AJ680" s="355"/>
      <c r="AK680" s="355"/>
      <c r="AQ680" s="355"/>
      <c r="AS680" s="714"/>
      <c r="AT680" s="714"/>
      <c r="AU680" s="734"/>
      <c r="AV680" s="734"/>
    </row>
    <row r="681" spans="2:48" s="121" customFormat="1">
      <c r="B681" s="284" t="s">
        <v>166</v>
      </c>
      <c r="C681" s="333">
        <v>20</v>
      </c>
      <c r="AI681" s="355"/>
      <c r="AJ681" s="355"/>
      <c r="AK681" s="355"/>
      <c r="AQ681" s="355"/>
      <c r="AS681" s="714"/>
      <c r="AT681" s="714"/>
      <c r="AU681" s="734"/>
      <c r="AV681" s="734"/>
    </row>
    <row r="682" spans="2:48" s="121" customFormat="1">
      <c r="B682" s="284" t="s">
        <v>167</v>
      </c>
      <c r="C682" s="333">
        <v>20</v>
      </c>
      <c r="AI682" s="355"/>
      <c r="AJ682" s="355"/>
      <c r="AK682" s="355"/>
      <c r="AQ682" s="355"/>
      <c r="AS682" s="714"/>
      <c r="AT682" s="714"/>
      <c r="AU682" s="734"/>
      <c r="AV682" s="734"/>
    </row>
    <row r="683" spans="2:48" s="121" customFormat="1">
      <c r="B683" s="284" t="s">
        <v>168</v>
      </c>
      <c r="C683" s="333">
        <v>20</v>
      </c>
      <c r="AI683" s="355"/>
      <c r="AJ683" s="355"/>
      <c r="AK683" s="355"/>
      <c r="AQ683" s="355"/>
      <c r="AS683" s="714"/>
      <c r="AT683" s="714"/>
      <c r="AU683" s="734"/>
      <c r="AV683" s="734"/>
    </row>
    <row r="684" spans="2:48" s="121" customFormat="1">
      <c r="B684" s="284" t="s">
        <v>169</v>
      </c>
      <c r="C684" s="333">
        <v>20</v>
      </c>
      <c r="AI684" s="355"/>
      <c r="AJ684" s="355"/>
      <c r="AK684" s="355"/>
      <c r="AQ684" s="355"/>
      <c r="AS684" s="714"/>
      <c r="AT684" s="714"/>
      <c r="AU684" s="734"/>
      <c r="AV684" s="734"/>
    </row>
    <row r="685" spans="2:48" s="121" customFormat="1">
      <c r="B685" s="284"/>
      <c r="C685" s="330"/>
      <c r="AI685" s="355"/>
      <c r="AJ685" s="355"/>
      <c r="AK685" s="355"/>
      <c r="AQ685" s="355"/>
      <c r="AS685" s="714"/>
      <c r="AT685" s="714"/>
      <c r="AU685" s="734"/>
      <c r="AV685" s="734"/>
    </row>
    <row r="686" spans="2:48" s="121" customFormat="1">
      <c r="B686" s="284" t="s">
        <v>162</v>
      </c>
      <c r="C686" s="333">
        <v>20</v>
      </c>
      <c r="AI686" s="355"/>
      <c r="AJ686" s="355"/>
      <c r="AK686" s="355"/>
      <c r="AQ686" s="355"/>
      <c r="AS686" s="714"/>
      <c r="AT686" s="714"/>
      <c r="AU686" s="734"/>
      <c r="AV686" s="734"/>
    </row>
    <row r="687" spans="2:48" s="121" customFormat="1">
      <c r="B687" s="284" t="s">
        <v>163</v>
      </c>
      <c r="C687" s="333">
        <v>20</v>
      </c>
      <c r="AI687" s="355"/>
      <c r="AJ687" s="355"/>
      <c r="AK687" s="355"/>
      <c r="AQ687" s="355"/>
      <c r="AS687" s="714"/>
      <c r="AT687" s="714"/>
      <c r="AU687" s="734"/>
      <c r="AV687" s="734"/>
    </row>
    <row r="688" spans="2:48" s="121" customFormat="1">
      <c r="B688" s="284" t="s">
        <v>164</v>
      </c>
      <c r="C688" s="333">
        <v>20</v>
      </c>
      <c r="AI688" s="355"/>
      <c r="AJ688" s="355"/>
      <c r="AK688" s="355"/>
      <c r="AQ688" s="355"/>
      <c r="AS688" s="714"/>
      <c r="AT688" s="714"/>
      <c r="AU688" s="734"/>
      <c r="AV688" s="734"/>
    </row>
    <row r="689" spans="2:48" s="121" customFormat="1">
      <c r="B689" s="284" t="s">
        <v>165</v>
      </c>
      <c r="C689" s="333">
        <v>20</v>
      </c>
      <c r="AI689" s="355"/>
      <c r="AJ689" s="355"/>
      <c r="AK689" s="355"/>
      <c r="AQ689" s="355"/>
      <c r="AS689" s="714"/>
      <c r="AT689" s="714"/>
      <c r="AU689" s="734"/>
      <c r="AV689" s="734"/>
    </row>
    <row r="690" spans="2:48" s="121" customFormat="1">
      <c r="B690" s="284"/>
      <c r="C690" s="330"/>
      <c r="AI690" s="355"/>
      <c r="AJ690" s="355"/>
      <c r="AK690" s="355"/>
      <c r="AQ690" s="355"/>
      <c r="AS690" s="714"/>
      <c r="AT690" s="714"/>
      <c r="AU690" s="734"/>
      <c r="AV690" s="734"/>
    </row>
    <row r="691" spans="2:48" s="121" customFormat="1">
      <c r="B691" s="284" t="s">
        <v>160</v>
      </c>
      <c r="C691" s="330">
        <v>100</v>
      </c>
      <c r="AI691" s="355"/>
      <c r="AJ691" s="355"/>
      <c r="AK691" s="355"/>
      <c r="AQ691" s="355"/>
      <c r="AS691" s="714"/>
      <c r="AT691" s="714"/>
      <c r="AU691" s="734"/>
      <c r="AV691" s="734"/>
    </row>
    <row r="692" spans="2:48" s="121" customFormat="1">
      <c r="B692" s="284" t="s">
        <v>161</v>
      </c>
      <c r="C692" s="330">
        <v>100</v>
      </c>
      <c r="AI692" s="355"/>
      <c r="AJ692" s="355"/>
      <c r="AK692" s="355"/>
      <c r="AQ692" s="355"/>
      <c r="AS692" s="714"/>
      <c r="AT692" s="714"/>
      <c r="AU692" s="734"/>
      <c r="AV692" s="734"/>
    </row>
    <row r="693" spans="2:48" s="121" customFormat="1">
      <c r="B693" s="284"/>
      <c r="C693" s="330"/>
      <c r="AI693" s="355"/>
      <c r="AJ693" s="355"/>
      <c r="AK693" s="355"/>
      <c r="AQ693" s="355"/>
      <c r="AS693" s="714"/>
      <c r="AT693" s="714"/>
      <c r="AU693" s="734"/>
      <c r="AV693" s="734"/>
    </row>
    <row r="694" spans="2:48" s="121" customFormat="1">
      <c r="B694" s="284" t="s">
        <v>40</v>
      </c>
      <c r="C694" s="330">
        <v>5</v>
      </c>
      <c r="AI694" s="355"/>
      <c r="AJ694" s="355"/>
      <c r="AK694" s="355"/>
      <c r="AQ694" s="355"/>
      <c r="AS694" s="714"/>
      <c r="AT694" s="714"/>
      <c r="AU694" s="734"/>
      <c r="AV694" s="734"/>
    </row>
    <row r="695" spans="2:48" s="121" customFormat="1">
      <c r="B695" s="284"/>
      <c r="C695" s="330"/>
      <c r="AI695" s="355"/>
      <c r="AJ695" s="355"/>
      <c r="AK695" s="355"/>
      <c r="AQ695" s="355"/>
      <c r="AS695" s="714"/>
      <c r="AT695" s="714"/>
      <c r="AU695" s="734"/>
      <c r="AV695" s="734"/>
    </row>
    <row r="696" spans="2:48" s="121" customFormat="1">
      <c r="B696" s="284" t="s">
        <v>32</v>
      </c>
      <c r="C696" s="330">
        <v>5</v>
      </c>
      <c r="AI696" s="355"/>
      <c r="AJ696" s="355"/>
      <c r="AK696" s="355"/>
      <c r="AQ696" s="355"/>
      <c r="AS696" s="714"/>
      <c r="AT696" s="714"/>
      <c r="AU696" s="734"/>
      <c r="AV696" s="734"/>
    </row>
    <row r="697" spans="2:48" s="121" customFormat="1">
      <c r="B697" s="284" t="s">
        <v>33</v>
      </c>
      <c r="C697" s="330">
        <v>5</v>
      </c>
      <c r="AI697" s="355"/>
      <c r="AJ697" s="355"/>
      <c r="AK697" s="355"/>
      <c r="AQ697" s="355"/>
      <c r="AS697" s="714"/>
      <c r="AT697" s="714"/>
      <c r="AU697" s="734"/>
      <c r="AV697" s="734"/>
    </row>
    <row r="698" spans="2:48" s="121" customFormat="1">
      <c r="B698" s="284" t="s">
        <v>34</v>
      </c>
      <c r="C698" s="330">
        <v>5</v>
      </c>
      <c r="AI698" s="355"/>
      <c r="AJ698" s="355"/>
      <c r="AK698" s="355"/>
      <c r="AQ698" s="355"/>
      <c r="AS698" s="714"/>
      <c r="AT698" s="714"/>
      <c r="AU698" s="734"/>
      <c r="AV698" s="734"/>
    </row>
    <row r="699" spans="2:48" s="121" customFormat="1">
      <c r="B699" s="284" t="s">
        <v>41</v>
      </c>
      <c r="C699" s="330">
        <v>5</v>
      </c>
      <c r="AI699" s="355"/>
      <c r="AJ699" s="355"/>
      <c r="AK699" s="355"/>
      <c r="AQ699" s="355"/>
      <c r="AS699" s="714"/>
      <c r="AT699" s="714"/>
      <c r="AU699" s="734"/>
      <c r="AV699" s="734"/>
    </row>
    <row r="700" spans="2:48" s="121" customFormat="1">
      <c r="B700" s="284" t="s">
        <v>181</v>
      </c>
      <c r="C700" s="333">
        <v>20</v>
      </c>
      <c r="AI700" s="355"/>
      <c r="AJ700" s="355"/>
      <c r="AK700" s="355"/>
      <c r="AQ700" s="355"/>
      <c r="AS700" s="714"/>
      <c r="AT700" s="714"/>
      <c r="AU700" s="734"/>
      <c r="AV700" s="734"/>
    </row>
    <row r="701" spans="2:48" s="121" customFormat="1">
      <c r="B701" s="284" t="s">
        <v>182</v>
      </c>
      <c r="C701" s="333">
        <v>10</v>
      </c>
      <c r="AI701" s="355"/>
      <c r="AJ701" s="355"/>
      <c r="AK701" s="355"/>
      <c r="AQ701" s="355"/>
      <c r="AS701" s="714"/>
      <c r="AT701" s="714"/>
      <c r="AU701" s="734"/>
      <c r="AV701" s="734"/>
    </row>
    <row r="702" spans="2:48" s="121" customFormat="1">
      <c r="B702" s="284"/>
      <c r="C702" s="330"/>
      <c r="AI702" s="355"/>
      <c r="AJ702" s="355"/>
      <c r="AK702" s="355"/>
      <c r="AQ702" s="355"/>
      <c r="AS702" s="714"/>
      <c r="AT702" s="714"/>
      <c r="AU702" s="734"/>
      <c r="AV702" s="734"/>
    </row>
    <row r="703" spans="2:48" s="121" customFormat="1">
      <c r="B703" s="284" t="s">
        <v>695</v>
      </c>
      <c r="C703" s="333">
        <v>20</v>
      </c>
      <c r="AI703" s="355"/>
      <c r="AJ703" s="355"/>
      <c r="AK703" s="355"/>
      <c r="AQ703" s="355"/>
      <c r="AS703" s="714"/>
      <c r="AT703" s="714"/>
      <c r="AU703" s="734"/>
      <c r="AV703" s="734"/>
    </row>
    <row r="704" spans="2:48" s="121" customFormat="1">
      <c r="B704" s="284" t="s">
        <v>696</v>
      </c>
      <c r="C704" s="296">
        <v>20</v>
      </c>
      <c r="AI704" s="355"/>
      <c r="AJ704" s="355"/>
      <c r="AK704" s="355"/>
      <c r="AQ704" s="355"/>
      <c r="AS704" s="714"/>
      <c r="AT704" s="714"/>
      <c r="AU704" s="734"/>
      <c r="AV704" s="734"/>
    </row>
    <row r="705" spans="2:48" s="121" customFormat="1">
      <c r="B705" s="284" t="s">
        <v>697</v>
      </c>
      <c r="C705" s="296">
        <v>10</v>
      </c>
      <c r="AI705" s="355"/>
      <c r="AJ705" s="355"/>
      <c r="AK705" s="355"/>
      <c r="AQ705" s="355"/>
      <c r="AS705" s="714"/>
      <c r="AT705" s="714"/>
      <c r="AU705" s="734"/>
      <c r="AV705" s="734"/>
    </row>
    <row r="706" spans="2:48" s="121" customFormat="1">
      <c r="B706" s="284" t="s">
        <v>698</v>
      </c>
      <c r="C706" s="296">
        <v>10</v>
      </c>
      <c r="AI706" s="355"/>
      <c r="AJ706" s="355"/>
      <c r="AK706" s="355"/>
      <c r="AQ706" s="355"/>
      <c r="AS706" s="714"/>
      <c r="AT706" s="714"/>
      <c r="AU706" s="734"/>
      <c r="AV706" s="734"/>
    </row>
    <row r="707" spans="2:48" s="121" customFormat="1">
      <c r="B707" s="284"/>
      <c r="C707" s="331"/>
      <c r="AI707" s="355"/>
      <c r="AJ707" s="355"/>
      <c r="AK707" s="355"/>
      <c r="AQ707" s="355"/>
      <c r="AS707" s="714"/>
      <c r="AT707" s="714"/>
      <c r="AU707" s="734"/>
      <c r="AV707" s="734"/>
    </row>
    <row r="708" spans="2:48" s="121" customFormat="1">
      <c r="B708" s="284" t="s">
        <v>699</v>
      </c>
      <c r="C708" s="333">
        <v>10</v>
      </c>
      <c r="AI708" s="355"/>
      <c r="AJ708" s="355"/>
      <c r="AK708" s="355"/>
      <c r="AQ708" s="355"/>
      <c r="AS708" s="714"/>
      <c r="AT708" s="714"/>
      <c r="AU708" s="734"/>
      <c r="AV708" s="734"/>
    </row>
    <row r="709" spans="2:48" s="121" customFormat="1">
      <c r="B709" s="284" t="s">
        <v>700</v>
      </c>
      <c r="C709" s="296">
        <v>10</v>
      </c>
      <c r="AI709" s="355"/>
      <c r="AJ709" s="355"/>
      <c r="AK709" s="355"/>
      <c r="AQ709" s="355"/>
      <c r="AS709" s="714"/>
      <c r="AT709" s="714"/>
      <c r="AU709" s="734"/>
      <c r="AV709" s="734"/>
    </row>
    <row r="710" spans="2:48" s="121" customFormat="1">
      <c r="B710" s="284" t="s">
        <v>701</v>
      </c>
      <c r="C710" s="296">
        <v>5</v>
      </c>
      <c r="AI710" s="355"/>
      <c r="AJ710" s="355"/>
      <c r="AK710" s="355"/>
      <c r="AQ710" s="355"/>
      <c r="AS710" s="714"/>
      <c r="AT710" s="714"/>
      <c r="AU710" s="734"/>
      <c r="AV710" s="734"/>
    </row>
    <row r="711" spans="2:48" s="121" customFormat="1">
      <c r="B711" s="284" t="s">
        <v>702</v>
      </c>
      <c r="C711" s="296">
        <v>5</v>
      </c>
      <c r="AI711" s="355"/>
      <c r="AJ711" s="355"/>
      <c r="AK711" s="355"/>
      <c r="AQ711" s="355"/>
      <c r="AS711" s="714"/>
      <c r="AT711" s="714"/>
      <c r="AU711" s="734"/>
      <c r="AV711" s="734"/>
    </row>
    <row r="712" spans="2:48" s="121" customFormat="1">
      <c r="B712" s="284"/>
      <c r="C712" s="331"/>
      <c r="AI712" s="355"/>
      <c r="AJ712" s="355"/>
      <c r="AK712" s="355"/>
      <c r="AQ712" s="355"/>
      <c r="AS712" s="714"/>
      <c r="AT712" s="714"/>
      <c r="AU712" s="734"/>
      <c r="AV712" s="734"/>
    </row>
    <row r="713" spans="2:48" s="121" customFormat="1">
      <c r="B713" s="284" t="s">
        <v>703</v>
      </c>
      <c r="C713" s="296">
        <v>10</v>
      </c>
      <c r="AI713" s="355"/>
      <c r="AJ713" s="355"/>
      <c r="AK713" s="355"/>
      <c r="AQ713" s="355"/>
      <c r="AS713" s="714"/>
      <c r="AT713" s="714"/>
      <c r="AU713" s="734"/>
      <c r="AV713" s="734"/>
    </row>
    <row r="714" spans="2:48" s="121" customFormat="1">
      <c r="B714" s="284" t="s">
        <v>704</v>
      </c>
      <c r="C714" s="296">
        <v>10</v>
      </c>
      <c r="AI714" s="355"/>
      <c r="AJ714" s="355"/>
      <c r="AK714" s="355"/>
      <c r="AQ714" s="355"/>
      <c r="AS714" s="714"/>
      <c r="AT714" s="714"/>
      <c r="AU714" s="734"/>
      <c r="AV714" s="734"/>
    </row>
    <row r="715" spans="2:48" s="121" customFormat="1">
      <c r="B715" s="284" t="s">
        <v>705</v>
      </c>
      <c r="C715" s="296">
        <v>5</v>
      </c>
      <c r="AI715" s="355"/>
      <c r="AJ715" s="355"/>
      <c r="AK715" s="355"/>
      <c r="AQ715" s="355"/>
      <c r="AS715" s="714"/>
      <c r="AT715" s="714"/>
      <c r="AU715" s="734"/>
      <c r="AV715" s="734"/>
    </row>
    <row r="716" spans="2:48" s="121" customFormat="1" ht="13.5" thickBot="1">
      <c r="B716" s="285" t="s">
        <v>706</v>
      </c>
      <c r="C716" s="297">
        <v>5</v>
      </c>
      <c r="AI716" s="355"/>
      <c r="AJ716" s="355"/>
      <c r="AK716" s="355"/>
      <c r="AQ716" s="355"/>
      <c r="AS716" s="714"/>
      <c r="AT716" s="714"/>
      <c r="AU716" s="734"/>
      <c r="AV716" s="734"/>
    </row>
  </sheetData>
  <sheetProtection password="CF55" sheet="1" objects="1" scenarios="1" selectLockedCells="1"/>
  <mergeCells count="254">
    <mergeCell ref="AI1:AL1"/>
    <mergeCell ref="AN1:AQ1"/>
    <mergeCell ref="AS2:AV2"/>
    <mergeCell ref="AS1:AV1"/>
    <mergeCell ref="AX1:BC1"/>
    <mergeCell ref="AX2:BC2"/>
    <mergeCell ref="AD565:AE565"/>
    <mergeCell ref="A566:A649"/>
    <mergeCell ref="B566:B591"/>
    <mergeCell ref="D594:E594"/>
    <mergeCell ref="F594:I594"/>
    <mergeCell ref="J594:M594"/>
    <mergeCell ref="N594:Q594"/>
    <mergeCell ref="R594:U594"/>
    <mergeCell ref="Z623:AC623"/>
    <mergeCell ref="AD623:AE623"/>
    <mergeCell ref="B624:B649"/>
    <mergeCell ref="V594:Y594"/>
    <mergeCell ref="Z594:AC594"/>
    <mergeCell ref="AD594:AE594"/>
    <mergeCell ref="B595:B622"/>
    <mergeCell ref="D623:E623"/>
    <mergeCell ref="F623:I623"/>
    <mergeCell ref="J623:M623"/>
    <mergeCell ref="F489:I489"/>
    <mergeCell ref="N623:Q623"/>
    <mergeCell ref="R623:U623"/>
    <mergeCell ref="V623:Y623"/>
    <mergeCell ref="AD512:AE512"/>
    <mergeCell ref="B513:B532"/>
    <mergeCell ref="D535:E535"/>
    <mergeCell ref="F535:I535"/>
    <mergeCell ref="J535:M535"/>
    <mergeCell ref="N535:Q535"/>
    <mergeCell ref="R535:U535"/>
    <mergeCell ref="V535:Y535"/>
    <mergeCell ref="Z535:AC535"/>
    <mergeCell ref="AD535:AE535"/>
    <mergeCell ref="N565:Q565"/>
    <mergeCell ref="R565:U565"/>
    <mergeCell ref="V565:Y565"/>
    <mergeCell ref="Z565:AC565"/>
    <mergeCell ref="D565:E565"/>
    <mergeCell ref="F565:I565"/>
    <mergeCell ref="J565:M565"/>
    <mergeCell ref="R489:U489"/>
    <mergeCell ref="V489:Y489"/>
    <mergeCell ref="Z489:AC489"/>
    <mergeCell ref="AD443:AE443"/>
    <mergeCell ref="A444:A556"/>
    <mergeCell ref="B444:B463"/>
    <mergeCell ref="D466:E466"/>
    <mergeCell ref="F466:I466"/>
    <mergeCell ref="J466:M466"/>
    <mergeCell ref="N466:Q466"/>
    <mergeCell ref="R466:U466"/>
    <mergeCell ref="V466:Y466"/>
    <mergeCell ref="Z466:AC466"/>
    <mergeCell ref="B490:B509"/>
    <mergeCell ref="D512:E512"/>
    <mergeCell ref="F512:I512"/>
    <mergeCell ref="J512:M512"/>
    <mergeCell ref="N512:Q512"/>
    <mergeCell ref="R512:U512"/>
    <mergeCell ref="V512:Y512"/>
    <mergeCell ref="Z512:AC512"/>
    <mergeCell ref="B536:B542"/>
    <mergeCell ref="D536:AE536"/>
    <mergeCell ref="B543:B556"/>
    <mergeCell ref="AD466:AE466"/>
    <mergeCell ref="B467:B486"/>
    <mergeCell ref="D489:E489"/>
    <mergeCell ref="R443:U443"/>
    <mergeCell ref="V443:Y443"/>
    <mergeCell ref="Z443:AC443"/>
    <mergeCell ref="D414:E414"/>
    <mergeCell ref="F414:I414"/>
    <mergeCell ref="J414:M414"/>
    <mergeCell ref="N414:Q414"/>
    <mergeCell ref="R414:U414"/>
    <mergeCell ref="V414:Y414"/>
    <mergeCell ref="AD489:AE489"/>
    <mergeCell ref="J489:M489"/>
    <mergeCell ref="N489:Q489"/>
    <mergeCell ref="Z342:AC342"/>
    <mergeCell ref="AD342:AE342"/>
    <mergeCell ref="V390:Y390"/>
    <mergeCell ref="Z390:AC390"/>
    <mergeCell ref="AD390:AE390"/>
    <mergeCell ref="B391:B400"/>
    <mergeCell ref="D391:AE391"/>
    <mergeCell ref="B401:B411"/>
    <mergeCell ref="B378:B387"/>
    <mergeCell ref="D390:E390"/>
    <mergeCell ref="F390:I390"/>
    <mergeCell ref="J390:M390"/>
    <mergeCell ref="N390:Q390"/>
    <mergeCell ref="R390:U390"/>
    <mergeCell ref="Z414:AC414"/>
    <mergeCell ref="AD414:AE414"/>
    <mergeCell ref="B415:B434"/>
    <mergeCell ref="D443:E443"/>
    <mergeCell ref="F443:I443"/>
    <mergeCell ref="J443:M443"/>
    <mergeCell ref="N443:Q443"/>
    <mergeCell ref="V313:Y313"/>
    <mergeCell ref="Z313:AC313"/>
    <mergeCell ref="AD313:AE313"/>
    <mergeCell ref="A343:A434"/>
    <mergeCell ref="B343:B352"/>
    <mergeCell ref="D343:AE343"/>
    <mergeCell ref="B355:B363"/>
    <mergeCell ref="D366:E366"/>
    <mergeCell ref="F366:I366"/>
    <mergeCell ref="J366:M366"/>
    <mergeCell ref="B314:B333"/>
    <mergeCell ref="D342:E342"/>
    <mergeCell ref="F342:I342"/>
    <mergeCell ref="J342:M342"/>
    <mergeCell ref="N342:Q342"/>
    <mergeCell ref="R342:U342"/>
    <mergeCell ref="N366:Q366"/>
    <mergeCell ref="R366:U366"/>
    <mergeCell ref="V366:Y366"/>
    <mergeCell ref="Z366:AC366"/>
    <mergeCell ref="AD366:AE366"/>
    <mergeCell ref="B367:B375"/>
    <mergeCell ref="D367:AE367"/>
    <mergeCell ref="V342:Y342"/>
    <mergeCell ref="D267:E267"/>
    <mergeCell ref="F267:I267"/>
    <mergeCell ref="J267:M267"/>
    <mergeCell ref="N267:Q267"/>
    <mergeCell ref="R267:U267"/>
    <mergeCell ref="V267:Y267"/>
    <mergeCell ref="Z267:AC267"/>
    <mergeCell ref="AD267:AE267"/>
    <mergeCell ref="A268:A333"/>
    <mergeCell ref="B268:B287"/>
    <mergeCell ref="D290:E290"/>
    <mergeCell ref="F290:I290"/>
    <mergeCell ref="J290:M290"/>
    <mergeCell ref="N290:Q290"/>
    <mergeCell ref="R290:U290"/>
    <mergeCell ref="V290:Y290"/>
    <mergeCell ref="Z290:AC290"/>
    <mergeCell ref="AD290:AE290"/>
    <mergeCell ref="B291:B310"/>
    <mergeCell ref="D313:E313"/>
    <mergeCell ref="F313:I313"/>
    <mergeCell ref="J313:M313"/>
    <mergeCell ref="N313:Q313"/>
    <mergeCell ref="R313:U313"/>
    <mergeCell ref="AD215:AE215"/>
    <mergeCell ref="B216:B235"/>
    <mergeCell ref="D238:E238"/>
    <mergeCell ref="F238:I238"/>
    <mergeCell ref="J238:M238"/>
    <mergeCell ref="N238:Q238"/>
    <mergeCell ref="R238:U238"/>
    <mergeCell ref="V238:Y238"/>
    <mergeCell ref="Z238:AC238"/>
    <mergeCell ref="AD238:AE238"/>
    <mergeCell ref="A193:A258"/>
    <mergeCell ref="B193:B212"/>
    <mergeCell ref="D215:E215"/>
    <mergeCell ref="F215:I215"/>
    <mergeCell ref="J215:M215"/>
    <mergeCell ref="N215:Q215"/>
    <mergeCell ref="R215:U215"/>
    <mergeCell ref="V215:Y215"/>
    <mergeCell ref="Z215:AC215"/>
    <mergeCell ref="B239:B258"/>
    <mergeCell ref="B163:B172"/>
    <mergeCell ref="D163:AE163"/>
    <mergeCell ref="B173:B175"/>
    <mergeCell ref="B176:B180"/>
    <mergeCell ref="B181:B183"/>
    <mergeCell ref="D192:E192"/>
    <mergeCell ref="F192:I192"/>
    <mergeCell ref="J192:M192"/>
    <mergeCell ref="N192:Q192"/>
    <mergeCell ref="R192:U192"/>
    <mergeCell ref="V192:Y192"/>
    <mergeCell ref="Z192:AC192"/>
    <mergeCell ref="AD192:AE192"/>
    <mergeCell ref="Z139:AC139"/>
    <mergeCell ref="AD139:AE139"/>
    <mergeCell ref="B140:B159"/>
    <mergeCell ref="D162:E162"/>
    <mergeCell ref="F162:I162"/>
    <mergeCell ref="J162:M162"/>
    <mergeCell ref="N162:Q162"/>
    <mergeCell ref="R162:U162"/>
    <mergeCell ref="V162:Y162"/>
    <mergeCell ref="Z162:AC162"/>
    <mergeCell ref="AD162:AE162"/>
    <mergeCell ref="AD93:AE93"/>
    <mergeCell ref="A94:A183"/>
    <mergeCell ref="B94:B113"/>
    <mergeCell ref="D116:E116"/>
    <mergeCell ref="F116:I116"/>
    <mergeCell ref="J116:M116"/>
    <mergeCell ref="N116:Q116"/>
    <mergeCell ref="R116:U116"/>
    <mergeCell ref="V116:Y116"/>
    <mergeCell ref="D93:E93"/>
    <mergeCell ref="F93:I93"/>
    <mergeCell ref="J93:M93"/>
    <mergeCell ref="N93:Q93"/>
    <mergeCell ref="R93:U93"/>
    <mergeCell ref="V93:Y93"/>
    <mergeCell ref="Z116:AC116"/>
    <mergeCell ref="AD116:AE116"/>
    <mergeCell ref="B117:B136"/>
    <mergeCell ref="D139:E139"/>
    <mergeCell ref="F139:I139"/>
    <mergeCell ref="J139:M139"/>
    <mergeCell ref="N139:Q139"/>
    <mergeCell ref="R139:U139"/>
    <mergeCell ref="V139:Y139"/>
    <mergeCell ref="B45:B64"/>
    <mergeCell ref="D67:E67"/>
    <mergeCell ref="F67:I67"/>
    <mergeCell ref="J67:M67"/>
    <mergeCell ref="N67:Q67"/>
    <mergeCell ref="R67:U67"/>
    <mergeCell ref="V67:Y67"/>
    <mergeCell ref="Z67:AC67"/>
    <mergeCell ref="Z93:AC93"/>
    <mergeCell ref="Z21:AC21"/>
    <mergeCell ref="AD21:AE21"/>
    <mergeCell ref="A22:A88"/>
    <mergeCell ref="B22:B41"/>
    <mergeCell ref="D44:E44"/>
    <mergeCell ref="F44:I44"/>
    <mergeCell ref="J44:M44"/>
    <mergeCell ref="N44:Q44"/>
    <mergeCell ref="R44:U44"/>
    <mergeCell ref="V44:Y44"/>
    <mergeCell ref="D21:E21"/>
    <mergeCell ref="F21:I21"/>
    <mergeCell ref="J21:M21"/>
    <mergeCell ref="N21:Q21"/>
    <mergeCell ref="R21:U21"/>
    <mergeCell ref="V21:Y21"/>
    <mergeCell ref="AD67:AE67"/>
    <mergeCell ref="B68:B74"/>
    <mergeCell ref="D68:AE68"/>
    <mergeCell ref="B75:B76"/>
    <mergeCell ref="B77:B78"/>
    <mergeCell ref="B79:B88"/>
    <mergeCell ref="Z44:AC44"/>
    <mergeCell ref="AD44:AE44"/>
  </mergeCells>
  <pageMargins left="0.79000000000000015" right="0.79000000000000015" top="0.79000000000000015" bottom="0.79000000000000015" header="0.39000000000000007" footer="0.39000000000000007"/>
  <pageSetup paperSize="9" scale="55" fitToHeight="3" orientation="landscape"/>
  <headerFooter>
    <oddFooter>&amp;L&amp;K000000&amp;F&amp;C&amp;K000000&amp;D&amp;R&amp;K000000Page &amp;P</oddFooter>
  </headerFooter>
  <extLst>
    <ext xmlns:mx="http://schemas.microsoft.com/office/mac/excel/2008/main" uri="{64002731-A6B0-56B0-2670-7721B7C09600}">
      <mx:PLV Mode="0" OnePage="0" WScale="0"/>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3366FF"/>
    <pageSetUpPr fitToPage="1"/>
  </sheetPr>
  <dimension ref="A1:AM231"/>
  <sheetViews>
    <sheetView workbookViewId="0">
      <pane xSplit="3" ySplit="3" topLeftCell="AG4" activePane="bottomRight" state="frozen"/>
      <selection activeCell="V136" sqref="V136"/>
      <selection pane="topRight" activeCell="V136" sqref="V136"/>
      <selection pane="bottomLeft" activeCell="V136" sqref="V136"/>
      <selection pane="bottomRight" activeCell="V136" sqref="V136"/>
    </sheetView>
  </sheetViews>
  <sheetFormatPr defaultColWidth="8.85546875" defaultRowHeight="12.75"/>
  <cols>
    <col min="1" max="1" width="15.140625" style="4" customWidth="1"/>
    <col min="2" max="2" width="19.7109375" style="4" customWidth="1"/>
    <col min="3" max="3" width="18.85546875" style="27" customWidth="1"/>
    <col min="4" max="14" width="5.28515625" style="4" customWidth="1"/>
    <col min="15" max="15" width="10.85546875" style="4" customWidth="1"/>
    <col min="16" max="20" width="5.28515625" style="4" customWidth="1"/>
    <col min="21" max="21" width="10.85546875" style="4" customWidth="1"/>
    <col min="22" max="24" width="5.28515625" style="4" customWidth="1"/>
    <col min="25" max="25" width="10.85546875" style="4" customWidth="1"/>
    <col min="26" max="28" width="5.28515625" style="4" customWidth="1"/>
    <col min="29" max="29" width="10.85546875" style="4" customWidth="1"/>
    <col min="30" max="31" width="5.28515625" style="4" customWidth="1"/>
    <col min="32" max="32" width="2.85546875" style="4" customWidth="1"/>
    <col min="33" max="33" width="50.85546875" style="121" customWidth="1"/>
    <col min="34" max="48" width="8.85546875" style="4"/>
    <col min="49" max="49" width="9.7109375" style="4" bestFit="1" customWidth="1"/>
    <col min="50" max="16384" width="8.85546875" style="4"/>
  </cols>
  <sheetData>
    <row r="1" spans="1:38" s="67" customFormat="1" ht="16.5" thickBot="1">
      <c r="A1" s="3" t="s">
        <v>0</v>
      </c>
      <c r="B1" s="64" t="s">
        <v>643</v>
      </c>
      <c r="C1" s="65" t="s">
        <v>775</v>
      </c>
      <c r="D1" s="65"/>
      <c r="E1" s="65"/>
      <c r="F1" s="65"/>
      <c r="G1" s="65"/>
      <c r="H1" s="65"/>
      <c r="I1" s="65"/>
      <c r="J1" s="65"/>
      <c r="K1" s="65"/>
      <c r="L1" s="65"/>
      <c r="M1" s="65"/>
      <c r="N1" s="65"/>
      <c r="O1" s="65"/>
      <c r="P1" s="65"/>
      <c r="Q1" s="65"/>
      <c r="R1" s="65"/>
      <c r="S1" s="65"/>
      <c r="T1" s="65"/>
      <c r="U1" s="65"/>
      <c r="V1" s="65"/>
      <c r="W1" s="65"/>
      <c r="X1" s="65"/>
      <c r="Y1" s="65"/>
      <c r="Z1" s="65"/>
      <c r="AA1" s="65"/>
      <c r="AB1" s="65"/>
      <c r="AC1" s="65"/>
      <c r="AD1" s="65"/>
      <c r="AE1" s="66"/>
      <c r="AG1" s="121"/>
      <c r="AI1" s="1419" t="s">
        <v>1102</v>
      </c>
      <c r="AJ1" s="1419"/>
      <c r="AK1" s="1419"/>
      <c r="AL1" s="1419"/>
    </row>
    <row r="2" spans="1:38">
      <c r="A2" s="5"/>
      <c r="B2" s="5"/>
      <c r="C2" s="6"/>
      <c r="D2" s="215" t="s">
        <v>631</v>
      </c>
      <c r="E2" s="215"/>
      <c r="F2" s="215"/>
      <c r="G2" s="215"/>
      <c r="H2" s="262" t="s">
        <v>669</v>
      </c>
      <c r="I2" s="215"/>
      <c r="J2" s="215" t="s">
        <v>626</v>
      </c>
      <c r="K2" s="215"/>
      <c r="L2" s="215"/>
      <c r="M2" s="215"/>
      <c r="N2" s="215"/>
      <c r="O2" s="215" t="s">
        <v>627</v>
      </c>
      <c r="P2" s="215"/>
      <c r="Q2" s="215"/>
      <c r="R2" s="215"/>
      <c r="S2" s="215"/>
      <c r="U2" s="215" t="s">
        <v>628</v>
      </c>
      <c r="V2" s="215"/>
      <c r="W2" s="215"/>
      <c r="X2" s="215"/>
      <c r="Y2" s="215" t="s">
        <v>629</v>
      </c>
      <c r="Z2" s="215"/>
      <c r="AA2" s="215"/>
      <c r="AB2" s="215"/>
      <c r="AC2" s="215" t="s">
        <v>630</v>
      </c>
      <c r="AD2" s="215"/>
      <c r="AE2" s="215"/>
      <c r="AI2" s="577" t="s">
        <v>1015</v>
      </c>
      <c r="AJ2" s="577" t="s">
        <v>1016</v>
      </c>
      <c r="AK2" s="577" t="s">
        <v>1017</v>
      </c>
      <c r="AL2" s="577" t="s">
        <v>1018</v>
      </c>
    </row>
    <row r="3" spans="1:38" ht="13.5" thickBot="1">
      <c r="A3" s="5"/>
      <c r="B3" s="5"/>
      <c r="C3" s="6"/>
      <c r="D3" s="212" t="s">
        <v>624</v>
      </c>
      <c r="E3" s="212" t="s">
        <v>625</v>
      </c>
      <c r="F3" s="212" t="s">
        <v>622</v>
      </c>
      <c r="G3" s="212" t="s">
        <v>623</v>
      </c>
      <c r="H3" s="212" t="s">
        <v>624</v>
      </c>
      <c r="I3" s="212" t="s">
        <v>625</v>
      </c>
      <c r="J3" s="212" t="s">
        <v>622</v>
      </c>
      <c r="K3" s="212" t="s">
        <v>623</v>
      </c>
      <c r="L3" s="212" t="s">
        <v>624</v>
      </c>
      <c r="M3" s="212" t="s">
        <v>625</v>
      </c>
      <c r="N3" s="212" t="s">
        <v>622</v>
      </c>
      <c r="O3" s="212" t="s">
        <v>623</v>
      </c>
      <c r="P3" s="212" t="s">
        <v>624</v>
      </c>
      <c r="Q3" s="212" t="s">
        <v>625</v>
      </c>
      <c r="R3" s="212" t="s">
        <v>622</v>
      </c>
      <c r="S3" s="212" t="s">
        <v>623</v>
      </c>
      <c r="T3" s="212" t="s">
        <v>624</v>
      </c>
      <c r="U3" s="212" t="s">
        <v>625</v>
      </c>
      <c r="V3" s="212" t="s">
        <v>622</v>
      </c>
      <c r="W3" s="212" t="s">
        <v>623</v>
      </c>
      <c r="X3" s="212" t="s">
        <v>624</v>
      </c>
      <c r="Y3" s="212" t="s">
        <v>625</v>
      </c>
      <c r="Z3" s="212" t="s">
        <v>622</v>
      </c>
      <c r="AA3" s="212" t="s">
        <v>623</v>
      </c>
      <c r="AB3" s="212" t="s">
        <v>624</v>
      </c>
      <c r="AC3" s="212" t="s">
        <v>625</v>
      </c>
      <c r="AD3" s="212" t="s">
        <v>622</v>
      </c>
      <c r="AE3" s="212" t="s">
        <v>623</v>
      </c>
      <c r="AI3" s="577" t="s">
        <v>1022</v>
      </c>
      <c r="AJ3" s="577" t="s">
        <v>1021</v>
      </c>
      <c r="AK3" s="577" t="s">
        <v>1020</v>
      </c>
      <c r="AL3" s="577" t="s">
        <v>1019</v>
      </c>
    </row>
    <row r="4" spans="1:38" ht="12.95" customHeight="1" thickBot="1">
      <c r="A4" s="15" t="s">
        <v>1</v>
      </c>
      <c r="B4" s="514" t="s">
        <v>730</v>
      </c>
      <c r="C4" s="8"/>
      <c r="D4" s="1377">
        <v>2008</v>
      </c>
      <c r="E4" s="1378"/>
      <c r="F4" s="1372">
        <v>2009</v>
      </c>
      <c r="G4" s="1373"/>
      <c r="H4" s="1373"/>
      <c r="I4" s="1374"/>
      <c r="J4" s="1372">
        <v>2010</v>
      </c>
      <c r="K4" s="1373"/>
      <c r="L4" s="1373"/>
      <c r="M4" s="1374"/>
      <c r="N4" s="1372">
        <v>2011</v>
      </c>
      <c r="O4" s="1373"/>
      <c r="P4" s="1373"/>
      <c r="Q4" s="1374"/>
      <c r="R4" s="1372">
        <v>2012</v>
      </c>
      <c r="S4" s="1373"/>
      <c r="T4" s="1373"/>
      <c r="U4" s="1374"/>
      <c r="V4" s="1372">
        <v>2013</v>
      </c>
      <c r="W4" s="1373"/>
      <c r="X4" s="1373"/>
      <c r="Y4" s="1374"/>
      <c r="Z4" s="1372">
        <v>2014</v>
      </c>
      <c r="AA4" s="1373"/>
      <c r="AB4" s="1373"/>
      <c r="AC4" s="1374"/>
      <c r="AD4" s="1372">
        <v>2015</v>
      </c>
      <c r="AE4" s="1374"/>
      <c r="AG4" s="257" t="s">
        <v>663</v>
      </c>
      <c r="AH4" s="351" t="s">
        <v>1050</v>
      </c>
      <c r="AI4" s="642">
        <f>(SUM(AI5:AI9))/5</f>
        <v>44.848038741125357</v>
      </c>
      <c r="AJ4" s="643">
        <f>(SUM(AJ5:AJ9))/5</f>
        <v>74.281095405451765</v>
      </c>
      <c r="AK4" s="643">
        <f>(SUM(AK5:AK12))/8</f>
        <v>152.32326501353745</v>
      </c>
      <c r="AL4" s="644">
        <f>(SUM(AL5:AL12))/8</f>
        <v>288.46878536930177</v>
      </c>
    </row>
    <row r="5" spans="1:38" ht="12.95" customHeight="1" thickBot="1">
      <c r="A5" s="868" t="s">
        <v>47</v>
      </c>
      <c r="B5" s="868"/>
      <c r="C5" s="194" t="s">
        <v>802</v>
      </c>
      <c r="D5" s="206"/>
      <c r="E5" s="207"/>
      <c r="F5" s="209"/>
      <c r="G5" s="206"/>
      <c r="H5" s="206"/>
      <c r="I5" s="207"/>
      <c r="J5" s="332"/>
      <c r="K5" s="206"/>
      <c r="L5" s="206"/>
      <c r="M5" s="207"/>
      <c r="N5" s="277"/>
      <c r="O5" s="278">
        <f>('State Efficiency Ratios (2014)'!O22+'State Efficiency Ratios (2014)'!O45+'State Efficiency Ratios (2014)'!O69)/3</f>
        <v>130.71072920159727</v>
      </c>
      <c r="P5" s="278"/>
      <c r="Q5" s="279"/>
      <c r="R5" s="277"/>
      <c r="S5" s="278"/>
      <c r="T5" s="278"/>
      <c r="U5" s="278">
        <f>('State Efficiency Ratios (2014)'!U22+'State Efficiency Ratios (2014)'!U45+'State Efficiency Ratios (2014)'!U69)/3</f>
        <v>6.5799310661661652</v>
      </c>
      <c r="V5" s="277"/>
      <c r="W5" s="278"/>
      <c r="X5" s="278"/>
      <c r="Y5" s="278">
        <f>('State Efficiency Ratios (2014)'!Y22+'State Efficiency Ratios (2014)'!Y45+'State Efficiency Ratios (2014)'!Y69)/3</f>
        <v>66.216980849029497</v>
      </c>
      <c r="Z5" s="277"/>
      <c r="AA5" s="278"/>
      <c r="AB5" s="278"/>
      <c r="AC5" s="278">
        <f>('State Efficiency Ratios (2014)'!AC22+'State Efficiency Ratios (2014)'!AC45+'State Efficiency Ratios (2014)'!AC69)/3</f>
        <v>301.89909831438007</v>
      </c>
      <c r="AD5" s="277"/>
      <c r="AE5" s="280"/>
      <c r="AG5" s="295" t="s">
        <v>668</v>
      </c>
      <c r="AH5" s="351" t="s">
        <v>756</v>
      </c>
      <c r="AI5" s="624">
        <f>O5</f>
        <v>130.71072920159727</v>
      </c>
      <c r="AJ5" s="625">
        <f>U5</f>
        <v>6.5799310661661652</v>
      </c>
      <c r="AK5" s="625">
        <f>Y5</f>
        <v>66.216980849029497</v>
      </c>
      <c r="AL5" s="626">
        <f>AC5</f>
        <v>301.89909831438007</v>
      </c>
    </row>
    <row r="6" spans="1:38" ht="24.75" thickBot="1">
      <c r="A6" s="885"/>
      <c r="B6" s="885"/>
      <c r="C6" s="194" t="s">
        <v>803</v>
      </c>
      <c r="D6" s="206"/>
      <c r="E6" s="207"/>
      <c r="F6" s="209"/>
      <c r="G6" s="206"/>
      <c r="H6" s="206"/>
      <c r="I6" s="207"/>
      <c r="J6" s="209"/>
      <c r="K6" s="206"/>
      <c r="L6" s="206"/>
      <c r="M6" s="207"/>
      <c r="N6" s="277"/>
      <c r="O6" s="278">
        <f>('State Efficiency Ratios (2014)'!O23+'State Efficiency Ratios (2014)'!O46+'State Efficiency Ratios (2014)'!O70)/3</f>
        <v>-38.965582277440312</v>
      </c>
      <c r="P6" s="278"/>
      <c r="Q6" s="279"/>
      <c r="R6" s="277"/>
      <c r="S6" s="278"/>
      <c r="T6" s="278"/>
      <c r="U6" s="278">
        <f>('State Efficiency Ratios (2014)'!U23+'State Efficiency Ratios (2014)'!U46+'State Efficiency Ratios (2014)'!U70)/3</f>
        <v>137.66297136774492</v>
      </c>
      <c r="V6" s="277"/>
      <c r="W6" s="278"/>
      <c r="X6" s="278"/>
      <c r="Y6" s="278">
        <f>('State Efficiency Ratios (2014)'!Y23+'State Efficiency Ratios (2014)'!Y46+'State Efficiency Ratios (2014)'!Y70)/3</f>
        <v>198.24699472455401</v>
      </c>
      <c r="Z6" s="277"/>
      <c r="AA6" s="278"/>
      <c r="AB6" s="278"/>
      <c r="AC6" s="278">
        <f>('State Efficiency Ratios (2014)'!AC23+'State Efficiency Ratios (2014)'!AC46+'State Efficiency Ratios (2014)'!AC70)/3</f>
        <v>286.94461085018088</v>
      </c>
      <c r="AD6" s="277"/>
      <c r="AE6" s="280"/>
      <c r="AG6" s="295"/>
      <c r="AH6" s="351" t="s">
        <v>757</v>
      </c>
      <c r="AI6" s="627">
        <f t="shared" ref="AI6:AI14" si="0">O6</f>
        <v>-38.965582277440312</v>
      </c>
      <c r="AJ6" s="598">
        <f t="shared" ref="AJ6:AJ14" si="1">U6</f>
        <v>137.66297136774492</v>
      </c>
      <c r="AK6" s="598">
        <f t="shared" ref="AK6:AK14" si="2">Y6</f>
        <v>198.24699472455401</v>
      </c>
      <c r="AL6" s="628">
        <f t="shared" ref="AL6:AL14" si="3">AC6</f>
        <v>286.94461085018088</v>
      </c>
    </row>
    <row r="7" spans="1:38" ht="24.75" thickBot="1">
      <c r="A7" s="885"/>
      <c r="B7" s="885"/>
      <c r="C7" s="194" t="s">
        <v>804</v>
      </c>
      <c r="D7" s="206"/>
      <c r="E7" s="207"/>
      <c r="F7" s="209"/>
      <c r="G7" s="206"/>
      <c r="H7" s="206"/>
      <c r="I7" s="207"/>
      <c r="J7" s="209"/>
      <c r="K7" s="206"/>
      <c r="L7" s="206"/>
      <c r="M7" s="207"/>
      <c r="N7" s="277"/>
      <c r="O7" s="278">
        <f>('State Efficiency Ratios (2014)'!O24+'State Efficiency Ratios (2014)'!O47+'State Efficiency Ratios (2014)'!O71)/3</f>
        <v>31.412154635239272</v>
      </c>
      <c r="P7" s="278"/>
      <c r="Q7" s="279"/>
      <c r="R7" s="277"/>
      <c r="S7" s="278"/>
      <c r="T7" s="278"/>
      <c r="U7" s="278">
        <f>('State Efficiency Ratios (2014)'!U24+'State Efficiency Ratios (2014)'!U47+'State Efficiency Ratios (2014)'!U71)/3</f>
        <v>54.840786880454822</v>
      </c>
      <c r="V7" s="277"/>
      <c r="W7" s="278"/>
      <c r="X7" s="278"/>
      <c r="Y7" s="278">
        <f>('State Efficiency Ratios (2014)'!Y24+'State Efficiency Ratios (2014)'!Y47+'State Efficiency Ratios (2014)'!Y71)/3</f>
        <v>45.050909153193125</v>
      </c>
      <c r="Z7" s="277"/>
      <c r="AA7" s="278"/>
      <c r="AB7" s="278"/>
      <c r="AC7" s="278">
        <f>('State Efficiency Ratios (2014)'!AC24+'State Efficiency Ratios (2014)'!AC47+'State Efficiency Ratios (2014)'!AC71)/3</f>
        <v>180.21049945409473</v>
      </c>
      <c r="AD7" s="277"/>
      <c r="AE7" s="280"/>
      <c r="AG7" s="295"/>
      <c r="AH7" s="351" t="s">
        <v>758</v>
      </c>
      <c r="AI7" s="627">
        <f t="shared" si="0"/>
        <v>31.412154635239272</v>
      </c>
      <c r="AJ7" s="598">
        <f t="shared" si="1"/>
        <v>54.840786880454822</v>
      </c>
      <c r="AK7" s="598">
        <f t="shared" si="2"/>
        <v>45.050909153193125</v>
      </c>
      <c r="AL7" s="628">
        <f t="shared" si="3"/>
        <v>180.21049945409473</v>
      </c>
    </row>
    <row r="8" spans="1:38" ht="13.5" thickBot="1">
      <c r="A8" s="885"/>
      <c r="B8" s="885"/>
      <c r="C8" s="194" t="s">
        <v>805</v>
      </c>
      <c r="D8" s="206"/>
      <c r="E8" s="207"/>
      <c r="F8" s="209"/>
      <c r="G8" s="206"/>
      <c r="H8" s="206"/>
      <c r="I8" s="207"/>
      <c r="J8" s="209"/>
      <c r="K8" s="206"/>
      <c r="L8" s="206"/>
      <c r="M8" s="207"/>
      <c r="N8" s="277"/>
      <c r="O8" s="278">
        <f>('State Efficiency Ratios (2014)'!O25+'State Efficiency Ratios (2014)'!O48+'State Efficiency Ratios (2014)'!O72)/3</f>
        <v>54.935861625295779</v>
      </c>
      <c r="P8" s="278"/>
      <c r="Q8" s="279"/>
      <c r="R8" s="277"/>
      <c r="S8" s="278"/>
      <c r="T8" s="278"/>
      <c r="U8" s="278">
        <f>('State Efficiency Ratios (2014)'!U25+'State Efficiency Ratios (2014)'!U48+'State Efficiency Ratios (2014)'!U72)/3</f>
        <v>47.001468027776589</v>
      </c>
      <c r="V8" s="277"/>
      <c r="W8" s="278"/>
      <c r="X8" s="278"/>
      <c r="Y8" s="278">
        <f>('State Efficiency Ratios (2014)'!Y25+'State Efficiency Ratios (2014)'!Y48+'State Efficiency Ratios (2014)'!Y72)/3</f>
        <v>179.696408638977</v>
      </c>
      <c r="Z8" s="277"/>
      <c r="AA8" s="278"/>
      <c r="AB8" s="278"/>
      <c r="AC8" s="278">
        <f>('State Efficiency Ratios (2014)'!AC25+'State Efficiency Ratios (2014)'!AC48+'State Efficiency Ratios (2014)'!AC72)/3</f>
        <v>193.51196823655206</v>
      </c>
      <c r="AD8" s="277"/>
      <c r="AE8" s="280"/>
      <c r="AG8" s="295"/>
      <c r="AH8" s="351" t="s">
        <v>759</v>
      </c>
      <c r="AI8" s="627">
        <f t="shared" si="0"/>
        <v>54.935861625295779</v>
      </c>
      <c r="AJ8" s="598">
        <f t="shared" si="1"/>
        <v>47.001468027776589</v>
      </c>
      <c r="AK8" s="598">
        <f t="shared" si="2"/>
        <v>179.696408638977</v>
      </c>
      <c r="AL8" s="628">
        <f t="shared" si="3"/>
        <v>193.51196823655206</v>
      </c>
    </row>
    <row r="9" spans="1:38" ht="13.5" thickBot="1">
      <c r="A9" s="885"/>
      <c r="B9" s="885"/>
      <c r="C9" s="194" t="s">
        <v>806</v>
      </c>
      <c r="D9" s="206"/>
      <c r="E9" s="207"/>
      <c r="F9" s="209"/>
      <c r="G9" s="206"/>
      <c r="H9" s="206"/>
      <c r="I9" s="207"/>
      <c r="J9" s="209"/>
      <c r="K9" s="206"/>
      <c r="L9" s="206"/>
      <c r="M9" s="207"/>
      <c r="N9" s="277"/>
      <c r="O9" s="278">
        <f>('State Efficiency Ratios (2014)'!O26+'State Efficiency Ratios (2014)'!O49+'State Efficiency Ratios (2014)'!O73)/3</f>
        <v>46.147030520934784</v>
      </c>
      <c r="P9" s="278"/>
      <c r="Q9" s="279"/>
      <c r="R9" s="277"/>
      <c r="S9" s="278"/>
      <c r="T9" s="278"/>
      <c r="U9" s="278">
        <f>('State Efficiency Ratios (2014)'!U26+'State Efficiency Ratios (2014)'!U49+'State Efficiency Ratios (2014)'!U73)/3</f>
        <v>125.32031968511636</v>
      </c>
      <c r="V9" s="277"/>
      <c r="W9" s="278"/>
      <c r="X9" s="278"/>
      <c r="Y9" s="278">
        <f>('State Efficiency Ratios (2014)'!Y26+'State Efficiency Ratios (2014)'!Y49+'State Efficiency Ratios (2014)'!Y73)/3</f>
        <v>93.751779865484195</v>
      </c>
      <c r="Z9" s="277"/>
      <c r="AA9" s="278"/>
      <c r="AB9" s="278"/>
      <c r="AC9" s="278">
        <f>('State Efficiency Ratios (2014)'!AC26+'State Efficiency Ratios (2014)'!AC49+'State Efficiency Ratios (2014)'!AC73)/3</f>
        <v>24.883239606021089</v>
      </c>
      <c r="AD9" s="277"/>
      <c r="AE9" s="280"/>
      <c r="AG9" s="295"/>
      <c r="AH9" s="351" t="s">
        <v>760</v>
      </c>
      <c r="AI9" s="627">
        <f t="shared" si="0"/>
        <v>46.147030520934784</v>
      </c>
      <c r="AJ9" s="598">
        <f t="shared" si="1"/>
        <v>125.32031968511636</v>
      </c>
      <c r="AK9" s="598">
        <f t="shared" si="2"/>
        <v>93.751779865484195</v>
      </c>
      <c r="AL9" s="628">
        <f t="shared" si="3"/>
        <v>24.883239606021089</v>
      </c>
    </row>
    <row r="10" spans="1:38" ht="12.95" customHeight="1" thickBot="1">
      <c r="A10" s="885"/>
      <c r="B10" s="885"/>
      <c r="C10" s="194" t="s">
        <v>807</v>
      </c>
      <c r="D10" s="210"/>
      <c r="E10" s="211"/>
      <c r="F10" s="209"/>
      <c r="G10" s="210"/>
      <c r="H10" s="210"/>
      <c r="I10" s="211"/>
      <c r="J10" s="209"/>
      <c r="K10" s="210"/>
      <c r="L10" s="210"/>
      <c r="M10" s="211"/>
      <c r="N10" s="281"/>
      <c r="O10" s="282"/>
      <c r="P10" s="282"/>
      <c r="Q10" s="282"/>
      <c r="R10" s="277"/>
      <c r="S10" s="278"/>
      <c r="T10" s="278"/>
      <c r="U10" s="278">
        <f>('State Efficiency Ratios (2014)'!U27+'State Efficiency Ratios (2014)'!U50+'State Efficiency Ratios (2014)'!U74)/3</f>
        <v>64.639257262533008</v>
      </c>
      <c r="V10" s="277"/>
      <c r="W10" s="278"/>
      <c r="X10" s="278"/>
      <c r="Y10" s="278">
        <f>('State Efficiency Ratios (2014)'!Y27+'State Efficiency Ratios (2014)'!Y50+'State Efficiency Ratios (2014)'!Y74)/3</f>
        <v>108.49214331584655</v>
      </c>
      <c r="Z10" s="277"/>
      <c r="AA10" s="278"/>
      <c r="AB10" s="278"/>
      <c r="AC10" s="278">
        <f>('State Efficiency Ratios (2014)'!AC27+'State Efficiency Ratios (2014)'!AC50+'State Efficiency Ratios (2014)'!AC74)/3</f>
        <v>328.86766559890958</v>
      </c>
      <c r="AD10" s="277"/>
      <c r="AE10" s="280"/>
      <c r="AG10" s="295"/>
      <c r="AH10" s="351" t="s">
        <v>761</v>
      </c>
      <c r="AI10" s="627">
        <f t="shared" si="0"/>
        <v>0</v>
      </c>
      <c r="AJ10" s="598">
        <f t="shared" si="1"/>
        <v>64.639257262533008</v>
      </c>
      <c r="AK10" s="598">
        <f t="shared" si="2"/>
        <v>108.49214331584655</v>
      </c>
      <c r="AL10" s="628">
        <f t="shared" si="3"/>
        <v>328.86766559890958</v>
      </c>
    </row>
    <row r="11" spans="1:38" ht="12.95" customHeight="1" thickBot="1">
      <c r="A11" s="885"/>
      <c r="B11" s="885"/>
      <c r="C11" s="194" t="s">
        <v>808</v>
      </c>
      <c r="D11" s="210"/>
      <c r="E11" s="211"/>
      <c r="F11" s="209"/>
      <c r="G11" s="210"/>
      <c r="H11" s="210"/>
      <c r="I11" s="211"/>
      <c r="J11" s="209"/>
      <c r="K11" s="210"/>
      <c r="L11" s="210"/>
      <c r="M11" s="211"/>
      <c r="N11" s="281"/>
      <c r="O11" s="282"/>
      <c r="P11" s="282"/>
      <c r="Q11" s="282"/>
      <c r="R11" s="277"/>
      <c r="S11" s="278"/>
      <c r="T11" s="278"/>
      <c r="U11" s="278">
        <f>('State Efficiency Ratios (2014)'!U28+'State Efficiency Ratios (2014)'!U51+'State Efficiency Ratios (2014)'!U75)/3</f>
        <v>64.927398948774496</v>
      </c>
      <c r="V11" s="277"/>
      <c r="W11" s="278"/>
      <c r="X11" s="278"/>
      <c r="Y11" s="278">
        <f>('State Efficiency Ratios (2014)'!Y28+'State Efficiency Ratios (2014)'!Y51+'State Efficiency Ratios (2014)'!Y75)/3</f>
        <v>194.49282765415578</v>
      </c>
      <c r="Z11" s="277"/>
      <c r="AA11" s="278"/>
      <c r="AB11" s="278"/>
      <c r="AC11" s="278">
        <f>('State Efficiency Ratios (2014)'!AC28+'State Efficiency Ratios (2014)'!AC51+'State Efficiency Ratios (2014)'!AC75)/3</f>
        <v>427.6456897207101</v>
      </c>
      <c r="AD11" s="277"/>
      <c r="AE11" s="280"/>
      <c r="AG11" s="295"/>
      <c r="AH11" s="351" t="s">
        <v>762</v>
      </c>
      <c r="AI11" s="627">
        <f t="shared" si="0"/>
        <v>0</v>
      </c>
      <c r="AJ11" s="598">
        <f t="shared" si="1"/>
        <v>64.927398948774496</v>
      </c>
      <c r="AK11" s="598">
        <f t="shared" si="2"/>
        <v>194.49282765415578</v>
      </c>
      <c r="AL11" s="628">
        <f t="shared" si="3"/>
        <v>427.6456897207101</v>
      </c>
    </row>
    <row r="12" spans="1:38" ht="12.95" customHeight="1" thickBot="1">
      <c r="A12" s="885"/>
      <c r="B12" s="885"/>
      <c r="C12" s="194" t="s">
        <v>809</v>
      </c>
      <c r="D12" s="210"/>
      <c r="E12" s="211"/>
      <c r="F12" s="209"/>
      <c r="G12" s="210"/>
      <c r="H12" s="210"/>
      <c r="I12" s="211"/>
      <c r="J12" s="209"/>
      <c r="K12" s="210"/>
      <c r="L12" s="210"/>
      <c r="M12" s="211"/>
      <c r="N12" s="281"/>
      <c r="O12" s="282"/>
      <c r="P12" s="282"/>
      <c r="Q12" s="282"/>
      <c r="R12" s="277"/>
      <c r="S12" s="278"/>
      <c r="T12" s="278"/>
      <c r="U12" s="278">
        <f>('State Efficiency Ratios (2014)'!U29+'State Efficiency Ratios (2014)'!U52+'State Efficiency Ratios (2014)'!U76)/3</f>
        <v>0</v>
      </c>
      <c r="V12" s="277"/>
      <c r="W12" s="278"/>
      <c r="X12" s="278"/>
      <c r="Y12" s="278">
        <f>('State Efficiency Ratios (2014)'!Y29+'State Efficiency Ratios (2014)'!Y52+'State Efficiency Ratios (2014)'!Y76)/3</f>
        <v>332.63807590705943</v>
      </c>
      <c r="Z12" s="277"/>
      <c r="AA12" s="278"/>
      <c r="AB12" s="278"/>
      <c r="AC12" s="278">
        <f>('State Efficiency Ratios (2014)'!AC29+'State Efficiency Ratios (2014)'!AC52+'State Efficiency Ratios (2014)'!AC76)/3</f>
        <v>563.78751117356558</v>
      </c>
      <c r="AD12" s="277"/>
      <c r="AE12" s="280"/>
      <c r="AG12" s="295"/>
      <c r="AH12" s="351" t="s">
        <v>763</v>
      </c>
      <c r="AI12" s="627">
        <f t="shared" si="0"/>
        <v>0</v>
      </c>
      <c r="AJ12" s="598">
        <f t="shared" si="1"/>
        <v>0</v>
      </c>
      <c r="AK12" s="598">
        <f t="shared" si="2"/>
        <v>332.63807590705943</v>
      </c>
      <c r="AL12" s="628">
        <f t="shared" si="3"/>
        <v>563.78751117356558</v>
      </c>
    </row>
    <row r="13" spans="1:38" ht="12.95" customHeight="1" thickBot="1">
      <c r="A13" s="885"/>
      <c r="B13" s="885"/>
      <c r="C13" s="194" t="s">
        <v>810</v>
      </c>
      <c r="D13" s="210"/>
      <c r="E13" s="211"/>
      <c r="F13" s="209"/>
      <c r="G13" s="210"/>
      <c r="H13" s="210"/>
      <c r="I13" s="211"/>
      <c r="J13" s="209"/>
      <c r="K13" s="210"/>
      <c r="L13" s="210"/>
      <c r="M13" s="211"/>
      <c r="N13" s="281"/>
      <c r="O13" s="282"/>
      <c r="P13" s="282"/>
      <c r="Q13" s="283"/>
      <c r="R13" s="281"/>
      <c r="S13" s="282"/>
      <c r="T13" s="282"/>
      <c r="U13" s="283"/>
      <c r="V13" s="281"/>
      <c r="W13" s="282"/>
      <c r="X13" s="282"/>
      <c r="Y13" s="283"/>
      <c r="Z13" s="277"/>
      <c r="AA13" s="278"/>
      <c r="AB13" s="278"/>
      <c r="AC13" s="278">
        <f>('State Efficiency Ratios (2014)'!AC30+'State Efficiency Ratios (2014)'!AC53+'State Efficiency Ratios (2014)'!AC77)/3</f>
        <v>0</v>
      </c>
      <c r="AD13" s="277"/>
      <c r="AE13" s="280"/>
      <c r="AG13" s="295"/>
      <c r="AH13" s="351" t="s">
        <v>1098</v>
      </c>
      <c r="AI13" s="627">
        <f t="shared" si="0"/>
        <v>0</v>
      </c>
      <c r="AJ13" s="598">
        <f t="shared" si="1"/>
        <v>0</v>
      </c>
      <c r="AK13" s="598">
        <f t="shared" si="2"/>
        <v>0</v>
      </c>
      <c r="AL13" s="628">
        <f t="shared" si="3"/>
        <v>0</v>
      </c>
    </row>
    <row r="14" spans="1:38" ht="12.95" customHeight="1" thickBot="1">
      <c r="A14" s="869"/>
      <c r="B14" s="869"/>
      <c r="C14" s="194" t="s">
        <v>811</v>
      </c>
      <c r="D14" s="210"/>
      <c r="E14" s="211"/>
      <c r="F14" s="209"/>
      <c r="G14" s="210"/>
      <c r="H14" s="210"/>
      <c r="I14" s="211"/>
      <c r="J14" s="209"/>
      <c r="K14" s="210"/>
      <c r="L14" s="210"/>
      <c r="M14" s="211"/>
      <c r="N14" s="281"/>
      <c r="O14" s="282"/>
      <c r="P14" s="282"/>
      <c r="Q14" s="283"/>
      <c r="R14" s="281"/>
      <c r="S14" s="282"/>
      <c r="T14" s="282"/>
      <c r="U14" s="283"/>
      <c r="V14" s="281"/>
      <c r="W14" s="282"/>
      <c r="X14" s="282"/>
      <c r="Y14" s="283"/>
      <c r="Z14" s="277"/>
      <c r="AA14" s="278"/>
      <c r="AB14" s="278"/>
      <c r="AC14" s="278">
        <f>('State Efficiency Ratios (2014)'!AC31+'State Efficiency Ratios (2014)'!AC54+'State Efficiency Ratios (2014)'!AC78)/3</f>
        <v>0</v>
      </c>
      <c r="AD14" s="277"/>
      <c r="AE14" s="280"/>
      <c r="AG14" s="295"/>
      <c r="AH14" s="351" t="s">
        <v>1099</v>
      </c>
      <c r="AI14" s="595">
        <f t="shared" si="0"/>
        <v>0</v>
      </c>
      <c r="AJ14" s="596">
        <f t="shared" si="1"/>
        <v>0</v>
      </c>
      <c r="AK14" s="596">
        <f t="shared" si="2"/>
        <v>0</v>
      </c>
      <c r="AL14" s="597">
        <f t="shared" si="3"/>
        <v>0</v>
      </c>
    </row>
    <row r="15" spans="1:38" ht="13.5" thickBot="1">
      <c r="A15" s="5"/>
      <c r="B15" s="5"/>
      <c r="C15" s="6"/>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row>
    <row r="16" spans="1:38" ht="12.95" customHeight="1" thickBot="1">
      <c r="A16" s="513" t="s">
        <v>5</v>
      </c>
      <c r="B16" s="514" t="s">
        <v>731</v>
      </c>
      <c r="C16" s="8"/>
      <c r="D16" s="1377">
        <v>2008</v>
      </c>
      <c r="E16" s="1378"/>
      <c r="F16" s="1372">
        <v>2009</v>
      </c>
      <c r="G16" s="1373"/>
      <c r="H16" s="1373"/>
      <c r="I16" s="1374"/>
      <c r="J16" s="1372">
        <v>2010</v>
      </c>
      <c r="K16" s="1373"/>
      <c r="L16" s="1373"/>
      <c r="M16" s="1374"/>
      <c r="N16" s="1372">
        <v>2011</v>
      </c>
      <c r="O16" s="1373"/>
      <c r="P16" s="1373"/>
      <c r="Q16" s="1374"/>
      <c r="R16" s="1372">
        <v>2012</v>
      </c>
      <c r="S16" s="1373"/>
      <c r="T16" s="1373"/>
      <c r="U16" s="1374"/>
      <c r="V16" s="1372">
        <v>2013</v>
      </c>
      <c r="W16" s="1373"/>
      <c r="X16" s="1373"/>
      <c r="Y16" s="1374"/>
      <c r="Z16" s="1372">
        <v>2014</v>
      </c>
      <c r="AA16" s="1373"/>
      <c r="AB16" s="1373"/>
      <c r="AC16" s="1374"/>
      <c r="AD16" s="1372">
        <v>2015</v>
      </c>
      <c r="AE16" s="1374"/>
      <c r="AG16" s="257" t="s">
        <v>663</v>
      </c>
      <c r="AH16" s="351" t="s">
        <v>1050</v>
      </c>
      <c r="AI16" s="642">
        <f>(SUM(AI17:AI21))/5</f>
        <v>71.883142856659973</v>
      </c>
      <c r="AJ16" s="643">
        <f>(SUM(AJ17:AJ21))/5</f>
        <v>131.98237372336717</v>
      </c>
      <c r="AK16" s="643">
        <f>(SUM(AK17:AK24))/8</f>
        <v>427.73547078170952</v>
      </c>
      <c r="AL16" s="644">
        <f>(SUM(AL17:AL24))/8</f>
        <v>395.07576556058331</v>
      </c>
    </row>
    <row r="17" spans="1:38" ht="12.95" customHeight="1" thickBot="1">
      <c r="A17" s="868" t="s">
        <v>54</v>
      </c>
      <c r="B17" s="868"/>
      <c r="C17" s="194" t="s">
        <v>802</v>
      </c>
      <c r="D17" s="206"/>
      <c r="E17" s="207"/>
      <c r="F17" s="209"/>
      <c r="G17" s="206"/>
      <c r="H17" s="206"/>
      <c r="I17" s="207"/>
      <c r="J17" s="332"/>
      <c r="K17" s="206"/>
      <c r="L17" s="206"/>
      <c r="M17" s="207"/>
      <c r="N17" s="277"/>
      <c r="O17" s="278">
        <f>('State Efficiency Ratios (2014)'!O94+'State Efficiency Ratios (2014)'!O117+'State Efficiency Ratios (2014)'!O164)/3</f>
        <v>119.42506094252833</v>
      </c>
      <c r="P17" s="278"/>
      <c r="Q17" s="279"/>
      <c r="R17" s="277"/>
      <c r="S17" s="278"/>
      <c r="T17" s="278"/>
      <c r="U17" s="278">
        <f>('State Efficiency Ratios (2014)'!U94+'State Efficiency Ratios (2014)'!U117+'State Efficiency Ratios (2014)'!U164)/3</f>
        <v>118.91729963216669</v>
      </c>
      <c r="V17" s="277"/>
      <c r="W17" s="278"/>
      <c r="X17" s="278"/>
      <c r="Y17" s="278">
        <f>('State Efficiency Ratios (2014)'!Y94+'State Efficiency Ratios (2014)'!Y117+'State Efficiency Ratios (2014)'!Y140+'State Efficiency Ratios (2014)'!Y164)/4</f>
        <v>569.99276128568022</v>
      </c>
      <c r="Z17" s="277"/>
      <c r="AA17" s="278"/>
      <c r="AB17" s="278"/>
      <c r="AC17" s="278">
        <f>('State Efficiency Ratios (2014)'!AC94+'State Efficiency Ratios (2014)'!AC117+'State Efficiency Ratios (2014)'!AC140+'State Efficiency Ratios (2014)'!AC164)/4</f>
        <v>269.98036683566107</v>
      </c>
      <c r="AD17" s="277"/>
      <c r="AE17" s="280"/>
      <c r="AG17" s="295"/>
      <c r="AH17" s="351" t="s">
        <v>756</v>
      </c>
      <c r="AI17" s="624">
        <f>O17</f>
        <v>119.42506094252833</v>
      </c>
      <c r="AJ17" s="625">
        <f>U17</f>
        <v>118.91729963216669</v>
      </c>
      <c r="AK17" s="625">
        <f>Y17</f>
        <v>569.99276128568022</v>
      </c>
      <c r="AL17" s="626">
        <f>AC17</f>
        <v>269.98036683566107</v>
      </c>
    </row>
    <row r="18" spans="1:38" ht="24.75" thickBot="1">
      <c r="A18" s="885"/>
      <c r="B18" s="885"/>
      <c r="C18" s="194" t="s">
        <v>803</v>
      </c>
      <c r="D18" s="206"/>
      <c r="E18" s="207"/>
      <c r="F18" s="209"/>
      <c r="G18" s="206"/>
      <c r="H18" s="206"/>
      <c r="I18" s="207"/>
      <c r="J18" s="209"/>
      <c r="K18" s="206"/>
      <c r="L18" s="206"/>
      <c r="M18" s="207"/>
      <c r="N18" s="277"/>
      <c r="O18" s="278">
        <f>('State Efficiency Ratios (2014)'!O95+'State Efficiency Ratios (2014)'!O118+'State Efficiency Ratios (2014)'!O165)/3</f>
        <v>23.572567129823383</v>
      </c>
      <c r="P18" s="278"/>
      <c r="Q18" s="279"/>
      <c r="R18" s="277"/>
      <c r="S18" s="278"/>
      <c r="T18" s="278"/>
      <c r="U18" s="278">
        <f>('State Efficiency Ratios (2014)'!U95+'State Efficiency Ratios (2014)'!U118+'State Efficiency Ratios (2014)'!U165)/3</f>
        <v>138.29503276061794</v>
      </c>
      <c r="V18" s="277"/>
      <c r="W18" s="278"/>
      <c r="X18" s="278"/>
      <c r="Y18" s="278">
        <f>('State Efficiency Ratios (2014)'!Y95+'State Efficiency Ratios (2014)'!Y118+'State Efficiency Ratios (2014)'!Y141+'State Efficiency Ratios (2014)'!Y165)/4</f>
        <v>773.00656243388335</v>
      </c>
      <c r="Z18" s="277"/>
      <c r="AA18" s="278"/>
      <c r="AB18" s="278"/>
      <c r="AC18" s="278">
        <f>('State Efficiency Ratios (2014)'!AC95+'State Efficiency Ratios (2014)'!AC118+'State Efficiency Ratios (2014)'!AC141+'State Efficiency Ratios (2014)'!AC165)/4</f>
        <v>147.62233078862619</v>
      </c>
      <c r="AD18" s="277"/>
      <c r="AE18" s="280"/>
      <c r="AG18" s="295"/>
      <c r="AH18" s="351" t="s">
        <v>757</v>
      </c>
      <c r="AI18" s="627">
        <f t="shared" ref="AI18:AI26" si="4">O18</f>
        <v>23.572567129823383</v>
      </c>
      <c r="AJ18" s="598">
        <f t="shared" ref="AJ18:AJ26" si="5">U18</f>
        <v>138.29503276061794</v>
      </c>
      <c r="AK18" s="598">
        <f t="shared" ref="AK18:AK26" si="6">Y18</f>
        <v>773.00656243388335</v>
      </c>
      <c r="AL18" s="628">
        <f t="shared" ref="AL18:AL26" si="7">AC18</f>
        <v>147.62233078862619</v>
      </c>
    </row>
    <row r="19" spans="1:38" ht="24.75" thickBot="1">
      <c r="A19" s="885"/>
      <c r="B19" s="885"/>
      <c r="C19" s="194" t="s">
        <v>804</v>
      </c>
      <c r="D19" s="206"/>
      <c r="E19" s="207"/>
      <c r="F19" s="209"/>
      <c r="G19" s="206"/>
      <c r="H19" s="206"/>
      <c r="I19" s="207"/>
      <c r="J19" s="209"/>
      <c r="K19" s="206"/>
      <c r="L19" s="206"/>
      <c r="M19" s="207"/>
      <c r="N19" s="277"/>
      <c r="O19" s="278">
        <f>('State Efficiency Ratios (2014)'!O96+'State Efficiency Ratios (2014)'!O119+'State Efficiency Ratios (2014)'!O166)/3</f>
        <v>117.82661956064055</v>
      </c>
      <c r="P19" s="278"/>
      <c r="Q19" s="279"/>
      <c r="R19" s="277"/>
      <c r="S19" s="278"/>
      <c r="T19" s="278"/>
      <c r="U19" s="278">
        <f>('State Efficiency Ratios (2014)'!U96+'State Efficiency Ratios (2014)'!U119+'State Efficiency Ratios (2014)'!U166)/3</f>
        <v>57.225168918735456</v>
      </c>
      <c r="V19" s="277"/>
      <c r="W19" s="278"/>
      <c r="X19" s="278"/>
      <c r="Y19" s="278">
        <f>('State Efficiency Ratios (2014)'!Y96+'State Efficiency Ratios (2014)'!Y119+'State Efficiency Ratios (2014)'!Y142+'State Efficiency Ratios (2014)'!Y166)/4</f>
        <v>167.91702502553807</v>
      </c>
      <c r="Z19" s="277"/>
      <c r="AA19" s="278"/>
      <c r="AB19" s="278"/>
      <c r="AC19" s="278">
        <f>('State Efficiency Ratios (2014)'!AC96+'State Efficiency Ratios (2014)'!AC119+'State Efficiency Ratios (2014)'!AC142+'State Efficiency Ratios (2014)'!AC166)/4</f>
        <v>349.84666381625487</v>
      </c>
      <c r="AD19" s="277"/>
      <c r="AE19" s="280"/>
      <c r="AG19" s="295"/>
      <c r="AH19" s="351" t="s">
        <v>758</v>
      </c>
      <c r="AI19" s="627">
        <f t="shared" si="4"/>
        <v>117.82661956064055</v>
      </c>
      <c r="AJ19" s="598">
        <f t="shared" si="5"/>
        <v>57.225168918735456</v>
      </c>
      <c r="AK19" s="598">
        <f t="shared" si="6"/>
        <v>167.91702502553807</v>
      </c>
      <c r="AL19" s="628">
        <f t="shared" si="7"/>
        <v>349.84666381625487</v>
      </c>
    </row>
    <row r="20" spans="1:38" ht="13.5" thickBot="1">
      <c r="A20" s="885"/>
      <c r="B20" s="885"/>
      <c r="C20" s="194" t="s">
        <v>805</v>
      </c>
      <c r="D20" s="206"/>
      <c r="E20" s="207"/>
      <c r="F20" s="209"/>
      <c r="G20" s="206"/>
      <c r="H20" s="206"/>
      <c r="I20" s="207"/>
      <c r="J20" s="209"/>
      <c r="K20" s="206"/>
      <c r="L20" s="206"/>
      <c r="M20" s="207"/>
      <c r="N20" s="277"/>
      <c r="O20" s="278">
        <f>('State Efficiency Ratios (2014)'!O97+'State Efficiency Ratios (2014)'!O120+'State Efficiency Ratios (2014)'!O167)/3</f>
        <v>18.60328041402062</v>
      </c>
      <c r="P20" s="278"/>
      <c r="Q20" s="279"/>
      <c r="R20" s="277"/>
      <c r="S20" s="278"/>
      <c r="T20" s="278"/>
      <c r="U20" s="278">
        <f>('State Efficiency Ratios (2014)'!U97+'State Efficiency Ratios (2014)'!U120+'State Efficiency Ratios (2014)'!U167)/3</f>
        <v>337.5559976540319</v>
      </c>
      <c r="V20" s="277"/>
      <c r="W20" s="278"/>
      <c r="X20" s="278"/>
      <c r="Y20" s="278">
        <f>('State Efficiency Ratios (2014)'!Y97+'State Efficiency Ratios (2014)'!Y120+'State Efficiency Ratios (2014)'!Y143+'State Efficiency Ratios (2014)'!Y167)/4</f>
        <v>361.33758360521574</v>
      </c>
      <c r="Z20" s="277"/>
      <c r="AA20" s="278"/>
      <c r="AB20" s="278"/>
      <c r="AC20" s="278">
        <f>('State Efficiency Ratios (2014)'!AC97+'State Efficiency Ratios (2014)'!AC120+'State Efficiency Ratios (2014)'!AC143+'State Efficiency Ratios (2014)'!AC167)/4</f>
        <v>190.22987922304199</v>
      </c>
      <c r="AD20" s="277"/>
      <c r="AE20" s="280"/>
      <c r="AG20" s="295"/>
      <c r="AH20" s="351" t="s">
        <v>759</v>
      </c>
      <c r="AI20" s="627">
        <f t="shared" si="4"/>
        <v>18.60328041402062</v>
      </c>
      <c r="AJ20" s="598">
        <f t="shared" si="5"/>
        <v>337.5559976540319</v>
      </c>
      <c r="AK20" s="598">
        <f t="shared" si="6"/>
        <v>361.33758360521574</v>
      </c>
      <c r="AL20" s="628">
        <f t="shared" si="7"/>
        <v>190.22987922304199</v>
      </c>
    </row>
    <row r="21" spans="1:38" ht="13.5" thickBot="1">
      <c r="A21" s="885"/>
      <c r="B21" s="885"/>
      <c r="C21" s="194" t="s">
        <v>806</v>
      </c>
      <c r="D21" s="206"/>
      <c r="E21" s="207"/>
      <c r="F21" s="209"/>
      <c r="G21" s="206"/>
      <c r="H21" s="206"/>
      <c r="I21" s="207"/>
      <c r="J21" s="209"/>
      <c r="K21" s="206"/>
      <c r="L21" s="206"/>
      <c r="M21" s="207"/>
      <c r="N21" s="277"/>
      <c r="O21" s="278">
        <f>('State Efficiency Ratios (2014)'!O98+'State Efficiency Ratios (2014)'!O121+'State Efficiency Ratios (2014)'!O168)/3</f>
        <v>79.98818623628695</v>
      </c>
      <c r="P21" s="278"/>
      <c r="Q21" s="279"/>
      <c r="R21" s="277"/>
      <c r="S21" s="278"/>
      <c r="T21" s="278"/>
      <c r="U21" s="278">
        <f>('State Efficiency Ratios (2014)'!U98+'State Efficiency Ratios (2014)'!U121+'State Efficiency Ratios (2014)'!U168)/3</f>
        <v>7.9183696512839417</v>
      </c>
      <c r="V21" s="277"/>
      <c r="W21" s="278"/>
      <c r="X21" s="278"/>
      <c r="Y21" s="278">
        <f>('State Efficiency Ratios (2014)'!Y98+'State Efficiency Ratios (2014)'!Y121+'State Efficiency Ratios (2014)'!Y144+'State Efficiency Ratios (2014)'!Y168)/4</f>
        <v>452.61026738886881</v>
      </c>
      <c r="Z21" s="277"/>
      <c r="AA21" s="278"/>
      <c r="AB21" s="278"/>
      <c r="AC21" s="278">
        <f>('State Efficiency Ratios (2014)'!AC98+'State Efficiency Ratios (2014)'!AC121+'State Efficiency Ratios (2014)'!AC144+'State Efficiency Ratios (2014)'!AC168)/4</f>
        <v>192.05336750465335</v>
      </c>
      <c r="AD21" s="277"/>
      <c r="AE21" s="280"/>
      <c r="AG21" s="295"/>
      <c r="AH21" s="351" t="s">
        <v>760</v>
      </c>
      <c r="AI21" s="627">
        <f t="shared" si="4"/>
        <v>79.98818623628695</v>
      </c>
      <c r="AJ21" s="598">
        <f t="shared" si="5"/>
        <v>7.9183696512839417</v>
      </c>
      <c r="AK21" s="598">
        <f t="shared" si="6"/>
        <v>452.61026738886881</v>
      </c>
      <c r="AL21" s="628">
        <f t="shared" si="7"/>
        <v>192.05336750465335</v>
      </c>
    </row>
    <row r="22" spans="1:38" ht="12.95" customHeight="1" thickBot="1">
      <c r="A22" s="885"/>
      <c r="B22" s="885"/>
      <c r="C22" s="194" t="s">
        <v>807</v>
      </c>
      <c r="D22" s="210"/>
      <c r="E22" s="211"/>
      <c r="F22" s="209"/>
      <c r="G22" s="210"/>
      <c r="H22" s="210"/>
      <c r="I22" s="211"/>
      <c r="J22" s="209"/>
      <c r="K22" s="210"/>
      <c r="L22" s="210"/>
      <c r="M22" s="211"/>
      <c r="N22" s="281"/>
      <c r="O22" s="282"/>
      <c r="P22" s="282"/>
      <c r="Q22" s="282"/>
      <c r="R22" s="277"/>
      <c r="S22" s="278"/>
      <c r="T22" s="278"/>
      <c r="U22" s="278">
        <f>('State Efficiency Ratios (2014)'!U99+'State Efficiency Ratios (2014)'!U122+'State Efficiency Ratios (2014)'!U169)/3</f>
        <v>0</v>
      </c>
      <c r="V22" s="277"/>
      <c r="W22" s="278"/>
      <c r="X22" s="278"/>
      <c r="Y22" s="278">
        <f>('State Efficiency Ratios (2014)'!Y99+'State Efficiency Ratios (2014)'!Y122+'State Efficiency Ratios (2014)'!Y145+'State Efficiency Ratios (2014)'!Y169)/4</f>
        <v>193.38372298831081</v>
      </c>
      <c r="Z22" s="277"/>
      <c r="AA22" s="278"/>
      <c r="AB22" s="278"/>
      <c r="AC22" s="278">
        <f>('State Efficiency Ratios (2014)'!AC99+'State Efficiency Ratios (2014)'!AC122+'State Efficiency Ratios (2014)'!AC145+'State Efficiency Ratios (2014)'!AC169)/4</f>
        <v>597.81122296023113</v>
      </c>
      <c r="AD22" s="277"/>
      <c r="AE22" s="280"/>
      <c r="AG22" s="295"/>
      <c r="AH22" s="351" t="s">
        <v>761</v>
      </c>
      <c r="AI22" s="627">
        <f t="shared" si="4"/>
        <v>0</v>
      </c>
      <c r="AJ22" s="598">
        <f t="shared" si="5"/>
        <v>0</v>
      </c>
      <c r="AK22" s="598">
        <f t="shared" si="6"/>
        <v>193.38372298831081</v>
      </c>
      <c r="AL22" s="628">
        <f t="shared" si="7"/>
        <v>597.81122296023113</v>
      </c>
    </row>
    <row r="23" spans="1:38" ht="12.95" customHeight="1" thickBot="1">
      <c r="A23" s="885"/>
      <c r="B23" s="885"/>
      <c r="C23" s="194" t="s">
        <v>808</v>
      </c>
      <c r="D23" s="210"/>
      <c r="E23" s="211"/>
      <c r="F23" s="209"/>
      <c r="G23" s="210"/>
      <c r="H23" s="210"/>
      <c r="I23" s="211"/>
      <c r="J23" s="209"/>
      <c r="K23" s="210"/>
      <c r="L23" s="210"/>
      <c r="M23" s="211"/>
      <c r="N23" s="281"/>
      <c r="O23" s="282"/>
      <c r="P23" s="282"/>
      <c r="Q23" s="282"/>
      <c r="R23" s="277"/>
      <c r="S23" s="278"/>
      <c r="T23" s="278"/>
      <c r="U23" s="278">
        <f>('State Efficiency Ratios (2014)'!U100+'State Efficiency Ratios (2014)'!U123+'State Efficiency Ratios (2014)'!U170)/3</f>
        <v>0</v>
      </c>
      <c r="V23" s="277"/>
      <c r="W23" s="278"/>
      <c r="X23" s="278"/>
      <c r="Y23" s="278">
        <f>('State Efficiency Ratios (2014)'!Y100+'State Efficiency Ratios (2014)'!Y123+'State Efficiency Ratios (2014)'!Y146+'State Efficiency Ratios (2014)'!Y170)/4</f>
        <v>301.22669648875348</v>
      </c>
      <c r="Z23" s="277"/>
      <c r="AA23" s="278"/>
      <c r="AB23" s="278"/>
      <c r="AC23" s="278">
        <f>('State Efficiency Ratios (2014)'!AC100+'State Efficiency Ratios (2014)'!AC123+'State Efficiency Ratios (2014)'!AC146+'State Efficiency Ratios (2014)'!AC170)/4</f>
        <v>827.90377544139596</v>
      </c>
      <c r="AD23" s="277"/>
      <c r="AE23" s="280"/>
      <c r="AG23" s="295"/>
      <c r="AH23" s="351" t="s">
        <v>762</v>
      </c>
      <c r="AI23" s="627">
        <f t="shared" si="4"/>
        <v>0</v>
      </c>
      <c r="AJ23" s="598">
        <f t="shared" si="5"/>
        <v>0</v>
      </c>
      <c r="AK23" s="598">
        <f t="shared" si="6"/>
        <v>301.22669648875348</v>
      </c>
      <c r="AL23" s="628">
        <f t="shared" si="7"/>
        <v>827.90377544139596</v>
      </c>
    </row>
    <row r="24" spans="1:38" ht="12.95" customHeight="1" thickBot="1">
      <c r="A24" s="885"/>
      <c r="B24" s="885"/>
      <c r="C24" s="194" t="s">
        <v>809</v>
      </c>
      <c r="D24" s="210"/>
      <c r="E24" s="211"/>
      <c r="F24" s="209"/>
      <c r="G24" s="210"/>
      <c r="H24" s="210"/>
      <c r="I24" s="211"/>
      <c r="J24" s="209"/>
      <c r="K24" s="210"/>
      <c r="L24" s="210"/>
      <c r="M24" s="211"/>
      <c r="N24" s="281"/>
      <c r="O24" s="282"/>
      <c r="P24" s="282"/>
      <c r="Q24" s="282"/>
      <c r="R24" s="277"/>
      <c r="S24" s="278"/>
      <c r="T24" s="278"/>
      <c r="U24" s="278">
        <f>('State Efficiency Ratios (2014)'!U101+'State Efficiency Ratios (2014)'!U124+'State Efficiency Ratios (2014)'!U171)/3</f>
        <v>0</v>
      </c>
      <c r="V24" s="277"/>
      <c r="W24" s="278"/>
      <c r="X24" s="278"/>
      <c r="Y24" s="278">
        <f>('State Efficiency Ratios (2014)'!Y101+'State Efficiency Ratios (2014)'!Y124+'State Efficiency Ratios (2014)'!Y147+'State Efficiency Ratios (2014)'!Y171)/4</f>
        <v>602.40914703742578</v>
      </c>
      <c r="Z24" s="277"/>
      <c r="AA24" s="278"/>
      <c r="AB24" s="278"/>
      <c r="AC24" s="278">
        <f>('State Efficiency Ratios (2014)'!AC101+'State Efficiency Ratios (2014)'!AC124+'State Efficiency Ratios (2014)'!AC147+'State Efficiency Ratios (2014)'!AC171)/4</f>
        <v>585.15851791480179</v>
      </c>
      <c r="AD24" s="277"/>
      <c r="AE24" s="280"/>
      <c r="AG24" s="295"/>
      <c r="AH24" s="351" t="s">
        <v>763</v>
      </c>
      <c r="AI24" s="627">
        <f t="shared" si="4"/>
        <v>0</v>
      </c>
      <c r="AJ24" s="598">
        <f t="shared" si="5"/>
        <v>0</v>
      </c>
      <c r="AK24" s="598">
        <f t="shared" si="6"/>
        <v>602.40914703742578</v>
      </c>
      <c r="AL24" s="628">
        <f t="shared" si="7"/>
        <v>585.15851791480179</v>
      </c>
    </row>
    <row r="25" spans="1:38" ht="12.95" customHeight="1" thickBot="1">
      <c r="A25" s="885"/>
      <c r="B25" s="885"/>
      <c r="C25" s="194" t="s">
        <v>810</v>
      </c>
      <c r="D25" s="210"/>
      <c r="E25" s="211"/>
      <c r="F25" s="209"/>
      <c r="G25" s="210"/>
      <c r="H25" s="210"/>
      <c r="I25" s="211"/>
      <c r="J25" s="209"/>
      <c r="K25" s="210"/>
      <c r="L25" s="210"/>
      <c r="M25" s="211"/>
      <c r="N25" s="281"/>
      <c r="O25" s="282"/>
      <c r="P25" s="282"/>
      <c r="Q25" s="283"/>
      <c r="R25" s="281"/>
      <c r="S25" s="282"/>
      <c r="T25" s="282"/>
      <c r="U25" s="283"/>
      <c r="V25" s="281"/>
      <c r="W25" s="282"/>
      <c r="X25" s="282"/>
      <c r="Y25" s="283"/>
      <c r="Z25" s="277"/>
      <c r="AA25" s="278"/>
      <c r="AB25" s="278"/>
      <c r="AC25" s="278">
        <f>('State Efficiency Ratios (2014)'!AC102+'State Efficiency Ratios (2014)'!AC125+'State Efficiency Ratios (2014)'!AC148+'State Efficiency Ratios (2014)'!AC172)/4</f>
        <v>0</v>
      </c>
      <c r="AD25" s="277"/>
      <c r="AE25" s="280"/>
      <c r="AG25" s="295"/>
      <c r="AH25" s="351" t="s">
        <v>1098</v>
      </c>
      <c r="AI25" s="627">
        <f t="shared" si="4"/>
        <v>0</v>
      </c>
      <c r="AJ25" s="598">
        <f t="shared" si="5"/>
        <v>0</v>
      </c>
      <c r="AK25" s="598">
        <f t="shared" si="6"/>
        <v>0</v>
      </c>
      <c r="AL25" s="628">
        <f t="shared" si="7"/>
        <v>0</v>
      </c>
    </row>
    <row r="26" spans="1:38" ht="12.95" customHeight="1" thickBot="1">
      <c r="A26" s="869"/>
      <c r="B26" s="869"/>
      <c r="C26" s="194" t="s">
        <v>811</v>
      </c>
      <c r="D26" s="210"/>
      <c r="E26" s="211"/>
      <c r="F26" s="209"/>
      <c r="G26" s="210"/>
      <c r="H26" s="210"/>
      <c r="I26" s="211"/>
      <c r="J26" s="209"/>
      <c r="K26" s="210"/>
      <c r="L26" s="210"/>
      <c r="M26" s="211"/>
      <c r="N26" s="281"/>
      <c r="O26" s="282"/>
      <c r="P26" s="282"/>
      <c r="Q26" s="283"/>
      <c r="R26" s="281"/>
      <c r="S26" s="282"/>
      <c r="T26" s="282"/>
      <c r="U26" s="283"/>
      <c r="V26" s="281"/>
      <c r="W26" s="282"/>
      <c r="X26" s="282"/>
      <c r="Y26" s="283"/>
      <c r="Z26" s="277"/>
      <c r="AA26" s="278"/>
      <c r="AB26" s="278"/>
      <c r="AC26" s="278">
        <f>('State Efficiency Ratios (2014)'!AC103+'State Efficiency Ratios (2014)'!AC126+'State Efficiency Ratios (2014)'!AC149+'State Efficiency Ratios (2014)'!AC173)/4</f>
        <v>0</v>
      </c>
      <c r="AD26" s="277"/>
      <c r="AE26" s="280"/>
      <c r="AG26" s="295"/>
      <c r="AH26" s="351" t="s">
        <v>1099</v>
      </c>
      <c r="AI26" s="595">
        <f t="shared" si="4"/>
        <v>0</v>
      </c>
      <c r="AJ26" s="596">
        <f t="shared" si="5"/>
        <v>0</v>
      </c>
      <c r="AK26" s="596">
        <f t="shared" si="6"/>
        <v>0</v>
      </c>
      <c r="AL26" s="597">
        <f t="shared" si="7"/>
        <v>0</v>
      </c>
    </row>
    <row r="27" spans="1:38" ht="13.5" thickBot="1">
      <c r="A27" s="21"/>
      <c r="B27" s="21"/>
      <c r="C27" s="22"/>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row>
    <row r="28" spans="1:38" ht="12.95" customHeight="1" thickBot="1">
      <c r="A28" s="506" t="s">
        <v>11</v>
      </c>
      <c r="B28" s="514" t="s">
        <v>732</v>
      </c>
      <c r="C28" s="8"/>
      <c r="D28" s="1377">
        <v>2008</v>
      </c>
      <c r="E28" s="1378"/>
      <c r="F28" s="1372">
        <v>2009</v>
      </c>
      <c r="G28" s="1373"/>
      <c r="H28" s="1373"/>
      <c r="I28" s="1374"/>
      <c r="J28" s="1372">
        <v>2010</v>
      </c>
      <c r="K28" s="1373"/>
      <c r="L28" s="1373"/>
      <c r="M28" s="1374"/>
      <c r="N28" s="1372">
        <v>2011</v>
      </c>
      <c r="O28" s="1373"/>
      <c r="P28" s="1373"/>
      <c r="Q28" s="1374"/>
      <c r="R28" s="1372">
        <v>2012</v>
      </c>
      <c r="S28" s="1373"/>
      <c r="T28" s="1373"/>
      <c r="U28" s="1374"/>
      <c r="V28" s="1372">
        <v>2013</v>
      </c>
      <c r="W28" s="1373"/>
      <c r="X28" s="1373"/>
      <c r="Y28" s="1374"/>
      <c r="Z28" s="1372">
        <v>2014</v>
      </c>
      <c r="AA28" s="1373"/>
      <c r="AB28" s="1373"/>
      <c r="AC28" s="1374"/>
      <c r="AD28" s="1372">
        <v>2015</v>
      </c>
      <c r="AE28" s="1374"/>
      <c r="AG28" s="257" t="s">
        <v>663</v>
      </c>
      <c r="AH28" s="351" t="s">
        <v>1050</v>
      </c>
      <c r="AI28" s="642">
        <f>(SUM(AI29:AI33))/5</f>
        <v>31.673922348019328</v>
      </c>
      <c r="AJ28" s="643">
        <f>(SUM(AJ29:AJ33))/5</f>
        <v>62.202694114210132</v>
      </c>
      <c r="AK28" s="643">
        <f>(SUM(AK29:AK36))/8</f>
        <v>154.95928768850351</v>
      </c>
      <c r="AL28" s="644">
        <f>(SUM(AL29:AL36))/8</f>
        <v>241.16282968127211</v>
      </c>
    </row>
    <row r="29" spans="1:38" ht="12.95" customHeight="1" thickBot="1">
      <c r="A29" s="868" t="s">
        <v>57</v>
      </c>
      <c r="B29" s="868"/>
      <c r="C29" s="194" t="s">
        <v>610</v>
      </c>
      <c r="D29" s="206"/>
      <c r="E29" s="207"/>
      <c r="F29" s="209"/>
      <c r="G29" s="206"/>
      <c r="H29" s="206"/>
      <c r="I29" s="207"/>
      <c r="J29" s="209"/>
      <c r="K29" s="206"/>
      <c r="L29" s="206"/>
      <c r="M29" s="207"/>
      <c r="N29" s="277"/>
      <c r="O29" s="278">
        <f>('State Efficiency Ratios (2014)'!O193+'State Efficiency Ratios (2014)'!O216+'State Efficiency Ratios (2014)'!O239)/3</f>
        <v>-6.7102192969779368</v>
      </c>
      <c r="P29" s="278"/>
      <c r="Q29" s="279"/>
      <c r="R29" s="277"/>
      <c r="S29" s="278"/>
      <c r="T29" s="278"/>
      <c r="U29" s="278">
        <f>('State Efficiency Ratios (2014)'!U193+'State Efficiency Ratios (2014)'!U216+'State Efficiency Ratios (2014)'!U239)/3</f>
        <v>81.813273379157664</v>
      </c>
      <c r="V29" s="277"/>
      <c r="W29" s="278"/>
      <c r="X29" s="278"/>
      <c r="Y29" s="278">
        <f>('State Efficiency Ratios (2014)'!Y193+'State Efficiency Ratios (2014)'!Y216+'State Efficiency Ratios (2014)'!Y239)/3</f>
        <v>194.97292991705524</v>
      </c>
      <c r="Z29" s="277"/>
      <c r="AA29" s="278"/>
      <c r="AB29" s="278"/>
      <c r="AC29" s="278">
        <f>('State Efficiency Ratios (2014)'!AC193+'State Efficiency Ratios (2014)'!AC216+'State Efficiency Ratios (2014)'!AC239)/3</f>
        <v>381.52841629444555</v>
      </c>
      <c r="AD29" s="277"/>
      <c r="AE29" s="280"/>
      <c r="AG29" s="410"/>
      <c r="AH29" s="351" t="s">
        <v>756</v>
      </c>
      <c r="AI29" s="624">
        <f>O29</f>
        <v>-6.7102192969779368</v>
      </c>
      <c r="AJ29" s="625">
        <f>U29</f>
        <v>81.813273379157664</v>
      </c>
      <c r="AK29" s="625">
        <f>Y29</f>
        <v>194.97292991705524</v>
      </c>
      <c r="AL29" s="626">
        <f>AC29</f>
        <v>381.52841629444555</v>
      </c>
    </row>
    <row r="30" spans="1:38" ht="13.5" thickBot="1">
      <c r="A30" s="885"/>
      <c r="B30" s="885"/>
      <c r="C30" s="194" t="s">
        <v>611</v>
      </c>
      <c r="D30" s="206"/>
      <c r="E30" s="207"/>
      <c r="F30" s="209"/>
      <c r="G30" s="206"/>
      <c r="H30" s="206"/>
      <c r="I30" s="207"/>
      <c r="J30" s="209"/>
      <c r="K30" s="206"/>
      <c r="L30" s="206"/>
      <c r="M30" s="207"/>
      <c r="N30" s="277"/>
      <c r="O30" s="278">
        <f>('State Efficiency Ratios (2014)'!O194+'State Efficiency Ratios (2014)'!O217+'State Efficiency Ratios (2014)'!O240)/3</f>
        <v>82.655435495965449</v>
      </c>
      <c r="P30" s="278"/>
      <c r="Q30" s="279"/>
      <c r="R30" s="277"/>
      <c r="S30" s="278"/>
      <c r="T30" s="278"/>
      <c r="U30" s="278">
        <f>('State Efficiency Ratios (2014)'!U194+'State Efficiency Ratios (2014)'!U217+'State Efficiency Ratios (2014)'!U240)/3</f>
        <v>-32.083271069673906</v>
      </c>
      <c r="V30" s="277"/>
      <c r="W30" s="278"/>
      <c r="X30" s="278"/>
      <c r="Y30" s="278">
        <f>('State Efficiency Ratios (2014)'!Y194+'State Efficiency Ratios (2014)'!Y217+'State Efficiency Ratios (2014)'!Y240)/3</f>
        <v>262.59048533705931</v>
      </c>
      <c r="Z30" s="277"/>
      <c r="AA30" s="278"/>
      <c r="AB30" s="278"/>
      <c r="AC30" s="278">
        <f>('State Efficiency Ratios (2014)'!AC194+'State Efficiency Ratios (2014)'!AC217+'State Efficiency Ratios (2014)'!AC240)/3</f>
        <v>92.656932371200341</v>
      </c>
      <c r="AD30" s="277"/>
      <c r="AE30" s="280"/>
      <c r="AG30" s="410" t="s">
        <v>1083</v>
      </c>
      <c r="AH30" s="351" t="s">
        <v>757</v>
      </c>
      <c r="AI30" s="627">
        <f t="shared" ref="AI30:AI38" si="8">O30</f>
        <v>82.655435495965449</v>
      </c>
      <c r="AJ30" s="598">
        <f t="shared" ref="AJ30:AJ38" si="9">U30</f>
        <v>-32.083271069673906</v>
      </c>
      <c r="AK30" s="598">
        <f t="shared" ref="AK30:AK38" si="10">Y30</f>
        <v>262.59048533705931</v>
      </c>
      <c r="AL30" s="628">
        <f t="shared" ref="AL30:AL38" si="11">AC30</f>
        <v>92.656932371200341</v>
      </c>
    </row>
    <row r="31" spans="1:38" ht="13.5" thickBot="1">
      <c r="A31" s="885"/>
      <c r="B31" s="885"/>
      <c r="C31" s="194" t="s">
        <v>612</v>
      </c>
      <c r="D31" s="206"/>
      <c r="E31" s="207"/>
      <c r="F31" s="209"/>
      <c r="G31" s="206"/>
      <c r="H31" s="206"/>
      <c r="I31" s="207"/>
      <c r="J31" s="209"/>
      <c r="K31" s="206"/>
      <c r="L31" s="206"/>
      <c r="M31" s="207"/>
      <c r="N31" s="277"/>
      <c r="O31" s="278">
        <f>('State Efficiency Ratios (2014)'!O195+'State Efficiency Ratios (2014)'!O218+'State Efficiency Ratios (2014)'!O241)/3</f>
        <v>26.572778608553332</v>
      </c>
      <c r="P31" s="278"/>
      <c r="Q31" s="279"/>
      <c r="R31" s="277"/>
      <c r="S31" s="278"/>
      <c r="T31" s="278"/>
      <c r="U31" s="278">
        <f>('State Efficiency Ratios (2014)'!U195+'State Efficiency Ratios (2014)'!U218+'State Efficiency Ratios (2014)'!U241)/3</f>
        <v>106.54693228493686</v>
      </c>
      <c r="V31" s="277"/>
      <c r="W31" s="278"/>
      <c r="X31" s="278"/>
      <c r="Y31" s="278">
        <f>('State Efficiency Ratios (2014)'!Y195+'State Efficiency Ratios (2014)'!Y218+'State Efficiency Ratios (2014)'!Y241)/3</f>
        <v>110.75599043396028</v>
      </c>
      <c r="Z31" s="277"/>
      <c r="AA31" s="278"/>
      <c r="AB31" s="278"/>
      <c r="AC31" s="278">
        <f>('State Efficiency Ratios (2014)'!AC195+'State Efficiency Ratios (2014)'!AC218+'State Efficiency Ratios (2014)'!AC241)/3</f>
        <v>246.08418777198713</v>
      </c>
      <c r="AD31" s="277"/>
      <c r="AE31" s="280"/>
      <c r="AG31" s="410" t="s">
        <v>1086</v>
      </c>
      <c r="AH31" s="351" t="s">
        <v>758</v>
      </c>
      <c r="AI31" s="627">
        <f t="shared" si="8"/>
        <v>26.572778608553332</v>
      </c>
      <c r="AJ31" s="598">
        <f t="shared" si="9"/>
        <v>106.54693228493686</v>
      </c>
      <c r="AK31" s="598">
        <f t="shared" si="10"/>
        <v>110.75599043396028</v>
      </c>
      <c r="AL31" s="628">
        <f t="shared" si="11"/>
        <v>246.08418777198713</v>
      </c>
    </row>
    <row r="32" spans="1:38" ht="13.5" thickBot="1">
      <c r="A32" s="885"/>
      <c r="B32" s="885"/>
      <c r="C32" s="194" t="s">
        <v>613</v>
      </c>
      <c r="D32" s="206"/>
      <c r="E32" s="207"/>
      <c r="F32" s="209"/>
      <c r="G32" s="206"/>
      <c r="H32" s="206"/>
      <c r="I32" s="207"/>
      <c r="J32" s="209"/>
      <c r="K32" s="206"/>
      <c r="L32" s="206"/>
      <c r="M32" s="207"/>
      <c r="N32" s="277"/>
      <c r="O32" s="278">
        <f>('State Efficiency Ratios (2014)'!O196+'State Efficiency Ratios (2014)'!O219+'State Efficiency Ratios (2014)'!O242)/3</f>
        <v>15.619610415948294</v>
      </c>
      <c r="P32" s="278"/>
      <c r="Q32" s="279"/>
      <c r="R32" s="277"/>
      <c r="S32" s="278"/>
      <c r="T32" s="278"/>
      <c r="U32" s="278">
        <f>('State Efficiency Ratios (2014)'!U196+'State Efficiency Ratios (2014)'!U219+'State Efficiency Ratios (2014)'!U242)/3</f>
        <v>130.61206896724758</v>
      </c>
      <c r="V32" s="277"/>
      <c r="W32" s="278"/>
      <c r="X32" s="278"/>
      <c r="Y32" s="278">
        <f>('State Efficiency Ratios (2014)'!Y196+'State Efficiency Ratios (2014)'!Y219+'State Efficiency Ratios (2014)'!Y242)/3</f>
        <v>241.85718589355633</v>
      </c>
      <c r="Z32" s="277"/>
      <c r="AA32" s="278"/>
      <c r="AB32" s="278"/>
      <c r="AC32" s="278">
        <f>('State Efficiency Ratios (2014)'!AC196+'State Efficiency Ratios (2014)'!AC219+'State Efficiency Ratios (2014)'!AC242)/3</f>
        <v>78.40563371591476</v>
      </c>
      <c r="AD32" s="277"/>
      <c r="AE32" s="280"/>
      <c r="AG32" s="410" t="s">
        <v>1087</v>
      </c>
      <c r="AH32" s="351" t="s">
        <v>759</v>
      </c>
      <c r="AI32" s="627">
        <f t="shared" si="8"/>
        <v>15.619610415948294</v>
      </c>
      <c r="AJ32" s="598">
        <f t="shared" si="9"/>
        <v>130.61206896724758</v>
      </c>
      <c r="AK32" s="598">
        <f t="shared" si="10"/>
        <v>241.85718589355633</v>
      </c>
      <c r="AL32" s="628">
        <f t="shared" si="11"/>
        <v>78.40563371591476</v>
      </c>
    </row>
    <row r="33" spans="1:38" ht="13.5" thickBot="1">
      <c r="A33" s="885"/>
      <c r="B33" s="885"/>
      <c r="C33" s="194" t="s">
        <v>614</v>
      </c>
      <c r="D33" s="206"/>
      <c r="E33" s="207"/>
      <c r="F33" s="209"/>
      <c r="G33" s="206"/>
      <c r="H33" s="206"/>
      <c r="I33" s="207"/>
      <c r="J33" s="209"/>
      <c r="K33" s="206"/>
      <c r="L33" s="206"/>
      <c r="M33" s="207"/>
      <c r="N33" s="277"/>
      <c r="O33" s="278">
        <f>('State Efficiency Ratios (2014)'!O197+'State Efficiency Ratios (2014)'!O220+'State Efficiency Ratios (2014)'!O243)/3</f>
        <v>40.232006516607491</v>
      </c>
      <c r="P33" s="278"/>
      <c r="Q33" s="279"/>
      <c r="R33" s="277"/>
      <c r="S33" s="278"/>
      <c r="T33" s="278"/>
      <c r="U33" s="278">
        <f>('State Efficiency Ratios (2014)'!U197+'State Efficiency Ratios (2014)'!U220+'State Efficiency Ratios (2014)'!U243)/3</f>
        <v>24.124467009382414</v>
      </c>
      <c r="V33" s="277"/>
      <c r="W33" s="278"/>
      <c r="X33" s="278"/>
      <c r="Y33" s="278">
        <f>('State Efficiency Ratios (2014)'!Y197+'State Efficiency Ratios (2014)'!Y220+'State Efficiency Ratios (2014)'!Y243)/3</f>
        <v>164.50908453064162</v>
      </c>
      <c r="Z33" s="277"/>
      <c r="AA33" s="278"/>
      <c r="AB33" s="278"/>
      <c r="AC33" s="278">
        <f>('State Efficiency Ratios (2014)'!AC197+'State Efficiency Ratios (2014)'!AC220+'State Efficiency Ratios (2014)'!AC243)/3</f>
        <v>185.24509784161771</v>
      </c>
      <c r="AD33" s="277"/>
      <c r="AE33" s="280"/>
      <c r="AG33" s="410" t="s">
        <v>1088</v>
      </c>
      <c r="AH33" s="351" t="s">
        <v>760</v>
      </c>
      <c r="AI33" s="627">
        <f t="shared" si="8"/>
        <v>40.232006516607491</v>
      </c>
      <c r="AJ33" s="598">
        <f t="shared" si="9"/>
        <v>24.124467009382414</v>
      </c>
      <c r="AK33" s="598">
        <f t="shared" si="10"/>
        <v>164.50908453064162</v>
      </c>
      <c r="AL33" s="628">
        <f t="shared" si="11"/>
        <v>185.24509784161771</v>
      </c>
    </row>
    <row r="34" spans="1:38" ht="12.95" customHeight="1" thickBot="1">
      <c r="A34" s="885"/>
      <c r="B34" s="885"/>
      <c r="C34" s="194" t="s">
        <v>615</v>
      </c>
      <c r="D34" s="210"/>
      <c r="E34" s="211"/>
      <c r="F34" s="209"/>
      <c r="G34" s="210"/>
      <c r="H34" s="210"/>
      <c r="I34" s="211"/>
      <c r="J34" s="209"/>
      <c r="K34" s="210"/>
      <c r="L34" s="210"/>
      <c r="M34" s="211"/>
      <c r="N34" s="281"/>
      <c r="O34" s="282"/>
      <c r="P34" s="282"/>
      <c r="Q34" s="282"/>
      <c r="R34" s="277"/>
      <c r="S34" s="278"/>
      <c r="T34" s="278"/>
      <c r="U34" s="278">
        <f>('State Efficiency Ratios (2014)'!U198+'State Efficiency Ratios (2014)'!U221+'State Efficiency Ratios (2014)'!U244)/3</f>
        <v>0</v>
      </c>
      <c r="V34" s="277"/>
      <c r="W34" s="278"/>
      <c r="X34" s="278"/>
      <c r="Y34" s="278">
        <f>('State Efficiency Ratios (2014)'!Y198+'State Efficiency Ratios (2014)'!Y221+'State Efficiency Ratios (2014)'!Y244)/3</f>
        <v>78.409374722834116</v>
      </c>
      <c r="Z34" s="277"/>
      <c r="AA34" s="278"/>
      <c r="AB34" s="278"/>
      <c r="AC34" s="278">
        <f>('State Efficiency Ratios (2014)'!AC198+'State Efficiency Ratios (2014)'!AC221+'State Efficiency Ratios (2014)'!AC244)/3</f>
        <v>235.38007003913745</v>
      </c>
      <c r="AD34" s="277"/>
      <c r="AE34" s="280"/>
      <c r="AG34" s="410"/>
      <c r="AH34" s="351" t="s">
        <v>761</v>
      </c>
      <c r="AI34" s="627">
        <f t="shared" si="8"/>
        <v>0</v>
      </c>
      <c r="AJ34" s="598">
        <f t="shared" si="9"/>
        <v>0</v>
      </c>
      <c r="AK34" s="598">
        <f t="shared" si="10"/>
        <v>78.409374722834116</v>
      </c>
      <c r="AL34" s="628">
        <f t="shared" si="11"/>
        <v>235.38007003913745</v>
      </c>
    </row>
    <row r="35" spans="1:38" ht="12.95" customHeight="1" thickBot="1">
      <c r="A35" s="885"/>
      <c r="B35" s="885"/>
      <c r="C35" s="194" t="s">
        <v>616</v>
      </c>
      <c r="D35" s="210"/>
      <c r="E35" s="211"/>
      <c r="F35" s="209"/>
      <c r="G35" s="210"/>
      <c r="H35" s="210"/>
      <c r="I35" s="211"/>
      <c r="J35" s="209"/>
      <c r="K35" s="210"/>
      <c r="L35" s="210"/>
      <c r="M35" s="211"/>
      <c r="N35" s="281"/>
      <c r="O35" s="282"/>
      <c r="P35" s="282"/>
      <c r="Q35" s="282"/>
      <c r="R35" s="277"/>
      <c r="S35" s="278"/>
      <c r="T35" s="278"/>
      <c r="U35" s="278">
        <f>('State Efficiency Ratios (2014)'!U199+'State Efficiency Ratios (2014)'!U222+'State Efficiency Ratios (2014)'!U245)/3</f>
        <v>47.135785353856612</v>
      </c>
      <c r="V35" s="277"/>
      <c r="W35" s="278"/>
      <c r="X35" s="278"/>
      <c r="Y35" s="278">
        <f>('State Efficiency Ratios (2014)'!Y199+'State Efficiency Ratios (2014)'!Y222+'State Efficiency Ratios (2014)'!Y245)/3</f>
        <v>-39.821421085438388</v>
      </c>
      <c r="Z35" s="277"/>
      <c r="AA35" s="278"/>
      <c r="AB35" s="278"/>
      <c r="AC35" s="278">
        <f>('State Efficiency Ratios (2014)'!AC199+'State Efficiency Ratios (2014)'!AC222+'State Efficiency Ratios (2014)'!AC245)/3</f>
        <v>317.8958008187613</v>
      </c>
      <c r="AD35" s="277"/>
      <c r="AE35" s="280"/>
      <c r="AG35" s="410" t="s">
        <v>1084</v>
      </c>
      <c r="AH35" s="351" t="s">
        <v>762</v>
      </c>
      <c r="AI35" s="627">
        <f t="shared" si="8"/>
        <v>0</v>
      </c>
      <c r="AJ35" s="598">
        <f t="shared" si="9"/>
        <v>47.135785353856612</v>
      </c>
      <c r="AK35" s="598">
        <f t="shared" si="10"/>
        <v>-39.821421085438388</v>
      </c>
      <c r="AL35" s="628">
        <f t="shared" si="11"/>
        <v>317.8958008187613</v>
      </c>
    </row>
    <row r="36" spans="1:38" ht="12.95" customHeight="1" thickBot="1">
      <c r="A36" s="885"/>
      <c r="B36" s="885"/>
      <c r="C36" s="194" t="s">
        <v>617</v>
      </c>
      <c r="D36" s="210"/>
      <c r="E36" s="211"/>
      <c r="F36" s="209"/>
      <c r="G36" s="210"/>
      <c r="H36" s="210"/>
      <c r="I36" s="211"/>
      <c r="J36" s="209"/>
      <c r="K36" s="210"/>
      <c r="L36" s="210"/>
      <c r="M36" s="211"/>
      <c r="N36" s="281"/>
      <c r="O36" s="282"/>
      <c r="P36" s="282"/>
      <c r="Q36" s="282"/>
      <c r="R36" s="277"/>
      <c r="S36" s="278"/>
      <c r="T36" s="278"/>
      <c r="U36" s="278">
        <f>('State Efficiency Ratios (2014)'!U200+'State Efficiency Ratios (2014)'!U223+'State Efficiency Ratios (2014)'!U246)/3</f>
        <v>0</v>
      </c>
      <c r="V36" s="277"/>
      <c r="W36" s="278"/>
      <c r="X36" s="278"/>
      <c r="Y36" s="278">
        <f>('State Efficiency Ratios (2014)'!Y200+'State Efficiency Ratios (2014)'!Y223+'State Efficiency Ratios (2014)'!Y246)/3</f>
        <v>226.40067175835961</v>
      </c>
      <c r="Z36" s="277"/>
      <c r="AA36" s="278"/>
      <c r="AB36" s="278"/>
      <c r="AC36" s="278">
        <f>('State Efficiency Ratios (2014)'!AC200+'State Efficiency Ratios (2014)'!AC223+'State Efficiency Ratios (2014)'!AC246)/3</f>
        <v>392.10649859711276</v>
      </c>
      <c r="AD36" s="277"/>
      <c r="AE36" s="280"/>
      <c r="AG36" s="410" t="s">
        <v>1089</v>
      </c>
      <c r="AH36" s="351" t="s">
        <v>763</v>
      </c>
      <c r="AI36" s="627">
        <f t="shared" si="8"/>
        <v>0</v>
      </c>
      <c r="AJ36" s="598">
        <f t="shared" si="9"/>
        <v>0</v>
      </c>
      <c r="AK36" s="598">
        <f t="shared" si="10"/>
        <v>226.40067175835961</v>
      </c>
      <c r="AL36" s="628">
        <f t="shared" si="11"/>
        <v>392.10649859711276</v>
      </c>
    </row>
    <row r="37" spans="1:38" ht="12.95" customHeight="1" thickBot="1">
      <c r="A37" s="885"/>
      <c r="B37" s="885"/>
      <c r="C37" s="194" t="s">
        <v>618</v>
      </c>
      <c r="D37" s="210"/>
      <c r="E37" s="211"/>
      <c r="F37" s="209"/>
      <c r="G37" s="210"/>
      <c r="H37" s="210"/>
      <c r="I37" s="211"/>
      <c r="J37" s="209"/>
      <c r="K37" s="210"/>
      <c r="L37" s="210"/>
      <c r="M37" s="211"/>
      <c r="N37" s="281"/>
      <c r="O37" s="282"/>
      <c r="P37" s="282"/>
      <c r="Q37" s="283"/>
      <c r="R37" s="281"/>
      <c r="S37" s="282"/>
      <c r="T37" s="282"/>
      <c r="U37" s="283"/>
      <c r="V37" s="281"/>
      <c r="W37" s="282"/>
      <c r="X37" s="282"/>
      <c r="Y37" s="283"/>
      <c r="Z37" s="277"/>
      <c r="AA37" s="278"/>
      <c r="AB37" s="278"/>
      <c r="AC37" s="278">
        <f>('State Efficiency Ratios (2014)'!AC201+'State Efficiency Ratios (2014)'!AC224+'State Efficiency Ratios (2014)'!AC247)/3</f>
        <v>0</v>
      </c>
      <c r="AD37" s="277"/>
      <c r="AE37" s="280"/>
      <c r="AG37" s="410"/>
      <c r="AH37" s="351" t="s">
        <v>1098</v>
      </c>
      <c r="AI37" s="627">
        <f t="shared" si="8"/>
        <v>0</v>
      </c>
      <c r="AJ37" s="598">
        <f t="shared" si="9"/>
        <v>0</v>
      </c>
      <c r="AK37" s="598">
        <f t="shared" si="10"/>
        <v>0</v>
      </c>
      <c r="AL37" s="628">
        <f t="shared" si="11"/>
        <v>0</v>
      </c>
    </row>
    <row r="38" spans="1:38" ht="12.95" customHeight="1" thickBot="1">
      <c r="A38" s="869"/>
      <c r="B38" s="869"/>
      <c r="C38" s="194" t="s">
        <v>619</v>
      </c>
      <c r="D38" s="210"/>
      <c r="E38" s="211"/>
      <c r="F38" s="209"/>
      <c r="G38" s="210"/>
      <c r="H38" s="210"/>
      <c r="I38" s="211"/>
      <c r="J38" s="209"/>
      <c r="K38" s="210"/>
      <c r="L38" s="210"/>
      <c r="M38" s="211"/>
      <c r="N38" s="281"/>
      <c r="O38" s="282"/>
      <c r="P38" s="282"/>
      <c r="Q38" s="283"/>
      <c r="R38" s="281"/>
      <c r="S38" s="282"/>
      <c r="T38" s="282"/>
      <c r="U38" s="283"/>
      <c r="V38" s="281"/>
      <c r="W38" s="282"/>
      <c r="X38" s="282"/>
      <c r="Y38" s="283"/>
      <c r="Z38" s="277"/>
      <c r="AA38" s="278"/>
      <c r="AB38" s="278"/>
      <c r="AC38" s="278">
        <f>('State Efficiency Ratios (2014)'!AC202+'State Efficiency Ratios (2014)'!AC225+'State Efficiency Ratios (2014)'!AC248)/3</f>
        <v>0</v>
      </c>
      <c r="AD38" s="277"/>
      <c r="AE38" s="280"/>
      <c r="AG38" s="410"/>
      <c r="AH38" s="351" t="s">
        <v>1099</v>
      </c>
      <c r="AI38" s="595">
        <f t="shared" si="8"/>
        <v>0</v>
      </c>
      <c r="AJ38" s="596">
        <f t="shared" si="9"/>
        <v>0</v>
      </c>
      <c r="AK38" s="596">
        <f t="shared" si="10"/>
        <v>0</v>
      </c>
      <c r="AL38" s="597">
        <f t="shared" si="11"/>
        <v>0</v>
      </c>
    </row>
    <row r="39" spans="1:38" ht="13.5" thickBot="1">
      <c r="A39" s="5"/>
      <c r="B39" s="5"/>
      <c r="C39" s="6"/>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row>
    <row r="40" spans="1:38" ht="12.95" customHeight="1" thickBot="1">
      <c r="A40" s="506" t="s">
        <v>15</v>
      </c>
      <c r="B40" s="514" t="s">
        <v>733</v>
      </c>
      <c r="C40" s="8"/>
      <c r="D40" s="1377">
        <v>2008</v>
      </c>
      <c r="E40" s="1378"/>
      <c r="F40" s="1372">
        <v>2009</v>
      </c>
      <c r="G40" s="1373"/>
      <c r="H40" s="1373"/>
      <c r="I40" s="1374"/>
      <c r="J40" s="1372">
        <v>2010</v>
      </c>
      <c r="K40" s="1373"/>
      <c r="L40" s="1373"/>
      <c r="M40" s="1374"/>
      <c r="N40" s="1372">
        <v>2011</v>
      </c>
      <c r="O40" s="1373"/>
      <c r="P40" s="1373"/>
      <c r="Q40" s="1374"/>
      <c r="R40" s="1372">
        <v>2012</v>
      </c>
      <c r="S40" s="1373"/>
      <c r="T40" s="1373"/>
      <c r="U40" s="1374"/>
      <c r="V40" s="1372">
        <v>2013</v>
      </c>
      <c r="W40" s="1373"/>
      <c r="X40" s="1373"/>
      <c r="Y40" s="1374"/>
      <c r="Z40" s="1372">
        <v>2014</v>
      </c>
      <c r="AA40" s="1373"/>
      <c r="AB40" s="1373"/>
      <c r="AC40" s="1374"/>
      <c r="AD40" s="1372">
        <v>2015</v>
      </c>
      <c r="AE40" s="1374"/>
      <c r="AG40" s="257" t="s">
        <v>663</v>
      </c>
      <c r="AH40" s="351" t="s">
        <v>1050</v>
      </c>
      <c r="AI40" s="642">
        <f>(SUM(AI41:AI45))/5</f>
        <v>8.9169767942425082</v>
      </c>
      <c r="AJ40" s="643">
        <f>(SUM(AJ41:AJ45))/5</f>
        <v>132.39724452909778</v>
      </c>
      <c r="AK40" s="643">
        <f>(SUM(AK41:AK48))/8</f>
        <v>209.09322334633293</v>
      </c>
      <c r="AL40" s="644">
        <f>(SUM(AL41:AL48))/8</f>
        <v>145.56634096206267</v>
      </c>
    </row>
    <row r="41" spans="1:38" ht="12.95" customHeight="1" thickBot="1">
      <c r="A41" s="868" t="s">
        <v>61</v>
      </c>
      <c r="B41" s="868"/>
      <c r="C41" s="194" t="s">
        <v>610</v>
      </c>
      <c r="D41" s="206"/>
      <c r="E41" s="207"/>
      <c r="F41" s="209"/>
      <c r="G41" s="206"/>
      <c r="H41" s="206"/>
      <c r="I41" s="207"/>
      <c r="J41" s="209"/>
      <c r="K41" s="206"/>
      <c r="L41" s="206"/>
      <c r="M41" s="207"/>
      <c r="N41" s="277"/>
      <c r="O41" s="278">
        <f>('State Efficiency Ratios (2014)'!O268+'State Efficiency Ratios (2014)'!O291+'State Efficiency Ratios (2014)'!O314)/3</f>
        <v>-44.170979134000454</v>
      </c>
      <c r="P41" s="278"/>
      <c r="Q41" s="279"/>
      <c r="R41" s="277"/>
      <c r="S41" s="278"/>
      <c r="T41" s="278"/>
      <c r="U41" s="278">
        <f>('State Efficiency Ratios (2014)'!U268+'State Efficiency Ratios (2014)'!U291+'State Efficiency Ratios (2014)'!U314)/3</f>
        <v>181.58235135144571</v>
      </c>
      <c r="V41" s="277"/>
      <c r="W41" s="278"/>
      <c r="X41" s="278"/>
      <c r="Y41" s="278">
        <f>('State Efficiency Ratios (2014)'!Y268+'State Efficiency Ratios (2014)'!Y291+'State Efficiency Ratios (2014)'!Y314)/3</f>
        <v>187.49772537629349</v>
      </c>
      <c r="Z41" s="277"/>
      <c r="AA41" s="278"/>
      <c r="AB41" s="278"/>
      <c r="AC41" s="278">
        <f>('State Efficiency Ratios (2014)'!AC268+'State Efficiency Ratios (2014)'!AC291+'State Efficiency Ratios (2014)'!AC314)/3</f>
        <v>190.54002061438052</v>
      </c>
      <c r="AD41" s="277"/>
      <c r="AE41" s="280"/>
      <c r="AG41" s="410"/>
      <c r="AH41" s="351" t="s">
        <v>756</v>
      </c>
      <c r="AI41" s="624">
        <f>O41</f>
        <v>-44.170979134000454</v>
      </c>
      <c r="AJ41" s="625">
        <f>U41</f>
        <v>181.58235135144571</v>
      </c>
      <c r="AK41" s="625">
        <f>Y41</f>
        <v>187.49772537629349</v>
      </c>
      <c r="AL41" s="626">
        <f>AC41</f>
        <v>190.54002061438052</v>
      </c>
    </row>
    <row r="42" spans="1:38" ht="13.5" thickBot="1">
      <c r="A42" s="885"/>
      <c r="B42" s="885"/>
      <c r="C42" s="194" t="s">
        <v>611</v>
      </c>
      <c r="D42" s="206"/>
      <c r="E42" s="207"/>
      <c r="F42" s="209"/>
      <c r="G42" s="206"/>
      <c r="H42" s="206"/>
      <c r="I42" s="207"/>
      <c r="J42" s="209"/>
      <c r="K42" s="206"/>
      <c r="L42" s="206"/>
      <c r="M42" s="207"/>
      <c r="N42" s="277"/>
      <c r="O42" s="278">
        <f>('State Efficiency Ratios (2014)'!O269+'State Efficiency Ratios (2014)'!O292+'State Efficiency Ratios (2014)'!O315)/3</f>
        <v>44.120869158320914</v>
      </c>
      <c r="P42" s="278"/>
      <c r="Q42" s="279"/>
      <c r="R42" s="277"/>
      <c r="S42" s="278"/>
      <c r="T42" s="278"/>
      <c r="U42" s="278">
        <f>('State Efficiency Ratios (2014)'!U269+'State Efficiency Ratios (2014)'!U292+'State Efficiency Ratios (2014)'!U315)/3</f>
        <v>104.94831152364041</v>
      </c>
      <c r="V42" s="277"/>
      <c r="W42" s="278"/>
      <c r="X42" s="278"/>
      <c r="Y42" s="278">
        <f>('State Efficiency Ratios (2014)'!Y269+'State Efficiency Ratios (2014)'!Y292+'State Efficiency Ratios (2014)'!Y315)/3</f>
        <v>188.75578874613211</v>
      </c>
      <c r="Z42" s="277"/>
      <c r="AA42" s="278"/>
      <c r="AB42" s="278"/>
      <c r="AC42" s="278">
        <f>('State Efficiency Ratios (2014)'!AC269+'State Efficiency Ratios (2014)'!AC292+'State Efficiency Ratios (2014)'!AC315)/3</f>
        <v>122.45875797495484</v>
      </c>
      <c r="AD42" s="277"/>
      <c r="AE42" s="280"/>
      <c r="AG42" s="410"/>
      <c r="AH42" s="351" t="s">
        <v>757</v>
      </c>
      <c r="AI42" s="627">
        <f t="shared" ref="AI42:AI50" si="12">O42</f>
        <v>44.120869158320914</v>
      </c>
      <c r="AJ42" s="598">
        <f t="shared" ref="AJ42:AJ50" si="13">U42</f>
        <v>104.94831152364041</v>
      </c>
      <c r="AK42" s="598">
        <f t="shared" ref="AK42:AK50" si="14">Y42</f>
        <v>188.75578874613211</v>
      </c>
      <c r="AL42" s="628">
        <f t="shared" ref="AL42:AL50" si="15">AC42</f>
        <v>122.45875797495484</v>
      </c>
    </row>
    <row r="43" spans="1:38" ht="13.5" thickBot="1">
      <c r="A43" s="885"/>
      <c r="B43" s="885"/>
      <c r="C43" s="194" t="s">
        <v>612</v>
      </c>
      <c r="D43" s="206"/>
      <c r="E43" s="207"/>
      <c r="F43" s="209"/>
      <c r="G43" s="206"/>
      <c r="H43" s="206"/>
      <c r="I43" s="207"/>
      <c r="J43" s="209"/>
      <c r="K43" s="206"/>
      <c r="L43" s="206"/>
      <c r="M43" s="207"/>
      <c r="N43" s="277"/>
      <c r="O43" s="278">
        <f>('State Efficiency Ratios (2014)'!O270+'State Efficiency Ratios (2014)'!O293+'State Efficiency Ratios (2014)'!O316)/3</f>
        <v>7.9872057965159842</v>
      </c>
      <c r="P43" s="278"/>
      <c r="Q43" s="279"/>
      <c r="R43" s="277"/>
      <c r="S43" s="278"/>
      <c r="T43" s="278"/>
      <c r="U43" s="278">
        <f>('State Efficiency Ratios (2014)'!U270+'State Efficiency Ratios (2014)'!U293+'State Efficiency Ratios (2014)'!U316)/3</f>
        <v>121.43458301754087</v>
      </c>
      <c r="V43" s="277"/>
      <c r="W43" s="278"/>
      <c r="X43" s="278"/>
      <c r="Y43" s="278">
        <f>('State Efficiency Ratios (2014)'!Y270+'State Efficiency Ratios (2014)'!Y293+'State Efficiency Ratios (2014)'!Y316)/3</f>
        <v>99.403643723130855</v>
      </c>
      <c r="Z43" s="277"/>
      <c r="AA43" s="278"/>
      <c r="AB43" s="278"/>
      <c r="AC43" s="278">
        <f>('State Efficiency Ratios (2014)'!AC270+'State Efficiency Ratios (2014)'!AC293+'State Efficiency Ratios (2014)'!AC316)/3</f>
        <v>147.25214352952901</v>
      </c>
      <c r="AD43" s="277"/>
      <c r="AE43" s="280"/>
      <c r="AG43" s="410" t="s">
        <v>1086</v>
      </c>
      <c r="AH43" s="351" t="s">
        <v>758</v>
      </c>
      <c r="AI43" s="627">
        <f t="shared" si="12"/>
        <v>7.9872057965159842</v>
      </c>
      <c r="AJ43" s="598">
        <f t="shared" si="13"/>
        <v>121.43458301754087</v>
      </c>
      <c r="AK43" s="598">
        <f t="shared" si="14"/>
        <v>99.403643723130855</v>
      </c>
      <c r="AL43" s="628">
        <f t="shared" si="15"/>
        <v>147.25214352952901</v>
      </c>
    </row>
    <row r="44" spans="1:38" ht="13.5" thickBot="1">
      <c r="A44" s="885"/>
      <c r="B44" s="885"/>
      <c r="C44" s="194" t="s">
        <v>613</v>
      </c>
      <c r="D44" s="206"/>
      <c r="E44" s="207"/>
      <c r="F44" s="209"/>
      <c r="G44" s="206"/>
      <c r="H44" s="206"/>
      <c r="I44" s="207"/>
      <c r="J44" s="209"/>
      <c r="K44" s="206"/>
      <c r="L44" s="206"/>
      <c r="M44" s="207"/>
      <c r="N44" s="277"/>
      <c r="O44" s="278">
        <f>('State Efficiency Ratios (2014)'!O271+'State Efficiency Ratios (2014)'!O294+'State Efficiency Ratios (2014)'!O317)/3</f>
        <v>32.860963570000365</v>
      </c>
      <c r="P44" s="278"/>
      <c r="Q44" s="279"/>
      <c r="R44" s="277"/>
      <c r="S44" s="278"/>
      <c r="T44" s="278"/>
      <c r="U44" s="278">
        <f>('State Efficiency Ratios (2014)'!U271+'State Efficiency Ratios (2014)'!U294+'State Efficiency Ratios (2014)'!U317)/3</f>
        <v>150.58197173093859</v>
      </c>
      <c r="V44" s="277"/>
      <c r="W44" s="278"/>
      <c r="X44" s="278"/>
      <c r="Y44" s="278">
        <f>('State Efficiency Ratios (2014)'!Y271+'State Efficiency Ratios (2014)'!Y294+'State Efficiency Ratios (2014)'!Y317)/3</f>
        <v>173.93937917039992</v>
      </c>
      <c r="Z44" s="277"/>
      <c r="AA44" s="278"/>
      <c r="AB44" s="278"/>
      <c r="AC44" s="278">
        <f>('State Efficiency Ratios (2014)'!AC271+'State Efficiency Ratios (2014)'!AC294+'State Efficiency Ratios (2014)'!AC317)/3</f>
        <v>10.563794741310867</v>
      </c>
      <c r="AD44" s="277"/>
      <c r="AE44" s="280"/>
      <c r="AG44" s="410" t="s">
        <v>1087</v>
      </c>
      <c r="AH44" s="351" t="s">
        <v>759</v>
      </c>
      <c r="AI44" s="627">
        <f t="shared" si="12"/>
        <v>32.860963570000365</v>
      </c>
      <c r="AJ44" s="598">
        <f t="shared" si="13"/>
        <v>150.58197173093859</v>
      </c>
      <c r="AK44" s="598">
        <f t="shared" si="14"/>
        <v>173.93937917039992</v>
      </c>
      <c r="AL44" s="628">
        <f t="shared" si="15"/>
        <v>10.563794741310867</v>
      </c>
    </row>
    <row r="45" spans="1:38" ht="13.5" thickBot="1">
      <c r="A45" s="885"/>
      <c r="B45" s="885"/>
      <c r="C45" s="194" t="s">
        <v>614</v>
      </c>
      <c r="D45" s="206"/>
      <c r="E45" s="207"/>
      <c r="F45" s="209"/>
      <c r="G45" s="206"/>
      <c r="H45" s="206"/>
      <c r="I45" s="207"/>
      <c r="J45" s="209"/>
      <c r="K45" s="206"/>
      <c r="L45" s="206"/>
      <c r="M45" s="207"/>
      <c r="N45" s="277"/>
      <c r="O45" s="278">
        <f>('State Efficiency Ratios (2014)'!O272+'State Efficiency Ratios (2014)'!O295+'State Efficiency Ratios (2014)'!O318)/3</f>
        <v>3.7868245803757321</v>
      </c>
      <c r="P45" s="278"/>
      <c r="Q45" s="279"/>
      <c r="R45" s="277"/>
      <c r="S45" s="278"/>
      <c r="T45" s="278"/>
      <c r="U45" s="278">
        <f>('State Efficiency Ratios (2014)'!U272+'State Efficiency Ratios (2014)'!U295+'State Efficiency Ratios (2014)'!U318)/3</f>
        <v>103.43900502192325</v>
      </c>
      <c r="V45" s="277"/>
      <c r="W45" s="278"/>
      <c r="X45" s="278"/>
      <c r="Y45" s="278">
        <f>('State Efficiency Ratios (2014)'!Y272+'State Efficiency Ratios (2014)'!Y295+'State Efficiency Ratios (2014)'!Y318)/3</f>
        <v>150.62212538601838</v>
      </c>
      <c r="Z45" s="277"/>
      <c r="AA45" s="278"/>
      <c r="AB45" s="278"/>
      <c r="AC45" s="278">
        <f>('State Efficiency Ratios (2014)'!AC272+'State Efficiency Ratios (2014)'!AC295+'State Efficiency Ratios (2014)'!AC318)/3</f>
        <v>160.85610815019552</v>
      </c>
      <c r="AD45" s="277"/>
      <c r="AE45" s="280"/>
      <c r="AG45" s="410" t="s">
        <v>1088</v>
      </c>
      <c r="AH45" s="351" t="s">
        <v>760</v>
      </c>
      <c r="AI45" s="627">
        <f t="shared" si="12"/>
        <v>3.7868245803757321</v>
      </c>
      <c r="AJ45" s="598">
        <f t="shared" si="13"/>
        <v>103.43900502192325</v>
      </c>
      <c r="AK45" s="598">
        <f t="shared" si="14"/>
        <v>150.62212538601838</v>
      </c>
      <c r="AL45" s="628">
        <f t="shared" si="15"/>
        <v>160.85610815019552</v>
      </c>
    </row>
    <row r="46" spans="1:38" ht="12.95" customHeight="1" thickBot="1">
      <c r="A46" s="885"/>
      <c r="B46" s="885"/>
      <c r="C46" s="194" t="s">
        <v>615</v>
      </c>
      <c r="D46" s="210"/>
      <c r="E46" s="211"/>
      <c r="F46" s="209"/>
      <c r="G46" s="210"/>
      <c r="H46" s="210"/>
      <c r="I46" s="211"/>
      <c r="J46" s="209"/>
      <c r="K46" s="210"/>
      <c r="L46" s="210"/>
      <c r="M46" s="211"/>
      <c r="N46" s="281"/>
      <c r="O46" s="282"/>
      <c r="P46" s="282"/>
      <c r="Q46" s="282"/>
      <c r="R46" s="277"/>
      <c r="S46" s="278"/>
      <c r="T46" s="278"/>
      <c r="U46" s="278">
        <f>('State Efficiency Ratios (2014)'!U273+'State Efficiency Ratios (2014)'!U296+'State Efficiency Ratios (2014)'!U319)/3</f>
        <v>0</v>
      </c>
      <c r="V46" s="277"/>
      <c r="W46" s="278"/>
      <c r="X46" s="278"/>
      <c r="Y46" s="278">
        <f>('State Efficiency Ratios (2014)'!Y273+'State Efficiency Ratios (2014)'!Y296+'State Efficiency Ratios (2014)'!Y319)/3</f>
        <v>271.86934912079772</v>
      </c>
      <c r="Z46" s="277"/>
      <c r="AA46" s="278"/>
      <c r="AB46" s="278"/>
      <c r="AC46" s="278">
        <f>('State Efficiency Ratios (2014)'!AC273+'State Efficiency Ratios (2014)'!AC296+'State Efficiency Ratios (2014)'!AC319)/3</f>
        <v>-50.054243053621327</v>
      </c>
      <c r="AD46" s="277"/>
      <c r="AE46" s="280"/>
      <c r="AG46" s="410"/>
      <c r="AH46" s="351" t="s">
        <v>761</v>
      </c>
      <c r="AI46" s="627">
        <f t="shared" si="12"/>
        <v>0</v>
      </c>
      <c r="AJ46" s="598">
        <f t="shared" si="13"/>
        <v>0</v>
      </c>
      <c r="AK46" s="598">
        <f t="shared" si="14"/>
        <v>271.86934912079772</v>
      </c>
      <c r="AL46" s="628">
        <f t="shared" si="15"/>
        <v>-50.054243053621327</v>
      </c>
    </row>
    <row r="47" spans="1:38" ht="12.95" customHeight="1" thickBot="1">
      <c r="A47" s="885"/>
      <c r="B47" s="885"/>
      <c r="C47" s="194" t="s">
        <v>616</v>
      </c>
      <c r="D47" s="210"/>
      <c r="E47" s="211"/>
      <c r="F47" s="209"/>
      <c r="G47" s="210"/>
      <c r="H47" s="210"/>
      <c r="I47" s="211"/>
      <c r="J47" s="209"/>
      <c r="K47" s="210"/>
      <c r="L47" s="210"/>
      <c r="M47" s="211"/>
      <c r="N47" s="281"/>
      <c r="O47" s="282"/>
      <c r="P47" s="282"/>
      <c r="Q47" s="282"/>
      <c r="R47" s="277"/>
      <c r="S47" s="278"/>
      <c r="T47" s="278"/>
      <c r="U47" s="278">
        <f>('State Efficiency Ratios (2014)'!U274+'State Efficiency Ratios (2014)'!U297+'State Efficiency Ratios (2014)'!U320)/3</f>
        <v>0</v>
      </c>
      <c r="V47" s="277"/>
      <c r="W47" s="278"/>
      <c r="X47" s="278"/>
      <c r="Y47" s="278">
        <f>('State Efficiency Ratios (2014)'!Y274+'State Efficiency Ratios (2014)'!Y297+'State Efficiency Ratios (2014)'!Y320)/3</f>
        <v>9.3799819845074577</v>
      </c>
      <c r="Z47" s="277"/>
      <c r="AA47" s="278"/>
      <c r="AB47" s="278"/>
      <c r="AC47" s="278">
        <f>('State Efficiency Ratios (2014)'!AC274+'State Efficiency Ratios (2014)'!AC297+'State Efficiency Ratios (2014)'!AC320)/3</f>
        <v>418.59742725197719</v>
      </c>
      <c r="AD47" s="277"/>
      <c r="AE47" s="280"/>
      <c r="AG47" s="410" t="s">
        <v>1084</v>
      </c>
      <c r="AH47" s="351" t="s">
        <v>762</v>
      </c>
      <c r="AI47" s="627">
        <f t="shared" si="12"/>
        <v>0</v>
      </c>
      <c r="AJ47" s="598">
        <f t="shared" si="13"/>
        <v>0</v>
      </c>
      <c r="AK47" s="598">
        <f t="shared" si="14"/>
        <v>9.3799819845074577</v>
      </c>
      <c r="AL47" s="628">
        <f t="shared" si="15"/>
        <v>418.59742725197719</v>
      </c>
    </row>
    <row r="48" spans="1:38" ht="12.95" customHeight="1" thickBot="1">
      <c r="A48" s="885"/>
      <c r="B48" s="885"/>
      <c r="C48" s="194" t="s">
        <v>617</v>
      </c>
      <c r="D48" s="210"/>
      <c r="E48" s="211"/>
      <c r="F48" s="209"/>
      <c r="G48" s="210"/>
      <c r="H48" s="210"/>
      <c r="I48" s="211"/>
      <c r="J48" s="209"/>
      <c r="K48" s="210"/>
      <c r="L48" s="210"/>
      <c r="M48" s="211"/>
      <c r="N48" s="281"/>
      <c r="O48" s="282"/>
      <c r="P48" s="282"/>
      <c r="Q48" s="282"/>
      <c r="R48" s="277"/>
      <c r="S48" s="278"/>
      <c r="T48" s="278"/>
      <c r="U48" s="278">
        <f>('State Efficiency Ratios (2014)'!U275+'State Efficiency Ratios (2014)'!U298+'State Efficiency Ratios (2014)'!U321)/3</f>
        <v>0</v>
      </c>
      <c r="V48" s="277"/>
      <c r="W48" s="278"/>
      <c r="X48" s="278"/>
      <c r="Y48" s="278">
        <f>('State Efficiency Ratios (2014)'!Y275+'State Efficiency Ratios (2014)'!Y298+'State Efficiency Ratios (2014)'!Y321)/3</f>
        <v>591.27779326338361</v>
      </c>
      <c r="Z48" s="277"/>
      <c r="AA48" s="278"/>
      <c r="AB48" s="278"/>
      <c r="AC48" s="278">
        <f>('State Efficiency Ratios (2014)'!AC275+'State Efficiency Ratios (2014)'!AC298+'State Efficiency Ratios (2014)'!AC321)/3</f>
        <v>164.31671848777475</v>
      </c>
      <c r="AD48" s="277"/>
      <c r="AE48" s="280"/>
      <c r="AG48" s="410" t="s">
        <v>1089</v>
      </c>
      <c r="AH48" s="351" t="s">
        <v>763</v>
      </c>
      <c r="AI48" s="627">
        <f t="shared" si="12"/>
        <v>0</v>
      </c>
      <c r="AJ48" s="598">
        <f t="shared" si="13"/>
        <v>0</v>
      </c>
      <c r="AK48" s="598">
        <f t="shared" si="14"/>
        <v>591.27779326338361</v>
      </c>
      <c r="AL48" s="628">
        <f t="shared" si="15"/>
        <v>164.31671848777475</v>
      </c>
    </row>
    <row r="49" spans="1:38" ht="12.95" customHeight="1" thickBot="1">
      <c r="A49" s="885"/>
      <c r="B49" s="885"/>
      <c r="C49" s="194" t="s">
        <v>618</v>
      </c>
      <c r="D49" s="210"/>
      <c r="E49" s="211"/>
      <c r="F49" s="209"/>
      <c r="G49" s="210"/>
      <c r="H49" s="210"/>
      <c r="I49" s="211"/>
      <c r="J49" s="209"/>
      <c r="K49" s="210"/>
      <c r="L49" s="210"/>
      <c r="M49" s="211"/>
      <c r="N49" s="281"/>
      <c r="O49" s="282"/>
      <c r="P49" s="282"/>
      <c r="Q49" s="283"/>
      <c r="R49" s="281"/>
      <c r="S49" s="282"/>
      <c r="T49" s="282"/>
      <c r="U49" s="283"/>
      <c r="V49" s="281"/>
      <c r="W49" s="282"/>
      <c r="X49" s="282"/>
      <c r="Y49" s="283"/>
      <c r="Z49" s="277"/>
      <c r="AA49" s="278"/>
      <c r="AB49" s="278"/>
      <c r="AC49" s="278">
        <f>('State Efficiency Ratios (2014)'!AC276+'State Efficiency Ratios (2014)'!AC299+'State Efficiency Ratios (2014)'!AC322)/3</f>
        <v>0</v>
      </c>
      <c r="AD49" s="277"/>
      <c r="AE49" s="280"/>
      <c r="AG49" s="410"/>
      <c r="AH49" s="351" t="s">
        <v>1098</v>
      </c>
      <c r="AI49" s="627">
        <f t="shared" si="12"/>
        <v>0</v>
      </c>
      <c r="AJ49" s="598">
        <f t="shared" si="13"/>
        <v>0</v>
      </c>
      <c r="AK49" s="598">
        <f t="shared" si="14"/>
        <v>0</v>
      </c>
      <c r="AL49" s="628">
        <f t="shared" si="15"/>
        <v>0</v>
      </c>
    </row>
    <row r="50" spans="1:38" ht="12.95" customHeight="1" thickBot="1">
      <c r="A50" s="869"/>
      <c r="B50" s="869"/>
      <c r="C50" s="194" t="s">
        <v>619</v>
      </c>
      <c r="D50" s="210"/>
      <c r="E50" s="211"/>
      <c r="F50" s="209"/>
      <c r="G50" s="210"/>
      <c r="H50" s="210"/>
      <c r="I50" s="211"/>
      <c r="J50" s="209"/>
      <c r="K50" s="210"/>
      <c r="L50" s="210"/>
      <c r="M50" s="211"/>
      <c r="N50" s="281"/>
      <c r="O50" s="282"/>
      <c r="P50" s="282"/>
      <c r="Q50" s="283"/>
      <c r="R50" s="281"/>
      <c r="S50" s="282"/>
      <c r="T50" s="282"/>
      <c r="U50" s="283"/>
      <c r="V50" s="281"/>
      <c r="W50" s="282"/>
      <c r="X50" s="282"/>
      <c r="Y50" s="283"/>
      <c r="Z50" s="277"/>
      <c r="AA50" s="278"/>
      <c r="AB50" s="278"/>
      <c r="AC50" s="278">
        <f>('State Efficiency Ratios (2014)'!AC277+'State Efficiency Ratios (2014)'!AC300+'State Efficiency Ratios (2014)'!AC323)/3</f>
        <v>0</v>
      </c>
      <c r="AD50" s="277"/>
      <c r="AE50" s="280"/>
      <c r="AG50" s="410"/>
      <c r="AH50" s="351" t="s">
        <v>1099</v>
      </c>
      <c r="AI50" s="595">
        <f t="shared" si="12"/>
        <v>0</v>
      </c>
      <c r="AJ50" s="596">
        <f t="shared" si="13"/>
        <v>0</v>
      </c>
      <c r="AK50" s="596">
        <f t="shared" si="14"/>
        <v>0</v>
      </c>
      <c r="AL50" s="597">
        <f t="shared" si="15"/>
        <v>0</v>
      </c>
    </row>
    <row r="51" spans="1:38" ht="13.5" thickBot="1"/>
    <row r="52" spans="1:38" ht="12.95" customHeight="1" thickBot="1">
      <c r="A52" s="506" t="s">
        <v>26</v>
      </c>
      <c r="B52" s="514" t="s">
        <v>736</v>
      </c>
      <c r="C52" s="8"/>
      <c r="D52" s="1377">
        <v>2008</v>
      </c>
      <c r="E52" s="1378"/>
      <c r="F52" s="1372">
        <v>2009</v>
      </c>
      <c r="G52" s="1373"/>
      <c r="H52" s="1373"/>
      <c r="I52" s="1374"/>
      <c r="J52" s="1372">
        <v>2010</v>
      </c>
      <c r="K52" s="1373"/>
      <c r="L52" s="1373"/>
      <c r="M52" s="1374"/>
      <c r="N52" s="1372">
        <v>2011</v>
      </c>
      <c r="O52" s="1373"/>
      <c r="P52" s="1373"/>
      <c r="Q52" s="1374"/>
      <c r="R52" s="1372">
        <v>2012</v>
      </c>
      <c r="S52" s="1373"/>
      <c r="T52" s="1373"/>
      <c r="U52" s="1374"/>
      <c r="V52" s="1372">
        <v>2013</v>
      </c>
      <c r="W52" s="1373"/>
      <c r="X52" s="1373"/>
      <c r="Y52" s="1374"/>
      <c r="Z52" s="1372">
        <v>2014</v>
      </c>
      <c r="AA52" s="1373"/>
      <c r="AB52" s="1373"/>
      <c r="AC52" s="1374"/>
      <c r="AD52" s="1372">
        <v>2015</v>
      </c>
      <c r="AE52" s="1374"/>
      <c r="AG52" s="257" t="s">
        <v>663</v>
      </c>
      <c r="AH52" s="351" t="s">
        <v>1050</v>
      </c>
      <c r="AI52" s="642">
        <f>(SUM(AI53:AI57))/5</f>
        <v>20.989293685163137</v>
      </c>
      <c r="AJ52" s="643">
        <f>(SUM(AJ53:AJ57))/5</f>
        <v>53.773103986349973</v>
      </c>
      <c r="AK52" s="643">
        <f>(SUM(AK53:AK60))/8</f>
        <v>108.68743606747039</v>
      </c>
      <c r="AL52" s="644">
        <f>(SUM(AL53:AL60))/8</f>
        <v>129.79035184488555</v>
      </c>
    </row>
    <row r="53" spans="1:38" ht="12.95" customHeight="1" thickBot="1">
      <c r="A53" s="1385" t="s">
        <v>64</v>
      </c>
      <c r="B53" s="1386"/>
      <c r="C53" s="194" t="s">
        <v>610</v>
      </c>
      <c r="D53" s="206"/>
      <c r="E53" s="207"/>
      <c r="F53" s="209"/>
      <c r="G53" s="206"/>
      <c r="H53" s="206"/>
      <c r="I53" s="207"/>
      <c r="J53" s="209"/>
      <c r="K53" s="206"/>
      <c r="L53" s="206"/>
      <c r="M53" s="207"/>
      <c r="N53" s="277"/>
      <c r="O53" s="278">
        <f>('State Efficiency Ratios (2014)'!O344+'State Efficiency Ratios (2014)'!O368)/2</f>
        <v>11.24272107849329</v>
      </c>
      <c r="P53" s="278"/>
      <c r="Q53" s="279"/>
      <c r="R53" s="277"/>
      <c r="S53" s="278"/>
      <c r="T53" s="278"/>
      <c r="U53" s="278">
        <f>('State Efficiency Ratios (2014)'!U344+'State Efficiency Ratios (2014)'!U368)/2</f>
        <v>62.256728496716519</v>
      </c>
      <c r="V53" s="277"/>
      <c r="W53" s="278"/>
      <c r="X53" s="278"/>
      <c r="Y53" s="278">
        <f>('State Efficiency Ratios (2014)'!Y344+'State Efficiency Ratios (2014)'!Y368+'State Efficiency Ratios (2014)'!Y392+'State Efficiency Ratios (2014)'!Y415)/4</f>
        <v>106.2156728071563</v>
      </c>
      <c r="Z53" s="277"/>
      <c r="AA53" s="278"/>
      <c r="AB53" s="278"/>
      <c r="AC53" s="278">
        <f>('State Efficiency Ratios (2014)'!AC344+'State Efficiency Ratios (2014)'!AC368+'State Efficiency Ratios (2014)'!AC392+'State Efficiency Ratios (2014)'!AC415)/4</f>
        <v>-7.052150442582481</v>
      </c>
      <c r="AD53" s="277"/>
      <c r="AE53" s="280"/>
      <c r="AG53" s="410"/>
      <c r="AH53" s="351" t="s">
        <v>756</v>
      </c>
      <c r="AI53" s="624">
        <f>O53</f>
        <v>11.24272107849329</v>
      </c>
      <c r="AJ53" s="625">
        <f>U53</f>
        <v>62.256728496716519</v>
      </c>
      <c r="AK53" s="625">
        <f>Y53</f>
        <v>106.2156728071563</v>
      </c>
      <c r="AL53" s="626">
        <f>AC53</f>
        <v>-7.052150442582481</v>
      </c>
    </row>
    <row r="54" spans="1:38" ht="13.5" thickBot="1">
      <c r="A54" s="1386"/>
      <c r="B54" s="1386"/>
      <c r="C54" s="194" t="s">
        <v>611</v>
      </c>
      <c r="D54" s="206"/>
      <c r="E54" s="207"/>
      <c r="F54" s="209"/>
      <c r="G54" s="206"/>
      <c r="H54" s="206"/>
      <c r="I54" s="207"/>
      <c r="J54" s="209"/>
      <c r="K54" s="206"/>
      <c r="L54" s="206"/>
      <c r="M54" s="207"/>
      <c r="N54" s="277"/>
      <c r="O54" s="278">
        <f>('State Efficiency Ratios (2014)'!O345+'State Efficiency Ratios (2014)'!O369)/2</f>
        <v>27.670911003820972</v>
      </c>
      <c r="P54" s="278"/>
      <c r="Q54" s="279"/>
      <c r="R54" s="277"/>
      <c r="S54" s="278"/>
      <c r="T54" s="278"/>
      <c r="U54" s="278">
        <f>('State Efficiency Ratios (2014)'!U345+'State Efficiency Ratios (2014)'!U369)/2</f>
        <v>67.841622221159128</v>
      </c>
      <c r="V54" s="277"/>
      <c r="W54" s="278"/>
      <c r="X54" s="278"/>
      <c r="Y54" s="278">
        <f>('State Efficiency Ratios (2014)'!Y345+'State Efficiency Ratios (2014)'!Y369+'State Efficiency Ratios (2014)'!Y393+'State Efficiency Ratios (2014)'!Y416)/4</f>
        <v>65.954028445491772</v>
      </c>
      <c r="Z54" s="277"/>
      <c r="AA54" s="278"/>
      <c r="AB54" s="278"/>
      <c r="AC54" s="278">
        <f>('State Efficiency Ratios (2014)'!AC345+'State Efficiency Ratios (2014)'!AC369+'State Efficiency Ratios (2014)'!AC393+'State Efficiency Ratios (2014)'!AC416)/4</f>
        <v>61.071651217111871</v>
      </c>
      <c r="AD54" s="277"/>
      <c r="AE54" s="280"/>
      <c r="AG54" s="410"/>
      <c r="AH54" s="351" t="s">
        <v>757</v>
      </c>
      <c r="AI54" s="627">
        <f t="shared" ref="AI54:AI62" si="16">O54</f>
        <v>27.670911003820972</v>
      </c>
      <c r="AJ54" s="598">
        <f t="shared" ref="AJ54:AJ62" si="17">U54</f>
        <v>67.841622221159128</v>
      </c>
      <c r="AK54" s="598">
        <f t="shared" ref="AK54:AK62" si="18">Y54</f>
        <v>65.954028445491772</v>
      </c>
      <c r="AL54" s="628">
        <f t="shared" ref="AL54:AL62" si="19">AC54</f>
        <v>61.071651217111871</v>
      </c>
    </row>
    <row r="55" spans="1:38" ht="13.5" thickBot="1">
      <c r="A55" s="1386"/>
      <c r="B55" s="1386"/>
      <c r="C55" s="194" t="s">
        <v>612</v>
      </c>
      <c r="D55" s="206"/>
      <c r="E55" s="207"/>
      <c r="F55" s="209"/>
      <c r="G55" s="206"/>
      <c r="H55" s="206"/>
      <c r="I55" s="207"/>
      <c r="J55" s="209"/>
      <c r="K55" s="206"/>
      <c r="L55" s="206"/>
      <c r="M55" s="207"/>
      <c r="N55" s="277"/>
      <c r="O55" s="278">
        <f>('State Efficiency Ratios (2014)'!O346+'State Efficiency Ratios (2014)'!O370)/2</f>
        <v>15.847078553795178</v>
      </c>
      <c r="P55" s="278"/>
      <c r="Q55" s="279"/>
      <c r="R55" s="277"/>
      <c r="S55" s="278"/>
      <c r="T55" s="278"/>
      <c r="U55" s="278">
        <f>('State Efficiency Ratios (2014)'!U346+'State Efficiency Ratios (2014)'!U370)/2</f>
        <v>81.805501508497471</v>
      </c>
      <c r="V55" s="277"/>
      <c r="W55" s="278"/>
      <c r="X55" s="278"/>
      <c r="Y55" s="278">
        <f>('State Efficiency Ratios (2014)'!Y346+'State Efficiency Ratios (2014)'!Y370+'State Efficiency Ratios (2014)'!Y394+'State Efficiency Ratios (2014)'!Y417)/4</f>
        <v>51.546637483294177</v>
      </c>
      <c r="Z55" s="277"/>
      <c r="AA55" s="278"/>
      <c r="AB55" s="278"/>
      <c r="AC55" s="278">
        <f>('State Efficiency Ratios (2014)'!AC346+'State Efficiency Ratios (2014)'!AC370+'State Efficiency Ratios (2014)'!AC394+'State Efficiency Ratios (2014)'!AC417)/4</f>
        <v>264.42736384609157</v>
      </c>
      <c r="AD55" s="277"/>
      <c r="AE55" s="280"/>
      <c r="AG55" s="410" t="s">
        <v>1086</v>
      </c>
      <c r="AH55" s="351" t="s">
        <v>758</v>
      </c>
      <c r="AI55" s="627">
        <f t="shared" si="16"/>
        <v>15.847078553795178</v>
      </c>
      <c r="AJ55" s="598">
        <f t="shared" si="17"/>
        <v>81.805501508497471</v>
      </c>
      <c r="AK55" s="598">
        <f t="shared" si="18"/>
        <v>51.546637483294177</v>
      </c>
      <c r="AL55" s="628">
        <f t="shared" si="19"/>
        <v>264.42736384609157</v>
      </c>
    </row>
    <row r="56" spans="1:38" ht="13.5" thickBot="1">
      <c r="A56" s="1386"/>
      <c r="B56" s="1386"/>
      <c r="C56" s="194" t="s">
        <v>613</v>
      </c>
      <c r="D56" s="206"/>
      <c r="E56" s="207"/>
      <c r="F56" s="209"/>
      <c r="G56" s="206"/>
      <c r="H56" s="206"/>
      <c r="I56" s="207"/>
      <c r="J56" s="209"/>
      <c r="K56" s="206"/>
      <c r="L56" s="206"/>
      <c r="M56" s="207"/>
      <c r="N56" s="277"/>
      <c r="O56" s="278">
        <f>('State Efficiency Ratios (2014)'!O347+'State Efficiency Ratios (2014)'!O371)/2</f>
        <v>27.615531155195633</v>
      </c>
      <c r="P56" s="278"/>
      <c r="Q56" s="279"/>
      <c r="R56" s="277"/>
      <c r="S56" s="278"/>
      <c r="T56" s="278"/>
      <c r="U56" s="278">
        <f>('State Efficiency Ratios (2014)'!U347+'State Efficiency Ratios (2014)'!U371)/2</f>
        <v>19.704547872372039</v>
      </c>
      <c r="V56" s="277"/>
      <c r="W56" s="278"/>
      <c r="X56" s="278"/>
      <c r="Y56" s="278">
        <f>('State Efficiency Ratios (2014)'!Y347+'State Efficiency Ratios (2014)'!Y371+'State Efficiency Ratios (2014)'!Y395+'State Efficiency Ratios (2014)'!Y418)/4</f>
        <v>139.11023617014422</v>
      </c>
      <c r="Z56" s="277"/>
      <c r="AA56" s="278"/>
      <c r="AB56" s="278"/>
      <c r="AC56" s="278">
        <f>('State Efficiency Ratios (2014)'!AC347+'State Efficiency Ratios (2014)'!AC371+'State Efficiency Ratios (2014)'!AC395+'State Efficiency Ratios (2014)'!AC418)/4</f>
        <v>37.937891775874739</v>
      </c>
      <c r="AD56" s="277"/>
      <c r="AE56" s="280"/>
      <c r="AG56" s="410" t="s">
        <v>1087</v>
      </c>
      <c r="AH56" s="351" t="s">
        <v>759</v>
      </c>
      <c r="AI56" s="627">
        <f t="shared" si="16"/>
        <v>27.615531155195633</v>
      </c>
      <c r="AJ56" s="598">
        <f t="shared" si="17"/>
        <v>19.704547872372039</v>
      </c>
      <c r="AK56" s="598">
        <f t="shared" si="18"/>
        <v>139.11023617014422</v>
      </c>
      <c r="AL56" s="628">
        <f t="shared" si="19"/>
        <v>37.937891775874739</v>
      </c>
    </row>
    <row r="57" spans="1:38" ht="13.5" thickBot="1">
      <c r="A57" s="1386"/>
      <c r="B57" s="1386"/>
      <c r="C57" s="194" t="s">
        <v>614</v>
      </c>
      <c r="D57" s="206"/>
      <c r="E57" s="207"/>
      <c r="F57" s="209"/>
      <c r="G57" s="206"/>
      <c r="H57" s="206"/>
      <c r="I57" s="207"/>
      <c r="J57" s="209"/>
      <c r="K57" s="206"/>
      <c r="L57" s="206"/>
      <c r="M57" s="207"/>
      <c r="N57" s="277"/>
      <c r="O57" s="278">
        <f>('State Efficiency Ratios (2014)'!O348+'State Efficiency Ratios (2014)'!O372)/2</f>
        <v>22.570226634510604</v>
      </c>
      <c r="P57" s="278"/>
      <c r="Q57" s="279"/>
      <c r="R57" s="277"/>
      <c r="S57" s="278"/>
      <c r="T57" s="278"/>
      <c r="U57" s="278">
        <f>('State Efficiency Ratios (2014)'!U348+'State Efficiency Ratios (2014)'!U372)/2</f>
        <v>37.257119833004715</v>
      </c>
      <c r="V57" s="277"/>
      <c r="W57" s="278"/>
      <c r="X57" s="278"/>
      <c r="Y57" s="278">
        <f>('State Efficiency Ratios (2014)'!Y348+'State Efficiency Ratios (2014)'!Y372+'State Efficiency Ratios (2014)'!Y396+'State Efficiency Ratios (2014)'!Y419)/4</f>
        <v>110.42525202311592</v>
      </c>
      <c r="Z57" s="277"/>
      <c r="AA57" s="278"/>
      <c r="AB57" s="278"/>
      <c r="AC57" s="278">
        <f>('State Efficiency Ratios (2014)'!AC348+'State Efficiency Ratios (2014)'!AC372+'State Efficiency Ratios (2014)'!AC396+'State Efficiency Ratios (2014)'!AC419)/4</f>
        <v>48.769059626172925</v>
      </c>
      <c r="AD57" s="277"/>
      <c r="AE57" s="280"/>
      <c r="AG57" s="410" t="s">
        <v>1085</v>
      </c>
      <c r="AH57" s="351" t="s">
        <v>760</v>
      </c>
      <c r="AI57" s="627">
        <f t="shared" si="16"/>
        <v>22.570226634510604</v>
      </c>
      <c r="AJ57" s="598">
        <f t="shared" si="17"/>
        <v>37.257119833004715</v>
      </c>
      <c r="AK57" s="598">
        <f t="shared" si="18"/>
        <v>110.42525202311592</v>
      </c>
      <c r="AL57" s="628">
        <f t="shared" si="19"/>
        <v>48.769059626172925</v>
      </c>
    </row>
    <row r="58" spans="1:38" ht="12.95" customHeight="1" thickBot="1">
      <c r="A58" s="1386"/>
      <c r="B58" s="1386"/>
      <c r="C58" s="194" t="s">
        <v>615</v>
      </c>
      <c r="D58" s="210"/>
      <c r="E58" s="211"/>
      <c r="F58" s="209"/>
      <c r="G58" s="210"/>
      <c r="H58" s="210"/>
      <c r="I58" s="211"/>
      <c r="J58" s="209"/>
      <c r="K58" s="210"/>
      <c r="L58" s="210"/>
      <c r="M58" s="211"/>
      <c r="N58" s="281"/>
      <c r="O58" s="282"/>
      <c r="P58" s="282"/>
      <c r="Q58" s="282"/>
      <c r="R58" s="277"/>
      <c r="S58" s="278"/>
      <c r="T58" s="278"/>
      <c r="U58" s="278">
        <f>('State Efficiency Ratios (2014)'!U349+'State Efficiency Ratios (2014)'!U373)/2</f>
        <v>0</v>
      </c>
      <c r="V58" s="277"/>
      <c r="W58" s="278"/>
      <c r="X58" s="278"/>
      <c r="Y58" s="278">
        <f>('State Efficiency Ratios (2014)'!Y349+'State Efficiency Ratios (2014)'!Y373+'State Efficiency Ratios (2014)'!Y397+'State Efficiency Ratios (2014)'!Y420)/4</f>
        <v>113.61711610757584</v>
      </c>
      <c r="Z58" s="277"/>
      <c r="AA58" s="278"/>
      <c r="AB58" s="278"/>
      <c r="AC58" s="278">
        <f>('State Efficiency Ratios (2014)'!AC349+'State Efficiency Ratios (2014)'!AC373+'State Efficiency Ratios (2014)'!AC397+'State Efficiency Ratios (2014)'!AC420)/4</f>
        <v>243.36342165861421</v>
      </c>
      <c r="AD58" s="277"/>
      <c r="AE58" s="280"/>
      <c r="AG58" s="410"/>
      <c r="AH58" s="351" t="s">
        <v>761</v>
      </c>
      <c r="AI58" s="627">
        <f t="shared" si="16"/>
        <v>0</v>
      </c>
      <c r="AJ58" s="598">
        <f t="shared" si="17"/>
        <v>0</v>
      </c>
      <c r="AK58" s="598">
        <f t="shared" si="18"/>
        <v>113.61711610757584</v>
      </c>
      <c r="AL58" s="628">
        <f t="shared" si="19"/>
        <v>243.36342165861421</v>
      </c>
    </row>
    <row r="59" spans="1:38" ht="12.95" customHeight="1" thickBot="1">
      <c r="A59" s="1386"/>
      <c r="B59" s="1386"/>
      <c r="C59" s="194" t="s">
        <v>616</v>
      </c>
      <c r="D59" s="210"/>
      <c r="E59" s="211"/>
      <c r="F59" s="209"/>
      <c r="G59" s="210"/>
      <c r="H59" s="210"/>
      <c r="I59" s="211"/>
      <c r="J59" s="209"/>
      <c r="K59" s="210"/>
      <c r="L59" s="210"/>
      <c r="M59" s="211"/>
      <c r="N59" s="281"/>
      <c r="O59" s="282"/>
      <c r="P59" s="282"/>
      <c r="Q59" s="282"/>
      <c r="R59" s="277"/>
      <c r="S59" s="278"/>
      <c r="T59" s="278"/>
      <c r="U59" s="278">
        <f>('State Efficiency Ratios (2014)'!U350+'State Efficiency Ratios (2014)'!U374)/2</f>
        <v>0</v>
      </c>
      <c r="V59" s="277"/>
      <c r="W59" s="278"/>
      <c r="X59" s="278"/>
      <c r="Y59" s="278">
        <f>('State Efficiency Ratios (2014)'!Y350+'State Efficiency Ratios (2014)'!Y374+'State Efficiency Ratios (2014)'!Y398+'State Efficiency Ratios (2014)'!Y421)/4</f>
        <v>133.41936925858872</v>
      </c>
      <c r="Z59" s="277"/>
      <c r="AA59" s="278"/>
      <c r="AB59" s="278"/>
      <c r="AC59" s="278">
        <f>('State Efficiency Ratios (2014)'!AC350+'State Efficiency Ratios (2014)'!AC374+'State Efficiency Ratios (2014)'!AC398+'State Efficiency Ratios (2014)'!AC421)/4</f>
        <v>168.22293520875132</v>
      </c>
      <c r="AD59" s="277"/>
      <c r="AE59" s="280"/>
      <c r="AG59" s="410" t="s">
        <v>1084</v>
      </c>
      <c r="AH59" s="351" t="s">
        <v>762</v>
      </c>
      <c r="AI59" s="627">
        <f t="shared" si="16"/>
        <v>0</v>
      </c>
      <c r="AJ59" s="598">
        <f t="shared" si="17"/>
        <v>0</v>
      </c>
      <c r="AK59" s="598">
        <f t="shared" si="18"/>
        <v>133.41936925858872</v>
      </c>
      <c r="AL59" s="628">
        <f t="shared" si="19"/>
        <v>168.22293520875132</v>
      </c>
    </row>
    <row r="60" spans="1:38" ht="12.95" customHeight="1" thickBot="1">
      <c r="A60" s="1386"/>
      <c r="B60" s="1386"/>
      <c r="C60" s="194" t="s">
        <v>617</v>
      </c>
      <c r="D60" s="210"/>
      <c r="E60" s="211"/>
      <c r="F60" s="209"/>
      <c r="G60" s="210"/>
      <c r="H60" s="210"/>
      <c r="I60" s="211"/>
      <c r="J60" s="209"/>
      <c r="K60" s="210"/>
      <c r="L60" s="210"/>
      <c r="M60" s="211"/>
      <c r="N60" s="281"/>
      <c r="O60" s="282"/>
      <c r="P60" s="282"/>
      <c r="Q60" s="282"/>
      <c r="R60" s="277"/>
      <c r="S60" s="278"/>
      <c r="T60" s="278"/>
      <c r="U60" s="278">
        <f>('State Efficiency Ratios (2014)'!U351+'State Efficiency Ratios (2014)'!U375)/2</f>
        <v>0</v>
      </c>
      <c r="V60" s="277"/>
      <c r="W60" s="278"/>
      <c r="X60" s="278"/>
      <c r="Y60" s="278">
        <f>('State Efficiency Ratios (2014)'!Y351+'State Efficiency Ratios (2014)'!Y375+'State Efficiency Ratios (2014)'!Y399+'State Efficiency Ratios (2014)'!Y422)/4</f>
        <v>149.21117624439614</v>
      </c>
      <c r="Z60" s="277"/>
      <c r="AA60" s="278"/>
      <c r="AB60" s="278"/>
      <c r="AC60" s="278">
        <f>('State Efficiency Ratios (2014)'!AC351+'State Efficiency Ratios (2014)'!AC375+'State Efficiency Ratios (2014)'!AC399+'State Efficiency Ratios (2014)'!AC422)/4</f>
        <v>221.58264186905024</v>
      </c>
      <c r="AD60" s="277"/>
      <c r="AE60" s="280"/>
      <c r="AG60" s="410" t="s">
        <v>1089</v>
      </c>
      <c r="AH60" s="351" t="s">
        <v>763</v>
      </c>
      <c r="AI60" s="627">
        <f t="shared" si="16"/>
        <v>0</v>
      </c>
      <c r="AJ60" s="598">
        <f t="shared" si="17"/>
        <v>0</v>
      </c>
      <c r="AK60" s="598">
        <f t="shared" si="18"/>
        <v>149.21117624439614</v>
      </c>
      <c r="AL60" s="628">
        <f t="shared" si="19"/>
        <v>221.58264186905024</v>
      </c>
    </row>
    <row r="61" spans="1:38" ht="12.95" customHeight="1" thickBot="1">
      <c r="A61" s="1386"/>
      <c r="B61" s="1386"/>
      <c r="C61" s="194" t="s">
        <v>618</v>
      </c>
      <c r="D61" s="210"/>
      <c r="E61" s="211"/>
      <c r="F61" s="209"/>
      <c r="G61" s="210"/>
      <c r="H61" s="210"/>
      <c r="I61" s="211"/>
      <c r="J61" s="209"/>
      <c r="K61" s="210"/>
      <c r="L61" s="210"/>
      <c r="M61" s="211"/>
      <c r="N61" s="281"/>
      <c r="O61" s="282"/>
      <c r="P61" s="282"/>
      <c r="Q61" s="283"/>
      <c r="R61" s="281"/>
      <c r="S61" s="282"/>
      <c r="T61" s="282"/>
      <c r="U61" s="283"/>
      <c r="V61" s="281"/>
      <c r="W61" s="282"/>
      <c r="X61" s="282"/>
      <c r="Y61" s="283"/>
      <c r="Z61" s="277"/>
      <c r="AA61" s="278"/>
      <c r="AB61" s="278"/>
      <c r="AC61" s="278">
        <f>('State Efficiency Ratios (2014)'!AC352+'State Efficiency Ratios (2014)'!AC376+'State Efficiency Ratios (2014)'!AC400+'State Efficiency Ratios (2014)'!AC423)/4</f>
        <v>0</v>
      </c>
      <c r="AD61" s="277"/>
      <c r="AE61" s="280"/>
      <c r="AG61" s="410"/>
      <c r="AH61" s="351" t="s">
        <v>1098</v>
      </c>
      <c r="AI61" s="627">
        <f t="shared" si="16"/>
        <v>0</v>
      </c>
      <c r="AJ61" s="598">
        <f t="shared" si="17"/>
        <v>0</v>
      </c>
      <c r="AK61" s="598">
        <f t="shared" si="18"/>
        <v>0</v>
      </c>
      <c r="AL61" s="628">
        <f t="shared" si="19"/>
        <v>0</v>
      </c>
    </row>
    <row r="62" spans="1:38" ht="12.95" customHeight="1" thickBot="1">
      <c r="A62" s="1387"/>
      <c r="B62" s="1387"/>
      <c r="C62" s="194" t="s">
        <v>619</v>
      </c>
      <c r="D62" s="210"/>
      <c r="E62" s="211"/>
      <c r="F62" s="209"/>
      <c r="G62" s="210"/>
      <c r="H62" s="210"/>
      <c r="I62" s="211"/>
      <c r="J62" s="209"/>
      <c r="K62" s="210"/>
      <c r="L62" s="210"/>
      <c r="M62" s="211"/>
      <c r="N62" s="281"/>
      <c r="O62" s="282"/>
      <c r="P62" s="282"/>
      <c r="Q62" s="283"/>
      <c r="R62" s="281"/>
      <c r="S62" s="282"/>
      <c r="T62" s="282"/>
      <c r="U62" s="283"/>
      <c r="V62" s="281"/>
      <c r="W62" s="282"/>
      <c r="X62" s="282"/>
      <c r="Y62" s="283"/>
      <c r="Z62" s="277"/>
      <c r="AA62" s="278"/>
      <c r="AB62" s="278"/>
      <c r="AC62" s="278">
        <f>('State Efficiency Ratios (2014)'!AC353+'State Efficiency Ratios (2014)'!AC377+'State Efficiency Ratios (2014)'!AC401+'State Efficiency Ratios (2014)'!AC424)/4</f>
        <v>0</v>
      </c>
      <c r="AD62" s="277"/>
      <c r="AE62" s="280"/>
      <c r="AG62" s="410"/>
      <c r="AH62" s="351" t="s">
        <v>1099</v>
      </c>
      <c r="AI62" s="595">
        <f t="shared" si="16"/>
        <v>0</v>
      </c>
      <c r="AJ62" s="596">
        <f t="shared" si="17"/>
        <v>0</v>
      </c>
      <c r="AK62" s="596">
        <f t="shared" si="18"/>
        <v>0</v>
      </c>
      <c r="AL62" s="597">
        <f t="shared" si="19"/>
        <v>0</v>
      </c>
    </row>
    <row r="63" spans="1:38" ht="13.5" thickBot="1">
      <c r="A63" s="5"/>
      <c r="B63" s="5"/>
      <c r="C63" s="6"/>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row>
    <row r="64" spans="1:38" ht="12.95" customHeight="1" thickBot="1">
      <c r="A64" s="506" t="s">
        <v>28</v>
      </c>
      <c r="B64" s="514" t="s">
        <v>734</v>
      </c>
      <c r="C64" s="8"/>
      <c r="D64" s="1377">
        <v>2008</v>
      </c>
      <c r="E64" s="1378"/>
      <c r="F64" s="1372">
        <v>2009</v>
      </c>
      <c r="G64" s="1373"/>
      <c r="H64" s="1373"/>
      <c r="I64" s="1374"/>
      <c r="J64" s="1372">
        <v>2010</v>
      </c>
      <c r="K64" s="1373"/>
      <c r="L64" s="1373"/>
      <c r="M64" s="1374"/>
      <c r="N64" s="1372">
        <v>2011</v>
      </c>
      <c r="O64" s="1373"/>
      <c r="P64" s="1373"/>
      <c r="Q64" s="1374"/>
      <c r="R64" s="1372">
        <v>2012</v>
      </c>
      <c r="S64" s="1373"/>
      <c r="T64" s="1373"/>
      <c r="U64" s="1374"/>
      <c r="V64" s="1372">
        <v>2013</v>
      </c>
      <c r="W64" s="1373"/>
      <c r="X64" s="1373"/>
      <c r="Y64" s="1374"/>
      <c r="Z64" s="1372">
        <v>2014</v>
      </c>
      <c r="AA64" s="1373"/>
      <c r="AB64" s="1373"/>
      <c r="AC64" s="1374"/>
      <c r="AD64" s="1372">
        <v>2015</v>
      </c>
      <c r="AE64" s="1374"/>
      <c r="AG64" s="257" t="s">
        <v>663</v>
      </c>
      <c r="AH64" s="351" t="s">
        <v>1050</v>
      </c>
      <c r="AI64" s="642">
        <f>(SUM(AI65:AI69))/5</f>
        <v>29.950486025809887</v>
      </c>
      <c r="AJ64" s="643">
        <f>(SUM(AJ65:AJ69))/5</f>
        <v>52.230505588693305</v>
      </c>
      <c r="AK64" s="643">
        <f>(SUM(AK65:AK72))/8</f>
        <v>299.37365179335461</v>
      </c>
      <c r="AL64" s="644">
        <f>(SUM(AL65:AL72))/8</f>
        <v>237.67035279639509</v>
      </c>
    </row>
    <row r="65" spans="1:39" ht="12.95" customHeight="1" thickBot="1">
      <c r="A65" s="868" t="s">
        <v>65</v>
      </c>
      <c r="B65" s="868"/>
      <c r="C65" s="194" t="s">
        <v>610</v>
      </c>
      <c r="D65" s="206"/>
      <c r="E65" s="207"/>
      <c r="F65" s="209"/>
      <c r="G65" s="206"/>
      <c r="H65" s="206"/>
      <c r="I65" s="207"/>
      <c r="J65" s="209"/>
      <c r="K65" s="206"/>
      <c r="L65" s="206"/>
      <c r="M65" s="207"/>
      <c r="N65" s="277"/>
      <c r="O65" s="278">
        <f>('State Efficiency Ratios (2014)'!O444+'State Efficiency Ratios (2014)'!O467+'State Efficiency Ratios (2014)'!O490+'State Efficiency Ratios (2014)'!O513+'State Efficiency Ratios (2014)'!O537)/5</f>
        <v>32.707780483813437</v>
      </c>
      <c r="P65" s="278"/>
      <c r="Q65" s="279"/>
      <c r="R65" s="277"/>
      <c r="S65" s="278"/>
      <c r="T65" s="278"/>
      <c r="U65" s="278">
        <f>('State Efficiency Ratios (2014)'!U444+'State Efficiency Ratios (2014)'!U467+'State Efficiency Ratios (2014)'!U490+'State Efficiency Ratios (2014)'!U513+'State Efficiency Ratios (2014)'!U537)/5</f>
        <v>67.308346835576117</v>
      </c>
      <c r="V65" s="277"/>
      <c r="W65" s="278"/>
      <c r="X65" s="278"/>
      <c r="Y65" s="278">
        <f>('State Efficiency Ratios (2014)'!Y444+'State Efficiency Ratios (2014)'!Y467+'State Efficiency Ratios (2014)'!Y490+'State Efficiency Ratios (2014)'!Y513+'State Efficiency Ratios (2014)'!Y537)/5</f>
        <v>179.07051135726164</v>
      </c>
      <c r="Z65" s="277"/>
      <c r="AA65" s="278"/>
      <c r="AB65" s="278"/>
      <c r="AC65" s="278">
        <f>('State Efficiency Ratios (2014)'!AC444+'State Efficiency Ratios (2014)'!AC467+'State Efficiency Ratios (2014)'!AC490+'State Efficiency Ratios (2014)'!AC513+'State Efficiency Ratios (2014)'!AC537)/5</f>
        <v>63.398033681363202</v>
      </c>
      <c r="AD65" s="208"/>
      <c r="AE65" s="213"/>
      <c r="AG65" s="410"/>
      <c r="AH65" s="351" t="s">
        <v>756</v>
      </c>
      <c r="AI65" s="624">
        <f>O65</f>
        <v>32.707780483813437</v>
      </c>
      <c r="AJ65" s="625">
        <f>U65</f>
        <v>67.308346835576117</v>
      </c>
      <c r="AK65" s="625">
        <f>Y65</f>
        <v>179.07051135726164</v>
      </c>
      <c r="AL65" s="626">
        <f>AC65</f>
        <v>63.398033681363202</v>
      </c>
    </row>
    <row r="66" spans="1:39" ht="13.5" thickBot="1">
      <c r="A66" s="885"/>
      <c r="B66" s="885"/>
      <c r="C66" s="194" t="s">
        <v>611</v>
      </c>
      <c r="D66" s="206"/>
      <c r="E66" s="207"/>
      <c r="F66" s="209"/>
      <c r="G66" s="206"/>
      <c r="H66" s="206"/>
      <c r="I66" s="207"/>
      <c r="J66" s="209"/>
      <c r="K66" s="206"/>
      <c r="L66" s="206"/>
      <c r="M66" s="207"/>
      <c r="N66" s="277"/>
      <c r="O66" s="278">
        <f>('State Efficiency Ratios (2014)'!O445+'State Efficiency Ratios (2014)'!O468+'State Efficiency Ratios (2014)'!O491+'State Efficiency Ratios (2014)'!O514+'State Efficiency Ratios (2014)'!O538)/5</f>
        <v>45.689760459539364</v>
      </c>
      <c r="P66" s="278"/>
      <c r="Q66" s="279"/>
      <c r="R66" s="277"/>
      <c r="S66" s="278"/>
      <c r="T66" s="278"/>
      <c r="U66" s="278">
        <f>('State Efficiency Ratios (2014)'!U445+'State Efficiency Ratios (2014)'!U468+'State Efficiency Ratios (2014)'!U491+'State Efficiency Ratios (2014)'!U514+'State Efficiency Ratios (2014)'!U538)/5</f>
        <v>36.897943298008741</v>
      </c>
      <c r="V66" s="277"/>
      <c r="W66" s="278"/>
      <c r="X66" s="278"/>
      <c r="Y66" s="278">
        <f>('State Efficiency Ratios (2014)'!Y445+'State Efficiency Ratios (2014)'!Y468+'State Efficiency Ratios (2014)'!Y491+'State Efficiency Ratios (2014)'!Y514+'State Efficiency Ratios (2014)'!Y538)/5</f>
        <v>364.70117930871663</v>
      </c>
      <c r="Z66" s="277"/>
      <c r="AA66" s="278"/>
      <c r="AB66" s="278"/>
      <c r="AC66" s="278">
        <f>('State Efficiency Ratios (2014)'!AC445+'State Efficiency Ratios (2014)'!AC468+'State Efficiency Ratios (2014)'!AC491+'State Efficiency Ratios (2014)'!AC514+'State Efficiency Ratios (2014)'!AC538)/5</f>
        <v>255.25617620772067</v>
      </c>
      <c r="AD66" s="208"/>
      <c r="AE66" s="213"/>
      <c r="AG66" s="410"/>
      <c r="AH66" s="351" t="s">
        <v>757</v>
      </c>
      <c r="AI66" s="627">
        <f t="shared" ref="AI66:AI74" si="20">O66</f>
        <v>45.689760459539364</v>
      </c>
      <c r="AJ66" s="598">
        <f t="shared" ref="AJ66:AJ74" si="21">U66</f>
        <v>36.897943298008741</v>
      </c>
      <c r="AK66" s="598">
        <f t="shared" ref="AK66:AK74" si="22">Y66</f>
        <v>364.70117930871663</v>
      </c>
      <c r="AL66" s="628">
        <f t="shared" ref="AL66:AL74" si="23">AC66</f>
        <v>255.25617620772067</v>
      </c>
    </row>
    <row r="67" spans="1:39" ht="13.5" thickBot="1">
      <c r="A67" s="885"/>
      <c r="B67" s="885"/>
      <c r="C67" s="194" t="s">
        <v>612</v>
      </c>
      <c r="D67" s="206"/>
      <c r="E67" s="207"/>
      <c r="F67" s="209"/>
      <c r="G67" s="206"/>
      <c r="H67" s="206"/>
      <c r="I67" s="207"/>
      <c r="J67" s="209"/>
      <c r="K67" s="206"/>
      <c r="L67" s="206"/>
      <c r="M67" s="207"/>
      <c r="N67" s="277"/>
      <c r="O67" s="278">
        <f>('State Efficiency Ratios (2014)'!O446+'State Efficiency Ratios (2014)'!O469+'State Efficiency Ratios (2014)'!O492+'State Efficiency Ratios (2014)'!O515+'State Efficiency Ratios (2014)'!O539)/5</f>
        <v>12.100159933901001</v>
      </c>
      <c r="P67" s="278"/>
      <c r="Q67" s="279"/>
      <c r="R67" s="277"/>
      <c r="S67" s="278"/>
      <c r="T67" s="278"/>
      <c r="U67" s="278">
        <f>('State Efficiency Ratios (2014)'!U446+'State Efficiency Ratios (2014)'!U469+'State Efficiency Ratios (2014)'!U492+'State Efficiency Ratios (2014)'!U515+'State Efficiency Ratios (2014)'!U539)/5</f>
        <v>84.21736968245105</v>
      </c>
      <c r="V67" s="277"/>
      <c r="W67" s="278"/>
      <c r="X67" s="278"/>
      <c r="Y67" s="278">
        <f>('State Efficiency Ratios (2014)'!Y446+'State Efficiency Ratios (2014)'!Y469+'State Efficiency Ratios (2014)'!Y492+'State Efficiency Ratios (2014)'!Y515+'State Efficiency Ratios (2014)'!Y539)/5</f>
        <v>233.54315036118359</v>
      </c>
      <c r="Z67" s="277"/>
      <c r="AA67" s="278"/>
      <c r="AB67" s="278"/>
      <c r="AC67" s="278">
        <f>('State Efficiency Ratios (2014)'!AC446+'State Efficiency Ratios (2014)'!AC469+'State Efficiency Ratios (2014)'!AC492+'State Efficiency Ratios (2014)'!AC515+'State Efficiency Ratios (2014)'!AC539)/5</f>
        <v>233.32307993343073</v>
      </c>
      <c r="AD67" s="208"/>
      <c r="AE67" s="213"/>
      <c r="AG67" s="410" t="s">
        <v>1086</v>
      </c>
      <c r="AH67" s="351" t="s">
        <v>758</v>
      </c>
      <c r="AI67" s="627">
        <f t="shared" si="20"/>
        <v>12.100159933901001</v>
      </c>
      <c r="AJ67" s="598">
        <f t="shared" si="21"/>
        <v>84.21736968245105</v>
      </c>
      <c r="AK67" s="598">
        <f t="shared" si="22"/>
        <v>233.54315036118359</v>
      </c>
      <c r="AL67" s="628">
        <f t="shared" si="23"/>
        <v>233.32307993343073</v>
      </c>
    </row>
    <row r="68" spans="1:39" ht="13.5" thickBot="1">
      <c r="A68" s="885"/>
      <c r="B68" s="885"/>
      <c r="C68" s="194" t="s">
        <v>613</v>
      </c>
      <c r="D68" s="206"/>
      <c r="E68" s="207"/>
      <c r="F68" s="209"/>
      <c r="G68" s="206"/>
      <c r="H68" s="206"/>
      <c r="I68" s="207"/>
      <c r="J68" s="209"/>
      <c r="K68" s="206"/>
      <c r="L68" s="206"/>
      <c r="M68" s="207"/>
      <c r="N68" s="277"/>
      <c r="O68" s="278">
        <f>('State Efficiency Ratios (2014)'!O447+'State Efficiency Ratios (2014)'!O470+'State Efficiency Ratios (2014)'!O493+'State Efficiency Ratios (2014)'!O516+'State Efficiency Ratios (2014)'!O540)/5</f>
        <v>18.957250036346124</v>
      </c>
      <c r="P68" s="278"/>
      <c r="Q68" s="279"/>
      <c r="R68" s="277"/>
      <c r="S68" s="278"/>
      <c r="T68" s="278"/>
      <c r="U68" s="278">
        <f>('State Efficiency Ratios (2014)'!U447+'State Efficiency Ratios (2014)'!U470+'State Efficiency Ratios (2014)'!U493+'State Efficiency Ratios (2014)'!U516+'State Efficiency Ratios (2014)'!U540)/5</f>
        <v>45.224625945106609</v>
      </c>
      <c r="V68" s="277"/>
      <c r="W68" s="278"/>
      <c r="X68" s="278"/>
      <c r="Y68" s="278">
        <f>('State Efficiency Ratios (2014)'!Y447+'State Efficiency Ratios (2014)'!Y470+'State Efficiency Ratios (2014)'!Y493+'State Efficiency Ratios (2014)'!Y516+'State Efficiency Ratios (2014)'!Y540)/5</f>
        <v>187.51903517405074</v>
      </c>
      <c r="Z68" s="277"/>
      <c r="AA68" s="278"/>
      <c r="AB68" s="278"/>
      <c r="AC68" s="278">
        <f>('State Efficiency Ratios (2014)'!AC447+'State Efficiency Ratios (2014)'!AC470+'State Efficiency Ratios (2014)'!AC493+'State Efficiency Ratios (2014)'!AC516+'State Efficiency Ratios (2014)'!AC540)/5</f>
        <v>229.83744890691506</v>
      </c>
      <c r="AD68" s="208"/>
      <c r="AE68" s="213"/>
      <c r="AG68" s="410" t="s">
        <v>1090</v>
      </c>
      <c r="AH68" s="351" t="s">
        <v>759</v>
      </c>
      <c r="AI68" s="627">
        <f t="shared" si="20"/>
        <v>18.957250036346124</v>
      </c>
      <c r="AJ68" s="598">
        <f t="shared" si="21"/>
        <v>45.224625945106609</v>
      </c>
      <c r="AK68" s="598">
        <f t="shared" si="22"/>
        <v>187.51903517405074</v>
      </c>
      <c r="AL68" s="628">
        <f t="shared" si="23"/>
        <v>229.83744890691506</v>
      </c>
    </row>
    <row r="69" spans="1:39" ht="13.5" thickBot="1">
      <c r="A69" s="885"/>
      <c r="B69" s="885"/>
      <c r="C69" s="194" t="s">
        <v>614</v>
      </c>
      <c r="D69" s="206"/>
      <c r="E69" s="207"/>
      <c r="F69" s="209"/>
      <c r="G69" s="206"/>
      <c r="H69" s="206"/>
      <c r="I69" s="207"/>
      <c r="J69" s="209"/>
      <c r="K69" s="206"/>
      <c r="L69" s="206"/>
      <c r="M69" s="207"/>
      <c r="N69" s="277"/>
      <c r="O69" s="278">
        <f>('State Efficiency Ratios (2014)'!O448+'State Efficiency Ratios (2014)'!O471+'State Efficiency Ratios (2014)'!O494+'State Efficiency Ratios (2014)'!O517+'State Efficiency Ratios (2014)'!O541)/5</f>
        <v>40.297479215449506</v>
      </c>
      <c r="P69" s="278"/>
      <c r="Q69" s="279"/>
      <c r="R69" s="277"/>
      <c r="S69" s="278"/>
      <c r="T69" s="278"/>
      <c r="U69" s="278">
        <f>('State Efficiency Ratios (2014)'!U448+'State Efficiency Ratios (2014)'!U471+'State Efficiency Ratios (2014)'!U494+'State Efficiency Ratios (2014)'!U517+'State Efficiency Ratios (2014)'!U541)/5</f>
        <v>27.504242182323971</v>
      </c>
      <c r="V69" s="277"/>
      <c r="W69" s="278"/>
      <c r="X69" s="278"/>
      <c r="Y69" s="278">
        <f>('State Efficiency Ratios (2014)'!Y448+'State Efficiency Ratios (2014)'!Y471+'State Efficiency Ratios (2014)'!Y494+'State Efficiency Ratios (2014)'!Y517+'State Efficiency Ratios (2014)'!Y541)/5</f>
        <v>184.6879827827085</v>
      </c>
      <c r="Z69" s="277"/>
      <c r="AA69" s="278"/>
      <c r="AB69" s="278"/>
      <c r="AC69" s="278">
        <f>('State Efficiency Ratios (2014)'!AC448+'State Efficiency Ratios (2014)'!AC471+'State Efficiency Ratios (2014)'!AC494+'State Efficiency Ratios (2014)'!AC517+'State Efficiency Ratios (2014)'!AC541)/5</f>
        <v>45.548713422841764</v>
      </c>
      <c r="AD69" s="208"/>
      <c r="AE69" s="213"/>
      <c r="AG69" s="410" t="s">
        <v>1088</v>
      </c>
      <c r="AH69" s="351" t="s">
        <v>760</v>
      </c>
      <c r="AI69" s="627">
        <f t="shared" si="20"/>
        <v>40.297479215449506</v>
      </c>
      <c r="AJ69" s="598">
        <f t="shared" si="21"/>
        <v>27.504242182323971</v>
      </c>
      <c r="AK69" s="598">
        <f t="shared" si="22"/>
        <v>184.6879827827085</v>
      </c>
      <c r="AL69" s="628">
        <f t="shared" si="23"/>
        <v>45.548713422841764</v>
      </c>
    </row>
    <row r="70" spans="1:39" ht="12.95" customHeight="1" thickBot="1">
      <c r="A70" s="885"/>
      <c r="B70" s="885"/>
      <c r="C70" s="194" t="s">
        <v>615</v>
      </c>
      <c r="D70" s="210"/>
      <c r="E70" s="211"/>
      <c r="F70" s="209"/>
      <c r="G70" s="210"/>
      <c r="H70" s="210"/>
      <c r="I70" s="211"/>
      <c r="J70" s="209"/>
      <c r="K70" s="210"/>
      <c r="L70" s="210"/>
      <c r="M70" s="211"/>
      <c r="N70" s="281"/>
      <c r="O70" s="282"/>
      <c r="P70" s="282"/>
      <c r="Q70" s="282"/>
      <c r="R70" s="277"/>
      <c r="S70" s="278"/>
      <c r="T70" s="278"/>
      <c r="U70" s="278">
        <f>('State Efficiency Ratios (2014)'!U449+'State Efficiency Ratios (2014)'!U472+'State Efficiency Ratios (2014)'!U495+'State Efficiency Ratios (2014)'!U518+'State Efficiency Ratios (2014)'!U542)/5</f>
        <v>51.774139637719955</v>
      </c>
      <c r="V70" s="277"/>
      <c r="W70" s="278"/>
      <c r="X70" s="278"/>
      <c r="Y70" s="278">
        <f>('State Efficiency Ratios (2014)'!Y449+'State Efficiency Ratios (2014)'!Y472+'State Efficiency Ratios (2014)'!Y495+'State Efficiency Ratios (2014)'!Y518+'State Efficiency Ratios (2014)'!Y542)/5</f>
        <v>813.00055020759623</v>
      </c>
      <c r="Z70" s="277"/>
      <c r="AA70" s="278"/>
      <c r="AB70" s="278"/>
      <c r="AC70" s="278">
        <f>('State Efficiency Ratios (2014)'!AC449+'State Efficiency Ratios (2014)'!AC472+'State Efficiency Ratios (2014)'!AC495+'State Efficiency Ratios (2014)'!AC518+'State Efficiency Ratios (2014)'!AC542)/5</f>
        <v>229.98286742026102</v>
      </c>
      <c r="AD70" s="208"/>
      <c r="AE70" s="213"/>
      <c r="AG70" s="410"/>
      <c r="AH70" s="351" t="s">
        <v>761</v>
      </c>
      <c r="AI70" s="627">
        <f t="shared" si="20"/>
        <v>0</v>
      </c>
      <c r="AJ70" s="598">
        <f t="shared" si="21"/>
        <v>51.774139637719955</v>
      </c>
      <c r="AK70" s="598">
        <f t="shared" si="22"/>
        <v>813.00055020759623</v>
      </c>
      <c r="AL70" s="628">
        <f t="shared" si="23"/>
        <v>229.98286742026102</v>
      </c>
    </row>
    <row r="71" spans="1:39" ht="12.95" customHeight="1" thickBot="1">
      <c r="A71" s="885"/>
      <c r="B71" s="885"/>
      <c r="C71" s="194" t="s">
        <v>616</v>
      </c>
      <c r="D71" s="210"/>
      <c r="E71" s="211"/>
      <c r="F71" s="209"/>
      <c r="G71" s="210"/>
      <c r="H71" s="210"/>
      <c r="I71" s="211"/>
      <c r="J71" s="209"/>
      <c r="K71" s="210"/>
      <c r="L71" s="210"/>
      <c r="M71" s="211"/>
      <c r="N71" s="281"/>
      <c r="O71" s="282"/>
      <c r="P71" s="282"/>
      <c r="Q71" s="282"/>
      <c r="R71" s="277"/>
      <c r="S71" s="278"/>
      <c r="T71" s="278"/>
      <c r="U71" s="278">
        <f>('State Efficiency Ratios (2014)'!U450+'State Efficiency Ratios (2014)'!U473+'State Efficiency Ratios (2014)'!U496+'State Efficiency Ratios (2014)'!U519+'State Efficiency Ratios (2014)'!U543)/5</f>
        <v>0</v>
      </c>
      <c r="V71" s="277"/>
      <c r="W71" s="278"/>
      <c r="X71" s="278"/>
      <c r="Y71" s="278">
        <f>('State Efficiency Ratios (2014)'!Y450+'State Efficiency Ratios (2014)'!Y473+'State Efficiency Ratios (2014)'!Y496+'State Efficiency Ratios (2014)'!Y519+'State Efficiency Ratios (2014)'!Y543)/5</f>
        <v>85.812379423551462</v>
      </c>
      <c r="Z71" s="277"/>
      <c r="AA71" s="278"/>
      <c r="AB71" s="278"/>
      <c r="AC71" s="278">
        <f>('State Efficiency Ratios (2014)'!AC450+'State Efficiency Ratios (2014)'!AC473+'State Efficiency Ratios (2014)'!AC496+'State Efficiency Ratios (2014)'!AC519+'State Efficiency Ratios (2014)'!AC543)/5</f>
        <v>434.80369588119845</v>
      </c>
      <c r="AD71" s="208"/>
      <c r="AE71" s="213"/>
      <c r="AG71" s="410" t="s">
        <v>1084</v>
      </c>
      <c r="AH71" s="351" t="s">
        <v>762</v>
      </c>
      <c r="AI71" s="627">
        <f t="shared" si="20"/>
        <v>0</v>
      </c>
      <c r="AJ71" s="598">
        <f t="shared" si="21"/>
        <v>0</v>
      </c>
      <c r="AK71" s="598">
        <f t="shared" si="22"/>
        <v>85.812379423551462</v>
      </c>
      <c r="AL71" s="628">
        <f t="shared" si="23"/>
        <v>434.80369588119845</v>
      </c>
    </row>
    <row r="72" spans="1:39" ht="12.95" customHeight="1" thickBot="1">
      <c r="A72" s="885"/>
      <c r="B72" s="885"/>
      <c r="C72" s="194" t="s">
        <v>617</v>
      </c>
      <c r="D72" s="210"/>
      <c r="E72" s="211"/>
      <c r="F72" s="209"/>
      <c r="G72" s="210"/>
      <c r="H72" s="210"/>
      <c r="I72" s="211"/>
      <c r="J72" s="209"/>
      <c r="K72" s="210"/>
      <c r="L72" s="210"/>
      <c r="M72" s="211"/>
      <c r="N72" s="281"/>
      <c r="O72" s="282"/>
      <c r="P72" s="282"/>
      <c r="Q72" s="282"/>
      <c r="R72" s="277"/>
      <c r="S72" s="278"/>
      <c r="T72" s="278"/>
      <c r="U72" s="278">
        <f>('State Efficiency Ratios (2014)'!U451+'State Efficiency Ratios (2014)'!U474+'State Efficiency Ratios (2014)'!U497+'State Efficiency Ratios (2014)'!U520+'State Efficiency Ratios (2014)'!U544)/5</f>
        <v>0</v>
      </c>
      <c r="V72" s="277"/>
      <c r="W72" s="278"/>
      <c r="X72" s="278"/>
      <c r="Y72" s="278">
        <f>('State Efficiency Ratios (2014)'!Y451+'State Efficiency Ratios (2014)'!Y474+'State Efficiency Ratios (2014)'!Y497+'State Efficiency Ratios (2014)'!Y520+'State Efficiency Ratios (2014)'!Y544)/5</f>
        <v>346.65442573176807</v>
      </c>
      <c r="Z72" s="277"/>
      <c r="AA72" s="278"/>
      <c r="AB72" s="278"/>
      <c r="AC72" s="278">
        <f>('State Efficiency Ratios (2014)'!AC451+'State Efficiency Ratios (2014)'!AC474+'State Efficiency Ratios (2014)'!AC497+'State Efficiency Ratios (2014)'!AC520+'State Efficiency Ratios (2014)'!AC544)/5</f>
        <v>409.21280691742993</v>
      </c>
      <c r="AD72" s="208"/>
      <c r="AE72" s="213"/>
      <c r="AG72" s="410" t="s">
        <v>1089</v>
      </c>
      <c r="AH72" s="351" t="s">
        <v>763</v>
      </c>
      <c r="AI72" s="627">
        <f t="shared" si="20"/>
        <v>0</v>
      </c>
      <c r="AJ72" s="598">
        <f t="shared" si="21"/>
        <v>0</v>
      </c>
      <c r="AK72" s="598">
        <f t="shared" si="22"/>
        <v>346.65442573176807</v>
      </c>
      <c r="AL72" s="628">
        <f t="shared" si="23"/>
        <v>409.21280691742993</v>
      </c>
    </row>
    <row r="73" spans="1:39" ht="12.95" customHeight="1" thickBot="1">
      <c r="A73" s="885"/>
      <c r="B73" s="885"/>
      <c r="C73" s="194" t="s">
        <v>618</v>
      </c>
      <c r="D73" s="210"/>
      <c r="E73" s="211"/>
      <c r="F73" s="209"/>
      <c r="G73" s="210"/>
      <c r="H73" s="210"/>
      <c r="I73" s="211"/>
      <c r="J73" s="209"/>
      <c r="K73" s="210"/>
      <c r="L73" s="210"/>
      <c r="M73" s="211"/>
      <c r="N73" s="281"/>
      <c r="O73" s="282"/>
      <c r="P73" s="282"/>
      <c r="Q73" s="283"/>
      <c r="R73" s="281"/>
      <c r="S73" s="282"/>
      <c r="T73" s="282"/>
      <c r="U73" s="283"/>
      <c r="V73" s="281"/>
      <c r="W73" s="282"/>
      <c r="X73" s="282"/>
      <c r="Y73" s="283"/>
      <c r="Z73" s="277"/>
      <c r="AA73" s="278"/>
      <c r="AB73" s="278"/>
      <c r="AC73" s="278">
        <f>('State Efficiency Ratios (2014)'!AC452+'State Efficiency Ratios (2014)'!AC475+'State Efficiency Ratios (2014)'!AC498+'State Efficiency Ratios (2014)'!AC521+'State Efficiency Ratios (2014)'!AC545)/5</f>
        <v>0</v>
      </c>
      <c r="AD73" s="208"/>
      <c r="AE73" s="213"/>
      <c r="AG73" s="410"/>
      <c r="AH73" s="351" t="s">
        <v>1098</v>
      </c>
      <c r="AI73" s="627">
        <f t="shared" si="20"/>
        <v>0</v>
      </c>
      <c r="AJ73" s="598">
        <f t="shared" si="21"/>
        <v>0</v>
      </c>
      <c r="AK73" s="598">
        <f t="shared" si="22"/>
        <v>0</v>
      </c>
      <c r="AL73" s="628">
        <f t="shared" si="23"/>
        <v>0</v>
      </c>
    </row>
    <row r="74" spans="1:39" ht="12.95" customHeight="1" thickBot="1">
      <c r="A74" s="869"/>
      <c r="B74" s="869"/>
      <c r="C74" s="194" t="s">
        <v>619</v>
      </c>
      <c r="D74" s="210"/>
      <c r="E74" s="211"/>
      <c r="F74" s="209"/>
      <c r="G74" s="210"/>
      <c r="H74" s="210"/>
      <c r="I74" s="211"/>
      <c r="J74" s="209"/>
      <c r="K74" s="210"/>
      <c r="L74" s="210"/>
      <c r="M74" s="211"/>
      <c r="N74" s="281"/>
      <c r="O74" s="282"/>
      <c r="P74" s="282"/>
      <c r="Q74" s="283"/>
      <c r="R74" s="281"/>
      <c r="S74" s="282"/>
      <c r="T74" s="282"/>
      <c r="U74" s="283"/>
      <c r="V74" s="281"/>
      <c r="W74" s="282"/>
      <c r="X74" s="282"/>
      <c r="Y74" s="283"/>
      <c r="Z74" s="277"/>
      <c r="AA74" s="278"/>
      <c r="AB74" s="278"/>
      <c r="AC74" s="278">
        <f>('State Efficiency Ratios (2014)'!AC453+'State Efficiency Ratios (2014)'!AC476+'State Efficiency Ratios (2014)'!AC499+'State Efficiency Ratios (2014)'!AC522+'State Efficiency Ratios (2014)'!AC546)/5</f>
        <v>0</v>
      </c>
      <c r="AD74" s="208"/>
      <c r="AE74" s="213"/>
      <c r="AG74" s="410"/>
      <c r="AH74" s="351" t="s">
        <v>1099</v>
      </c>
      <c r="AI74" s="595">
        <f t="shared" si="20"/>
        <v>0</v>
      </c>
      <c r="AJ74" s="596">
        <f t="shared" si="21"/>
        <v>0</v>
      </c>
      <c r="AK74" s="596">
        <f t="shared" si="22"/>
        <v>0</v>
      </c>
      <c r="AL74" s="597">
        <f t="shared" si="23"/>
        <v>0</v>
      </c>
    </row>
    <row r="75" spans="1:39" ht="13.5" thickBot="1"/>
    <row r="76" spans="1:39" ht="12.95" customHeight="1" thickBot="1">
      <c r="A76" s="506" t="s">
        <v>27</v>
      </c>
      <c r="B76" s="514" t="s">
        <v>1014</v>
      </c>
      <c r="C76" s="8"/>
      <c r="D76" s="1377">
        <v>2008</v>
      </c>
      <c r="E76" s="1378"/>
      <c r="F76" s="1372">
        <v>2009</v>
      </c>
      <c r="G76" s="1373"/>
      <c r="H76" s="1373"/>
      <c r="I76" s="1374"/>
      <c r="J76" s="1372">
        <v>2010</v>
      </c>
      <c r="K76" s="1373"/>
      <c r="L76" s="1373"/>
      <c r="M76" s="1374"/>
      <c r="N76" s="1372">
        <v>2011</v>
      </c>
      <c r="O76" s="1373"/>
      <c r="P76" s="1373"/>
      <c r="Q76" s="1374"/>
      <c r="R76" s="1372">
        <v>2012</v>
      </c>
      <c r="S76" s="1373"/>
      <c r="T76" s="1373"/>
      <c r="U76" s="1374"/>
      <c r="V76" s="1372">
        <v>2013</v>
      </c>
      <c r="W76" s="1373"/>
      <c r="X76" s="1373"/>
      <c r="Y76" s="1374"/>
      <c r="Z76" s="1372">
        <v>2014</v>
      </c>
      <c r="AA76" s="1373"/>
      <c r="AB76" s="1373"/>
      <c r="AC76" s="1374"/>
      <c r="AD76" s="1372">
        <v>2015</v>
      </c>
      <c r="AE76" s="1374"/>
      <c r="AG76" s="257" t="s">
        <v>663</v>
      </c>
      <c r="AH76" s="351" t="s">
        <v>1050</v>
      </c>
      <c r="AI76" s="642">
        <f>(SUM(AI77:AI81))/5</f>
        <v>26.166667117653539</v>
      </c>
      <c r="AJ76" s="643">
        <f>(SUM(AJ77:AJ84))/8</f>
        <v>130.49826178922143</v>
      </c>
      <c r="AK76" s="643">
        <f>(SUM(AK77:AK84))/8</f>
        <v>445.59616661007925</v>
      </c>
      <c r="AL76" s="644">
        <f>(SUM(AL77:AL84))/8</f>
        <v>447.04349647757539</v>
      </c>
      <c r="AM76" s="4" t="s">
        <v>1013</v>
      </c>
    </row>
    <row r="77" spans="1:39" ht="12.95" customHeight="1" thickBot="1">
      <c r="A77" s="868" t="s">
        <v>70</v>
      </c>
      <c r="B77" s="868"/>
      <c r="C77" s="194" t="s">
        <v>610</v>
      </c>
      <c r="D77" s="206"/>
      <c r="E77" s="207"/>
      <c r="F77" s="209"/>
      <c r="G77" s="206"/>
      <c r="H77" s="206"/>
      <c r="I77" s="207"/>
      <c r="J77" s="209"/>
      <c r="K77" s="206"/>
      <c r="L77" s="206"/>
      <c r="M77" s="207"/>
      <c r="N77" s="277"/>
      <c r="O77" s="278">
        <f>('State Efficiency Ratios (2014)'!O566+'State Efficiency Ratios (2014)'!O595)/2</f>
        <v>5.5898753035037583</v>
      </c>
      <c r="P77" s="278"/>
      <c r="Q77" s="279"/>
      <c r="R77" s="277"/>
      <c r="S77" s="278"/>
      <c r="T77" s="278"/>
      <c r="U77" s="278">
        <f>('State Efficiency Ratios (2014)'!U566+'State Efficiency Ratios (2014)'!U595)/2</f>
        <v>107.52369840109903</v>
      </c>
      <c r="V77" s="277"/>
      <c r="W77" s="278"/>
      <c r="X77" s="278"/>
      <c r="Y77" s="278">
        <f>('State Efficiency Ratios (2014)'!Y566+'State Efficiency Ratios (2014)'!Y595)/2</f>
        <v>880.07891084382686</v>
      </c>
      <c r="Z77" s="277"/>
      <c r="AA77" s="278"/>
      <c r="AB77" s="278"/>
      <c r="AC77" s="278">
        <f>('State Efficiency Ratios (2014)'!AC566+'State Efficiency Ratios (2014)'!AC595+'State Efficiency Ratios (2014)'!AC624)/3</f>
        <v>133.42548341033594</v>
      </c>
      <c r="AD77" s="208"/>
      <c r="AE77" s="213"/>
      <c r="AG77" s="410"/>
      <c r="AH77" s="351" t="s">
        <v>756</v>
      </c>
      <c r="AI77" s="624">
        <f>O77</f>
        <v>5.5898753035037583</v>
      </c>
      <c r="AJ77" s="625">
        <f>U77</f>
        <v>107.52369840109903</v>
      </c>
      <c r="AK77" s="625">
        <f>Y77</f>
        <v>880.07891084382686</v>
      </c>
      <c r="AL77" s="626">
        <f>AC77</f>
        <v>133.42548341033594</v>
      </c>
    </row>
    <row r="78" spans="1:39" ht="13.5" thickBot="1">
      <c r="A78" s="885"/>
      <c r="B78" s="885"/>
      <c r="C78" s="194" t="s">
        <v>611</v>
      </c>
      <c r="D78" s="206"/>
      <c r="E78" s="207"/>
      <c r="F78" s="209"/>
      <c r="G78" s="206"/>
      <c r="H78" s="206"/>
      <c r="I78" s="207"/>
      <c r="J78" s="209"/>
      <c r="K78" s="206"/>
      <c r="L78" s="206"/>
      <c r="M78" s="207"/>
      <c r="N78" s="277"/>
      <c r="O78" s="278">
        <f>('State Efficiency Ratios (2014)'!O567+'State Efficiency Ratios (2014)'!O596)/2</f>
        <v>11.491565922971217</v>
      </c>
      <c r="P78" s="278"/>
      <c r="Q78" s="279"/>
      <c r="R78" s="277"/>
      <c r="S78" s="278"/>
      <c r="T78" s="278"/>
      <c r="U78" s="278">
        <f>('State Efficiency Ratios (2014)'!U567+'State Efficiency Ratios (2014)'!U596)/2</f>
        <v>247.68652666894943</v>
      </c>
      <c r="V78" s="277"/>
      <c r="W78" s="278"/>
      <c r="X78" s="278"/>
      <c r="Y78" s="278">
        <f>('State Efficiency Ratios (2014)'!Y567+'State Efficiency Ratios (2014)'!Y596)/2</f>
        <v>908.13522390902801</v>
      </c>
      <c r="Z78" s="277"/>
      <c r="AA78" s="278"/>
      <c r="AB78" s="278"/>
      <c r="AC78" s="278">
        <f>('State Efficiency Ratios (2014)'!AC567+'State Efficiency Ratios (2014)'!AC596+'State Efficiency Ratios (2014)'!AC625)/3</f>
        <v>597.30143556786959</v>
      </c>
      <c r="AD78" s="208"/>
      <c r="AE78" s="213"/>
      <c r="AG78" s="410" t="s">
        <v>1091</v>
      </c>
      <c r="AH78" s="351" t="s">
        <v>757</v>
      </c>
      <c r="AI78" s="627">
        <f t="shared" ref="AI78:AI86" si="24">O78</f>
        <v>11.491565922971217</v>
      </c>
      <c r="AJ78" s="598">
        <f t="shared" ref="AJ78:AJ86" si="25">U78</f>
        <v>247.68652666894943</v>
      </c>
      <c r="AK78" s="598">
        <f t="shared" ref="AK78:AK86" si="26">Y78</f>
        <v>908.13522390902801</v>
      </c>
      <c r="AL78" s="628">
        <f t="shared" ref="AL78:AL86" si="27">AC78</f>
        <v>597.30143556786959</v>
      </c>
    </row>
    <row r="79" spans="1:39" ht="13.5" thickBot="1">
      <c r="A79" s="885"/>
      <c r="B79" s="885"/>
      <c r="C79" s="194" t="s">
        <v>612</v>
      </c>
      <c r="D79" s="206"/>
      <c r="E79" s="207"/>
      <c r="F79" s="209"/>
      <c r="G79" s="206"/>
      <c r="H79" s="206"/>
      <c r="I79" s="207"/>
      <c r="J79" s="209"/>
      <c r="K79" s="206"/>
      <c r="L79" s="206"/>
      <c r="M79" s="207"/>
      <c r="N79" s="277"/>
      <c r="O79" s="278">
        <f>('State Efficiency Ratios (2014)'!O568+'State Efficiency Ratios (2014)'!O597)/2</f>
        <v>34.661316149361937</v>
      </c>
      <c r="P79" s="278"/>
      <c r="Q79" s="279"/>
      <c r="R79" s="277"/>
      <c r="S79" s="278"/>
      <c r="T79" s="278"/>
      <c r="U79" s="278">
        <f>('State Efficiency Ratios (2014)'!U568+'State Efficiency Ratios (2014)'!U597)/2</f>
        <v>37.758575772076568</v>
      </c>
      <c r="V79" s="277"/>
      <c r="W79" s="278"/>
      <c r="X79" s="278"/>
      <c r="Y79" s="278">
        <f>('State Efficiency Ratios (2014)'!Y568+'State Efficiency Ratios (2014)'!Y597)/2</f>
        <v>463.55164358794963</v>
      </c>
      <c r="Z79" s="277"/>
      <c r="AA79" s="278"/>
      <c r="AB79" s="278"/>
      <c r="AC79" s="278">
        <f>('State Efficiency Ratios (2014)'!AC568+'State Efficiency Ratios (2014)'!AC597+'State Efficiency Ratios (2014)'!AC626)/3</f>
        <v>391.26197511622405</v>
      </c>
      <c r="AD79" s="208"/>
      <c r="AE79" s="213"/>
      <c r="AG79" s="410" t="s">
        <v>1086</v>
      </c>
      <c r="AH79" s="351" t="s">
        <v>758</v>
      </c>
      <c r="AI79" s="627">
        <f t="shared" si="24"/>
        <v>34.661316149361937</v>
      </c>
      <c r="AJ79" s="598">
        <f t="shared" si="25"/>
        <v>37.758575772076568</v>
      </c>
      <c r="AK79" s="598">
        <f t="shared" si="26"/>
        <v>463.55164358794963</v>
      </c>
      <c r="AL79" s="628">
        <f t="shared" si="27"/>
        <v>391.26197511622405</v>
      </c>
    </row>
    <row r="80" spans="1:39" ht="13.5" thickBot="1">
      <c r="A80" s="885"/>
      <c r="B80" s="885"/>
      <c r="C80" s="194" t="s">
        <v>613</v>
      </c>
      <c r="D80" s="206"/>
      <c r="E80" s="207"/>
      <c r="F80" s="209"/>
      <c r="G80" s="206"/>
      <c r="H80" s="206"/>
      <c r="I80" s="207"/>
      <c r="J80" s="209"/>
      <c r="K80" s="206"/>
      <c r="L80" s="206"/>
      <c r="M80" s="207"/>
      <c r="N80" s="277"/>
      <c r="O80" s="278">
        <f>('State Efficiency Ratios (2014)'!O569+'State Efficiency Ratios (2014)'!O598)/2</f>
        <v>44.789456837988169</v>
      </c>
      <c r="P80" s="278"/>
      <c r="Q80" s="279"/>
      <c r="R80" s="277"/>
      <c r="S80" s="278"/>
      <c r="T80" s="278"/>
      <c r="U80" s="278">
        <f>('State Efficiency Ratios (2014)'!U569+'State Efficiency Ratios (2014)'!U598)/2</f>
        <v>90.293303971720619</v>
      </c>
      <c r="V80" s="277"/>
      <c r="W80" s="278"/>
      <c r="X80" s="278"/>
      <c r="Y80" s="278">
        <f>('State Efficiency Ratios (2014)'!Y569+'State Efficiency Ratios (2014)'!Y598)/2</f>
        <v>316.79402762869574</v>
      </c>
      <c r="Z80" s="277"/>
      <c r="AA80" s="278"/>
      <c r="AB80" s="278"/>
      <c r="AC80" s="278">
        <f>('State Efficiency Ratios (2014)'!AC569+'State Efficiency Ratios (2014)'!AC598+'State Efficiency Ratios (2014)'!AC627)/3</f>
        <v>550.94131517049789</v>
      </c>
      <c r="AD80" s="208"/>
      <c r="AE80" s="213"/>
      <c r="AG80" s="410" t="s">
        <v>1090</v>
      </c>
      <c r="AH80" s="351" t="s">
        <v>759</v>
      </c>
      <c r="AI80" s="627">
        <f t="shared" si="24"/>
        <v>44.789456837988169</v>
      </c>
      <c r="AJ80" s="598">
        <f t="shared" si="25"/>
        <v>90.293303971720619</v>
      </c>
      <c r="AK80" s="598">
        <f t="shared" si="26"/>
        <v>316.79402762869574</v>
      </c>
      <c r="AL80" s="628">
        <f t="shared" si="27"/>
        <v>550.94131517049789</v>
      </c>
    </row>
    <row r="81" spans="1:39" ht="13.5" thickBot="1">
      <c r="A81" s="885"/>
      <c r="B81" s="885"/>
      <c r="C81" s="194" t="s">
        <v>614</v>
      </c>
      <c r="D81" s="206"/>
      <c r="E81" s="207"/>
      <c r="F81" s="209"/>
      <c r="G81" s="206"/>
      <c r="H81" s="206"/>
      <c r="I81" s="207"/>
      <c r="J81" s="209"/>
      <c r="K81" s="206"/>
      <c r="L81" s="206"/>
      <c r="M81" s="207"/>
      <c r="N81" s="277"/>
      <c r="O81" s="278">
        <f>('State Efficiency Ratios (2014)'!O570+'State Efficiency Ratios (2014)'!O599)/2</f>
        <v>34.301121374442609</v>
      </c>
      <c r="P81" s="278"/>
      <c r="Q81" s="279"/>
      <c r="R81" s="277"/>
      <c r="S81" s="278"/>
      <c r="T81" s="278"/>
      <c r="U81" s="278">
        <f>('State Efficiency Ratios (2014)'!U570+'State Efficiency Ratios (2014)'!U599)/2</f>
        <v>0</v>
      </c>
      <c r="V81" s="277"/>
      <c r="W81" s="278"/>
      <c r="X81" s="278"/>
      <c r="Y81" s="278">
        <f>('State Efficiency Ratios (2014)'!Y570+'State Efficiency Ratios (2014)'!Y599)/2</f>
        <v>385.55207776146483</v>
      </c>
      <c r="Z81" s="277"/>
      <c r="AA81" s="278"/>
      <c r="AB81" s="278"/>
      <c r="AC81" s="278">
        <f>('State Efficiency Ratios (2014)'!AC570+'State Efficiency Ratios (2014)'!AC599+'State Efficiency Ratios (2014)'!AC628)/3</f>
        <v>535.76720772222711</v>
      </c>
      <c r="AD81" s="208"/>
      <c r="AE81" s="213"/>
      <c r="AG81" s="410" t="s">
        <v>1092</v>
      </c>
      <c r="AH81" s="351" t="s">
        <v>760</v>
      </c>
      <c r="AI81" s="627">
        <f t="shared" si="24"/>
        <v>34.301121374442609</v>
      </c>
      <c r="AJ81" s="598">
        <f t="shared" si="25"/>
        <v>0</v>
      </c>
      <c r="AK81" s="598">
        <f t="shared" si="26"/>
        <v>385.55207776146483</v>
      </c>
      <c r="AL81" s="628">
        <f t="shared" si="27"/>
        <v>535.76720772222711</v>
      </c>
    </row>
    <row r="82" spans="1:39" ht="12.95" customHeight="1" thickBot="1">
      <c r="A82" s="885"/>
      <c r="B82" s="885"/>
      <c r="C82" s="194" t="s">
        <v>615</v>
      </c>
      <c r="D82" s="210"/>
      <c r="E82" s="211"/>
      <c r="F82" s="209"/>
      <c r="G82" s="210"/>
      <c r="H82" s="210"/>
      <c r="I82" s="211"/>
      <c r="J82" s="209"/>
      <c r="K82" s="210"/>
      <c r="L82" s="210"/>
      <c r="M82" s="211"/>
      <c r="N82" s="281"/>
      <c r="O82" s="282"/>
      <c r="P82" s="282"/>
      <c r="Q82" s="282"/>
      <c r="R82" s="277"/>
      <c r="S82" s="278"/>
      <c r="T82" s="278"/>
      <c r="U82" s="278">
        <f>('State Efficiency Ratios (2014)'!U571+'State Efficiency Ratios (2014)'!U600)/2</f>
        <v>346.35183923846722</v>
      </c>
      <c r="V82" s="277"/>
      <c r="W82" s="278"/>
      <c r="X82" s="278"/>
      <c r="Y82" s="278">
        <f>('State Efficiency Ratios (2014)'!Y571+'State Efficiency Ratios (2014)'!Y600)/2</f>
        <v>181.92234191223611</v>
      </c>
      <c r="Z82" s="277"/>
      <c r="AA82" s="278"/>
      <c r="AB82" s="278"/>
      <c r="AC82" s="278">
        <f>('State Efficiency Ratios (2014)'!AC571+'State Efficiency Ratios (2014)'!AC600+'State Efficiency Ratios (2014)'!AC629)/3</f>
        <v>186.00874767247907</v>
      </c>
      <c r="AD82" s="208"/>
      <c r="AE82" s="213"/>
      <c r="AG82" s="410"/>
      <c r="AH82" s="351" t="s">
        <v>761</v>
      </c>
      <c r="AI82" s="627">
        <f t="shared" si="24"/>
        <v>0</v>
      </c>
      <c r="AJ82" s="598">
        <f t="shared" si="25"/>
        <v>346.35183923846722</v>
      </c>
      <c r="AK82" s="598">
        <f t="shared" si="26"/>
        <v>181.92234191223611</v>
      </c>
      <c r="AL82" s="628">
        <f t="shared" si="27"/>
        <v>186.00874767247907</v>
      </c>
    </row>
    <row r="83" spans="1:39" ht="12.95" customHeight="1" thickBot="1">
      <c r="A83" s="885"/>
      <c r="B83" s="885"/>
      <c r="C83" s="194" t="s">
        <v>616</v>
      </c>
      <c r="D83" s="210"/>
      <c r="E83" s="211"/>
      <c r="F83" s="209"/>
      <c r="G83" s="210"/>
      <c r="H83" s="210"/>
      <c r="I83" s="211"/>
      <c r="J83" s="209"/>
      <c r="K83" s="210"/>
      <c r="L83" s="210"/>
      <c r="M83" s="211"/>
      <c r="N83" s="281"/>
      <c r="O83" s="282"/>
      <c r="P83" s="282"/>
      <c r="Q83" s="282"/>
      <c r="R83" s="277"/>
      <c r="S83" s="278"/>
      <c r="T83" s="278"/>
      <c r="U83" s="278">
        <f>('State Efficiency Ratios (2014)'!U572+'State Efficiency Ratios (2014)'!U601)/2</f>
        <v>116.37224703952423</v>
      </c>
      <c r="V83" s="277"/>
      <c r="W83" s="278"/>
      <c r="X83" s="278"/>
      <c r="Y83" s="278">
        <f>('State Efficiency Ratios (2014)'!Y572+'State Efficiency Ratios (2014)'!Y601)/2</f>
        <v>371.18883691694697</v>
      </c>
      <c r="Z83" s="277"/>
      <c r="AA83" s="278"/>
      <c r="AB83" s="278"/>
      <c r="AC83" s="278">
        <f>('State Efficiency Ratios (2014)'!AC572+'State Efficiency Ratios (2014)'!AC601+'State Efficiency Ratios (2014)'!AC630)/3</f>
        <v>649.46434763385685</v>
      </c>
      <c r="AD83" s="208"/>
      <c r="AE83" s="213"/>
      <c r="AG83" s="410" t="s">
        <v>1084</v>
      </c>
      <c r="AH83" s="351" t="s">
        <v>762</v>
      </c>
      <c r="AI83" s="627">
        <f t="shared" si="24"/>
        <v>0</v>
      </c>
      <c r="AJ83" s="598">
        <f t="shared" si="25"/>
        <v>116.37224703952423</v>
      </c>
      <c r="AK83" s="598">
        <f t="shared" si="26"/>
        <v>371.18883691694697</v>
      </c>
      <c r="AL83" s="628">
        <f t="shared" si="27"/>
        <v>649.46434763385685</v>
      </c>
    </row>
    <row r="84" spans="1:39" ht="12.95" customHeight="1" thickBot="1">
      <c r="A84" s="885"/>
      <c r="B84" s="885"/>
      <c r="C84" s="194" t="s">
        <v>617</v>
      </c>
      <c r="D84" s="210"/>
      <c r="E84" s="211"/>
      <c r="F84" s="209"/>
      <c r="G84" s="210"/>
      <c r="H84" s="210"/>
      <c r="I84" s="211"/>
      <c r="J84" s="209"/>
      <c r="K84" s="210"/>
      <c r="L84" s="210"/>
      <c r="M84" s="211"/>
      <c r="N84" s="281"/>
      <c r="O84" s="282"/>
      <c r="P84" s="282"/>
      <c r="Q84" s="282"/>
      <c r="R84" s="277"/>
      <c r="S84" s="278"/>
      <c r="T84" s="278"/>
      <c r="U84" s="278">
        <f>('State Efficiency Ratios (2014)'!U573+'State Efficiency Ratios (2014)'!U602)/2</f>
        <v>97.999903221934431</v>
      </c>
      <c r="V84" s="277"/>
      <c r="W84" s="278"/>
      <c r="X84" s="278"/>
      <c r="Y84" s="278">
        <f>('State Efficiency Ratios (2014)'!Y573+'State Efficiency Ratios (2014)'!Y602)/2</f>
        <v>57.546270320485924</v>
      </c>
      <c r="Z84" s="277"/>
      <c r="AA84" s="278"/>
      <c r="AB84" s="278"/>
      <c r="AC84" s="278">
        <f>('State Efficiency Ratios (2014)'!AC573+'State Efficiency Ratios (2014)'!AC602+'State Efficiency Ratios (2014)'!AC631)/3</f>
        <v>532.17745952711266</v>
      </c>
      <c r="AD84" s="208"/>
      <c r="AE84" s="213"/>
      <c r="AG84" s="410" t="s">
        <v>1093</v>
      </c>
      <c r="AH84" s="351" t="s">
        <v>763</v>
      </c>
      <c r="AI84" s="627">
        <f t="shared" si="24"/>
        <v>0</v>
      </c>
      <c r="AJ84" s="598">
        <f t="shared" si="25"/>
        <v>97.999903221934431</v>
      </c>
      <c r="AK84" s="598">
        <f t="shared" si="26"/>
        <v>57.546270320485924</v>
      </c>
      <c r="AL84" s="628">
        <f t="shared" si="27"/>
        <v>532.17745952711266</v>
      </c>
    </row>
    <row r="85" spans="1:39" ht="12.95" customHeight="1" thickBot="1">
      <c r="A85" s="885"/>
      <c r="B85" s="885"/>
      <c r="C85" s="194" t="s">
        <v>618</v>
      </c>
      <c r="D85" s="210"/>
      <c r="E85" s="211"/>
      <c r="F85" s="209"/>
      <c r="G85" s="210"/>
      <c r="H85" s="210"/>
      <c r="I85" s="211"/>
      <c r="J85" s="209"/>
      <c r="K85" s="210"/>
      <c r="L85" s="210"/>
      <c r="M85" s="211"/>
      <c r="N85" s="281"/>
      <c r="O85" s="282"/>
      <c r="P85" s="282"/>
      <c r="Q85" s="283"/>
      <c r="R85" s="281"/>
      <c r="S85" s="282"/>
      <c r="T85" s="282"/>
      <c r="U85" s="283"/>
      <c r="V85" s="281"/>
      <c r="W85" s="282"/>
      <c r="X85" s="282"/>
      <c r="Y85" s="283"/>
      <c r="Z85" s="277"/>
      <c r="AA85" s="278"/>
      <c r="AB85" s="278"/>
      <c r="AC85" s="278">
        <f>('State Efficiency Ratios (2014)'!AC574+'State Efficiency Ratios (2014)'!AC603+'State Efficiency Ratios (2014)'!AC632)/3</f>
        <v>0</v>
      </c>
      <c r="AD85" s="208"/>
      <c r="AE85" s="213"/>
      <c r="AG85" s="295"/>
      <c r="AH85" s="351" t="s">
        <v>1098</v>
      </c>
      <c r="AI85" s="627">
        <f t="shared" si="24"/>
        <v>0</v>
      </c>
      <c r="AJ85" s="598">
        <f t="shared" si="25"/>
        <v>0</v>
      </c>
      <c r="AK85" s="598">
        <f t="shared" si="26"/>
        <v>0</v>
      </c>
      <c r="AL85" s="628">
        <f t="shared" si="27"/>
        <v>0</v>
      </c>
    </row>
    <row r="86" spans="1:39" ht="12.95" customHeight="1" thickBot="1">
      <c r="A86" s="885"/>
      <c r="B86" s="885"/>
      <c r="C86" s="194" t="s">
        <v>619</v>
      </c>
      <c r="D86" s="210"/>
      <c r="E86" s="211"/>
      <c r="F86" s="209"/>
      <c r="G86" s="210"/>
      <c r="H86" s="210"/>
      <c r="I86" s="211"/>
      <c r="J86" s="209"/>
      <c r="K86" s="210"/>
      <c r="L86" s="210"/>
      <c r="M86" s="211"/>
      <c r="N86" s="281"/>
      <c r="O86" s="282"/>
      <c r="P86" s="282"/>
      <c r="Q86" s="283"/>
      <c r="R86" s="281"/>
      <c r="S86" s="282"/>
      <c r="T86" s="282"/>
      <c r="U86" s="283"/>
      <c r="V86" s="281"/>
      <c r="W86" s="282"/>
      <c r="X86" s="282"/>
      <c r="Y86" s="283"/>
      <c r="Z86" s="277"/>
      <c r="AA86" s="278"/>
      <c r="AB86" s="278"/>
      <c r="AC86" s="278">
        <f>('State Efficiency Ratios (2014)'!AC575+'State Efficiency Ratios (2014)'!AC604+'State Efficiency Ratios (2014)'!AC633)/3</f>
        <v>0</v>
      </c>
      <c r="AD86" s="208"/>
      <c r="AE86" s="213"/>
      <c r="AG86" s="295"/>
      <c r="AH86" s="351" t="s">
        <v>1099</v>
      </c>
      <c r="AI86" s="627">
        <f t="shared" si="24"/>
        <v>0</v>
      </c>
      <c r="AJ86" s="598">
        <f t="shared" si="25"/>
        <v>0</v>
      </c>
      <c r="AK86" s="598">
        <f t="shared" si="26"/>
        <v>0</v>
      </c>
      <c r="AL86" s="628">
        <f t="shared" si="27"/>
        <v>0</v>
      </c>
    </row>
    <row r="87" spans="1:39" ht="13.5" thickBot="1">
      <c r="A87" s="885"/>
      <c r="B87" s="885"/>
      <c r="C87" s="194" t="s">
        <v>620</v>
      </c>
      <c r="D87" s="206"/>
      <c r="E87" s="207"/>
      <c r="F87" s="209"/>
      <c r="G87" s="206"/>
      <c r="H87" s="206"/>
      <c r="I87" s="207"/>
      <c r="J87" s="209"/>
      <c r="K87" s="206"/>
      <c r="L87" s="206"/>
      <c r="M87" s="207"/>
      <c r="N87" s="277"/>
      <c r="O87" s="278">
        <f>('State Efficiency Ratios (2014)'!O576+'State Efficiency Ratios (2014)'!O605)/2</f>
        <v>30.272710609174265</v>
      </c>
      <c r="P87" s="278"/>
      <c r="Q87" s="279"/>
      <c r="R87" s="277"/>
      <c r="S87" s="278"/>
      <c r="T87" s="278"/>
      <c r="U87" s="278">
        <f>('State Efficiency Ratios (2014)'!U576+'State Efficiency Ratios (2014)'!U605)/2</f>
        <v>35.8076403337869</v>
      </c>
      <c r="V87" s="277"/>
      <c r="W87" s="278"/>
      <c r="X87" s="278"/>
      <c r="Y87" s="278">
        <f>('State Efficiency Ratios (2014)'!Y576+'State Efficiency Ratios (2014)'!Y605)/2</f>
        <v>944.96293863272467</v>
      </c>
      <c r="Z87" s="277"/>
      <c r="AA87" s="278"/>
      <c r="AB87" s="278"/>
      <c r="AC87" s="278">
        <f>('State Efficiency Ratios (2014)'!AC576+'State Efficiency Ratios (2014)'!AC605+'State Efficiency Ratios (2014)'!AC634)/3</f>
        <v>1960.8157169368703</v>
      </c>
      <c r="AD87" s="208"/>
      <c r="AE87" s="213"/>
      <c r="AG87" s="410" t="s">
        <v>1094</v>
      </c>
      <c r="AH87" s="351" t="s">
        <v>1100</v>
      </c>
      <c r="AI87" s="645">
        <f t="shared" ref="AI87" si="28">O87</f>
        <v>30.272710609174265</v>
      </c>
      <c r="AJ87" s="646">
        <f t="shared" ref="AJ87" si="29">U87</f>
        <v>35.8076403337869</v>
      </c>
      <c r="AK87" s="646">
        <f t="shared" ref="AK87" si="30">Y87</f>
        <v>944.96293863272467</v>
      </c>
      <c r="AL87" s="647">
        <f t="shared" ref="AL87:AL88" si="31">AC87</f>
        <v>1960.8157169368703</v>
      </c>
    </row>
    <row r="88" spans="1:39" ht="13.5" thickBot="1">
      <c r="A88" s="869"/>
      <c r="B88" s="869"/>
      <c r="C88" s="194" t="s">
        <v>645</v>
      </c>
      <c r="D88" s="206"/>
      <c r="E88" s="207"/>
      <c r="F88" s="209"/>
      <c r="G88" s="206"/>
      <c r="H88" s="206"/>
      <c r="I88" s="207"/>
      <c r="J88" s="209"/>
      <c r="K88" s="206"/>
      <c r="L88" s="206"/>
      <c r="M88" s="207"/>
      <c r="N88" s="277"/>
      <c r="O88" s="278" t="e">
        <f>('State Efficiency Ratios (2014)'!O577+'State Efficiency Ratios (2014)'!O606)/2</f>
        <v>#DIV/0!</v>
      </c>
      <c r="P88" s="278"/>
      <c r="Q88" s="279"/>
      <c r="R88" s="277"/>
      <c r="S88" s="278"/>
      <c r="T88" s="278"/>
      <c r="U88" s="278" t="e">
        <f>('State Efficiency Ratios (2014)'!U577+'State Efficiency Ratios (2014)'!U606)/2</f>
        <v>#DIV/0!</v>
      </c>
      <c r="V88" s="277"/>
      <c r="W88" s="278"/>
      <c r="X88" s="278"/>
      <c r="Y88" s="278" t="e">
        <f>('State Efficiency Ratios (2014)'!Y577+'State Efficiency Ratios (2014)'!Y606)/2</f>
        <v>#DIV/0!</v>
      </c>
      <c r="Z88" s="277"/>
      <c r="AA88" s="278"/>
      <c r="AB88" s="278"/>
      <c r="AC88" s="278">
        <f>('State Efficiency Ratios (2014)'!AC577+'State Efficiency Ratios (2014)'!AC606+'State Efficiency Ratios (2014)'!AC635)/3</f>
        <v>2006.8376345323213</v>
      </c>
      <c r="AD88" s="208"/>
      <c r="AE88" s="213"/>
      <c r="AG88" s="410" t="s">
        <v>1095</v>
      </c>
      <c r="AH88" s="351" t="s">
        <v>1101</v>
      </c>
      <c r="AI88" s="648">
        <v>0</v>
      </c>
      <c r="AJ88" s="649">
        <v>0</v>
      </c>
      <c r="AK88" s="649">
        <v>1000</v>
      </c>
      <c r="AL88" s="650">
        <f t="shared" si="31"/>
        <v>2006.8376345323213</v>
      </c>
    </row>
    <row r="89" spans="1:39" ht="13.5" thickBot="1">
      <c r="AH89" s="351" t="s">
        <v>1050</v>
      </c>
      <c r="AI89" s="642">
        <f>(SUM(AI77:AI88))/6</f>
        <v>26.851007699573657</v>
      </c>
      <c r="AJ89" s="643">
        <f>(SUM(AJ77:AJ88))/9</f>
        <v>119.97708162750648</v>
      </c>
      <c r="AK89" s="643">
        <f>(SUM(AK77:AK88))/10</f>
        <v>550.97322715133589</v>
      </c>
      <c r="AL89" s="644">
        <f>(SUM(AL77:AL88))/10</f>
        <v>754.40013232897945</v>
      </c>
      <c r="AM89" s="4" t="s">
        <v>1068</v>
      </c>
    </row>
    <row r="161" ht="15" customHeight="1"/>
    <row r="171" ht="15" customHeight="1"/>
    <row r="181" ht="15" customHeight="1"/>
    <row r="229" ht="15" customHeight="1"/>
    <row r="231" ht="12.95" customHeight="1"/>
  </sheetData>
  <sheetProtection password="CF55" sheet="1" objects="1" scenarios="1" selectLockedCells="1"/>
  <sortState ref="AO233:AP243">
    <sortCondition descending="1" ref="AO233"/>
  </sortState>
  <mergeCells count="71">
    <mergeCell ref="AI1:AL1"/>
    <mergeCell ref="A77:A88"/>
    <mergeCell ref="B77:B88"/>
    <mergeCell ref="Z64:AC64"/>
    <mergeCell ref="AD64:AE64"/>
    <mergeCell ref="A65:A74"/>
    <mergeCell ref="B65:B74"/>
    <mergeCell ref="D76:E76"/>
    <mergeCell ref="F76:I76"/>
    <mergeCell ref="J76:M76"/>
    <mergeCell ref="N76:Q76"/>
    <mergeCell ref="R76:U76"/>
    <mergeCell ref="V76:Y76"/>
    <mergeCell ref="N64:Q64"/>
    <mergeCell ref="R64:U64"/>
    <mergeCell ref="V64:Y64"/>
    <mergeCell ref="Z76:AC76"/>
    <mergeCell ref="AD76:AE76"/>
    <mergeCell ref="A53:A62"/>
    <mergeCell ref="B53:B62"/>
    <mergeCell ref="D64:E64"/>
    <mergeCell ref="F64:I64"/>
    <mergeCell ref="J64:M64"/>
    <mergeCell ref="N52:Q52"/>
    <mergeCell ref="R52:U52"/>
    <mergeCell ref="V52:Y52"/>
    <mergeCell ref="Z52:AC52"/>
    <mergeCell ref="AD52:AE52"/>
    <mergeCell ref="A41:A50"/>
    <mergeCell ref="B41:B50"/>
    <mergeCell ref="D52:E52"/>
    <mergeCell ref="F52:I52"/>
    <mergeCell ref="J52:M52"/>
    <mergeCell ref="N40:Q40"/>
    <mergeCell ref="R40:U40"/>
    <mergeCell ref="V40:Y40"/>
    <mergeCell ref="Z40:AC40"/>
    <mergeCell ref="AD40:AE40"/>
    <mergeCell ref="A29:A38"/>
    <mergeCell ref="B29:B38"/>
    <mergeCell ref="D40:E40"/>
    <mergeCell ref="F40:I40"/>
    <mergeCell ref="J40:M40"/>
    <mergeCell ref="Z16:AC16"/>
    <mergeCell ref="AD16:AE16"/>
    <mergeCell ref="A17:A26"/>
    <mergeCell ref="B17:B26"/>
    <mergeCell ref="D28:E28"/>
    <mergeCell ref="F28:I28"/>
    <mergeCell ref="J28:M28"/>
    <mergeCell ref="N28:Q28"/>
    <mergeCell ref="R28:U28"/>
    <mergeCell ref="V28:Y28"/>
    <mergeCell ref="Z28:AC28"/>
    <mergeCell ref="AD28:AE28"/>
    <mergeCell ref="Z4:AC4"/>
    <mergeCell ref="AD4:AE4"/>
    <mergeCell ref="A5:A14"/>
    <mergeCell ref="B5:B14"/>
    <mergeCell ref="D16:E16"/>
    <mergeCell ref="F16:I16"/>
    <mergeCell ref="J16:M16"/>
    <mergeCell ref="N16:Q16"/>
    <mergeCell ref="R16:U16"/>
    <mergeCell ref="V16:Y16"/>
    <mergeCell ref="D4:E4"/>
    <mergeCell ref="F4:I4"/>
    <mergeCell ref="J4:M4"/>
    <mergeCell ref="N4:Q4"/>
    <mergeCell ref="R4:U4"/>
    <mergeCell ref="V4:Y4"/>
  </mergeCells>
  <pageMargins left="0.79000000000000015" right="0.79000000000000015" top="0.79000000000000015" bottom="0.79000000000000015" header="0.39000000000000007" footer="0.39000000000000007"/>
  <pageSetup paperSize="9" scale="55" fitToHeight="3" orientation="landscape"/>
  <headerFooter>
    <oddFooter>&amp;L&amp;K000000&amp;F&amp;C&amp;K000000&amp;D&amp;R&amp;K000000Page &amp;P</oddFooter>
  </headerFooter>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FF6600"/>
  </sheetPr>
  <dimension ref="A1:X246"/>
  <sheetViews>
    <sheetView topLeftCell="A65" workbookViewId="0">
      <pane xSplit="3" topLeftCell="D1" activePane="topRight" state="frozen"/>
      <selection activeCell="P22" sqref="P22:S22"/>
      <selection pane="topRight" activeCell="P22" sqref="P22:S22"/>
    </sheetView>
  </sheetViews>
  <sheetFormatPr defaultColWidth="8.85546875" defaultRowHeight="12.75"/>
  <cols>
    <col min="1" max="1" width="20.85546875" style="4" customWidth="1"/>
    <col min="2" max="2" width="40.85546875" style="4" customWidth="1"/>
    <col min="3" max="3" width="15.85546875" style="27" customWidth="1"/>
    <col min="4" max="23" width="5.85546875" style="4" customWidth="1"/>
    <col min="24" max="24" width="30.85546875" style="4" customWidth="1"/>
    <col min="25" max="16384" width="8.85546875" style="4"/>
  </cols>
  <sheetData>
    <row r="1" spans="1:24" s="67" customFormat="1" ht="32.25" thickBot="1">
      <c r="A1" s="3" t="s">
        <v>0</v>
      </c>
      <c r="B1" s="64" t="s">
        <v>231</v>
      </c>
      <c r="C1" s="65" t="s">
        <v>270</v>
      </c>
      <c r="D1" s="65"/>
      <c r="E1" s="65"/>
      <c r="F1" s="65"/>
      <c r="G1" s="65"/>
      <c r="H1" s="65"/>
      <c r="I1" s="65"/>
      <c r="J1" s="65"/>
      <c r="K1" s="65"/>
      <c r="L1" s="65"/>
      <c r="M1" s="65"/>
      <c r="N1" s="65"/>
      <c r="O1" s="65"/>
      <c r="P1" s="65"/>
      <c r="Q1" s="65"/>
      <c r="R1" s="65"/>
      <c r="S1" s="65"/>
      <c r="T1" s="65"/>
      <c r="U1" s="65"/>
      <c r="V1" s="65"/>
      <c r="W1" s="65"/>
      <c r="X1" s="66"/>
    </row>
    <row r="2" spans="1:24">
      <c r="A2" s="5"/>
      <c r="B2" s="5"/>
      <c r="C2" s="6"/>
      <c r="D2" s="5"/>
      <c r="E2" s="5"/>
      <c r="F2" s="5"/>
      <c r="G2" s="5"/>
      <c r="H2" s="5"/>
      <c r="I2" s="5"/>
      <c r="J2" s="5"/>
      <c r="K2" s="5"/>
      <c r="L2" s="5"/>
      <c r="M2" s="5"/>
      <c r="N2" s="5"/>
      <c r="O2" s="5"/>
      <c r="P2" s="5"/>
      <c r="Q2" s="5"/>
      <c r="R2" s="5"/>
      <c r="S2" s="5"/>
      <c r="T2" s="5"/>
      <c r="U2" s="5"/>
      <c r="V2" s="5"/>
      <c r="W2" s="5"/>
      <c r="X2" s="5"/>
    </row>
    <row r="3" spans="1:24" ht="13.5" thickBot="1">
      <c r="A3" s="5"/>
      <c r="B3" s="5"/>
      <c r="C3" s="6"/>
      <c r="D3" s="5"/>
      <c r="E3" s="5"/>
      <c r="F3" s="5"/>
      <c r="G3" s="5"/>
      <c r="H3" s="5"/>
      <c r="I3" s="5"/>
      <c r="J3" s="5"/>
      <c r="K3" s="5"/>
      <c r="L3" s="5"/>
      <c r="M3" s="5"/>
      <c r="N3" s="5"/>
      <c r="O3" s="5"/>
      <c r="P3" s="5"/>
      <c r="Q3" s="5"/>
      <c r="R3" s="5"/>
      <c r="S3" s="5"/>
      <c r="T3" s="5"/>
      <c r="U3" s="5"/>
      <c r="V3" s="5"/>
      <c r="W3" s="5"/>
      <c r="X3" s="5"/>
    </row>
    <row r="4" spans="1:24" ht="13.5" thickBot="1">
      <c r="A4" s="7" t="s">
        <v>50</v>
      </c>
      <c r="B4" s="97" t="s">
        <v>51</v>
      </c>
      <c r="C4" s="8"/>
      <c r="D4" s="927" t="s">
        <v>79</v>
      </c>
      <c r="E4" s="928"/>
      <c r="F4" s="928"/>
      <c r="G4" s="929"/>
      <c r="H4" s="927" t="s">
        <v>80</v>
      </c>
      <c r="I4" s="928"/>
      <c r="J4" s="928"/>
      <c r="K4" s="929"/>
      <c r="L4" s="927" t="s">
        <v>81</v>
      </c>
      <c r="M4" s="928"/>
      <c r="N4" s="928"/>
      <c r="O4" s="929"/>
      <c r="P4" s="927" t="s">
        <v>254</v>
      </c>
      <c r="Q4" s="928"/>
      <c r="R4" s="928"/>
      <c r="S4" s="929"/>
      <c r="T4" s="927" t="s">
        <v>76</v>
      </c>
      <c r="U4" s="928"/>
      <c r="V4" s="928"/>
      <c r="W4" s="929"/>
      <c r="X4" s="991"/>
    </row>
    <row r="5" spans="1:24" ht="13.5" thickBot="1">
      <c r="A5" s="868" t="s">
        <v>43</v>
      </c>
      <c r="B5" s="868" t="s">
        <v>46</v>
      </c>
      <c r="C5" s="9" t="s">
        <v>2</v>
      </c>
      <c r="D5" s="983" t="s">
        <v>82</v>
      </c>
      <c r="E5" s="984"/>
      <c r="F5" s="984"/>
      <c r="G5" s="984"/>
      <c r="H5" s="984"/>
      <c r="I5" s="984"/>
      <c r="J5" s="984"/>
      <c r="K5" s="984"/>
      <c r="L5" s="984"/>
      <c r="M5" s="984"/>
      <c r="N5" s="984"/>
      <c r="O5" s="984"/>
      <c r="P5" s="984"/>
      <c r="Q5" s="984"/>
      <c r="R5" s="984"/>
      <c r="S5" s="984"/>
      <c r="T5" s="984"/>
      <c r="U5" s="984"/>
      <c r="V5" s="984"/>
      <c r="W5" s="985"/>
      <c r="X5" s="992"/>
    </row>
    <row r="6" spans="1:24" ht="13.5" thickBot="1">
      <c r="A6" s="885"/>
      <c r="B6" s="885"/>
      <c r="C6" s="10" t="s">
        <v>3</v>
      </c>
      <c r="D6" s="986"/>
      <c r="E6" s="987"/>
      <c r="F6" s="987"/>
      <c r="G6" s="987"/>
      <c r="H6" s="987"/>
      <c r="I6" s="987"/>
      <c r="J6" s="987"/>
      <c r="K6" s="987"/>
      <c r="L6" s="987"/>
      <c r="M6" s="987"/>
      <c r="N6" s="987"/>
      <c r="O6" s="987"/>
      <c r="P6" s="987"/>
      <c r="Q6" s="987"/>
      <c r="R6" s="987"/>
      <c r="S6" s="987"/>
      <c r="T6" s="987"/>
      <c r="U6" s="987"/>
      <c r="V6" s="987"/>
      <c r="W6" s="988"/>
      <c r="X6" s="992"/>
    </row>
    <row r="7" spans="1:24" ht="13.5" thickBot="1">
      <c r="A7" s="885"/>
      <c r="B7" s="885"/>
      <c r="C7" s="998" t="s">
        <v>413</v>
      </c>
      <c r="D7" s="989" t="s">
        <v>4</v>
      </c>
      <c r="E7" s="990"/>
      <c r="F7" s="990"/>
      <c r="G7" s="990"/>
      <c r="H7" s="990"/>
      <c r="I7" s="990"/>
      <c r="J7" s="990"/>
      <c r="K7" s="990"/>
      <c r="L7" s="990"/>
      <c r="M7" s="990"/>
      <c r="N7" s="990"/>
      <c r="O7" s="990"/>
      <c r="P7" s="990"/>
      <c r="Q7" s="990"/>
      <c r="R7" s="990"/>
      <c r="S7" s="990"/>
      <c r="T7" s="990"/>
      <c r="U7" s="990"/>
      <c r="V7" s="990"/>
      <c r="W7" s="990"/>
      <c r="X7" s="992"/>
    </row>
    <row r="8" spans="1:24" ht="13.5" thickBot="1">
      <c r="A8" s="885"/>
      <c r="B8" s="869"/>
      <c r="C8" s="999"/>
      <c r="D8" s="930" t="s">
        <v>85</v>
      </c>
      <c r="E8" s="931"/>
      <c r="F8" s="931"/>
      <c r="G8" s="931"/>
      <c r="H8" s="931"/>
      <c r="I8" s="931"/>
      <c r="J8" s="931"/>
      <c r="K8" s="931"/>
      <c r="L8" s="931"/>
      <c r="M8" s="931"/>
      <c r="N8" s="931"/>
      <c r="O8" s="931"/>
      <c r="P8" s="931"/>
      <c r="Q8" s="931"/>
      <c r="R8" s="931"/>
      <c r="S8" s="931"/>
      <c r="T8" s="931"/>
      <c r="U8" s="931"/>
      <c r="V8" s="931"/>
      <c r="W8" s="932"/>
      <c r="X8" s="992"/>
    </row>
    <row r="9" spans="1:24" ht="13.5" thickBot="1">
      <c r="A9" s="885"/>
      <c r="B9" s="11" t="s">
        <v>52</v>
      </c>
      <c r="C9" s="12"/>
      <c r="D9" s="927" t="s">
        <v>79</v>
      </c>
      <c r="E9" s="928"/>
      <c r="F9" s="928"/>
      <c r="G9" s="929"/>
      <c r="H9" s="927" t="s">
        <v>80</v>
      </c>
      <c r="I9" s="928"/>
      <c r="J9" s="928"/>
      <c r="K9" s="929"/>
      <c r="L9" s="927" t="s">
        <v>81</v>
      </c>
      <c r="M9" s="928"/>
      <c r="N9" s="928"/>
      <c r="O9" s="929"/>
      <c r="P9" s="927" t="s">
        <v>254</v>
      </c>
      <c r="Q9" s="928"/>
      <c r="R9" s="928"/>
      <c r="S9" s="929"/>
      <c r="T9" s="927" t="s">
        <v>76</v>
      </c>
      <c r="U9" s="928"/>
      <c r="V9" s="928"/>
      <c r="W9" s="929"/>
      <c r="X9" s="992"/>
    </row>
    <row r="10" spans="1:24" ht="35.1" customHeight="1" thickBot="1">
      <c r="A10" s="885"/>
      <c r="B10" s="868" t="s">
        <v>45</v>
      </c>
      <c r="C10" s="13" t="s">
        <v>2</v>
      </c>
      <c r="D10" s="930" t="s">
        <v>86</v>
      </c>
      <c r="E10" s="931"/>
      <c r="F10" s="931"/>
      <c r="G10" s="931"/>
      <c r="H10" s="931"/>
      <c r="I10" s="931"/>
      <c r="J10" s="931"/>
      <c r="K10" s="931"/>
      <c r="L10" s="931"/>
      <c r="M10" s="931"/>
      <c r="N10" s="931"/>
      <c r="O10" s="931"/>
      <c r="P10" s="931"/>
      <c r="Q10" s="931"/>
      <c r="R10" s="931"/>
      <c r="S10" s="931"/>
      <c r="T10" s="931"/>
      <c r="U10" s="931"/>
      <c r="V10" s="931"/>
      <c r="W10" s="932"/>
      <c r="X10" s="992"/>
    </row>
    <row r="11" spans="1:24" ht="13.5" thickBot="1">
      <c r="A11" s="885"/>
      <c r="B11" s="885"/>
      <c r="C11" s="10" t="s">
        <v>3</v>
      </c>
      <c r="D11" s="986"/>
      <c r="E11" s="987"/>
      <c r="F11" s="987"/>
      <c r="G11" s="987"/>
      <c r="H11" s="987"/>
      <c r="I11" s="987"/>
      <c r="J11" s="987"/>
      <c r="K11" s="987"/>
      <c r="L11" s="987"/>
      <c r="M11" s="987"/>
      <c r="N11" s="987"/>
      <c r="O11" s="987"/>
      <c r="P11" s="987"/>
      <c r="Q11" s="987"/>
      <c r="R11" s="987"/>
      <c r="S11" s="987"/>
      <c r="T11" s="987"/>
      <c r="U11" s="987"/>
      <c r="V11" s="987"/>
      <c r="W11" s="988"/>
      <c r="X11" s="992"/>
    </row>
    <row r="12" spans="1:24" ht="13.5" thickBot="1">
      <c r="A12" s="885"/>
      <c r="B12" s="885"/>
      <c r="C12" s="998" t="s">
        <v>413</v>
      </c>
      <c r="D12" s="927" t="s">
        <v>4</v>
      </c>
      <c r="E12" s="928"/>
      <c r="F12" s="928"/>
      <c r="G12" s="928"/>
      <c r="H12" s="928"/>
      <c r="I12" s="928"/>
      <c r="J12" s="928"/>
      <c r="K12" s="928"/>
      <c r="L12" s="928"/>
      <c r="M12" s="928"/>
      <c r="N12" s="928"/>
      <c r="O12" s="928"/>
      <c r="P12" s="928"/>
      <c r="Q12" s="928"/>
      <c r="R12" s="928"/>
      <c r="S12" s="928"/>
      <c r="T12" s="928"/>
      <c r="U12" s="928"/>
      <c r="V12" s="928"/>
      <c r="W12" s="928"/>
      <c r="X12" s="992"/>
    </row>
    <row r="13" spans="1:24" ht="24" customHeight="1" thickBot="1">
      <c r="A13" s="885"/>
      <c r="B13" s="869"/>
      <c r="C13" s="999"/>
      <c r="D13" s="930" t="s">
        <v>87</v>
      </c>
      <c r="E13" s="931"/>
      <c r="F13" s="931"/>
      <c r="G13" s="931"/>
      <c r="H13" s="931"/>
      <c r="I13" s="931"/>
      <c r="J13" s="931"/>
      <c r="K13" s="931"/>
      <c r="L13" s="931"/>
      <c r="M13" s="931"/>
      <c r="N13" s="931"/>
      <c r="O13" s="931"/>
      <c r="P13" s="931"/>
      <c r="Q13" s="931"/>
      <c r="R13" s="931"/>
      <c r="S13" s="931"/>
      <c r="T13" s="931"/>
      <c r="U13" s="931"/>
      <c r="V13" s="931"/>
      <c r="W13" s="932"/>
      <c r="X13" s="992"/>
    </row>
    <row r="14" spans="1:24" ht="13.5" thickBot="1">
      <c r="A14" s="885"/>
      <c r="B14" s="11" t="s">
        <v>53</v>
      </c>
      <c r="C14" s="12"/>
      <c r="D14" s="927" t="s">
        <v>79</v>
      </c>
      <c r="E14" s="928"/>
      <c r="F14" s="928"/>
      <c r="G14" s="929"/>
      <c r="H14" s="927" t="s">
        <v>80</v>
      </c>
      <c r="I14" s="928"/>
      <c r="J14" s="928"/>
      <c r="K14" s="929"/>
      <c r="L14" s="927" t="s">
        <v>81</v>
      </c>
      <c r="M14" s="928"/>
      <c r="N14" s="928"/>
      <c r="O14" s="929"/>
      <c r="P14" s="927" t="s">
        <v>254</v>
      </c>
      <c r="Q14" s="928"/>
      <c r="R14" s="928"/>
      <c r="S14" s="929"/>
      <c r="T14" s="927" t="s">
        <v>76</v>
      </c>
      <c r="U14" s="928"/>
      <c r="V14" s="928"/>
      <c r="W14" s="929"/>
      <c r="X14" s="992"/>
    </row>
    <row r="15" spans="1:24" ht="13.5" thickBot="1">
      <c r="A15" s="885"/>
      <c r="B15" s="868" t="s">
        <v>44</v>
      </c>
      <c r="C15" s="9" t="s">
        <v>2</v>
      </c>
      <c r="D15" s="930" t="s">
        <v>83</v>
      </c>
      <c r="E15" s="931"/>
      <c r="F15" s="931"/>
      <c r="G15" s="931"/>
      <c r="H15" s="931"/>
      <c r="I15" s="931"/>
      <c r="J15" s="931"/>
      <c r="K15" s="931"/>
      <c r="L15" s="931"/>
      <c r="M15" s="931"/>
      <c r="N15" s="931"/>
      <c r="O15" s="931"/>
      <c r="P15" s="931"/>
      <c r="Q15" s="931"/>
      <c r="R15" s="931"/>
      <c r="S15" s="931"/>
      <c r="T15" s="931"/>
      <c r="U15" s="931"/>
      <c r="V15" s="931"/>
      <c r="W15" s="932"/>
      <c r="X15" s="992"/>
    </row>
    <row r="16" spans="1:24" ht="13.5" thickBot="1">
      <c r="A16" s="885"/>
      <c r="B16" s="885"/>
      <c r="C16" s="10" t="s">
        <v>3</v>
      </c>
      <c r="D16" s="986"/>
      <c r="E16" s="987"/>
      <c r="F16" s="987"/>
      <c r="G16" s="987"/>
      <c r="H16" s="987"/>
      <c r="I16" s="987"/>
      <c r="J16" s="987"/>
      <c r="K16" s="987"/>
      <c r="L16" s="987"/>
      <c r="M16" s="987"/>
      <c r="N16" s="987"/>
      <c r="O16" s="987"/>
      <c r="P16" s="987"/>
      <c r="Q16" s="987"/>
      <c r="R16" s="987"/>
      <c r="S16" s="987"/>
      <c r="T16" s="987"/>
      <c r="U16" s="987"/>
      <c r="V16" s="987"/>
      <c r="W16" s="988"/>
      <c r="X16" s="992"/>
    </row>
    <row r="17" spans="1:24" ht="13.5" thickBot="1">
      <c r="A17" s="885"/>
      <c r="B17" s="885"/>
      <c r="C17" s="998" t="s">
        <v>413</v>
      </c>
      <c r="D17" s="989" t="s">
        <v>4</v>
      </c>
      <c r="E17" s="990"/>
      <c r="F17" s="990"/>
      <c r="G17" s="990"/>
      <c r="H17" s="990"/>
      <c r="I17" s="990"/>
      <c r="J17" s="990"/>
      <c r="K17" s="990"/>
      <c r="L17" s="990"/>
      <c r="M17" s="990"/>
      <c r="N17" s="990"/>
      <c r="O17" s="990"/>
      <c r="P17" s="990"/>
      <c r="Q17" s="990"/>
      <c r="R17" s="990"/>
      <c r="S17" s="990"/>
      <c r="T17" s="990"/>
      <c r="U17" s="990"/>
      <c r="V17" s="990"/>
      <c r="W17" s="990"/>
      <c r="X17" s="992"/>
    </row>
    <row r="18" spans="1:24" ht="13.5" thickBot="1">
      <c r="A18" s="869"/>
      <c r="B18" s="869"/>
      <c r="C18" s="999"/>
      <c r="D18" s="930" t="s">
        <v>84</v>
      </c>
      <c r="E18" s="931"/>
      <c r="F18" s="931"/>
      <c r="G18" s="931"/>
      <c r="H18" s="931"/>
      <c r="I18" s="931"/>
      <c r="J18" s="931"/>
      <c r="K18" s="931"/>
      <c r="L18" s="931"/>
      <c r="M18" s="931"/>
      <c r="N18" s="931"/>
      <c r="O18" s="931"/>
      <c r="P18" s="931"/>
      <c r="Q18" s="931"/>
      <c r="R18" s="931"/>
      <c r="S18" s="931"/>
      <c r="T18" s="931"/>
      <c r="U18" s="931"/>
      <c r="V18" s="931"/>
      <c r="W18" s="932"/>
      <c r="X18" s="993"/>
    </row>
    <row r="19" spans="1:24">
      <c r="A19" s="5"/>
      <c r="B19" s="5"/>
      <c r="C19" s="14"/>
      <c r="D19" s="5"/>
      <c r="E19" s="5"/>
      <c r="F19" s="5"/>
      <c r="G19" s="5"/>
      <c r="H19" s="5"/>
      <c r="I19" s="5"/>
      <c r="J19" s="5"/>
      <c r="K19" s="5"/>
      <c r="L19" s="5"/>
      <c r="M19" s="5"/>
      <c r="N19" s="5"/>
      <c r="O19" s="5"/>
      <c r="P19" s="5"/>
      <c r="Q19" s="5"/>
      <c r="R19" s="5"/>
      <c r="S19" s="5"/>
      <c r="T19" s="5"/>
      <c r="U19" s="5"/>
      <c r="V19" s="5"/>
      <c r="W19" s="5"/>
      <c r="X19" s="5"/>
    </row>
    <row r="20" spans="1:24" ht="13.5" thickBot="1">
      <c r="A20" s="5"/>
      <c r="B20" s="5"/>
      <c r="C20" s="6"/>
      <c r="D20" s="5"/>
      <c r="E20" s="5"/>
      <c r="F20" s="5"/>
      <c r="G20" s="5"/>
      <c r="H20" s="5"/>
      <c r="I20" s="5"/>
      <c r="J20" s="5"/>
      <c r="K20" s="5"/>
      <c r="L20" s="5"/>
      <c r="M20" s="5"/>
      <c r="N20" s="5"/>
      <c r="O20" s="5"/>
      <c r="P20" s="5"/>
      <c r="Q20" s="5"/>
      <c r="R20" s="5"/>
      <c r="S20" s="5"/>
      <c r="T20" s="5"/>
      <c r="U20" s="5"/>
      <c r="V20" s="5"/>
      <c r="W20" s="5"/>
      <c r="X20" s="5"/>
    </row>
    <row r="21" spans="1:24" ht="13.5" thickBot="1">
      <c r="A21" s="15" t="s">
        <v>1</v>
      </c>
      <c r="B21" s="97" t="s">
        <v>24</v>
      </c>
      <c r="C21" s="8"/>
      <c r="D21" s="927" t="s">
        <v>78</v>
      </c>
      <c r="E21" s="928"/>
      <c r="F21" s="928"/>
      <c r="G21" s="929"/>
      <c r="H21" s="927" t="s">
        <v>77</v>
      </c>
      <c r="I21" s="928"/>
      <c r="J21" s="928"/>
      <c r="K21" s="929"/>
      <c r="L21" s="927" t="s">
        <v>81</v>
      </c>
      <c r="M21" s="928"/>
      <c r="N21" s="928"/>
      <c r="O21" s="929"/>
      <c r="P21" s="927" t="s">
        <v>254</v>
      </c>
      <c r="Q21" s="928"/>
      <c r="R21" s="928"/>
      <c r="S21" s="929"/>
      <c r="T21" s="927" t="s">
        <v>76</v>
      </c>
      <c r="U21" s="928"/>
      <c r="V21" s="928"/>
      <c r="W21" s="929"/>
      <c r="X21" s="16" t="s">
        <v>6</v>
      </c>
    </row>
    <row r="22" spans="1:24" ht="13.5" thickBot="1">
      <c r="A22" s="868" t="s">
        <v>47</v>
      </c>
      <c r="B22" s="868" t="s">
        <v>48</v>
      </c>
      <c r="C22" s="9" t="s">
        <v>235</v>
      </c>
      <c r="D22" s="1014">
        <v>2.1</v>
      </c>
      <c r="E22" s="1015"/>
      <c r="F22" s="1015"/>
      <c r="G22" s="1016"/>
      <c r="H22" s="1014">
        <v>2.1</v>
      </c>
      <c r="I22" s="1015"/>
      <c r="J22" s="1015"/>
      <c r="K22" s="1016"/>
      <c r="L22" s="1014">
        <v>2.7</v>
      </c>
      <c r="M22" s="1015"/>
      <c r="N22" s="1015"/>
      <c r="O22" s="1016"/>
      <c r="P22" s="1014">
        <v>3.1</v>
      </c>
      <c r="Q22" s="1015"/>
      <c r="R22" s="1015"/>
      <c r="S22" s="1016"/>
      <c r="T22" s="1014">
        <v>3.1</v>
      </c>
      <c r="U22" s="1015"/>
      <c r="V22" s="1015"/>
      <c r="W22" s="1016"/>
      <c r="X22" s="873" t="s">
        <v>96</v>
      </c>
    </row>
    <row r="23" spans="1:24" ht="13.5" thickBot="1">
      <c r="A23" s="885"/>
      <c r="B23" s="885"/>
      <c r="C23" s="9" t="s">
        <v>233</v>
      </c>
      <c r="D23" s="1048" t="s">
        <v>414</v>
      </c>
      <c r="E23" s="1049"/>
      <c r="F23" s="1049"/>
      <c r="G23" s="1050"/>
      <c r="H23" s="1014">
        <v>2.2999999999999998</v>
      </c>
      <c r="I23" s="1015"/>
      <c r="J23" s="1015"/>
      <c r="K23" s="1016"/>
      <c r="L23" s="1014">
        <v>2.2999999999999998</v>
      </c>
      <c r="M23" s="1015"/>
      <c r="N23" s="1015"/>
      <c r="O23" s="1016"/>
      <c r="P23" s="1014">
        <v>2.5</v>
      </c>
      <c r="Q23" s="1015"/>
      <c r="R23" s="1015"/>
      <c r="S23" s="1016"/>
      <c r="T23" s="1014">
        <v>2.7</v>
      </c>
      <c r="U23" s="1015"/>
      <c r="V23" s="1015"/>
      <c r="W23" s="1016"/>
      <c r="X23" s="874"/>
    </row>
    <row r="24" spans="1:24" ht="13.5" thickBot="1">
      <c r="A24" s="885"/>
      <c r="B24" s="885"/>
      <c r="C24" s="9" t="s">
        <v>234</v>
      </c>
      <c r="D24" s="957"/>
      <c r="E24" s="958"/>
      <c r="F24" s="958"/>
      <c r="G24" s="959"/>
      <c r="H24" s="1048" t="s">
        <v>256</v>
      </c>
      <c r="I24" s="1049"/>
      <c r="J24" s="1049"/>
      <c r="K24" s="1050"/>
      <c r="L24" s="1023">
        <v>2.5</v>
      </c>
      <c r="M24" s="1024"/>
      <c r="N24" s="1024"/>
      <c r="O24" s="1025"/>
      <c r="P24" s="1023">
        <v>2.6</v>
      </c>
      <c r="Q24" s="1024"/>
      <c r="R24" s="1024"/>
      <c r="S24" s="1025"/>
      <c r="T24" s="1023">
        <v>2.75</v>
      </c>
      <c r="U24" s="1024"/>
      <c r="V24" s="1024"/>
      <c r="W24" s="1025"/>
      <c r="X24" s="874"/>
    </row>
    <row r="25" spans="1:24" ht="13.5" thickBot="1">
      <c r="A25" s="885"/>
      <c r="B25" s="885"/>
      <c r="C25" s="102" t="s">
        <v>236</v>
      </c>
      <c r="D25" s="1045" t="s">
        <v>415</v>
      </c>
      <c r="E25" s="1046"/>
      <c r="F25" s="1046"/>
      <c r="G25" s="1047"/>
      <c r="H25" s="1020">
        <v>2.66</v>
      </c>
      <c r="I25" s="1021"/>
      <c r="J25" s="1021"/>
      <c r="K25" s="1022"/>
      <c r="L25" s="1020">
        <v>2.8</v>
      </c>
      <c r="M25" s="1021"/>
      <c r="N25" s="1021"/>
      <c r="O25" s="1022"/>
      <c r="P25" s="1020">
        <v>0</v>
      </c>
      <c r="Q25" s="1021"/>
      <c r="R25" s="1021"/>
      <c r="S25" s="1022"/>
      <c r="T25" s="1020">
        <v>0</v>
      </c>
      <c r="U25" s="1021"/>
      <c r="V25" s="1021"/>
      <c r="W25" s="1022"/>
      <c r="X25" s="874"/>
    </row>
    <row r="26" spans="1:24" ht="13.5" thickBot="1">
      <c r="A26" s="885"/>
      <c r="B26" s="885"/>
      <c r="C26" s="102" t="s">
        <v>283</v>
      </c>
      <c r="D26" s="1017"/>
      <c r="E26" s="1018"/>
      <c r="F26" s="1018"/>
      <c r="G26" s="1019"/>
      <c r="H26" s="1017"/>
      <c r="I26" s="1018"/>
      <c r="J26" s="1018"/>
      <c r="K26" s="1019"/>
      <c r="L26" s="1020">
        <v>2.2999999999999998</v>
      </c>
      <c r="M26" s="1021"/>
      <c r="N26" s="1021"/>
      <c r="O26" s="1022"/>
      <c r="P26" s="1020">
        <v>0</v>
      </c>
      <c r="Q26" s="1021"/>
      <c r="R26" s="1021"/>
      <c r="S26" s="1022"/>
      <c r="T26" s="1020">
        <v>0</v>
      </c>
      <c r="U26" s="1021"/>
      <c r="V26" s="1021"/>
      <c r="W26" s="1022"/>
      <c r="X26" s="874"/>
    </row>
    <row r="27" spans="1:24" ht="13.5" thickBot="1">
      <c r="A27" s="885"/>
      <c r="B27" s="885"/>
      <c r="C27" s="102" t="s">
        <v>284</v>
      </c>
      <c r="D27" s="1017"/>
      <c r="E27" s="1018"/>
      <c r="F27" s="1018"/>
      <c r="G27" s="1019"/>
      <c r="H27" s="1017"/>
      <c r="I27" s="1018"/>
      <c r="J27" s="1018"/>
      <c r="K27" s="1019"/>
      <c r="L27" s="1017"/>
      <c r="M27" s="1018"/>
      <c r="N27" s="1018"/>
      <c r="O27" s="1019"/>
      <c r="P27" s="1020">
        <v>0</v>
      </c>
      <c r="Q27" s="1021"/>
      <c r="R27" s="1021"/>
      <c r="S27" s="1022"/>
      <c r="T27" s="1020">
        <v>0</v>
      </c>
      <c r="U27" s="1021"/>
      <c r="V27" s="1021"/>
      <c r="W27" s="1022"/>
      <c r="X27" s="874"/>
    </row>
    <row r="28" spans="1:24" ht="13.5" thickBot="1">
      <c r="A28" s="885"/>
      <c r="B28" s="885"/>
      <c r="C28" s="998" t="s">
        <v>413</v>
      </c>
      <c r="D28" s="927" t="s">
        <v>4</v>
      </c>
      <c r="E28" s="928"/>
      <c r="F28" s="928"/>
      <c r="G28" s="928"/>
      <c r="H28" s="928"/>
      <c r="I28" s="928"/>
      <c r="J28" s="928"/>
      <c r="K28" s="928"/>
      <c r="L28" s="928"/>
      <c r="M28" s="928"/>
      <c r="N28" s="928"/>
      <c r="O28" s="928"/>
      <c r="P28" s="928"/>
      <c r="Q28" s="928"/>
      <c r="R28" s="928"/>
      <c r="S28" s="928"/>
      <c r="T28" s="928"/>
      <c r="U28" s="928"/>
      <c r="V28" s="928"/>
      <c r="W28" s="928"/>
      <c r="X28" s="874"/>
    </row>
    <row r="29" spans="1:24" ht="13.5" thickBot="1">
      <c r="A29" s="885"/>
      <c r="B29" s="869"/>
      <c r="C29" s="999"/>
      <c r="D29" s="930" t="s">
        <v>115</v>
      </c>
      <c r="E29" s="931"/>
      <c r="F29" s="931"/>
      <c r="G29" s="931"/>
      <c r="H29" s="931"/>
      <c r="I29" s="931"/>
      <c r="J29" s="931"/>
      <c r="K29" s="931"/>
      <c r="L29" s="931"/>
      <c r="M29" s="931"/>
      <c r="N29" s="931"/>
      <c r="O29" s="931"/>
      <c r="P29" s="931"/>
      <c r="Q29" s="931"/>
      <c r="R29" s="931"/>
      <c r="S29" s="931"/>
      <c r="T29" s="931"/>
      <c r="U29" s="931"/>
      <c r="V29" s="931"/>
      <c r="W29" s="932"/>
      <c r="X29" s="874"/>
    </row>
    <row r="30" spans="1:24" ht="13.5" thickBot="1">
      <c r="A30" s="885"/>
      <c r="B30" s="11" t="s">
        <v>25</v>
      </c>
      <c r="C30" s="12"/>
      <c r="D30" s="927" t="s">
        <v>78</v>
      </c>
      <c r="E30" s="928"/>
      <c r="F30" s="928"/>
      <c r="G30" s="929"/>
      <c r="H30" s="927" t="s">
        <v>77</v>
      </c>
      <c r="I30" s="928"/>
      <c r="J30" s="928"/>
      <c r="K30" s="929"/>
      <c r="L30" s="927" t="s">
        <v>81</v>
      </c>
      <c r="M30" s="928"/>
      <c r="N30" s="928"/>
      <c r="O30" s="929"/>
      <c r="P30" s="927" t="s">
        <v>254</v>
      </c>
      <c r="Q30" s="928"/>
      <c r="R30" s="928"/>
      <c r="S30" s="929"/>
      <c r="T30" s="927" t="s">
        <v>76</v>
      </c>
      <c r="U30" s="928"/>
      <c r="V30" s="928"/>
      <c r="W30" s="929"/>
      <c r="X30" s="874"/>
    </row>
    <row r="31" spans="1:24" ht="13.5" thickBot="1">
      <c r="A31" s="885"/>
      <c r="B31" s="868" t="s">
        <v>49</v>
      </c>
      <c r="C31" s="9" t="s">
        <v>235</v>
      </c>
      <c r="D31" s="1014">
        <v>1</v>
      </c>
      <c r="E31" s="1015"/>
      <c r="F31" s="1015"/>
      <c r="G31" s="1016"/>
      <c r="H31" s="1014">
        <v>1</v>
      </c>
      <c r="I31" s="1015"/>
      <c r="J31" s="1015"/>
      <c r="K31" s="1016"/>
      <c r="L31" s="1014">
        <v>1.45</v>
      </c>
      <c r="M31" s="1015"/>
      <c r="N31" s="1015"/>
      <c r="O31" s="1016"/>
      <c r="P31" s="1014">
        <v>1.8</v>
      </c>
      <c r="Q31" s="1015"/>
      <c r="R31" s="1015"/>
      <c r="S31" s="1016"/>
      <c r="T31" s="1014">
        <v>2.25</v>
      </c>
      <c r="U31" s="1015"/>
      <c r="V31" s="1015"/>
      <c r="W31" s="1016"/>
      <c r="X31" s="874"/>
    </row>
    <row r="32" spans="1:24" ht="13.5" thickBot="1">
      <c r="A32" s="885"/>
      <c r="B32" s="885"/>
      <c r="C32" s="9" t="s">
        <v>233</v>
      </c>
      <c r="D32" s="1048" t="s">
        <v>414</v>
      </c>
      <c r="E32" s="1049"/>
      <c r="F32" s="1049"/>
      <c r="G32" s="1050"/>
      <c r="H32" s="1014">
        <v>1</v>
      </c>
      <c r="I32" s="1015"/>
      <c r="J32" s="1015"/>
      <c r="K32" s="1016"/>
      <c r="L32" s="1014">
        <v>1</v>
      </c>
      <c r="M32" s="1015"/>
      <c r="N32" s="1015"/>
      <c r="O32" s="1016"/>
      <c r="P32" s="1014">
        <v>1.2</v>
      </c>
      <c r="Q32" s="1015"/>
      <c r="R32" s="1015"/>
      <c r="S32" s="1016"/>
      <c r="T32" s="1014">
        <v>1.4</v>
      </c>
      <c r="U32" s="1015"/>
      <c r="V32" s="1015"/>
      <c r="W32" s="1016"/>
      <c r="X32" s="874"/>
    </row>
    <row r="33" spans="1:24" ht="13.5" thickBot="1">
      <c r="A33" s="885"/>
      <c r="B33" s="885"/>
      <c r="C33" s="9" t="s">
        <v>234</v>
      </c>
      <c r="D33" s="957"/>
      <c r="E33" s="958"/>
      <c r="F33" s="958"/>
      <c r="G33" s="959"/>
      <c r="H33" s="1048" t="s">
        <v>256</v>
      </c>
      <c r="I33" s="1049"/>
      <c r="J33" s="1049"/>
      <c r="K33" s="1050"/>
      <c r="L33" s="1023">
        <v>1</v>
      </c>
      <c r="M33" s="1024"/>
      <c r="N33" s="1024"/>
      <c r="O33" s="1025"/>
      <c r="P33" s="1023">
        <v>1</v>
      </c>
      <c r="Q33" s="1024"/>
      <c r="R33" s="1024"/>
      <c r="S33" s="1025"/>
      <c r="T33" s="1023">
        <v>1.25</v>
      </c>
      <c r="U33" s="1024"/>
      <c r="V33" s="1024"/>
      <c r="W33" s="1025"/>
      <c r="X33" s="874"/>
    </row>
    <row r="34" spans="1:24" ht="13.5" thickBot="1">
      <c r="A34" s="885"/>
      <c r="B34" s="885"/>
      <c r="C34" s="102" t="s">
        <v>236</v>
      </c>
      <c r="D34" s="1008" t="s">
        <v>416</v>
      </c>
      <c r="E34" s="1009"/>
      <c r="F34" s="1009"/>
      <c r="G34" s="1010"/>
      <c r="H34" s="1020">
        <v>1.6</v>
      </c>
      <c r="I34" s="1021"/>
      <c r="J34" s="1021"/>
      <c r="K34" s="1022"/>
      <c r="L34" s="1020">
        <v>2.2000000000000002</v>
      </c>
      <c r="M34" s="1021"/>
      <c r="N34" s="1021"/>
      <c r="O34" s="1022"/>
      <c r="P34" s="1020">
        <v>0</v>
      </c>
      <c r="Q34" s="1021"/>
      <c r="R34" s="1021"/>
      <c r="S34" s="1022"/>
      <c r="T34" s="1020">
        <v>0</v>
      </c>
      <c r="U34" s="1021"/>
      <c r="V34" s="1021"/>
      <c r="W34" s="1022"/>
      <c r="X34" s="874"/>
    </row>
    <row r="35" spans="1:24" ht="13.5" thickBot="1">
      <c r="A35" s="885"/>
      <c r="B35" s="885"/>
      <c r="C35" s="102" t="s">
        <v>283</v>
      </c>
      <c r="D35" s="1017"/>
      <c r="E35" s="1018"/>
      <c r="F35" s="1018"/>
      <c r="G35" s="1019"/>
      <c r="H35" s="1017"/>
      <c r="I35" s="1018"/>
      <c r="J35" s="1018"/>
      <c r="K35" s="1019"/>
      <c r="L35" s="1020">
        <v>1</v>
      </c>
      <c r="M35" s="1021"/>
      <c r="N35" s="1021"/>
      <c r="O35" s="1022"/>
      <c r="P35" s="1020">
        <v>0</v>
      </c>
      <c r="Q35" s="1021"/>
      <c r="R35" s="1021"/>
      <c r="S35" s="1022"/>
      <c r="T35" s="1020">
        <v>0</v>
      </c>
      <c r="U35" s="1021"/>
      <c r="V35" s="1021"/>
      <c r="W35" s="1022"/>
      <c r="X35" s="874"/>
    </row>
    <row r="36" spans="1:24" ht="13.5" thickBot="1">
      <c r="A36" s="885"/>
      <c r="B36" s="885"/>
      <c r="C36" s="102" t="s">
        <v>284</v>
      </c>
      <c r="D36" s="1017"/>
      <c r="E36" s="1018"/>
      <c r="F36" s="1018"/>
      <c r="G36" s="1019"/>
      <c r="H36" s="1017"/>
      <c r="I36" s="1018"/>
      <c r="J36" s="1018"/>
      <c r="K36" s="1019"/>
      <c r="L36" s="1017"/>
      <c r="M36" s="1018"/>
      <c r="N36" s="1018"/>
      <c r="O36" s="1019"/>
      <c r="P36" s="1020">
        <v>0</v>
      </c>
      <c r="Q36" s="1021"/>
      <c r="R36" s="1021"/>
      <c r="S36" s="1022"/>
      <c r="T36" s="1020">
        <v>0</v>
      </c>
      <c r="U36" s="1021"/>
      <c r="V36" s="1021"/>
      <c r="W36" s="1022"/>
      <c r="X36" s="874"/>
    </row>
    <row r="37" spans="1:24" ht="13.5" thickBot="1">
      <c r="A37" s="885"/>
      <c r="B37" s="885"/>
      <c r="C37" s="998" t="s">
        <v>413</v>
      </c>
      <c r="D37" s="927" t="s">
        <v>4</v>
      </c>
      <c r="E37" s="928"/>
      <c r="F37" s="928"/>
      <c r="G37" s="928"/>
      <c r="H37" s="928"/>
      <c r="I37" s="928"/>
      <c r="J37" s="928"/>
      <c r="K37" s="928"/>
      <c r="L37" s="928"/>
      <c r="M37" s="928"/>
      <c r="N37" s="928"/>
      <c r="O37" s="928"/>
      <c r="P37" s="928"/>
      <c r="Q37" s="928"/>
      <c r="R37" s="928"/>
      <c r="S37" s="928"/>
      <c r="T37" s="928"/>
      <c r="U37" s="928"/>
      <c r="V37" s="928"/>
      <c r="W37" s="928"/>
      <c r="X37" s="874"/>
    </row>
    <row r="38" spans="1:24" ht="13.5" thickBot="1">
      <c r="A38" s="885"/>
      <c r="B38" s="869"/>
      <c r="C38" s="999"/>
      <c r="D38" s="930" t="s">
        <v>116</v>
      </c>
      <c r="E38" s="931"/>
      <c r="F38" s="931"/>
      <c r="G38" s="931"/>
      <c r="H38" s="931"/>
      <c r="I38" s="931"/>
      <c r="J38" s="931"/>
      <c r="K38" s="931"/>
      <c r="L38" s="931"/>
      <c r="M38" s="931"/>
      <c r="N38" s="931"/>
      <c r="O38" s="931"/>
      <c r="P38" s="931"/>
      <c r="Q38" s="931"/>
      <c r="R38" s="931"/>
      <c r="S38" s="931"/>
      <c r="T38" s="931"/>
      <c r="U38" s="931"/>
      <c r="V38" s="931"/>
      <c r="W38" s="932"/>
      <c r="X38" s="874"/>
    </row>
    <row r="39" spans="1:24" ht="13.5" thickBot="1">
      <c r="A39" s="885"/>
      <c r="B39" s="11" t="s">
        <v>37</v>
      </c>
      <c r="C39" s="12"/>
      <c r="D39" s="927" t="s">
        <v>78</v>
      </c>
      <c r="E39" s="928"/>
      <c r="F39" s="928"/>
      <c r="G39" s="929"/>
      <c r="H39" s="927" t="s">
        <v>77</v>
      </c>
      <c r="I39" s="928"/>
      <c r="J39" s="928"/>
      <c r="K39" s="929"/>
      <c r="L39" s="927" t="s">
        <v>81</v>
      </c>
      <c r="M39" s="928"/>
      <c r="N39" s="928"/>
      <c r="O39" s="929"/>
      <c r="P39" s="927" t="s">
        <v>254</v>
      </c>
      <c r="Q39" s="928"/>
      <c r="R39" s="928"/>
      <c r="S39" s="929"/>
      <c r="T39" s="927" t="s">
        <v>76</v>
      </c>
      <c r="U39" s="928"/>
      <c r="V39" s="928"/>
      <c r="W39" s="929"/>
      <c r="X39" s="874"/>
    </row>
    <row r="40" spans="1:24" ht="33" customHeight="1" thickBot="1">
      <c r="A40" s="971"/>
      <c r="B40" s="868" t="s">
        <v>148</v>
      </c>
      <c r="C40" s="91"/>
      <c r="D40" s="17" t="s">
        <v>106</v>
      </c>
      <c r="E40" s="17" t="s">
        <v>107</v>
      </c>
      <c r="F40" s="17" t="s">
        <v>108</v>
      </c>
      <c r="G40" s="17" t="s">
        <v>109</v>
      </c>
      <c r="H40" s="17" t="s">
        <v>106</v>
      </c>
      <c r="I40" s="17" t="s">
        <v>107</v>
      </c>
      <c r="J40" s="17" t="s">
        <v>108</v>
      </c>
      <c r="K40" s="17" t="s">
        <v>109</v>
      </c>
      <c r="L40" s="17" t="s">
        <v>106</v>
      </c>
      <c r="M40" s="17" t="s">
        <v>107</v>
      </c>
      <c r="N40" s="17" t="s">
        <v>108</v>
      </c>
      <c r="O40" s="17" t="s">
        <v>109</v>
      </c>
      <c r="P40" s="17" t="s">
        <v>106</v>
      </c>
      <c r="Q40" s="17" t="s">
        <v>107</v>
      </c>
      <c r="R40" s="17" t="s">
        <v>108</v>
      </c>
      <c r="S40" s="17" t="s">
        <v>109</v>
      </c>
      <c r="T40" s="17" t="s">
        <v>106</v>
      </c>
      <c r="U40" s="17" t="s">
        <v>107</v>
      </c>
      <c r="V40" s="17" t="s">
        <v>108</v>
      </c>
      <c r="W40" s="17" t="s">
        <v>109</v>
      </c>
      <c r="X40" s="874"/>
    </row>
    <row r="41" spans="1:24" ht="13.5" thickBot="1">
      <c r="A41" s="971"/>
      <c r="B41" s="885"/>
      <c r="C41" s="91" t="s">
        <v>235</v>
      </c>
      <c r="D41" s="113">
        <v>2.6</v>
      </c>
      <c r="E41" s="113">
        <v>3</v>
      </c>
      <c r="F41" s="113">
        <v>0.2</v>
      </c>
      <c r="G41" s="113">
        <v>6</v>
      </c>
      <c r="H41" s="113">
        <v>6.6</v>
      </c>
      <c r="I41" s="113">
        <v>8</v>
      </c>
      <c r="J41" s="113">
        <v>0.6</v>
      </c>
      <c r="K41" s="113">
        <v>10.199999999999999</v>
      </c>
      <c r="L41" s="113">
        <v>6</v>
      </c>
      <c r="M41" s="113">
        <v>9.1999999999999993</v>
      </c>
      <c r="N41" s="113">
        <v>2.6</v>
      </c>
      <c r="O41" s="113">
        <v>12.2</v>
      </c>
      <c r="P41" s="113">
        <v>8.1999999999999993</v>
      </c>
      <c r="Q41" s="113">
        <v>11</v>
      </c>
      <c r="R41" s="113">
        <v>3.8</v>
      </c>
      <c r="S41" s="113">
        <v>12.6</v>
      </c>
      <c r="T41" s="113">
        <v>12</v>
      </c>
      <c r="U41" s="113">
        <v>13.2</v>
      </c>
      <c r="V41" s="113">
        <v>7</v>
      </c>
      <c r="W41" s="113">
        <v>14.9</v>
      </c>
      <c r="X41" s="874"/>
    </row>
    <row r="42" spans="1:24" ht="13.5" thickBot="1">
      <c r="A42" s="971"/>
      <c r="B42" s="93" t="s">
        <v>145</v>
      </c>
      <c r="C42" s="91" t="s">
        <v>233</v>
      </c>
      <c r="D42" s="1051" t="s">
        <v>414</v>
      </c>
      <c r="E42" s="1052"/>
      <c r="F42" s="1052"/>
      <c r="G42" s="1053"/>
      <c r="H42" s="113">
        <v>0</v>
      </c>
      <c r="I42" s="113">
        <v>0</v>
      </c>
      <c r="J42" s="113">
        <v>0</v>
      </c>
      <c r="K42" s="113">
        <v>14</v>
      </c>
      <c r="L42" s="113">
        <v>0</v>
      </c>
      <c r="M42" s="113">
        <v>1</v>
      </c>
      <c r="N42" s="113">
        <v>0</v>
      </c>
      <c r="O42" s="113">
        <v>14</v>
      </c>
      <c r="P42" s="113">
        <v>2.2999999999999998</v>
      </c>
      <c r="Q42" s="113">
        <v>2.2999999999999998</v>
      </c>
      <c r="R42" s="113">
        <v>2</v>
      </c>
      <c r="S42" s="113">
        <v>14.7</v>
      </c>
      <c r="T42" s="113">
        <v>6</v>
      </c>
      <c r="U42" s="113">
        <v>6</v>
      </c>
      <c r="V42" s="113">
        <v>3.3</v>
      </c>
      <c r="W42" s="113">
        <v>14.7</v>
      </c>
      <c r="X42" s="874"/>
    </row>
    <row r="43" spans="1:24" ht="13.5" thickBot="1">
      <c r="A43" s="971"/>
      <c r="B43" s="93" t="s">
        <v>147</v>
      </c>
      <c r="C43" s="91" t="s">
        <v>234</v>
      </c>
      <c r="D43" s="945"/>
      <c r="E43" s="946"/>
      <c r="F43" s="946"/>
      <c r="G43" s="947"/>
      <c r="H43" s="1051" t="s">
        <v>256</v>
      </c>
      <c r="I43" s="1052"/>
      <c r="J43" s="1052"/>
      <c r="K43" s="1053"/>
      <c r="L43" s="114" t="s">
        <v>423</v>
      </c>
      <c r="M43" s="114" t="s">
        <v>423</v>
      </c>
      <c r="N43" s="114" t="s">
        <v>423</v>
      </c>
      <c r="O43" s="114" t="s">
        <v>423</v>
      </c>
      <c r="P43" s="114" t="s">
        <v>423</v>
      </c>
      <c r="Q43" s="114" t="s">
        <v>423</v>
      </c>
      <c r="R43" s="114" t="s">
        <v>423</v>
      </c>
      <c r="S43" s="114" t="s">
        <v>423</v>
      </c>
      <c r="T43" s="114" t="s">
        <v>423</v>
      </c>
      <c r="U43" s="114" t="s">
        <v>423</v>
      </c>
      <c r="V43" s="114" t="s">
        <v>423</v>
      </c>
      <c r="W43" s="114" t="s">
        <v>423</v>
      </c>
      <c r="X43" s="874"/>
    </row>
    <row r="44" spans="1:24" ht="13.5" thickBot="1">
      <c r="A44" s="971"/>
      <c r="B44" s="93" t="s">
        <v>146</v>
      </c>
      <c r="C44" s="103" t="s">
        <v>236</v>
      </c>
      <c r="D44" s="1042" t="s">
        <v>416</v>
      </c>
      <c r="E44" s="1043"/>
      <c r="F44" s="1043"/>
      <c r="G44" s="1044"/>
      <c r="H44" s="117">
        <v>8.1999999999999993</v>
      </c>
      <c r="I44" s="117">
        <v>8</v>
      </c>
      <c r="J44" s="117">
        <v>3.8</v>
      </c>
      <c r="K44" s="117">
        <v>12</v>
      </c>
      <c r="L44" s="117">
        <v>6</v>
      </c>
      <c r="M44" s="117">
        <v>9</v>
      </c>
      <c r="N44" s="117">
        <v>2</v>
      </c>
      <c r="O44" s="117">
        <v>14</v>
      </c>
      <c r="P44" s="117">
        <v>0</v>
      </c>
      <c r="Q44" s="117">
        <v>0</v>
      </c>
      <c r="R44" s="117">
        <v>0</v>
      </c>
      <c r="S44" s="117">
        <v>0</v>
      </c>
      <c r="T44" s="117">
        <v>0</v>
      </c>
      <c r="U44" s="117">
        <v>0</v>
      </c>
      <c r="V44" s="117">
        <v>0</v>
      </c>
      <c r="W44" s="117">
        <v>0</v>
      </c>
      <c r="X44" s="874"/>
    </row>
    <row r="45" spans="1:24" ht="13.5" thickBot="1">
      <c r="A45" s="971"/>
      <c r="B45" s="93"/>
      <c r="C45" s="102" t="s">
        <v>283</v>
      </c>
      <c r="D45" s="1054"/>
      <c r="E45" s="1055"/>
      <c r="F45" s="1055"/>
      <c r="G45" s="1056"/>
      <c r="H45" s="1054"/>
      <c r="I45" s="1055"/>
      <c r="J45" s="1055"/>
      <c r="K45" s="1056"/>
      <c r="L45" s="117">
        <v>0</v>
      </c>
      <c r="M45" s="117">
        <v>1</v>
      </c>
      <c r="N45" s="117">
        <v>0</v>
      </c>
      <c r="O45" s="117">
        <v>14</v>
      </c>
      <c r="P45" s="117">
        <v>0</v>
      </c>
      <c r="Q45" s="117">
        <v>0</v>
      </c>
      <c r="R45" s="117">
        <v>0</v>
      </c>
      <c r="S45" s="117">
        <v>0</v>
      </c>
      <c r="T45" s="117">
        <v>0</v>
      </c>
      <c r="U45" s="117">
        <v>0</v>
      </c>
      <c r="V45" s="117">
        <v>0</v>
      </c>
      <c r="W45" s="117">
        <v>0</v>
      </c>
      <c r="X45" s="874"/>
    </row>
    <row r="46" spans="1:24" ht="13.5" thickBot="1">
      <c r="A46" s="971"/>
      <c r="B46" s="93"/>
      <c r="C46" s="102" t="s">
        <v>284</v>
      </c>
      <c r="D46" s="1054"/>
      <c r="E46" s="1055"/>
      <c r="F46" s="1055"/>
      <c r="G46" s="1056"/>
      <c r="H46" s="1054"/>
      <c r="I46" s="1055"/>
      <c r="J46" s="1055"/>
      <c r="K46" s="1056"/>
      <c r="L46" s="1054"/>
      <c r="M46" s="1055"/>
      <c r="N46" s="1055"/>
      <c r="O46" s="1056"/>
      <c r="P46" s="117">
        <v>0</v>
      </c>
      <c r="Q46" s="117">
        <v>0</v>
      </c>
      <c r="R46" s="117">
        <v>0</v>
      </c>
      <c r="S46" s="117">
        <v>0</v>
      </c>
      <c r="T46" s="117">
        <v>0</v>
      </c>
      <c r="U46" s="117">
        <v>0</v>
      </c>
      <c r="V46" s="117">
        <v>0</v>
      </c>
      <c r="W46" s="117">
        <v>0</v>
      </c>
      <c r="X46" s="874"/>
    </row>
    <row r="47" spans="1:24" ht="13.5" thickBot="1">
      <c r="A47" s="971"/>
      <c r="B47" s="980"/>
      <c r="C47" s="998" t="s">
        <v>413</v>
      </c>
      <c r="D47" s="927" t="s">
        <v>4</v>
      </c>
      <c r="E47" s="928"/>
      <c r="F47" s="928"/>
      <c r="G47" s="928"/>
      <c r="H47" s="928"/>
      <c r="I47" s="928"/>
      <c r="J47" s="928"/>
      <c r="K47" s="928"/>
      <c r="L47" s="928"/>
      <c r="M47" s="928"/>
      <c r="N47" s="928"/>
      <c r="O47" s="928"/>
      <c r="P47" s="928"/>
      <c r="Q47" s="928"/>
      <c r="R47" s="928"/>
      <c r="S47" s="928"/>
      <c r="T47" s="928"/>
      <c r="U47" s="928"/>
      <c r="V47" s="928"/>
      <c r="W47" s="928"/>
      <c r="X47" s="874"/>
    </row>
    <row r="48" spans="1:24" ht="13.5" thickBot="1">
      <c r="A48" s="982"/>
      <c r="B48" s="981"/>
      <c r="C48" s="999"/>
      <c r="D48" s="930" t="s">
        <v>117</v>
      </c>
      <c r="E48" s="931"/>
      <c r="F48" s="931"/>
      <c r="G48" s="931"/>
      <c r="H48" s="931"/>
      <c r="I48" s="931"/>
      <c r="J48" s="931"/>
      <c r="K48" s="931"/>
      <c r="L48" s="931"/>
      <c r="M48" s="931"/>
      <c r="N48" s="931"/>
      <c r="O48" s="931"/>
      <c r="P48" s="931"/>
      <c r="Q48" s="931"/>
      <c r="R48" s="931"/>
      <c r="S48" s="931"/>
      <c r="T48" s="931"/>
      <c r="U48" s="931"/>
      <c r="V48" s="931"/>
      <c r="W48" s="932"/>
      <c r="X48" s="875"/>
    </row>
    <row r="49" spans="1:24">
      <c r="A49" s="5"/>
      <c r="B49" s="5"/>
      <c r="C49" s="14"/>
      <c r="D49" s="5"/>
      <c r="E49" s="5"/>
      <c r="F49" s="5"/>
      <c r="G49" s="5"/>
      <c r="H49" s="5"/>
      <c r="I49" s="5"/>
      <c r="J49" s="5"/>
      <c r="K49" s="5"/>
      <c r="L49" s="5"/>
      <c r="M49" s="5"/>
      <c r="N49" s="5"/>
      <c r="O49" s="5"/>
      <c r="P49" s="5"/>
      <c r="Q49" s="5"/>
      <c r="R49" s="5"/>
      <c r="S49" s="5"/>
      <c r="T49" s="5"/>
      <c r="U49" s="5"/>
      <c r="V49" s="5"/>
      <c r="W49" s="5"/>
      <c r="X49" s="5"/>
    </row>
    <row r="50" spans="1:24" ht="13.5" thickBot="1">
      <c r="A50" s="5"/>
      <c r="B50" s="5"/>
      <c r="C50" s="6"/>
      <c r="D50" s="5"/>
      <c r="E50" s="5"/>
      <c r="F50" s="5"/>
      <c r="G50" s="5"/>
      <c r="H50" s="5"/>
      <c r="I50" s="5"/>
      <c r="J50" s="5"/>
      <c r="K50" s="5"/>
      <c r="L50" s="5"/>
      <c r="M50" s="5"/>
      <c r="N50" s="5"/>
      <c r="O50" s="5"/>
      <c r="P50" s="5"/>
      <c r="Q50" s="5"/>
      <c r="R50" s="5"/>
      <c r="S50" s="5"/>
      <c r="T50" s="5"/>
      <c r="U50" s="5"/>
      <c r="V50" s="5"/>
      <c r="W50" s="5"/>
      <c r="X50" s="5"/>
    </row>
    <row r="51" spans="1:24" ht="13.5" thickBot="1">
      <c r="A51" s="7" t="s">
        <v>5</v>
      </c>
      <c r="B51" s="97" t="s">
        <v>22</v>
      </c>
      <c r="C51" s="8"/>
      <c r="D51" s="927" t="s">
        <v>78</v>
      </c>
      <c r="E51" s="928"/>
      <c r="F51" s="928"/>
      <c r="G51" s="929"/>
      <c r="H51" s="927" t="s">
        <v>77</v>
      </c>
      <c r="I51" s="928"/>
      <c r="J51" s="928"/>
      <c r="K51" s="929"/>
      <c r="L51" s="927" t="s">
        <v>81</v>
      </c>
      <c r="M51" s="928"/>
      <c r="N51" s="928"/>
      <c r="O51" s="929"/>
      <c r="P51" s="927" t="s">
        <v>254</v>
      </c>
      <c r="Q51" s="928"/>
      <c r="R51" s="928"/>
      <c r="S51" s="929"/>
      <c r="T51" s="927" t="s">
        <v>76</v>
      </c>
      <c r="U51" s="928"/>
      <c r="V51" s="928"/>
      <c r="W51" s="929"/>
      <c r="X51" s="19" t="s">
        <v>6</v>
      </c>
    </row>
    <row r="52" spans="1:24" ht="13.5" thickBot="1">
      <c r="A52" s="868" t="s">
        <v>54</v>
      </c>
      <c r="B52" s="868" t="s">
        <v>55</v>
      </c>
      <c r="C52" s="9" t="s">
        <v>235</v>
      </c>
      <c r="D52" s="1014">
        <v>2.1</v>
      </c>
      <c r="E52" s="1015"/>
      <c r="F52" s="1015"/>
      <c r="G52" s="1016"/>
      <c r="H52" s="1014">
        <v>2.2999999999999998</v>
      </c>
      <c r="I52" s="1015"/>
      <c r="J52" s="1015"/>
      <c r="K52" s="1016"/>
      <c r="L52" s="1014">
        <v>2.9</v>
      </c>
      <c r="M52" s="1015"/>
      <c r="N52" s="1015"/>
      <c r="O52" s="1016"/>
      <c r="P52" s="1014">
        <v>3.2</v>
      </c>
      <c r="Q52" s="1015"/>
      <c r="R52" s="1015"/>
      <c r="S52" s="1016"/>
      <c r="T52" s="1014">
        <v>3.6</v>
      </c>
      <c r="U52" s="1015"/>
      <c r="V52" s="1015"/>
      <c r="W52" s="1016"/>
      <c r="X52" s="879" t="s">
        <v>95</v>
      </c>
    </row>
    <row r="53" spans="1:24" ht="13.5" thickBot="1">
      <c r="A53" s="885"/>
      <c r="B53" s="885"/>
      <c r="C53" s="9" t="s">
        <v>233</v>
      </c>
      <c r="D53" s="1048" t="s">
        <v>414</v>
      </c>
      <c r="E53" s="1049"/>
      <c r="F53" s="1049"/>
      <c r="G53" s="1050"/>
      <c r="H53" s="1014">
        <v>2.2000000000000002</v>
      </c>
      <c r="I53" s="1015"/>
      <c r="J53" s="1015"/>
      <c r="K53" s="1016"/>
      <c r="L53" s="1014">
        <v>2.2000000000000002</v>
      </c>
      <c r="M53" s="1015"/>
      <c r="N53" s="1015"/>
      <c r="O53" s="1016"/>
      <c r="P53" s="1014">
        <v>2.35</v>
      </c>
      <c r="Q53" s="1015"/>
      <c r="R53" s="1015"/>
      <c r="S53" s="1016"/>
      <c r="T53" s="1014">
        <v>2.75</v>
      </c>
      <c r="U53" s="1015"/>
      <c r="V53" s="1015"/>
      <c r="W53" s="1016"/>
      <c r="X53" s="880"/>
    </row>
    <row r="54" spans="1:24" ht="13.5" thickBot="1">
      <c r="A54" s="885"/>
      <c r="B54" s="885"/>
      <c r="C54" s="9" t="s">
        <v>234</v>
      </c>
      <c r="D54" s="957"/>
      <c r="E54" s="958"/>
      <c r="F54" s="958"/>
      <c r="G54" s="959"/>
      <c r="H54" s="1048" t="s">
        <v>256</v>
      </c>
      <c r="I54" s="1049"/>
      <c r="J54" s="1049"/>
      <c r="K54" s="1050"/>
      <c r="L54" s="1023">
        <v>2.4</v>
      </c>
      <c r="M54" s="1024"/>
      <c r="N54" s="1024"/>
      <c r="O54" s="1025"/>
      <c r="P54" s="1023">
        <v>2.25</v>
      </c>
      <c r="Q54" s="1024"/>
      <c r="R54" s="1024"/>
      <c r="S54" s="1025"/>
      <c r="T54" s="1023">
        <v>2.5</v>
      </c>
      <c r="U54" s="1024"/>
      <c r="V54" s="1024"/>
      <c r="W54" s="1025"/>
      <c r="X54" s="880"/>
    </row>
    <row r="55" spans="1:24" ht="13.5" thickBot="1">
      <c r="A55" s="885"/>
      <c r="B55" s="885"/>
      <c r="C55" s="102" t="s">
        <v>236</v>
      </c>
      <c r="D55" s="1045" t="s">
        <v>415</v>
      </c>
      <c r="E55" s="1046"/>
      <c r="F55" s="1046"/>
      <c r="G55" s="1047"/>
      <c r="H55" s="1020">
        <v>2.64</v>
      </c>
      <c r="I55" s="1021"/>
      <c r="J55" s="1021"/>
      <c r="K55" s="1022"/>
      <c r="L55" s="1020">
        <v>2.9</v>
      </c>
      <c r="M55" s="1021"/>
      <c r="N55" s="1021"/>
      <c r="O55" s="1022"/>
      <c r="P55" s="1020">
        <v>0</v>
      </c>
      <c r="Q55" s="1021"/>
      <c r="R55" s="1021"/>
      <c r="S55" s="1022"/>
      <c r="T55" s="1020">
        <v>0</v>
      </c>
      <c r="U55" s="1021"/>
      <c r="V55" s="1021"/>
      <c r="W55" s="1022"/>
      <c r="X55" s="880"/>
    </row>
    <row r="56" spans="1:24" ht="13.5" thickBot="1">
      <c r="A56" s="885"/>
      <c r="B56" s="885"/>
      <c r="C56" s="102" t="s">
        <v>283</v>
      </c>
      <c r="D56" s="1017"/>
      <c r="E56" s="1018"/>
      <c r="F56" s="1018"/>
      <c r="G56" s="1019"/>
      <c r="H56" s="1017"/>
      <c r="I56" s="1018"/>
      <c r="J56" s="1018"/>
      <c r="K56" s="1019"/>
      <c r="L56" s="1020">
        <v>2.2000000000000002</v>
      </c>
      <c r="M56" s="1021"/>
      <c r="N56" s="1021"/>
      <c r="O56" s="1022"/>
      <c r="P56" s="1020">
        <v>0</v>
      </c>
      <c r="Q56" s="1021"/>
      <c r="R56" s="1021"/>
      <c r="S56" s="1022"/>
      <c r="T56" s="1020">
        <v>0</v>
      </c>
      <c r="U56" s="1021"/>
      <c r="V56" s="1021"/>
      <c r="W56" s="1022"/>
      <c r="X56" s="880"/>
    </row>
    <row r="57" spans="1:24" ht="13.5" thickBot="1">
      <c r="A57" s="885"/>
      <c r="B57" s="885"/>
      <c r="C57" s="102" t="s">
        <v>284</v>
      </c>
      <c r="D57" s="1017"/>
      <c r="E57" s="1018"/>
      <c r="F57" s="1018"/>
      <c r="G57" s="1019"/>
      <c r="H57" s="1017"/>
      <c r="I57" s="1018"/>
      <c r="J57" s="1018"/>
      <c r="K57" s="1019"/>
      <c r="L57" s="1017"/>
      <c r="M57" s="1018"/>
      <c r="N57" s="1018"/>
      <c r="O57" s="1019"/>
      <c r="P57" s="1020">
        <v>0</v>
      </c>
      <c r="Q57" s="1021"/>
      <c r="R57" s="1021"/>
      <c r="S57" s="1022"/>
      <c r="T57" s="1020">
        <v>0</v>
      </c>
      <c r="U57" s="1021"/>
      <c r="V57" s="1021"/>
      <c r="W57" s="1022"/>
      <c r="X57" s="880"/>
    </row>
    <row r="58" spans="1:24" ht="13.5" thickBot="1">
      <c r="A58" s="885"/>
      <c r="B58" s="885"/>
      <c r="C58" s="998" t="s">
        <v>413</v>
      </c>
      <c r="D58" s="927" t="s">
        <v>4</v>
      </c>
      <c r="E58" s="928"/>
      <c r="F58" s="928"/>
      <c r="G58" s="928"/>
      <c r="H58" s="928"/>
      <c r="I58" s="928"/>
      <c r="J58" s="928"/>
      <c r="K58" s="928"/>
      <c r="L58" s="928"/>
      <c r="M58" s="928"/>
      <c r="N58" s="928"/>
      <c r="O58" s="928"/>
      <c r="P58" s="928"/>
      <c r="Q58" s="928"/>
      <c r="R58" s="928"/>
      <c r="S58" s="928"/>
      <c r="T58" s="928"/>
      <c r="U58" s="928"/>
      <c r="V58" s="928"/>
      <c r="W58" s="928"/>
      <c r="X58" s="880"/>
    </row>
    <row r="59" spans="1:24" ht="13.5" thickBot="1">
      <c r="A59" s="885"/>
      <c r="B59" s="869"/>
      <c r="C59" s="999"/>
      <c r="D59" s="930" t="s">
        <v>115</v>
      </c>
      <c r="E59" s="931"/>
      <c r="F59" s="931"/>
      <c r="G59" s="931"/>
      <c r="H59" s="931"/>
      <c r="I59" s="931"/>
      <c r="J59" s="931"/>
      <c r="K59" s="931"/>
      <c r="L59" s="931"/>
      <c r="M59" s="931"/>
      <c r="N59" s="931"/>
      <c r="O59" s="931"/>
      <c r="P59" s="931"/>
      <c r="Q59" s="931"/>
      <c r="R59" s="931"/>
      <c r="S59" s="931"/>
      <c r="T59" s="931"/>
      <c r="U59" s="931"/>
      <c r="V59" s="931"/>
      <c r="W59" s="932"/>
      <c r="X59" s="880"/>
    </row>
    <row r="60" spans="1:24" ht="13.5" thickBot="1">
      <c r="A60" s="885"/>
      <c r="B60" s="11" t="s">
        <v>23</v>
      </c>
      <c r="C60" s="12"/>
      <c r="D60" s="927" t="s">
        <v>78</v>
      </c>
      <c r="E60" s="928"/>
      <c r="F60" s="928"/>
      <c r="G60" s="929"/>
      <c r="H60" s="927" t="s">
        <v>77</v>
      </c>
      <c r="I60" s="928"/>
      <c r="J60" s="928"/>
      <c r="K60" s="929"/>
      <c r="L60" s="927" t="s">
        <v>81</v>
      </c>
      <c r="M60" s="928"/>
      <c r="N60" s="928"/>
      <c r="O60" s="929"/>
      <c r="P60" s="927" t="s">
        <v>254</v>
      </c>
      <c r="Q60" s="928"/>
      <c r="R60" s="928"/>
      <c r="S60" s="929"/>
      <c r="T60" s="927" t="s">
        <v>76</v>
      </c>
      <c r="U60" s="928"/>
      <c r="V60" s="928"/>
      <c r="W60" s="929"/>
      <c r="X60" s="880"/>
    </row>
    <row r="61" spans="1:24" ht="13.5" thickBot="1">
      <c r="A61" s="885"/>
      <c r="B61" s="868" t="s">
        <v>56</v>
      </c>
      <c r="C61" s="9" t="s">
        <v>235</v>
      </c>
      <c r="D61" s="1014">
        <v>2.1</v>
      </c>
      <c r="E61" s="1015"/>
      <c r="F61" s="1015"/>
      <c r="G61" s="1016"/>
      <c r="H61" s="1014">
        <v>2.6</v>
      </c>
      <c r="I61" s="1015"/>
      <c r="J61" s="1015"/>
      <c r="K61" s="1016"/>
      <c r="L61" s="1014">
        <v>2.85</v>
      </c>
      <c r="M61" s="1015"/>
      <c r="N61" s="1015"/>
      <c r="O61" s="1016"/>
      <c r="P61" s="1014">
        <v>3.1</v>
      </c>
      <c r="Q61" s="1015"/>
      <c r="R61" s="1015"/>
      <c r="S61" s="1016"/>
      <c r="T61" s="1014">
        <v>3.45</v>
      </c>
      <c r="U61" s="1015"/>
      <c r="V61" s="1015"/>
      <c r="W61" s="1016"/>
      <c r="X61" s="880"/>
    </row>
    <row r="62" spans="1:24" ht="13.5" thickBot="1">
      <c r="A62" s="885"/>
      <c r="B62" s="885"/>
      <c r="C62" s="9" t="s">
        <v>233</v>
      </c>
      <c r="D62" s="1048" t="s">
        <v>414</v>
      </c>
      <c r="E62" s="1049"/>
      <c r="F62" s="1049"/>
      <c r="G62" s="1050"/>
      <c r="H62" s="1014">
        <v>1.6</v>
      </c>
      <c r="I62" s="1015"/>
      <c r="J62" s="1015"/>
      <c r="K62" s="1016"/>
      <c r="L62" s="1014">
        <v>1.75</v>
      </c>
      <c r="M62" s="1015"/>
      <c r="N62" s="1015"/>
      <c r="O62" s="1016"/>
      <c r="P62" s="1014">
        <v>1.9</v>
      </c>
      <c r="Q62" s="1015"/>
      <c r="R62" s="1015"/>
      <c r="S62" s="1016"/>
      <c r="T62" s="1014">
        <v>2.25</v>
      </c>
      <c r="U62" s="1015"/>
      <c r="V62" s="1015"/>
      <c r="W62" s="1016"/>
      <c r="X62" s="880"/>
    </row>
    <row r="63" spans="1:24" ht="13.5" thickBot="1">
      <c r="A63" s="885"/>
      <c r="B63" s="885"/>
      <c r="C63" s="9" t="s">
        <v>234</v>
      </c>
      <c r="D63" s="957"/>
      <c r="E63" s="958"/>
      <c r="F63" s="958"/>
      <c r="G63" s="959"/>
      <c r="H63" s="1048" t="s">
        <v>256</v>
      </c>
      <c r="I63" s="1049"/>
      <c r="J63" s="1049"/>
      <c r="K63" s="1050"/>
      <c r="L63" s="1023">
        <v>1.8</v>
      </c>
      <c r="M63" s="1024"/>
      <c r="N63" s="1024"/>
      <c r="O63" s="1025"/>
      <c r="P63" s="1023">
        <v>2</v>
      </c>
      <c r="Q63" s="1024"/>
      <c r="R63" s="1024"/>
      <c r="S63" s="1025"/>
      <c r="T63" s="1023">
        <v>2.25</v>
      </c>
      <c r="U63" s="1024"/>
      <c r="V63" s="1024"/>
      <c r="W63" s="1025"/>
      <c r="X63" s="880"/>
    </row>
    <row r="64" spans="1:24" ht="13.5" thickBot="1">
      <c r="A64" s="885"/>
      <c r="B64" s="885"/>
      <c r="C64" s="102" t="s">
        <v>236</v>
      </c>
      <c r="D64" s="1045" t="s">
        <v>415</v>
      </c>
      <c r="E64" s="1046"/>
      <c r="F64" s="1046"/>
      <c r="G64" s="1047"/>
      <c r="H64" s="1020">
        <v>2.84</v>
      </c>
      <c r="I64" s="1021"/>
      <c r="J64" s="1021"/>
      <c r="K64" s="1022"/>
      <c r="L64" s="1020">
        <v>3</v>
      </c>
      <c r="M64" s="1021"/>
      <c r="N64" s="1021"/>
      <c r="O64" s="1022"/>
      <c r="P64" s="1020">
        <v>0</v>
      </c>
      <c r="Q64" s="1021"/>
      <c r="R64" s="1021"/>
      <c r="S64" s="1022"/>
      <c r="T64" s="1020">
        <v>0</v>
      </c>
      <c r="U64" s="1021"/>
      <c r="V64" s="1021"/>
      <c r="W64" s="1022"/>
      <c r="X64" s="880"/>
    </row>
    <row r="65" spans="1:24" ht="13.5" thickBot="1">
      <c r="A65" s="885"/>
      <c r="B65" s="885"/>
      <c r="C65" s="102" t="s">
        <v>283</v>
      </c>
      <c r="D65" s="1017"/>
      <c r="E65" s="1018"/>
      <c r="F65" s="1018"/>
      <c r="G65" s="1019"/>
      <c r="H65" s="1017"/>
      <c r="I65" s="1018"/>
      <c r="J65" s="1018"/>
      <c r="K65" s="1019"/>
      <c r="L65" s="1020">
        <v>1.6</v>
      </c>
      <c r="M65" s="1021"/>
      <c r="N65" s="1021"/>
      <c r="O65" s="1022"/>
      <c r="P65" s="1020">
        <v>0</v>
      </c>
      <c r="Q65" s="1021"/>
      <c r="R65" s="1021"/>
      <c r="S65" s="1022"/>
      <c r="T65" s="1020">
        <v>0</v>
      </c>
      <c r="U65" s="1021"/>
      <c r="V65" s="1021"/>
      <c r="W65" s="1022"/>
      <c r="X65" s="880"/>
    </row>
    <row r="66" spans="1:24" ht="13.5" thickBot="1">
      <c r="A66" s="885"/>
      <c r="B66" s="885"/>
      <c r="C66" s="102" t="s">
        <v>284</v>
      </c>
      <c r="D66" s="1017"/>
      <c r="E66" s="1018"/>
      <c r="F66" s="1018"/>
      <c r="G66" s="1019"/>
      <c r="H66" s="1017"/>
      <c r="I66" s="1018"/>
      <c r="J66" s="1018"/>
      <c r="K66" s="1019"/>
      <c r="L66" s="1017"/>
      <c r="M66" s="1018"/>
      <c r="N66" s="1018"/>
      <c r="O66" s="1019"/>
      <c r="P66" s="1020">
        <v>0</v>
      </c>
      <c r="Q66" s="1021"/>
      <c r="R66" s="1021"/>
      <c r="S66" s="1022"/>
      <c r="T66" s="1020">
        <v>0</v>
      </c>
      <c r="U66" s="1021"/>
      <c r="V66" s="1021"/>
      <c r="W66" s="1022"/>
      <c r="X66" s="880"/>
    </row>
    <row r="67" spans="1:24" ht="13.5" thickBot="1">
      <c r="A67" s="885"/>
      <c r="B67" s="885"/>
      <c r="C67" s="998" t="s">
        <v>413</v>
      </c>
      <c r="D67" s="927" t="s">
        <v>4</v>
      </c>
      <c r="E67" s="928"/>
      <c r="F67" s="928"/>
      <c r="G67" s="928"/>
      <c r="H67" s="928"/>
      <c r="I67" s="928"/>
      <c r="J67" s="928"/>
      <c r="K67" s="928"/>
      <c r="L67" s="928"/>
      <c r="M67" s="928"/>
      <c r="N67" s="928"/>
      <c r="O67" s="928"/>
      <c r="P67" s="928"/>
      <c r="Q67" s="928"/>
      <c r="R67" s="928"/>
      <c r="S67" s="928"/>
      <c r="T67" s="928"/>
      <c r="U67" s="928"/>
      <c r="V67" s="928"/>
      <c r="W67" s="928"/>
      <c r="X67" s="880"/>
    </row>
    <row r="68" spans="1:24" ht="13.5" thickBot="1">
      <c r="A68" s="885"/>
      <c r="B68" s="869"/>
      <c r="C68" s="999"/>
      <c r="D68" s="930" t="s">
        <v>115</v>
      </c>
      <c r="E68" s="931"/>
      <c r="F68" s="931"/>
      <c r="G68" s="931"/>
      <c r="H68" s="931"/>
      <c r="I68" s="931"/>
      <c r="J68" s="931"/>
      <c r="K68" s="931"/>
      <c r="L68" s="931"/>
      <c r="M68" s="931"/>
      <c r="N68" s="931"/>
      <c r="O68" s="931"/>
      <c r="P68" s="931"/>
      <c r="Q68" s="931"/>
      <c r="R68" s="931"/>
      <c r="S68" s="931"/>
      <c r="T68" s="931"/>
      <c r="U68" s="931"/>
      <c r="V68" s="931"/>
      <c r="W68" s="932"/>
      <c r="X68" s="880"/>
    </row>
    <row r="69" spans="1:24" ht="13.5" thickBot="1">
      <c r="A69" s="885"/>
      <c r="B69" s="11" t="s">
        <v>38</v>
      </c>
      <c r="C69" s="12"/>
      <c r="D69" s="927" t="s">
        <v>78</v>
      </c>
      <c r="E69" s="928"/>
      <c r="F69" s="928"/>
      <c r="G69" s="929"/>
      <c r="H69" s="927" t="s">
        <v>77</v>
      </c>
      <c r="I69" s="928"/>
      <c r="J69" s="928"/>
      <c r="K69" s="929"/>
      <c r="L69" s="927" t="s">
        <v>81</v>
      </c>
      <c r="M69" s="928"/>
      <c r="N69" s="928"/>
      <c r="O69" s="929"/>
      <c r="P69" s="927" t="s">
        <v>254</v>
      </c>
      <c r="Q69" s="928"/>
      <c r="R69" s="928"/>
      <c r="S69" s="929"/>
      <c r="T69" s="927" t="s">
        <v>76</v>
      </c>
      <c r="U69" s="928"/>
      <c r="V69" s="928"/>
      <c r="W69" s="929"/>
      <c r="X69" s="880"/>
    </row>
    <row r="70" spans="1:24" ht="13.5" thickBot="1">
      <c r="A70" s="885"/>
      <c r="B70" s="868" t="s">
        <v>155</v>
      </c>
      <c r="C70" s="9" t="s">
        <v>235</v>
      </c>
      <c r="D70" s="933" t="s">
        <v>171</v>
      </c>
      <c r="E70" s="934"/>
      <c r="F70" s="934"/>
      <c r="G70" s="935"/>
      <c r="H70" s="966" t="s">
        <v>248</v>
      </c>
      <c r="I70" s="967"/>
      <c r="J70" s="967"/>
      <c r="K70" s="968"/>
      <c r="L70" s="1029">
        <v>2.4500000000000002</v>
      </c>
      <c r="M70" s="1030"/>
      <c r="N70" s="1030"/>
      <c r="O70" s="1031"/>
      <c r="P70" s="1029">
        <v>2.68</v>
      </c>
      <c r="Q70" s="1030"/>
      <c r="R70" s="1030"/>
      <c r="S70" s="1031"/>
      <c r="T70" s="1029">
        <v>3.1</v>
      </c>
      <c r="U70" s="1030"/>
      <c r="V70" s="1030"/>
      <c r="W70" s="1031"/>
      <c r="X70" s="880"/>
    </row>
    <row r="71" spans="1:24" ht="13.5" thickBot="1">
      <c r="A71" s="885"/>
      <c r="B71" s="885"/>
      <c r="C71" s="9" t="s">
        <v>233</v>
      </c>
      <c r="D71" s="957"/>
      <c r="E71" s="958"/>
      <c r="F71" s="958"/>
      <c r="G71" s="959"/>
      <c r="H71" s="966" t="s">
        <v>248</v>
      </c>
      <c r="I71" s="967"/>
      <c r="J71" s="967"/>
      <c r="K71" s="968"/>
      <c r="L71" s="1029">
        <v>1.6</v>
      </c>
      <c r="M71" s="1030"/>
      <c r="N71" s="1030"/>
      <c r="O71" s="1031"/>
      <c r="P71" s="1029">
        <v>1.7</v>
      </c>
      <c r="Q71" s="1030"/>
      <c r="R71" s="1030"/>
      <c r="S71" s="1031"/>
      <c r="T71" s="1029">
        <v>2.1</v>
      </c>
      <c r="U71" s="1030"/>
      <c r="V71" s="1030"/>
      <c r="W71" s="1031"/>
      <c r="X71" s="880"/>
    </row>
    <row r="72" spans="1:24" ht="13.5" thickBot="1">
      <c r="A72" s="885"/>
      <c r="B72" s="885"/>
      <c r="C72" s="9" t="s">
        <v>234</v>
      </c>
      <c r="D72" s="957"/>
      <c r="E72" s="958"/>
      <c r="F72" s="958"/>
      <c r="G72" s="959"/>
      <c r="H72" s="966" t="s">
        <v>256</v>
      </c>
      <c r="I72" s="967"/>
      <c r="J72" s="967"/>
      <c r="K72" s="968"/>
      <c r="L72" s="1029">
        <v>1.7</v>
      </c>
      <c r="M72" s="1030"/>
      <c r="N72" s="1030"/>
      <c r="O72" s="1031"/>
      <c r="P72" s="1029">
        <v>1.75</v>
      </c>
      <c r="Q72" s="1030"/>
      <c r="R72" s="1030"/>
      <c r="S72" s="1031"/>
      <c r="T72" s="1029">
        <v>2.1</v>
      </c>
      <c r="U72" s="1030"/>
      <c r="V72" s="1030"/>
      <c r="W72" s="1031"/>
      <c r="X72" s="880"/>
    </row>
    <row r="73" spans="1:24" ht="13.5" thickBot="1">
      <c r="A73" s="885"/>
      <c r="B73" s="885"/>
      <c r="C73" s="102" t="s">
        <v>236</v>
      </c>
      <c r="D73" s="1011"/>
      <c r="E73" s="1012"/>
      <c r="F73" s="1012"/>
      <c r="G73" s="1013"/>
      <c r="H73" s="1011"/>
      <c r="I73" s="1012"/>
      <c r="J73" s="1012"/>
      <c r="K73" s="1013"/>
      <c r="L73" s="1011"/>
      <c r="M73" s="1012"/>
      <c r="N73" s="1012"/>
      <c r="O73" s="1013"/>
      <c r="P73" s="1020">
        <v>0</v>
      </c>
      <c r="Q73" s="1021"/>
      <c r="R73" s="1021"/>
      <c r="S73" s="1022"/>
      <c r="T73" s="1020">
        <v>0</v>
      </c>
      <c r="U73" s="1021"/>
      <c r="V73" s="1021"/>
      <c r="W73" s="1022"/>
      <c r="X73" s="880"/>
    </row>
    <row r="74" spans="1:24" ht="13.5" thickBot="1">
      <c r="A74" s="885"/>
      <c r="B74" s="885"/>
      <c r="C74" s="102" t="s">
        <v>283</v>
      </c>
      <c r="D74" s="1017"/>
      <c r="E74" s="1018"/>
      <c r="F74" s="1018"/>
      <c r="G74" s="1019"/>
      <c r="H74" s="1017"/>
      <c r="I74" s="1018"/>
      <c r="J74" s="1018"/>
      <c r="K74" s="1019"/>
      <c r="L74" s="1011"/>
      <c r="M74" s="1012"/>
      <c r="N74" s="1012"/>
      <c r="O74" s="1013"/>
      <c r="P74" s="1020">
        <v>0</v>
      </c>
      <c r="Q74" s="1021"/>
      <c r="R74" s="1021"/>
      <c r="S74" s="1022"/>
      <c r="T74" s="1020">
        <v>0</v>
      </c>
      <c r="U74" s="1021"/>
      <c r="V74" s="1021"/>
      <c r="W74" s="1022"/>
      <c r="X74" s="880"/>
    </row>
    <row r="75" spans="1:24" ht="13.5" thickBot="1">
      <c r="A75" s="885"/>
      <c r="B75" s="885"/>
      <c r="C75" s="102" t="s">
        <v>284</v>
      </c>
      <c r="D75" s="1017"/>
      <c r="E75" s="1018"/>
      <c r="F75" s="1018"/>
      <c r="G75" s="1019"/>
      <c r="H75" s="1017"/>
      <c r="I75" s="1018"/>
      <c r="J75" s="1018"/>
      <c r="K75" s="1019"/>
      <c r="L75" s="1017"/>
      <c r="M75" s="1018"/>
      <c r="N75" s="1018"/>
      <c r="O75" s="1019"/>
      <c r="P75" s="1020">
        <v>0</v>
      </c>
      <c r="Q75" s="1021"/>
      <c r="R75" s="1021"/>
      <c r="S75" s="1022"/>
      <c r="T75" s="1020">
        <v>0</v>
      </c>
      <c r="U75" s="1021"/>
      <c r="V75" s="1021"/>
      <c r="W75" s="1022"/>
      <c r="X75" s="880"/>
    </row>
    <row r="76" spans="1:24" ht="13.5" thickBot="1">
      <c r="A76" s="885"/>
      <c r="B76" s="885"/>
      <c r="C76" s="998" t="s">
        <v>413</v>
      </c>
      <c r="D76" s="927" t="s">
        <v>4</v>
      </c>
      <c r="E76" s="928"/>
      <c r="F76" s="928"/>
      <c r="G76" s="928"/>
      <c r="H76" s="928"/>
      <c r="I76" s="928"/>
      <c r="J76" s="928"/>
      <c r="K76" s="928"/>
      <c r="L76" s="928"/>
      <c r="M76" s="928"/>
      <c r="N76" s="928"/>
      <c r="O76" s="928"/>
      <c r="P76" s="928"/>
      <c r="Q76" s="928"/>
      <c r="R76" s="928"/>
      <c r="S76" s="928"/>
      <c r="T76" s="928"/>
      <c r="U76" s="928"/>
      <c r="V76" s="928"/>
      <c r="W76" s="928"/>
      <c r="X76" s="880"/>
    </row>
    <row r="77" spans="1:24" ht="13.5" thickBot="1">
      <c r="A77" s="885"/>
      <c r="B77" s="869"/>
      <c r="C77" s="999"/>
      <c r="D77" s="930" t="s">
        <v>115</v>
      </c>
      <c r="E77" s="931"/>
      <c r="F77" s="931"/>
      <c r="G77" s="931"/>
      <c r="H77" s="931"/>
      <c r="I77" s="931"/>
      <c r="J77" s="931"/>
      <c r="K77" s="931"/>
      <c r="L77" s="931"/>
      <c r="M77" s="931"/>
      <c r="N77" s="931"/>
      <c r="O77" s="931"/>
      <c r="P77" s="931"/>
      <c r="Q77" s="931"/>
      <c r="R77" s="931"/>
      <c r="S77" s="931"/>
      <c r="T77" s="931"/>
      <c r="U77" s="931"/>
      <c r="V77" s="931"/>
      <c r="W77" s="932"/>
      <c r="X77" s="880"/>
    </row>
    <row r="78" spans="1:24" ht="13.5" thickBot="1">
      <c r="A78" s="885"/>
      <c r="B78" s="11" t="s">
        <v>39</v>
      </c>
      <c r="C78" s="12"/>
      <c r="D78" s="927" t="s">
        <v>78</v>
      </c>
      <c r="E78" s="928"/>
      <c r="F78" s="928"/>
      <c r="G78" s="929"/>
      <c r="H78" s="927" t="s">
        <v>77</v>
      </c>
      <c r="I78" s="928"/>
      <c r="J78" s="928"/>
      <c r="K78" s="929"/>
      <c r="L78" s="927" t="s">
        <v>81</v>
      </c>
      <c r="M78" s="928"/>
      <c r="N78" s="928"/>
      <c r="O78" s="929"/>
      <c r="P78" s="927" t="s">
        <v>254</v>
      </c>
      <c r="Q78" s="928"/>
      <c r="R78" s="928"/>
      <c r="S78" s="929"/>
      <c r="T78" s="927" t="s">
        <v>76</v>
      </c>
      <c r="U78" s="928"/>
      <c r="V78" s="928"/>
      <c r="W78" s="929"/>
      <c r="X78" s="880"/>
    </row>
    <row r="79" spans="1:24" ht="42.95" customHeight="1" thickBot="1">
      <c r="A79" s="885"/>
      <c r="B79" s="978" t="s">
        <v>597</v>
      </c>
      <c r="C79" s="9"/>
      <c r="D79" s="20" t="s">
        <v>105</v>
      </c>
      <c r="E79" s="20" t="s">
        <v>110</v>
      </c>
      <c r="F79" s="20" t="s">
        <v>111</v>
      </c>
      <c r="G79" s="20" t="s">
        <v>112</v>
      </c>
      <c r="H79" s="20" t="s">
        <v>105</v>
      </c>
      <c r="I79" s="20" t="s">
        <v>110</v>
      </c>
      <c r="J79" s="20" t="s">
        <v>111</v>
      </c>
      <c r="K79" s="20" t="s">
        <v>112</v>
      </c>
      <c r="L79" s="20" t="s">
        <v>105</v>
      </c>
      <c r="M79" s="20" t="s">
        <v>110</v>
      </c>
      <c r="N79" s="20" t="s">
        <v>111</v>
      </c>
      <c r="O79" s="20" t="s">
        <v>112</v>
      </c>
      <c r="P79" s="20" t="s">
        <v>105</v>
      </c>
      <c r="Q79" s="20" t="s">
        <v>110</v>
      </c>
      <c r="R79" s="20" t="s">
        <v>111</v>
      </c>
      <c r="S79" s="20" t="s">
        <v>112</v>
      </c>
      <c r="T79" s="20" t="s">
        <v>105</v>
      </c>
      <c r="U79" s="20" t="s">
        <v>110</v>
      </c>
      <c r="V79" s="20" t="s">
        <v>111</v>
      </c>
      <c r="W79" s="20" t="s">
        <v>112</v>
      </c>
      <c r="X79" s="880"/>
    </row>
    <row r="80" spans="1:24" ht="13.5" thickBot="1">
      <c r="A80" s="885"/>
      <c r="B80" s="979"/>
      <c r="C80" s="9" t="s">
        <v>247</v>
      </c>
      <c r="D80" s="2">
        <v>0</v>
      </c>
      <c r="E80" s="2">
        <v>50</v>
      </c>
      <c r="F80" s="2">
        <v>0</v>
      </c>
      <c r="G80" s="2">
        <v>0</v>
      </c>
      <c r="H80" s="2">
        <v>10</v>
      </c>
      <c r="I80" s="2">
        <v>50</v>
      </c>
      <c r="J80" s="2">
        <v>0</v>
      </c>
      <c r="K80" s="2">
        <v>0</v>
      </c>
      <c r="L80" s="2">
        <v>20</v>
      </c>
      <c r="M80" s="2">
        <v>50</v>
      </c>
      <c r="N80" s="2">
        <v>25</v>
      </c>
      <c r="O80" s="2">
        <v>10</v>
      </c>
      <c r="P80" s="2">
        <v>35</v>
      </c>
      <c r="Q80" s="2">
        <v>50</v>
      </c>
      <c r="R80" s="2">
        <v>33</v>
      </c>
      <c r="S80" s="2">
        <v>20</v>
      </c>
      <c r="T80" s="2">
        <v>50</v>
      </c>
      <c r="U80" s="2">
        <v>50</v>
      </c>
      <c r="V80" s="2">
        <v>40</v>
      </c>
      <c r="W80" s="2">
        <v>25</v>
      </c>
      <c r="X80" s="880"/>
    </row>
    <row r="81" spans="1:24" ht="24.75" thickBot="1">
      <c r="A81" s="885"/>
      <c r="B81" s="169" t="s">
        <v>159</v>
      </c>
      <c r="C81" s="102" t="s">
        <v>246</v>
      </c>
      <c r="D81" s="1042" t="s">
        <v>416</v>
      </c>
      <c r="E81" s="1043"/>
      <c r="F81" s="1043"/>
      <c r="G81" s="1044"/>
      <c r="H81" s="117">
        <v>11</v>
      </c>
      <c r="I81" s="117" t="s">
        <v>265</v>
      </c>
      <c r="J81" s="117">
        <v>0</v>
      </c>
      <c r="K81" s="117">
        <v>0</v>
      </c>
      <c r="L81" s="117" t="s">
        <v>578</v>
      </c>
      <c r="M81" s="117">
        <v>57</v>
      </c>
      <c r="N81" s="117">
        <v>38</v>
      </c>
      <c r="O81" s="117">
        <v>3</v>
      </c>
      <c r="P81" s="117">
        <v>0</v>
      </c>
      <c r="Q81" s="117">
        <v>0</v>
      </c>
      <c r="R81" s="117">
        <v>0</v>
      </c>
      <c r="S81" s="117">
        <v>0</v>
      </c>
      <c r="T81" s="117">
        <v>0</v>
      </c>
      <c r="U81" s="117">
        <v>0</v>
      </c>
      <c r="V81" s="117">
        <v>0</v>
      </c>
      <c r="W81" s="117">
        <v>0</v>
      </c>
      <c r="X81" s="880"/>
    </row>
    <row r="82" spans="1:24" ht="13.5" thickBot="1">
      <c r="A82" s="885"/>
      <c r="B82" s="169" t="s">
        <v>598</v>
      </c>
      <c r="C82" s="998" t="s">
        <v>413</v>
      </c>
      <c r="D82" s="927" t="s">
        <v>4</v>
      </c>
      <c r="E82" s="928"/>
      <c r="F82" s="928"/>
      <c r="G82" s="928"/>
      <c r="H82" s="928"/>
      <c r="I82" s="928"/>
      <c r="J82" s="928"/>
      <c r="K82" s="928"/>
      <c r="L82" s="928"/>
      <c r="M82" s="928"/>
      <c r="N82" s="928"/>
      <c r="O82" s="928"/>
      <c r="P82" s="928"/>
      <c r="Q82" s="928"/>
      <c r="R82" s="928"/>
      <c r="S82" s="928"/>
      <c r="T82" s="928"/>
      <c r="U82" s="928"/>
      <c r="V82" s="928"/>
      <c r="W82" s="928"/>
      <c r="X82" s="880"/>
    </row>
    <row r="83" spans="1:24" ht="13.5" thickBot="1">
      <c r="A83" s="869"/>
      <c r="B83" s="176" t="s">
        <v>599</v>
      </c>
      <c r="C83" s="999"/>
      <c r="D83" s="930" t="s">
        <v>126</v>
      </c>
      <c r="E83" s="931"/>
      <c r="F83" s="931"/>
      <c r="G83" s="931"/>
      <c r="H83" s="931"/>
      <c r="I83" s="931"/>
      <c r="J83" s="931"/>
      <c r="K83" s="931"/>
      <c r="L83" s="931"/>
      <c r="M83" s="931"/>
      <c r="N83" s="931"/>
      <c r="O83" s="931"/>
      <c r="P83" s="931"/>
      <c r="Q83" s="931"/>
      <c r="R83" s="931"/>
      <c r="S83" s="931"/>
      <c r="T83" s="931"/>
      <c r="U83" s="931"/>
      <c r="V83" s="931"/>
      <c r="W83" s="932"/>
      <c r="X83" s="881"/>
    </row>
    <row r="84" spans="1:24" ht="13.5" thickBot="1">
      <c r="A84" s="906" t="s">
        <v>7</v>
      </c>
      <c r="B84" s="908" t="s">
        <v>173</v>
      </c>
      <c r="C84" s="918"/>
      <c r="D84" s="908" t="s">
        <v>8</v>
      </c>
      <c r="E84" s="918"/>
      <c r="F84" s="918"/>
      <c r="G84" s="909"/>
      <c r="H84" s="908" t="s">
        <v>88</v>
      </c>
      <c r="I84" s="918"/>
      <c r="J84" s="918"/>
      <c r="K84" s="909"/>
      <c r="L84" s="908" t="s">
        <v>89</v>
      </c>
      <c r="M84" s="918"/>
      <c r="N84" s="918"/>
      <c r="O84" s="909"/>
      <c r="P84" s="908" t="s">
        <v>9</v>
      </c>
      <c r="Q84" s="918"/>
      <c r="R84" s="918"/>
      <c r="S84" s="909"/>
      <c r="T84" s="908" t="s">
        <v>174</v>
      </c>
      <c r="U84" s="918"/>
      <c r="V84" s="918"/>
      <c r="W84" s="918"/>
      <c r="X84" s="909"/>
    </row>
    <row r="85" spans="1:24" ht="13.5" thickBot="1">
      <c r="A85" s="907"/>
      <c r="B85" s="975">
        <f>SUM(B114+B143+B180+B228+B251)</f>
        <v>26900000</v>
      </c>
      <c r="C85" s="977"/>
      <c r="D85" s="975">
        <f>SUM(D114+D143+D180+D228+D251)</f>
        <v>2100000</v>
      </c>
      <c r="E85" s="977"/>
      <c r="F85" s="977">
        <f>SUM(F114+F143+F180+F228+F251)</f>
        <v>0</v>
      </c>
      <c r="G85" s="976"/>
      <c r="H85" s="975">
        <f>SUM(H114+H143+H180+H228+H251)</f>
        <v>13000000</v>
      </c>
      <c r="I85" s="977"/>
      <c r="J85" s="977">
        <f>SUM(J114+J143+J180+J228+J251)</f>
        <v>0</v>
      </c>
      <c r="K85" s="976"/>
      <c r="L85" s="975">
        <f>SUM(L114+L143+L180+L228+L251)</f>
        <v>9200000</v>
      </c>
      <c r="M85" s="977"/>
      <c r="N85" s="977">
        <f>SUM(N114+N143+N180+N228+N251)</f>
        <v>0</v>
      </c>
      <c r="O85" s="976"/>
      <c r="P85" s="975">
        <f>SUM(B85:O85)</f>
        <v>51200000</v>
      </c>
      <c r="Q85" s="977"/>
      <c r="R85" s="977"/>
      <c r="S85" s="976"/>
      <c r="T85" s="942">
        <f>B85/P85%</f>
        <v>52.5390625</v>
      </c>
      <c r="U85" s="943"/>
      <c r="V85" s="943"/>
      <c r="W85" s="943"/>
      <c r="X85" s="944"/>
    </row>
    <row r="86" spans="1:24" ht="13.5" thickBot="1">
      <c r="A86" s="906" t="s">
        <v>10</v>
      </c>
      <c r="B86" s="908" t="s">
        <v>175</v>
      </c>
      <c r="C86" s="918"/>
      <c r="D86" s="910"/>
      <c r="E86" s="911"/>
      <c r="F86" s="911"/>
      <c r="G86" s="911"/>
      <c r="H86" s="911"/>
      <c r="I86" s="911"/>
      <c r="J86" s="911"/>
      <c r="K86" s="911"/>
      <c r="L86" s="911"/>
      <c r="M86" s="911"/>
      <c r="N86" s="911"/>
      <c r="O86" s="911"/>
      <c r="P86" s="911"/>
      <c r="Q86" s="911"/>
      <c r="R86" s="911"/>
      <c r="S86" s="911"/>
      <c r="T86" s="911"/>
      <c r="U86" s="911"/>
      <c r="V86" s="911"/>
      <c r="W86" s="911"/>
      <c r="X86" s="912"/>
    </row>
    <row r="87" spans="1:24" ht="13.5" thickBot="1">
      <c r="A87" s="907"/>
      <c r="B87" s="916">
        <f>SUM(B116+B145+B182+B230+B253)</f>
        <v>0</v>
      </c>
      <c r="C87" s="994"/>
      <c r="D87" s="913"/>
      <c r="E87" s="914"/>
      <c r="F87" s="914"/>
      <c r="G87" s="914"/>
      <c r="H87" s="914"/>
      <c r="I87" s="914"/>
      <c r="J87" s="914"/>
      <c r="K87" s="914"/>
      <c r="L87" s="914"/>
      <c r="M87" s="914"/>
      <c r="N87" s="914"/>
      <c r="O87" s="914"/>
      <c r="P87" s="914"/>
      <c r="Q87" s="914"/>
      <c r="R87" s="914"/>
      <c r="S87" s="914"/>
      <c r="T87" s="914"/>
      <c r="U87" s="914"/>
      <c r="V87" s="914"/>
      <c r="W87" s="914"/>
      <c r="X87" s="915"/>
    </row>
    <row r="88" spans="1:24">
      <c r="A88" s="5"/>
      <c r="B88" s="5"/>
      <c r="C88" s="6"/>
      <c r="D88" s="5"/>
      <c r="E88" s="5"/>
      <c r="F88" s="5"/>
      <c r="G88" s="5"/>
      <c r="H88" s="5"/>
      <c r="I88" s="5"/>
      <c r="J88" s="5"/>
      <c r="K88" s="5"/>
      <c r="L88" s="5"/>
      <c r="M88" s="5"/>
      <c r="N88" s="5"/>
      <c r="O88" s="5"/>
      <c r="P88" s="5"/>
      <c r="Q88" s="5"/>
      <c r="R88" s="5"/>
      <c r="S88" s="5"/>
      <c r="T88" s="5"/>
      <c r="U88" s="5"/>
      <c r="V88" s="5"/>
      <c r="W88" s="5"/>
      <c r="X88" s="5"/>
    </row>
    <row r="89" spans="1:24" ht="13.5" thickBot="1">
      <c r="A89" s="21"/>
      <c r="B89" s="21"/>
      <c r="C89" s="22"/>
      <c r="D89" s="21"/>
      <c r="E89" s="21"/>
      <c r="F89" s="21"/>
      <c r="G89" s="21"/>
      <c r="H89" s="21"/>
      <c r="I89" s="21"/>
      <c r="J89" s="21"/>
      <c r="K89" s="21"/>
      <c r="L89" s="115" t="s">
        <v>438</v>
      </c>
      <c r="M89" s="21"/>
      <c r="N89" s="21"/>
      <c r="O89" s="21"/>
      <c r="P89" s="21"/>
      <c r="Q89" s="21"/>
      <c r="R89" s="21"/>
      <c r="S89" s="21"/>
      <c r="T89" s="21"/>
      <c r="U89" s="21"/>
      <c r="V89" s="21"/>
      <c r="W89" s="21"/>
      <c r="X89" s="21"/>
    </row>
    <row r="90" spans="1:24" ht="13.5" thickBot="1">
      <c r="A90" s="95" t="s">
        <v>11</v>
      </c>
      <c r="B90" s="97" t="s">
        <v>16</v>
      </c>
      <c r="C90" s="8"/>
      <c r="D90" s="927" t="s">
        <v>78</v>
      </c>
      <c r="E90" s="928"/>
      <c r="F90" s="928"/>
      <c r="G90" s="929"/>
      <c r="H90" s="927" t="s">
        <v>77</v>
      </c>
      <c r="I90" s="928"/>
      <c r="J90" s="928"/>
      <c r="K90" s="929"/>
      <c r="L90" s="927" t="s">
        <v>81</v>
      </c>
      <c r="M90" s="928"/>
      <c r="N90" s="928"/>
      <c r="O90" s="929"/>
      <c r="P90" s="927" t="s">
        <v>254</v>
      </c>
      <c r="Q90" s="928"/>
      <c r="R90" s="928"/>
      <c r="S90" s="929"/>
      <c r="T90" s="927" t="s">
        <v>76</v>
      </c>
      <c r="U90" s="928"/>
      <c r="V90" s="928"/>
      <c r="W90" s="929"/>
      <c r="X90" s="16" t="s">
        <v>12</v>
      </c>
    </row>
    <row r="91" spans="1:24" ht="13.5" thickBot="1">
      <c r="A91" s="868" t="s">
        <v>57</v>
      </c>
      <c r="B91" s="868" t="s">
        <v>58</v>
      </c>
      <c r="C91" s="9" t="s">
        <v>235</v>
      </c>
      <c r="D91" s="1014">
        <v>1</v>
      </c>
      <c r="E91" s="1015"/>
      <c r="F91" s="1015"/>
      <c r="G91" s="1016"/>
      <c r="H91" s="1014">
        <v>2.1</v>
      </c>
      <c r="I91" s="1015"/>
      <c r="J91" s="1015"/>
      <c r="K91" s="1016"/>
      <c r="L91" s="1036" t="s">
        <v>424</v>
      </c>
      <c r="M91" s="1037"/>
      <c r="N91" s="1037"/>
      <c r="O91" s="1038"/>
      <c r="P91" s="1014" t="s">
        <v>425</v>
      </c>
      <c r="Q91" s="1015"/>
      <c r="R91" s="1015"/>
      <c r="S91" s="1016"/>
      <c r="T91" s="1014" t="s">
        <v>426</v>
      </c>
      <c r="U91" s="1015"/>
      <c r="V91" s="1015"/>
      <c r="W91" s="1016"/>
      <c r="X91" s="879" t="s">
        <v>97</v>
      </c>
    </row>
    <row r="92" spans="1:24" ht="13.5" thickBot="1">
      <c r="A92" s="885"/>
      <c r="B92" s="885"/>
      <c r="C92" s="9" t="s">
        <v>233</v>
      </c>
      <c r="D92" s="966" t="s">
        <v>255</v>
      </c>
      <c r="E92" s="967"/>
      <c r="F92" s="967"/>
      <c r="G92" s="968"/>
      <c r="H92" s="1014">
        <v>1</v>
      </c>
      <c r="I92" s="1015"/>
      <c r="J92" s="1015"/>
      <c r="K92" s="1016"/>
      <c r="L92" s="1036" t="s">
        <v>561</v>
      </c>
      <c r="M92" s="1037"/>
      <c r="N92" s="1037"/>
      <c r="O92" s="1038"/>
      <c r="P92" s="1014" t="s">
        <v>563</v>
      </c>
      <c r="Q92" s="1015"/>
      <c r="R92" s="1015"/>
      <c r="S92" s="1016"/>
      <c r="T92" s="1039" t="s">
        <v>564</v>
      </c>
      <c r="U92" s="1040"/>
      <c r="V92" s="1040"/>
      <c r="W92" s="1041"/>
      <c r="X92" s="880"/>
    </row>
    <row r="93" spans="1:24" ht="13.5" thickBot="1">
      <c r="A93" s="885"/>
      <c r="B93" s="885"/>
      <c r="C93" s="9" t="s">
        <v>234</v>
      </c>
      <c r="D93" s="957"/>
      <c r="E93" s="958"/>
      <c r="F93" s="958"/>
      <c r="G93" s="959"/>
      <c r="H93" s="966" t="s">
        <v>256</v>
      </c>
      <c r="I93" s="967"/>
      <c r="J93" s="967"/>
      <c r="K93" s="968"/>
      <c r="L93" s="1023">
        <v>1</v>
      </c>
      <c r="M93" s="1024"/>
      <c r="N93" s="1024"/>
      <c r="O93" s="1025"/>
      <c r="P93" s="1023">
        <v>1.5</v>
      </c>
      <c r="Q93" s="1024"/>
      <c r="R93" s="1024"/>
      <c r="S93" s="1025"/>
      <c r="T93" s="1023">
        <v>2.25</v>
      </c>
      <c r="U93" s="1024"/>
      <c r="V93" s="1024"/>
      <c r="W93" s="1025"/>
      <c r="X93" s="880"/>
    </row>
    <row r="94" spans="1:24" ht="13.5" thickBot="1">
      <c r="A94" s="885"/>
      <c r="B94" s="885"/>
      <c r="C94" s="102" t="s">
        <v>236</v>
      </c>
      <c r="D94" s="1008" t="s">
        <v>416</v>
      </c>
      <c r="E94" s="1009"/>
      <c r="F94" s="1009"/>
      <c r="G94" s="1010"/>
      <c r="H94" s="1020">
        <v>2.7</v>
      </c>
      <c r="I94" s="1021"/>
      <c r="J94" s="1021"/>
      <c r="K94" s="1022"/>
      <c r="L94" s="1020">
        <v>2.5</v>
      </c>
      <c r="M94" s="1021"/>
      <c r="N94" s="1021"/>
      <c r="O94" s="1022"/>
      <c r="P94" s="1020">
        <v>0</v>
      </c>
      <c r="Q94" s="1021"/>
      <c r="R94" s="1021"/>
      <c r="S94" s="1022"/>
      <c r="T94" s="1020">
        <v>0</v>
      </c>
      <c r="U94" s="1021"/>
      <c r="V94" s="1021"/>
      <c r="W94" s="1022"/>
      <c r="X94" s="880"/>
    </row>
    <row r="95" spans="1:24" ht="13.5" thickBot="1">
      <c r="A95" s="885"/>
      <c r="B95" s="885"/>
      <c r="C95" s="102" t="s">
        <v>283</v>
      </c>
      <c r="D95" s="1017"/>
      <c r="E95" s="1018"/>
      <c r="F95" s="1018"/>
      <c r="G95" s="1019"/>
      <c r="H95" s="1017"/>
      <c r="I95" s="1018"/>
      <c r="J95" s="1018"/>
      <c r="K95" s="1019"/>
      <c r="L95" s="1020" t="s">
        <v>447</v>
      </c>
      <c r="M95" s="1021"/>
      <c r="N95" s="1021"/>
      <c r="O95" s="1022"/>
      <c r="P95" s="1020">
        <v>0</v>
      </c>
      <c r="Q95" s="1021"/>
      <c r="R95" s="1021"/>
      <c r="S95" s="1022"/>
      <c r="T95" s="1020">
        <v>0</v>
      </c>
      <c r="U95" s="1021"/>
      <c r="V95" s="1021"/>
      <c r="W95" s="1022"/>
      <c r="X95" s="880"/>
    </row>
    <row r="96" spans="1:24" ht="13.5" thickBot="1">
      <c r="A96" s="885"/>
      <c r="B96" s="885"/>
      <c r="C96" s="102" t="s">
        <v>284</v>
      </c>
      <c r="D96" s="1017"/>
      <c r="E96" s="1018"/>
      <c r="F96" s="1018"/>
      <c r="G96" s="1019"/>
      <c r="H96" s="1017"/>
      <c r="I96" s="1018"/>
      <c r="J96" s="1018"/>
      <c r="K96" s="1019"/>
      <c r="L96" s="1017"/>
      <c r="M96" s="1018"/>
      <c r="N96" s="1018"/>
      <c r="O96" s="1019"/>
      <c r="P96" s="1020">
        <v>0</v>
      </c>
      <c r="Q96" s="1021"/>
      <c r="R96" s="1021"/>
      <c r="S96" s="1022"/>
      <c r="T96" s="1020">
        <v>0</v>
      </c>
      <c r="U96" s="1021"/>
      <c r="V96" s="1021"/>
      <c r="W96" s="1022"/>
      <c r="X96" s="880"/>
    </row>
    <row r="97" spans="1:24" ht="13.5" thickBot="1">
      <c r="A97" s="885"/>
      <c r="B97" s="885"/>
      <c r="C97" s="998" t="s">
        <v>413</v>
      </c>
      <c r="D97" s="927" t="s">
        <v>4</v>
      </c>
      <c r="E97" s="928"/>
      <c r="F97" s="928"/>
      <c r="G97" s="928"/>
      <c r="H97" s="928"/>
      <c r="I97" s="928"/>
      <c r="J97" s="928"/>
      <c r="K97" s="928"/>
      <c r="L97" s="928"/>
      <c r="M97" s="928"/>
      <c r="N97" s="928"/>
      <c r="O97" s="928"/>
      <c r="P97" s="928"/>
      <c r="Q97" s="928"/>
      <c r="R97" s="928"/>
      <c r="S97" s="928"/>
      <c r="T97" s="928"/>
      <c r="U97" s="928"/>
      <c r="V97" s="928"/>
      <c r="W97" s="929"/>
      <c r="X97" s="880"/>
    </row>
    <row r="98" spans="1:24" ht="24" customHeight="1" thickBot="1">
      <c r="A98" s="885"/>
      <c r="B98" s="869"/>
      <c r="C98" s="999"/>
      <c r="D98" s="930" t="s">
        <v>120</v>
      </c>
      <c r="E98" s="931"/>
      <c r="F98" s="931"/>
      <c r="G98" s="931"/>
      <c r="H98" s="931"/>
      <c r="I98" s="931"/>
      <c r="J98" s="931"/>
      <c r="K98" s="931"/>
      <c r="L98" s="931"/>
      <c r="M98" s="931"/>
      <c r="N98" s="931"/>
      <c r="O98" s="931"/>
      <c r="P98" s="931"/>
      <c r="Q98" s="931"/>
      <c r="R98" s="931"/>
      <c r="S98" s="931"/>
      <c r="T98" s="931"/>
      <c r="U98" s="931"/>
      <c r="V98" s="931"/>
      <c r="W98" s="932"/>
      <c r="X98" s="880"/>
    </row>
    <row r="99" spans="1:24" ht="13.5" thickBot="1">
      <c r="A99" s="885"/>
      <c r="B99" s="11" t="s">
        <v>17</v>
      </c>
      <c r="C99" s="12"/>
      <c r="D99" s="927" t="s">
        <v>78</v>
      </c>
      <c r="E99" s="928"/>
      <c r="F99" s="928"/>
      <c r="G99" s="929"/>
      <c r="H99" s="927" t="s">
        <v>77</v>
      </c>
      <c r="I99" s="928"/>
      <c r="J99" s="928"/>
      <c r="K99" s="929"/>
      <c r="L99" s="927" t="s">
        <v>81</v>
      </c>
      <c r="M99" s="928"/>
      <c r="N99" s="928"/>
      <c r="O99" s="929"/>
      <c r="P99" s="927" t="s">
        <v>254</v>
      </c>
      <c r="Q99" s="928"/>
      <c r="R99" s="928"/>
      <c r="S99" s="929"/>
      <c r="T99" s="927" t="s">
        <v>76</v>
      </c>
      <c r="U99" s="928"/>
      <c r="V99" s="928"/>
      <c r="W99" s="929"/>
      <c r="X99" s="880"/>
    </row>
    <row r="100" spans="1:24" ht="13.5" thickBot="1">
      <c r="A100" s="885"/>
      <c r="B100" s="868" t="s">
        <v>59</v>
      </c>
      <c r="C100" s="9" t="s">
        <v>235</v>
      </c>
      <c r="D100" s="1014">
        <v>1</v>
      </c>
      <c r="E100" s="1015"/>
      <c r="F100" s="1015"/>
      <c r="G100" s="1016"/>
      <c r="H100" s="1014">
        <v>2.1</v>
      </c>
      <c r="I100" s="1015"/>
      <c r="J100" s="1015"/>
      <c r="K100" s="1016"/>
      <c r="L100" s="1036" t="s">
        <v>424</v>
      </c>
      <c r="M100" s="1037"/>
      <c r="N100" s="1037"/>
      <c r="O100" s="1038"/>
      <c r="P100" s="1014" t="s">
        <v>427</v>
      </c>
      <c r="Q100" s="1015"/>
      <c r="R100" s="1015"/>
      <c r="S100" s="1016"/>
      <c r="T100" s="1014" t="s">
        <v>428</v>
      </c>
      <c r="U100" s="1015"/>
      <c r="V100" s="1015"/>
      <c r="W100" s="1016"/>
      <c r="X100" s="880"/>
    </row>
    <row r="101" spans="1:24" ht="13.5" thickBot="1">
      <c r="A101" s="885"/>
      <c r="B101" s="885"/>
      <c r="C101" s="9" t="s">
        <v>233</v>
      </c>
      <c r="D101" s="966" t="s">
        <v>255</v>
      </c>
      <c r="E101" s="967"/>
      <c r="F101" s="967"/>
      <c r="G101" s="968"/>
      <c r="H101" s="1014">
        <v>1</v>
      </c>
      <c r="I101" s="1015"/>
      <c r="J101" s="1015"/>
      <c r="K101" s="1016"/>
      <c r="L101" s="1036" t="s">
        <v>562</v>
      </c>
      <c r="M101" s="1037"/>
      <c r="N101" s="1037"/>
      <c r="O101" s="1038"/>
      <c r="P101" s="1014" t="s">
        <v>563</v>
      </c>
      <c r="Q101" s="1015"/>
      <c r="R101" s="1015"/>
      <c r="S101" s="1016"/>
      <c r="T101" s="1039" t="s">
        <v>565</v>
      </c>
      <c r="U101" s="1040"/>
      <c r="V101" s="1040"/>
      <c r="W101" s="1041"/>
      <c r="X101" s="880"/>
    </row>
    <row r="102" spans="1:24" ht="13.5" thickBot="1">
      <c r="A102" s="885"/>
      <c r="B102" s="885"/>
      <c r="C102" s="9" t="s">
        <v>234</v>
      </c>
      <c r="D102" s="957"/>
      <c r="E102" s="958"/>
      <c r="F102" s="958"/>
      <c r="G102" s="959"/>
      <c r="H102" s="966" t="s">
        <v>256</v>
      </c>
      <c r="I102" s="967"/>
      <c r="J102" s="967"/>
      <c r="K102" s="968"/>
      <c r="L102" s="1023">
        <v>1</v>
      </c>
      <c r="M102" s="1024"/>
      <c r="N102" s="1024"/>
      <c r="O102" s="1025"/>
      <c r="P102" s="1023">
        <v>1.5</v>
      </c>
      <c r="Q102" s="1024"/>
      <c r="R102" s="1024"/>
      <c r="S102" s="1025"/>
      <c r="T102" s="1023">
        <v>2.5</v>
      </c>
      <c r="U102" s="1024"/>
      <c r="V102" s="1024"/>
      <c r="W102" s="1025"/>
      <c r="X102" s="880"/>
    </row>
    <row r="103" spans="1:24" ht="13.5" thickBot="1">
      <c r="A103" s="885"/>
      <c r="B103" s="885"/>
      <c r="C103" s="102" t="s">
        <v>236</v>
      </c>
      <c r="D103" s="1008" t="s">
        <v>416</v>
      </c>
      <c r="E103" s="1009"/>
      <c r="F103" s="1009"/>
      <c r="G103" s="1010"/>
      <c r="H103" s="1020">
        <v>2.6</v>
      </c>
      <c r="I103" s="1021"/>
      <c r="J103" s="1021"/>
      <c r="K103" s="1022"/>
      <c r="L103" s="1020">
        <v>2.8</v>
      </c>
      <c r="M103" s="1021"/>
      <c r="N103" s="1021"/>
      <c r="O103" s="1022"/>
      <c r="P103" s="1020">
        <v>0</v>
      </c>
      <c r="Q103" s="1021"/>
      <c r="R103" s="1021"/>
      <c r="S103" s="1022"/>
      <c r="T103" s="1020">
        <v>0</v>
      </c>
      <c r="U103" s="1021"/>
      <c r="V103" s="1021"/>
      <c r="W103" s="1022"/>
      <c r="X103" s="880"/>
    </row>
    <row r="104" spans="1:24" ht="13.5" thickBot="1">
      <c r="A104" s="885"/>
      <c r="B104" s="885"/>
      <c r="C104" s="102" t="s">
        <v>283</v>
      </c>
      <c r="D104" s="1017"/>
      <c r="E104" s="1018"/>
      <c r="F104" s="1018"/>
      <c r="G104" s="1019"/>
      <c r="H104" s="1017"/>
      <c r="I104" s="1018"/>
      <c r="J104" s="1018"/>
      <c r="K104" s="1019"/>
      <c r="L104" s="1020" t="s">
        <v>447</v>
      </c>
      <c r="M104" s="1021"/>
      <c r="N104" s="1021"/>
      <c r="O104" s="1022"/>
      <c r="P104" s="1020">
        <v>0</v>
      </c>
      <c r="Q104" s="1021"/>
      <c r="R104" s="1021"/>
      <c r="S104" s="1022"/>
      <c r="T104" s="1020">
        <v>0</v>
      </c>
      <c r="U104" s="1021"/>
      <c r="V104" s="1021"/>
      <c r="W104" s="1022"/>
      <c r="X104" s="880"/>
    </row>
    <row r="105" spans="1:24" ht="13.5" thickBot="1">
      <c r="A105" s="885"/>
      <c r="B105" s="885"/>
      <c r="C105" s="102" t="s">
        <v>284</v>
      </c>
      <c r="D105" s="1017"/>
      <c r="E105" s="1018"/>
      <c r="F105" s="1018"/>
      <c r="G105" s="1019"/>
      <c r="H105" s="1017"/>
      <c r="I105" s="1018"/>
      <c r="J105" s="1018"/>
      <c r="K105" s="1019"/>
      <c r="L105" s="1017"/>
      <c r="M105" s="1018"/>
      <c r="N105" s="1018"/>
      <c r="O105" s="1019"/>
      <c r="P105" s="1020">
        <v>0</v>
      </c>
      <c r="Q105" s="1021"/>
      <c r="R105" s="1021"/>
      <c r="S105" s="1022"/>
      <c r="T105" s="1020">
        <v>0</v>
      </c>
      <c r="U105" s="1021"/>
      <c r="V105" s="1021"/>
      <c r="W105" s="1022"/>
      <c r="X105" s="880"/>
    </row>
    <row r="106" spans="1:24" ht="13.5" thickBot="1">
      <c r="A106" s="885"/>
      <c r="B106" s="885"/>
      <c r="C106" s="998" t="s">
        <v>413</v>
      </c>
      <c r="D106" s="927" t="s">
        <v>4</v>
      </c>
      <c r="E106" s="928"/>
      <c r="F106" s="928"/>
      <c r="G106" s="928"/>
      <c r="H106" s="928"/>
      <c r="I106" s="928"/>
      <c r="J106" s="928"/>
      <c r="K106" s="928"/>
      <c r="L106" s="928"/>
      <c r="M106" s="928"/>
      <c r="N106" s="928"/>
      <c r="O106" s="928"/>
      <c r="P106" s="928"/>
      <c r="Q106" s="928"/>
      <c r="R106" s="928"/>
      <c r="S106" s="928"/>
      <c r="T106" s="928"/>
      <c r="U106" s="928"/>
      <c r="V106" s="928"/>
      <c r="W106" s="929"/>
      <c r="X106" s="880"/>
    </row>
    <row r="107" spans="1:24" ht="13.5" thickBot="1">
      <c r="A107" s="885"/>
      <c r="B107" s="869"/>
      <c r="C107" s="999"/>
      <c r="D107" s="930" t="s">
        <v>118</v>
      </c>
      <c r="E107" s="931"/>
      <c r="F107" s="931"/>
      <c r="G107" s="931"/>
      <c r="H107" s="931"/>
      <c r="I107" s="931"/>
      <c r="J107" s="931"/>
      <c r="K107" s="931"/>
      <c r="L107" s="931"/>
      <c r="M107" s="931"/>
      <c r="N107" s="931"/>
      <c r="O107" s="931"/>
      <c r="P107" s="931"/>
      <c r="Q107" s="931"/>
      <c r="R107" s="931"/>
      <c r="S107" s="931"/>
      <c r="T107" s="931"/>
      <c r="U107" s="931"/>
      <c r="V107" s="931"/>
      <c r="W107" s="932"/>
      <c r="X107" s="880"/>
    </row>
    <row r="108" spans="1:24" ht="13.5" thickBot="1">
      <c r="A108" s="885"/>
      <c r="B108" s="11" t="s">
        <v>18</v>
      </c>
      <c r="C108" s="12"/>
      <c r="D108" s="927" t="s">
        <v>78</v>
      </c>
      <c r="E108" s="928"/>
      <c r="F108" s="928"/>
      <c r="G108" s="929"/>
      <c r="H108" s="927" t="s">
        <v>77</v>
      </c>
      <c r="I108" s="928"/>
      <c r="J108" s="928"/>
      <c r="K108" s="929"/>
      <c r="L108" s="927" t="s">
        <v>81</v>
      </c>
      <c r="M108" s="928"/>
      <c r="N108" s="928"/>
      <c r="O108" s="929"/>
      <c r="P108" s="927" t="s">
        <v>254</v>
      </c>
      <c r="Q108" s="928"/>
      <c r="R108" s="928"/>
      <c r="S108" s="929"/>
      <c r="T108" s="927" t="s">
        <v>76</v>
      </c>
      <c r="U108" s="928"/>
      <c r="V108" s="928"/>
      <c r="W108" s="929"/>
      <c r="X108" s="880"/>
    </row>
    <row r="109" spans="1:24" ht="13.5" thickBot="1">
      <c r="A109" s="885"/>
      <c r="B109" s="868" t="s">
        <v>60</v>
      </c>
      <c r="C109" s="9" t="s">
        <v>247</v>
      </c>
      <c r="D109" s="1000">
        <v>0</v>
      </c>
      <c r="E109" s="1001"/>
      <c r="F109" s="1001"/>
      <c r="G109" s="1002"/>
      <c r="H109" s="1000">
        <v>0</v>
      </c>
      <c r="I109" s="1001"/>
      <c r="J109" s="1001"/>
      <c r="K109" s="1002"/>
      <c r="L109" s="1000">
        <v>5</v>
      </c>
      <c r="M109" s="1001"/>
      <c r="N109" s="1001"/>
      <c r="O109" s="1002"/>
      <c r="P109" s="1000">
        <v>15</v>
      </c>
      <c r="Q109" s="1001"/>
      <c r="R109" s="1001"/>
      <c r="S109" s="1002"/>
      <c r="T109" s="1000">
        <v>30</v>
      </c>
      <c r="U109" s="1001"/>
      <c r="V109" s="1001"/>
      <c r="W109" s="1002"/>
      <c r="X109" s="880"/>
    </row>
    <row r="110" spans="1:24" ht="13.5" thickBot="1">
      <c r="A110" s="869"/>
      <c r="B110" s="885"/>
      <c r="C110" s="102" t="s">
        <v>246</v>
      </c>
      <c r="D110" s="1003" t="s">
        <v>172</v>
      </c>
      <c r="E110" s="1004"/>
      <c r="F110" s="1004"/>
      <c r="G110" s="1005"/>
      <c r="H110" s="1003" t="s">
        <v>417</v>
      </c>
      <c r="I110" s="1004"/>
      <c r="J110" s="1004"/>
      <c r="K110" s="1005"/>
      <c r="L110" s="995">
        <v>11</v>
      </c>
      <c r="M110" s="996"/>
      <c r="N110" s="996"/>
      <c r="O110" s="997"/>
      <c r="P110" s="995">
        <v>0</v>
      </c>
      <c r="Q110" s="996"/>
      <c r="R110" s="996"/>
      <c r="S110" s="997"/>
      <c r="T110" s="995">
        <v>0</v>
      </c>
      <c r="U110" s="996"/>
      <c r="V110" s="996"/>
      <c r="W110" s="997"/>
      <c r="X110" s="881"/>
    </row>
    <row r="111" spans="1:24" ht="13.5" thickBot="1">
      <c r="A111" s="96" t="s">
        <v>13</v>
      </c>
      <c r="B111" s="885"/>
      <c r="C111" s="998" t="s">
        <v>413</v>
      </c>
      <c r="D111" s="927" t="s">
        <v>4</v>
      </c>
      <c r="E111" s="928"/>
      <c r="F111" s="928"/>
      <c r="G111" s="928"/>
      <c r="H111" s="928"/>
      <c r="I111" s="928"/>
      <c r="J111" s="928"/>
      <c r="K111" s="928"/>
      <c r="L111" s="928"/>
      <c r="M111" s="928"/>
      <c r="N111" s="928"/>
      <c r="O111" s="928"/>
      <c r="P111" s="928"/>
      <c r="Q111" s="928"/>
      <c r="R111" s="928"/>
      <c r="S111" s="928"/>
      <c r="T111" s="928"/>
      <c r="U111" s="928"/>
      <c r="V111" s="928"/>
      <c r="W111" s="929"/>
      <c r="X111" s="24" t="s">
        <v>14</v>
      </c>
    </row>
    <row r="112" spans="1:24" ht="13.5" thickBot="1">
      <c r="A112" s="25" t="s">
        <v>75</v>
      </c>
      <c r="B112" s="869"/>
      <c r="C112" s="999"/>
      <c r="D112" s="930" t="s">
        <v>119</v>
      </c>
      <c r="E112" s="931"/>
      <c r="F112" s="931"/>
      <c r="G112" s="931"/>
      <c r="H112" s="931"/>
      <c r="I112" s="931"/>
      <c r="J112" s="931"/>
      <c r="K112" s="931"/>
      <c r="L112" s="931"/>
      <c r="M112" s="931"/>
      <c r="N112" s="931"/>
      <c r="O112" s="931"/>
      <c r="P112" s="931"/>
      <c r="Q112" s="931"/>
      <c r="R112" s="931"/>
      <c r="S112" s="931"/>
      <c r="T112" s="931"/>
      <c r="U112" s="931"/>
      <c r="V112" s="931"/>
      <c r="W112" s="932"/>
      <c r="X112" s="18" t="s">
        <v>92</v>
      </c>
    </row>
    <row r="113" spans="1:24" ht="13.5" thickBot="1">
      <c r="A113" s="906" t="s">
        <v>7</v>
      </c>
      <c r="B113" s="908" t="s">
        <v>173</v>
      </c>
      <c r="C113" s="918"/>
      <c r="D113" s="908" t="s">
        <v>8</v>
      </c>
      <c r="E113" s="918"/>
      <c r="F113" s="918"/>
      <c r="G113" s="909"/>
      <c r="H113" s="908" t="s">
        <v>88</v>
      </c>
      <c r="I113" s="918"/>
      <c r="J113" s="918"/>
      <c r="K113" s="909"/>
      <c r="L113" s="908" t="s">
        <v>89</v>
      </c>
      <c r="M113" s="918"/>
      <c r="N113" s="918"/>
      <c r="O113" s="909"/>
      <c r="P113" s="908" t="s">
        <v>9</v>
      </c>
      <c r="Q113" s="918"/>
      <c r="R113" s="918"/>
      <c r="S113" s="909"/>
      <c r="T113" s="908" t="s">
        <v>174</v>
      </c>
      <c r="U113" s="918"/>
      <c r="V113" s="918"/>
      <c r="W113" s="918"/>
      <c r="X113" s="909"/>
    </row>
    <row r="114" spans="1:24" ht="13.5" thickBot="1">
      <c r="A114" s="907"/>
      <c r="B114" s="919">
        <v>6200000</v>
      </c>
      <c r="C114" s="921"/>
      <c r="D114" s="919">
        <v>900000</v>
      </c>
      <c r="E114" s="921"/>
      <c r="F114" s="921"/>
      <c r="G114" s="920"/>
      <c r="H114" s="919">
        <v>1800000</v>
      </c>
      <c r="I114" s="921"/>
      <c r="J114" s="921"/>
      <c r="K114" s="920"/>
      <c r="L114" s="919">
        <v>3300000</v>
      </c>
      <c r="M114" s="921"/>
      <c r="N114" s="921"/>
      <c r="O114" s="920"/>
      <c r="P114" s="919">
        <f>SUM(B114:O114)</f>
        <v>12200000</v>
      </c>
      <c r="Q114" s="921"/>
      <c r="R114" s="921"/>
      <c r="S114" s="920"/>
      <c r="T114" s="942">
        <f>B114/P114%</f>
        <v>50.819672131147541</v>
      </c>
      <c r="U114" s="943"/>
      <c r="V114" s="943"/>
      <c r="W114" s="943"/>
      <c r="X114" s="944"/>
    </row>
    <row r="115" spans="1:24" ht="13.5" thickBot="1">
      <c r="A115" s="906" t="s">
        <v>10</v>
      </c>
      <c r="B115" s="908" t="s">
        <v>175</v>
      </c>
      <c r="C115" s="918"/>
      <c r="D115" s="910"/>
      <c r="E115" s="911"/>
      <c r="F115" s="911"/>
      <c r="G115" s="911"/>
      <c r="H115" s="911"/>
      <c r="I115" s="911"/>
      <c r="J115" s="911"/>
      <c r="K115" s="911"/>
      <c r="L115" s="911"/>
      <c r="M115" s="911"/>
      <c r="N115" s="911"/>
      <c r="O115" s="911"/>
      <c r="P115" s="911"/>
      <c r="Q115" s="911"/>
      <c r="R115" s="911"/>
      <c r="S115" s="911"/>
      <c r="T115" s="911"/>
      <c r="U115" s="911"/>
      <c r="V115" s="911"/>
      <c r="W115" s="911"/>
      <c r="X115" s="912"/>
    </row>
    <row r="116" spans="1:24" ht="13.5" thickBot="1">
      <c r="A116" s="907"/>
      <c r="B116" s="916"/>
      <c r="C116" s="994"/>
      <c r="D116" s="913"/>
      <c r="E116" s="914"/>
      <c r="F116" s="914"/>
      <c r="G116" s="914"/>
      <c r="H116" s="914"/>
      <c r="I116" s="914"/>
      <c r="J116" s="914"/>
      <c r="K116" s="914"/>
      <c r="L116" s="914"/>
      <c r="M116" s="914"/>
      <c r="N116" s="914"/>
      <c r="O116" s="914"/>
      <c r="P116" s="914"/>
      <c r="Q116" s="914"/>
      <c r="R116" s="914"/>
      <c r="S116" s="914"/>
      <c r="T116" s="914"/>
      <c r="U116" s="914"/>
      <c r="V116" s="914"/>
      <c r="W116" s="914"/>
      <c r="X116" s="915"/>
    </row>
    <row r="117" spans="1:24">
      <c r="A117" s="5"/>
      <c r="B117" s="5"/>
      <c r="C117" s="6"/>
      <c r="D117" s="5"/>
      <c r="E117" s="5"/>
      <c r="F117" s="5"/>
      <c r="G117" s="5"/>
      <c r="H117" s="5"/>
      <c r="I117" s="5"/>
      <c r="J117" s="5"/>
      <c r="K117" s="5"/>
      <c r="L117" s="5"/>
      <c r="M117" s="5"/>
      <c r="N117" s="5"/>
      <c r="O117" s="5"/>
      <c r="P117" s="5"/>
      <c r="Q117" s="5"/>
      <c r="R117" s="5"/>
      <c r="S117" s="5"/>
      <c r="T117" s="5"/>
      <c r="U117" s="5"/>
      <c r="V117" s="5"/>
      <c r="W117" s="5"/>
      <c r="X117" s="5"/>
    </row>
    <row r="118" spans="1:24" ht="13.5" thickBot="1">
      <c r="A118" s="5"/>
      <c r="B118" s="5"/>
      <c r="C118" s="6"/>
      <c r="D118" s="5"/>
      <c r="E118" s="5"/>
      <c r="F118" s="5"/>
      <c r="G118" s="5"/>
      <c r="H118" s="5"/>
      <c r="I118" s="5"/>
      <c r="J118" s="5"/>
      <c r="K118" s="5"/>
      <c r="L118" s="115" t="s">
        <v>438</v>
      </c>
      <c r="M118" s="5"/>
      <c r="N118" s="5"/>
      <c r="O118" s="5"/>
      <c r="P118" s="5"/>
      <c r="Q118" s="5"/>
      <c r="R118" s="5"/>
      <c r="S118" s="5"/>
      <c r="T118" s="5"/>
      <c r="U118" s="5"/>
      <c r="V118" s="5"/>
      <c r="W118" s="5"/>
      <c r="X118" s="5"/>
    </row>
    <row r="119" spans="1:24" ht="13.5" thickBot="1">
      <c r="A119" s="95" t="s">
        <v>15</v>
      </c>
      <c r="B119" s="97" t="s">
        <v>19</v>
      </c>
      <c r="C119" s="8"/>
      <c r="D119" s="927" t="s">
        <v>78</v>
      </c>
      <c r="E119" s="928"/>
      <c r="F119" s="928"/>
      <c r="G119" s="929"/>
      <c r="H119" s="927" t="s">
        <v>77</v>
      </c>
      <c r="I119" s="928"/>
      <c r="J119" s="928"/>
      <c r="K119" s="929"/>
      <c r="L119" s="927" t="s">
        <v>81</v>
      </c>
      <c r="M119" s="928"/>
      <c r="N119" s="928"/>
      <c r="O119" s="929"/>
      <c r="P119" s="927" t="s">
        <v>254</v>
      </c>
      <c r="Q119" s="928"/>
      <c r="R119" s="928"/>
      <c r="S119" s="929"/>
      <c r="T119" s="927" t="s">
        <v>76</v>
      </c>
      <c r="U119" s="928"/>
      <c r="V119" s="928"/>
      <c r="W119" s="929"/>
      <c r="X119" s="16" t="s">
        <v>6</v>
      </c>
    </row>
    <row r="120" spans="1:24" ht="13.5" thickBot="1">
      <c r="A120" s="868" t="s">
        <v>61</v>
      </c>
      <c r="B120" s="868" t="s">
        <v>62</v>
      </c>
      <c r="C120" s="9" t="s">
        <v>235</v>
      </c>
      <c r="D120" s="1014">
        <v>1</v>
      </c>
      <c r="E120" s="1015"/>
      <c r="F120" s="1015"/>
      <c r="G120" s="1016"/>
      <c r="H120" s="1014">
        <v>1.8</v>
      </c>
      <c r="I120" s="1015"/>
      <c r="J120" s="1015"/>
      <c r="K120" s="1016"/>
      <c r="L120" s="1036" t="s">
        <v>429</v>
      </c>
      <c r="M120" s="1037"/>
      <c r="N120" s="1037"/>
      <c r="O120" s="1038"/>
      <c r="P120" s="1014" t="s">
        <v>430</v>
      </c>
      <c r="Q120" s="1015"/>
      <c r="R120" s="1015"/>
      <c r="S120" s="1016"/>
      <c r="T120" s="1014" t="s">
        <v>431</v>
      </c>
      <c r="U120" s="1015"/>
      <c r="V120" s="1015"/>
      <c r="W120" s="1016"/>
      <c r="X120" s="879" t="s">
        <v>94</v>
      </c>
    </row>
    <row r="121" spans="1:24" ht="13.5" thickBot="1">
      <c r="A121" s="885"/>
      <c r="B121" s="885"/>
      <c r="C121" s="9" t="s">
        <v>233</v>
      </c>
      <c r="D121" s="966" t="s">
        <v>255</v>
      </c>
      <c r="E121" s="967"/>
      <c r="F121" s="967"/>
      <c r="G121" s="968"/>
      <c r="H121" s="1014">
        <v>1</v>
      </c>
      <c r="I121" s="1015"/>
      <c r="J121" s="1015"/>
      <c r="K121" s="1016"/>
      <c r="L121" s="1036" t="s">
        <v>562</v>
      </c>
      <c r="M121" s="1037"/>
      <c r="N121" s="1037"/>
      <c r="O121" s="1038"/>
      <c r="P121" s="1014" t="s">
        <v>566</v>
      </c>
      <c r="Q121" s="1015"/>
      <c r="R121" s="1015"/>
      <c r="S121" s="1016"/>
      <c r="T121" s="1039" t="s">
        <v>567</v>
      </c>
      <c r="U121" s="1040"/>
      <c r="V121" s="1040"/>
      <c r="W121" s="1041"/>
      <c r="X121" s="880"/>
    </row>
    <row r="122" spans="1:24" ht="13.5" thickBot="1">
      <c r="A122" s="885"/>
      <c r="B122" s="885"/>
      <c r="C122" s="9" t="s">
        <v>234</v>
      </c>
      <c r="D122" s="957"/>
      <c r="E122" s="958"/>
      <c r="F122" s="958"/>
      <c r="G122" s="959"/>
      <c r="H122" s="966" t="s">
        <v>256</v>
      </c>
      <c r="I122" s="967"/>
      <c r="J122" s="967"/>
      <c r="K122" s="968"/>
      <c r="L122" s="1023">
        <v>1</v>
      </c>
      <c r="M122" s="1024"/>
      <c r="N122" s="1024"/>
      <c r="O122" s="1025"/>
      <c r="P122" s="1023">
        <v>1.5</v>
      </c>
      <c r="Q122" s="1024"/>
      <c r="R122" s="1024"/>
      <c r="S122" s="1025"/>
      <c r="T122" s="1023">
        <v>2.5</v>
      </c>
      <c r="U122" s="1024"/>
      <c r="V122" s="1024"/>
      <c r="W122" s="1025"/>
      <c r="X122" s="880"/>
    </row>
    <row r="123" spans="1:24" ht="13.5" thickBot="1">
      <c r="A123" s="885"/>
      <c r="B123" s="885"/>
      <c r="C123" s="102" t="s">
        <v>236</v>
      </c>
      <c r="D123" s="1008" t="s">
        <v>416</v>
      </c>
      <c r="E123" s="1009"/>
      <c r="F123" s="1009"/>
      <c r="G123" s="1010"/>
      <c r="H123" s="1020">
        <v>2</v>
      </c>
      <c r="I123" s="1021"/>
      <c r="J123" s="1021"/>
      <c r="K123" s="1022"/>
      <c r="L123" s="1020">
        <v>2.5</v>
      </c>
      <c r="M123" s="1021"/>
      <c r="N123" s="1021"/>
      <c r="O123" s="1022"/>
      <c r="P123" s="1020">
        <v>0</v>
      </c>
      <c r="Q123" s="1021"/>
      <c r="R123" s="1021"/>
      <c r="S123" s="1022"/>
      <c r="T123" s="1020">
        <v>0</v>
      </c>
      <c r="U123" s="1021"/>
      <c r="V123" s="1021"/>
      <c r="W123" s="1022"/>
      <c r="X123" s="880"/>
    </row>
    <row r="124" spans="1:24" ht="13.5" thickBot="1">
      <c r="A124" s="885"/>
      <c r="B124" s="885"/>
      <c r="C124" s="102" t="s">
        <v>283</v>
      </c>
      <c r="D124" s="1017"/>
      <c r="E124" s="1018"/>
      <c r="F124" s="1018"/>
      <c r="G124" s="1019"/>
      <c r="H124" s="1017"/>
      <c r="I124" s="1018"/>
      <c r="J124" s="1018"/>
      <c r="K124" s="1019"/>
      <c r="L124" s="1020" t="s">
        <v>447</v>
      </c>
      <c r="M124" s="1021"/>
      <c r="N124" s="1021"/>
      <c r="O124" s="1022"/>
      <c r="P124" s="1020">
        <v>0</v>
      </c>
      <c r="Q124" s="1021"/>
      <c r="R124" s="1021"/>
      <c r="S124" s="1022"/>
      <c r="T124" s="1020">
        <v>0</v>
      </c>
      <c r="U124" s="1021"/>
      <c r="V124" s="1021"/>
      <c r="W124" s="1022"/>
      <c r="X124" s="880"/>
    </row>
    <row r="125" spans="1:24" ht="13.5" thickBot="1">
      <c r="A125" s="885"/>
      <c r="B125" s="885"/>
      <c r="C125" s="102" t="s">
        <v>284</v>
      </c>
      <c r="D125" s="1017"/>
      <c r="E125" s="1018"/>
      <c r="F125" s="1018"/>
      <c r="G125" s="1019"/>
      <c r="H125" s="1017"/>
      <c r="I125" s="1018"/>
      <c r="J125" s="1018"/>
      <c r="K125" s="1019"/>
      <c r="L125" s="1017"/>
      <c r="M125" s="1018"/>
      <c r="N125" s="1018"/>
      <c r="O125" s="1019"/>
      <c r="P125" s="1020">
        <v>0</v>
      </c>
      <c r="Q125" s="1021"/>
      <c r="R125" s="1021"/>
      <c r="S125" s="1022"/>
      <c r="T125" s="1020">
        <v>0</v>
      </c>
      <c r="U125" s="1021"/>
      <c r="V125" s="1021"/>
      <c r="W125" s="1022"/>
      <c r="X125" s="880"/>
    </row>
    <row r="126" spans="1:24" ht="13.5" thickBot="1">
      <c r="A126" s="885"/>
      <c r="B126" s="885"/>
      <c r="C126" s="998" t="s">
        <v>413</v>
      </c>
      <c r="D126" s="927" t="s">
        <v>4</v>
      </c>
      <c r="E126" s="928"/>
      <c r="F126" s="928"/>
      <c r="G126" s="928"/>
      <c r="H126" s="928"/>
      <c r="I126" s="928"/>
      <c r="J126" s="928"/>
      <c r="K126" s="928"/>
      <c r="L126" s="928"/>
      <c r="M126" s="928"/>
      <c r="N126" s="928"/>
      <c r="O126" s="928"/>
      <c r="P126" s="928"/>
      <c r="Q126" s="928"/>
      <c r="R126" s="928"/>
      <c r="S126" s="928"/>
      <c r="T126" s="928"/>
      <c r="U126" s="928"/>
      <c r="V126" s="928"/>
      <c r="W126" s="929"/>
      <c r="X126" s="880"/>
    </row>
    <row r="127" spans="1:24" ht="24" customHeight="1" thickBot="1">
      <c r="A127" s="885"/>
      <c r="B127" s="869"/>
      <c r="C127" s="999"/>
      <c r="D127" s="930" t="s">
        <v>120</v>
      </c>
      <c r="E127" s="931"/>
      <c r="F127" s="931"/>
      <c r="G127" s="931"/>
      <c r="H127" s="931"/>
      <c r="I127" s="931"/>
      <c r="J127" s="931"/>
      <c r="K127" s="931"/>
      <c r="L127" s="931"/>
      <c r="M127" s="931"/>
      <c r="N127" s="931"/>
      <c r="O127" s="931"/>
      <c r="P127" s="931"/>
      <c r="Q127" s="931"/>
      <c r="R127" s="931"/>
      <c r="S127" s="931"/>
      <c r="T127" s="931"/>
      <c r="U127" s="931"/>
      <c r="V127" s="931"/>
      <c r="W127" s="932"/>
      <c r="X127" s="880"/>
    </row>
    <row r="128" spans="1:24" ht="13.5" thickBot="1">
      <c r="A128" s="885"/>
      <c r="B128" s="11" t="s">
        <v>20</v>
      </c>
      <c r="C128" s="12"/>
      <c r="D128" s="927" t="s">
        <v>78</v>
      </c>
      <c r="E128" s="928"/>
      <c r="F128" s="928"/>
      <c r="G128" s="929"/>
      <c r="H128" s="927" t="s">
        <v>77</v>
      </c>
      <c r="I128" s="928"/>
      <c r="J128" s="928"/>
      <c r="K128" s="929"/>
      <c r="L128" s="927" t="s">
        <v>81</v>
      </c>
      <c r="M128" s="928"/>
      <c r="N128" s="928"/>
      <c r="O128" s="929"/>
      <c r="P128" s="927" t="s">
        <v>254</v>
      </c>
      <c r="Q128" s="928"/>
      <c r="R128" s="928"/>
      <c r="S128" s="929"/>
      <c r="T128" s="927" t="s">
        <v>76</v>
      </c>
      <c r="U128" s="928"/>
      <c r="V128" s="928"/>
      <c r="W128" s="929"/>
      <c r="X128" s="880"/>
    </row>
    <row r="129" spans="1:24" ht="13.5" thickBot="1">
      <c r="A129" s="885"/>
      <c r="B129" s="868" t="s">
        <v>59</v>
      </c>
      <c r="C129" s="9" t="s">
        <v>235</v>
      </c>
      <c r="D129" s="1014">
        <v>1</v>
      </c>
      <c r="E129" s="1015"/>
      <c r="F129" s="1015"/>
      <c r="G129" s="1016"/>
      <c r="H129" s="1014">
        <v>1.8</v>
      </c>
      <c r="I129" s="1015"/>
      <c r="J129" s="1015"/>
      <c r="K129" s="1016"/>
      <c r="L129" s="1036" t="s">
        <v>432</v>
      </c>
      <c r="M129" s="1037"/>
      <c r="N129" s="1037"/>
      <c r="O129" s="1038"/>
      <c r="P129" s="1014" t="s">
        <v>433</v>
      </c>
      <c r="Q129" s="1015"/>
      <c r="R129" s="1015"/>
      <c r="S129" s="1016"/>
      <c r="T129" s="1014" t="s">
        <v>434</v>
      </c>
      <c r="U129" s="1015"/>
      <c r="V129" s="1015"/>
      <c r="W129" s="1016"/>
      <c r="X129" s="880"/>
    </row>
    <row r="130" spans="1:24" ht="13.5" thickBot="1">
      <c r="A130" s="885"/>
      <c r="B130" s="885"/>
      <c r="C130" s="9" t="s">
        <v>233</v>
      </c>
      <c r="D130" s="966" t="s">
        <v>255</v>
      </c>
      <c r="E130" s="967"/>
      <c r="F130" s="967"/>
      <c r="G130" s="968"/>
      <c r="H130" s="1014">
        <v>1</v>
      </c>
      <c r="I130" s="1015"/>
      <c r="J130" s="1015"/>
      <c r="K130" s="1016"/>
      <c r="L130" s="1036" t="s">
        <v>562</v>
      </c>
      <c r="M130" s="1037"/>
      <c r="N130" s="1037"/>
      <c r="O130" s="1038"/>
      <c r="P130" s="1014" t="s">
        <v>568</v>
      </c>
      <c r="Q130" s="1015"/>
      <c r="R130" s="1015"/>
      <c r="S130" s="1016"/>
      <c r="T130" s="1039" t="s">
        <v>569</v>
      </c>
      <c r="U130" s="1040"/>
      <c r="V130" s="1040"/>
      <c r="W130" s="1041"/>
      <c r="X130" s="880"/>
    </row>
    <row r="131" spans="1:24" ht="13.5" thickBot="1">
      <c r="A131" s="885"/>
      <c r="B131" s="885"/>
      <c r="C131" s="9" t="s">
        <v>234</v>
      </c>
      <c r="D131" s="957"/>
      <c r="E131" s="958"/>
      <c r="F131" s="958"/>
      <c r="G131" s="959"/>
      <c r="H131" s="966" t="s">
        <v>256</v>
      </c>
      <c r="I131" s="967"/>
      <c r="J131" s="967"/>
      <c r="K131" s="968"/>
      <c r="L131" s="1023">
        <v>1</v>
      </c>
      <c r="M131" s="1024"/>
      <c r="N131" s="1024"/>
      <c r="O131" s="1025"/>
      <c r="P131" s="1023">
        <v>1.5</v>
      </c>
      <c r="Q131" s="1024"/>
      <c r="R131" s="1024"/>
      <c r="S131" s="1025"/>
      <c r="T131" s="1023">
        <v>2.5</v>
      </c>
      <c r="U131" s="1024"/>
      <c r="V131" s="1024"/>
      <c r="W131" s="1025"/>
      <c r="X131" s="880"/>
    </row>
    <row r="132" spans="1:24" ht="13.5" thickBot="1">
      <c r="A132" s="885"/>
      <c r="B132" s="885"/>
      <c r="C132" s="102" t="s">
        <v>236</v>
      </c>
      <c r="D132" s="1008" t="s">
        <v>416</v>
      </c>
      <c r="E132" s="1009"/>
      <c r="F132" s="1009"/>
      <c r="G132" s="1010"/>
      <c r="H132" s="1020">
        <v>1.8</v>
      </c>
      <c r="I132" s="1021"/>
      <c r="J132" s="1021"/>
      <c r="K132" s="1022"/>
      <c r="L132" s="1020">
        <v>2.9</v>
      </c>
      <c r="M132" s="1021"/>
      <c r="N132" s="1021"/>
      <c r="O132" s="1022"/>
      <c r="P132" s="1020">
        <v>0</v>
      </c>
      <c r="Q132" s="1021"/>
      <c r="R132" s="1021"/>
      <c r="S132" s="1022"/>
      <c r="T132" s="1020">
        <v>0</v>
      </c>
      <c r="U132" s="1021"/>
      <c r="V132" s="1021"/>
      <c r="W132" s="1022"/>
      <c r="X132" s="880"/>
    </row>
    <row r="133" spans="1:24" ht="13.5" thickBot="1">
      <c r="A133" s="885"/>
      <c r="B133" s="885"/>
      <c r="C133" s="102" t="s">
        <v>283</v>
      </c>
      <c r="D133" s="1017"/>
      <c r="E133" s="1018"/>
      <c r="F133" s="1018"/>
      <c r="G133" s="1019"/>
      <c r="H133" s="1017"/>
      <c r="I133" s="1018"/>
      <c r="J133" s="1018"/>
      <c r="K133" s="1019"/>
      <c r="L133" s="1020" t="s">
        <v>447</v>
      </c>
      <c r="M133" s="1021"/>
      <c r="N133" s="1021"/>
      <c r="O133" s="1022"/>
      <c r="P133" s="1020">
        <v>0</v>
      </c>
      <c r="Q133" s="1021"/>
      <c r="R133" s="1021"/>
      <c r="S133" s="1022"/>
      <c r="T133" s="1020">
        <v>0</v>
      </c>
      <c r="U133" s="1021"/>
      <c r="V133" s="1021"/>
      <c r="W133" s="1022"/>
      <c r="X133" s="880"/>
    </row>
    <row r="134" spans="1:24" ht="13.5" thickBot="1">
      <c r="A134" s="885"/>
      <c r="B134" s="885"/>
      <c r="C134" s="102" t="s">
        <v>284</v>
      </c>
      <c r="D134" s="1017"/>
      <c r="E134" s="1018"/>
      <c r="F134" s="1018"/>
      <c r="G134" s="1019"/>
      <c r="H134" s="1017"/>
      <c r="I134" s="1018"/>
      <c r="J134" s="1018"/>
      <c r="K134" s="1019"/>
      <c r="L134" s="1017"/>
      <c r="M134" s="1018"/>
      <c r="N134" s="1018"/>
      <c r="O134" s="1019"/>
      <c r="P134" s="1020">
        <v>0</v>
      </c>
      <c r="Q134" s="1021"/>
      <c r="R134" s="1021"/>
      <c r="S134" s="1022"/>
      <c r="T134" s="1020">
        <v>0</v>
      </c>
      <c r="U134" s="1021"/>
      <c r="V134" s="1021"/>
      <c r="W134" s="1022"/>
      <c r="X134" s="880"/>
    </row>
    <row r="135" spans="1:24" ht="13.5" thickBot="1">
      <c r="A135" s="885"/>
      <c r="B135" s="885"/>
      <c r="C135" s="998" t="s">
        <v>413</v>
      </c>
      <c r="D135" s="927" t="s">
        <v>4</v>
      </c>
      <c r="E135" s="928"/>
      <c r="F135" s="928"/>
      <c r="G135" s="928"/>
      <c r="H135" s="928"/>
      <c r="I135" s="928"/>
      <c r="J135" s="928"/>
      <c r="K135" s="928"/>
      <c r="L135" s="928"/>
      <c r="M135" s="928"/>
      <c r="N135" s="928"/>
      <c r="O135" s="928"/>
      <c r="P135" s="928"/>
      <c r="Q135" s="928"/>
      <c r="R135" s="928"/>
      <c r="S135" s="928"/>
      <c r="T135" s="928"/>
      <c r="U135" s="928"/>
      <c r="V135" s="928"/>
      <c r="W135" s="929"/>
      <c r="X135" s="880"/>
    </row>
    <row r="136" spans="1:24" ht="13.5" thickBot="1">
      <c r="A136" s="885"/>
      <c r="B136" s="869"/>
      <c r="C136" s="999"/>
      <c r="D136" s="930" t="s">
        <v>118</v>
      </c>
      <c r="E136" s="931"/>
      <c r="F136" s="931"/>
      <c r="G136" s="931"/>
      <c r="H136" s="931"/>
      <c r="I136" s="931"/>
      <c r="J136" s="931"/>
      <c r="K136" s="931"/>
      <c r="L136" s="931"/>
      <c r="M136" s="931"/>
      <c r="N136" s="931"/>
      <c r="O136" s="931"/>
      <c r="P136" s="931"/>
      <c r="Q136" s="931"/>
      <c r="R136" s="931"/>
      <c r="S136" s="931"/>
      <c r="T136" s="931"/>
      <c r="U136" s="931"/>
      <c r="V136" s="931"/>
      <c r="W136" s="932"/>
      <c r="X136" s="880"/>
    </row>
    <row r="137" spans="1:24" ht="13.5" thickBot="1">
      <c r="A137" s="885"/>
      <c r="B137" s="11" t="s">
        <v>21</v>
      </c>
      <c r="C137" s="12"/>
      <c r="D137" s="927" t="s">
        <v>78</v>
      </c>
      <c r="E137" s="928"/>
      <c r="F137" s="928"/>
      <c r="G137" s="929"/>
      <c r="H137" s="927" t="s">
        <v>77</v>
      </c>
      <c r="I137" s="928"/>
      <c r="J137" s="928"/>
      <c r="K137" s="929"/>
      <c r="L137" s="927" t="s">
        <v>81</v>
      </c>
      <c r="M137" s="928"/>
      <c r="N137" s="928"/>
      <c r="O137" s="929"/>
      <c r="P137" s="927" t="s">
        <v>254</v>
      </c>
      <c r="Q137" s="928"/>
      <c r="R137" s="928"/>
      <c r="S137" s="929"/>
      <c r="T137" s="927" t="s">
        <v>76</v>
      </c>
      <c r="U137" s="928"/>
      <c r="V137" s="928"/>
      <c r="W137" s="929"/>
      <c r="X137" s="880"/>
    </row>
    <row r="138" spans="1:24" ht="13.5" thickBot="1">
      <c r="A138" s="885"/>
      <c r="B138" s="868" t="s">
        <v>63</v>
      </c>
      <c r="C138" s="9" t="s">
        <v>247</v>
      </c>
      <c r="D138" s="1000">
        <v>0</v>
      </c>
      <c r="E138" s="1001"/>
      <c r="F138" s="1001"/>
      <c r="G138" s="1002"/>
      <c r="H138" s="1000">
        <v>10</v>
      </c>
      <c r="I138" s="1001"/>
      <c r="J138" s="1001"/>
      <c r="K138" s="1002"/>
      <c r="L138" s="1000">
        <v>20</v>
      </c>
      <c r="M138" s="1001"/>
      <c r="N138" s="1001"/>
      <c r="O138" s="1002"/>
      <c r="P138" s="1000">
        <v>30</v>
      </c>
      <c r="Q138" s="1001"/>
      <c r="R138" s="1001"/>
      <c r="S138" s="1002"/>
      <c r="T138" s="1000">
        <v>50</v>
      </c>
      <c r="U138" s="1001"/>
      <c r="V138" s="1001"/>
      <c r="W138" s="1002"/>
      <c r="X138" s="880"/>
    </row>
    <row r="139" spans="1:24" ht="13.5" thickBot="1">
      <c r="A139" s="869"/>
      <c r="B139" s="885"/>
      <c r="C139" s="102" t="s">
        <v>246</v>
      </c>
      <c r="D139" s="1003" t="s">
        <v>172</v>
      </c>
      <c r="E139" s="1004"/>
      <c r="F139" s="1004"/>
      <c r="G139" s="1005"/>
      <c r="H139" s="1003" t="s">
        <v>417</v>
      </c>
      <c r="I139" s="1004"/>
      <c r="J139" s="1004"/>
      <c r="K139" s="1005"/>
      <c r="L139" s="995">
        <v>16</v>
      </c>
      <c r="M139" s="996"/>
      <c r="N139" s="996"/>
      <c r="O139" s="997"/>
      <c r="P139" s="995">
        <v>0</v>
      </c>
      <c r="Q139" s="996"/>
      <c r="R139" s="996"/>
      <c r="S139" s="997"/>
      <c r="T139" s="995">
        <v>0</v>
      </c>
      <c r="U139" s="996"/>
      <c r="V139" s="996"/>
      <c r="W139" s="997"/>
      <c r="X139" s="881"/>
    </row>
    <row r="140" spans="1:24" ht="13.5" thickBot="1">
      <c r="A140" s="96" t="s">
        <v>13</v>
      </c>
      <c r="B140" s="885"/>
      <c r="C140" s="998" t="s">
        <v>413</v>
      </c>
      <c r="D140" s="927" t="s">
        <v>4</v>
      </c>
      <c r="E140" s="928"/>
      <c r="F140" s="928"/>
      <c r="G140" s="928"/>
      <c r="H140" s="928"/>
      <c r="I140" s="928"/>
      <c r="J140" s="928"/>
      <c r="K140" s="928"/>
      <c r="L140" s="928"/>
      <c r="M140" s="928"/>
      <c r="N140" s="928"/>
      <c r="O140" s="928"/>
      <c r="P140" s="928"/>
      <c r="Q140" s="928"/>
      <c r="R140" s="928"/>
      <c r="S140" s="928"/>
      <c r="T140" s="928"/>
      <c r="U140" s="928"/>
      <c r="V140" s="928"/>
      <c r="W140" s="929"/>
      <c r="X140" s="24" t="s">
        <v>14</v>
      </c>
    </row>
    <row r="141" spans="1:24" ht="13.5" thickBot="1">
      <c r="A141" s="25" t="s">
        <v>75</v>
      </c>
      <c r="B141" s="869"/>
      <c r="C141" s="999"/>
      <c r="D141" s="930" t="s">
        <v>119</v>
      </c>
      <c r="E141" s="931"/>
      <c r="F141" s="931"/>
      <c r="G141" s="931"/>
      <c r="H141" s="931"/>
      <c r="I141" s="931"/>
      <c r="J141" s="931"/>
      <c r="K141" s="931"/>
      <c r="L141" s="931"/>
      <c r="M141" s="931"/>
      <c r="N141" s="931"/>
      <c r="O141" s="931"/>
      <c r="P141" s="931"/>
      <c r="Q141" s="931"/>
      <c r="R141" s="931"/>
      <c r="S141" s="931"/>
      <c r="T141" s="931"/>
      <c r="U141" s="931"/>
      <c r="V141" s="931"/>
      <c r="W141" s="932"/>
      <c r="X141" s="18" t="s">
        <v>93</v>
      </c>
    </row>
    <row r="142" spans="1:24" ht="13.5" thickBot="1">
      <c r="A142" s="906" t="s">
        <v>7</v>
      </c>
      <c r="B142" s="908" t="s">
        <v>173</v>
      </c>
      <c r="C142" s="918"/>
      <c r="D142" s="908" t="s">
        <v>8</v>
      </c>
      <c r="E142" s="918"/>
      <c r="F142" s="918"/>
      <c r="G142" s="909"/>
      <c r="H142" s="908" t="s">
        <v>88</v>
      </c>
      <c r="I142" s="918"/>
      <c r="J142" s="918"/>
      <c r="K142" s="909"/>
      <c r="L142" s="908" t="s">
        <v>89</v>
      </c>
      <c r="M142" s="918"/>
      <c r="N142" s="918"/>
      <c r="O142" s="909"/>
      <c r="P142" s="908" t="s">
        <v>9</v>
      </c>
      <c r="Q142" s="918"/>
      <c r="R142" s="918"/>
      <c r="S142" s="909"/>
      <c r="T142" s="908" t="s">
        <v>174</v>
      </c>
      <c r="U142" s="918"/>
      <c r="V142" s="918"/>
      <c r="W142" s="918"/>
      <c r="X142" s="909"/>
    </row>
    <row r="143" spans="1:24" ht="13.5" thickBot="1">
      <c r="A143" s="907"/>
      <c r="B143" s="919">
        <v>6200000</v>
      </c>
      <c r="C143" s="921"/>
      <c r="D143" s="919">
        <v>1200000</v>
      </c>
      <c r="E143" s="921"/>
      <c r="F143" s="921"/>
      <c r="G143" s="920"/>
      <c r="H143" s="919">
        <v>2500000</v>
      </c>
      <c r="I143" s="921"/>
      <c r="J143" s="921"/>
      <c r="K143" s="920"/>
      <c r="L143" s="919">
        <v>2800000</v>
      </c>
      <c r="M143" s="921"/>
      <c r="N143" s="921"/>
      <c r="O143" s="920"/>
      <c r="P143" s="919">
        <f>SUM(B143:O143)</f>
        <v>12700000</v>
      </c>
      <c r="Q143" s="921"/>
      <c r="R143" s="921"/>
      <c r="S143" s="920"/>
      <c r="T143" s="942">
        <f>B143/P143%</f>
        <v>48.818897637795274</v>
      </c>
      <c r="U143" s="943"/>
      <c r="V143" s="943"/>
      <c r="W143" s="943"/>
      <c r="X143" s="944"/>
    </row>
    <row r="144" spans="1:24" ht="13.5" thickBot="1">
      <c r="A144" s="906" t="s">
        <v>10</v>
      </c>
      <c r="B144" s="908" t="s">
        <v>175</v>
      </c>
      <c r="C144" s="918"/>
      <c r="D144" s="910"/>
      <c r="E144" s="911"/>
      <c r="F144" s="911"/>
      <c r="G144" s="911"/>
      <c r="H144" s="911"/>
      <c r="I144" s="911"/>
      <c r="J144" s="911"/>
      <c r="K144" s="911"/>
      <c r="L144" s="911"/>
      <c r="M144" s="911"/>
      <c r="N144" s="911"/>
      <c r="O144" s="911"/>
      <c r="P144" s="911"/>
      <c r="Q144" s="911"/>
      <c r="R144" s="911"/>
      <c r="S144" s="911"/>
      <c r="T144" s="911"/>
      <c r="U144" s="911"/>
      <c r="V144" s="911"/>
      <c r="W144" s="911"/>
      <c r="X144" s="912"/>
    </row>
    <row r="145" spans="1:24" ht="13.5" thickBot="1">
      <c r="A145" s="907"/>
      <c r="B145" s="916"/>
      <c r="C145" s="994"/>
      <c r="D145" s="913"/>
      <c r="E145" s="914"/>
      <c r="F145" s="914"/>
      <c r="G145" s="914"/>
      <c r="H145" s="914"/>
      <c r="I145" s="914"/>
      <c r="J145" s="914"/>
      <c r="K145" s="914"/>
      <c r="L145" s="914"/>
      <c r="M145" s="914"/>
      <c r="N145" s="914"/>
      <c r="O145" s="914"/>
      <c r="P145" s="914"/>
      <c r="Q145" s="914"/>
      <c r="R145" s="914"/>
      <c r="S145" s="914"/>
      <c r="T145" s="914"/>
      <c r="U145" s="914"/>
      <c r="V145" s="914"/>
      <c r="W145" s="914"/>
      <c r="X145" s="915"/>
    </row>
    <row r="147" spans="1:24" ht="13.5" thickBot="1">
      <c r="L147" s="115" t="s">
        <v>439</v>
      </c>
    </row>
    <row r="148" spans="1:24" ht="13.5" thickBot="1">
      <c r="A148" s="95" t="s">
        <v>26</v>
      </c>
      <c r="B148" s="97" t="s">
        <v>29</v>
      </c>
      <c r="C148" s="8"/>
      <c r="D148" s="927" t="s">
        <v>78</v>
      </c>
      <c r="E148" s="928"/>
      <c r="F148" s="928"/>
      <c r="G148" s="929"/>
      <c r="H148" s="927" t="s">
        <v>77</v>
      </c>
      <c r="I148" s="928"/>
      <c r="J148" s="928"/>
      <c r="K148" s="929"/>
      <c r="L148" s="927" t="s">
        <v>81</v>
      </c>
      <c r="M148" s="928"/>
      <c r="N148" s="928"/>
      <c r="O148" s="929"/>
      <c r="P148" s="927" t="s">
        <v>254</v>
      </c>
      <c r="Q148" s="928"/>
      <c r="R148" s="928"/>
      <c r="S148" s="929"/>
      <c r="T148" s="927" t="s">
        <v>76</v>
      </c>
      <c r="U148" s="928"/>
      <c r="V148" s="928"/>
      <c r="W148" s="929"/>
      <c r="X148" s="16" t="s">
        <v>12</v>
      </c>
    </row>
    <row r="149" spans="1:24" ht="54.95" customHeight="1" thickBot="1">
      <c r="A149" s="868" t="s">
        <v>64</v>
      </c>
      <c r="B149" s="868" t="s">
        <v>156</v>
      </c>
      <c r="C149" s="9"/>
      <c r="D149" s="17" t="s">
        <v>101</v>
      </c>
      <c r="E149" s="17" t="s">
        <v>104</v>
      </c>
      <c r="F149" s="17" t="s">
        <v>102</v>
      </c>
      <c r="G149" s="17" t="s">
        <v>103</v>
      </c>
      <c r="H149" s="17" t="s">
        <v>101</v>
      </c>
      <c r="I149" s="17" t="s">
        <v>104</v>
      </c>
      <c r="J149" s="17" t="s">
        <v>102</v>
      </c>
      <c r="K149" s="17" t="s">
        <v>103</v>
      </c>
      <c r="L149" s="17" t="s">
        <v>101</v>
      </c>
      <c r="M149" s="17" t="s">
        <v>104</v>
      </c>
      <c r="N149" s="17" t="s">
        <v>102</v>
      </c>
      <c r="O149" s="17" t="s">
        <v>103</v>
      </c>
      <c r="P149" s="17" t="s">
        <v>101</v>
      </c>
      <c r="Q149" s="17" t="s">
        <v>104</v>
      </c>
      <c r="R149" s="17" t="s">
        <v>102</v>
      </c>
      <c r="S149" s="17" t="s">
        <v>103</v>
      </c>
      <c r="T149" s="17" t="s">
        <v>101</v>
      </c>
      <c r="U149" s="17" t="s">
        <v>104</v>
      </c>
      <c r="V149" s="17" t="s">
        <v>102</v>
      </c>
      <c r="W149" s="17" t="s">
        <v>103</v>
      </c>
      <c r="X149" s="879" t="s">
        <v>98</v>
      </c>
    </row>
    <row r="150" spans="1:24" ht="24.75" thickBot="1">
      <c r="A150" s="885"/>
      <c r="B150" s="885"/>
      <c r="C150" s="9" t="s">
        <v>247</v>
      </c>
      <c r="D150" s="2">
        <v>2</v>
      </c>
      <c r="E150" s="2">
        <v>0</v>
      </c>
      <c r="F150" s="2">
        <v>0</v>
      </c>
      <c r="G150" s="2">
        <v>0</v>
      </c>
      <c r="H150" s="2">
        <v>15</v>
      </c>
      <c r="I150" s="2">
        <v>10</v>
      </c>
      <c r="J150" s="2">
        <v>5</v>
      </c>
      <c r="K150" s="2">
        <v>1</v>
      </c>
      <c r="L150" s="116" t="s">
        <v>440</v>
      </c>
      <c r="M150" s="116" t="s">
        <v>446</v>
      </c>
      <c r="N150" s="2">
        <v>15</v>
      </c>
      <c r="O150" s="2">
        <v>8</v>
      </c>
      <c r="P150" s="2">
        <v>50</v>
      </c>
      <c r="Q150" s="2">
        <v>35</v>
      </c>
      <c r="R150" s="2">
        <v>25</v>
      </c>
      <c r="S150" s="2">
        <v>12</v>
      </c>
      <c r="T150" s="2">
        <v>75</v>
      </c>
      <c r="U150" s="2">
        <v>60</v>
      </c>
      <c r="V150" s="2">
        <v>50</v>
      </c>
      <c r="W150" s="2">
        <v>25</v>
      </c>
      <c r="X150" s="880"/>
    </row>
    <row r="151" spans="1:24" ht="12.95" customHeight="1" thickBot="1">
      <c r="A151" s="885"/>
      <c r="B151" s="93" t="s">
        <v>151</v>
      </c>
      <c r="C151" s="102" t="s">
        <v>246</v>
      </c>
      <c r="D151" s="1008" t="s">
        <v>416</v>
      </c>
      <c r="E151" s="1009"/>
      <c r="F151" s="1009"/>
      <c r="G151" s="1010"/>
      <c r="H151" s="117">
        <v>20</v>
      </c>
      <c r="I151" s="117">
        <v>15</v>
      </c>
      <c r="J151" s="117">
        <v>10</v>
      </c>
      <c r="K151" s="117">
        <v>5</v>
      </c>
      <c r="L151" s="117">
        <v>27</v>
      </c>
      <c r="M151" s="117">
        <v>22</v>
      </c>
      <c r="N151" s="117">
        <v>16</v>
      </c>
      <c r="O151" s="117">
        <v>10</v>
      </c>
      <c r="P151" s="117">
        <v>0</v>
      </c>
      <c r="Q151" s="117">
        <v>0</v>
      </c>
      <c r="R151" s="117">
        <v>0</v>
      </c>
      <c r="S151" s="117">
        <v>0</v>
      </c>
      <c r="T151" s="117">
        <v>0</v>
      </c>
      <c r="U151" s="117">
        <v>0</v>
      </c>
      <c r="V151" s="117">
        <v>0</v>
      </c>
      <c r="W151" s="117">
        <v>0</v>
      </c>
      <c r="X151" s="880"/>
    </row>
    <row r="152" spans="1:24" ht="13.5" thickBot="1">
      <c r="A152" s="885"/>
      <c r="B152" s="93" t="s">
        <v>150</v>
      </c>
      <c r="C152" s="998" t="s">
        <v>413</v>
      </c>
      <c r="D152" s="927" t="s">
        <v>4</v>
      </c>
      <c r="E152" s="928"/>
      <c r="F152" s="928"/>
      <c r="G152" s="928"/>
      <c r="H152" s="928"/>
      <c r="I152" s="928"/>
      <c r="J152" s="928"/>
      <c r="K152" s="928"/>
      <c r="L152" s="928"/>
      <c r="M152" s="928"/>
      <c r="N152" s="928"/>
      <c r="O152" s="928"/>
      <c r="P152" s="928"/>
      <c r="Q152" s="928"/>
      <c r="R152" s="928"/>
      <c r="S152" s="928"/>
      <c r="T152" s="928"/>
      <c r="U152" s="928"/>
      <c r="V152" s="928"/>
      <c r="W152" s="929"/>
      <c r="X152" s="880"/>
    </row>
    <row r="153" spans="1:24" ht="24.75" thickBot="1">
      <c r="A153" s="885"/>
      <c r="B153" s="94" t="s">
        <v>149</v>
      </c>
      <c r="C153" s="999"/>
      <c r="D153" s="930" t="s">
        <v>420</v>
      </c>
      <c r="E153" s="931"/>
      <c r="F153" s="931"/>
      <c r="G153" s="931"/>
      <c r="H153" s="931"/>
      <c r="I153" s="931"/>
      <c r="J153" s="931"/>
      <c r="K153" s="931"/>
      <c r="L153" s="931"/>
      <c r="M153" s="931"/>
      <c r="N153" s="931"/>
      <c r="O153" s="931"/>
      <c r="P153" s="931"/>
      <c r="Q153" s="931"/>
      <c r="R153" s="931"/>
      <c r="S153" s="931"/>
      <c r="T153" s="931"/>
      <c r="U153" s="931"/>
      <c r="V153" s="931"/>
      <c r="W153" s="932"/>
      <c r="X153" s="880"/>
    </row>
    <row r="154" spans="1:24" ht="13.5" thickBot="1">
      <c r="A154" s="885"/>
      <c r="B154" s="11" t="s">
        <v>30</v>
      </c>
      <c r="C154" s="12"/>
      <c r="D154" s="927" t="s">
        <v>78</v>
      </c>
      <c r="E154" s="928"/>
      <c r="F154" s="928"/>
      <c r="G154" s="929"/>
      <c r="H154" s="927" t="s">
        <v>77</v>
      </c>
      <c r="I154" s="928"/>
      <c r="J154" s="928"/>
      <c r="K154" s="929"/>
      <c r="L154" s="927" t="s">
        <v>81</v>
      </c>
      <c r="M154" s="928"/>
      <c r="N154" s="928"/>
      <c r="O154" s="929"/>
      <c r="P154" s="927" t="s">
        <v>254</v>
      </c>
      <c r="Q154" s="928"/>
      <c r="R154" s="928"/>
      <c r="S154" s="929"/>
      <c r="T154" s="927" t="s">
        <v>76</v>
      </c>
      <c r="U154" s="928"/>
      <c r="V154" s="928"/>
      <c r="W154" s="929"/>
      <c r="X154" s="880"/>
    </row>
    <row r="155" spans="1:24" ht="44.1" customHeight="1" thickBot="1">
      <c r="A155" s="885"/>
      <c r="B155" s="868" t="s">
        <v>157</v>
      </c>
      <c r="C155" s="23"/>
      <c r="D155" s="17" t="s">
        <v>101</v>
      </c>
      <c r="E155" s="17" t="s">
        <v>104</v>
      </c>
      <c r="F155" s="17" t="s">
        <v>102</v>
      </c>
      <c r="G155" s="17" t="s">
        <v>103</v>
      </c>
      <c r="H155" s="17" t="s">
        <v>101</v>
      </c>
      <c r="I155" s="17" t="s">
        <v>104</v>
      </c>
      <c r="J155" s="17" t="s">
        <v>102</v>
      </c>
      <c r="K155" s="17" t="s">
        <v>103</v>
      </c>
      <c r="L155" s="17" t="s">
        <v>101</v>
      </c>
      <c r="M155" s="17" t="s">
        <v>104</v>
      </c>
      <c r="N155" s="17" t="s">
        <v>102</v>
      </c>
      <c r="O155" s="17" t="s">
        <v>103</v>
      </c>
      <c r="P155" s="17" t="s">
        <v>101</v>
      </c>
      <c r="Q155" s="17" t="s">
        <v>104</v>
      </c>
      <c r="R155" s="17" t="s">
        <v>102</v>
      </c>
      <c r="S155" s="17" t="s">
        <v>103</v>
      </c>
      <c r="T155" s="17" t="s">
        <v>101</v>
      </c>
      <c r="U155" s="17" t="s">
        <v>104</v>
      </c>
      <c r="V155" s="17" t="s">
        <v>102</v>
      </c>
      <c r="W155" s="17" t="s">
        <v>103</v>
      </c>
      <c r="X155" s="880"/>
    </row>
    <row r="156" spans="1:24" ht="24.75" thickBot="1">
      <c r="A156" s="885"/>
      <c r="B156" s="885"/>
      <c r="C156" s="9" t="s">
        <v>247</v>
      </c>
      <c r="D156" s="2">
        <v>2</v>
      </c>
      <c r="E156" s="2">
        <v>0</v>
      </c>
      <c r="F156" s="2">
        <v>0</v>
      </c>
      <c r="G156" s="2">
        <v>0</v>
      </c>
      <c r="H156" s="2">
        <v>15</v>
      </c>
      <c r="I156" s="2">
        <v>10</v>
      </c>
      <c r="J156" s="2">
        <v>5</v>
      </c>
      <c r="K156" s="2">
        <v>2</v>
      </c>
      <c r="L156" s="116" t="s">
        <v>440</v>
      </c>
      <c r="M156" s="116" t="s">
        <v>446</v>
      </c>
      <c r="N156" s="2">
        <v>15</v>
      </c>
      <c r="O156" s="2">
        <v>10</v>
      </c>
      <c r="P156" s="2">
        <v>50</v>
      </c>
      <c r="Q156" s="2">
        <v>35</v>
      </c>
      <c r="R156" s="2">
        <v>25</v>
      </c>
      <c r="S156" s="2">
        <v>15</v>
      </c>
      <c r="T156" s="2">
        <v>75</v>
      </c>
      <c r="U156" s="2">
        <v>60</v>
      </c>
      <c r="V156" s="2">
        <v>50</v>
      </c>
      <c r="W156" s="2">
        <v>25</v>
      </c>
      <c r="X156" s="880"/>
    </row>
    <row r="157" spans="1:24" ht="13.5" thickBot="1">
      <c r="A157" s="885"/>
      <c r="B157" s="93" t="s">
        <v>151</v>
      </c>
      <c r="C157" s="102" t="s">
        <v>246</v>
      </c>
      <c r="D157" s="1003" t="s">
        <v>172</v>
      </c>
      <c r="E157" s="1004"/>
      <c r="F157" s="1004"/>
      <c r="G157" s="1005"/>
      <c r="H157" s="1003" t="s">
        <v>417</v>
      </c>
      <c r="I157" s="1004"/>
      <c r="J157" s="1004"/>
      <c r="K157" s="1005"/>
      <c r="L157" s="117">
        <v>23</v>
      </c>
      <c r="M157" s="117">
        <v>21</v>
      </c>
      <c r="N157" s="117">
        <v>17</v>
      </c>
      <c r="O157" s="117">
        <v>7</v>
      </c>
      <c r="P157" s="117">
        <v>0</v>
      </c>
      <c r="Q157" s="117">
        <v>0</v>
      </c>
      <c r="R157" s="117">
        <v>0</v>
      </c>
      <c r="S157" s="117">
        <v>0</v>
      </c>
      <c r="T157" s="117">
        <v>0</v>
      </c>
      <c r="U157" s="117">
        <v>0</v>
      </c>
      <c r="V157" s="117">
        <v>0</v>
      </c>
      <c r="W157" s="117">
        <v>0</v>
      </c>
      <c r="X157" s="880"/>
    </row>
    <row r="158" spans="1:24" ht="13.5" thickBot="1">
      <c r="A158" s="885"/>
      <c r="B158" s="93" t="s">
        <v>150</v>
      </c>
      <c r="C158" s="998" t="s">
        <v>413</v>
      </c>
      <c r="D158" s="927" t="s">
        <v>4</v>
      </c>
      <c r="E158" s="928"/>
      <c r="F158" s="928"/>
      <c r="G158" s="928"/>
      <c r="H158" s="928"/>
      <c r="I158" s="928"/>
      <c r="J158" s="928"/>
      <c r="K158" s="928"/>
      <c r="L158" s="928"/>
      <c r="M158" s="928"/>
      <c r="N158" s="928"/>
      <c r="O158" s="928"/>
      <c r="P158" s="928"/>
      <c r="Q158" s="928"/>
      <c r="R158" s="928"/>
      <c r="S158" s="928"/>
      <c r="T158" s="928"/>
      <c r="U158" s="928"/>
      <c r="V158" s="928"/>
      <c r="W158" s="929"/>
      <c r="X158" s="880"/>
    </row>
    <row r="159" spans="1:24" ht="13.5" thickBot="1">
      <c r="A159" s="885"/>
      <c r="B159" s="94" t="s">
        <v>152</v>
      </c>
      <c r="C159" s="999"/>
      <c r="D159" s="930" t="s">
        <v>420</v>
      </c>
      <c r="E159" s="931"/>
      <c r="F159" s="931"/>
      <c r="G159" s="931"/>
      <c r="H159" s="931"/>
      <c r="I159" s="931"/>
      <c r="J159" s="931"/>
      <c r="K159" s="931"/>
      <c r="L159" s="931"/>
      <c r="M159" s="931"/>
      <c r="N159" s="931"/>
      <c r="O159" s="931"/>
      <c r="P159" s="931"/>
      <c r="Q159" s="931"/>
      <c r="R159" s="931"/>
      <c r="S159" s="931"/>
      <c r="T159" s="931"/>
      <c r="U159" s="931"/>
      <c r="V159" s="931"/>
      <c r="W159" s="932"/>
      <c r="X159" s="880"/>
    </row>
    <row r="160" spans="1:24" ht="13.5" thickBot="1">
      <c r="A160" s="885"/>
      <c r="B160" s="92" t="s">
        <v>31</v>
      </c>
      <c r="C160" s="12"/>
      <c r="D160" s="927" t="s">
        <v>78</v>
      </c>
      <c r="E160" s="928"/>
      <c r="F160" s="928"/>
      <c r="G160" s="929"/>
      <c r="H160" s="927" t="s">
        <v>77</v>
      </c>
      <c r="I160" s="928"/>
      <c r="J160" s="928"/>
      <c r="K160" s="929"/>
      <c r="L160" s="927" t="s">
        <v>81</v>
      </c>
      <c r="M160" s="928"/>
      <c r="N160" s="928"/>
      <c r="O160" s="929"/>
      <c r="P160" s="927" t="s">
        <v>254</v>
      </c>
      <c r="Q160" s="928"/>
      <c r="R160" s="928"/>
      <c r="S160" s="929"/>
      <c r="T160" s="927" t="s">
        <v>76</v>
      </c>
      <c r="U160" s="928"/>
      <c r="V160" s="928"/>
      <c r="W160" s="929"/>
      <c r="X160" s="880"/>
    </row>
    <row r="161" spans="1:24" ht="17.100000000000001" customHeight="1" thickBot="1">
      <c r="A161" s="885"/>
      <c r="B161" s="868" t="s">
        <v>421</v>
      </c>
      <c r="C161" s="23"/>
      <c r="D161" s="955" t="s">
        <v>418</v>
      </c>
      <c r="E161" s="956"/>
      <c r="F161" s="955" t="s">
        <v>419</v>
      </c>
      <c r="G161" s="956"/>
      <c r="H161" s="955" t="s">
        <v>418</v>
      </c>
      <c r="I161" s="956"/>
      <c r="J161" s="955" t="s">
        <v>419</v>
      </c>
      <c r="K161" s="956"/>
      <c r="L161" s="955" t="s">
        <v>418</v>
      </c>
      <c r="M161" s="956"/>
      <c r="N161" s="955" t="s">
        <v>419</v>
      </c>
      <c r="O161" s="956"/>
      <c r="P161" s="955" t="s">
        <v>418</v>
      </c>
      <c r="Q161" s="956"/>
      <c r="R161" s="955" t="s">
        <v>419</v>
      </c>
      <c r="S161" s="956"/>
      <c r="T161" s="955" t="s">
        <v>418</v>
      </c>
      <c r="U161" s="956"/>
      <c r="V161" s="955" t="s">
        <v>419</v>
      </c>
      <c r="W161" s="956"/>
      <c r="X161" s="880"/>
    </row>
    <row r="162" spans="1:24" ht="13.5" thickBot="1">
      <c r="A162" s="885"/>
      <c r="B162" s="885"/>
      <c r="C162" s="91" t="s">
        <v>235</v>
      </c>
      <c r="D162" s="933" t="s">
        <v>172</v>
      </c>
      <c r="E162" s="934"/>
      <c r="F162" s="934"/>
      <c r="G162" s="935"/>
      <c r="H162" s="966" t="s">
        <v>248</v>
      </c>
      <c r="I162" s="967"/>
      <c r="J162" s="967"/>
      <c r="K162" s="968"/>
      <c r="L162" s="1034">
        <v>50</v>
      </c>
      <c r="M162" s="1035"/>
      <c r="N162" s="1034">
        <v>15</v>
      </c>
      <c r="O162" s="1035"/>
      <c r="P162" s="1034">
        <v>75</v>
      </c>
      <c r="Q162" s="1035"/>
      <c r="R162" s="1034">
        <v>25</v>
      </c>
      <c r="S162" s="1035"/>
      <c r="T162" s="1034">
        <v>100</v>
      </c>
      <c r="U162" s="1035"/>
      <c r="V162" s="1034">
        <v>40</v>
      </c>
      <c r="W162" s="1035"/>
      <c r="X162" s="880"/>
    </row>
    <row r="163" spans="1:24" ht="13.5" thickBot="1">
      <c r="A163" s="885"/>
      <c r="B163" s="885"/>
      <c r="C163" s="91" t="s">
        <v>233</v>
      </c>
      <c r="D163" s="957"/>
      <c r="E163" s="958"/>
      <c r="F163" s="958"/>
      <c r="G163" s="959"/>
      <c r="H163" s="966" t="s">
        <v>248</v>
      </c>
      <c r="I163" s="967"/>
      <c r="J163" s="967"/>
      <c r="K163" s="968"/>
      <c r="L163" s="1034">
        <v>25</v>
      </c>
      <c r="M163" s="1035"/>
      <c r="N163" s="1034">
        <v>10</v>
      </c>
      <c r="O163" s="1035"/>
      <c r="P163" s="1034">
        <v>50</v>
      </c>
      <c r="Q163" s="1035"/>
      <c r="R163" s="1034">
        <v>15</v>
      </c>
      <c r="S163" s="1035"/>
      <c r="T163" s="1034">
        <v>75</v>
      </c>
      <c r="U163" s="1035"/>
      <c r="V163" s="1034">
        <v>25</v>
      </c>
      <c r="W163" s="1035"/>
      <c r="X163" s="880"/>
    </row>
    <row r="164" spans="1:24" ht="13.5" thickBot="1">
      <c r="A164" s="885"/>
      <c r="B164" s="885"/>
      <c r="C164" s="91" t="s">
        <v>234</v>
      </c>
      <c r="D164" s="957"/>
      <c r="E164" s="958"/>
      <c r="F164" s="958"/>
      <c r="G164" s="959"/>
      <c r="H164" s="966" t="s">
        <v>256</v>
      </c>
      <c r="I164" s="967"/>
      <c r="J164" s="967"/>
      <c r="K164" s="968"/>
      <c r="L164" s="1032">
        <v>10</v>
      </c>
      <c r="M164" s="1033"/>
      <c r="N164" s="1032">
        <v>5</v>
      </c>
      <c r="O164" s="1033"/>
      <c r="P164" s="1034">
        <v>25</v>
      </c>
      <c r="Q164" s="1035"/>
      <c r="R164" s="1034">
        <v>10</v>
      </c>
      <c r="S164" s="1035"/>
      <c r="T164" s="1034">
        <v>50</v>
      </c>
      <c r="U164" s="1035"/>
      <c r="V164" s="1034">
        <v>20</v>
      </c>
      <c r="W164" s="1035"/>
      <c r="X164" s="880"/>
    </row>
    <row r="165" spans="1:24" ht="13.5" thickBot="1">
      <c r="A165" s="885"/>
      <c r="B165" s="93" t="s">
        <v>179</v>
      </c>
      <c r="C165" s="103" t="s">
        <v>236</v>
      </c>
      <c r="D165" s="1011"/>
      <c r="E165" s="1012"/>
      <c r="F165" s="1012"/>
      <c r="G165" s="1013"/>
      <c r="H165" s="1011"/>
      <c r="I165" s="1012"/>
      <c r="J165" s="1012"/>
      <c r="K165" s="1013"/>
      <c r="L165" s="1011"/>
      <c r="M165" s="1012"/>
      <c r="N165" s="1012"/>
      <c r="O165" s="1013"/>
      <c r="P165" s="995">
        <v>0</v>
      </c>
      <c r="Q165" s="997"/>
      <c r="R165" s="995">
        <v>0</v>
      </c>
      <c r="S165" s="997"/>
      <c r="T165" s="995">
        <v>0</v>
      </c>
      <c r="U165" s="997"/>
      <c r="V165" s="995">
        <v>0</v>
      </c>
      <c r="W165" s="997"/>
      <c r="X165" s="880"/>
    </row>
    <row r="166" spans="1:24" ht="13.5" thickBot="1">
      <c r="A166" s="885"/>
      <c r="B166" s="93"/>
      <c r="C166" s="102" t="s">
        <v>283</v>
      </c>
      <c r="D166" s="1017"/>
      <c r="E166" s="1018"/>
      <c r="F166" s="1018"/>
      <c r="G166" s="1019"/>
      <c r="H166" s="1017"/>
      <c r="I166" s="1018"/>
      <c r="J166" s="1018"/>
      <c r="K166" s="1019"/>
      <c r="L166" s="1011"/>
      <c r="M166" s="1012"/>
      <c r="N166" s="1012"/>
      <c r="O166" s="1013"/>
      <c r="P166" s="995">
        <v>0</v>
      </c>
      <c r="Q166" s="997"/>
      <c r="R166" s="995">
        <v>0</v>
      </c>
      <c r="S166" s="997"/>
      <c r="T166" s="995">
        <v>0</v>
      </c>
      <c r="U166" s="997"/>
      <c r="V166" s="995">
        <v>0</v>
      </c>
      <c r="W166" s="997"/>
      <c r="X166" s="880"/>
    </row>
    <row r="167" spans="1:24" ht="13.5" thickBot="1">
      <c r="A167" s="885"/>
      <c r="B167" s="93"/>
      <c r="C167" s="102" t="s">
        <v>284</v>
      </c>
      <c r="D167" s="1017"/>
      <c r="E167" s="1018"/>
      <c r="F167" s="1018"/>
      <c r="G167" s="1019"/>
      <c r="H167" s="1017"/>
      <c r="I167" s="1018"/>
      <c r="J167" s="1018"/>
      <c r="K167" s="1019"/>
      <c r="L167" s="1017"/>
      <c r="M167" s="1018"/>
      <c r="N167" s="1018"/>
      <c r="O167" s="1019"/>
      <c r="P167" s="995">
        <v>0</v>
      </c>
      <c r="Q167" s="997"/>
      <c r="R167" s="995">
        <v>0</v>
      </c>
      <c r="S167" s="997"/>
      <c r="T167" s="995">
        <v>0</v>
      </c>
      <c r="U167" s="997"/>
      <c r="V167" s="995">
        <v>0</v>
      </c>
      <c r="W167" s="997"/>
      <c r="X167" s="880"/>
    </row>
    <row r="168" spans="1:24" ht="13.5" thickBot="1">
      <c r="A168" s="885"/>
      <c r="B168" s="885"/>
      <c r="C168" s="998" t="s">
        <v>413</v>
      </c>
      <c r="D168" s="927" t="s">
        <v>4</v>
      </c>
      <c r="E168" s="928"/>
      <c r="F168" s="928"/>
      <c r="G168" s="928"/>
      <c r="H168" s="928"/>
      <c r="I168" s="928"/>
      <c r="J168" s="928"/>
      <c r="K168" s="928"/>
      <c r="L168" s="928"/>
      <c r="M168" s="928"/>
      <c r="N168" s="928"/>
      <c r="O168" s="928"/>
      <c r="P168" s="928"/>
      <c r="Q168" s="928"/>
      <c r="R168" s="928"/>
      <c r="S168" s="928"/>
      <c r="T168" s="928"/>
      <c r="U168" s="928"/>
      <c r="V168" s="928"/>
      <c r="W168" s="929"/>
      <c r="X168" s="880"/>
    </row>
    <row r="169" spans="1:24" ht="24" customHeight="1" thickBot="1">
      <c r="A169" s="885"/>
      <c r="B169" s="869"/>
      <c r="C169" s="999"/>
      <c r="D169" s="930" t="s">
        <v>121</v>
      </c>
      <c r="E169" s="931"/>
      <c r="F169" s="931"/>
      <c r="G169" s="931"/>
      <c r="H169" s="931"/>
      <c r="I169" s="931"/>
      <c r="J169" s="931"/>
      <c r="K169" s="931"/>
      <c r="L169" s="931"/>
      <c r="M169" s="931"/>
      <c r="N169" s="931"/>
      <c r="O169" s="931"/>
      <c r="P169" s="931"/>
      <c r="Q169" s="931"/>
      <c r="R169" s="931"/>
      <c r="S169" s="931"/>
      <c r="T169" s="931"/>
      <c r="U169" s="931"/>
      <c r="V169" s="931"/>
      <c r="W169" s="932"/>
      <c r="X169" s="880"/>
    </row>
    <row r="170" spans="1:24" ht="13.5" thickBot="1">
      <c r="A170" s="885"/>
      <c r="B170" s="11" t="s">
        <v>40</v>
      </c>
      <c r="C170" s="12"/>
      <c r="D170" s="927" t="s">
        <v>78</v>
      </c>
      <c r="E170" s="928"/>
      <c r="F170" s="928"/>
      <c r="G170" s="929"/>
      <c r="H170" s="927" t="s">
        <v>77</v>
      </c>
      <c r="I170" s="928"/>
      <c r="J170" s="928"/>
      <c r="K170" s="929"/>
      <c r="L170" s="927" t="s">
        <v>81</v>
      </c>
      <c r="M170" s="928"/>
      <c r="N170" s="928"/>
      <c r="O170" s="929"/>
      <c r="P170" s="927" t="s">
        <v>254</v>
      </c>
      <c r="Q170" s="928"/>
      <c r="R170" s="928"/>
      <c r="S170" s="929"/>
      <c r="T170" s="927" t="s">
        <v>76</v>
      </c>
      <c r="U170" s="928"/>
      <c r="V170" s="928"/>
      <c r="W170" s="929"/>
      <c r="X170" s="880"/>
    </row>
    <row r="171" spans="1:24" ht="13.5" thickBot="1">
      <c r="A171" s="885"/>
      <c r="B171" s="868" t="s">
        <v>422</v>
      </c>
      <c r="C171" s="9" t="s">
        <v>235</v>
      </c>
      <c r="D171" s="933" t="s">
        <v>171</v>
      </c>
      <c r="E171" s="934"/>
      <c r="F171" s="934"/>
      <c r="G171" s="935"/>
      <c r="H171" s="966" t="s">
        <v>248</v>
      </c>
      <c r="I171" s="967"/>
      <c r="J171" s="967"/>
      <c r="K171" s="968"/>
      <c r="L171" s="1026">
        <v>2</v>
      </c>
      <c r="M171" s="1027"/>
      <c r="N171" s="1027"/>
      <c r="O171" s="1028"/>
      <c r="P171" s="1029">
        <v>2.5</v>
      </c>
      <c r="Q171" s="1030"/>
      <c r="R171" s="1030"/>
      <c r="S171" s="1031"/>
      <c r="T171" s="1029">
        <v>3</v>
      </c>
      <c r="U171" s="1030"/>
      <c r="V171" s="1030"/>
      <c r="W171" s="1031"/>
      <c r="X171" s="880"/>
    </row>
    <row r="172" spans="1:24" ht="13.5" thickBot="1">
      <c r="A172" s="885"/>
      <c r="B172" s="885"/>
      <c r="C172" s="9" t="s">
        <v>233</v>
      </c>
      <c r="D172" s="957"/>
      <c r="E172" s="958"/>
      <c r="F172" s="958"/>
      <c r="G172" s="959"/>
      <c r="H172" s="966" t="s">
        <v>248</v>
      </c>
      <c r="I172" s="967"/>
      <c r="J172" s="967"/>
      <c r="K172" s="968"/>
      <c r="L172" s="1026">
        <v>1.5</v>
      </c>
      <c r="M172" s="1027"/>
      <c r="N172" s="1027"/>
      <c r="O172" s="1028"/>
      <c r="P172" s="1029">
        <v>2</v>
      </c>
      <c r="Q172" s="1030"/>
      <c r="R172" s="1030"/>
      <c r="S172" s="1031"/>
      <c r="T172" s="1029">
        <v>2.5</v>
      </c>
      <c r="U172" s="1030"/>
      <c r="V172" s="1030"/>
      <c r="W172" s="1031"/>
      <c r="X172" s="880"/>
    </row>
    <row r="173" spans="1:24" ht="13.5" thickBot="1">
      <c r="A173" s="885"/>
      <c r="B173" s="885"/>
      <c r="C173" s="9" t="s">
        <v>234</v>
      </c>
      <c r="D173" s="957"/>
      <c r="E173" s="958"/>
      <c r="F173" s="958"/>
      <c r="G173" s="959"/>
      <c r="H173" s="966" t="s">
        <v>256</v>
      </c>
      <c r="I173" s="967"/>
      <c r="J173" s="967"/>
      <c r="K173" s="968"/>
      <c r="L173" s="1026">
        <v>1</v>
      </c>
      <c r="M173" s="1027"/>
      <c r="N173" s="1027"/>
      <c r="O173" s="1028"/>
      <c r="P173" s="1029">
        <v>1.5</v>
      </c>
      <c r="Q173" s="1030"/>
      <c r="R173" s="1030"/>
      <c r="S173" s="1031"/>
      <c r="T173" s="1029">
        <v>2</v>
      </c>
      <c r="U173" s="1030"/>
      <c r="V173" s="1030"/>
      <c r="W173" s="1031"/>
      <c r="X173" s="880"/>
    </row>
    <row r="174" spans="1:24" ht="13.5" thickBot="1">
      <c r="A174" s="885"/>
      <c r="B174" s="885"/>
      <c r="C174" s="102" t="s">
        <v>236</v>
      </c>
      <c r="D174" s="1011"/>
      <c r="E174" s="1012"/>
      <c r="F174" s="1012"/>
      <c r="G174" s="1013"/>
      <c r="H174" s="1011"/>
      <c r="I174" s="1012"/>
      <c r="J174" s="1012"/>
      <c r="K174" s="1013"/>
      <c r="L174" s="1011"/>
      <c r="M174" s="1012"/>
      <c r="N174" s="1012"/>
      <c r="O174" s="1013"/>
      <c r="P174" s="1020">
        <v>0</v>
      </c>
      <c r="Q174" s="1021"/>
      <c r="R174" s="1021"/>
      <c r="S174" s="1022"/>
      <c r="T174" s="1020">
        <v>0</v>
      </c>
      <c r="U174" s="1021"/>
      <c r="V174" s="1021"/>
      <c r="W174" s="1022"/>
      <c r="X174" s="881"/>
    </row>
    <row r="175" spans="1:24" ht="13.5" thickBot="1">
      <c r="A175" s="885"/>
      <c r="B175" s="885"/>
      <c r="C175" s="102" t="s">
        <v>283</v>
      </c>
      <c r="D175" s="1017"/>
      <c r="E175" s="1018"/>
      <c r="F175" s="1018"/>
      <c r="G175" s="1019"/>
      <c r="H175" s="1017"/>
      <c r="I175" s="1018"/>
      <c r="J175" s="1018"/>
      <c r="K175" s="1019"/>
      <c r="L175" s="1011"/>
      <c r="M175" s="1012"/>
      <c r="N175" s="1012"/>
      <c r="O175" s="1013"/>
      <c r="P175" s="1020">
        <v>0</v>
      </c>
      <c r="Q175" s="1021"/>
      <c r="R175" s="1021"/>
      <c r="S175" s="1022"/>
      <c r="T175" s="1020">
        <v>0</v>
      </c>
      <c r="U175" s="1021"/>
      <c r="V175" s="1021"/>
      <c r="W175" s="1022"/>
      <c r="X175" s="101"/>
    </row>
    <row r="176" spans="1:24" ht="13.5" thickBot="1">
      <c r="A176" s="869"/>
      <c r="B176" s="885"/>
      <c r="C176" s="102" t="s">
        <v>284</v>
      </c>
      <c r="D176" s="1017"/>
      <c r="E176" s="1018"/>
      <c r="F176" s="1018"/>
      <c r="G176" s="1019"/>
      <c r="H176" s="1017"/>
      <c r="I176" s="1018"/>
      <c r="J176" s="1018"/>
      <c r="K176" s="1019"/>
      <c r="L176" s="1017"/>
      <c r="M176" s="1018"/>
      <c r="N176" s="1018"/>
      <c r="O176" s="1019"/>
      <c r="P176" s="1020">
        <v>0</v>
      </c>
      <c r="Q176" s="1021"/>
      <c r="R176" s="1021"/>
      <c r="S176" s="1022"/>
      <c r="T176" s="1020">
        <v>0</v>
      </c>
      <c r="U176" s="1021"/>
      <c r="V176" s="1021"/>
      <c r="W176" s="1022"/>
      <c r="X176" s="101"/>
    </row>
    <row r="177" spans="1:24" ht="13.5" thickBot="1">
      <c r="A177" s="96" t="s">
        <v>13</v>
      </c>
      <c r="B177" s="885"/>
      <c r="C177" s="998" t="s">
        <v>413</v>
      </c>
      <c r="D177" s="927" t="s">
        <v>4</v>
      </c>
      <c r="E177" s="928"/>
      <c r="F177" s="928"/>
      <c r="G177" s="928"/>
      <c r="H177" s="928"/>
      <c r="I177" s="928"/>
      <c r="J177" s="928"/>
      <c r="K177" s="928"/>
      <c r="L177" s="928"/>
      <c r="M177" s="928"/>
      <c r="N177" s="928"/>
      <c r="O177" s="928"/>
      <c r="P177" s="928"/>
      <c r="Q177" s="928"/>
      <c r="R177" s="928"/>
      <c r="S177" s="928"/>
      <c r="T177" s="928"/>
      <c r="U177" s="928"/>
      <c r="V177" s="928"/>
      <c r="W177" s="929"/>
      <c r="X177" s="24" t="s">
        <v>14</v>
      </c>
    </row>
    <row r="178" spans="1:24" ht="13.5" thickBot="1">
      <c r="A178" s="25" t="s">
        <v>75</v>
      </c>
      <c r="B178" s="869"/>
      <c r="C178" s="999"/>
      <c r="D178" s="930" t="s">
        <v>122</v>
      </c>
      <c r="E178" s="931"/>
      <c r="F178" s="931"/>
      <c r="G178" s="931"/>
      <c r="H178" s="931"/>
      <c r="I178" s="931"/>
      <c r="J178" s="931"/>
      <c r="K178" s="931"/>
      <c r="L178" s="931"/>
      <c r="M178" s="931"/>
      <c r="N178" s="931"/>
      <c r="O178" s="931"/>
      <c r="P178" s="931"/>
      <c r="Q178" s="931"/>
      <c r="R178" s="931"/>
      <c r="S178" s="931"/>
      <c r="T178" s="931"/>
      <c r="U178" s="931"/>
      <c r="V178" s="931"/>
      <c r="W178" s="932"/>
      <c r="X178" s="18" t="s">
        <v>92</v>
      </c>
    </row>
    <row r="179" spans="1:24" ht="13.5" thickBot="1">
      <c r="A179" s="906" t="s">
        <v>7</v>
      </c>
      <c r="B179" s="908" t="s">
        <v>173</v>
      </c>
      <c r="C179" s="918"/>
      <c r="D179" s="908" t="s">
        <v>8</v>
      </c>
      <c r="E179" s="918"/>
      <c r="F179" s="918"/>
      <c r="G179" s="909"/>
      <c r="H179" s="908" t="s">
        <v>88</v>
      </c>
      <c r="I179" s="918"/>
      <c r="J179" s="918"/>
      <c r="K179" s="909"/>
      <c r="L179" s="908" t="s">
        <v>89</v>
      </c>
      <c r="M179" s="918"/>
      <c r="N179" s="918"/>
      <c r="O179" s="909"/>
      <c r="P179" s="908" t="s">
        <v>9</v>
      </c>
      <c r="Q179" s="918"/>
      <c r="R179" s="918"/>
      <c r="S179" s="909"/>
      <c r="T179" s="908" t="s">
        <v>174</v>
      </c>
      <c r="U179" s="918"/>
      <c r="V179" s="918"/>
      <c r="W179" s="918"/>
      <c r="X179" s="909"/>
    </row>
    <row r="180" spans="1:24" ht="13.5" thickBot="1">
      <c r="A180" s="907"/>
      <c r="B180" s="919">
        <v>4200000</v>
      </c>
      <c r="C180" s="921"/>
      <c r="D180" s="919">
        <v>0</v>
      </c>
      <c r="E180" s="921"/>
      <c r="F180" s="921"/>
      <c r="G180" s="920"/>
      <c r="H180" s="919">
        <v>3200000</v>
      </c>
      <c r="I180" s="921"/>
      <c r="J180" s="921"/>
      <c r="K180" s="920"/>
      <c r="L180" s="919">
        <v>0</v>
      </c>
      <c r="M180" s="921"/>
      <c r="N180" s="921"/>
      <c r="O180" s="920"/>
      <c r="P180" s="919">
        <f>SUM(B180:O180)</f>
        <v>7400000</v>
      </c>
      <c r="Q180" s="921"/>
      <c r="R180" s="921"/>
      <c r="S180" s="920"/>
      <c r="T180" s="942">
        <f>B180/P180%</f>
        <v>56.756756756756758</v>
      </c>
      <c r="U180" s="943"/>
      <c r="V180" s="943"/>
      <c r="W180" s="943"/>
      <c r="X180" s="944"/>
    </row>
    <row r="181" spans="1:24" ht="13.5" thickBot="1">
      <c r="A181" s="906" t="s">
        <v>10</v>
      </c>
      <c r="B181" s="908" t="s">
        <v>175</v>
      </c>
      <c r="C181" s="918"/>
      <c r="D181" s="910"/>
      <c r="E181" s="911"/>
      <c r="F181" s="911"/>
      <c r="G181" s="911"/>
      <c r="H181" s="911"/>
      <c r="I181" s="911"/>
      <c r="J181" s="911"/>
      <c r="K181" s="911"/>
      <c r="L181" s="911"/>
      <c r="M181" s="911"/>
      <c r="N181" s="911"/>
      <c r="O181" s="911"/>
      <c r="P181" s="911"/>
      <c r="Q181" s="911"/>
      <c r="R181" s="911"/>
      <c r="S181" s="911"/>
      <c r="T181" s="911"/>
      <c r="U181" s="911"/>
      <c r="V181" s="911"/>
      <c r="W181" s="911"/>
      <c r="X181" s="912"/>
    </row>
    <row r="182" spans="1:24" ht="13.5" thickBot="1">
      <c r="A182" s="907"/>
      <c r="B182" s="916"/>
      <c r="C182" s="994"/>
      <c r="D182" s="913"/>
      <c r="E182" s="914"/>
      <c r="F182" s="914"/>
      <c r="G182" s="914"/>
      <c r="H182" s="914"/>
      <c r="I182" s="914"/>
      <c r="J182" s="914"/>
      <c r="K182" s="914"/>
      <c r="L182" s="914"/>
      <c r="M182" s="914"/>
      <c r="N182" s="914"/>
      <c r="O182" s="914"/>
      <c r="P182" s="914"/>
      <c r="Q182" s="914"/>
      <c r="R182" s="914"/>
      <c r="S182" s="914"/>
      <c r="T182" s="914"/>
      <c r="U182" s="914"/>
      <c r="V182" s="914"/>
      <c r="W182" s="914"/>
      <c r="X182" s="915"/>
    </row>
    <row r="183" spans="1:24">
      <c r="A183" s="5"/>
      <c r="B183" s="5"/>
      <c r="C183" s="6"/>
      <c r="D183" s="5"/>
      <c r="E183" s="5"/>
      <c r="F183" s="5"/>
      <c r="G183" s="5"/>
      <c r="H183" s="5"/>
      <c r="I183" s="5"/>
      <c r="J183" s="5"/>
      <c r="K183" s="5"/>
      <c r="L183" s="5"/>
      <c r="M183" s="5"/>
      <c r="N183" s="5"/>
      <c r="O183" s="5"/>
      <c r="P183" s="5"/>
      <c r="Q183" s="5"/>
      <c r="R183" s="5"/>
      <c r="S183" s="5"/>
      <c r="T183" s="5"/>
      <c r="U183" s="5"/>
      <c r="V183" s="5"/>
      <c r="W183" s="5"/>
      <c r="X183" s="5"/>
    </row>
    <row r="184" spans="1:24" ht="13.5" thickBot="1">
      <c r="A184" s="5"/>
      <c r="B184" s="5"/>
      <c r="C184" s="6"/>
      <c r="D184" s="5"/>
      <c r="E184" s="5"/>
      <c r="F184" s="5"/>
      <c r="G184" s="5"/>
      <c r="H184" s="5"/>
      <c r="I184" s="5"/>
      <c r="J184" s="5"/>
      <c r="K184" s="5"/>
      <c r="L184" s="5"/>
      <c r="M184" s="5"/>
      <c r="N184" s="5"/>
      <c r="O184" s="5"/>
      <c r="P184" s="5"/>
      <c r="Q184" s="5"/>
      <c r="R184" s="5"/>
      <c r="S184" s="5"/>
      <c r="T184" s="5"/>
      <c r="U184" s="5"/>
      <c r="V184" s="5"/>
      <c r="W184" s="5"/>
      <c r="X184" s="5"/>
    </row>
    <row r="185" spans="1:24" ht="13.5" thickBot="1">
      <c r="A185" s="95" t="s">
        <v>28</v>
      </c>
      <c r="B185" s="97" t="s">
        <v>32</v>
      </c>
      <c r="C185" s="8"/>
      <c r="D185" s="927" t="s">
        <v>78</v>
      </c>
      <c r="E185" s="928"/>
      <c r="F185" s="928"/>
      <c r="G185" s="929"/>
      <c r="H185" s="927" t="s">
        <v>77</v>
      </c>
      <c r="I185" s="928"/>
      <c r="J185" s="928"/>
      <c r="K185" s="929"/>
      <c r="L185" s="927" t="s">
        <v>81</v>
      </c>
      <c r="M185" s="928"/>
      <c r="N185" s="928"/>
      <c r="O185" s="929"/>
      <c r="P185" s="927" t="s">
        <v>254</v>
      </c>
      <c r="Q185" s="928"/>
      <c r="R185" s="928"/>
      <c r="S185" s="929"/>
      <c r="T185" s="927" t="s">
        <v>76</v>
      </c>
      <c r="U185" s="928"/>
      <c r="V185" s="928"/>
      <c r="W185" s="929"/>
      <c r="X185" s="16" t="s">
        <v>6</v>
      </c>
    </row>
    <row r="186" spans="1:24" ht="13.5" thickBot="1">
      <c r="A186" s="868" t="s">
        <v>65</v>
      </c>
      <c r="B186" s="868" t="s">
        <v>66</v>
      </c>
      <c r="C186" s="9" t="s">
        <v>235</v>
      </c>
      <c r="D186" s="1014">
        <v>1.6</v>
      </c>
      <c r="E186" s="1015"/>
      <c r="F186" s="1015"/>
      <c r="G186" s="1016"/>
      <c r="H186" s="1014">
        <v>2</v>
      </c>
      <c r="I186" s="1015"/>
      <c r="J186" s="1015"/>
      <c r="K186" s="1016"/>
      <c r="L186" s="1014">
        <v>2.4</v>
      </c>
      <c r="M186" s="1015"/>
      <c r="N186" s="1015"/>
      <c r="O186" s="1016"/>
      <c r="P186" s="1014">
        <v>2.6</v>
      </c>
      <c r="Q186" s="1015"/>
      <c r="R186" s="1015"/>
      <c r="S186" s="1016"/>
      <c r="T186" s="1014">
        <v>3</v>
      </c>
      <c r="U186" s="1015"/>
      <c r="V186" s="1015"/>
      <c r="W186" s="1016"/>
      <c r="X186" s="879" t="s">
        <v>91</v>
      </c>
    </row>
    <row r="187" spans="1:24" ht="13.5" thickBot="1">
      <c r="A187" s="885"/>
      <c r="B187" s="885"/>
      <c r="C187" s="9" t="s">
        <v>233</v>
      </c>
      <c r="D187" s="966" t="s">
        <v>255</v>
      </c>
      <c r="E187" s="967"/>
      <c r="F187" s="967"/>
      <c r="G187" s="968"/>
      <c r="H187" s="1014">
        <v>1.3</v>
      </c>
      <c r="I187" s="1015"/>
      <c r="J187" s="1015"/>
      <c r="K187" s="1016"/>
      <c r="L187" s="1014">
        <v>1.3</v>
      </c>
      <c r="M187" s="1015"/>
      <c r="N187" s="1015"/>
      <c r="O187" s="1016"/>
      <c r="P187" s="1014">
        <v>1.6</v>
      </c>
      <c r="Q187" s="1015"/>
      <c r="R187" s="1015"/>
      <c r="S187" s="1016"/>
      <c r="T187" s="1014">
        <v>2.5</v>
      </c>
      <c r="U187" s="1015"/>
      <c r="V187" s="1015"/>
      <c r="W187" s="1016"/>
      <c r="X187" s="880"/>
    </row>
    <row r="188" spans="1:24" ht="13.5" thickBot="1">
      <c r="A188" s="885"/>
      <c r="B188" s="885"/>
      <c r="C188" s="9" t="s">
        <v>234</v>
      </c>
      <c r="D188" s="957"/>
      <c r="E188" s="958"/>
      <c r="F188" s="958"/>
      <c r="G188" s="959"/>
      <c r="H188" s="966" t="s">
        <v>256</v>
      </c>
      <c r="I188" s="967"/>
      <c r="J188" s="967"/>
      <c r="K188" s="968"/>
      <c r="L188" s="1023">
        <v>1.5</v>
      </c>
      <c r="M188" s="1024"/>
      <c r="N188" s="1024"/>
      <c r="O188" s="1025"/>
      <c r="P188" s="1023">
        <v>1.5</v>
      </c>
      <c r="Q188" s="1024"/>
      <c r="R188" s="1024"/>
      <c r="S188" s="1025"/>
      <c r="T188" s="1023">
        <v>2</v>
      </c>
      <c r="U188" s="1024"/>
      <c r="V188" s="1024"/>
      <c r="W188" s="1025"/>
      <c r="X188" s="880"/>
    </row>
    <row r="189" spans="1:24" ht="13.5" thickBot="1">
      <c r="A189" s="885"/>
      <c r="B189" s="885"/>
      <c r="C189" s="102" t="s">
        <v>236</v>
      </c>
      <c r="D189" s="1008" t="s">
        <v>416</v>
      </c>
      <c r="E189" s="1009"/>
      <c r="F189" s="1009"/>
      <c r="G189" s="1010"/>
      <c r="H189" s="1020">
        <v>2</v>
      </c>
      <c r="I189" s="1021"/>
      <c r="J189" s="1021"/>
      <c r="K189" s="1022"/>
      <c r="L189" s="1020">
        <v>2.7</v>
      </c>
      <c r="M189" s="1021"/>
      <c r="N189" s="1021"/>
      <c r="O189" s="1022"/>
      <c r="P189" s="1020">
        <v>0</v>
      </c>
      <c r="Q189" s="1021"/>
      <c r="R189" s="1021"/>
      <c r="S189" s="1022"/>
      <c r="T189" s="1020">
        <v>0</v>
      </c>
      <c r="U189" s="1021"/>
      <c r="V189" s="1021"/>
      <c r="W189" s="1022"/>
      <c r="X189" s="880"/>
    </row>
    <row r="190" spans="1:24" ht="13.5" thickBot="1">
      <c r="A190" s="885"/>
      <c r="B190" s="885"/>
      <c r="C190" s="102" t="s">
        <v>283</v>
      </c>
      <c r="D190" s="1017"/>
      <c r="E190" s="1018"/>
      <c r="F190" s="1018"/>
      <c r="G190" s="1019"/>
      <c r="H190" s="1017"/>
      <c r="I190" s="1018"/>
      <c r="J190" s="1018"/>
      <c r="K190" s="1019"/>
      <c r="L190" s="1020">
        <v>1.3</v>
      </c>
      <c r="M190" s="1021"/>
      <c r="N190" s="1021"/>
      <c r="O190" s="1022"/>
      <c r="P190" s="1020">
        <v>0</v>
      </c>
      <c r="Q190" s="1021"/>
      <c r="R190" s="1021"/>
      <c r="S190" s="1022"/>
      <c r="T190" s="1020">
        <v>0</v>
      </c>
      <c r="U190" s="1021"/>
      <c r="V190" s="1021"/>
      <c r="W190" s="1022"/>
      <c r="X190" s="880"/>
    </row>
    <row r="191" spans="1:24" ht="13.5" thickBot="1">
      <c r="A191" s="885"/>
      <c r="B191" s="885"/>
      <c r="C191" s="102" t="s">
        <v>284</v>
      </c>
      <c r="D191" s="1017"/>
      <c r="E191" s="1018"/>
      <c r="F191" s="1018"/>
      <c r="G191" s="1019"/>
      <c r="H191" s="1017"/>
      <c r="I191" s="1018"/>
      <c r="J191" s="1018"/>
      <c r="K191" s="1019"/>
      <c r="L191" s="1017"/>
      <c r="M191" s="1018"/>
      <c r="N191" s="1018"/>
      <c r="O191" s="1019"/>
      <c r="P191" s="1020">
        <v>0</v>
      </c>
      <c r="Q191" s="1021"/>
      <c r="R191" s="1021"/>
      <c r="S191" s="1022"/>
      <c r="T191" s="1020">
        <v>0</v>
      </c>
      <c r="U191" s="1021"/>
      <c r="V191" s="1021"/>
      <c r="W191" s="1022"/>
      <c r="X191" s="880"/>
    </row>
    <row r="192" spans="1:24" ht="13.5" thickBot="1">
      <c r="A192" s="885"/>
      <c r="B192" s="885"/>
      <c r="C192" s="998" t="s">
        <v>413</v>
      </c>
      <c r="D192" s="927" t="s">
        <v>4</v>
      </c>
      <c r="E192" s="928"/>
      <c r="F192" s="928"/>
      <c r="G192" s="928"/>
      <c r="H192" s="928"/>
      <c r="I192" s="928"/>
      <c r="J192" s="928"/>
      <c r="K192" s="928"/>
      <c r="L192" s="928"/>
      <c r="M192" s="928"/>
      <c r="N192" s="928"/>
      <c r="O192" s="928"/>
      <c r="P192" s="928"/>
      <c r="Q192" s="928"/>
      <c r="R192" s="928"/>
      <c r="S192" s="928"/>
      <c r="T192" s="928"/>
      <c r="U192" s="928"/>
      <c r="V192" s="928"/>
      <c r="W192" s="929"/>
      <c r="X192" s="880"/>
    </row>
    <row r="193" spans="1:24" ht="13.5" thickBot="1">
      <c r="A193" s="885"/>
      <c r="B193" s="869"/>
      <c r="C193" s="999"/>
      <c r="D193" s="930" t="s">
        <v>123</v>
      </c>
      <c r="E193" s="931"/>
      <c r="F193" s="931"/>
      <c r="G193" s="931"/>
      <c r="H193" s="931"/>
      <c r="I193" s="931"/>
      <c r="J193" s="931"/>
      <c r="K193" s="931"/>
      <c r="L193" s="931"/>
      <c r="M193" s="931"/>
      <c r="N193" s="931"/>
      <c r="O193" s="931"/>
      <c r="P193" s="931"/>
      <c r="Q193" s="931"/>
      <c r="R193" s="931"/>
      <c r="S193" s="931"/>
      <c r="T193" s="931"/>
      <c r="U193" s="931"/>
      <c r="V193" s="931"/>
      <c r="W193" s="932"/>
      <c r="X193" s="880"/>
    </row>
    <row r="194" spans="1:24" ht="13.5" thickBot="1">
      <c r="A194" s="885"/>
      <c r="B194" s="11" t="s">
        <v>33</v>
      </c>
      <c r="C194" s="12"/>
      <c r="D194" s="927" t="s">
        <v>78</v>
      </c>
      <c r="E194" s="928"/>
      <c r="F194" s="928"/>
      <c r="G194" s="929"/>
      <c r="H194" s="927" t="s">
        <v>77</v>
      </c>
      <c r="I194" s="928"/>
      <c r="J194" s="928"/>
      <c r="K194" s="929"/>
      <c r="L194" s="927" t="s">
        <v>81</v>
      </c>
      <c r="M194" s="928"/>
      <c r="N194" s="928"/>
      <c r="O194" s="929"/>
      <c r="P194" s="927" t="s">
        <v>254</v>
      </c>
      <c r="Q194" s="928"/>
      <c r="R194" s="928"/>
      <c r="S194" s="929"/>
      <c r="T194" s="927" t="s">
        <v>76</v>
      </c>
      <c r="U194" s="928"/>
      <c r="V194" s="928"/>
      <c r="W194" s="929"/>
      <c r="X194" s="880"/>
    </row>
    <row r="195" spans="1:24" ht="13.5" thickBot="1">
      <c r="A195" s="885"/>
      <c r="B195" s="868" t="s">
        <v>67</v>
      </c>
      <c r="C195" s="9" t="s">
        <v>235</v>
      </c>
      <c r="D195" s="1014">
        <v>1.2</v>
      </c>
      <c r="E195" s="1015"/>
      <c r="F195" s="1015"/>
      <c r="G195" s="1016"/>
      <c r="H195" s="1014">
        <v>1.8</v>
      </c>
      <c r="I195" s="1015"/>
      <c r="J195" s="1015"/>
      <c r="K195" s="1016"/>
      <c r="L195" s="1014">
        <v>2.4</v>
      </c>
      <c r="M195" s="1015"/>
      <c r="N195" s="1015"/>
      <c r="O195" s="1016"/>
      <c r="P195" s="1014">
        <v>2.7</v>
      </c>
      <c r="Q195" s="1015"/>
      <c r="R195" s="1015"/>
      <c r="S195" s="1016"/>
      <c r="T195" s="1014">
        <v>3</v>
      </c>
      <c r="U195" s="1015"/>
      <c r="V195" s="1015"/>
      <c r="W195" s="1016"/>
      <c r="X195" s="880"/>
    </row>
    <row r="196" spans="1:24" ht="13.5" thickBot="1">
      <c r="A196" s="885"/>
      <c r="B196" s="885"/>
      <c r="C196" s="9" t="s">
        <v>233</v>
      </c>
      <c r="D196" s="966" t="s">
        <v>255</v>
      </c>
      <c r="E196" s="967"/>
      <c r="F196" s="967"/>
      <c r="G196" s="968"/>
      <c r="H196" s="1014">
        <v>2</v>
      </c>
      <c r="I196" s="1015"/>
      <c r="J196" s="1015"/>
      <c r="K196" s="1016"/>
      <c r="L196" s="1014">
        <v>2</v>
      </c>
      <c r="M196" s="1015"/>
      <c r="N196" s="1015"/>
      <c r="O196" s="1016"/>
      <c r="P196" s="1014">
        <v>2.2999999999999998</v>
      </c>
      <c r="Q196" s="1015"/>
      <c r="R196" s="1015"/>
      <c r="S196" s="1016"/>
      <c r="T196" s="1014">
        <v>2.8</v>
      </c>
      <c r="U196" s="1015"/>
      <c r="V196" s="1015"/>
      <c r="W196" s="1016"/>
      <c r="X196" s="880"/>
    </row>
    <row r="197" spans="1:24" ht="13.5" thickBot="1">
      <c r="A197" s="885"/>
      <c r="B197" s="885"/>
      <c r="C197" s="9" t="s">
        <v>234</v>
      </c>
      <c r="D197" s="957"/>
      <c r="E197" s="958"/>
      <c r="F197" s="958"/>
      <c r="G197" s="959"/>
      <c r="H197" s="966" t="s">
        <v>256</v>
      </c>
      <c r="I197" s="967"/>
      <c r="J197" s="967"/>
      <c r="K197" s="968"/>
      <c r="L197" s="1023">
        <v>1.5</v>
      </c>
      <c r="M197" s="1024"/>
      <c r="N197" s="1024"/>
      <c r="O197" s="1025"/>
      <c r="P197" s="1023">
        <v>1.5</v>
      </c>
      <c r="Q197" s="1024"/>
      <c r="R197" s="1024"/>
      <c r="S197" s="1025"/>
      <c r="T197" s="1023">
        <v>2.25</v>
      </c>
      <c r="U197" s="1024"/>
      <c r="V197" s="1024"/>
      <c r="W197" s="1025"/>
      <c r="X197" s="880"/>
    </row>
    <row r="198" spans="1:24" ht="13.5" thickBot="1">
      <c r="A198" s="885"/>
      <c r="B198" s="885"/>
      <c r="C198" s="102" t="s">
        <v>236</v>
      </c>
      <c r="D198" s="1008" t="s">
        <v>416</v>
      </c>
      <c r="E198" s="1009"/>
      <c r="F198" s="1009"/>
      <c r="G198" s="1010"/>
      <c r="H198" s="1020">
        <v>2.2999999999999998</v>
      </c>
      <c r="I198" s="1021"/>
      <c r="J198" s="1021"/>
      <c r="K198" s="1022"/>
      <c r="L198" s="1020">
        <v>2.7</v>
      </c>
      <c r="M198" s="1021"/>
      <c r="N198" s="1021"/>
      <c r="O198" s="1022"/>
      <c r="P198" s="1020">
        <v>0</v>
      </c>
      <c r="Q198" s="1021"/>
      <c r="R198" s="1021"/>
      <c r="S198" s="1022"/>
      <c r="T198" s="1020">
        <v>0</v>
      </c>
      <c r="U198" s="1021"/>
      <c r="V198" s="1021"/>
      <c r="W198" s="1022"/>
      <c r="X198" s="880"/>
    </row>
    <row r="199" spans="1:24" ht="13.5" thickBot="1">
      <c r="A199" s="885"/>
      <c r="B199" s="885"/>
      <c r="C199" s="102" t="s">
        <v>283</v>
      </c>
      <c r="D199" s="1017"/>
      <c r="E199" s="1018"/>
      <c r="F199" s="1018"/>
      <c r="G199" s="1019"/>
      <c r="H199" s="1017"/>
      <c r="I199" s="1018"/>
      <c r="J199" s="1018"/>
      <c r="K199" s="1019"/>
      <c r="L199" s="1020">
        <v>2</v>
      </c>
      <c r="M199" s="1021"/>
      <c r="N199" s="1021"/>
      <c r="O199" s="1022"/>
      <c r="P199" s="1020">
        <v>0</v>
      </c>
      <c r="Q199" s="1021"/>
      <c r="R199" s="1021"/>
      <c r="S199" s="1022"/>
      <c r="T199" s="1020">
        <v>0</v>
      </c>
      <c r="U199" s="1021"/>
      <c r="V199" s="1021"/>
      <c r="W199" s="1022"/>
      <c r="X199" s="880"/>
    </row>
    <row r="200" spans="1:24" ht="13.5" thickBot="1">
      <c r="A200" s="885"/>
      <c r="B200" s="885"/>
      <c r="C200" s="102" t="s">
        <v>284</v>
      </c>
      <c r="D200" s="1017"/>
      <c r="E200" s="1018"/>
      <c r="F200" s="1018"/>
      <c r="G200" s="1019"/>
      <c r="H200" s="1017"/>
      <c r="I200" s="1018"/>
      <c r="J200" s="1018"/>
      <c r="K200" s="1019"/>
      <c r="L200" s="1017"/>
      <c r="M200" s="1018"/>
      <c r="N200" s="1018"/>
      <c r="O200" s="1019"/>
      <c r="P200" s="1020">
        <v>0</v>
      </c>
      <c r="Q200" s="1021"/>
      <c r="R200" s="1021"/>
      <c r="S200" s="1022"/>
      <c r="T200" s="1020">
        <v>0</v>
      </c>
      <c r="U200" s="1021"/>
      <c r="V200" s="1021"/>
      <c r="W200" s="1022"/>
      <c r="X200" s="880"/>
    </row>
    <row r="201" spans="1:24" ht="13.5" thickBot="1">
      <c r="A201" s="885"/>
      <c r="B201" s="885"/>
      <c r="C201" s="998" t="s">
        <v>413</v>
      </c>
      <c r="D201" s="927" t="s">
        <v>4</v>
      </c>
      <c r="E201" s="928"/>
      <c r="F201" s="928"/>
      <c r="G201" s="928"/>
      <c r="H201" s="928"/>
      <c r="I201" s="928"/>
      <c r="J201" s="928"/>
      <c r="K201" s="928"/>
      <c r="L201" s="928"/>
      <c r="M201" s="928"/>
      <c r="N201" s="928"/>
      <c r="O201" s="928"/>
      <c r="P201" s="928"/>
      <c r="Q201" s="928"/>
      <c r="R201" s="928"/>
      <c r="S201" s="928"/>
      <c r="T201" s="928"/>
      <c r="U201" s="928"/>
      <c r="V201" s="928"/>
      <c r="W201" s="929"/>
      <c r="X201" s="880"/>
    </row>
    <row r="202" spans="1:24" ht="13.5" thickBot="1">
      <c r="A202" s="885"/>
      <c r="B202" s="869"/>
      <c r="C202" s="999"/>
      <c r="D202" s="930" t="s">
        <v>123</v>
      </c>
      <c r="E202" s="931"/>
      <c r="F202" s="931"/>
      <c r="G202" s="931"/>
      <c r="H202" s="931"/>
      <c r="I202" s="931"/>
      <c r="J202" s="931"/>
      <c r="K202" s="931"/>
      <c r="L202" s="931"/>
      <c r="M202" s="931"/>
      <c r="N202" s="931"/>
      <c r="O202" s="931"/>
      <c r="P202" s="931"/>
      <c r="Q202" s="931"/>
      <c r="R202" s="931"/>
      <c r="S202" s="931"/>
      <c r="T202" s="931"/>
      <c r="U202" s="931"/>
      <c r="V202" s="931"/>
      <c r="W202" s="932"/>
      <c r="X202" s="880"/>
    </row>
    <row r="203" spans="1:24" ht="13.5" thickBot="1">
      <c r="A203" s="885"/>
      <c r="B203" s="11" t="s">
        <v>34</v>
      </c>
      <c r="C203" s="12"/>
      <c r="D203" s="927" t="s">
        <v>78</v>
      </c>
      <c r="E203" s="928"/>
      <c r="F203" s="928"/>
      <c r="G203" s="929"/>
      <c r="H203" s="927" t="s">
        <v>77</v>
      </c>
      <c r="I203" s="928"/>
      <c r="J203" s="928"/>
      <c r="K203" s="929"/>
      <c r="L203" s="927" t="s">
        <v>81</v>
      </c>
      <c r="M203" s="928"/>
      <c r="N203" s="928"/>
      <c r="O203" s="929"/>
      <c r="P203" s="927" t="s">
        <v>254</v>
      </c>
      <c r="Q203" s="928"/>
      <c r="R203" s="928"/>
      <c r="S203" s="929"/>
      <c r="T203" s="927" t="s">
        <v>76</v>
      </c>
      <c r="U203" s="928"/>
      <c r="V203" s="928"/>
      <c r="W203" s="929"/>
      <c r="X203" s="880"/>
    </row>
    <row r="204" spans="1:24" ht="13.5" thickBot="1">
      <c r="A204" s="885"/>
      <c r="B204" s="868" t="s">
        <v>68</v>
      </c>
      <c r="C204" s="9" t="s">
        <v>235</v>
      </c>
      <c r="D204" s="1014">
        <v>1</v>
      </c>
      <c r="E204" s="1015"/>
      <c r="F204" s="1015"/>
      <c r="G204" s="1016"/>
      <c r="H204" s="1014">
        <v>1.6</v>
      </c>
      <c r="I204" s="1015"/>
      <c r="J204" s="1015"/>
      <c r="K204" s="1016"/>
      <c r="L204" s="1014">
        <v>2.2000000000000002</v>
      </c>
      <c r="M204" s="1015"/>
      <c r="N204" s="1015"/>
      <c r="O204" s="1016"/>
      <c r="P204" s="1014">
        <v>2.6</v>
      </c>
      <c r="Q204" s="1015"/>
      <c r="R204" s="1015"/>
      <c r="S204" s="1016"/>
      <c r="T204" s="1014">
        <v>3</v>
      </c>
      <c r="U204" s="1015"/>
      <c r="V204" s="1015"/>
      <c r="W204" s="1016"/>
      <c r="X204" s="880"/>
    </row>
    <row r="205" spans="1:24" ht="13.5" thickBot="1">
      <c r="A205" s="885"/>
      <c r="B205" s="885"/>
      <c r="C205" s="9" t="s">
        <v>233</v>
      </c>
      <c r="D205" s="966" t="s">
        <v>255</v>
      </c>
      <c r="E205" s="967"/>
      <c r="F205" s="967"/>
      <c r="G205" s="968"/>
      <c r="H205" s="1014">
        <v>1.7</v>
      </c>
      <c r="I205" s="1015"/>
      <c r="J205" s="1015"/>
      <c r="K205" s="1016"/>
      <c r="L205" s="1014">
        <v>1.7</v>
      </c>
      <c r="M205" s="1015"/>
      <c r="N205" s="1015"/>
      <c r="O205" s="1016"/>
      <c r="P205" s="1014">
        <v>1.7</v>
      </c>
      <c r="Q205" s="1015"/>
      <c r="R205" s="1015"/>
      <c r="S205" s="1016"/>
      <c r="T205" s="1014">
        <v>2.5</v>
      </c>
      <c r="U205" s="1015"/>
      <c r="V205" s="1015"/>
      <c r="W205" s="1016"/>
      <c r="X205" s="880"/>
    </row>
    <row r="206" spans="1:24" ht="13.5" thickBot="1">
      <c r="A206" s="885"/>
      <c r="B206" s="885"/>
      <c r="C206" s="9" t="s">
        <v>234</v>
      </c>
      <c r="D206" s="957"/>
      <c r="E206" s="958"/>
      <c r="F206" s="958"/>
      <c r="G206" s="959"/>
      <c r="H206" s="966" t="s">
        <v>256</v>
      </c>
      <c r="I206" s="967"/>
      <c r="J206" s="967"/>
      <c r="K206" s="968"/>
      <c r="L206" s="1023">
        <v>1.5</v>
      </c>
      <c r="M206" s="1024"/>
      <c r="N206" s="1024"/>
      <c r="O206" s="1025"/>
      <c r="P206" s="1023">
        <v>1.5</v>
      </c>
      <c r="Q206" s="1024"/>
      <c r="R206" s="1024"/>
      <c r="S206" s="1025"/>
      <c r="T206" s="1023">
        <v>2.25</v>
      </c>
      <c r="U206" s="1024"/>
      <c r="V206" s="1024"/>
      <c r="W206" s="1025"/>
      <c r="X206" s="880"/>
    </row>
    <row r="207" spans="1:24" ht="13.5" thickBot="1">
      <c r="A207" s="885"/>
      <c r="B207" s="885"/>
      <c r="C207" s="102" t="s">
        <v>236</v>
      </c>
      <c r="D207" s="1008" t="s">
        <v>416</v>
      </c>
      <c r="E207" s="1009"/>
      <c r="F207" s="1009"/>
      <c r="G207" s="1010"/>
      <c r="H207" s="1020">
        <v>1.9</v>
      </c>
      <c r="I207" s="1021"/>
      <c r="J207" s="1021"/>
      <c r="K207" s="1022"/>
      <c r="L207" s="1020">
        <v>2.2000000000000002</v>
      </c>
      <c r="M207" s="1021"/>
      <c r="N207" s="1021"/>
      <c r="O207" s="1022"/>
      <c r="P207" s="1020">
        <v>0</v>
      </c>
      <c r="Q207" s="1021"/>
      <c r="R207" s="1021"/>
      <c r="S207" s="1022"/>
      <c r="T207" s="1020">
        <v>0</v>
      </c>
      <c r="U207" s="1021"/>
      <c r="V207" s="1021"/>
      <c r="W207" s="1022"/>
      <c r="X207" s="880"/>
    </row>
    <row r="208" spans="1:24" ht="13.5" thickBot="1">
      <c r="A208" s="885"/>
      <c r="B208" s="885"/>
      <c r="C208" s="102" t="s">
        <v>283</v>
      </c>
      <c r="D208" s="1017"/>
      <c r="E208" s="1018"/>
      <c r="F208" s="1018"/>
      <c r="G208" s="1019"/>
      <c r="H208" s="1017"/>
      <c r="I208" s="1018"/>
      <c r="J208" s="1018"/>
      <c r="K208" s="1019"/>
      <c r="L208" s="1020">
        <v>1.7</v>
      </c>
      <c r="M208" s="1021"/>
      <c r="N208" s="1021"/>
      <c r="O208" s="1022"/>
      <c r="P208" s="1020">
        <v>0</v>
      </c>
      <c r="Q208" s="1021"/>
      <c r="R208" s="1021"/>
      <c r="S208" s="1022"/>
      <c r="T208" s="1020">
        <v>0</v>
      </c>
      <c r="U208" s="1021"/>
      <c r="V208" s="1021"/>
      <c r="W208" s="1022"/>
      <c r="X208" s="880"/>
    </row>
    <row r="209" spans="1:24" ht="13.5" thickBot="1">
      <c r="A209" s="885"/>
      <c r="B209" s="885"/>
      <c r="C209" s="102" t="s">
        <v>284</v>
      </c>
      <c r="D209" s="1017"/>
      <c r="E209" s="1018"/>
      <c r="F209" s="1018"/>
      <c r="G209" s="1019"/>
      <c r="H209" s="1017"/>
      <c r="I209" s="1018"/>
      <c r="J209" s="1018"/>
      <c r="K209" s="1019"/>
      <c r="L209" s="1017"/>
      <c r="M209" s="1018"/>
      <c r="N209" s="1018"/>
      <c r="O209" s="1019"/>
      <c r="P209" s="1020">
        <v>0</v>
      </c>
      <c r="Q209" s="1021"/>
      <c r="R209" s="1021"/>
      <c r="S209" s="1022"/>
      <c r="T209" s="1020">
        <v>0</v>
      </c>
      <c r="U209" s="1021"/>
      <c r="V209" s="1021"/>
      <c r="W209" s="1022"/>
      <c r="X209" s="880"/>
    </row>
    <row r="210" spans="1:24" ht="13.5" thickBot="1">
      <c r="A210" s="885"/>
      <c r="B210" s="885"/>
      <c r="C210" s="998" t="s">
        <v>413</v>
      </c>
      <c r="D210" s="927" t="s">
        <v>4</v>
      </c>
      <c r="E210" s="928"/>
      <c r="F210" s="928"/>
      <c r="G210" s="928"/>
      <c r="H210" s="928"/>
      <c r="I210" s="928"/>
      <c r="J210" s="928"/>
      <c r="K210" s="928"/>
      <c r="L210" s="928"/>
      <c r="M210" s="928"/>
      <c r="N210" s="928"/>
      <c r="O210" s="928"/>
      <c r="P210" s="928"/>
      <c r="Q210" s="928"/>
      <c r="R210" s="928"/>
      <c r="S210" s="928"/>
      <c r="T210" s="928"/>
      <c r="U210" s="928"/>
      <c r="V210" s="928"/>
      <c r="W210" s="929"/>
      <c r="X210" s="880"/>
    </row>
    <row r="211" spans="1:24" ht="13.5" thickBot="1">
      <c r="A211" s="885"/>
      <c r="B211" s="869"/>
      <c r="C211" s="999"/>
      <c r="D211" s="930" t="s">
        <v>123</v>
      </c>
      <c r="E211" s="931"/>
      <c r="F211" s="931"/>
      <c r="G211" s="931"/>
      <c r="H211" s="931"/>
      <c r="I211" s="931"/>
      <c r="J211" s="931"/>
      <c r="K211" s="931"/>
      <c r="L211" s="931"/>
      <c r="M211" s="931"/>
      <c r="N211" s="931"/>
      <c r="O211" s="931"/>
      <c r="P211" s="931"/>
      <c r="Q211" s="931"/>
      <c r="R211" s="931"/>
      <c r="S211" s="931"/>
      <c r="T211" s="931"/>
      <c r="U211" s="931"/>
      <c r="V211" s="931"/>
      <c r="W211" s="932"/>
      <c r="X211" s="880"/>
    </row>
    <row r="212" spans="1:24" ht="13.5" thickBot="1">
      <c r="A212" s="885"/>
      <c r="B212" s="11" t="s">
        <v>41</v>
      </c>
      <c r="C212" s="12"/>
      <c r="D212" s="927" t="s">
        <v>78</v>
      </c>
      <c r="E212" s="928"/>
      <c r="F212" s="928"/>
      <c r="G212" s="929"/>
      <c r="H212" s="927" t="s">
        <v>77</v>
      </c>
      <c r="I212" s="928"/>
      <c r="J212" s="928"/>
      <c r="K212" s="929"/>
      <c r="L212" s="927" t="s">
        <v>81</v>
      </c>
      <c r="M212" s="928"/>
      <c r="N212" s="928"/>
      <c r="O212" s="929"/>
      <c r="P212" s="927" t="s">
        <v>254</v>
      </c>
      <c r="Q212" s="928"/>
      <c r="R212" s="928"/>
      <c r="S212" s="929"/>
      <c r="T212" s="927" t="s">
        <v>76</v>
      </c>
      <c r="U212" s="928"/>
      <c r="V212" s="928"/>
      <c r="W212" s="929"/>
      <c r="X212" s="880"/>
    </row>
    <row r="213" spans="1:24" ht="13.5" thickBot="1">
      <c r="A213" s="885"/>
      <c r="B213" s="868" t="s">
        <v>69</v>
      </c>
      <c r="C213" s="9" t="s">
        <v>235</v>
      </c>
      <c r="D213" s="1014">
        <v>1.2</v>
      </c>
      <c r="E213" s="1015"/>
      <c r="F213" s="1015"/>
      <c r="G213" s="1016"/>
      <c r="H213" s="1014">
        <v>1.6</v>
      </c>
      <c r="I213" s="1015"/>
      <c r="J213" s="1015"/>
      <c r="K213" s="1016"/>
      <c r="L213" s="1014">
        <v>2.2000000000000002</v>
      </c>
      <c r="M213" s="1015"/>
      <c r="N213" s="1015"/>
      <c r="O213" s="1016"/>
      <c r="P213" s="1014">
        <v>2.6</v>
      </c>
      <c r="Q213" s="1015"/>
      <c r="R213" s="1015"/>
      <c r="S213" s="1016"/>
      <c r="T213" s="1014">
        <v>3</v>
      </c>
      <c r="U213" s="1015"/>
      <c r="V213" s="1015"/>
      <c r="W213" s="1016"/>
      <c r="X213" s="880"/>
    </row>
    <row r="214" spans="1:24" ht="13.5" thickBot="1">
      <c r="A214" s="885"/>
      <c r="B214" s="885"/>
      <c r="C214" s="9" t="s">
        <v>233</v>
      </c>
      <c r="D214" s="966" t="s">
        <v>255</v>
      </c>
      <c r="E214" s="967"/>
      <c r="F214" s="967"/>
      <c r="G214" s="968"/>
      <c r="H214" s="1014">
        <v>1.7</v>
      </c>
      <c r="I214" s="1015"/>
      <c r="J214" s="1015"/>
      <c r="K214" s="1016"/>
      <c r="L214" s="1014">
        <v>1.7</v>
      </c>
      <c r="M214" s="1015"/>
      <c r="N214" s="1015"/>
      <c r="O214" s="1016"/>
      <c r="P214" s="1014">
        <v>1.8</v>
      </c>
      <c r="Q214" s="1015"/>
      <c r="R214" s="1015"/>
      <c r="S214" s="1016"/>
      <c r="T214" s="1014">
        <v>2.5</v>
      </c>
      <c r="U214" s="1015"/>
      <c r="V214" s="1015"/>
      <c r="W214" s="1016"/>
      <c r="X214" s="880"/>
    </row>
    <row r="215" spans="1:24" ht="13.5" thickBot="1">
      <c r="A215" s="885"/>
      <c r="B215" s="885"/>
      <c r="C215" s="9" t="s">
        <v>234</v>
      </c>
      <c r="D215" s="957"/>
      <c r="E215" s="958"/>
      <c r="F215" s="958"/>
      <c r="G215" s="959"/>
      <c r="H215" s="966" t="s">
        <v>256</v>
      </c>
      <c r="I215" s="967"/>
      <c r="J215" s="967"/>
      <c r="K215" s="968"/>
      <c r="L215" s="1023">
        <v>1.5</v>
      </c>
      <c r="M215" s="1024"/>
      <c r="N215" s="1024"/>
      <c r="O215" s="1025"/>
      <c r="P215" s="1023">
        <v>1.5</v>
      </c>
      <c r="Q215" s="1024"/>
      <c r="R215" s="1024"/>
      <c r="S215" s="1025"/>
      <c r="T215" s="1023">
        <v>2.25</v>
      </c>
      <c r="U215" s="1024"/>
      <c r="V215" s="1024"/>
      <c r="W215" s="1025"/>
      <c r="X215" s="880"/>
    </row>
    <row r="216" spans="1:24" ht="13.5" thickBot="1">
      <c r="A216" s="885"/>
      <c r="B216" s="885"/>
      <c r="C216" s="102" t="s">
        <v>236</v>
      </c>
      <c r="D216" s="1008" t="s">
        <v>416</v>
      </c>
      <c r="E216" s="1009"/>
      <c r="F216" s="1009"/>
      <c r="G216" s="1010"/>
      <c r="H216" s="1020">
        <v>1.9</v>
      </c>
      <c r="I216" s="1021"/>
      <c r="J216" s="1021"/>
      <c r="K216" s="1022"/>
      <c r="L216" s="1020">
        <v>2.1</v>
      </c>
      <c r="M216" s="1021"/>
      <c r="N216" s="1021"/>
      <c r="O216" s="1022"/>
      <c r="P216" s="1020">
        <v>0</v>
      </c>
      <c r="Q216" s="1021"/>
      <c r="R216" s="1021"/>
      <c r="S216" s="1022"/>
      <c r="T216" s="1020">
        <v>0</v>
      </c>
      <c r="U216" s="1021"/>
      <c r="V216" s="1021"/>
      <c r="W216" s="1022"/>
      <c r="X216" s="880"/>
    </row>
    <row r="217" spans="1:24" ht="13.5" thickBot="1">
      <c r="A217" s="885"/>
      <c r="B217" s="885"/>
      <c r="C217" s="102" t="s">
        <v>283</v>
      </c>
      <c r="D217" s="1017"/>
      <c r="E217" s="1018"/>
      <c r="F217" s="1018"/>
      <c r="G217" s="1019"/>
      <c r="H217" s="1017"/>
      <c r="I217" s="1018"/>
      <c r="J217" s="1018"/>
      <c r="K217" s="1019"/>
      <c r="L217" s="1020">
        <v>1.7</v>
      </c>
      <c r="M217" s="1021"/>
      <c r="N217" s="1021"/>
      <c r="O217" s="1022"/>
      <c r="P217" s="1020">
        <v>0</v>
      </c>
      <c r="Q217" s="1021"/>
      <c r="R217" s="1021"/>
      <c r="S217" s="1022"/>
      <c r="T217" s="1020">
        <v>0</v>
      </c>
      <c r="U217" s="1021"/>
      <c r="V217" s="1021"/>
      <c r="W217" s="1022"/>
      <c r="X217" s="880"/>
    </row>
    <row r="218" spans="1:24" ht="13.5" thickBot="1">
      <c r="A218" s="885"/>
      <c r="B218" s="885"/>
      <c r="C218" s="102" t="s">
        <v>284</v>
      </c>
      <c r="D218" s="1017"/>
      <c r="E218" s="1018"/>
      <c r="F218" s="1018"/>
      <c r="G218" s="1019"/>
      <c r="H218" s="1017"/>
      <c r="I218" s="1018"/>
      <c r="J218" s="1018"/>
      <c r="K218" s="1019"/>
      <c r="L218" s="1017"/>
      <c r="M218" s="1018"/>
      <c r="N218" s="1018"/>
      <c r="O218" s="1019"/>
      <c r="P218" s="1020">
        <v>0</v>
      </c>
      <c r="Q218" s="1021"/>
      <c r="R218" s="1021"/>
      <c r="S218" s="1022"/>
      <c r="T218" s="1020">
        <v>0</v>
      </c>
      <c r="U218" s="1021"/>
      <c r="V218" s="1021"/>
      <c r="W218" s="1022"/>
      <c r="X218" s="880"/>
    </row>
    <row r="219" spans="1:24" ht="13.5" thickBot="1">
      <c r="A219" s="885"/>
      <c r="B219" s="885"/>
      <c r="C219" s="998" t="s">
        <v>413</v>
      </c>
      <c r="D219" s="927" t="s">
        <v>4</v>
      </c>
      <c r="E219" s="928"/>
      <c r="F219" s="928"/>
      <c r="G219" s="928"/>
      <c r="H219" s="928"/>
      <c r="I219" s="928"/>
      <c r="J219" s="928"/>
      <c r="K219" s="928"/>
      <c r="L219" s="928"/>
      <c r="M219" s="928"/>
      <c r="N219" s="928"/>
      <c r="O219" s="928"/>
      <c r="P219" s="928"/>
      <c r="Q219" s="928"/>
      <c r="R219" s="928"/>
      <c r="S219" s="928"/>
      <c r="T219" s="928"/>
      <c r="U219" s="928"/>
      <c r="V219" s="928"/>
      <c r="W219" s="929"/>
      <c r="X219" s="880"/>
    </row>
    <row r="220" spans="1:24" ht="13.5" thickBot="1">
      <c r="A220" s="885"/>
      <c r="B220" s="869"/>
      <c r="C220" s="999"/>
      <c r="D220" s="930" t="s">
        <v>123</v>
      </c>
      <c r="E220" s="931"/>
      <c r="F220" s="931"/>
      <c r="G220" s="931"/>
      <c r="H220" s="931"/>
      <c r="I220" s="931"/>
      <c r="J220" s="931"/>
      <c r="K220" s="931"/>
      <c r="L220" s="931"/>
      <c r="M220" s="931"/>
      <c r="N220" s="931"/>
      <c r="O220" s="931"/>
      <c r="P220" s="931"/>
      <c r="Q220" s="931"/>
      <c r="R220" s="931"/>
      <c r="S220" s="931"/>
      <c r="T220" s="931"/>
      <c r="U220" s="931"/>
      <c r="V220" s="931"/>
      <c r="W220" s="932"/>
      <c r="X220" s="880"/>
    </row>
    <row r="221" spans="1:24" ht="13.5" thickBot="1">
      <c r="A221" s="885"/>
      <c r="B221" s="11" t="s">
        <v>42</v>
      </c>
      <c r="C221" s="28"/>
      <c r="D221" s="927" t="s">
        <v>78</v>
      </c>
      <c r="E221" s="928"/>
      <c r="F221" s="928"/>
      <c r="G221" s="929"/>
      <c r="H221" s="927" t="s">
        <v>77</v>
      </c>
      <c r="I221" s="928"/>
      <c r="J221" s="928"/>
      <c r="K221" s="929"/>
      <c r="L221" s="927" t="s">
        <v>81</v>
      </c>
      <c r="M221" s="928"/>
      <c r="N221" s="928"/>
      <c r="O221" s="929"/>
      <c r="P221" s="927" t="s">
        <v>254</v>
      </c>
      <c r="Q221" s="928"/>
      <c r="R221" s="928"/>
      <c r="S221" s="929"/>
      <c r="T221" s="927" t="s">
        <v>76</v>
      </c>
      <c r="U221" s="928"/>
      <c r="V221" s="928"/>
      <c r="W221" s="929"/>
      <c r="X221" s="880"/>
    </row>
    <row r="222" spans="1:24" ht="18.95" customHeight="1" thickBot="1">
      <c r="A222" s="885"/>
      <c r="B222" s="868" t="s">
        <v>180</v>
      </c>
      <c r="C222" s="26"/>
      <c r="D222" s="955" t="s">
        <v>99</v>
      </c>
      <c r="E222" s="956"/>
      <c r="F222" s="955" t="s">
        <v>100</v>
      </c>
      <c r="G222" s="956"/>
      <c r="H222" s="955" t="s">
        <v>99</v>
      </c>
      <c r="I222" s="956"/>
      <c r="J222" s="955" t="s">
        <v>100</v>
      </c>
      <c r="K222" s="956"/>
      <c r="L222" s="955" t="s">
        <v>99</v>
      </c>
      <c r="M222" s="956"/>
      <c r="N222" s="955" t="s">
        <v>100</v>
      </c>
      <c r="O222" s="956"/>
      <c r="P222" s="955" t="s">
        <v>99</v>
      </c>
      <c r="Q222" s="956"/>
      <c r="R222" s="955" t="s">
        <v>100</v>
      </c>
      <c r="S222" s="956"/>
      <c r="T222" s="955" t="s">
        <v>99</v>
      </c>
      <c r="U222" s="956"/>
      <c r="V222" s="955" t="s">
        <v>100</v>
      </c>
      <c r="W222" s="956"/>
      <c r="X222" s="880"/>
    </row>
    <row r="223" spans="1:24" ht="13.5" thickBot="1">
      <c r="A223" s="885"/>
      <c r="B223" s="885"/>
      <c r="C223" s="9" t="s">
        <v>247</v>
      </c>
      <c r="D223" s="1006">
        <v>0</v>
      </c>
      <c r="E223" s="1007"/>
      <c r="F223" s="1006">
        <v>0</v>
      </c>
      <c r="G223" s="1007"/>
      <c r="H223" s="1006">
        <v>20</v>
      </c>
      <c r="I223" s="1007"/>
      <c r="J223" s="1006">
        <v>10</v>
      </c>
      <c r="K223" s="1007"/>
      <c r="L223" s="1006">
        <v>35</v>
      </c>
      <c r="M223" s="1007"/>
      <c r="N223" s="1006">
        <v>15</v>
      </c>
      <c r="O223" s="1007"/>
      <c r="P223" s="1006">
        <v>50</v>
      </c>
      <c r="Q223" s="1007"/>
      <c r="R223" s="1006">
        <v>20</v>
      </c>
      <c r="S223" s="1007"/>
      <c r="T223" s="1006">
        <v>60</v>
      </c>
      <c r="U223" s="1007"/>
      <c r="V223" s="1006">
        <v>25</v>
      </c>
      <c r="W223" s="1007"/>
      <c r="X223" s="880"/>
    </row>
    <row r="224" spans="1:24" ht="13.5" thickBot="1">
      <c r="A224" s="869"/>
      <c r="B224" s="885"/>
      <c r="C224" s="102" t="s">
        <v>246</v>
      </c>
      <c r="D224" s="1011" t="s">
        <v>171</v>
      </c>
      <c r="E224" s="1012"/>
      <c r="F224" s="1012"/>
      <c r="G224" s="1013"/>
      <c r="H224" s="1011" t="s">
        <v>417</v>
      </c>
      <c r="I224" s="1012"/>
      <c r="J224" s="1012"/>
      <c r="K224" s="1013"/>
      <c r="L224" s="995">
        <v>26</v>
      </c>
      <c r="M224" s="997"/>
      <c r="N224" s="995">
        <v>14</v>
      </c>
      <c r="O224" s="997"/>
      <c r="P224" s="995">
        <v>0</v>
      </c>
      <c r="Q224" s="997"/>
      <c r="R224" s="995">
        <v>0</v>
      </c>
      <c r="S224" s="997"/>
      <c r="T224" s="995">
        <v>0</v>
      </c>
      <c r="U224" s="997"/>
      <c r="V224" s="995">
        <v>0</v>
      </c>
      <c r="W224" s="997"/>
      <c r="X224" s="881"/>
    </row>
    <row r="225" spans="1:24" ht="13.5" thickBot="1">
      <c r="A225" s="96" t="s">
        <v>13</v>
      </c>
      <c r="B225" s="93" t="s">
        <v>178</v>
      </c>
      <c r="C225" s="998" t="s">
        <v>413</v>
      </c>
      <c r="D225" s="927" t="s">
        <v>4</v>
      </c>
      <c r="E225" s="928"/>
      <c r="F225" s="928"/>
      <c r="G225" s="928"/>
      <c r="H225" s="928"/>
      <c r="I225" s="928"/>
      <c r="J225" s="928"/>
      <c r="K225" s="928"/>
      <c r="L225" s="928"/>
      <c r="M225" s="928"/>
      <c r="N225" s="928"/>
      <c r="O225" s="928"/>
      <c r="P225" s="928"/>
      <c r="Q225" s="928"/>
      <c r="R225" s="928"/>
      <c r="S225" s="928"/>
      <c r="T225" s="928"/>
      <c r="U225" s="928"/>
      <c r="V225" s="928"/>
      <c r="W225" s="929"/>
      <c r="X225" s="24" t="s">
        <v>14</v>
      </c>
    </row>
    <row r="226" spans="1:24" ht="13.5" thickBot="1">
      <c r="A226" s="25" t="s">
        <v>74</v>
      </c>
      <c r="B226" s="94"/>
      <c r="C226" s="999"/>
      <c r="D226" s="930" t="s">
        <v>124</v>
      </c>
      <c r="E226" s="931"/>
      <c r="F226" s="931"/>
      <c r="G226" s="931"/>
      <c r="H226" s="931"/>
      <c r="I226" s="931"/>
      <c r="J226" s="931"/>
      <c r="K226" s="931"/>
      <c r="L226" s="931"/>
      <c r="M226" s="931"/>
      <c r="N226" s="931"/>
      <c r="O226" s="931"/>
      <c r="P226" s="931"/>
      <c r="Q226" s="931"/>
      <c r="R226" s="931"/>
      <c r="S226" s="931"/>
      <c r="T226" s="931"/>
      <c r="U226" s="931"/>
      <c r="V226" s="931"/>
      <c r="W226" s="932"/>
      <c r="X226" s="18" t="s">
        <v>93</v>
      </c>
    </row>
    <row r="227" spans="1:24" ht="13.5" thickBot="1">
      <c r="A227" s="906" t="s">
        <v>7</v>
      </c>
      <c r="B227" s="908" t="s">
        <v>173</v>
      </c>
      <c r="C227" s="918"/>
      <c r="D227" s="908" t="s">
        <v>8</v>
      </c>
      <c r="E227" s="918"/>
      <c r="F227" s="918"/>
      <c r="G227" s="909"/>
      <c r="H227" s="908" t="s">
        <v>88</v>
      </c>
      <c r="I227" s="918"/>
      <c r="J227" s="918"/>
      <c r="K227" s="909"/>
      <c r="L227" s="908" t="s">
        <v>89</v>
      </c>
      <c r="M227" s="918"/>
      <c r="N227" s="918"/>
      <c r="O227" s="909"/>
      <c r="P227" s="908" t="s">
        <v>9</v>
      </c>
      <c r="Q227" s="918"/>
      <c r="R227" s="918"/>
      <c r="S227" s="909"/>
      <c r="T227" s="908" t="s">
        <v>174</v>
      </c>
      <c r="U227" s="918"/>
      <c r="V227" s="918"/>
      <c r="W227" s="918"/>
      <c r="X227" s="909"/>
    </row>
    <row r="228" spans="1:24" ht="13.5" thickBot="1">
      <c r="A228" s="907"/>
      <c r="B228" s="919">
        <v>10300000</v>
      </c>
      <c r="C228" s="921"/>
      <c r="D228" s="919">
        <v>0</v>
      </c>
      <c r="E228" s="921"/>
      <c r="F228" s="921"/>
      <c r="G228" s="920"/>
      <c r="H228" s="919">
        <v>5500000</v>
      </c>
      <c r="I228" s="921"/>
      <c r="J228" s="921"/>
      <c r="K228" s="920"/>
      <c r="L228" s="919">
        <v>3100000</v>
      </c>
      <c r="M228" s="921"/>
      <c r="N228" s="921"/>
      <c r="O228" s="920"/>
      <c r="P228" s="919">
        <f>SUM(B228:O228)</f>
        <v>18900000</v>
      </c>
      <c r="Q228" s="921"/>
      <c r="R228" s="921"/>
      <c r="S228" s="920"/>
      <c r="T228" s="942">
        <f>B228/P228%</f>
        <v>54.4973544973545</v>
      </c>
      <c r="U228" s="943"/>
      <c r="V228" s="943"/>
      <c r="W228" s="943"/>
      <c r="X228" s="944"/>
    </row>
    <row r="229" spans="1:24" ht="13.5" thickBot="1">
      <c r="A229" s="906" t="s">
        <v>10</v>
      </c>
      <c r="B229" s="908" t="s">
        <v>175</v>
      </c>
      <c r="C229" s="918"/>
      <c r="D229" s="910"/>
      <c r="E229" s="911"/>
      <c r="F229" s="911"/>
      <c r="G229" s="911"/>
      <c r="H229" s="911"/>
      <c r="I229" s="911"/>
      <c r="J229" s="911"/>
      <c r="K229" s="911"/>
      <c r="L229" s="911"/>
      <c r="M229" s="911"/>
      <c r="N229" s="911"/>
      <c r="O229" s="911"/>
      <c r="P229" s="911"/>
      <c r="Q229" s="911"/>
      <c r="R229" s="911"/>
      <c r="S229" s="911"/>
      <c r="T229" s="911"/>
      <c r="U229" s="911"/>
      <c r="V229" s="911"/>
      <c r="W229" s="911"/>
      <c r="X229" s="912"/>
    </row>
    <row r="230" spans="1:24" ht="13.5" thickBot="1">
      <c r="A230" s="907"/>
      <c r="B230" s="916"/>
      <c r="C230" s="994"/>
      <c r="D230" s="913"/>
      <c r="E230" s="914"/>
      <c r="F230" s="914"/>
      <c r="G230" s="914"/>
      <c r="H230" s="914"/>
      <c r="I230" s="914"/>
      <c r="J230" s="914"/>
      <c r="K230" s="914"/>
      <c r="L230" s="914"/>
      <c r="M230" s="914"/>
      <c r="N230" s="914"/>
      <c r="O230" s="914"/>
      <c r="P230" s="914"/>
      <c r="Q230" s="914"/>
      <c r="R230" s="914"/>
      <c r="S230" s="914"/>
      <c r="T230" s="914"/>
      <c r="U230" s="914"/>
      <c r="V230" s="914"/>
      <c r="W230" s="914"/>
      <c r="X230" s="915"/>
    </row>
    <row r="232" spans="1:24" ht="13.5" thickBot="1"/>
    <row r="233" spans="1:24" ht="13.5" thickBot="1">
      <c r="A233" s="191" t="s">
        <v>27</v>
      </c>
      <c r="B233" s="190" t="s">
        <v>35</v>
      </c>
      <c r="C233" s="8"/>
      <c r="D233" s="927" t="s">
        <v>78</v>
      </c>
      <c r="E233" s="928"/>
      <c r="F233" s="928"/>
      <c r="G233" s="929"/>
      <c r="H233" s="927" t="s">
        <v>77</v>
      </c>
      <c r="I233" s="928"/>
      <c r="J233" s="928"/>
      <c r="K233" s="929"/>
      <c r="L233" s="927" t="s">
        <v>81</v>
      </c>
      <c r="M233" s="928"/>
      <c r="N233" s="928"/>
      <c r="O233" s="929"/>
      <c r="P233" s="927" t="s">
        <v>254</v>
      </c>
      <c r="Q233" s="928"/>
      <c r="R233" s="928"/>
      <c r="S233" s="929"/>
      <c r="T233" s="927" t="s">
        <v>76</v>
      </c>
      <c r="U233" s="928"/>
      <c r="V233" s="928"/>
      <c r="W233" s="929"/>
      <c r="X233" s="16" t="s">
        <v>12</v>
      </c>
    </row>
    <row r="234" spans="1:24" ht="13.5" thickBot="1">
      <c r="A234" s="868" t="s">
        <v>70</v>
      </c>
      <c r="B234" s="868" t="s">
        <v>71</v>
      </c>
      <c r="C234" s="9" t="s">
        <v>247</v>
      </c>
      <c r="D234" s="1000">
        <v>4</v>
      </c>
      <c r="E234" s="1001"/>
      <c r="F234" s="1001"/>
      <c r="G234" s="1002"/>
      <c r="H234" s="1000">
        <v>13</v>
      </c>
      <c r="I234" s="1001"/>
      <c r="J234" s="1001"/>
      <c r="K234" s="1002"/>
      <c r="L234" s="1000">
        <v>20</v>
      </c>
      <c r="M234" s="1001"/>
      <c r="N234" s="1001"/>
      <c r="O234" s="1002"/>
      <c r="P234" s="1000">
        <v>35</v>
      </c>
      <c r="Q234" s="1001"/>
      <c r="R234" s="1001"/>
      <c r="S234" s="1002"/>
      <c r="T234" s="1000">
        <v>50</v>
      </c>
      <c r="U234" s="1001"/>
      <c r="V234" s="1001"/>
      <c r="W234" s="1002"/>
      <c r="X234" s="879" t="s">
        <v>90</v>
      </c>
    </row>
    <row r="235" spans="1:24" ht="13.5" thickBot="1">
      <c r="A235" s="885"/>
      <c r="B235" s="885"/>
      <c r="C235" s="102" t="s">
        <v>246</v>
      </c>
      <c r="D235" s="1008" t="s">
        <v>416</v>
      </c>
      <c r="E235" s="1009"/>
      <c r="F235" s="1009"/>
      <c r="G235" s="1010"/>
      <c r="H235" s="995">
        <v>16</v>
      </c>
      <c r="I235" s="996"/>
      <c r="J235" s="996"/>
      <c r="K235" s="997"/>
      <c r="L235" s="995">
        <v>37</v>
      </c>
      <c r="M235" s="996"/>
      <c r="N235" s="996"/>
      <c r="O235" s="997"/>
      <c r="P235" s="995">
        <v>0</v>
      </c>
      <c r="Q235" s="996"/>
      <c r="R235" s="996"/>
      <c r="S235" s="997"/>
      <c r="T235" s="995">
        <v>0</v>
      </c>
      <c r="U235" s="996"/>
      <c r="V235" s="996"/>
      <c r="W235" s="997"/>
      <c r="X235" s="880"/>
    </row>
    <row r="236" spans="1:24" ht="13.5" thickBot="1">
      <c r="A236" s="885"/>
      <c r="B236" s="885"/>
      <c r="C236" s="998" t="s">
        <v>413</v>
      </c>
      <c r="D236" s="927" t="s">
        <v>4</v>
      </c>
      <c r="E236" s="928"/>
      <c r="F236" s="928"/>
      <c r="G236" s="928"/>
      <c r="H236" s="928"/>
      <c r="I236" s="928"/>
      <c r="J236" s="928"/>
      <c r="K236" s="928"/>
      <c r="L236" s="928"/>
      <c r="M236" s="928"/>
      <c r="N236" s="928"/>
      <c r="O236" s="928"/>
      <c r="P236" s="928"/>
      <c r="Q236" s="928"/>
      <c r="R236" s="928"/>
      <c r="S236" s="928"/>
      <c r="T236" s="928"/>
      <c r="U236" s="928"/>
      <c r="V236" s="928"/>
      <c r="W236" s="929"/>
      <c r="X236" s="880"/>
    </row>
    <row r="237" spans="1:24" ht="13.5" thickBot="1">
      <c r="A237" s="885"/>
      <c r="B237" s="869"/>
      <c r="C237" s="999"/>
      <c r="D237" s="930" t="s">
        <v>125</v>
      </c>
      <c r="E237" s="931"/>
      <c r="F237" s="931"/>
      <c r="G237" s="931"/>
      <c r="H237" s="931"/>
      <c r="I237" s="931"/>
      <c r="J237" s="931"/>
      <c r="K237" s="931"/>
      <c r="L237" s="931"/>
      <c r="M237" s="931"/>
      <c r="N237" s="931"/>
      <c r="O237" s="931"/>
      <c r="P237" s="931"/>
      <c r="Q237" s="931"/>
      <c r="R237" s="931"/>
      <c r="S237" s="931"/>
      <c r="T237" s="931"/>
      <c r="U237" s="931"/>
      <c r="V237" s="931"/>
      <c r="W237" s="932"/>
      <c r="X237" s="880"/>
    </row>
    <row r="238" spans="1:24" ht="13.5" thickBot="1">
      <c r="A238" s="885"/>
      <c r="B238" s="11" t="s">
        <v>36</v>
      </c>
      <c r="C238" s="12"/>
      <c r="D238" s="927" t="s">
        <v>78</v>
      </c>
      <c r="E238" s="928"/>
      <c r="F238" s="928"/>
      <c r="G238" s="929"/>
      <c r="H238" s="927" t="s">
        <v>77</v>
      </c>
      <c r="I238" s="928"/>
      <c r="J238" s="928"/>
      <c r="K238" s="929"/>
      <c r="L238" s="927" t="s">
        <v>81</v>
      </c>
      <c r="M238" s="928"/>
      <c r="N238" s="928"/>
      <c r="O238" s="929"/>
      <c r="P238" s="927" t="s">
        <v>254</v>
      </c>
      <c r="Q238" s="928"/>
      <c r="R238" s="928"/>
      <c r="S238" s="929"/>
      <c r="T238" s="927" t="s">
        <v>76</v>
      </c>
      <c r="U238" s="928"/>
      <c r="V238" s="928"/>
      <c r="W238" s="929"/>
      <c r="X238" s="880"/>
    </row>
    <row r="239" spans="1:24" ht="13.5" thickBot="1">
      <c r="A239" s="885"/>
      <c r="B239" s="868" t="s">
        <v>72</v>
      </c>
      <c r="C239" s="9" t="s">
        <v>247</v>
      </c>
      <c r="D239" s="1000">
        <v>0</v>
      </c>
      <c r="E239" s="1001"/>
      <c r="F239" s="1001"/>
      <c r="G239" s="1002"/>
      <c r="H239" s="1000">
        <v>5</v>
      </c>
      <c r="I239" s="1001"/>
      <c r="J239" s="1001"/>
      <c r="K239" s="1002"/>
      <c r="L239" s="1000">
        <v>10</v>
      </c>
      <c r="M239" s="1001"/>
      <c r="N239" s="1001"/>
      <c r="O239" s="1002"/>
      <c r="P239" s="1000">
        <v>15</v>
      </c>
      <c r="Q239" s="1001"/>
      <c r="R239" s="1001"/>
      <c r="S239" s="1002"/>
      <c r="T239" s="1000">
        <v>20</v>
      </c>
      <c r="U239" s="1001"/>
      <c r="V239" s="1001"/>
      <c r="W239" s="1002"/>
      <c r="X239" s="880"/>
    </row>
    <row r="240" spans="1:24" ht="13.5" thickBot="1">
      <c r="A240" s="869"/>
      <c r="B240" s="885"/>
      <c r="C240" s="102" t="s">
        <v>246</v>
      </c>
      <c r="D240" s="1003" t="s">
        <v>172</v>
      </c>
      <c r="E240" s="1004"/>
      <c r="F240" s="1004"/>
      <c r="G240" s="1005"/>
      <c r="H240" s="1003" t="s">
        <v>417</v>
      </c>
      <c r="I240" s="1004"/>
      <c r="J240" s="1004"/>
      <c r="K240" s="1005"/>
      <c r="L240" s="995">
        <v>20</v>
      </c>
      <c r="M240" s="996"/>
      <c r="N240" s="996"/>
      <c r="O240" s="997"/>
      <c r="P240" s="995">
        <v>0</v>
      </c>
      <c r="Q240" s="996"/>
      <c r="R240" s="996"/>
      <c r="S240" s="997"/>
      <c r="T240" s="995">
        <v>0</v>
      </c>
      <c r="U240" s="996"/>
      <c r="V240" s="996"/>
      <c r="W240" s="997"/>
      <c r="X240" s="881"/>
    </row>
    <row r="241" spans="1:24" ht="13.5" thickBot="1">
      <c r="A241" s="192" t="s">
        <v>13</v>
      </c>
      <c r="B241" s="885"/>
      <c r="C241" s="998" t="s">
        <v>413</v>
      </c>
      <c r="D241" s="927" t="s">
        <v>4</v>
      </c>
      <c r="E241" s="928"/>
      <c r="F241" s="928"/>
      <c r="G241" s="928"/>
      <c r="H241" s="928"/>
      <c r="I241" s="928"/>
      <c r="J241" s="928"/>
      <c r="K241" s="928"/>
      <c r="L241" s="928"/>
      <c r="M241" s="928"/>
      <c r="N241" s="928"/>
      <c r="O241" s="928"/>
      <c r="P241" s="928"/>
      <c r="Q241" s="928"/>
      <c r="R241" s="928"/>
      <c r="S241" s="928"/>
      <c r="T241" s="928"/>
      <c r="U241" s="928"/>
      <c r="V241" s="928"/>
      <c r="W241" s="929"/>
      <c r="X241" s="24" t="s">
        <v>14</v>
      </c>
    </row>
    <row r="242" spans="1:24" ht="13.5" thickBot="1">
      <c r="A242" s="25" t="s">
        <v>73</v>
      </c>
      <c r="B242" s="869"/>
      <c r="C242" s="999"/>
      <c r="D242" s="930" t="s">
        <v>125</v>
      </c>
      <c r="E242" s="931"/>
      <c r="F242" s="931"/>
      <c r="G242" s="931"/>
      <c r="H242" s="931"/>
      <c r="I242" s="931"/>
      <c r="J242" s="931"/>
      <c r="K242" s="931"/>
      <c r="L242" s="931"/>
      <c r="M242" s="931"/>
      <c r="N242" s="931"/>
      <c r="O242" s="931"/>
      <c r="P242" s="931"/>
      <c r="Q242" s="931"/>
      <c r="R242" s="931"/>
      <c r="S242" s="931"/>
      <c r="T242" s="931"/>
      <c r="U242" s="931"/>
      <c r="V242" s="931"/>
      <c r="W242" s="932"/>
      <c r="X242" s="18" t="s">
        <v>92</v>
      </c>
    </row>
    <row r="243" spans="1:24" ht="13.5" thickBot="1">
      <c r="A243" s="906" t="s">
        <v>7</v>
      </c>
      <c r="B243" s="908" t="s">
        <v>173</v>
      </c>
      <c r="C243" s="918"/>
      <c r="D243" s="908" t="s">
        <v>8</v>
      </c>
      <c r="E243" s="918"/>
      <c r="F243" s="918"/>
      <c r="G243" s="909"/>
      <c r="H243" s="908" t="s">
        <v>88</v>
      </c>
      <c r="I243" s="918"/>
      <c r="J243" s="918"/>
      <c r="K243" s="909"/>
      <c r="L243" s="908" t="s">
        <v>89</v>
      </c>
      <c r="M243" s="918"/>
      <c r="N243" s="918"/>
      <c r="O243" s="909"/>
      <c r="P243" s="908" t="s">
        <v>9</v>
      </c>
      <c r="Q243" s="918"/>
      <c r="R243" s="918"/>
      <c r="S243" s="909"/>
      <c r="T243" s="908" t="s">
        <v>174</v>
      </c>
      <c r="U243" s="918"/>
      <c r="V243" s="918"/>
      <c r="W243" s="918"/>
      <c r="X243" s="909"/>
    </row>
    <row r="244" spans="1:24" ht="13.5" thickBot="1">
      <c r="A244" s="907"/>
      <c r="B244" s="919">
        <v>4100000</v>
      </c>
      <c r="C244" s="921"/>
      <c r="D244" s="919">
        <v>0</v>
      </c>
      <c r="E244" s="921"/>
      <c r="F244" s="921"/>
      <c r="G244" s="920"/>
      <c r="H244" s="919">
        <v>0</v>
      </c>
      <c r="I244" s="921"/>
      <c r="J244" s="921"/>
      <c r="K244" s="920"/>
      <c r="L244" s="919">
        <v>2700000</v>
      </c>
      <c r="M244" s="921"/>
      <c r="N244" s="921"/>
      <c r="O244" s="920"/>
      <c r="P244" s="919">
        <f>SUM(B244:O244)</f>
        <v>6800000</v>
      </c>
      <c r="Q244" s="921"/>
      <c r="R244" s="921"/>
      <c r="S244" s="920"/>
      <c r="T244" s="942">
        <f>B244/P244%</f>
        <v>60.294117647058826</v>
      </c>
      <c r="U244" s="943"/>
      <c r="V244" s="943"/>
      <c r="W244" s="943"/>
      <c r="X244" s="944"/>
    </row>
    <row r="245" spans="1:24" ht="13.5" thickBot="1">
      <c r="A245" s="906" t="s">
        <v>10</v>
      </c>
      <c r="B245" s="908" t="s">
        <v>175</v>
      </c>
      <c r="C245" s="918"/>
      <c r="D245" s="910"/>
      <c r="E245" s="911"/>
      <c r="F245" s="911"/>
      <c r="G245" s="911"/>
      <c r="H245" s="911"/>
      <c r="I245" s="911"/>
      <c r="J245" s="911"/>
      <c r="K245" s="911"/>
      <c r="L245" s="911"/>
      <c r="M245" s="911"/>
      <c r="N245" s="911"/>
      <c r="O245" s="911"/>
      <c r="P245" s="911"/>
      <c r="Q245" s="911"/>
      <c r="R245" s="911"/>
      <c r="S245" s="911"/>
      <c r="T245" s="911"/>
      <c r="U245" s="911"/>
      <c r="V245" s="911"/>
      <c r="W245" s="911"/>
      <c r="X245" s="912"/>
    </row>
    <row r="246" spans="1:24" ht="13.5" thickBot="1">
      <c r="A246" s="907"/>
      <c r="B246" s="916"/>
      <c r="C246" s="994"/>
      <c r="D246" s="913"/>
      <c r="E246" s="914"/>
      <c r="F246" s="914"/>
      <c r="G246" s="914"/>
      <c r="H246" s="914"/>
      <c r="I246" s="914"/>
      <c r="J246" s="914"/>
      <c r="K246" s="914"/>
      <c r="L246" s="914"/>
      <c r="M246" s="914"/>
      <c r="N246" s="914"/>
      <c r="O246" s="914"/>
      <c r="P246" s="914"/>
      <c r="Q246" s="914"/>
      <c r="R246" s="914"/>
      <c r="S246" s="914"/>
      <c r="T246" s="914"/>
      <c r="U246" s="914"/>
      <c r="V246" s="914"/>
      <c r="W246" s="914"/>
      <c r="X246" s="915"/>
    </row>
  </sheetData>
  <sheetProtection password="CF55" sheet="1" objects="1" scenarios="1" selectLockedCells="1" selectUnlockedCells="1"/>
  <mergeCells count="925">
    <mergeCell ref="X22:X48"/>
    <mergeCell ref="D23:G23"/>
    <mergeCell ref="H23:K23"/>
    <mergeCell ref="L23:O23"/>
    <mergeCell ref="P23:S23"/>
    <mergeCell ref="T23:W23"/>
    <mergeCell ref="D24:G24"/>
    <mergeCell ref="H24:K24"/>
    <mergeCell ref="D25:G25"/>
    <mergeCell ref="P27:S27"/>
    <mergeCell ref="T27:W27"/>
    <mergeCell ref="D28:W28"/>
    <mergeCell ref="P26:S26"/>
    <mergeCell ref="T26:W26"/>
    <mergeCell ref="T32:W32"/>
    <mergeCell ref="D33:G33"/>
    <mergeCell ref="H33:K33"/>
    <mergeCell ref="L33:O33"/>
    <mergeCell ref="P33:S33"/>
    <mergeCell ref="T33:W33"/>
    <mergeCell ref="L25:O25"/>
    <mergeCell ref="P25:S25"/>
    <mergeCell ref="T25:W25"/>
    <mergeCell ref="H25:K25"/>
    <mergeCell ref="D4:G4"/>
    <mergeCell ref="H4:K4"/>
    <mergeCell ref="L4:O4"/>
    <mergeCell ref="P4:S4"/>
    <mergeCell ref="T4:W4"/>
    <mergeCell ref="X4:X18"/>
    <mergeCell ref="P9:S9"/>
    <mergeCell ref="T9:W9"/>
    <mergeCell ref="D14:G14"/>
    <mergeCell ref="H14:K14"/>
    <mergeCell ref="D8:W8"/>
    <mergeCell ref="D9:G9"/>
    <mergeCell ref="H9:K9"/>
    <mergeCell ref="L9:O9"/>
    <mergeCell ref="T21:W21"/>
    <mergeCell ref="L24:O24"/>
    <mergeCell ref="B10:B13"/>
    <mergeCell ref="D10:W10"/>
    <mergeCell ref="D11:W11"/>
    <mergeCell ref="C12:C13"/>
    <mergeCell ref="D12:W12"/>
    <mergeCell ref="D13:W13"/>
    <mergeCell ref="P14:S14"/>
    <mergeCell ref="T14:W14"/>
    <mergeCell ref="B15:B18"/>
    <mergeCell ref="D15:W15"/>
    <mergeCell ref="D16:W16"/>
    <mergeCell ref="C17:C18"/>
    <mergeCell ref="D17:W17"/>
    <mergeCell ref="D18:W18"/>
    <mergeCell ref="P24:S24"/>
    <mergeCell ref="T24:W24"/>
    <mergeCell ref="A22:A48"/>
    <mergeCell ref="B22:B29"/>
    <mergeCell ref="D22:G22"/>
    <mergeCell ref="H22:K22"/>
    <mergeCell ref="L22:O22"/>
    <mergeCell ref="L14:O14"/>
    <mergeCell ref="C28:C29"/>
    <mergeCell ref="D29:W29"/>
    <mergeCell ref="D30:G30"/>
    <mergeCell ref="H30:K30"/>
    <mergeCell ref="A5:A18"/>
    <mergeCell ref="B5:B8"/>
    <mergeCell ref="D5:W5"/>
    <mergeCell ref="D6:W6"/>
    <mergeCell ref="C7:C8"/>
    <mergeCell ref="D7:W7"/>
    <mergeCell ref="D27:G27"/>
    <mergeCell ref="H27:K27"/>
    <mergeCell ref="D21:G21"/>
    <mergeCell ref="H21:K21"/>
    <mergeCell ref="L21:O21"/>
    <mergeCell ref="P21:S21"/>
    <mergeCell ref="P22:S22"/>
    <mergeCell ref="T22:W22"/>
    <mergeCell ref="L30:O30"/>
    <mergeCell ref="P30:S30"/>
    <mergeCell ref="T30:W30"/>
    <mergeCell ref="D26:G26"/>
    <mergeCell ref="H26:K26"/>
    <mergeCell ref="L26:O26"/>
    <mergeCell ref="L27:O27"/>
    <mergeCell ref="L39:O39"/>
    <mergeCell ref="P39:S39"/>
    <mergeCell ref="T39:W39"/>
    <mergeCell ref="B40:B41"/>
    <mergeCell ref="D34:G34"/>
    <mergeCell ref="H34:K34"/>
    <mergeCell ref="L34:O34"/>
    <mergeCell ref="P34:S34"/>
    <mergeCell ref="T34:W34"/>
    <mergeCell ref="D35:G35"/>
    <mergeCell ref="H35:K35"/>
    <mergeCell ref="L35:O35"/>
    <mergeCell ref="P35:S35"/>
    <mergeCell ref="T35:W35"/>
    <mergeCell ref="B47:B48"/>
    <mergeCell ref="C47:C48"/>
    <mergeCell ref="D47:W47"/>
    <mergeCell ref="D48:W48"/>
    <mergeCell ref="B31:B38"/>
    <mergeCell ref="D31:G31"/>
    <mergeCell ref="H31:K31"/>
    <mergeCell ref="L31:O31"/>
    <mergeCell ref="P31:S31"/>
    <mergeCell ref="T31:W31"/>
    <mergeCell ref="D32:G32"/>
    <mergeCell ref="H32:K32"/>
    <mergeCell ref="L32:O32"/>
    <mergeCell ref="P32:S32"/>
    <mergeCell ref="D36:G36"/>
    <mergeCell ref="H36:K36"/>
    <mergeCell ref="L36:O36"/>
    <mergeCell ref="P36:S36"/>
    <mergeCell ref="T36:W36"/>
    <mergeCell ref="C37:C38"/>
    <mergeCell ref="D37:W37"/>
    <mergeCell ref="D38:W38"/>
    <mergeCell ref="D39:G39"/>
    <mergeCell ref="H39:K39"/>
    <mergeCell ref="D42:G42"/>
    <mergeCell ref="D43:G43"/>
    <mergeCell ref="H43:K43"/>
    <mergeCell ref="D44:G44"/>
    <mergeCell ref="D45:G45"/>
    <mergeCell ref="H45:K45"/>
    <mergeCell ref="D46:G46"/>
    <mergeCell ref="H46:K46"/>
    <mergeCell ref="L46:O46"/>
    <mergeCell ref="D51:G51"/>
    <mergeCell ref="H51:K51"/>
    <mergeCell ref="L51:O51"/>
    <mergeCell ref="P51:S51"/>
    <mergeCell ref="T51:W51"/>
    <mergeCell ref="A52:A83"/>
    <mergeCell ref="B52:B59"/>
    <mergeCell ref="D52:G52"/>
    <mergeCell ref="H52:K52"/>
    <mergeCell ref="L52:O52"/>
    <mergeCell ref="C58:C59"/>
    <mergeCell ref="D58:W58"/>
    <mergeCell ref="D59:W59"/>
    <mergeCell ref="D60:G60"/>
    <mergeCell ref="H60:K60"/>
    <mergeCell ref="L60:O60"/>
    <mergeCell ref="P60:S60"/>
    <mergeCell ref="T60:W60"/>
    <mergeCell ref="P52:S52"/>
    <mergeCell ref="T52:W52"/>
    <mergeCell ref="D53:G53"/>
    <mergeCell ref="H53:K53"/>
    <mergeCell ref="L53:O53"/>
    <mergeCell ref="P53:S53"/>
    <mergeCell ref="T53:W53"/>
    <mergeCell ref="L54:O54"/>
    <mergeCell ref="P54:S54"/>
    <mergeCell ref="T54:W54"/>
    <mergeCell ref="D55:G55"/>
    <mergeCell ref="H55:K55"/>
    <mergeCell ref="L55:O55"/>
    <mergeCell ref="P55:S55"/>
    <mergeCell ref="T55:W55"/>
    <mergeCell ref="D54:G54"/>
    <mergeCell ref="H54:K54"/>
    <mergeCell ref="D56:G56"/>
    <mergeCell ref="H56:K56"/>
    <mergeCell ref="L56:O56"/>
    <mergeCell ref="P56:S56"/>
    <mergeCell ref="T56:W56"/>
    <mergeCell ref="D57:G57"/>
    <mergeCell ref="H57:K57"/>
    <mergeCell ref="L57:O57"/>
    <mergeCell ref="P57:S57"/>
    <mergeCell ref="T57:W57"/>
    <mergeCell ref="H66:K66"/>
    <mergeCell ref="L66:O66"/>
    <mergeCell ref="P66:S66"/>
    <mergeCell ref="T66:W66"/>
    <mergeCell ref="C67:C68"/>
    <mergeCell ref="D67:W67"/>
    <mergeCell ref="D68:W68"/>
    <mergeCell ref="B61:B68"/>
    <mergeCell ref="D61:G61"/>
    <mergeCell ref="H61:K61"/>
    <mergeCell ref="L61:O61"/>
    <mergeCell ref="P61:S61"/>
    <mergeCell ref="T61:W61"/>
    <mergeCell ref="D62:G62"/>
    <mergeCell ref="H62:K62"/>
    <mergeCell ref="L62:O62"/>
    <mergeCell ref="P62:S62"/>
    <mergeCell ref="T62:W62"/>
    <mergeCell ref="D63:G63"/>
    <mergeCell ref="H63:K63"/>
    <mergeCell ref="L63:O63"/>
    <mergeCell ref="P63:S63"/>
    <mergeCell ref="T63:W63"/>
    <mergeCell ref="P71:S71"/>
    <mergeCell ref="T71:W71"/>
    <mergeCell ref="X52:X83"/>
    <mergeCell ref="D69:G69"/>
    <mergeCell ref="H69:K69"/>
    <mergeCell ref="L69:O69"/>
    <mergeCell ref="P69:S69"/>
    <mergeCell ref="T69:W69"/>
    <mergeCell ref="D70:G70"/>
    <mergeCell ref="H70:K70"/>
    <mergeCell ref="L70:O70"/>
    <mergeCell ref="P70:S70"/>
    <mergeCell ref="T70:W70"/>
    <mergeCell ref="D64:G64"/>
    <mergeCell ref="H64:K64"/>
    <mergeCell ref="L64:O64"/>
    <mergeCell ref="P64:S64"/>
    <mergeCell ref="T64:W64"/>
    <mergeCell ref="D65:G65"/>
    <mergeCell ref="H65:K65"/>
    <mergeCell ref="L65:O65"/>
    <mergeCell ref="P65:S65"/>
    <mergeCell ref="T65:W65"/>
    <mergeCell ref="D66:G66"/>
    <mergeCell ref="D90:G90"/>
    <mergeCell ref="H90:K90"/>
    <mergeCell ref="L90:O90"/>
    <mergeCell ref="P90:S90"/>
    <mergeCell ref="T90:W90"/>
    <mergeCell ref="H74:K74"/>
    <mergeCell ref="L74:O74"/>
    <mergeCell ref="P74:S74"/>
    <mergeCell ref="T74:W74"/>
    <mergeCell ref="D75:G75"/>
    <mergeCell ref="H75:K75"/>
    <mergeCell ref="P84:S84"/>
    <mergeCell ref="T84:X84"/>
    <mergeCell ref="T85:X85"/>
    <mergeCell ref="D72:G72"/>
    <mergeCell ref="C82:C83"/>
    <mergeCell ref="D82:W82"/>
    <mergeCell ref="D83:W83"/>
    <mergeCell ref="L78:O78"/>
    <mergeCell ref="P78:S78"/>
    <mergeCell ref="T78:W78"/>
    <mergeCell ref="A86:A87"/>
    <mergeCell ref="B86:C86"/>
    <mergeCell ref="D86:X87"/>
    <mergeCell ref="B87:C87"/>
    <mergeCell ref="B70:B77"/>
    <mergeCell ref="H72:K72"/>
    <mergeCell ref="L72:O72"/>
    <mergeCell ref="P72:S72"/>
    <mergeCell ref="T72:W72"/>
    <mergeCell ref="D73:G73"/>
    <mergeCell ref="H73:K73"/>
    <mergeCell ref="L73:O73"/>
    <mergeCell ref="P73:S73"/>
    <mergeCell ref="T73:W73"/>
    <mergeCell ref="D71:G71"/>
    <mergeCell ref="H71:K71"/>
    <mergeCell ref="L71:O71"/>
    <mergeCell ref="B79:B80"/>
    <mergeCell ref="D81:G81"/>
    <mergeCell ref="D74:G74"/>
    <mergeCell ref="A84:A85"/>
    <mergeCell ref="B84:C84"/>
    <mergeCell ref="D84:G84"/>
    <mergeCell ref="H84:K84"/>
    <mergeCell ref="L84:O84"/>
    <mergeCell ref="C76:C77"/>
    <mergeCell ref="D76:W76"/>
    <mergeCell ref="D77:W77"/>
    <mergeCell ref="D78:G78"/>
    <mergeCell ref="H78:K78"/>
    <mergeCell ref="B85:C85"/>
    <mergeCell ref="D85:G85"/>
    <mergeCell ref="H85:K85"/>
    <mergeCell ref="L85:O85"/>
    <mergeCell ref="P85:S85"/>
    <mergeCell ref="L75:O75"/>
    <mergeCell ref="P75:S75"/>
    <mergeCell ref="T75:W75"/>
    <mergeCell ref="X91:X110"/>
    <mergeCell ref="D92:G92"/>
    <mergeCell ref="H92:K92"/>
    <mergeCell ref="L92:O92"/>
    <mergeCell ref="P92:S92"/>
    <mergeCell ref="T92:W92"/>
    <mergeCell ref="D93:G93"/>
    <mergeCell ref="H93:K93"/>
    <mergeCell ref="L93:O93"/>
    <mergeCell ref="T93:W93"/>
    <mergeCell ref="D94:G94"/>
    <mergeCell ref="H94:K94"/>
    <mergeCell ref="L94:O94"/>
    <mergeCell ref="P94:S94"/>
    <mergeCell ref="T94:W94"/>
    <mergeCell ref="D99:G99"/>
    <mergeCell ref="H99:K99"/>
    <mergeCell ref="L99:O99"/>
    <mergeCell ref="P99:S99"/>
    <mergeCell ref="T99:W99"/>
    <mergeCell ref="D91:G91"/>
    <mergeCell ref="H91:K91"/>
    <mergeCell ref="L91:O91"/>
    <mergeCell ref="P91:S91"/>
    <mergeCell ref="P93:S93"/>
    <mergeCell ref="D95:G95"/>
    <mergeCell ref="H95:K95"/>
    <mergeCell ref="L95:O95"/>
    <mergeCell ref="P95:S95"/>
    <mergeCell ref="T91:W91"/>
    <mergeCell ref="T95:W95"/>
    <mergeCell ref="D96:G96"/>
    <mergeCell ref="H96:K96"/>
    <mergeCell ref="L96:O96"/>
    <mergeCell ref="P96:S96"/>
    <mergeCell ref="T96:W96"/>
    <mergeCell ref="C97:C98"/>
    <mergeCell ref="D97:W97"/>
    <mergeCell ref="D98:W98"/>
    <mergeCell ref="D105:G105"/>
    <mergeCell ref="H105:K105"/>
    <mergeCell ref="L105:O105"/>
    <mergeCell ref="P105:S105"/>
    <mergeCell ref="T105:W105"/>
    <mergeCell ref="C106:C107"/>
    <mergeCell ref="D106:W106"/>
    <mergeCell ref="D107:W107"/>
    <mergeCell ref="P104:S104"/>
    <mergeCell ref="T104:W104"/>
    <mergeCell ref="B100:B107"/>
    <mergeCell ref="D100:G100"/>
    <mergeCell ref="H100:K100"/>
    <mergeCell ref="L100:O100"/>
    <mergeCell ref="P100:S100"/>
    <mergeCell ref="T100:W100"/>
    <mergeCell ref="D101:G101"/>
    <mergeCell ref="H101:K101"/>
    <mergeCell ref="L101:O101"/>
    <mergeCell ref="P101:S101"/>
    <mergeCell ref="T101:W101"/>
    <mergeCell ref="D102:G102"/>
    <mergeCell ref="H102:K102"/>
    <mergeCell ref="L102:O102"/>
    <mergeCell ref="P102:S102"/>
    <mergeCell ref="T102:W102"/>
    <mergeCell ref="D103:G103"/>
    <mergeCell ref="H103:K103"/>
    <mergeCell ref="L103:O103"/>
    <mergeCell ref="P103:S103"/>
    <mergeCell ref="T103:W103"/>
    <mergeCell ref="D104:G104"/>
    <mergeCell ref="H104:K104"/>
    <mergeCell ref="L104:O104"/>
    <mergeCell ref="L110:O110"/>
    <mergeCell ref="P110:S110"/>
    <mergeCell ref="T108:W108"/>
    <mergeCell ref="B109:B112"/>
    <mergeCell ref="D109:G109"/>
    <mergeCell ref="H109:K109"/>
    <mergeCell ref="L109:O109"/>
    <mergeCell ref="P109:S109"/>
    <mergeCell ref="T109:W109"/>
    <mergeCell ref="T110:W110"/>
    <mergeCell ref="A115:A116"/>
    <mergeCell ref="B115:C115"/>
    <mergeCell ref="D115:X116"/>
    <mergeCell ref="B116:C116"/>
    <mergeCell ref="T113:X113"/>
    <mergeCell ref="L113:O113"/>
    <mergeCell ref="A91:A110"/>
    <mergeCell ref="B91:B98"/>
    <mergeCell ref="B114:C114"/>
    <mergeCell ref="D114:G114"/>
    <mergeCell ref="H114:K114"/>
    <mergeCell ref="L114:O114"/>
    <mergeCell ref="A113:A114"/>
    <mergeCell ref="B113:C113"/>
    <mergeCell ref="D113:G113"/>
    <mergeCell ref="H113:K113"/>
    <mergeCell ref="P113:S113"/>
    <mergeCell ref="P114:S114"/>
    <mergeCell ref="D108:G108"/>
    <mergeCell ref="H108:K108"/>
    <mergeCell ref="L108:O108"/>
    <mergeCell ref="P108:S108"/>
    <mergeCell ref="D110:G110"/>
    <mergeCell ref="H110:K110"/>
    <mergeCell ref="P122:S122"/>
    <mergeCell ref="D119:G119"/>
    <mergeCell ref="H119:K119"/>
    <mergeCell ref="L119:O119"/>
    <mergeCell ref="P119:S119"/>
    <mergeCell ref="T119:W119"/>
    <mergeCell ref="T122:W122"/>
    <mergeCell ref="T114:X114"/>
    <mergeCell ref="C111:C112"/>
    <mergeCell ref="D111:W111"/>
    <mergeCell ref="D112:W112"/>
    <mergeCell ref="C126:C127"/>
    <mergeCell ref="D126:W126"/>
    <mergeCell ref="D127:W127"/>
    <mergeCell ref="P125:S125"/>
    <mergeCell ref="T125:W125"/>
    <mergeCell ref="X120:X139"/>
    <mergeCell ref="D121:G121"/>
    <mergeCell ref="H121:K121"/>
    <mergeCell ref="L121:O121"/>
    <mergeCell ref="P121:S121"/>
    <mergeCell ref="T121:W121"/>
    <mergeCell ref="D122:G122"/>
    <mergeCell ref="H122:K122"/>
    <mergeCell ref="L122:O122"/>
    <mergeCell ref="D120:G120"/>
    <mergeCell ref="D123:G123"/>
    <mergeCell ref="H123:K123"/>
    <mergeCell ref="L123:O123"/>
    <mergeCell ref="P123:S123"/>
    <mergeCell ref="T123:W123"/>
    <mergeCell ref="T120:W120"/>
    <mergeCell ref="H120:K120"/>
    <mergeCell ref="L120:O120"/>
    <mergeCell ref="P120:S120"/>
    <mergeCell ref="D128:G128"/>
    <mergeCell ref="H128:K128"/>
    <mergeCell ref="L128:O128"/>
    <mergeCell ref="P128:S128"/>
    <mergeCell ref="T128:W128"/>
    <mergeCell ref="P124:S124"/>
    <mergeCell ref="T124:W124"/>
    <mergeCell ref="D125:G125"/>
    <mergeCell ref="H125:K125"/>
    <mergeCell ref="L125:O125"/>
    <mergeCell ref="D124:G124"/>
    <mergeCell ref="H124:K124"/>
    <mergeCell ref="L124:O124"/>
    <mergeCell ref="P129:S129"/>
    <mergeCell ref="T129:W129"/>
    <mergeCell ref="D130:G130"/>
    <mergeCell ref="H130:K130"/>
    <mergeCell ref="L130:O130"/>
    <mergeCell ref="P130:S130"/>
    <mergeCell ref="T130:W130"/>
    <mergeCell ref="D131:G131"/>
    <mergeCell ref="H131:K131"/>
    <mergeCell ref="L131:O131"/>
    <mergeCell ref="P131:S131"/>
    <mergeCell ref="T131:W131"/>
    <mergeCell ref="P132:S132"/>
    <mergeCell ref="T132:W132"/>
    <mergeCell ref="D133:G133"/>
    <mergeCell ref="H133:K133"/>
    <mergeCell ref="L133:O133"/>
    <mergeCell ref="P133:S133"/>
    <mergeCell ref="T133:W133"/>
    <mergeCell ref="D134:G134"/>
    <mergeCell ref="H134:K134"/>
    <mergeCell ref="L134:O134"/>
    <mergeCell ref="P134:S134"/>
    <mergeCell ref="T134:W134"/>
    <mergeCell ref="P137:S137"/>
    <mergeCell ref="D139:G139"/>
    <mergeCell ref="H139:K139"/>
    <mergeCell ref="L139:O139"/>
    <mergeCell ref="T137:W137"/>
    <mergeCell ref="B138:B141"/>
    <mergeCell ref="D138:G138"/>
    <mergeCell ref="H138:K138"/>
    <mergeCell ref="L138:O138"/>
    <mergeCell ref="P138:S138"/>
    <mergeCell ref="T138:W138"/>
    <mergeCell ref="P139:S139"/>
    <mergeCell ref="T139:W139"/>
    <mergeCell ref="A120:A139"/>
    <mergeCell ref="B120:B127"/>
    <mergeCell ref="B143:C143"/>
    <mergeCell ref="D143:G143"/>
    <mergeCell ref="H143:K143"/>
    <mergeCell ref="L143:O143"/>
    <mergeCell ref="A142:A143"/>
    <mergeCell ref="B142:C142"/>
    <mergeCell ref="D142:G142"/>
    <mergeCell ref="H142:K142"/>
    <mergeCell ref="L142:O142"/>
    <mergeCell ref="D137:G137"/>
    <mergeCell ref="H137:K137"/>
    <mergeCell ref="L137:O137"/>
    <mergeCell ref="D132:G132"/>
    <mergeCell ref="H132:K132"/>
    <mergeCell ref="L132:O132"/>
    <mergeCell ref="C135:C136"/>
    <mergeCell ref="D135:W135"/>
    <mergeCell ref="D136:W136"/>
    <mergeCell ref="B129:B136"/>
    <mergeCell ref="D129:G129"/>
    <mergeCell ref="H129:K129"/>
    <mergeCell ref="L129:O129"/>
    <mergeCell ref="T143:X143"/>
    <mergeCell ref="C140:C141"/>
    <mergeCell ref="D140:W140"/>
    <mergeCell ref="D141:W141"/>
    <mergeCell ref="D153:W153"/>
    <mergeCell ref="D154:G154"/>
    <mergeCell ref="H154:K154"/>
    <mergeCell ref="L154:O154"/>
    <mergeCell ref="T154:W154"/>
    <mergeCell ref="T142:X142"/>
    <mergeCell ref="P142:S142"/>
    <mergeCell ref="P143:S143"/>
    <mergeCell ref="P154:S154"/>
    <mergeCell ref="B155:B156"/>
    <mergeCell ref="D157:G157"/>
    <mergeCell ref="H157:K157"/>
    <mergeCell ref="C158:C159"/>
    <mergeCell ref="D158:W158"/>
    <mergeCell ref="D159:W159"/>
    <mergeCell ref="A144:A145"/>
    <mergeCell ref="B144:C144"/>
    <mergeCell ref="D144:X145"/>
    <mergeCell ref="B145:C145"/>
    <mergeCell ref="D148:G148"/>
    <mergeCell ref="H148:K148"/>
    <mergeCell ref="L148:O148"/>
    <mergeCell ref="P148:S148"/>
    <mergeCell ref="T148:W148"/>
    <mergeCell ref="D160:G160"/>
    <mergeCell ref="H160:K160"/>
    <mergeCell ref="L160:O160"/>
    <mergeCell ref="P160:S160"/>
    <mergeCell ref="T160:W160"/>
    <mergeCell ref="T162:U162"/>
    <mergeCell ref="V162:W162"/>
    <mergeCell ref="R162:S162"/>
    <mergeCell ref="L161:M161"/>
    <mergeCell ref="N161:O161"/>
    <mergeCell ref="P161:Q161"/>
    <mergeCell ref="R161:S161"/>
    <mergeCell ref="T161:U161"/>
    <mergeCell ref="V161:W161"/>
    <mergeCell ref="F161:G161"/>
    <mergeCell ref="H161:I161"/>
    <mergeCell ref="J161:K161"/>
    <mergeCell ref="R163:S163"/>
    <mergeCell ref="T163:U163"/>
    <mergeCell ref="V163:W163"/>
    <mergeCell ref="B161:B164"/>
    <mergeCell ref="D161:E161"/>
    <mergeCell ref="D163:G163"/>
    <mergeCell ref="H163:K163"/>
    <mergeCell ref="L163:M163"/>
    <mergeCell ref="N163:O163"/>
    <mergeCell ref="P163:Q163"/>
    <mergeCell ref="D162:G162"/>
    <mergeCell ref="H162:K162"/>
    <mergeCell ref="L162:M162"/>
    <mergeCell ref="N162:O162"/>
    <mergeCell ref="P162:Q162"/>
    <mergeCell ref="H167:K167"/>
    <mergeCell ref="L167:O167"/>
    <mergeCell ref="P167:Q167"/>
    <mergeCell ref="R166:S166"/>
    <mergeCell ref="B168:B169"/>
    <mergeCell ref="C168:C169"/>
    <mergeCell ref="D168:W168"/>
    <mergeCell ref="D169:W169"/>
    <mergeCell ref="T167:U167"/>
    <mergeCell ref="D172:G172"/>
    <mergeCell ref="H172:K172"/>
    <mergeCell ref="L172:O172"/>
    <mergeCell ref="P172:S172"/>
    <mergeCell ref="T172:W172"/>
    <mergeCell ref="D164:G164"/>
    <mergeCell ref="H164:K164"/>
    <mergeCell ref="L164:M164"/>
    <mergeCell ref="N164:O164"/>
    <mergeCell ref="P164:Q164"/>
    <mergeCell ref="R164:S164"/>
    <mergeCell ref="T164:U164"/>
    <mergeCell ref="V164:W164"/>
    <mergeCell ref="D165:G165"/>
    <mergeCell ref="H165:K165"/>
    <mergeCell ref="L165:O165"/>
    <mergeCell ref="P165:Q165"/>
    <mergeCell ref="R165:S165"/>
    <mergeCell ref="D166:G166"/>
    <mergeCell ref="H166:K166"/>
    <mergeCell ref="L166:O166"/>
    <mergeCell ref="T165:U165"/>
    <mergeCell ref="T166:U166"/>
    <mergeCell ref="D167:G167"/>
    <mergeCell ref="D170:G170"/>
    <mergeCell ref="H170:K170"/>
    <mergeCell ref="L170:O170"/>
    <mergeCell ref="P170:S170"/>
    <mergeCell ref="T170:W170"/>
    <mergeCell ref="D171:G171"/>
    <mergeCell ref="H171:K171"/>
    <mergeCell ref="L171:O171"/>
    <mergeCell ref="P171:S171"/>
    <mergeCell ref="T171:W171"/>
    <mergeCell ref="D173:G173"/>
    <mergeCell ref="H173:K173"/>
    <mergeCell ref="L173:O173"/>
    <mergeCell ref="P173:S173"/>
    <mergeCell ref="T173:W173"/>
    <mergeCell ref="D174:G174"/>
    <mergeCell ref="H174:K174"/>
    <mergeCell ref="L174:O174"/>
    <mergeCell ref="P174:S174"/>
    <mergeCell ref="T174:W174"/>
    <mergeCell ref="T176:W176"/>
    <mergeCell ref="A179:A180"/>
    <mergeCell ref="B179:C179"/>
    <mergeCell ref="D179:G179"/>
    <mergeCell ref="H179:K179"/>
    <mergeCell ref="L179:O179"/>
    <mergeCell ref="P179:S179"/>
    <mergeCell ref="B180:C180"/>
    <mergeCell ref="D180:G180"/>
    <mergeCell ref="H180:K180"/>
    <mergeCell ref="L180:O180"/>
    <mergeCell ref="C177:C178"/>
    <mergeCell ref="D177:W177"/>
    <mergeCell ref="D178:W178"/>
    <mergeCell ref="A181:A182"/>
    <mergeCell ref="B181:C181"/>
    <mergeCell ref="D181:X182"/>
    <mergeCell ref="B182:C182"/>
    <mergeCell ref="T179:X179"/>
    <mergeCell ref="B171:B178"/>
    <mergeCell ref="A149:A176"/>
    <mergeCell ref="B149:B150"/>
    <mergeCell ref="X149:X174"/>
    <mergeCell ref="D151:G151"/>
    <mergeCell ref="C152:C153"/>
    <mergeCell ref="D152:W152"/>
    <mergeCell ref="D175:G175"/>
    <mergeCell ref="H175:K175"/>
    <mergeCell ref="V165:W165"/>
    <mergeCell ref="L175:O175"/>
    <mergeCell ref="P175:S175"/>
    <mergeCell ref="T175:W175"/>
    <mergeCell ref="D176:G176"/>
    <mergeCell ref="H176:K176"/>
    <mergeCell ref="L176:O176"/>
    <mergeCell ref="V166:W166"/>
    <mergeCell ref="V167:W167"/>
    <mergeCell ref="P176:S176"/>
    <mergeCell ref="P188:S188"/>
    <mergeCell ref="D185:G185"/>
    <mergeCell ref="H185:K185"/>
    <mergeCell ref="L185:O185"/>
    <mergeCell ref="P185:S185"/>
    <mergeCell ref="T185:W185"/>
    <mergeCell ref="T188:W188"/>
    <mergeCell ref="P180:S180"/>
    <mergeCell ref="T180:X180"/>
    <mergeCell ref="C192:C193"/>
    <mergeCell ref="D192:W192"/>
    <mergeCell ref="D193:W193"/>
    <mergeCell ref="P191:S191"/>
    <mergeCell ref="T191:W191"/>
    <mergeCell ref="X186:X224"/>
    <mergeCell ref="D187:G187"/>
    <mergeCell ref="H187:K187"/>
    <mergeCell ref="L187:O187"/>
    <mergeCell ref="P187:S187"/>
    <mergeCell ref="T187:W187"/>
    <mergeCell ref="D188:G188"/>
    <mergeCell ref="H188:K188"/>
    <mergeCell ref="L188:O188"/>
    <mergeCell ref="D186:G186"/>
    <mergeCell ref="D189:G189"/>
    <mergeCell ref="H189:K189"/>
    <mergeCell ref="L189:O189"/>
    <mergeCell ref="P189:S189"/>
    <mergeCell ref="T189:W189"/>
    <mergeCell ref="T186:W186"/>
    <mergeCell ref="H186:K186"/>
    <mergeCell ref="L186:O186"/>
    <mergeCell ref="P186:S186"/>
    <mergeCell ref="D194:G194"/>
    <mergeCell ref="H194:K194"/>
    <mergeCell ref="L194:O194"/>
    <mergeCell ref="P194:S194"/>
    <mergeCell ref="T194:W194"/>
    <mergeCell ref="P190:S190"/>
    <mergeCell ref="T190:W190"/>
    <mergeCell ref="D191:G191"/>
    <mergeCell ref="H191:K191"/>
    <mergeCell ref="L191:O191"/>
    <mergeCell ref="D190:G190"/>
    <mergeCell ref="H190:K190"/>
    <mergeCell ref="L190:O190"/>
    <mergeCell ref="D198:G198"/>
    <mergeCell ref="H198:K198"/>
    <mergeCell ref="L198:O198"/>
    <mergeCell ref="P198:S198"/>
    <mergeCell ref="T198:W198"/>
    <mergeCell ref="D199:G199"/>
    <mergeCell ref="H199:K199"/>
    <mergeCell ref="B195:B202"/>
    <mergeCell ref="D195:G195"/>
    <mergeCell ref="H195:K195"/>
    <mergeCell ref="L195:O195"/>
    <mergeCell ref="P195:S195"/>
    <mergeCell ref="T195:W195"/>
    <mergeCell ref="D196:G196"/>
    <mergeCell ref="H196:K196"/>
    <mergeCell ref="L196:O196"/>
    <mergeCell ref="P196:S196"/>
    <mergeCell ref="T196:W196"/>
    <mergeCell ref="D197:G197"/>
    <mergeCell ref="H197:K197"/>
    <mergeCell ref="L197:O197"/>
    <mergeCell ref="P197:S197"/>
    <mergeCell ref="T197:W197"/>
    <mergeCell ref="L199:O199"/>
    <mergeCell ref="P199:S199"/>
    <mergeCell ref="T199:W199"/>
    <mergeCell ref="B204:B211"/>
    <mergeCell ref="D204:G204"/>
    <mergeCell ref="H204:K204"/>
    <mergeCell ref="L204:O204"/>
    <mergeCell ref="P204:S204"/>
    <mergeCell ref="D200:G200"/>
    <mergeCell ref="D205:G205"/>
    <mergeCell ref="C201:C202"/>
    <mergeCell ref="D201:W201"/>
    <mergeCell ref="D202:W202"/>
    <mergeCell ref="H200:K200"/>
    <mergeCell ref="L200:O200"/>
    <mergeCell ref="P200:S200"/>
    <mergeCell ref="T204:W204"/>
    <mergeCell ref="T200:W200"/>
    <mergeCell ref="C210:C211"/>
    <mergeCell ref="D210:W210"/>
    <mergeCell ref="D211:W211"/>
    <mergeCell ref="D209:G209"/>
    <mergeCell ref="H209:K209"/>
    <mergeCell ref="H205:K205"/>
    <mergeCell ref="L205:O205"/>
    <mergeCell ref="P205:S205"/>
    <mergeCell ref="T205:W205"/>
    <mergeCell ref="D203:G203"/>
    <mergeCell ref="H206:K206"/>
    <mergeCell ref="L206:O206"/>
    <mergeCell ref="P206:S206"/>
    <mergeCell ref="T206:W206"/>
    <mergeCell ref="H203:K203"/>
    <mergeCell ref="L203:O203"/>
    <mergeCell ref="P203:S203"/>
    <mergeCell ref="T203:W203"/>
    <mergeCell ref="D206:G206"/>
    <mergeCell ref="D208:G208"/>
    <mergeCell ref="H208:K208"/>
    <mergeCell ref="L208:O208"/>
    <mergeCell ref="P208:S208"/>
    <mergeCell ref="T208:W208"/>
    <mergeCell ref="D207:G207"/>
    <mergeCell ref="H207:K207"/>
    <mergeCell ref="L207:O207"/>
    <mergeCell ref="P207:S207"/>
    <mergeCell ref="T207:W207"/>
    <mergeCell ref="D215:G215"/>
    <mergeCell ref="H215:K215"/>
    <mergeCell ref="L215:O215"/>
    <mergeCell ref="P215:S215"/>
    <mergeCell ref="T215:W215"/>
    <mergeCell ref="D212:G212"/>
    <mergeCell ref="L209:O209"/>
    <mergeCell ref="P209:S209"/>
    <mergeCell ref="T209:W209"/>
    <mergeCell ref="T214:W214"/>
    <mergeCell ref="H212:K212"/>
    <mergeCell ref="L212:O212"/>
    <mergeCell ref="P212:S212"/>
    <mergeCell ref="T212:W212"/>
    <mergeCell ref="H214:K214"/>
    <mergeCell ref="L214:O214"/>
    <mergeCell ref="P214:S214"/>
    <mergeCell ref="P218:S218"/>
    <mergeCell ref="T218:W218"/>
    <mergeCell ref="T216:W216"/>
    <mergeCell ref="D221:G221"/>
    <mergeCell ref="H221:K221"/>
    <mergeCell ref="L221:O221"/>
    <mergeCell ref="P221:S221"/>
    <mergeCell ref="T221:W221"/>
    <mergeCell ref="H218:K218"/>
    <mergeCell ref="L218:O218"/>
    <mergeCell ref="D220:W220"/>
    <mergeCell ref="P217:S217"/>
    <mergeCell ref="T217:W217"/>
    <mergeCell ref="D218:G218"/>
    <mergeCell ref="P222:Q222"/>
    <mergeCell ref="R222:S222"/>
    <mergeCell ref="B222:B224"/>
    <mergeCell ref="A186:A224"/>
    <mergeCell ref="B186:B193"/>
    <mergeCell ref="P227:S227"/>
    <mergeCell ref="C219:C220"/>
    <mergeCell ref="D219:W219"/>
    <mergeCell ref="T222:U222"/>
    <mergeCell ref="V222:W222"/>
    <mergeCell ref="B213:B220"/>
    <mergeCell ref="D213:G213"/>
    <mergeCell ref="H213:K213"/>
    <mergeCell ref="L213:O213"/>
    <mergeCell ref="P213:S213"/>
    <mergeCell ref="T213:W213"/>
    <mergeCell ref="D214:G214"/>
    <mergeCell ref="D217:G217"/>
    <mergeCell ref="H217:K217"/>
    <mergeCell ref="L217:O217"/>
    <mergeCell ref="D216:G216"/>
    <mergeCell ref="H216:K216"/>
    <mergeCell ref="L216:O216"/>
    <mergeCell ref="P216:S216"/>
    <mergeCell ref="F222:G222"/>
    <mergeCell ref="H222:I222"/>
    <mergeCell ref="J222:K222"/>
    <mergeCell ref="L222:M222"/>
    <mergeCell ref="A227:A228"/>
    <mergeCell ref="B227:C227"/>
    <mergeCell ref="D227:G227"/>
    <mergeCell ref="H227:K227"/>
    <mergeCell ref="L227:O227"/>
    <mergeCell ref="N222:O222"/>
    <mergeCell ref="B228:C228"/>
    <mergeCell ref="D228:G228"/>
    <mergeCell ref="H228:K228"/>
    <mergeCell ref="L228:O228"/>
    <mergeCell ref="T227:X227"/>
    <mergeCell ref="T224:U224"/>
    <mergeCell ref="V224:W224"/>
    <mergeCell ref="C225:C226"/>
    <mergeCell ref="D225:W225"/>
    <mergeCell ref="D226:W226"/>
    <mergeCell ref="P166:Q166"/>
    <mergeCell ref="R167:S167"/>
    <mergeCell ref="V223:W223"/>
    <mergeCell ref="D224:G224"/>
    <mergeCell ref="H224:K224"/>
    <mergeCell ref="L224:M224"/>
    <mergeCell ref="N224:O224"/>
    <mergeCell ref="P224:Q224"/>
    <mergeCell ref="R224:S224"/>
    <mergeCell ref="D223:E223"/>
    <mergeCell ref="N223:O223"/>
    <mergeCell ref="P223:Q223"/>
    <mergeCell ref="F223:G223"/>
    <mergeCell ref="H223:I223"/>
    <mergeCell ref="J223:K223"/>
    <mergeCell ref="L223:M223"/>
    <mergeCell ref="R223:S223"/>
    <mergeCell ref="D222:E222"/>
    <mergeCell ref="T223:U223"/>
    <mergeCell ref="B234:B237"/>
    <mergeCell ref="C236:C237"/>
    <mergeCell ref="D244:G244"/>
    <mergeCell ref="H244:K244"/>
    <mergeCell ref="L244:O244"/>
    <mergeCell ref="P235:S235"/>
    <mergeCell ref="T235:W235"/>
    <mergeCell ref="D236:W236"/>
    <mergeCell ref="D237:W237"/>
    <mergeCell ref="D242:W242"/>
    <mergeCell ref="D239:G239"/>
    <mergeCell ref="H239:K239"/>
    <mergeCell ref="L239:O239"/>
    <mergeCell ref="H238:K238"/>
    <mergeCell ref="L238:O238"/>
    <mergeCell ref="P238:S238"/>
    <mergeCell ref="D235:G235"/>
    <mergeCell ref="H235:K235"/>
    <mergeCell ref="L235:O235"/>
    <mergeCell ref="D238:G238"/>
    <mergeCell ref="T238:W238"/>
    <mergeCell ref="P228:S228"/>
    <mergeCell ref="T228:X228"/>
    <mergeCell ref="A229:A230"/>
    <mergeCell ref="B229:C229"/>
    <mergeCell ref="P244:S244"/>
    <mergeCell ref="T244:X244"/>
    <mergeCell ref="P239:S239"/>
    <mergeCell ref="T239:W239"/>
    <mergeCell ref="B230:C230"/>
    <mergeCell ref="D229:X230"/>
    <mergeCell ref="D233:G233"/>
    <mergeCell ref="H233:K233"/>
    <mergeCell ref="L233:O233"/>
    <mergeCell ref="A234:A240"/>
    <mergeCell ref="D234:G234"/>
    <mergeCell ref="H234:K234"/>
    <mergeCell ref="L234:O234"/>
    <mergeCell ref="P234:S234"/>
    <mergeCell ref="T234:W234"/>
    <mergeCell ref="P233:S233"/>
    <mergeCell ref="T233:W233"/>
    <mergeCell ref="X234:X240"/>
    <mergeCell ref="B239:B242"/>
    <mergeCell ref="D240:G240"/>
    <mergeCell ref="H240:K240"/>
    <mergeCell ref="L240:O240"/>
    <mergeCell ref="A245:A246"/>
    <mergeCell ref="B245:C245"/>
    <mergeCell ref="D245:X246"/>
    <mergeCell ref="B246:C246"/>
    <mergeCell ref="P240:S240"/>
    <mergeCell ref="T240:W240"/>
    <mergeCell ref="C241:C242"/>
    <mergeCell ref="D241:W241"/>
    <mergeCell ref="A243:A244"/>
    <mergeCell ref="B243:C243"/>
    <mergeCell ref="D243:G243"/>
    <mergeCell ref="H243:K243"/>
    <mergeCell ref="L243:O243"/>
    <mergeCell ref="P243:S243"/>
    <mergeCell ref="T243:X243"/>
    <mergeCell ref="B244:C244"/>
  </mergeCells>
  <pageMargins left="0.39000000000000007" right="0.39000000000000007" top="0.39000000000000007" bottom="0.39000000000000007" header="0" footer="0"/>
  <pageSetup paperSize="9" scale="57" fitToHeight="10" orientation="landscape"/>
  <headerFooter>
    <oddFooter>&amp;L&amp;K000000&amp;F&amp;C&amp;K000000&amp;D&amp;R&amp;K000000Page &amp;P</oddFooter>
  </headerFooter>
  <legacy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FF6600"/>
  </sheetPr>
  <dimension ref="A1:X254"/>
  <sheetViews>
    <sheetView workbookViewId="0">
      <pane xSplit="2" ySplit="1" topLeftCell="C64" activePane="bottomRight" state="frozen"/>
      <selection activeCell="P22" sqref="P22:S22"/>
      <selection pane="topRight" activeCell="P22" sqref="P22:S22"/>
      <selection pane="bottomLeft" activeCell="P22" sqref="P22:S22"/>
      <selection pane="bottomRight" activeCell="P22" sqref="P22:S22"/>
    </sheetView>
  </sheetViews>
  <sheetFormatPr defaultColWidth="8.85546875" defaultRowHeight="12.75"/>
  <cols>
    <col min="1" max="1" width="20.85546875" style="4" customWidth="1"/>
    <col min="2" max="2" width="40.85546875" style="4" customWidth="1"/>
    <col min="3" max="3" width="15.85546875" style="27" customWidth="1"/>
    <col min="4" max="23" width="5.85546875" style="4" customWidth="1"/>
    <col min="24" max="24" width="30.85546875" style="4" customWidth="1"/>
    <col min="25" max="16384" width="8.85546875" style="4"/>
  </cols>
  <sheetData>
    <row r="1" spans="1:24" s="67" customFormat="1" ht="32.25" thickBot="1">
      <c r="A1" s="3" t="s">
        <v>0</v>
      </c>
      <c r="B1" s="64" t="s">
        <v>231</v>
      </c>
      <c r="C1" s="65" t="s">
        <v>270</v>
      </c>
      <c r="D1" s="65"/>
      <c r="E1" s="65"/>
      <c r="F1" s="65"/>
      <c r="G1" s="65"/>
      <c r="H1" s="65"/>
      <c r="I1" s="65"/>
      <c r="J1" s="65"/>
      <c r="K1" s="65"/>
      <c r="L1" s="65"/>
      <c r="M1" s="65"/>
      <c r="N1" s="65"/>
      <c r="O1" s="65"/>
      <c r="P1" s="65"/>
      <c r="Q1" s="65"/>
      <c r="R1" s="65"/>
      <c r="S1" s="65"/>
      <c r="T1" s="65"/>
      <c r="U1" s="65"/>
      <c r="V1" s="65"/>
      <c r="W1" s="65"/>
      <c r="X1" s="66"/>
    </row>
    <row r="2" spans="1:24">
      <c r="A2" s="5"/>
      <c r="B2" s="5"/>
      <c r="C2" s="6"/>
      <c r="D2" s="5"/>
      <c r="E2" s="5"/>
      <c r="F2" s="5"/>
      <c r="G2" s="5"/>
      <c r="H2" s="5"/>
      <c r="I2" s="5"/>
      <c r="J2" s="5"/>
      <c r="K2" s="5"/>
      <c r="L2" s="5"/>
      <c r="M2" s="5"/>
      <c r="N2" s="5"/>
      <c r="O2" s="5"/>
      <c r="P2" s="5"/>
      <c r="Q2" s="5"/>
      <c r="R2" s="5"/>
      <c r="S2" s="5"/>
      <c r="T2" s="5"/>
      <c r="U2" s="5"/>
      <c r="V2" s="5"/>
      <c r="W2" s="5"/>
      <c r="X2" s="5"/>
    </row>
    <row r="3" spans="1:24" ht="13.5" thickBot="1">
      <c r="A3" s="5"/>
      <c r="B3" s="5"/>
      <c r="C3" s="6"/>
      <c r="D3" s="5"/>
      <c r="E3" s="5"/>
      <c r="F3" s="5"/>
      <c r="G3" s="5"/>
      <c r="H3" s="5"/>
      <c r="I3" s="5"/>
      <c r="J3" s="5"/>
      <c r="K3" s="5"/>
      <c r="L3" s="5"/>
      <c r="M3" s="5"/>
      <c r="N3" s="5"/>
      <c r="O3" s="5"/>
      <c r="P3" s="5"/>
      <c r="Q3" s="5"/>
      <c r="R3" s="5"/>
      <c r="S3" s="5"/>
      <c r="T3" s="5"/>
      <c r="U3" s="5"/>
      <c r="V3" s="5"/>
      <c r="W3" s="5"/>
      <c r="X3" s="5"/>
    </row>
    <row r="4" spans="1:24" ht="13.5" thickBot="1">
      <c r="A4" s="7" t="s">
        <v>50</v>
      </c>
      <c r="B4" s="172" t="s">
        <v>51</v>
      </c>
      <c r="C4" s="8"/>
      <c r="D4" s="927" t="s">
        <v>79</v>
      </c>
      <c r="E4" s="928"/>
      <c r="F4" s="928"/>
      <c r="G4" s="929"/>
      <c r="H4" s="927" t="s">
        <v>80</v>
      </c>
      <c r="I4" s="928"/>
      <c r="J4" s="928"/>
      <c r="K4" s="929"/>
      <c r="L4" s="927" t="s">
        <v>81</v>
      </c>
      <c r="M4" s="928"/>
      <c r="N4" s="928"/>
      <c r="O4" s="929"/>
      <c r="P4" s="927" t="s">
        <v>254</v>
      </c>
      <c r="Q4" s="928"/>
      <c r="R4" s="928"/>
      <c r="S4" s="929"/>
      <c r="T4" s="927" t="s">
        <v>76</v>
      </c>
      <c r="U4" s="928"/>
      <c r="V4" s="928"/>
      <c r="W4" s="929"/>
      <c r="X4" s="991"/>
    </row>
    <row r="5" spans="1:24" ht="13.5" thickBot="1">
      <c r="A5" s="868" t="s">
        <v>43</v>
      </c>
      <c r="B5" s="868" t="s">
        <v>46</v>
      </c>
      <c r="C5" s="9" t="s">
        <v>2</v>
      </c>
      <c r="D5" s="983" t="s">
        <v>82</v>
      </c>
      <c r="E5" s="984"/>
      <c r="F5" s="984"/>
      <c r="G5" s="984"/>
      <c r="H5" s="984"/>
      <c r="I5" s="984"/>
      <c r="J5" s="984"/>
      <c r="K5" s="984"/>
      <c r="L5" s="984"/>
      <c r="M5" s="984"/>
      <c r="N5" s="984"/>
      <c r="O5" s="984"/>
      <c r="P5" s="984"/>
      <c r="Q5" s="984"/>
      <c r="R5" s="984"/>
      <c r="S5" s="984"/>
      <c r="T5" s="984"/>
      <c r="U5" s="984"/>
      <c r="V5" s="984"/>
      <c r="W5" s="985"/>
      <c r="X5" s="992"/>
    </row>
    <row r="6" spans="1:24" ht="13.5" thickBot="1">
      <c r="A6" s="885"/>
      <c r="B6" s="885"/>
      <c r="C6" s="10" t="s">
        <v>3</v>
      </c>
      <c r="D6" s="986"/>
      <c r="E6" s="987"/>
      <c r="F6" s="987"/>
      <c r="G6" s="987"/>
      <c r="H6" s="987"/>
      <c r="I6" s="987"/>
      <c r="J6" s="987"/>
      <c r="K6" s="987"/>
      <c r="L6" s="987"/>
      <c r="M6" s="987"/>
      <c r="N6" s="987"/>
      <c r="O6" s="987"/>
      <c r="P6" s="987"/>
      <c r="Q6" s="987"/>
      <c r="R6" s="987"/>
      <c r="S6" s="987"/>
      <c r="T6" s="987"/>
      <c r="U6" s="987"/>
      <c r="V6" s="987"/>
      <c r="W6" s="988"/>
      <c r="X6" s="992"/>
    </row>
    <row r="7" spans="1:24" ht="13.5" thickBot="1">
      <c r="A7" s="885"/>
      <c r="B7" s="885"/>
      <c r="C7" s="998" t="s">
        <v>413</v>
      </c>
      <c r="D7" s="989" t="s">
        <v>4</v>
      </c>
      <c r="E7" s="990"/>
      <c r="F7" s="990"/>
      <c r="G7" s="990"/>
      <c r="H7" s="990"/>
      <c r="I7" s="990"/>
      <c r="J7" s="990"/>
      <c r="K7" s="990"/>
      <c r="L7" s="990"/>
      <c r="M7" s="990"/>
      <c r="N7" s="990"/>
      <c r="O7" s="990"/>
      <c r="P7" s="990"/>
      <c r="Q7" s="990"/>
      <c r="R7" s="990"/>
      <c r="S7" s="990"/>
      <c r="T7" s="990"/>
      <c r="U7" s="990"/>
      <c r="V7" s="990"/>
      <c r="W7" s="990"/>
      <c r="X7" s="992"/>
    </row>
    <row r="8" spans="1:24" ht="13.5" thickBot="1">
      <c r="A8" s="885"/>
      <c r="B8" s="869"/>
      <c r="C8" s="999"/>
      <c r="D8" s="930" t="s">
        <v>85</v>
      </c>
      <c r="E8" s="931"/>
      <c r="F8" s="931"/>
      <c r="G8" s="931"/>
      <c r="H8" s="931"/>
      <c r="I8" s="931"/>
      <c r="J8" s="931"/>
      <c r="K8" s="931"/>
      <c r="L8" s="931"/>
      <c r="M8" s="931"/>
      <c r="N8" s="931"/>
      <c r="O8" s="931"/>
      <c r="P8" s="931"/>
      <c r="Q8" s="931"/>
      <c r="R8" s="931"/>
      <c r="S8" s="931"/>
      <c r="T8" s="931"/>
      <c r="U8" s="931"/>
      <c r="V8" s="931"/>
      <c r="W8" s="932"/>
      <c r="X8" s="992"/>
    </row>
    <row r="9" spans="1:24" ht="13.5" thickBot="1">
      <c r="A9" s="885"/>
      <c r="B9" s="11" t="s">
        <v>52</v>
      </c>
      <c r="C9" s="12"/>
      <c r="D9" s="927" t="s">
        <v>79</v>
      </c>
      <c r="E9" s="928"/>
      <c r="F9" s="928"/>
      <c r="G9" s="929"/>
      <c r="H9" s="927" t="s">
        <v>80</v>
      </c>
      <c r="I9" s="928"/>
      <c r="J9" s="928"/>
      <c r="K9" s="929"/>
      <c r="L9" s="927" t="s">
        <v>81</v>
      </c>
      <c r="M9" s="928"/>
      <c r="N9" s="928"/>
      <c r="O9" s="929"/>
      <c r="P9" s="927" t="s">
        <v>254</v>
      </c>
      <c r="Q9" s="928"/>
      <c r="R9" s="928"/>
      <c r="S9" s="929"/>
      <c r="T9" s="927" t="s">
        <v>76</v>
      </c>
      <c r="U9" s="928"/>
      <c r="V9" s="928"/>
      <c r="W9" s="929"/>
      <c r="X9" s="992"/>
    </row>
    <row r="10" spans="1:24" ht="35.1" customHeight="1" thickBot="1">
      <c r="A10" s="885"/>
      <c r="B10" s="868" t="s">
        <v>45</v>
      </c>
      <c r="C10" s="13" t="s">
        <v>2</v>
      </c>
      <c r="D10" s="930" t="s">
        <v>86</v>
      </c>
      <c r="E10" s="931"/>
      <c r="F10" s="931"/>
      <c r="G10" s="931"/>
      <c r="H10" s="931"/>
      <c r="I10" s="931"/>
      <c r="J10" s="931"/>
      <c r="K10" s="931"/>
      <c r="L10" s="931"/>
      <c r="M10" s="931"/>
      <c r="N10" s="931"/>
      <c r="O10" s="931"/>
      <c r="P10" s="931"/>
      <c r="Q10" s="931"/>
      <c r="R10" s="931"/>
      <c r="S10" s="931"/>
      <c r="T10" s="931"/>
      <c r="U10" s="931"/>
      <c r="V10" s="931"/>
      <c r="W10" s="932"/>
      <c r="X10" s="992"/>
    </row>
    <row r="11" spans="1:24" ht="13.5" thickBot="1">
      <c r="A11" s="885"/>
      <c r="B11" s="885"/>
      <c r="C11" s="10" t="s">
        <v>3</v>
      </c>
      <c r="D11" s="986"/>
      <c r="E11" s="987"/>
      <c r="F11" s="987"/>
      <c r="G11" s="987"/>
      <c r="H11" s="987"/>
      <c r="I11" s="987"/>
      <c r="J11" s="987"/>
      <c r="K11" s="987"/>
      <c r="L11" s="987"/>
      <c r="M11" s="987"/>
      <c r="N11" s="987"/>
      <c r="O11" s="987"/>
      <c r="P11" s="987"/>
      <c r="Q11" s="987"/>
      <c r="R11" s="987"/>
      <c r="S11" s="987"/>
      <c r="T11" s="987"/>
      <c r="U11" s="987"/>
      <c r="V11" s="987"/>
      <c r="W11" s="988"/>
      <c r="X11" s="992"/>
    </row>
    <row r="12" spans="1:24" ht="13.5" thickBot="1">
      <c r="A12" s="885"/>
      <c r="B12" s="885"/>
      <c r="C12" s="998" t="s">
        <v>413</v>
      </c>
      <c r="D12" s="927" t="s">
        <v>4</v>
      </c>
      <c r="E12" s="928"/>
      <c r="F12" s="928"/>
      <c r="G12" s="928"/>
      <c r="H12" s="928"/>
      <c r="I12" s="928"/>
      <c r="J12" s="928"/>
      <c r="K12" s="928"/>
      <c r="L12" s="928"/>
      <c r="M12" s="928"/>
      <c r="N12" s="928"/>
      <c r="O12" s="928"/>
      <c r="P12" s="928"/>
      <c r="Q12" s="928"/>
      <c r="R12" s="928"/>
      <c r="S12" s="928"/>
      <c r="T12" s="928"/>
      <c r="U12" s="928"/>
      <c r="V12" s="928"/>
      <c r="W12" s="928"/>
      <c r="X12" s="992"/>
    </row>
    <row r="13" spans="1:24" ht="24" customHeight="1" thickBot="1">
      <c r="A13" s="885"/>
      <c r="B13" s="869"/>
      <c r="C13" s="999"/>
      <c r="D13" s="930" t="s">
        <v>87</v>
      </c>
      <c r="E13" s="931"/>
      <c r="F13" s="931"/>
      <c r="G13" s="931"/>
      <c r="H13" s="931"/>
      <c r="I13" s="931"/>
      <c r="J13" s="931"/>
      <c r="K13" s="931"/>
      <c r="L13" s="931"/>
      <c r="M13" s="931"/>
      <c r="N13" s="931"/>
      <c r="O13" s="931"/>
      <c r="P13" s="931"/>
      <c r="Q13" s="931"/>
      <c r="R13" s="931"/>
      <c r="S13" s="931"/>
      <c r="T13" s="931"/>
      <c r="U13" s="931"/>
      <c r="V13" s="931"/>
      <c r="W13" s="932"/>
      <c r="X13" s="992"/>
    </row>
    <row r="14" spans="1:24" ht="13.5" thickBot="1">
      <c r="A14" s="885"/>
      <c r="B14" s="11" t="s">
        <v>53</v>
      </c>
      <c r="C14" s="12"/>
      <c r="D14" s="927" t="s">
        <v>79</v>
      </c>
      <c r="E14" s="928"/>
      <c r="F14" s="928"/>
      <c r="G14" s="929"/>
      <c r="H14" s="927" t="s">
        <v>80</v>
      </c>
      <c r="I14" s="928"/>
      <c r="J14" s="928"/>
      <c r="K14" s="929"/>
      <c r="L14" s="927" t="s">
        <v>81</v>
      </c>
      <c r="M14" s="928"/>
      <c r="N14" s="928"/>
      <c r="O14" s="929"/>
      <c r="P14" s="927" t="s">
        <v>254</v>
      </c>
      <c r="Q14" s="928"/>
      <c r="R14" s="928"/>
      <c r="S14" s="929"/>
      <c r="T14" s="927" t="s">
        <v>76</v>
      </c>
      <c r="U14" s="928"/>
      <c r="V14" s="928"/>
      <c r="W14" s="929"/>
      <c r="X14" s="992"/>
    </row>
    <row r="15" spans="1:24" ht="13.5" thickBot="1">
      <c r="A15" s="885"/>
      <c r="B15" s="868" t="s">
        <v>44</v>
      </c>
      <c r="C15" s="9" t="s">
        <v>2</v>
      </c>
      <c r="D15" s="930" t="s">
        <v>83</v>
      </c>
      <c r="E15" s="931"/>
      <c r="F15" s="931"/>
      <c r="G15" s="931"/>
      <c r="H15" s="931"/>
      <c r="I15" s="931"/>
      <c r="J15" s="931"/>
      <c r="K15" s="931"/>
      <c r="L15" s="931"/>
      <c r="M15" s="931"/>
      <c r="N15" s="931"/>
      <c r="O15" s="931"/>
      <c r="P15" s="931"/>
      <c r="Q15" s="931"/>
      <c r="R15" s="931"/>
      <c r="S15" s="931"/>
      <c r="T15" s="931"/>
      <c r="U15" s="931"/>
      <c r="V15" s="931"/>
      <c r="W15" s="932"/>
      <c r="X15" s="992"/>
    </row>
    <row r="16" spans="1:24" ht="13.5" thickBot="1">
      <c r="A16" s="885"/>
      <c r="B16" s="885"/>
      <c r="C16" s="10" t="s">
        <v>3</v>
      </c>
      <c r="D16" s="986"/>
      <c r="E16" s="987"/>
      <c r="F16" s="987"/>
      <c r="G16" s="987"/>
      <c r="H16" s="987"/>
      <c r="I16" s="987"/>
      <c r="J16" s="987"/>
      <c r="K16" s="987"/>
      <c r="L16" s="987"/>
      <c r="M16" s="987"/>
      <c r="N16" s="987"/>
      <c r="O16" s="987"/>
      <c r="P16" s="987"/>
      <c r="Q16" s="987"/>
      <c r="R16" s="987"/>
      <c r="S16" s="987"/>
      <c r="T16" s="987"/>
      <c r="U16" s="987"/>
      <c r="V16" s="987"/>
      <c r="W16" s="988"/>
      <c r="X16" s="992"/>
    </row>
    <row r="17" spans="1:24" ht="13.5" thickBot="1">
      <c r="A17" s="885"/>
      <c r="B17" s="885"/>
      <c r="C17" s="998" t="s">
        <v>413</v>
      </c>
      <c r="D17" s="989" t="s">
        <v>4</v>
      </c>
      <c r="E17" s="990"/>
      <c r="F17" s="990"/>
      <c r="G17" s="990"/>
      <c r="H17" s="990"/>
      <c r="I17" s="990"/>
      <c r="J17" s="990"/>
      <c r="K17" s="990"/>
      <c r="L17" s="990"/>
      <c r="M17" s="990"/>
      <c r="N17" s="990"/>
      <c r="O17" s="990"/>
      <c r="P17" s="990"/>
      <c r="Q17" s="990"/>
      <c r="R17" s="990"/>
      <c r="S17" s="990"/>
      <c r="T17" s="990"/>
      <c r="U17" s="990"/>
      <c r="V17" s="990"/>
      <c r="W17" s="990"/>
      <c r="X17" s="992"/>
    </row>
    <row r="18" spans="1:24" ht="13.5" thickBot="1">
      <c r="A18" s="869"/>
      <c r="B18" s="869"/>
      <c r="C18" s="999"/>
      <c r="D18" s="930" t="s">
        <v>84</v>
      </c>
      <c r="E18" s="931"/>
      <c r="F18" s="931"/>
      <c r="G18" s="931"/>
      <c r="H18" s="931"/>
      <c r="I18" s="931"/>
      <c r="J18" s="931"/>
      <c r="K18" s="931"/>
      <c r="L18" s="931"/>
      <c r="M18" s="931"/>
      <c r="N18" s="931"/>
      <c r="O18" s="931"/>
      <c r="P18" s="931"/>
      <c r="Q18" s="931"/>
      <c r="R18" s="931"/>
      <c r="S18" s="931"/>
      <c r="T18" s="931"/>
      <c r="U18" s="931"/>
      <c r="V18" s="931"/>
      <c r="W18" s="932"/>
      <c r="X18" s="993"/>
    </row>
    <row r="19" spans="1:24">
      <c r="A19" s="5"/>
      <c r="B19" s="5"/>
      <c r="C19" s="14"/>
      <c r="D19" s="5"/>
      <c r="E19" s="5"/>
      <c r="F19" s="5"/>
      <c r="G19" s="5"/>
      <c r="H19" s="5"/>
      <c r="I19" s="5"/>
      <c r="J19" s="5"/>
      <c r="K19" s="5"/>
      <c r="L19" s="5"/>
      <c r="M19" s="5"/>
      <c r="N19" s="5"/>
      <c r="O19" s="5"/>
      <c r="P19" s="5"/>
      <c r="Q19" s="5"/>
      <c r="R19" s="5"/>
      <c r="S19" s="5"/>
      <c r="T19" s="5"/>
      <c r="U19" s="5"/>
      <c r="V19" s="5"/>
      <c r="W19" s="5"/>
      <c r="X19" s="5"/>
    </row>
    <row r="20" spans="1:24" ht="13.5" thickBot="1">
      <c r="A20" s="5"/>
      <c r="B20" s="5"/>
      <c r="C20" s="6"/>
      <c r="D20" s="5"/>
      <c r="E20" s="5"/>
      <c r="F20" s="5"/>
      <c r="G20" s="5"/>
      <c r="H20" s="5"/>
      <c r="I20" s="5"/>
      <c r="J20" s="5"/>
      <c r="K20" s="5"/>
      <c r="L20" s="5"/>
      <c r="M20" s="5"/>
      <c r="N20" s="5"/>
      <c r="O20" s="5"/>
      <c r="P20" s="5"/>
      <c r="Q20" s="5"/>
      <c r="R20" s="5"/>
      <c r="S20" s="5"/>
      <c r="T20" s="5"/>
      <c r="U20" s="5"/>
      <c r="V20" s="5"/>
      <c r="W20" s="5"/>
      <c r="X20" s="5"/>
    </row>
    <row r="21" spans="1:24" ht="13.5" thickBot="1">
      <c r="A21" s="15" t="s">
        <v>1</v>
      </c>
      <c r="B21" s="172" t="s">
        <v>24</v>
      </c>
      <c r="C21" s="8"/>
      <c r="D21" s="927" t="s">
        <v>78</v>
      </c>
      <c r="E21" s="928"/>
      <c r="F21" s="928"/>
      <c r="G21" s="929"/>
      <c r="H21" s="927" t="s">
        <v>77</v>
      </c>
      <c r="I21" s="928"/>
      <c r="J21" s="928"/>
      <c r="K21" s="929"/>
      <c r="L21" s="927" t="s">
        <v>81</v>
      </c>
      <c r="M21" s="928"/>
      <c r="N21" s="928"/>
      <c r="O21" s="929"/>
      <c r="P21" s="927" t="s">
        <v>254</v>
      </c>
      <c r="Q21" s="928"/>
      <c r="R21" s="928"/>
      <c r="S21" s="929"/>
      <c r="T21" s="927" t="s">
        <v>76</v>
      </c>
      <c r="U21" s="928"/>
      <c r="V21" s="928"/>
      <c r="W21" s="929"/>
      <c r="X21" s="16" t="s">
        <v>6</v>
      </c>
    </row>
    <row r="22" spans="1:24" ht="13.5" thickBot="1">
      <c r="A22" s="868" t="s">
        <v>47</v>
      </c>
      <c r="B22" s="868" t="s">
        <v>48</v>
      </c>
      <c r="C22" s="9" t="s">
        <v>235</v>
      </c>
      <c r="D22" s="1014">
        <v>2.1</v>
      </c>
      <c r="E22" s="1015"/>
      <c r="F22" s="1015"/>
      <c r="G22" s="1016"/>
      <c r="H22" s="1014">
        <v>2.1</v>
      </c>
      <c r="I22" s="1015"/>
      <c r="J22" s="1015"/>
      <c r="K22" s="1016"/>
      <c r="L22" s="1014">
        <v>2.7</v>
      </c>
      <c r="M22" s="1015"/>
      <c r="N22" s="1015"/>
      <c r="O22" s="1016"/>
      <c r="P22" s="1014">
        <v>3.1</v>
      </c>
      <c r="Q22" s="1015"/>
      <c r="R22" s="1015"/>
      <c r="S22" s="1016"/>
      <c r="T22" s="1014">
        <v>3.1</v>
      </c>
      <c r="U22" s="1015"/>
      <c r="V22" s="1015"/>
      <c r="W22" s="1016"/>
      <c r="X22" s="873" t="s">
        <v>96</v>
      </c>
    </row>
    <row r="23" spans="1:24" ht="13.5" thickBot="1">
      <c r="A23" s="885"/>
      <c r="B23" s="885"/>
      <c r="C23" s="9" t="s">
        <v>233</v>
      </c>
      <c r="D23" s="1048" t="s">
        <v>414</v>
      </c>
      <c r="E23" s="1049"/>
      <c r="F23" s="1049"/>
      <c r="G23" s="1050"/>
      <c r="H23" s="1014">
        <v>2.2999999999999998</v>
      </c>
      <c r="I23" s="1015"/>
      <c r="J23" s="1015"/>
      <c r="K23" s="1016"/>
      <c r="L23" s="1014">
        <v>2.2999999999999998</v>
      </c>
      <c r="M23" s="1015"/>
      <c r="N23" s="1015"/>
      <c r="O23" s="1016"/>
      <c r="P23" s="1014">
        <v>2.5</v>
      </c>
      <c r="Q23" s="1015"/>
      <c r="R23" s="1015"/>
      <c r="S23" s="1016"/>
      <c r="T23" s="1014">
        <v>2.7</v>
      </c>
      <c r="U23" s="1015"/>
      <c r="V23" s="1015"/>
      <c r="W23" s="1016"/>
      <c r="X23" s="874"/>
    </row>
    <row r="24" spans="1:24" ht="12.95" customHeight="1" thickBot="1">
      <c r="A24" s="885"/>
      <c r="B24" s="885"/>
      <c r="C24" s="9" t="s">
        <v>234</v>
      </c>
      <c r="D24" s="957"/>
      <c r="E24" s="958"/>
      <c r="F24" s="958"/>
      <c r="G24" s="959"/>
      <c r="H24" s="957"/>
      <c r="I24" s="958"/>
      <c r="J24" s="958"/>
      <c r="K24" s="959"/>
      <c r="L24" s="1057" t="s">
        <v>443</v>
      </c>
      <c r="M24" s="1058"/>
      <c r="N24" s="1058"/>
      <c r="O24" s="1059"/>
      <c r="P24" s="1023">
        <v>0</v>
      </c>
      <c r="Q24" s="1024"/>
      <c r="R24" s="1024"/>
      <c r="S24" s="1025"/>
      <c r="T24" s="1023">
        <v>0</v>
      </c>
      <c r="U24" s="1024"/>
      <c r="V24" s="1024"/>
      <c r="W24" s="1025"/>
      <c r="X24" s="874"/>
    </row>
    <row r="25" spans="1:24" ht="13.5" thickBot="1">
      <c r="A25" s="885"/>
      <c r="B25" s="885"/>
      <c r="C25" s="102" t="s">
        <v>236</v>
      </c>
      <c r="D25" s="1045" t="s">
        <v>415</v>
      </c>
      <c r="E25" s="1046"/>
      <c r="F25" s="1046"/>
      <c r="G25" s="1047"/>
      <c r="H25" s="1020">
        <v>2.66</v>
      </c>
      <c r="I25" s="1021"/>
      <c r="J25" s="1021"/>
      <c r="K25" s="1022"/>
      <c r="L25" s="1020">
        <v>2.8</v>
      </c>
      <c r="M25" s="1021"/>
      <c r="N25" s="1021"/>
      <c r="O25" s="1022"/>
      <c r="P25" s="1020">
        <v>3.1800000000000006</v>
      </c>
      <c r="Q25" s="1021"/>
      <c r="R25" s="1021"/>
      <c r="S25" s="1022"/>
      <c r="T25" s="1020">
        <v>0</v>
      </c>
      <c r="U25" s="1021"/>
      <c r="V25" s="1021"/>
      <c r="W25" s="1022"/>
      <c r="X25" s="874"/>
    </row>
    <row r="26" spans="1:24" ht="13.5" thickBot="1">
      <c r="A26" s="885"/>
      <c r="B26" s="885"/>
      <c r="C26" s="102" t="s">
        <v>283</v>
      </c>
      <c r="D26" s="1017"/>
      <c r="E26" s="1018"/>
      <c r="F26" s="1018"/>
      <c r="G26" s="1019"/>
      <c r="H26" s="1017"/>
      <c r="I26" s="1018"/>
      <c r="J26" s="1018"/>
      <c r="K26" s="1019"/>
      <c r="L26" s="1020">
        <v>2.2999999999999998</v>
      </c>
      <c r="M26" s="1021"/>
      <c r="N26" s="1021"/>
      <c r="O26" s="1022"/>
      <c r="P26" s="1020" t="s">
        <v>776</v>
      </c>
      <c r="Q26" s="1021"/>
      <c r="R26" s="1021"/>
      <c r="S26" s="1022"/>
      <c r="T26" s="1020">
        <v>0</v>
      </c>
      <c r="U26" s="1021"/>
      <c r="V26" s="1021"/>
      <c r="W26" s="1022"/>
      <c r="X26" s="874"/>
    </row>
    <row r="27" spans="1:24" ht="13.5" thickBot="1">
      <c r="A27" s="885"/>
      <c r="B27" s="885"/>
      <c r="C27" s="102" t="s">
        <v>284</v>
      </c>
      <c r="D27" s="1017"/>
      <c r="E27" s="1018"/>
      <c r="F27" s="1018"/>
      <c r="G27" s="1019"/>
      <c r="H27" s="1017"/>
      <c r="I27" s="1018"/>
      <c r="J27" s="1018"/>
      <c r="K27" s="1019"/>
      <c r="L27" s="1017"/>
      <c r="M27" s="1018"/>
      <c r="N27" s="1018"/>
      <c r="O27" s="1019"/>
      <c r="P27" s="1017"/>
      <c r="Q27" s="1018"/>
      <c r="R27" s="1018"/>
      <c r="S27" s="1019"/>
      <c r="T27" s="1020">
        <v>0</v>
      </c>
      <c r="U27" s="1021"/>
      <c r="V27" s="1021"/>
      <c r="W27" s="1022"/>
      <c r="X27" s="874"/>
    </row>
    <row r="28" spans="1:24" ht="13.5" thickBot="1">
      <c r="A28" s="885"/>
      <c r="B28" s="885"/>
      <c r="C28" s="998" t="s">
        <v>413</v>
      </c>
      <c r="D28" s="927" t="s">
        <v>4</v>
      </c>
      <c r="E28" s="928"/>
      <c r="F28" s="928"/>
      <c r="G28" s="928"/>
      <c r="H28" s="928"/>
      <c r="I28" s="928"/>
      <c r="J28" s="928"/>
      <c r="K28" s="928"/>
      <c r="L28" s="928"/>
      <c r="M28" s="928"/>
      <c r="N28" s="928"/>
      <c r="O28" s="928"/>
      <c r="P28" s="928"/>
      <c r="Q28" s="928"/>
      <c r="R28" s="928"/>
      <c r="S28" s="928"/>
      <c r="T28" s="928"/>
      <c r="U28" s="928"/>
      <c r="V28" s="928"/>
      <c r="W28" s="928"/>
      <c r="X28" s="874"/>
    </row>
    <row r="29" spans="1:24" ht="13.5" thickBot="1">
      <c r="A29" s="885"/>
      <c r="B29" s="869"/>
      <c r="C29" s="999"/>
      <c r="D29" s="930" t="s">
        <v>115</v>
      </c>
      <c r="E29" s="931"/>
      <c r="F29" s="931"/>
      <c r="G29" s="931"/>
      <c r="H29" s="931"/>
      <c r="I29" s="931"/>
      <c r="J29" s="931"/>
      <c r="K29" s="931"/>
      <c r="L29" s="931"/>
      <c r="M29" s="931"/>
      <c r="N29" s="931"/>
      <c r="O29" s="931"/>
      <c r="P29" s="931"/>
      <c r="Q29" s="931"/>
      <c r="R29" s="931"/>
      <c r="S29" s="931"/>
      <c r="T29" s="931"/>
      <c r="U29" s="931"/>
      <c r="V29" s="931"/>
      <c r="W29" s="932"/>
      <c r="X29" s="874"/>
    </row>
    <row r="30" spans="1:24" ht="13.5" thickBot="1">
      <c r="A30" s="885"/>
      <c r="B30" s="11" t="s">
        <v>25</v>
      </c>
      <c r="C30" s="12"/>
      <c r="D30" s="927" t="s">
        <v>78</v>
      </c>
      <c r="E30" s="928"/>
      <c r="F30" s="928"/>
      <c r="G30" s="929"/>
      <c r="H30" s="927" t="s">
        <v>77</v>
      </c>
      <c r="I30" s="928"/>
      <c r="J30" s="928"/>
      <c r="K30" s="929"/>
      <c r="L30" s="927" t="s">
        <v>81</v>
      </c>
      <c r="M30" s="928"/>
      <c r="N30" s="928"/>
      <c r="O30" s="929"/>
      <c r="P30" s="927" t="s">
        <v>254</v>
      </c>
      <c r="Q30" s="928"/>
      <c r="R30" s="928"/>
      <c r="S30" s="929"/>
      <c r="T30" s="927" t="s">
        <v>76</v>
      </c>
      <c r="U30" s="928"/>
      <c r="V30" s="928"/>
      <c r="W30" s="929"/>
      <c r="X30" s="874"/>
    </row>
    <row r="31" spans="1:24" ht="13.5" thickBot="1">
      <c r="A31" s="885"/>
      <c r="B31" s="868" t="s">
        <v>49</v>
      </c>
      <c r="C31" s="9" t="s">
        <v>235</v>
      </c>
      <c r="D31" s="1014">
        <v>1</v>
      </c>
      <c r="E31" s="1015"/>
      <c r="F31" s="1015"/>
      <c r="G31" s="1016"/>
      <c r="H31" s="1014">
        <v>1</v>
      </c>
      <c r="I31" s="1015"/>
      <c r="J31" s="1015"/>
      <c r="K31" s="1016"/>
      <c r="L31" s="1014">
        <v>1.45</v>
      </c>
      <c r="M31" s="1015"/>
      <c r="N31" s="1015"/>
      <c r="O31" s="1016"/>
      <c r="P31" s="1014">
        <v>1.8</v>
      </c>
      <c r="Q31" s="1015"/>
      <c r="R31" s="1015"/>
      <c r="S31" s="1016"/>
      <c r="T31" s="1014">
        <v>2.25</v>
      </c>
      <c r="U31" s="1015"/>
      <c r="V31" s="1015"/>
      <c r="W31" s="1016"/>
      <c r="X31" s="874"/>
    </row>
    <row r="32" spans="1:24" ht="13.5" thickBot="1">
      <c r="A32" s="885"/>
      <c r="B32" s="885"/>
      <c r="C32" s="9" t="s">
        <v>233</v>
      </c>
      <c r="D32" s="1048" t="s">
        <v>414</v>
      </c>
      <c r="E32" s="1049"/>
      <c r="F32" s="1049"/>
      <c r="G32" s="1050"/>
      <c r="H32" s="1014">
        <v>1</v>
      </c>
      <c r="I32" s="1015"/>
      <c r="J32" s="1015"/>
      <c r="K32" s="1016"/>
      <c r="L32" s="1014">
        <v>1</v>
      </c>
      <c r="M32" s="1015"/>
      <c r="N32" s="1015"/>
      <c r="O32" s="1016"/>
      <c r="P32" s="1014">
        <v>1.2</v>
      </c>
      <c r="Q32" s="1015"/>
      <c r="R32" s="1015"/>
      <c r="S32" s="1016"/>
      <c r="T32" s="1014">
        <v>1.4</v>
      </c>
      <c r="U32" s="1015"/>
      <c r="V32" s="1015"/>
      <c r="W32" s="1016"/>
      <c r="X32" s="874"/>
    </row>
    <row r="33" spans="1:24" ht="12.95" customHeight="1" thickBot="1">
      <c r="A33" s="885"/>
      <c r="B33" s="885"/>
      <c r="C33" s="9" t="s">
        <v>234</v>
      </c>
      <c r="D33" s="957"/>
      <c r="E33" s="958"/>
      <c r="F33" s="958"/>
      <c r="G33" s="959"/>
      <c r="H33" s="957"/>
      <c r="I33" s="958"/>
      <c r="J33" s="958"/>
      <c r="K33" s="959"/>
      <c r="L33" s="1057" t="s">
        <v>443</v>
      </c>
      <c r="M33" s="1058"/>
      <c r="N33" s="1058"/>
      <c r="O33" s="1059"/>
      <c r="P33" s="1023">
        <v>0</v>
      </c>
      <c r="Q33" s="1024"/>
      <c r="R33" s="1024"/>
      <c r="S33" s="1025"/>
      <c r="T33" s="1023">
        <v>0</v>
      </c>
      <c r="U33" s="1024"/>
      <c r="V33" s="1024"/>
      <c r="W33" s="1025"/>
      <c r="X33" s="874"/>
    </row>
    <row r="34" spans="1:24" ht="13.5" thickBot="1">
      <c r="A34" s="885"/>
      <c r="B34" s="885"/>
      <c r="C34" s="102" t="s">
        <v>236</v>
      </c>
      <c r="D34" s="1008" t="s">
        <v>416</v>
      </c>
      <c r="E34" s="1009"/>
      <c r="F34" s="1009"/>
      <c r="G34" s="1010"/>
      <c r="H34" s="1020">
        <v>1.6</v>
      </c>
      <c r="I34" s="1021"/>
      <c r="J34" s="1021"/>
      <c r="K34" s="1022"/>
      <c r="L34" s="1020">
        <v>2.2000000000000002</v>
      </c>
      <c r="M34" s="1021"/>
      <c r="N34" s="1021"/>
      <c r="O34" s="1022"/>
      <c r="P34" s="1100">
        <v>2.6</v>
      </c>
      <c r="Q34" s="1101"/>
      <c r="R34" s="1101"/>
      <c r="S34" s="1102"/>
      <c r="T34" s="1020">
        <v>0</v>
      </c>
      <c r="U34" s="1021"/>
      <c r="V34" s="1021"/>
      <c r="W34" s="1022"/>
      <c r="X34" s="874"/>
    </row>
    <row r="35" spans="1:24" ht="13.5" thickBot="1">
      <c r="A35" s="885"/>
      <c r="B35" s="885"/>
      <c r="C35" s="102" t="s">
        <v>283</v>
      </c>
      <c r="D35" s="1017"/>
      <c r="E35" s="1018"/>
      <c r="F35" s="1018"/>
      <c r="G35" s="1019"/>
      <c r="H35" s="1017"/>
      <c r="I35" s="1018"/>
      <c r="J35" s="1018"/>
      <c r="K35" s="1019"/>
      <c r="L35" s="1020">
        <v>1</v>
      </c>
      <c r="M35" s="1021"/>
      <c r="N35" s="1021"/>
      <c r="O35" s="1022"/>
      <c r="P35" s="1100">
        <v>1.8333333333333333</v>
      </c>
      <c r="Q35" s="1101"/>
      <c r="R35" s="1101"/>
      <c r="S35" s="1102"/>
      <c r="T35" s="1020">
        <v>0</v>
      </c>
      <c r="U35" s="1021"/>
      <c r="V35" s="1021"/>
      <c r="W35" s="1022"/>
      <c r="X35" s="874"/>
    </row>
    <row r="36" spans="1:24" ht="13.5" thickBot="1">
      <c r="A36" s="885"/>
      <c r="B36" s="885"/>
      <c r="C36" s="102" t="s">
        <v>284</v>
      </c>
      <c r="D36" s="1017"/>
      <c r="E36" s="1018"/>
      <c r="F36" s="1018"/>
      <c r="G36" s="1019"/>
      <c r="H36" s="1017"/>
      <c r="I36" s="1018"/>
      <c r="J36" s="1018"/>
      <c r="K36" s="1019"/>
      <c r="L36" s="1017"/>
      <c r="M36" s="1018"/>
      <c r="N36" s="1018"/>
      <c r="O36" s="1019"/>
      <c r="P36" s="1017"/>
      <c r="Q36" s="1018"/>
      <c r="R36" s="1018"/>
      <c r="S36" s="1019"/>
      <c r="T36" s="1020">
        <v>0</v>
      </c>
      <c r="U36" s="1021"/>
      <c r="V36" s="1021"/>
      <c r="W36" s="1022"/>
      <c r="X36" s="874"/>
    </row>
    <row r="37" spans="1:24" ht="13.5" thickBot="1">
      <c r="A37" s="885"/>
      <c r="B37" s="885"/>
      <c r="C37" s="998" t="s">
        <v>413</v>
      </c>
      <c r="D37" s="927" t="s">
        <v>4</v>
      </c>
      <c r="E37" s="928"/>
      <c r="F37" s="928"/>
      <c r="G37" s="928"/>
      <c r="H37" s="928"/>
      <c r="I37" s="928"/>
      <c r="J37" s="928"/>
      <c r="K37" s="928"/>
      <c r="L37" s="928"/>
      <c r="M37" s="928"/>
      <c r="N37" s="928"/>
      <c r="O37" s="928"/>
      <c r="P37" s="928"/>
      <c r="Q37" s="928"/>
      <c r="R37" s="928"/>
      <c r="S37" s="928"/>
      <c r="T37" s="928"/>
      <c r="U37" s="928"/>
      <c r="V37" s="928"/>
      <c r="W37" s="928"/>
      <c r="X37" s="874"/>
    </row>
    <row r="38" spans="1:24" ht="13.5" thickBot="1">
      <c r="A38" s="885"/>
      <c r="B38" s="869"/>
      <c r="C38" s="999"/>
      <c r="D38" s="930" t="s">
        <v>116</v>
      </c>
      <c r="E38" s="931"/>
      <c r="F38" s="931"/>
      <c r="G38" s="931"/>
      <c r="H38" s="931"/>
      <c r="I38" s="931"/>
      <c r="J38" s="931"/>
      <c r="K38" s="931"/>
      <c r="L38" s="931"/>
      <c r="M38" s="931"/>
      <c r="N38" s="931"/>
      <c r="O38" s="931"/>
      <c r="P38" s="931"/>
      <c r="Q38" s="931"/>
      <c r="R38" s="931"/>
      <c r="S38" s="931"/>
      <c r="T38" s="931"/>
      <c r="U38" s="931"/>
      <c r="V38" s="931"/>
      <c r="W38" s="932"/>
      <c r="X38" s="874"/>
    </row>
    <row r="39" spans="1:24" ht="13.5" thickBot="1">
      <c r="A39" s="885"/>
      <c r="B39" s="11" t="s">
        <v>37</v>
      </c>
      <c r="C39" s="12"/>
      <c r="D39" s="927" t="s">
        <v>78</v>
      </c>
      <c r="E39" s="928"/>
      <c r="F39" s="928"/>
      <c r="G39" s="929"/>
      <c r="H39" s="927" t="s">
        <v>77</v>
      </c>
      <c r="I39" s="928"/>
      <c r="J39" s="928"/>
      <c r="K39" s="929"/>
      <c r="L39" s="927" t="s">
        <v>81</v>
      </c>
      <c r="M39" s="928"/>
      <c r="N39" s="928"/>
      <c r="O39" s="929"/>
      <c r="P39" s="927" t="s">
        <v>254</v>
      </c>
      <c r="Q39" s="928"/>
      <c r="R39" s="928"/>
      <c r="S39" s="929"/>
      <c r="T39" s="927" t="s">
        <v>76</v>
      </c>
      <c r="U39" s="928"/>
      <c r="V39" s="928"/>
      <c r="W39" s="929"/>
      <c r="X39" s="874"/>
    </row>
    <row r="40" spans="1:24" ht="33" customHeight="1" thickBot="1">
      <c r="A40" s="971"/>
      <c r="B40" s="868" t="s">
        <v>148</v>
      </c>
      <c r="C40" s="91"/>
      <c r="D40" s="17" t="s">
        <v>106</v>
      </c>
      <c r="E40" s="17" t="s">
        <v>107</v>
      </c>
      <c r="F40" s="17" t="s">
        <v>108</v>
      </c>
      <c r="G40" s="17" t="s">
        <v>109</v>
      </c>
      <c r="H40" s="17" t="s">
        <v>106</v>
      </c>
      <c r="I40" s="17" t="s">
        <v>107</v>
      </c>
      <c r="J40" s="17" t="s">
        <v>108</v>
      </c>
      <c r="K40" s="17" t="s">
        <v>109</v>
      </c>
      <c r="L40" s="17" t="s">
        <v>106</v>
      </c>
      <c r="M40" s="17" t="s">
        <v>107</v>
      </c>
      <c r="N40" s="17" t="s">
        <v>108</v>
      </c>
      <c r="O40" s="17" t="s">
        <v>109</v>
      </c>
      <c r="P40" s="17" t="s">
        <v>106</v>
      </c>
      <c r="Q40" s="17" t="s">
        <v>107</v>
      </c>
      <c r="R40" s="17" t="s">
        <v>108</v>
      </c>
      <c r="S40" s="17" t="s">
        <v>109</v>
      </c>
      <c r="T40" s="17" t="s">
        <v>106</v>
      </c>
      <c r="U40" s="17" t="s">
        <v>107</v>
      </c>
      <c r="V40" s="17" t="s">
        <v>108</v>
      </c>
      <c r="W40" s="17" t="s">
        <v>109</v>
      </c>
      <c r="X40" s="874"/>
    </row>
    <row r="41" spans="1:24" ht="13.5" thickBot="1">
      <c r="A41" s="971"/>
      <c r="B41" s="885"/>
      <c r="C41" s="91" t="s">
        <v>235</v>
      </c>
      <c r="D41" s="113">
        <v>2.6</v>
      </c>
      <c r="E41" s="113">
        <v>3</v>
      </c>
      <c r="F41" s="113">
        <v>0.2</v>
      </c>
      <c r="G41" s="113">
        <v>6</v>
      </c>
      <c r="H41" s="113">
        <v>6.6</v>
      </c>
      <c r="I41" s="113">
        <v>8</v>
      </c>
      <c r="J41" s="113">
        <v>0.6</v>
      </c>
      <c r="K41" s="113">
        <v>10.199999999999999</v>
      </c>
      <c r="L41" s="113">
        <v>6</v>
      </c>
      <c r="M41" s="113">
        <v>9.1999999999999993</v>
      </c>
      <c r="N41" s="113">
        <v>2.6</v>
      </c>
      <c r="O41" s="113">
        <v>12.2</v>
      </c>
      <c r="P41" s="113">
        <v>8.1999999999999993</v>
      </c>
      <c r="Q41" s="113">
        <v>11</v>
      </c>
      <c r="R41" s="113">
        <v>3.8</v>
      </c>
      <c r="S41" s="113">
        <v>12.6</v>
      </c>
      <c r="T41" s="159">
        <v>11</v>
      </c>
      <c r="U41" s="104">
        <v>13</v>
      </c>
      <c r="V41" s="113">
        <v>7</v>
      </c>
      <c r="W41" s="113">
        <v>14.9</v>
      </c>
      <c r="X41" s="874"/>
    </row>
    <row r="42" spans="1:24" ht="13.5" thickBot="1">
      <c r="A42" s="971"/>
      <c r="B42" s="170" t="s">
        <v>145</v>
      </c>
      <c r="C42" s="91" t="s">
        <v>233</v>
      </c>
      <c r="D42" s="1051" t="s">
        <v>414</v>
      </c>
      <c r="E42" s="1052"/>
      <c r="F42" s="1052"/>
      <c r="G42" s="1053"/>
      <c r="H42" s="113">
        <v>0</v>
      </c>
      <c r="I42" s="113">
        <v>0</v>
      </c>
      <c r="J42" s="113">
        <v>0</v>
      </c>
      <c r="K42" s="113">
        <v>14</v>
      </c>
      <c r="L42" s="113">
        <v>0</v>
      </c>
      <c r="M42" s="113">
        <v>1</v>
      </c>
      <c r="N42" s="113">
        <v>0</v>
      </c>
      <c r="O42" s="113">
        <v>14</v>
      </c>
      <c r="P42" s="113">
        <v>2.2999999999999998</v>
      </c>
      <c r="Q42" s="113">
        <v>2.2999999999999998</v>
      </c>
      <c r="R42" s="113">
        <v>2</v>
      </c>
      <c r="S42" s="159">
        <v>14</v>
      </c>
      <c r="T42" s="159">
        <v>5</v>
      </c>
      <c r="U42" s="159">
        <v>5</v>
      </c>
      <c r="V42" s="113">
        <v>3.3</v>
      </c>
      <c r="W42" s="113">
        <v>14.7</v>
      </c>
      <c r="X42" s="874"/>
    </row>
    <row r="43" spans="1:24" ht="12.95" customHeight="1" thickBot="1">
      <c r="A43" s="971"/>
      <c r="B43" s="170" t="s">
        <v>147</v>
      </c>
      <c r="C43" s="91" t="s">
        <v>234</v>
      </c>
      <c r="D43" s="945"/>
      <c r="E43" s="946"/>
      <c r="F43" s="946"/>
      <c r="G43" s="947"/>
      <c r="H43" s="957"/>
      <c r="I43" s="958"/>
      <c r="J43" s="958"/>
      <c r="K43" s="959"/>
      <c r="L43" s="1057" t="s">
        <v>443</v>
      </c>
      <c r="M43" s="1058"/>
      <c r="N43" s="1058"/>
      <c r="O43" s="1059"/>
      <c r="P43" s="114" t="s">
        <v>423</v>
      </c>
      <c r="Q43" s="114" t="s">
        <v>423</v>
      </c>
      <c r="R43" s="114" t="s">
        <v>423</v>
      </c>
      <c r="S43" s="114" t="s">
        <v>423</v>
      </c>
      <c r="T43" s="114" t="s">
        <v>423</v>
      </c>
      <c r="U43" s="114" t="s">
        <v>423</v>
      </c>
      <c r="V43" s="114" t="s">
        <v>423</v>
      </c>
      <c r="W43" s="114" t="s">
        <v>423</v>
      </c>
      <c r="X43" s="874"/>
    </row>
    <row r="44" spans="1:24" ht="13.5" thickBot="1">
      <c r="A44" s="971"/>
      <c r="B44" s="170" t="s">
        <v>146</v>
      </c>
      <c r="C44" s="103" t="s">
        <v>236</v>
      </c>
      <c r="D44" s="1042" t="s">
        <v>416</v>
      </c>
      <c r="E44" s="1043"/>
      <c r="F44" s="1043"/>
      <c r="G44" s="1044"/>
      <c r="H44" s="117">
        <v>8.1999999999999993</v>
      </c>
      <c r="I44" s="117">
        <v>8</v>
      </c>
      <c r="J44" s="117">
        <v>3.8</v>
      </c>
      <c r="K44" s="117">
        <v>12</v>
      </c>
      <c r="L44" s="117">
        <v>6</v>
      </c>
      <c r="M44" s="117">
        <v>9</v>
      </c>
      <c r="N44" s="117">
        <v>2</v>
      </c>
      <c r="O44" s="117">
        <v>14</v>
      </c>
      <c r="P44" s="117">
        <v>7.4</v>
      </c>
      <c r="Q44" s="117">
        <v>10.4</v>
      </c>
      <c r="R44" s="117">
        <v>2.2000000000000002</v>
      </c>
      <c r="S44" s="117">
        <v>14.4</v>
      </c>
      <c r="T44" s="117">
        <v>0</v>
      </c>
      <c r="U44" s="117">
        <v>0</v>
      </c>
      <c r="V44" s="117">
        <v>0</v>
      </c>
      <c r="W44" s="117">
        <v>0</v>
      </c>
      <c r="X44" s="874"/>
    </row>
    <row r="45" spans="1:24" ht="13.5" thickBot="1">
      <c r="A45" s="971"/>
      <c r="B45" s="170"/>
      <c r="C45" s="102" t="s">
        <v>283</v>
      </c>
      <c r="D45" s="1054"/>
      <c r="E45" s="1055"/>
      <c r="F45" s="1055"/>
      <c r="G45" s="1056"/>
      <c r="H45" s="1054"/>
      <c r="I45" s="1055"/>
      <c r="J45" s="1055"/>
      <c r="K45" s="1056"/>
      <c r="L45" s="117">
        <v>0</v>
      </c>
      <c r="M45" s="117">
        <v>1</v>
      </c>
      <c r="N45" s="117">
        <v>0</v>
      </c>
      <c r="O45" s="117">
        <v>14</v>
      </c>
      <c r="P45" s="117">
        <v>2.6666666666666665</v>
      </c>
      <c r="Q45" s="117">
        <v>2.6666666666666665</v>
      </c>
      <c r="R45" s="117">
        <v>0.66666666666666663</v>
      </c>
      <c r="S45" s="117">
        <v>14.333333333333334</v>
      </c>
      <c r="T45" s="117">
        <v>0</v>
      </c>
      <c r="U45" s="117">
        <v>0</v>
      </c>
      <c r="V45" s="117">
        <v>0</v>
      </c>
      <c r="W45" s="117">
        <v>0</v>
      </c>
      <c r="X45" s="874"/>
    </row>
    <row r="46" spans="1:24" ht="13.5" thickBot="1">
      <c r="A46" s="971"/>
      <c r="B46" s="170"/>
      <c r="C46" s="102" t="s">
        <v>284</v>
      </c>
      <c r="D46" s="1054"/>
      <c r="E46" s="1055"/>
      <c r="F46" s="1055"/>
      <c r="G46" s="1056"/>
      <c r="H46" s="1054"/>
      <c r="I46" s="1055"/>
      <c r="J46" s="1055"/>
      <c r="K46" s="1056"/>
      <c r="L46" s="1054"/>
      <c r="M46" s="1055"/>
      <c r="N46" s="1055"/>
      <c r="O46" s="1056"/>
      <c r="P46" s="1017"/>
      <c r="Q46" s="1018"/>
      <c r="R46" s="1018"/>
      <c r="S46" s="1019"/>
      <c r="T46" s="117">
        <v>0</v>
      </c>
      <c r="U46" s="117">
        <v>0</v>
      </c>
      <c r="V46" s="117">
        <v>0</v>
      </c>
      <c r="W46" s="117">
        <v>0</v>
      </c>
      <c r="X46" s="874"/>
    </row>
    <row r="47" spans="1:24" ht="13.5" thickBot="1">
      <c r="A47" s="971"/>
      <c r="B47" s="980"/>
      <c r="C47" s="998" t="s">
        <v>413</v>
      </c>
      <c r="D47" s="927" t="s">
        <v>4</v>
      </c>
      <c r="E47" s="928"/>
      <c r="F47" s="928"/>
      <c r="G47" s="928"/>
      <c r="H47" s="928"/>
      <c r="I47" s="928"/>
      <c r="J47" s="928"/>
      <c r="K47" s="928"/>
      <c r="L47" s="928"/>
      <c r="M47" s="928"/>
      <c r="N47" s="928"/>
      <c r="O47" s="928"/>
      <c r="P47" s="928"/>
      <c r="Q47" s="928"/>
      <c r="R47" s="928"/>
      <c r="S47" s="928"/>
      <c r="T47" s="928"/>
      <c r="U47" s="928"/>
      <c r="V47" s="928"/>
      <c r="W47" s="928"/>
      <c r="X47" s="874"/>
    </row>
    <row r="48" spans="1:24" ht="13.5" thickBot="1">
      <c r="A48" s="982"/>
      <c r="B48" s="981"/>
      <c r="C48" s="999"/>
      <c r="D48" s="930" t="s">
        <v>117</v>
      </c>
      <c r="E48" s="931"/>
      <c r="F48" s="931"/>
      <c r="G48" s="931"/>
      <c r="H48" s="931"/>
      <c r="I48" s="931"/>
      <c r="J48" s="931"/>
      <c r="K48" s="931"/>
      <c r="L48" s="931"/>
      <c r="M48" s="931"/>
      <c r="N48" s="931"/>
      <c r="O48" s="931"/>
      <c r="P48" s="931"/>
      <c r="Q48" s="931"/>
      <c r="R48" s="931"/>
      <c r="S48" s="931"/>
      <c r="T48" s="931"/>
      <c r="U48" s="931"/>
      <c r="V48" s="931"/>
      <c r="W48" s="932"/>
      <c r="X48" s="875"/>
    </row>
    <row r="49" spans="1:24">
      <c r="A49" s="5"/>
      <c r="B49" s="5"/>
      <c r="C49" s="14"/>
      <c r="D49" s="5"/>
      <c r="E49" s="5"/>
      <c r="F49" s="5"/>
      <c r="G49" s="5"/>
      <c r="H49" s="5"/>
      <c r="I49" s="5"/>
      <c r="J49" s="5"/>
      <c r="K49" s="5"/>
      <c r="L49" s="5"/>
      <c r="M49" s="5"/>
      <c r="N49" s="5"/>
      <c r="O49" s="5"/>
      <c r="P49" s="5"/>
      <c r="Q49" s="5"/>
      <c r="R49" s="5"/>
      <c r="S49" s="5"/>
      <c r="T49" s="5"/>
      <c r="U49" s="5"/>
      <c r="V49" s="5"/>
      <c r="W49" s="5"/>
      <c r="X49" s="5"/>
    </row>
    <row r="50" spans="1:24" ht="13.5" thickBot="1">
      <c r="A50" s="5"/>
      <c r="B50" s="5"/>
      <c r="C50" s="6"/>
      <c r="D50" s="5"/>
      <c r="E50" s="5"/>
      <c r="F50" s="5"/>
      <c r="G50" s="5"/>
      <c r="H50" s="5"/>
      <c r="I50" s="5"/>
      <c r="J50" s="5"/>
      <c r="K50" s="5"/>
      <c r="L50" s="5"/>
      <c r="M50" s="5"/>
      <c r="N50" s="5"/>
      <c r="O50" s="5"/>
      <c r="P50" s="5"/>
      <c r="Q50" s="5"/>
      <c r="R50" s="5"/>
      <c r="S50" s="5"/>
      <c r="T50" s="5"/>
      <c r="U50" s="5"/>
      <c r="V50" s="5"/>
      <c r="W50" s="5"/>
      <c r="X50" s="5"/>
    </row>
    <row r="51" spans="1:24" ht="13.5" thickBot="1">
      <c r="A51" s="7" t="s">
        <v>5</v>
      </c>
      <c r="B51" s="172" t="s">
        <v>22</v>
      </c>
      <c r="C51" s="8"/>
      <c r="D51" s="927" t="s">
        <v>78</v>
      </c>
      <c r="E51" s="928"/>
      <c r="F51" s="928"/>
      <c r="G51" s="929"/>
      <c r="H51" s="927" t="s">
        <v>77</v>
      </c>
      <c r="I51" s="928"/>
      <c r="J51" s="928"/>
      <c r="K51" s="929"/>
      <c r="L51" s="927" t="s">
        <v>81</v>
      </c>
      <c r="M51" s="928"/>
      <c r="N51" s="928"/>
      <c r="O51" s="929"/>
      <c r="P51" s="927" t="s">
        <v>254</v>
      </c>
      <c r="Q51" s="928"/>
      <c r="R51" s="928"/>
      <c r="S51" s="929"/>
      <c r="T51" s="927" t="s">
        <v>76</v>
      </c>
      <c r="U51" s="928"/>
      <c r="V51" s="928"/>
      <c r="W51" s="929"/>
      <c r="X51" s="19" t="s">
        <v>6</v>
      </c>
    </row>
    <row r="52" spans="1:24" ht="13.5" thickBot="1">
      <c r="A52" s="868" t="s">
        <v>54</v>
      </c>
      <c r="B52" s="868" t="s">
        <v>55</v>
      </c>
      <c r="C52" s="9" t="s">
        <v>235</v>
      </c>
      <c r="D52" s="1014">
        <v>2.1</v>
      </c>
      <c r="E52" s="1015"/>
      <c r="F52" s="1015"/>
      <c r="G52" s="1016"/>
      <c r="H52" s="1014">
        <v>2.2999999999999998</v>
      </c>
      <c r="I52" s="1015"/>
      <c r="J52" s="1015"/>
      <c r="K52" s="1016"/>
      <c r="L52" s="1014">
        <v>2.9</v>
      </c>
      <c r="M52" s="1015"/>
      <c r="N52" s="1015"/>
      <c r="O52" s="1016"/>
      <c r="P52" s="1014">
        <v>3.2</v>
      </c>
      <c r="Q52" s="1015"/>
      <c r="R52" s="1015"/>
      <c r="S52" s="1016"/>
      <c r="T52" s="1014">
        <v>3.6</v>
      </c>
      <c r="U52" s="1015"/>
      <c r="V52" s="1015"/>
      <c r="W52" s="1016"/>
      <c r="X52" s="879" t="s">
        <v>95</v>
      </c>
    </row>
    <row r="53" spans="1:24" ht="13.5" thickBot="1">
      <c r="A53" s="885"/>
      <c r="B53" s="885"/>
      <c r="C53" s="9" t="s">
        <v>233</v>
      </c>
      <c r="D53" s="1048" t="s">
        <v>414</v>
      </c>
      <c r="E53" s="1049"/>
      <c r="F53" s="1049"/>
      <c r="G53" s="1050"/>
      <c r="H53" s="1014">
        <v>2.2000000000000002</v>
      </c>
      <c r="I53" s="1015"/>
      <c r="J53" s="1015"/>
      <c r="K53" s="1016"/>
      <c r="L53" s="1014">
        <v>2.2000000000000002</v>
      </c>
      <c r="M53" s="1015"/>
      <c r="N53" s="1015"/>
      <c r="O53" s="1016"/>
      <c r="P53" s="1014">
        <v>2.35</v>
      </c>
      <c r="Q53" s="1015"/>
      <c r="R53" s="1015"/>
      <c r="S53" s="1016"/>
      <c r="T53" s="1014">
        <v>2.75</v>
      </c>
      <c r="U53" s="1015"/>
      <c r="V53" s="1015"/>
      <c r="W53" s="1016"/>
      <c r="X53" s="880"/>
    </row>
    <row r="54" spans="1:24" ht="12.95" customHeight="1" thickBot="1">
      <c r="A54" s="885"/>
      <c r="B54" s="885"/>
      <c r="C54" s="9" t="s">
        <v>234</v>
      </c>
      <c r="D54" s="957"/>
      <c r="E54" s="958"/>
      <c r="F54" s="958"/>
      <c r="G54" s="959"/>
      <c r="H54" s="957"/>
      <c r="I54" s="958"/>
      <c r="J54" s="958"/>
      <c r="K54" s="959"/>
      <c r="L54" s="1057" t="s">
        <v>443</v>
      </c>
      <c r="M54" s="1058"/>
      <c r="N54" s="1058"/>
      <c r="O54" s="1059"/>
      <c r="P54" s="1023">
        <v>0</v>
      </c>
      <c r="Q54" s="1024"/>
      <c r="R54" s="1024"/>
      <c r="S54" s="1025"/>
      <c r="T54" s="1023">
        <v>0</v>
      </c>
      <c r="U54" s="1024"/>
      <c r="V54" s="1024"/>
      <c r="W54" s="1025"/>
      <c r="X54" s="880"/>
    </row>
    <row r="55" spans="1:24" ht="13.5" thickBot="1">
      <c r="A55" s="885"/>
      <c r="B55" s="885"/>
      <c r="C55" s="102" t="s">
        <v>236</v>
      </c>
      <c r="D55" s="1045" t="s">
        <v>415</v>
      </c>
      <c r="E55" s="1046"/>
      <c r="F55" s="1046"/>
      <c r="G55" s="1047"/>
      <c r="H55" s="1020">
        <v>2.64</v>
      </c>
      <c r="I55" s="1021"/>
      <c r="J55" s="1021"/>
      <c r="K55" s="1022"/>
      <c r="L55" s="1020">
        <v>2.9</v>
      </c>
      <c r="M55" s="1021"/>
      <c r="N55" s="1021"/>
      <c r="O55" s="1022"/>
      <c r="P55" s="1020">
        <v>3.3200000000000003</v>
      </c>
      <c r="Q55" s="1021"/>
      <c r="R55" s="1021"/>
      <c r="S55" s="1022"/>
      <c r="T55" s="1020">
        <v>0</v>
      </c>
      <c r="U55" s="1021"/>
      <c r="V55" s="1021"/>
      <c r="W55" s="1022"/>
      <c r="X55" s="880"/>
    </row>
    <row r="56" spans="1:24" ht="13.5" thickBot="1">
      <c r="A56" s="885"/>
      <c r="B56" s="885"/>
      <c r="C56" s="102" t="s">
        <v>283</v>
      </c>
      <c r="D56" s="1017"/>
      <c r="E56" s="1018"/>
      <c r="F56" s="1018"/>
      <c r="G56" s="1019"/>
      <c r="H56" s="1017"/>
      <c r="I56" s="1018"/>
      <c r="J56" s="1018"/>
      <c r="K56" s="1019"/>
      <c r="L56" s="1020">
        <v>2.2000000000000002</v>
      </c>
      <c r="M56" s="1021"/>
      <c r="N56" s="1021"/>
      <c r="O56" s="1022"/>
      <c r="P56" s="1020" t="s">
        <v>777</v>
      </c>
      <c r="Q56" s="1021"/>
      <c r="R56" s="1021"/>
      <c r="S56" s="1022"/>
      <c r="T56" s="1020">
        <v>0</v>
      </c>
      <c r="U56" s="1021"/>
      <c r="V56" s="1021"/>
      <c r="W56" s="1022"/>
      <c r="X56" s="880"/>
    </row>
    <row r="57" spans="1:24" ht="13.5" thickBot="1">
      <c r="A57" s="885"/>
      <c r="B57" s="885"/>
      <c r="C57" s="102" t="s">
        <v>284</v>
      </c>
      <c r="D57" s="1017"/>
      <c r="E57" s="1018"/>
      <c r="F57" s="1018"/>
      <c r="G57" s="1019"/>
      <c r="H57" s="1017"/>
      <c r="I57" s="1018"/>
      <c r="J57" s="1018"/>
      <c r="K57" s="1019"/>
      <c r="L57" s="1017"/>
      <c r="M57" s="1018"/>
      <c r="N57" s="1018"/>
      <c r="O57" s="1019"/>
      <c r="P57" s="1017"/>
      <c r="Q57" s="1018"/>
      <c r="R57" s="1018"/>
      <c r="S57" s="1019"/>
      <c r="T57" s="1020">
        <v>0</v>
      </c>
      <c r="U57" s="1021"/>
      <c r="V57" s="1021"/>
      <c r="W57" s="1022"/>
      <c r="X57" s="880"/>
    </row>
    <row r="58" spans="1:24" ht="13.5" thickBot="1">
      <c r="A58" s="885"/>
      <c r="B58" s="885"/>
      <c r="C58" s="998" t="s">
        <v>413</v>
      </c>
      <c r="D58" s="927" t="s">
        <v>4</v>
      </c>
      <c r="E58" s="928"/>
      <c r="F58" s="928"/>
      <c r="G58" s="928"/>
      <c r="H58" s="928"/>
      <c r="I58" s="928"/>
      <c r="J58" s="928"/>
      <c r="K58" s="928"/>
      <c r="L58" s="928"/>
      <c r="M58" s="928"/>
      <c r="N58" s="928"/>
      <c r="O58" s="928"/>
      <c r="P58" s="928"/>
      <c r="Q58" s="928"/>
      <c r="R58" s="928"/>
      <c r="S58" s="928"/>
      <c r="T58" s="928"/>
      <c r="U58" s="928"/>
      <c r="V58" s="928"/>
      <c r="W58" s="928"/>
      <c r="X58" s="880"/>
    </row>
    <row r="59" spans="1:24" ht="13.5" thickBot="1">
      <c r="A59" s="885"/>
      <c r="B59" s="869"/>
      <c r="C59" s="999"/>
      <c r="D59" s="930" t="s">
        <v>115</v>
      </c>
      <c r="E59" s="931"/>
      <c r="F59" s="931"/>
      <c r="G59" s="931"/>
      <c r="H59" s="931"/>
      <c r="I59" s="931"/>
      <c r="J59" s="931"/>
      <c r="K59" s="931"/>
      <c r="L59" s="931"/>
      <c r="M59" s="931"/>
      <c r="N59" s="931"/>
      <c r="O59" s="931"/>
      <c r="P59" s="931"/>
      <c r="Q59" s="931"/>
      <c r="R59" s="931"/>
      <c r="S59" s="931"/>
      <c r="T59" s="931"/>
      <c r="U59" s="931"/>
      <c r="V59" s="931"/>
      <c r="W59" s="932"/>
      <c r="X59" s="880"/>
    </row>
    <row r="60" spans="1:24" ht="13.5" thickBot="1">
      <c r="A60" s="885"/>
      <c r="B60" s="11" t="s">
        <v>23</v>
      </c>
      <c r="C60" s="12"/>
      <c r="D60" s="927" t="s">
        <v>78</v>
      </c>
      <c r="E60" s="928"/>
      <c r="F60" s="928"/>
      <c r="G60" s="929"/>
      <c r="H60" s="927" t="s">
        <v>77</v>
      </c>
      <c r="I60" s="928"/>
      <c r="J60" s="928"/>
      <c r="K60" s="929"/>
      <c r="L60" s="927" t="s">
        <v>81</v>
      </c>
      <c r="M60" s="928"/>
      <c r="N60" s="928"/>
      <c r="O60" s="929"/>
      <c r="P60" s="927" t="s">
        <v>254</v>
      </c>
      <c r="Q60" s="928"/>
      <c r="R60" s="928"/>
      <c r="S60" s="929"/>
      <c r="T60" s="927" t="s">
        <v>76</v>
      </c>
      <c r="U60" s="928"/>
      <c r="V60" s="928"/>
      <c r="W60" s="929"/>
      <c r="X60" s="880"/>
    </row>
    <row r="61" spans="1:24" ht="13.5" thickBot="1">
      <c r="A61" s="885"/>
      <c r="B61" s="868" t="s">
        <v>56</v>
      </c>
      <c r="C61" s="9" t="s">
        <v>235</v>
      </c>
      <c r="D61" s="1014">
        <v>2.1</v>
      </c>
      <c r="E61" s="1015"/>
      <c r="F61" s="1015"/>
      <c r="G61" s="1016"/>
      <c r="H61" s="1014">
        <v>2.6</v>
      </c>
      <c r="I61" s="1015"/>
      <c r="J61" s="1015"/>
      <c r="K61" s="1016"/>
      <c r="L61" s="1014">
        <v>2.85</v>
      </c>
      <c r="M61" s="1015"/>
      <c r="N61" s="1015"/>
      <c r="O61" s="1016"/>
      <c r="P61" s="1014">
        <v>3.1</v>
      </c>
      <c r="Q61" s="1015"/>
      <c r="R61" s="1015"/>
      <c r="S61" s="1016"/>
      <c r="T61" s="1014">
        <v>3.45</v>
      </c>
      <c r="U61" s="1015"/>
      <c r="V61" s="1015"/>
      <c r="W61" s="1016"/>
      <c r="X61" s="880"/>
    </row>
    <row r="62" spans="1:24" ht="13.5" thickBot="1">
      <c r="A62" s="885"/>
      <c r="B62" s="885"/>
      <c r="C62" s="9" t="s">
        <v>233</v>
      </c>
      <c r="D62" s="1048" t="s">
        <v>414</v>
      </c>
      <c r="E62" s="1049"/>
      <c r="F62" s="1049"/>
      <c r="G62" s="1050"/>
      <c r="H62" s="1014">
        <v>1.6</v>
      </c>
      <c r="I62" s="1015"/>
      <c r="J62" s="1015"/>
      <c r="K62" s="1016"/>
      <c r="L62" s="1014">
        <v>1.75</v>
      </c>
      <c r="M62" s="1015"/>
      <c r="N62" s="1015"/>
      <c r="O62" s="1016"/>
      <c r="P62" s="1014">
        <v>1.9</v>
      </c>
      <c r="Q62" s="1015"/>
      <c r="R62" s="1015"/>
      <c r="S62" s="1016"/>
      <c r="T62" s="1014">
        <v>2.25</v>
      </c>
      <c r="U62" s="1015"/>
      <c r="V62" s="1015"/>
      <c r="W62" s="1016"/>
      <c r="X62" s="880"/>
    </row>
    <row r="63" spans="1:24" ht="12.95" customHeight="1" thickBot="1">
      <c r="A63" s="885"/>
      <c r="B63" s="885"/>
      <c r="C63" s="9" t="s">
        <v>234</v>
      </c>
      <c r="D63" s="957"/>
      <c r="E63" s="958"/>
      <c r="F63" s="958"/>
      <c r="G63" s="959"/>
      <c r="H63" s="957"/>
      <c r="I63" s="958"/>
      <c r="J63" s="958"/>
      <c r="K63" s="959"/>
      <c r="L63" s="1057" t="s">
        <v>443</v>
      </c>
      <c r="M63" s="1058"/>
      <c r="N63" s="1058"/>
      <c r="O63" s="1059"/>
      <c r="P63" s="1023">
        <v>0</v>
      </c>
      <c r="Q63" s="1024"/>
      <c r="R63" s="1024"/>
      <c r="S63" s="1025"/>
      <c r="T63" s="1023">
        <v>0</v>
      </c>
      <c r="U63" s="1024"/>
      <c r="V63" s="1024"/>
      <c r="W63" s="1025"/>
      <c r="X63" s="880"/>
    </row>
    <row r="64" spans="1:24" ht="13.5" thickBot="1">
      <c r="A64" s="885"/>
      <c r="B64" s="885"/>
      <c r="C64" s="102" t="s">
        <v>236</v>
      </c>
      <c r="D64" s="1045" t="s">
        <v>415</v>
      </c>
      <c r="E64" s="1046"/>
      <c r="F64" s="1046"/>
      <c r="G64" s="1047"/>
      <c r="H64" s="1020">
        <v>2.84</v>
      </c>
      <c r="I64" s="1021"/>
      <c r="J64" s="1021"/>
      <c r="K64" s="1022"/>
      <c r="L64" s="1020">
        <v>3</v>
      </c>
      <c r="M64" s="1021"/>
      <c r="N64" s="1021"/>
      <c r="O64" s="1022"/>
      <c r="P64" s="1020" t="s">
        <v>778</v>
      </c>
      <c r="Q64" s="1021"/>
      <c r="R64" s="1021"/>
      <c r="S64" s="1022"/>
      <c r="T64" s="1020">
        <v>0</v>
      </c>
      <c r="U64" s="1021"/>
      <c r="V64" s="1021"/>
      <c r="W64" s="1022"/>
      <c r="X64" s="880"/>
    </row>
    <row r="65" spans="1:24" ht="13.5" thickBot="1">
      <c r="A65" s="885"/>
      <c r="B65" s="885"/>
      <c r="C65" s="102" t="s">
        <v>283</v>
      </c>
      <c r="D65" s="1017"/>
      <c r="E65" s="1018"/>
      <c r="F65" s="1018"/>
      <c r="G65" s="1019"/>
      <c r="H65" s="1017"/>
      <c r="I65" s="1018"/>
      <c r="J65" s="1018"/>
      <c r="K65" s="1019"/>
      <c r="L65" s="1020">
        <v>1.6</v>
      </c>
      <c r="M65" s="1021"/>
      <c r="N65" s="1021"/>
      <c r="O65" s="1022"/>
      <c r="P65" s="1020">
        <v>2.1666666666666665</v>
      </c>
      <c r="Q65" s="1021"/>
      <c r="R65" s="1021"/>
      <c r="S65" s="1022"/>
      <c r="T65" s="1020">
        <v>0</v>
      </c>
      <c r="U65" s="1021"/>
      <c r="V65" s="1021"/>
      <c r="W65" s="1022"/>
      <c r="X65" s="880"/>
    </row>
    <row r="66" spans="1:24" ht="13.5" thickBot="1">
      <c r="A66" s="885"/>
      <c r="B66" s="885"/>
      <c r="C66" s="102" t="s">
        <v>284</v>
      </c>
      <c r="D66" s="1017"/>
      <c r="E66" s="1018"/>
      <c r="F66" s="1018"/>
      <c r="G66" s="1019"/>
      <c r="H66" s="1017"/>
      <c r="I66" s="1018"/>
      <c r="J66" s="1018"/>
      <c r="K66" s="1019"/>
      <c r="L66" s="1017"/>
      <c r="M66" s="1018"/>
      <c r="N66" s="1018"/>
      <c r="O66" s="1019"/>
      <c r="P66" s="1017"/>
      <c r="Q66" s="1018"/>
      <c r="R66" s="1018"/>
      <c r="S66" s="1019"/>
      <c r="T66" s="1020">
        <v>0</v>
      </c>
      <c r="U66" s="1021"/>
      <c r="V66" s="1021"/>
      <c r="W66" s="1022"/>
      <c r="X66" s="880"/>
    </row>
    <row r="67" spans="1:24" ht="13.5" thickBot="1">
      <c r="A67" s="885"/>
      <c r="B67" s="885"/>
      <c r="C67" s="998" t="s">
        <v>413</v>
      </c>
      <c r="D67" s="927" t="s">
        <v>4</v>
      </c>
      <c r="E67" s="928"/>
      <c r="F67" s="928"/>
      <c r="G67" s="928"/>
      <c r="H67" s="928"/>
      <c r="I67" s="928"/>
      <c r="J67" s="928"/>
      <c r="K67" s="928"/>
      <c r="L67" s="928"/>
      <c r="M67" s="928"/>
      <c r="N67" s="928"/>
      <c r="O67" s="928"/>
      <c r="P67" s="928"/>
      <c r="Q67" s="928"/>
      <c r="R67" s="928"/>
      <c r="S67" s="928"/>
      <c r="T67" s="928"/>
      <c r="U67" s="928"/>
      <c r="V67" s="928"/>
      <c r="W67" s="928"/>
      <c r="X67" s="880"/>
    </row>
    <row r="68" spans="1:24" ht="13.5" thickBot="1">
      <c r="A68" s="885"/>
      <c r="B68" s="869"/>
      <c r="C68" s="999"/>
      <c r="D68" s="930" t="s">
        <v>115</v>
      </c>
      <c r="E68" s="931"/>
      <c r="F68" s="931"/>
      <c r="G68" s="931"/>
      <c r="H68" s="931"/>
      <c r="I68" s="931"/>
      <c r="J68" s="931"/>
      <c r="K68" s="931"/>
      <c r="L68" s="931"/>
      <c r="M68" s="931"/>
      <c r="N68" s="931"/>
      <c r="O68" s="931"/>
      <c r="P68" s="931"/>
      <c r="Q68" s="931"/>
      <c r="R68" s="931"/>
      <c r="S68" s="931"/>
      <c r="T68" s="931"/>
      <c r="U68" s="931"/>
      <c r="V68" s="931"/>
      <c r="W68" s="932"/>
      <c r="X68" s="880"/>
    </row>
    <row r="69" spans="1:24" ht="13.5" thickBot="1">
      <c r="A69" s="885"/>
      <c r="B69" s="11" t="s">
        <v>38</v>
      </c>
      <c r="C69" s="12"/>
      <c r="D69" s="927" t="s">
        <v>78</v>
      </c>
      <c r="E69" s="928"/>
      <c r="F69" s="928"/>
      <c r="G69" s="929"/>
      <c r="H69" s="927" t="s">
        <v>77</v>
      </c>
      <c r="I69" s="928"/>
      <c r="J69" s="928"/>
      <c r="K69" s="929"/>
      <c r="L69" s="927" t="s">
        <v>81</v>
      </c>
      <c r="M69" s="928"/>
      <c r="N69" s="928"/>
      <c r="O69" s="929"/>
      <c r="P69" s="927" t="s">
        <v>254</v>
      </c>
      <c r="Q69" s="928"/>
      <c r="R69" s="928"/>
      <c r="S69" s="929"/>
      <c r="T69" s="927" t="s">
        <v>76</v>
      </c>
      <c r="U69" s="928"/>
      <c r="V69" s="928"/>
      <c r="W69" s="929"/>
      <c r="X69" s="880"/>
    </row>
    <row r="70" spans="1:24" ht="13.5" thickBot="1">
      <c r="A70" s="885"/>
      <c r="B70" s="868" t="s">
        <v>155</v>
      </c>
      <c r="C70" s="9" t="s">
        <v>235</v>
      </c>
      <c r="D70" s="933" t="s">
        <v>171</v>
      </c>
      <c r="E70" s="934"/>
      <c r="F70" s="934"/>
      <c r="G70" s="935"/>
      <c r="H70" s="966" t="s">
        <v>572</v>
      </c>
      <c r="I70" s="967"/>
      <c r="J70" s="967"/>
      <c r="K70" s="968"/>
      <c r="L70" s="1097">
        <v>3</v>
      </c>
      <c r="M70" s="1098"/>
      <c r="N70" s="1098"/>
      <c r="O70" s="1099"/>
      <c r="P70" s="1097">
        <v>3.2</v>
      </c>
      <c r="Q70" s="1098"/>
      <c r="R70" s="1098"/>
      <c r="S70" s="1099"/>
      <c r="T70" s="1097">
        <v>3.6</v>
      </c>
      <c r="U70" s="1098"/>
      <c r="V70" s="1098"/>
      <c r="W70" s="1099"/>
      <c r="X70" s="880"/>
    </row>
    <row r="71" spans="1:24" ht="12.95" customHeight="1" thickBot="1">
      <c r="A71" s="885"/>
      <c r="B71" s="885"/>
      <c r="C71" s="9" t="s">
        <v>233</v>
      </c>
      <c r="D71" s="957"/>
      <c r="E71" s="958"/>
      <c r="F71" s="958"/>
      <c r="G71" s="959"/>
      <c r="H71" s="966" t="s">
        <v>572</v>
      </c>
      <c r="I71" s="967"/>
      <c r="J71" s="967"/>
      <c r="K71" s="968"/>
      <c r="L71" s="1097">
        <v>2.6</v>
      </c>
      <c r="M71" s="1098"/>
      <c r="N71" s="1098"/>
      <c r="O71" s="1099"/>
      <c r="P71" s="1097">
        <v>2.9</v>
      </c>
      <c r="Q71" s="1098"/>
      <c r="R71" s="1098"/>
      <c r="S71" s="1099"/>
      <c r="T71" s="1097">
        <v>3.3</v>
      </c>
      <c r="U71" s="1098"/>
      <c r="V71" s="1098"/>
      <c r="W71" s="1099"/>
      <c r="X71" s="880"/>
    </row>
    <row r="72" spans="1:24" ht="12.95" customHeight="1" thickBot="1">
      <c r="A72" s="885"/>
      <c r="B72" s="885"/>
      <c r="C72" s="9" t="s">
        <v>234</v>
      </c>
      <c r="D72" s="957"/>
      <c r="E72" s="958"/>
      <c r="F72" s="958"/>
      <c r="G72" s="959"/>
      <c r="H72" s="957"/>
      <c r="I72" s="958"/>
      <c r="J72" s="958"/>
      <c r="K72" s="959"/>
      <c r="L72" s="1057" t="s">
        <v>443</v>
      </c>
      <c r="M72" s="1058"/>
      <c r="N72" s="1058"/>
      <c r="O72" s="1059"/>
      <c r="P72" s="1023">
        <v>0</v>
      </c>
      <c r="Q72" s="1024"/>
      <c r="R72" s="1024"/>
      <c r="S72" s="1025"/>
      <c r="T72" s="1023">
        <v>0</v>
      </c>
      <c r="U72" s="1024"/>
      <c r="V72" s="1024"/>
      <c r="W72" s="1025"/>
      <c r="X72" s="880"/>
    </row>
    <row r="73" spans="1:24" ht="13.5" thickBot="1">
      <c r="A73" s="885"/>
      <c r="B73" s="885"/>
      <c r="C73" s="102" t="s">
        <v>236</v>
      </c>
      <c r="D73" s="1011"/>
      <c r="E73" s="1012"/>
      <c r="F73" s="1012"/>
      <c r="G73" s="1013"/>
      <c r="H73" s="1011"/>
      <c r="I73" s="1012"/>
      <c r="J73" s="1012"/>
      <c r="K73" s="1013"/>
      <c r="L73" s="1011"/>
      <c r="M73" s="1012"/>
      <c r="N73" s="1012"/>
      <c r="O73" s="1013"/>
      <c r="P73" s="1020">
        <v>3.4800000000000004</v>
      </c>
      <c r="Q73" s="1021"/>
      <c r="R73" s="1021"/>
      <c r="S73" s="1022"/>
      <c r="T73" s="1020">
        <v>0</v>
      </c>
      <c r="U73" s="1021"/>
      <c r="V73" s="1021"/>
      <c r="W73" s="1022"/>
      <c r="X73" s="880"/>
    </row>
    <row r="74" spans="1:24" ht="13.5" thickBot="1">
      <c r="A74" s="885"/>
      <c r="B74" s="885"/>
      <c r="C74" s="102" t="s">
        <v>283</v>
      </c>
      <c r="D74" s="1017"/>
      <c r="E74" s="1018"/>
      <c r="F74" s="1018"/>
      <c r="G74" s="1019"/>
      <c r="H74" s="1017"/>
      <c r="I74" s="1018"/>
      <c r="J74" s="1018"/>
      <c r="K74" s="1019"/>
      <c r="L74" s="1011"/>
      <c r="M74" s="1012"/>
      <c r="N74" s="1012"/>
      <c r="O74" s="1013"/>
      <c r="P74" s="1020">
        <v>2.7666666666666671</v>
      </c>
      <c r="Q74" s="1021"/>
      <c r="R74" s="1021"/>
      <c r="S74" s="1022"/>
      <c r="T74" s="1020">
        <v>0</v>
      </c>
      <c r="U74" s="1021"/>
      <c r="V74" s="1021"/>
      <c r="W74" s="1022"/>
      <c r="X74" s="880"/>
    </row>
    <row r="75" spans="1:24" ht="13.5" thickBot="1">
      <c r="A75" s="885"/>
      <c r="B75" s="885"/>
      <c r="C75" s="102" t="s">
        <v>284</v>
      </c>
      <c r="D75" s="1017"/>
      <c r="E75" s="1018"/>
      <c r="F75" s="1018"/>
      <c r="G75" s="1019"/>
      <c r="H75" s="1017"/>
      <c r="I75" s="1018"/>
      <c r="J75" s="1018"/>
      <c r="K75" s="1019"/>
      <c r="L75" s="1017"/>
      <c r="M75" s="1018"/>
      <c r="N75" s="1018"/>
      <c r="O75" s="1019"/>
      <c r="P75" s="1017"/>
      <c r="Q75" s="1018"/>
      <c r="R75" s="1018"/>
      <c r="S75" s="1019"/>
      <c r="T75" s="1020">
        <v>0</v>
      </c>
      <c r="U75" s="1021"/>
      <c r="V75" s="1021"/>
      <c r="W75" s="1022"/>
      <c r="X75" s="880"/>
    </row>
    <row r="76" spans="1:24" ht="13.5" thickBot="1">
      <c r="A76" s="885"/>
      <c r="B76" s="885"/>
      <c r="C76" s="998" t="s">
        <v>413</v>
      </c>
      <c r="D76" s="927" t="s">
        <v>4</v>
      </c>
      <c r="E76" s="928"/>
      <c r="F76" s="928"/>
      <c r="G76" s="928"/>
      <c r="H76" s="928"/>
      <c r="I76" s="928"/>
      <c r="J76" s="928"/>
      <c r="K76" s="928"/>
      <c r="L76" s="928"/>
      <c r="M76" s="928"/>
      <c r="N76" s="928"/>
      <c r="O76" s="928"/>
      <c r="P76" s="928"/>
      <c r="Q76" s="928"/>
      <c r="R76" s="928"/>
      <c r="S76" s="928"/>
      <c r="T76" s="928"/>
      <c r="U76" s="928"/>
      <c r="V76" s="928"/>
      <c r="W76" s="928"/>
      <c r="X76" s="880"/>
    </row>
    <row r="77" spans="1:24" ht="13.5" thickBot="1">
      <c r="A77" s="885"/>
      <c r="B77" s="869"/>
      <c r="C77" s="999"/>
      <c r="D77" s="930" t="s">
        <v>115</v>
      </c>
      <c r="E77" s="931"/>
      <c r="F77" s="931"/>
      <c r="G77" s="931"/>
      <c r="H77" s="931"/>
      <c r="I77" s="931"/>
      <c r="J77" s="931"/>
      <c r="K77" s="931"/>
      <c r="L77" s="931"/>
      <c r="M77" s="931"/>
      <c r="N77" s="931"/>
      <c r="O77" s="931"/>
      <c r="P77" s="931"/>
      <c r="Q77" s="931"/>
      <c r="R77" s="931"/>
      <c r="S77" s="931"/>
      <c r="T77" s="931"/>
      <c r="U77" s="931"/>
      <c r="V77" s="931"/>
      <c r="W77" s="932"/>
      <c r="X77" s="880"/>
    </row>
    <row r="78" spans="1:24" ht="13.5" thickBot="1">
      <c r="A78" s="885"/>
      <c r="B78" s="11" t="s">
        <v>39</v>
      </c>
      <c r="C78" s="12"/>
      <c r="D78" s="927" t="s">
        <v>78</v>
      </c>
      <c r="E78" s="928"/>
      <c r="F78" s="928"/>
      <c r="G78" s="929"/>
      <c r="H78" s="927" t="s">
        <v>77</v>
      </c>
      <c r="I78" s="928"/>
      <c r="J78" s="928"/>
      <c r="K78" s="929"/>
      <c r="L78" s="927" t="s">
        <v>81</v>
      </c>
      <c r="M78" s="928"/>
      <c r="N78" s="928"/>
      <c r="O78" s="929"/>
      <c r="P78" s="927" t="s">
        <v>254</v>
      </c>
      <c r="Q78" s="928"/>
      <c r="R78" s="928"/>
      <c r="S78" s="929"/>
      <c r="T78" s="927" t="s">
        <v>76</v>
      </c>
      <c r="U78" s="928"/>
      <c r="V78" s="928"/>
      <c r="W78" s="929"/>
      <c r="X78" s="880"/>
    </row>
    <row r="79" spans="1:24" ht="42.95" customHeight="1" thickBot="1">
      <c r="A79" s="885"/>
      <c r="B79" s="978" t="s">
        <v>575</v>
      </c>
      <c r="C79" s="9"/>
      <c r="D79" s="20" t="s">
        <v>105</v>
      </c>
      <c r="E79" s="20" t="s">
        <v>579</v>
      </c>
      <c r="F79" s="20" t="s">
        <v>580</v>
      </c>
      <c r="G79" s="20" t="s">
        <v>581</v>
      </c>
      <c r="H79" s="20" t="s">
        <v>105</v>
      </c>
      <c r="I79" s="20" t="s">
        <v>579</v>
      </c>
      <c r="J79" s="20" t="s">
        <v>580</v>
      </c>
      <c r="K79" s="20" t="s">
        <v>581</v>
      </c>
      <c r="L79" s="20" t="s">
        <v>105</v>
      </c>
      <c r="M79" s="20" t="s">
        <v>579</v>
      </c>
      <c r="N79" s="20" t="s">
        <v>580</v>
      </c>
      <c r="O79" s="20" t="s">
        <v>581</v>
      </c>
      <c r="P79" s="20" t="s">
        <v>105</v>
      </c>
      <c r="Q79" s="20" t="s">
        <v>579</v>
      </c>
      <c r="R79" s="20" t="s">
        <v>580</v>
      </c>
      <c r="S79" s="20" t="s">
        <v>581</v>
      </c>
      <c r="T79" s="20" t="s">
        <v>105</v>
      </c>
      <c r="U79" s="20" t="s">
        <v>579</v>
      </c>
      <c r="V79" s="20" t="s">
        <v>580</v>
      </c>
      <c r="W79" s="20" t="s">
        <v>581</v>
      </c>
      <c r="X79" s="880"/>
    </row>
    <row r="80" spans="1:24" ht="13.5" thickBot="1">
      <c r="A80" s="885"/>
      <c r="B80" s="979"/>
      <c r="C80" s="9" t="s">
        <v>247</v>
      </c>
      <c r="D80" s="2">
        <v>0</v>
      </c>
      <c r="E80" s="2">
        <v>0</v>
      </c>
      <c r="F80" s="2">
        <v>0</v>
      </c>
      <c r="G80" s="2">
        <v>0</v>
      </c>
      <c r="H80" s="2">
        <v>10</v>
      </c>
      <c r="I80" s="2">
        <v>5</v>
      </c>
      <c r="J80" s="2">
        <v>0</v>
      </c>
      <c r="K80" s="2">
        <v>0</v>
      </c>
      <c r="L80" s="2">
        <v>20</v>
      </c>
      <c r="M80" s="2">
        <v>10</v>
      </c>
      <c r="N80" s="2">
        <v>5</v>
      </c>
      <c r="O80" s="2">
        <v>2</v>
      </c>
      <c r="P80" s="2">
        <v>35</v>
      </c>
      <c r="Q80" s="2">
        <v>18</v>
      </c>
      <c r="R80" s="166">
        <v>10</v>
      </c>
      <c r="S80" s="166">
        <v>5</v>
      </c>
      <c r="T80" s="2">
        <v>50</v>
      </c>
      <c r="U80" s="2">
        <v>25</v>
      </c>
      <c r="V80" s="166">
        <v>15</v>
      </c>
      <c r="W80" s="166">
        <v>8</v>
      </c>
      <c r="X80" s="880"/>
    </row>
    <row r="81" spans="1:24" ht="24.75" thickBot="1">
      <c r="A81" s="885"/>
      <c r="B81" s="175" t="s">
        <v>159</v>
      </c>
      <c r="C81" s="102" t="s">
        <v>246</v>
      </c>
      <c r="D81" s="1042" t="s">
        <v>416</v>
      </c>
      <c r="E81" s="1043"/>
      <c r="F81" s="1043"/>
      <c r="G81" s="1044"/>
      <c r="H81" s="117">
        <v>11</v>
      </c>
      <c r="I81" s="117">
        <v>6</v>
      </c>
      <c r="J81" s="117">
        <v>0</v>
      </c>
      <c r="K81" s="117">
        <v>0</v>
      </c>
      <c r="L81" s="117">
        <f>11+20</f>
        <v>31</v>
      </c>
      <c r="M81" s="117">
        <v>16</v>
      </c>
      <c r="N81" s="117">
        <v>6</v>
      </c>
      <c r="O81" s="117">
        <v>0</v>
      </c>
      <c r="P81" s="117">
        <v>75</v>
      </c>
      <c r="Q81" s="117">
        <v>39</v>
      </c>
      <c r="R81" s="117">
        <v>22</v>
      </c>
      <c r="S81" s="117">
        <v>4</v>
      </c>
      <c r="T81" s="117">
        <v>0</v>
      </c>
      <c r="U81" s="117">
        <v>0</v>
      </c>
      <c r="V81" s="117">
        <v>0</v>
      </c>
      <c r="W81" s="117">
        <v>0</v>
      </c>
      <c r="X81" s="880"/>
    </row>
    <row r="82" spans="1:24" ht="36.75" thickBot="1">
      <c r="A82" s="885"/>
      <c r="B82" s="183" t="s">
        <v>576</v>
      </c>
      <c r="C82" s="998" t="s">
        <v>413</v>
      </c>
      <c r="D82" s="927" t="s">
        <v>4</v>
      </c>
      <c r="E82" s="928"/>
      <c r="F82" s="928"/>
      <c r="G82" s="928"/>
      <c r="H82" s="928"/>
      <c r="I82" s="928"/>
      <c r="J82" s="928"/>
      <c r="K82" s="928"/>
      <c r="L82" s="928"/>
      <c r="M82" s="928"/>
      <c r="N82" s="928"/>
      <c r="O82" s="928"/>
      <c r="P82" s="928"/>
      <c r="Q82" s="928"/>
      <c r="R82" s="928"/>
      <c r="S82" s="928"/>
      <c r="T82" s="928"/>
      <c r="U82" s="928"/>
      <c r="V82" s="928"/>
      <c r="W82" s="928"/>
      <c r="X82" s="880"/>
    </row>
    <row r="83" spans="1:24" ht="13.5" thickBot="1">
      <c r="A83" s="869"/>
      <c r="B83" s="184" t="s">
        <v>577</v>
      </c>
      <c r="C83" s="999"/>
      <c r="D83" s="930" t="s">
        <v>126</v>
      </c>
      <c r="E83" s="931"/>
      <c r="F83" s="931"/>
      <c r="G83" s="931"/>
      <c r="H83" s="931"/>
      <c r="I83" s="931"/>
      <c r="J83" s="931"/>
      <c r="K83" s="931"/>
      <c r="L83" s="931"/>
      <c r="M83" s="931"/>
      <c r="N83" s="931"/>
      <c r="O83" s="931"/>
      <c r="P83" s="931"/>
      <c r="Q83" s="931"/>
      <c r="R83" s="931"/>
      <c r="S83" s="931"/>
      <c r="T83" s="931"/>
      <c r="U83" s="931"/>
      <c r="V83" s="931"/>
      <c r="W83" s="932"/>
      <c r="X83" s="881"/>
    </row>
    <row r="84" spans="1:24" ht="13.5" thickBot="1">
      <c r="A84" s="906" t="s">
        <v>7</v>
      </c>
      <c r="B84" s="908" t="s">
        <v>173</v>
      </c>
      <c r="C84" s="918"/>
      <c r="D84" s="908" t="s">
        <v>8</v>
      </c>
      <c r="E84" s="918"/>
      <c r="F84" s="918"/>
      <c r="G84" s="909"/>
      <c r="H84" s="908" t="s">
        <v>88</v>
      </c>
      <c r="I84" s="918"/>
      <c r="J84" s="918"/>
      <c r="K84" s="909"/>
      <c r="L84" s="908" t="s">
        <v>89</v>
      </c>
      <c r="M84" s="918"/>
      <c r="N84" s="918"/>
      <c r="O84" s="909"/>
      <c r="P84" s="908" t="s">
        <v>9</v>
      </c>
      <c r="Q84" s="918"/>
      <c r="R84" s="918"/>
      <c r="S84" s="909"/>
      <c r="T84" s="908" t="s">
        <v>174</v>
      </c>
      <c r="U84" s="918"/>
      <c r="V84" s="918"/>
      <c r="W84" s="918"/>
      <c r="X84" s="909"/>
    </row>
    <row r="85" spans="1:24" ht="13.5" thickBot="1">
      <c r="A85" s="907"/>
      <c r="B85" s="975">
        <f>SUM(B114+B143+B180+B228+B252)</f>
        <v>31000000</v>
      </c>
      <c r="C85" s="977"/>
      <c r="D85" s="975">
        <f>SUM(D114+D143+D180+D228+D252)</f>
        <v>2100000</v>
      </c>
      <c r="E85" s="977"/>
      <c r="F85" s="977">
        <f>SUM(F114+F143+F180+F228+F252)</f>
        <v>0</v>
      </c>
      <c r="G85" s="976"/>
      <c r="H85" s="975">
        <f>SUM(H114+H143+H180+H228+H252)</f>
        <v>13000000</v>
      </c>
      <c r="I85" s="977"/>
      <c r="J85" s="977">
        <f>SUM(J114+J143+J180+J228+J252)</f>
        <v>0</v>
      </c>
      <c r="K85" s="976"/>
      <c r="L85" s="975">
        <f>SUM(L114+L143+L180+L228+L252)</f>
        <v>11900000</v>
      </c>
      <c r="M85" s="977"/>
      <c r="N85" s="977">
        <f>SUM(N114+N143+N180+N228+N252)</f>
        <v>0</v>
      </c>
      <c r="O85" s="976"/>
      <c r="P85" s="975">
        <f>SUM(B85:O85)</f>
        <v>58000000</v>
      </c>
      <c r="Q85" s="977"/>
      <c r="R85" s="977"/>
      <c r="S85" s="976"/>
      <c r="T85" s="942">
        <f>B85/P85%</f>
        <v>53.448275862068968</v>
      </c>
      <c r="U85" s="943"/>
      <c r="V85" s="943"/>
      <c r="W85" s="943"/>
      <c r="X85" s="944"/>
    </row>
    <row r="86" spans="1:24" ht="13.5" thickBot="1">
      <c r="A86" s="906" t="s">
        <v>10</v>
      </c>
      <c r="B86" s="908" t="s">
        <v>175</v>
      </c>
      <c r="C86" s="918"/>
      <c r="D86" s="910"/>
      <c r="E86" s="911"/>
      <c r="F86" s="911"/>
      <c r="G86" s="911"/>
      <c r="H86" s="911"/>
      <c r="I86" s="911"/>
      <c r="J86" s="911"/>
      <c r="K86" s="911"/>
      <c r="L86" s="911"/>
      <c r="M86" s="911"/>
      <c r="N86" s="911"/>
      <c r="O86" s="911"/>
      <c r="P86" s="911"/>
      <c r="Q86" s="911"/>
      <c r="R86" s="911"/>
      <c r="S86" s="911"/>
      <c r="T86" s="911"/>
      <c r="U86" s="911"/>
      <c r="V86" s="911"/>
      <c r="W86" s="911"/>
      <c r="X86" s="912"/>
    </row>
    <row r="87" spans="1:24" ht="13.5" thickBot="1">
      <c r="A87" s="907"/>
      <c r="B87" s="916">
        <f>SUM(B116+B145+B182+B230+B254)</f>
        <v>0</v>
      </c>
      <c r="C87" s="994"/>
      <c r="D87" s="913"/>
      <c r="E87" s="914"/>
      <c r="F87" s="914"/>
      <c r="G87" s="914"/>
      <c r="H87" s="914"/>
      <c r="I87" s="914"/>
      <c r="J87" s="914"/>
      <c r="K87" s="914"/>
      <c r="L87" s="914"/>
      <c r="M87" s="914"/>
      <c r="N87" s="914"/>
      <c r="O87" s="914"/>
      <c r="P87" s="914"/>
      <c r="Q87" s="914"/>
      <c r="R87" s="914"/>
      <c r="S87" s="914"/>
      <c r="T87" s="914"/>
      <c r="U87" s="914"/>
      <c r="V87" s="914"/>
      <c r="W87" s="914"/>
      <c r="X87" s="915"/>
    </row>
    <row r="88" spans="1:24">
      <c r="A88" s="5"/>
      <c r="B88" s="5"/>
      <c r="C88" s="6"/>
      <c r="D88" s="5"/>
      <c r="E88" s="5"/>
      <c r="F88" s="5"/>
      <c r="G88" s="5"/>
      <c r="H88" s="5"/>
      <c r="I88" s="5"/>
      <c r="J88" s="5"/>
      <c r="K88" s="5"/>
      <c r="L88" s="5"/>
      <c r="M88" s="5"/>
      <c r="N88" s="5"/>
      <c r="O88" s="5"/>
      <c r="P88" s="5"/>
      <c r="Q88" s="5"/>
      <c r="R88" s="5"/>
      <c r="S88" s="5"/>
      <c r="T88" s="5"/>
      <c r="U88" s="5"/>
      <c r="V88" s="5"/>
      <c r="W88" s="5"/>
      <c r="X88" s="5"/>
    </row>
    <row r="89" spans="1:24" ht="13.5" thickBot="1">
      <c r="A89" s="21"/>
      <c r="B89" s="21"/>
      <c r="C89" s="22"/>
      <c r="D89" s="21"/>
      <c r="E89" s="21"/>
      <c r="F89" s="21"/>
      <c r="G89" s="21"/>
      <c r="H89" s="21"/>
      <c r="I89" s="21"/>
      <c r="J89" s="21"/>
      <c r="K89" s="21"/>
      <c r="L89" s="115"/>
      <c r="M89" s="21"/>
      <c r="N89" s="21"/>
      <c r="O89" s="21"/>
      <c r="P89" s="21"/>
      <c r="Q89" s="21"/>
      <c r="R89" s="21"/>
      <c r="S89" s="21"/>
      <c r="T89" s="21"/>
      <c r="U89" s="21"/>
      <c r="V89" s="21"/>
      <c r="W89" s="21"/>
      <c r="X89" s="21"/>
    </row>
    <row r="90" spans="1:24" ht="13.5" thickBot="1">
      <c r="A90" s="173" t="s">
        <v>11</v>
      </c>
      <c r="B90" s="172" t="s">
        <v>16</v>
      </c>
      <c r="C90" s="8"/>
      <c r="D90" s="927" t="s">
        <v>78</v>
      </c>
      <c r="E90" s="928"/>
      <c r="F90" s="928"/>
      <c r="G90" s="929"/>
      <c r="H90" s="927" t="s">
        <v>77</v>
      </c>
      <c r="I90" s="928"/>
      <c r="J90" s="928"/>
      <c r="K90" s="929"/>
      <c r="L90" s="927" t="s">
        <v>81</v>
      </c>
      <c r="M90" s="928"/>
      <c r="N90" s="928"/>
      <c r="O90" s="929"/>
      <c r="P90" s="927" t="s">
        <v>254</v>
      </c>
      <c r="Q90" s="928"/>
      <c r="R90" s="928"/>
      <c r="S90" s="929"/>
      <c r="T90" s="927" t="s">
        <v>76</v>
      </c>
      <c r="U90" s="928"/>
      <c r="V90" s="928"/>
      <c r="W90" s="929"/>
      <c r="X90" s="16" t="s">
        <v>12</v>
      </c>
    </row>
    <row r="91" spans="1:24" ht="13.5" thickBot="1">
      <c r="A91" s="868" t="s">
        <v>57</v>
      </c>
      <c r="B91" s="868" t="s">
        <v>58</v>
      </c>
      <c r="C91" s="9" t="s">
        <v>235</v>
      </c>
      <c r="D91" s="1014">
        <v>1</v>
      </c>
      <c r="E91" s="1015"/>
      <c r="F91" s="1015"/>
      <c r="G91" s="1016"/>
      <c r="H91" s="1014">
        <v>2.1</v>
      </c>
      <c r="I91" s="1015"/>
      <c r="J91" s="1015"/>
      <c r="K91" s="1016"/>
      <c r="L91" s="1094">
        <v>2.7</v>
      </c>
      <c r="M91" s="1095"/>
      <c r="N91" s="1095"/>
      <c r="O91" s="1096"/>
      <c r="P91" s="1036">
        <v>3.2</v>
      </c>
      <c r="Q91" s="1037"/>
      <c r="R91" s="1037"/>
      <c r="S91" s="1038"/>
      <c r="T91" s="1036">
        <v>3.7</v>
      </c>
      <c r="U91" s="1037"/>
      <c r="V91" s="1037"/>
      <c r="W91" s="1038"/>
      <c r="X91" s="879" t="s">
        <v>97</v>
      </c>
    </row>
    <row r="92" spans="1:24" ht="13.5" thickBot="1">
      <c r="A92" s="885"/>
      <c r="B92" s="885"/>
      <c r="C92" s="9" t="s">
        <v>233</v>
      </c>
      <c r="D92" s="966" t="s">
        <v>255</v>
      </c>
      <c r="E92" s="967"/>
      <c r="F92" s="967"/>
      <c r="G92" s="968"/>
      <c r="H92" s="1014">
        <v>1</v>
      </c>
      <c r="I92" s="1015"/>
      <c r="J92" s="1015"/>
      <c r="K92" s="1016"/>
      <c r="L92" s="1094">
        <v>1.1666666666666667</v>
      </c>
      <c r="M92" s="1095"/>
      <c r="N92" s="1095"/>
      <c r="O92" s="1096"/>
      <c r="P92" s="1036">
        <v>1.5</v>
      </c>
      <c r="Q92" s="1037"/>
      <c r="R92" s="1037"/>
      <c r="S92" s="1038"/>
      <c r="T92" s="1036">
        <v>2.5</v>
      </c>
      <c r="U92" s="1037"/>
      <c r="V92" s="1037"/>
      <c r="W92" s="1038"/>
      <c r="X92" s="880"/>
    </row>
    <row r="93" spans="1:24" ht="12.95" customHeight="1" thickBot="1">
      <c r="A93" s="885"/>
      <c r="B93" s="885"/>
      <c r="C93" s="9" t="s">
        <v>234</v>
      </c>
      <c r="D93" s="957"/>
      <c r="E93" s="958"/>
      <c r="F93" s="958"/>
      <c r="G93" s="959"/>
      <c r="H93" s="957"/>
      <c r="I93" s="958"/>
      <c r="J93" s="958"/>
      <c r="K93" s="959"/>
      <c r="L93" s="1057" t="s">
        <v>443</v>
      </c>
      <c r="M93" s="1058"/>
      <c r="N93" s="1058"/>
      <c r="O93" s="1059"/>
      <c r="P93" s="1023">
        <v>0</v>
      </c>
      <c r="Q93" s="1024"/>
      <c r="R93" s="1024"/>
      <c r="S93" s="1025"/>
      <c r="T93" s="1023">
        <v>0</v>
      </c>
      <c r="U93" s="1024"/>
      <c r="V93" s="1024"/>
      <c r="W93" s="1025"/>
      <c r="X93" s="880"/>
    </row>
    <row r="94" spans="1:24" ht="13.5" thickBot="1">
      <c r="A94" s="885"/>
      <c r="B94" s="885"/>
      <c r="C94" s="102" t="s">
        <v>236</v>
      </c>
      <c r="D94" s="1008" t="s">
        <v>416</v>
      </c>
      <c r="E94" s="1009"/>
      <c r="F94" s="1009"/>
      <c r="G94" s="1010"/>
      <c r="H94" s="1020">
        <v>2.7</v>
      </c>
      <c r="I94" s="1021"/>
      <c r="J94" s="1021"/>
      <c r="K94" s="1022"/>
      <c r="L94" s="1020">
        <v>2.5</v>
      </c>
      <c r="M94" s="1021"/>
      <c r="N94" s="1021"/>
      <c r="O94" s="1022"/>
      <c r="P94" s="1020" t="s">
        <v>779</v>
      </c>
      <c r="Q94" s="1021"/>
      <c r="R94" s="1021"/>
      <c r="S94" s="1022"/>
      <c r="T94" s="1020">
        <v>0</v>
      </c>
      <c r="U94" s="1021"/>
      <c r="V94" s="1021"/>
      <c r="W94" s="1022"/>
      <c r="X94" s="880"/>
    </row>
    <row r="95" spans="1:24" ht="13.5" thickBot="1">
      <c r="A95" s="885"/>
      <c r="B95" s="885"/>
      <c r="C95" s="102" t="s">
        <v>283</v>
      </c>
      <c r="D95" s="1017"/>
      <c r="E95" s="1018"/>
      <c r="F95" s="1018"/>
      <c r="G95" s="1019"/>
      <c r="H95" s="1017"/>
      <c r="I95" s="1018"/>
      <c r="J95" s="1018"/>
      <c r="K95" s="1019"/>
      <c r="L95" s="1020">
        <v>1.2</v>
      </c>
      <c r="M95" s="1021"/>
      <c r="N95" s="1021"/>
      <c r="O95" s="1022"/>
      <c r="P95" s="1020" t="s">
        <v>780</v>
      </c>
      <c r="Q95" s="1021"/>
      <c r="R95" s="1021"/>
      <c r="S95" s="1022"/>
      <c r="T95" s="1020">
        <v>0</v>
      </c>
      <c r="U95" s="1021"/>
      <c r="V95" s="1021"/>
      <c r="W95" s="1022"/>
      <c r="X95" s="880"/>
    </row>
    <row r="96" spans="1:24" ht="13.5" thickBot="1">
      <c r="A96" s="885"/>
      <c r="B96" s="885"/>
      <c r="C96" s="102" t="s">
        <v>284</v>
      </c>
      <c r="D96" s="1017"/>
      <c r="E96" s="1018"/>
      <c r="F96" s="1018"/>
      <c r="G96" s="1019"/>
      <c r="H96" s="1017"/>
      <c r="I96" s="1018"/>
      <c r="J96" s="1018"/>
      <c r="K96" s="1019"/>
      <c r="L96" s="1017"/>
      <c r="M96" s="1018"/>
      <c r="N96" s="1018"/>
      <c r="O96" s="1019"/>
      <c r="P96" s="1017"/>
      <c r="Q96" s="1018"/>
      <c r="R96" s="1018"/>
      <c r="S96" s="1019"/>
      <c r="T96" s="1020">
        <v>0</v>
      </c>
      <c r="U96" s="1021"/>
      <c r="V96" s="1021"/>
      <c r="W96" s="1022"/>
      <c r="X96" s="880"/>
    </row>
    <row r="97" spans="1:24" ht="13.5" thickBot="1">
      <c r="A97" s="885"/>
      <c r="B97" s="885"/>
      <c r="C97" s="998" t="s">
        <v>413</v>
      </c>
      <c r="D97" s="927" t="s">
        <v>4</v>
      </c>
      <c r="E97" s="928"/>
      <c r="F97" s="928"/>
      <c r="G97" s="928"/>
      <c r="H97" s="928"/>
      <c r="I97" s="928"/>
      <c r="J97" s="928"/>
      <c r="K97" s="928"/>
      <c r="L97" s="928"/>
      <c r="M97" s="928"/>
      <c r="N97" s="928"/>
      <c r="O97" s="928"/>
      <c r="P97" s="928"/>
      <c r="Q97" s="928"/>
      <c r="R97" s="928"/>
      <c r="S97" s="928"/>
      <c r="T97" s="928"/>
      <c r="U97" s="928"/>
      <c r="V97" s="928"/>
      <c r="W97" s="929"/>
      <c r="X97" s="880"/>
    </row>
    <row r="98" spans="1:24" ht="24" customHeight="1" thickBot="1">
      <c r="A98" s="885"/>
      <c r="B98" s="869"/>
      <c r="C98" s="999"/>
      <c r="D98" s="930" t="s">
        <v>120</v>
      </c>
      <c r="E98" s="931"/>
      <c r="F98" s="931"/>
      <c r="G98" s="931"/>
      <c r="H98" s="931"/>
      <c r="I98" s="931"/>
      <c r="J98" s="931"/>
      <c r="K98" s="931"/>
      <c r="L98" s="931"/>
      <c r="M98" s="931"/>
      <c r="N98" s="931"/>
      <c r="O98" s="931"/>
      <c r="P98" s="931"/>
      <c r="Q98" s="931"/>
      <c r="R98" s="931"/>
      <c r="S98" s="931"/>
      <c r="T98" s="931"/>
      <c r="U98" s="931"/>
      <c r="V98" s="931"/>
      <c r="W98" s="932"/>
      <c r="X98" s="880"/>
    </row>
    <row r="99" spans="1:24" ht="13.5" thickBot="1">
      <c r="A99" s="885"/>
      <c r="B99" s="11" t="s">
        <v>17</v>
      </c>
      <c r="C99" s="12"/>
      <c r="D99" s="927" t="s">
        <v>78</v>
      </c>
      <c r="E99" s="928"/>
      <c r="F99" s="928"/>
      <c r="G99" s="929"/>
      <c r="H99" s="927" t="s">
        <v>77</v>
      </c>
      <c r="I99" s="928"/>
      <c r="J99" s="928"/>
      <c r="K99" s="929"/>
      <c r="L99" s="927" t="s">
        <v>81</v>
      </c>
      <c r="M99" s="928"/>
      <c r="N99" s="928"/>
      <c r="O99" s="929"/>
      <c r="P99" s="927" t="s">
        <v>254</v>
      </c>
      <c r="Q99" s="928"/>
      <c r="R99" s="928"/>
      <c r="S99" s="929"/>
      <c r="T99" s="927" t="s">
        <v>76</v>
      </c>
      <c r="U99" s="928"/>
      <c r="V99" s="928"/>
      <c r="W99" s="929"/>
      <c r="X99" s="880"/>
    </row>
    <row r="100" spans="1:24" ht="13.5" thickBot="1">
      <c r="A100" s="885"/>
      <c r="B100" s="868" t="s">
        <v>59</v>
      </c>
      <c r="C100" s="9" t="s">
        <v>235</v>
      </c>
      <c r="D100" s="1014">
        <v>1</v>
      </c>
      <c r="E100" s="1015"/>
      <c r="F100" s="1015"/>
      <c r="G100" s="1016"/>
      <c r="H100" s="1014">
        <v>2.1</v>
      </c>
      <c r="I100" s="1015"/>
      <c r="J100" s="1015"/>
      <c r="K100" s="1016"/>
      <c r="L100" s="1094">
        <v>2.7</v>
      </c>
      <c r="M100" s="1095"/>
      <c r="N100" s="1095"/>
      <c r="O100" s="1096"/>
      <c r="P100" s="1036">
        <v>3.3</v>
      </c>
      <c r="Q100" s="1037"/>
      <c r="R100" s="1037"/>
      <c r="S100" s="1038"/>
      <c r="T100" s="1036">
        <v>3.9</v>
      </c>
      <c r="U100" s="1037"/>
      <c r="V100" s="1037"/>
      <c r="W100" s="1038"/>
      <c r="X100" s="880"/>
    </row>
    <row r="101" spans="1:24" ht="13.5" thickBot="1">
      <c r="A101" s="885"/>
      <c r="B101" s="885"/>
      <c r="C101" s="9" t="s">
        <v>233</v>
      </c>
      <c r="D101" s="966" t="s">
        <v>255</v>
      </c>
      <c r="E101" s="967"/>
      <c r="F101" s="967"/>
      <c r="G101" s="968"/>
      <c r="H101" s="1014">
        <v>1</v>
      </c>
      <c r="I101" s="1015"/>
      <c r="J101" s="1015"/>
      <c r="K101" s="1016"/>
      <c r="L101" s="1094">
        <v>1</v>
      </c>
      <c r="M101" s="1095"/>
      <c r="N101" s="1095"/>
      <c r="O101" s="1096"/>
      <c r="P101" s="1036">
        <v>1.4</v>
      </c>
      <c r="Q101" s="1037"/>
      <c r="R101" s="1037"/>
      <c r="S101" s="1038"/>
      <c r="T101" s="1036">
        <v>2.4</v>
      </c>
      <c r="U101" s="1037"/>
      <c r="V101" s="1037"/>
      <c r="W101" s="1038"/>
      <c r="X101" s="880"/>
    </row>
    <row r="102" spans="1:24" ht="12.95" customHeight="1" thickBot="1">
      <c r="A102" s="885"/>
      <c r="B102" s="885"/>
      <c r="C102" s="9" t="s">
        <v>234</v>
      </c>
      <c r="D102" s="957"/>
      <c r="E102" s="958"/>
      <c r="F102" s="958"/>
      <c r="G102" s="959"/>
      <c r="H102" s="957"/>
      <c r="I102" s="958"/>
      <c r="J102" s="958"/>
      <c r="K102" s="959"/>
      <c r="L102" s="1057" t="s">
        <v>443</v>
      </c>
      <c r="M102" s="1058"/>
      <c r="N102" s="1058"/>
      <c r="O102" s="1059"/>
      <c r="P102" s="1023">
        <v>0</v>
      </c>
      <c r="Q102" s="1024"/>
      <c r="R102" s="1024"/>
      <c r="S102" s="1025"/>
      <c r="T102" s="1023">
        <v>0</v>
      </c>
      <c r="U102" s="1024"/>
      <c r="V102" s="1024"/>
      <c r="W102" s="1025"/>
      <c r="X102" s="880"/>
    </row>
    <row r="103" spans="1:24" ht="13.5" thickBot="1">
      <c r="A103" s="885"/>
      <c r="B103" s="885"/>
      <c r="C103" s="102" t="s">
        <v>236</v>
      </c>
      <c r="D103" s="1008" t="s">
        <v>416</v>
      </c>
      <c r="E103" s="1009"/>
      <c r="F103" s="1009"/>
      <c r="G103" s="1010"/>
      <c r="H103" s="1020">
        <v>2.6</v>
      </c>
      <c r="I103" s="1021"/>
      <c r="J103" s="1021"/>
      <c r="K103" s="1022"/>
      <c r="L103" s="1020">
        <v>2.8</v>
      </c>
      <c r="M103" s="1021"/>
      <c r="N103" s="1021"/>
      <c r="O103" s="1022"/>
      <c r="P103" s="1020" t="s">
        <v>781</v>
      </c>
      <c r="Q103" s="1021"/>
      <c r="R103" s="1021"/>
      <c r="S103" s="1022"/>
      <c r="T103" s="1020">
        <v>0</v>
      </c>
      <c r="U103" s="1021"/>
      <c r="V103" s="1021"/>
      <c r="W103" s="1022"/>
      <c r="X103" s="880"/>
    </row>
    <row r="104" spans="1:24" ht="13.5" thickBot="1">
      <c r="A104" s="885"/>
      <c r="B104" s="885"/>
      <c r="C104" s="102" t="s">
        <v>283</v>
      </c>
      <c r="D104" s="1017"/>
      <c r="E104" s="1018"/>
      <c r="F104" s="1018"/>
      <c r="G104" s="1019"/>
      <c r="H104" s="1017"/>
      <c r="I104" s="1018"/>
      <c r="J104" s="1018"/>
      <c r="K104" s="1019"/>
      <c r="L104" s="1020">
        <v>1</v>
      </c>
      <c r="M104" s="1021"/>
      <c r="N104" s="1021"/>
      <c r="O104" s="1022"/>
      <c r="P104" s="1020" t="s">
        <v>782</v>
      </c>
      <c r="Q104" s="1021"/>
      <c r="R104" s="1021"/>
      <c r="S104" s="1022"/>
      <c r="T104" s="1020">
        <v>0</v>
      </c>
      <c r="U104" s="1021"/>
      <c r="V104" s="1021"/>
      <c r="W104" s="1022"/>
      <c r="X104" s="880"/>
    </row>
    <row r="105" spans="1:24" ht="13.5" thickBot="1">
      <c r="A105" s="885"/>
      <c r="B105" s="885"/>
      <c r="C105" s="102" t="s">
        <v>284</v>
      </c>
      <c r="D105" s="1017"/>
      <c r="E105" s="1018"/>
      <c r="F105" s="1018"/>
      <c r="G105" s="1019"/>
      <c r="H105" s="1017"/>
      <c r="I105" s="1018"/>
      <c r="J105" s="1018"/>
      <c r="K105" s="1019"/>
      <c r="L105" s="1017"/>
      <c r="M105" s="1018"/>
      <c r="N105" s="1018"/>
      <c r="O105" s="1019"/>
      <c r="P105" s="1017"/>
      <c r="Q105" s="1018"/>
      <c r="R105" s="1018"/>
      <c r="S105" s="1019"/>
      <c r="T105" s="1020">
        <v>0</v>
      </c>
      <c r="U105" s="1021"/>
      <c r="V105" s="1021"/>
      <c r="W105" s="1022"/>
      <c r="X105" s="880"/>
    </row>
    <row r="106" spans="1:24" ht="13.5" thickBot="1">
      <c r="A106" s="885"/>
      <c r="B106" s="885"/>
      <c r="C106" s="998" t="s">
        <v>413</v>
      </c>
      <c r="D106" s="927" t="s">
        <v>4</v>
      </c>
      <c r="E106" s="928"/>
      <c r="F106" s="928"/>
      <c r="G106" s="928"/>
      <c r="H106" s="928"/>
      <c r="I106" s="928"/>
      <c r="J106" s="928"/>
      <c r="K106" s="928"/>
      <c r="L106" s="928"/>
      <c r="M106" s="928"/>
      <c r="N106" s="928"/>
      <c r="O106" s="928"/>
      <c r="P106" s="928"/>
      <c r="Q106" s="928"/>
      <c r="R106" s="928"/>
      <c r="S106" s="928"/>
      <c r="T106" s="928"/>
      <c r="U106" s="928"/>
      <c r="V106" s="928"/>
      <c r="W106" s="929"/>
      <c r="X106" s="880"/>
    </row>
    <row r="107" spans="1:24" ht="13.5" thickBot="1">
      <c r="A107" s="885"/>
      <c r="B107" s="869"/>
      <c r="C107" s="999"/>
      <c r="D107" s="930" t="s">
        <v>118</v>
      </c>
      <c r="E107" s="931"/>
      <c r="F107" s="931"/>
      <c r="G107" s="931"/>
      <c r="H107" s="931"/>
      <c r="I107" s="931"/>
      <c r="J107" s="931"/>
      <c r="K107" s="931"/>
      <c r="L107" s="931"/>
      <c r="M107" s="931"/>
      <c r="N107" s="931"/>
      <c r="O107" s="931"/>
      <c r="P107" s="931"/>
      <c r="Q107" s="931"/>
      <c r="R107" s="931"/>
      <c r="S107" s="931"/>
      <c r="T107" s="931"/>
      <c r="U107" s="931"/>
      <c r="V107" s="931"/>
      <c r="W107" s="932"/>
      <c r="X107" s="880"/>
    </row>
    <row r="108" spans="1:24" ht="13.5" thickBot="1">
      <c r="A108" s="885"/>
      <c r="B108" s="11" t="s">
        <v>18</v>
      </c>
      <c r="C108" s="12"/>
      <c r="D108" s="927" t="s">
        <v>78</v>
      </c>
      <c r="E108" s="928"/>
      <c r="F108" s="928"/>
      <c r="G108" s="929"/>
      <c r="H108" s="927" t="s">
        <v>77</v>
      </c>
      <c r="I108" s="928"/>
      <c r="J108" s="928"/>
      <c r="K108" s="929"/>
      <c r="L108" s="927" t="s">
        <v>81</v>
      </c>
      <c r="M108" s="928"/>
      <c r="N108" s="928"/>
      <c r="O108" s="929"/>
      <c r="P108" s="927" t="s">
        <v>254</v>
      </c>
      <c r="Q108" s="928"/>
      <c r="R108" s="928"/>
      <c r="S108" s="929"/>
      <c r="T108" s="927" t="s">
        <v>76</v>
      </c>
      <c r="U108" s="928"/>
      <c r="V108" s="928"/>
      <c r="W108" s="929"/>
      <c r="X108" s="880"/>
    </row>
    <row r="109" spans="1:24" ht="13.5" thickBot="1">
      <c r="A109" s="885"/>
      <c r="B109" s="868" t="s">
        <v>60</v>
      </c>
      <c r="C109" s="9" t="s">
        <v>247</v>
      </c>
      <c r="D109" s="1000">
        <v>0</v>
      </c>
      <c r="E109" s="1001"/>
      <c r="F109" s="1001"/>
      <c r="G109" s="1002"/>
      <c r="H109" s="1000">
        <v>0</v>
      </c>
      <c r="I109" s="1001"/>
      <c r="J109" s="1001"/>
      <c r="K109" s="1002"/>
      <c r="L109" s="1000">
        <v>5</v>
      </c>
      <c r="M109" s="1001"/>
      <c r="N109" s="1001"/>
      <c r="O109" s="1002"/>
      <c r="P109" s="1000">
        <v>15</v>
      </c>
      <c r="Q109" s="1001"/>
      <c r="R109" s="1001"/>
      <c r="S109" s="1002"/>
      <c r="T109" s="1000">
        <v>30</v>
      </c>
      <c r="U109" s="1001"/>
      <c r="V109" s="1001"/>
      <c r="W109" s="1002"/>
      <c r="X109" s="880"/>
    </row>
    <row r="110" spans="1:24" ht="13.5" thickBot="1">
      <c r="A110" s="869"/>
      <c r="B110" s="885"/>
      <c r="C110" s="102" t="s">
        <v>246</v>
      </c>
      <c r="D110" s="1003" t="s">
        <v>172</v>
      </c>
      <c r="E110" s="1004"/>
      <c r="F110" s="1004"/>
      <c r="G110" s="1005"/>
      <c r="H110" s="1003" t="s">
        <v>417</v>
      </c>
      <c r="I110" s="1004"/>
      <c r="J110" s="1004"/>
      <c r="K110" s="1005"/>
      <c r="L110" s="995">
        <v>11</v>
      </c>
      <c r="M110" s="996"/>
      <c r="N110" s="996"/>
      <c r="O110" s="997"/>
      <c r="P110" s="995" t="s">
        <v>783</v>
      </c>
      <c r="Q110" s="996"/>
      <c r="R110" s="996"/>
      <c r="S110" s="997"/>
      <c r="T110" s="995">
        <v>0</v>
      </c>
      <c r="U110" s="996"/>
      <c r="V110" s="996"/>
      <c r="W110" s="997"/>
      <c r="X110" s="881"/>
    </row>
    <row r="111" spans="1:24" ht="13.5" thickBot="1">
      <c r="A111" s="174" t="s">
        <v>13</v>
      </c>
      <c r="B111" s="885"/>
      <c r="C111" s="998" t="s">
        <v>413</v>
      </c>
      <c r="D111" s="927" t="s">
        <v>4</v>
      </c>
      <c r="E111" s="928"/>
      <c r="F111" s="928"/>
      <c r="G111" s="928"/>
      <c r="H111" s="928"/>
      <c r="I111" s="928"/>
      <c r="J111" s="928"/>
      <c r="K111" s="928"/>
      <c r="L111" s="928"/>
      <c r="M111" s="928"/>
      <c r="N111" s="928"/>
      <c r="O111" s="928"/>
      <c r="P111" s="928"/>
      <c r="Q111" s="928"/>
      <c r="R111" s="928"/>
      <c r="S111" s="928"/>
      <c r="T111" s="928"/>
      <c r="U111" s="928"/>
      <c r="V111" s="928"/>
      <c r="W111" s="929"/>
      <c r="X111" s="24" t="s">
        <v>14</v>
      </c>
    </row>
    <row r="112" spans="1:24" ht="13.5" thickBot="1">
      <c r="A112" s="25" t="s">
        <v>75</v>
      </c>
      <c r="B112" s="869"/>
      <c r="C112" s="999"/>
      <c r="D112" s="930" t="s">
        <v>119</v>
      </c>
      <c r="E112" s="931"/>
      <c r="F112" s="931"/>
      <c r="G112" s="931"/>
      <c r="H112" s="931"/>
      <c r="I112" s="931"/>
      <c r="J112" s="931"/>
      <c r="K112" s="931"/>
      <c r="L112" s="931"/>
      <c r="M112" s="931"/>
      <c r="N112" s="931"/>
      <c r="O112" s="931"/>
      <c r="P112" s="931"/>
      <c r="Q112" s="931"/>
      <c r="R112" s="931"/>
      <c r="S112" s="931"/>
      <c r="T112" s="931"/>
      <c r="U112" s="931"/>
      <c r="V112" s="931"/>
      <c r="W112" s="932"/>
      <c r="X112" s="18" t="s">
        <v>92</v>
      </c>
    </row>
    <row r="113" spans="1:24" ht="13.5" thickBot="1">
      <c r="A113" s="906" t="s">
        <v>7</v>
      </c>
      <c r="B113" s="908" t="s">
        <v>173</v>
      </c>
      <c r="C113" s="918"/>
      <c r="D113" s="908" t="s">
        <v>8</v>
      </c>
      <c r="E113" s="918"/>
      <c r="F113" s="918"/>
      <c r="G113" s="909"/>
      <c r="H113" s="908" t="s">
        <v>88</v>
      </c>
      <c r="I113" s="918"/>
      <c r="J113" s="918"/>
      <c r="K113" s="909"/>
      <c r="L113" s="908" t="s">
        <v>89</v>
      </c>
      <c r="M113" s="918"/>
      <c r="N113" s="918"/>
      <c r="O113" s="909"/>
      <c r="P113" s="908" t="s">
        <v>9</v>
      </c>
      <c r="Q113" s="918"/>
      <c r="R113" s="918"/>
      <c r="S113" s="909"/>
      <c r="T113" s="908" t="s">
        <v>174</v>
      </c>
      <c r="U113" s="918"/>
      <c r="V113" s="918"/>
      <c r="W113" s="918"/>
      <c r="X113" s="909"/>
    </row>
    <row r="114" spans="1:24" ht="13.5" thickBot="1">
      <c r="A114" s="907"/>
      <c r="B114" s="919">
        <v>6200000</v>
      </c>
      <c r="C114" s="921"/>
      <c r="D114" s="919">
        <v>900000</v>
      </c>
      <c r="E114" s="921"/>
      <c r="F114" s="921"/>
      <c r="G114" s="920"/>
      <c r="H114" s="919">
        <v>1800000</v>
      </c>
      <c r="I114" s="921"/>
      <c r="J114" s="921"/>
      <c r="K114" s="920"/>
      <c r="L114" s="919">
        <v>3300000</v>
      </c>
      <c r="M114" s="921"/>
      <c r="N114" s="921"/>
      <c r="O114" s="920"/>
      <c r="P114" s="919">
        <f>SUM(B114:O114)</f>
        <v>12200000</v>
      </c>
      <c r="Q114" s="921"/>
      <c r="R114" s="921"/>
      <c r="S114" s="920"/>
      <c r="T114" s="942">
        <f>B114/P114%</f>
        <v>50.819672131147541</v>
      </c>
      <c r="U114" s="943"/>
      <c r="V114" s="943"/>
      <c r="W114" s="943"/>
      <c r="X114" s="944"/>
    </row>
    <row r="115" spans="1:24" ht="13.5" thickBot="1">
      <c r="A115" s="906" t="s">
        <v>10</v>
      </c>
      <c r="B115" s="908" t="s">
        <v>175</v>
      </c>
      <c r="C115" s="918"/>
      <c r="D115" s="910"/>
      <c r="E115" s="911"/>
      <c r="F115" s="911"/>
      <c r="G115" s="911"/>
      <c r="H115" s="911"/>
      <c r="I115" s="911"/>
      <c r="J115" s="911"/>
      <c r="K115" s="911"/>
      <c r="L115" s="911"/>
      <c r="M115" s="911"/>
      <c r="N115" s="911"/>
      <c r="O115" s="911"/>
      <c r="P115" s="911"/>
      <c r="Q115" s="911"/>
      <c r="R115" s="911"/>
      <c r="S115" s="911"/>
      <c r="T115" s="911"/>
      <c r="U115" s="911"/>
      <c r="V115" s="911"/>
      <c r="W115" s="911"/>
      <c r="X115" s="912"/>
    </row>
    <row r="116" spans="1:24" ht="13.5" thickBot="1">
      <c r="A116" s="907"/>
      <c r="B116" s="916"/>
      <c r="C116" s="994"/>
      <c r="D116" s="913"/>
      <c r="E116" s="914"/>
      <c r="F116" s="914"/>
      <c r="G116" s="914"/>
      <c r="H116" s="914"/>
      <c r="I116" s="914"/>
      <c r="J116" s="914"/>
      <c r="K116" s="914"/>
      <c r="L116" s="914"/>
      <c r="M116" s="914"/>
      <c r="N116" s="914"/>
      <c r="O116" s="914"/>
      <c r="P116" s="914"/>
      <c r="Q116" s="914"/>
      <c r="R116" s="914"/>
      <c r="S116" s="914"/>
      <c r="T116" s="914"/>
      <c r="U116" s="914"/>
      <c r="V116" s="914"/>
      <c r="W116" s="914"/>
      <c r="X116" s="915"/>
    </row>
    <row r="117" spans="1:24">
      <c r="A117" s="5"/>
      <c r="B117" s="5"/>
      <c r="C117" s="6"/>
      <c r="D117" s="5"/>
      <c r="E117" s="5"/>
      <c r="F117" s="5"/>
      <c r="G117" s="5"/>
      <c r="H117" s="5"/>
      <c r="I117" s="5"/>
      <c r="J117" s="5"/>
      <c r="K117" s="5"/>
      <c r="L117" s="5"/>
      <c r="M117" s="5"/>
      <c r="N117" s="5"/>
      <c r="O117" s="5"/>
      <c r="P117" s="5"/>
      <c r="Q117" s="5"/>
      <c r="R117" s="5"/>
      <c r="S117" s="5"/>
      <c r="T117" s="5"/>
      <c r="U117" s="5"/>
      <c r="V117" s="5"/>
      <c r="W117" s="5"/>
      <c r="X117" s="5"/>
    </row>
    <row r="118" spans="1:24" ht="13.5" thickBot="1">
      <c r="A118" s="5"/>
      <c r="B118" s="5"/>
      <c r="C118" s="6"/>
      <c r="D118" s="5"/>
      <c r="E118" s="5"/>
      <c r="F118" s="5"/>
      <c r="G118" s="5"/>
      <c r="H118" s="5"/>
      <c r="I118" s="5"/>
      <c r="J118" s="5"/>
      <c r="K118" s="5"/>
      <c r="L118" s="115"/>
      <c r="M118" s="5"/>
      <c r="N118" s="5"/>
      <c r="O118" s="5"/>
      <c r="P118" s="5"/>
      <c r="Q118" s="5"/>
      <c r="R118" s="5"/>
      <c r="S118" s="5"/>
      <c r="T118" s="5"/>
      <c r="U118" s="5"/>
      <c r="V118" s="5"/>
      <c r="W118" s="5"/>
      <c r="X118" s="5"/>
    </row>
    <row r="119" spans="1:24" ht="13.5" thickBot="1">
      <c r="A119" s="173" t="s">
        <v>15</v>
      </c>
      <c r="B119" s="172" t="s">
        <v>19</v>
      </c>
      <c r="C119" s="8"/>
      <c r="D119" s="927" t="s">
        <v>78</v>
      </c>
      <c r="E119" s="928"/>
      <c r="F119" s="928"/>
      <c r="G119" s="929"/>
      <c r="H119" s="927" t="s">
        <v>77</v>
      </c>
      <c r="I119" s="928"/>
      <c r="J119" s="928"/>
      <c r="K119" s="929"/>
      <c r="L119" s="927" t="s">
        <v>81</v>
      </c>
      <c r="M119" s="928"/>
      <c r="N119" s="928"/>
      <c r="O119" s="929"/>
      <c r="P119" s="927" t="s">
        <v>254</v>
      </c>
      <c r="Q119" s="928"/>
      <c r="R119" s="928"/>
      <c r="S119" s="929"/>
      <c r="T119" s="927" t="s">
        <v>76</v>
      </c>
      <c r="U119" s="928"/>
      <c r="V119" s="928"/>
      <c r="W119" s="929"/>
      <c r="X119" s="16" t="s">
        <v>6</v>
      </c>
    </row>
    <row r="120" spans="1:24" ht="12.95" customHeight="1" thickBot="1">
      <c r="A120" s="868" t="s">
        <v>61</v>
      </c>
      <c r="B120" s="868" t="s">
        <v>62</v>
      </c>
      <c r="C120" s="9" t="s">
        <v>235</v>
      </c>
      <c r="D120" s="1014">
        <v>1</v>
      </c>
      <c r="E120" s="1015"/>
      <c r="F120" s="1015"/>
      <c r="G120" s="1016"/>
      <c r="H120" s="1014">
        <v>1.8</v>
      </c>
      <c r="I120" s="1015"/>
      <c r="J120" s="1015"/>
      <c r="K120" s="1016"/>
      <c r="L120" s="1094">
        <v>2.4</v>
      </c>
      <c r="M120" s="1095"/>
      <c r="N120" s="1095"/>
      <c r="O120" s="1096"/>
      <c r="P120" s="1036">
        <v>3.1</v>
      </c>
      <c r="Q120" s="1037"/>
      <c r="R120" s="1037"/>
      <c r="S120" s="1038"/>
      <c r="T120" s="1036">
        <v>3.7</v>
      </c>
      <c r="U120" s="1037"/>
      <c r="V120" s="1037"/>
      <c r="W120" s="1038"/>
      <c r="X120" s="879" t="s">
        <v>94</v>
      </c>
    </row>
    <row r="121" spans="1:24" ht="12.95" customHeight="1" thickBot="1">
      <c r="A121" s="885"/>
      <c r="B121" s="885"/>
      <c r="C121" s="9" t="s">
        <v>233</v>
      </c>
      <c r="D121" s="966" t="s">
        <v>255</v>
      </c>
      <c r="E121" s="967"/>
      <c r="F121" s="967"/>
      <c r="G121" s="968"/>
      <c r="H121" s="1014">
        <v>1</v>
      </c>
      <c r="I121" s="1015"/>
      <c r="J121" s="1015"/>
      <c r="K121" s="1016"/>
      <c r="L121" s="1094">
        <v>1</v>
      </c>
      <c r="M121" s="1095"/>
      <c r="N121" s="1095"/>
      <c r="O121" s="1096"/>
      <c r="P121" s="1036">
        <v>1.4</v>
      </c>
      <c r="Q121" s="1037"/>
      <c r="R121" s="1037"/>
      <c r="S121" s="1038"/>
      <c r="T121" s="1094">
        <v>2.6</v>
      </c>
      <c r="U121" s="1095"/>
      <c r="V121" s="1095"/>
      <c r="W121" s="1096"/>
      <c r="X121" s="880"/>
    </row>
    <row r="122" spans="1:24" ht="12.95" customHeight="1" thickBot="1">
      <c r="A122" s="885"/>
      <c r="B122" s="885"/>
      <c r="C122" s="9" t="s">
        <v>234</v>
      </c>
      <c r="D122" s="957"/>
      <c r="E122" s="958"/>
      <c r="F122" s="958"/>
      <c r="G122" s="959"/>
      <c r="H122" s="957"/>
      <c r="I122" s="958"/>
      <c r="J122" s="958"/>
      <c r="K122" s="959"/>
      <c r="L122" s="1057" t="s">
        <v>443</v>
      </c>
      <c r="M122" s="1058"/>
      <c r="N122" s="1058"/>
      <c r="O122" s="1059"/>
      <c r="P122" s="1023">
        <v>0</v>
      </c>
      <c r="Q122" s="1024"/>
      <c r="R122" s="1024"/>
      <c r="S122" s="1025"/>
      <c r="T122" s="1023">
        <v>0</v>
      </c>
      <c r="U122" s="1024"/>
      <c r="V122" s="1024"/>
      <c r="W122" s="1025"/>
      <c r="X122" s="880"/>
    </row>
    <row r="123" spans="1:24" ht="13.5" thickBot="1">
      <c r="A123" s="885"/>
      <c r="B123" s="885"/>
      <c r="C123" s="102" t="s">
        <v>236</v>
      </c>
      <c r="D123" s="1008" t="s">
        <v>416</v>
      </c>
      <c r="E123" s="1009"/>
      <c r="F123" s="1009"/>
      <c r="G123" s="1010"/>
      <c r="H123" s="1020">
        <v>2</v>
      </c>
      <c r="I123" s="1021"/>
      <c r="J123" s="1021"/>
      <c r="K123" s="1022"/>
      <c r="L123" s="1020">
        <v>2.5</v>
      </c>
      <c r="M123" s="1021"/>
      <c r="N123" s="1021"/>
      <c r="O123" s="1022"/>
      <c r="P123" s="1020" t="s">
        <v>784</v>
      </c>
      <c r="Q123" s="1021"/>
      <c r="R123" s="1021"/>
      <c r="S123" s="1022"/>
      <c r="T123" s="1020">
        <v>0</v>
      </c>
      <c r="U123" s="1021"/>
      <c r="V123" s="1021"/>
      <c r="W123" s="1022"/>
      <c r="X123" s="880"/>
    </row>
    <row r="124" spans="1:24" ht="13.5" thickBot="1">
      <c r="A124" s="885"/>
      <c r="B124" s="885"/>
      <c r="C124" s="102" t="s">
        <v>283</v>
      </c>
      <c r="D124" s="1017"/>
      <c r="E124" s="1018"/>
      <c r="F124" s="1018"/>
      <c r="G124" s="1019"/>
      <c r="H124" s="1017"/>
      <c r="I124" s="1018"/>
      <c r="J124" s="1018"/>
      <c r="K124" s="1019"/>
      <c r="L124" s="1020">
        <v>1</v>
      </c>
      <c r="M124" s="1021"/>
      <c r="N124" s="1021"/>
      <c r="O124" s="1022"/>
      <c r="P124" s="1020">
        <v>1.7</v>
      </c>
      <c r="Q124" s="1021"/>
      <c r="R124" s="1021"/>
      <c r="S124" s="1022"/>
      <c r="T124" s="1020">
        <v>0</v>
      </c>
      <c r="U124" s="1021"/>
      <c r="V124" s="1021"/>
      <c r="W124" s="1022"/>
      <c r="X124" s="880"/>
    </row>
    <row r="125" spans="1:24" ht="13.5" thickBot="1">
      <c r="A125" s="885"/>
      <c r="B125" s="885"/>
      <c r="C125" s="102" t="s">
        <v>284</v>
      </c>
      <c r="D125" s="1017"/>
      <c r="E125" s="1018"/>
      <c r="F125" s="1018"/>
      <c r="G125" s="1019"/>
      <c r="H125" s="1017"/>
      <c r="I125" s="1018"/>
      <c r="J125" s="1018"/>
      <c r="K125" s="1019"/>
      <c r="L125" s="1017"/>
      <c r="M125" s="1018"/>
      <c r="N125" s="1018"/>
      <c r="O125" s="1019"/>
      <c r="P125" s="1017"/>
      <c r="Q125" s="1018"/>
      <c r="R125" s="1018"/>
      <c r="S125" s="1019"/>
      <c r="T125" s="1020">
        <v>0</v>
      </c>
      <c r="U125" s="1021"/>
      <c r="V125" s="1021"/>
      <c r="W125" s="1022"/>
      <c r="X125" s="880"/>
    </row>
    <row r="126" spans="1:24" ht="13.5" thickBot="1">
      <c r="A126" s="885"/>
      <c r="B126" s="885"/>
      <c r="C126" s="998" t="s">
        <v>413</v>
      </c>
      <c r="D126" s="927" t="s">
        <v>4</v>
      </c>
      <c r="E126" s="928"/>
      <c r="F126" s="928"/>
      <c r="G126" s="928"/>
      <c r="H126" s="928"/>
      <c r="I126" s="928"/>
      <c r="J126" s="928"/>
      <c r="K126" s="928"/>
      <c r="L126" s="928"/>
      <c r="M126" s="928"/>
      <c r="N126" s="928"/>
      <c r="O126" s="928"/>
      <c r="P126" s="928"/>
      <c r="Q126" s="928"/>
      <c r="R126" s="928"/>
      <c r="S126" s="928"/>
      <c r="T126" s="928"/>
      <c r="U126" s="928"/>
      <c r="V126" s="928"/>
      <c r="W126" s="929"/>
      <c r="X126" s="880"/>
    </row>
    <row r="127" spans="1:24" ht="24" customHeight="1" thickBot="1">
      <c r="A127" s="885"/>
      <c r="B127" s="869"/>
      <c r="C127" s="999"/>
      <c r="D127" s="930" t="s">
        <v>120</v>
      </c>
      <c r="E127" s="931"/>
      <c r="F127" s="931"/>
      <c r="G127" s="931"/>
      <c r="H127" s="931"/>
      <c r="I127" s="931"/>
      <c r="J127" s="931"/>
      <c r="K127" s="931"/>
      <c r="L127" s="931"/>
      <c r="M127" s="931"/>
      <c r="N127" s="931"/>
      <c r="O127" s="931"/>
      <c r="P127" s="931"/>
      <c r="Q127" s="931"/>
      <c r="R127" s="931"/>
      <c r="S127" s="931"/>
      <c r="T127" s="931"/>
      <c r="U127" s="931"/>
      <c r="V127" s="931"/>
      <c r="W127" s="932"/>
      <c r="X127" s="880"/>
    </row>
    <row r="128" spans="1:24" ht="13.5" thickBot="1">
      <c r="A128" s="885"/>
      <c r="B128" s="11" t="s">
        <v>20</v>
      </c>
      <c r="C128" s="12"/>
      <c r="D128" s="927" t="s">
        <v>78</v>
      </c>
      <c r="E128" s="928"/>
      <c r="F128" s="928"/>
      <c r="G128" s="929"/>
      <c r="H128" s="927" t="s">
        <v>77</v>
      </c>
      <c r="I128" s="928"/>
      <c r="J128" s="928"/>
      <c r="K128" s="929"/>
      <c r="L128" s="927" t="s">
        <v>81</v>
      </c>
      <c r="M128" s="928"/>
      <c r="N128" s="928"/>
      <c r="O128" s="929"/>
      <c r="P128" s="927" t="s">
        <v>254</v>
      </c>
      <c r="Q128" s="928"/>
      <c r="R128" s="928"/>
      <c r="S128" s="929"/>
      <c r="T128" s="927" t="s">
        <v>76</v>
      </c>
      <c r="U128" s="928"/>
      <c r="V128" s="928"/>
      <c r="W128" s="929"/>
      <c r="X128" s="880"/>
    </row>
    <row r="129" spans="1:24" ht="12.95" customHeight="1" thickBot="1">
      <c r="A129" s="885"/>
      <c r="B129" s="868" t="s">
        <v>59</v>
      </c>
      <c r="C129" s="9" t="s">
        <v>235</v>
      </c>
      <c r="D129" s="1014">
        <v>1</v>
      </c>
      <c r="E129" s="1015"/>
      <c r="F129" s="1015"/>
      <c r="G129" s="1016"/>
      <c r="H129" s="1014">
        <v>1.8</v>
      </c>
      <c r="I129" s="1015"/>
      <c r="J129" s="1015"/>
      <c r="K129" s="1016"/>
      <c r="L129" s="1094">
        <v>2.5</v>
      </c>
      <c r="M129" s="1095"/>
      <c r="N129" s="1095"/>
      <c r="O129" s="1096"/>
      <c r="P129" s="1036">
        <v>3.3</v>
      </c>
      <c r="Q129" s="1037"/>
      <c r="R129" s="1037"/>
      <c r="S129" s="1038"/>
      <c r="T129" s="1036">
        <v>4</v>
      </c>
      <c r="U129" s="1037"/>
      <c r="V129" s="1037"/>
      <c r="W129" s="1038"/>
      <c r="X129" s="880"/>
    </row>
    <row r="130" spans="1:24" ht="12.95" customHeight="1" thickBot="1">
      <c r="A130" s="885"/>
      <c r="B130" s="885"/>
      <c r="C130" s="9" t="s">
        <v>233</v>
      </c>
      <c r="D130" s="966" t="s">
        <v>255</v>
      </c>
      <c r="E130" s="967"/>
      <c r="F130" s="967"/>
      <c r="G130" s="968"/>
      <c r="H130" s="1014">
        <v>1</v>
      </c>
      <c r="I130" s="1015"/>
      <c r="J130" s="1015"/>
      <c r="K130" s="1016"/>
      <c r="L130" s="1094">
        <v>1</v>
      </c>
      <c r="M130" s="1095"/>
      <c r="N130" s="1095"/>
      <c r="O130" s="1096"/>
      <c r="P130" s="1036">
        <v>1.3</v>
      </c>
      <c r="Q130" s="1037"/>
      <c r="R130" s="1037"/>
      <c r="S130" s="1038"/>
      <c r="T130" s="1036">
        <v>2.4</v>
      </c>
      <c r="U130" s="1037"/>
      <c r="V130" s="1037"/>
      <c r="W130" s="1038"/>
      <c r="X130" s="880"/>
    </row>
    <row r="131" spans="1:24" ht="12.95" customHeight="1" thickBot="1">
      <c r="A131" s="885"/>
      <c r="B131" s="885"/>
      <c r="C131" s="9" t="s">
        <v>234</v>
      </c>
      <c r="D131" s="957"/>
      <c r="E131" s="958"/>
      <c r="F131" s="958"/>
      <c r="G131" s="959"/>
      <c r="H131" s="957"/>
      <c r="I131" s="958"/>
      <c r="J131" s="958"/>
      <c r="K131" s="959"/>
      <c r="L131" s="1057" t="s">
        <v>443</v>
      </c>
      <c r="M131" s="1058"/>
      <c r="N131" s="1058"/>
      <c r="O131" s="1059"/>
      <c r="P131" s="1023">
        <v>0</v>
      </c>
      <c r="Q131" s="1024"/>
      <c r="R131" s="1024"/>
      <c r="S131" s="1025"/>
      <c r="T131" s="1023">
        <v>0</v>
      </c>
      <c r="U131" s="1024"/>
      <c r="V131" s="1024"/>
      <c r="W131" s="1025"/>
      <c r="X131" s="880"/>
    </row>
    <row r="132" spans="1:24" ht="13.5" thickBot="1">
      <c r="A132" s="885"/>
      <c r="B132" s="885"/>
      <c r="C132" s="102" t="s">
        <v>236</v>
      </c>
      <c r="D132" s="1008" t="s">
        <v>416</v>
      </c>
      <c r="E132" s="1009"/>
      <c r="F132" s="1009"/>
      <c r="G132" s="1010"/>
      <c r="H132" s="1020">
        <v>1.8</v>
      </c>
      <c r="I132" s="1021"/>
      <c r="J132" s="1021"/>
      <c r="K132" s="1022"/>
      <c r="L132" s="1020">
        <v>2.9</v>
      </c>
      <c r="M132" s="1021"/>
      <c r="N132" s="1021"/>
      <c r="O132" s="1022"/>
      <c r="P132" s="1020">
        <v>3.4</v>
      </c>
      <c r="Q132" s="1021"/>
      <c r="R132" s="1021"/>
      <c r="S132" s="1022"/>
      <c r="T132" s="1020">
        <v>0</v>
      </c>
      <c r="U132" s="1021"/>
      <c r="V132" s="1021"/>
      <c r="W132" s="1022"/>
      <c r="X132" s="880"/>
    </row>
    <row r="133" spans="1:24" ht="13.5" thickBot="1">
      <c r="A133" s="885"/>
      <c r="B133" s="885"/>
      <c r="C133" s="102" t="s">
        <v>283</v>
      </c>
      <c r="D133" s="1017"/>
      <c r="E133" s="1018"/>
      <c r="F133" s="1018"/>
      <c r="G133" s="1019"/>
      <c r="H133" s="1017"/>
      <c r="I133" s="1018"/>
      <c r="J133" s="1018"/>
      <c r="K133" s="1019"/>
      <c r="L133" s="1020">
        <v>1</v>
      </c>
      <c r="M133" s="1021"/>
      <c r="N133" s="1021"/>
      <c r="O133" s="1022"/>
      <c r="P133" s="1020" t="s">
        <v>785</v>
      </c>
      <c r="Q133" s="1021"/>
      <c r="R133" s="1021"/>
      <c r="S133" s="1022"/>
      <c r="T133" s="1020">
        <v>0</v>
      </c>
      <c r="U133" s="1021"/>
      <c r="V133" s="1021"/>
      <c r="W133" s="1022"/>
      <c r="X133" s="880"/>
    </row>
    <row r="134" spans="1:24" ht="13.5" thickBot="1">
      <c r="A134" s="885"/>
      <c r="B134" s="885"/>
      <c r="C134" s="102" t="s">
        <v>284</v>
      </c>
      <c r="D134" s="1017"/>
      <c r="E134" s="1018"/>
      <c r="F134" s="1018"/>
      <c r="G134" s="1019"/>
      <c r="H134" s="1017"/>
      <c r="I134" s="1018"/>
      <c r="J134" s="1018"/>
      <c r="K134" s="1019"/>
      <c r="L134" s="1017"/>
      <c r="M134" s="1018"/>
      <c r="N134" s="1018"/>
      <c r="O134" s="1019"/>
      <c r="P134" s="1017"/>
      <c r="Q134" s="1018"/>
      <c r="R134" s="1018"/>
      <c r="S134" s="1019"/>
      <c r="T134" s="1020">
        <v>0</v>
      </c>
      <c r="U134" s="1021"/>
      <c r="V134" s="1021"/>
      <c r="W134" s="1022"/>
      <c r="X134" s="880"/>
    </row>
    <row r="135" spans="1:24" ht="13.5" thickBot="1">
      <c r="A135" s="885"/>
      <c r="B135" s="885"/>
      <c r="C135" s="998" t="s">
        <v>413</v>
      </c>
      <c r="D135" s="927" t="s">
        <v>4</v>
      </c>
      <c r="E135" s="928"/>
      <c r="F135" s="928"/>
      <c r="G135" s="928"/>
      <c r="H135" s="928"/>
      <c r="I135" s="928"/>
      <c r="J135" s="928"/>
      <c r="K135" s="928"/>
      <c r="L135" s="928"/>
      <c r="M135" s="928"/>
      <c r="N135" s="928"/>
      <c r="O135" s="928"/>
      <c r="P135" s="928"/>
      <c r="Q135" s="928"/>
      <c r="R135" s="928"/>
      <c r="S135" s="928"/>
      <c r="T135" s="928"/>
      <c r="U135" s="928"/>
      <c r="V135" s="928"/>
      <c r="W135" s="929"/>
      <c r="X135" s="880"/>
    </row>
    <row r="136" spans="1:24" ht="13.5" thickBot="1">
      <c r="A136" s="885"/>
      <c r="B136" s="869"/>
      <c r="C136" s="999"/>
      <c r="D136" s="930" t="s">
        <v>118</v>
      </c>
      <c r="E136" s="931"/>
      <c r="F136" s="931"/>
      <c r="G136" s="931"/>
      <c r="H136" s="931"/>
      <c r="I136" s="931"/>
      <c r="J136" s="931"/>
      <c r="K136" s="931"/>
      <c r="L136" s="931"/>
      <c r="M136" s="931"/>
      <c r="N136" s="931"/>
      <c r="O136" s="931"/>
      <c r="P136" s="931"/>
      <c r="Q136" s="931"/>
      <c r="R136" s="931"/>
      <c r="S136" s="931"/>
      <c r="T136" s="931"/>
      <c r="U136" s="931"/>
      <c r="V136" s="931"/>
      <c r="W136" s="932"/>
      <c r="X136" s="880"/>
    </row>
    <row r="137" spans="1:24" ht="13.5" thickBot="1">
      <c r="A137" s="885"/>
      <c r="B137" s="11" t="s">
        <v>21</v>
      </c>
      <c r="C137" s="12"/>
      <c r="D137" s="927" t="s">
        <v>78</v>
      </c>
      <c r="E137" s="928"/>
      <c r="F137" s="928"/>
      <c r="G137" s="929"/>
      <c r="H137" s="927" t="s">
        <v>77</v>
      </c>
      <c r="I137" s="928"/>
      <c r="J137" s="928"/>
      <c r="K137" s="929"/>
      <c r="L137" s="927" t="s">
        <v>81</v>
      </c>
      <c r="M137" s="928"/>
      <c r="N137" s="928"/>
      <c r="O137" s="929"/>
      <c r="P137" s="927" t="s">
        <v>254</v>
      </c>
      <c r="Q137" s="928"/>
      <c r="R137" s="928"/>
      <c r="S137" s="929"/>
      <c r="T137" s="927" t="s">
        <v>76</v>
      </c>
      <c r="U137" s="928"/>
      <c r="V137" s="928"/>
      <c r="W137" s="929"/>
      <c r="X137" s="880"/>
    </row>
    <row r="138" spans="1:24" ht="13.5" thickBot="1">
      <c r="A138" s="885"/>
      <c r="B138" s="868" t="s">
        <v>63</v>
      </c>
      <c r="C138" s="9" t="s">
        <v>247</v>
      </c>
      <c r="D138" s="1000">
        <v>0</v>
      </c>
      <c r="E138" s="1001"/>
      <c r="F138" s="1001"/>
      <c r="G138" s="1002"/>
      <c r="H138" s="1000">
        <v>10</v>
      </c>
      <c r="I138" s="1001"/>
      <c r="J138" s="1001"/>
      <c r="K138" s="1002"/>
      <c r="L138" s="1000">
        <v>20</v>
      </c>
      <c r="M138" s="1001"/>
      <c r="N138" s="1001"/>
      <c r="O138" s="1002"/>
      <c r="P138" s="1000">
        <v>30</v>
      </c>
      <c r="Q138" s="1001"/>
      <c r="R138" s="1001"/>
      <c r="S138" s="1002"/>
      <c r="T138" s="1000">
        <v>50</v>
      </c>
      <c r="U138" s="1001"/>
      <c r="V138" s="1001"/>
      <c r="W138" s="1002"/>
      <c r="X138" s="880"/>
    </row>
    <row r="139" spans="1:24" ht="13.5" thickBot="1">
      <c r="A139" s="869"/>
      <c r="B139" s="885"/>
      <c r="C139" s="102" t="s">
        <v>246</v>
      </c>
      <c r="D139" s="1003" t="s">
        <v>172</v>
      </c>
      <c r="E139" s="1004"/>
      <c r="F139" s="1004"/>
      <c r="G139" s="1005"/>
      <c r="H139" s="1003" t="s">
        <v>417</v>
      </c>
      <c r="I139" s="1004"/>
      <c r="J139" s="1004"/>
      <c r="K139" s="1005"/>
      <c r="L139" s="995">
        <v>16</v>
      </c>
      <c r="M139" s="996"/>
      <c r="N139" s="996"/>
      <c r="O139" s="997"/>
      <c r="P139" s="995" t="s">
        <v>786</v>
      </c>
      <c r="Q139" s="996"/>
      <c r="R139" s="996"/>
      <c r="S139" s="997"/>
      <c r="T139" s="995">
        <v>0</v>
      </c>
      <c r="U139" s="996"/>
      <c r="V139" s="996"/>
      <c r="W139" s="997"/>
      <c r="X139" s="881"/>
    </row>
    <row r="140" spans="1:24" ht="13.5" thickBot="1">
      <c r="A140" s="174" t="s">
        <v>13</v>
      </c>
      <c r="B140" s="885"/>
      <c r="C140" s="998" t="s">
        <v>413</v>
      </c>
      <c r="D140" s="927" t="s">
        <v>4</v>
      </c>
      <c r="E140" s="928"/>
      <c r="F140" s="928"/>
      <c r="G140" s="928"/>
      <c r="H140" s="928"/>
      <c r="I140" s="928"/>
      <c r="J140" s="928"/>
      <c r="K140" s="928"/>
      <c r="L140" s="928"/>
      <c r="M140" s="928"/>
      <c r="N140" s="928"/>
      <c r="O140" s="928"/>
      <c r="P140" s="928"/>
      <c r="Q140" s="928"/>
      <c r="R140" s="928"/>
      <c r="S140" s="928"/>
      <c r="T140" s="928"/>
      <c r="U140" s="928"/>
      <c r="V140" s="928"/>
      <c r="W140" s="929"/>
      <c r="X140" s="24" t="s">
        <v>14</v>
      </c>
    </row>
    <row r="141" spans="1:24" ht="13.5" thickBot="1">
      <c r="A141" s="25" t="s">
        <v>75</v>
      </c>
      <c r="B141" s="869"/>
      <c r="C141" s="999"/>
      <c r="D141" s="930" t="s">
        <v>119</v>
      </c>
      <c r="E141" s="931"/>
      <c r="F141" s="931"/>
      <c r="G141" s="931"/>
      <c r="H141" s="931"/>
      <c r="I141" s="931"/>
      <c r="J141" s="931"/>
      <c r="K141" s="931"/>
      <c r="L141" s="931"/>
      <c r="M141" s="931"/>
      <c r="N141" s="931"/>
      <c r="O141" s="931"/>
      <c r="P141" s="931"/>
      <c r="Q141" s="931"/>
      <c r="R141" s="931"/>
      <c r="S141" s="931"/>
      <c r="T141" s="931"/>
      <c r="U141" s="931"/>
      <c r="V141" s="931"/>
      <c r="W141" s="932"/>
      <c r="X141" s="18" t="s">
        <v>93</v>
      </c>
    </row>
    <row r="142" spans="1:24" ht="13.5" thickBot="1">
      <c r="A142" s="906" t="s">
        <v>7</v>
      </c>
      <c r="B142" s="908" t="s">
        <v>173</v>
      </c>
      <c r="C142" s="918"/>
      <c r="D142" s="908" t="s">
        <v>8</v>
      </c>
      <c r="E142" s="918"/>
      <c r="F142" s="918"/>
      <c r="G142" s="909"/>
      <c r="H142" s="908" t="s">
        <v>88</v>
      </c>
      <c r="I142" s="918"/>
      <c r="J142" s="918"/>
      <c r="K142" s="909"/>
      <c r="L142" s="908" t="s">
        <v>89</v>
      </c>
      <c r="M142" s="918"/>
      <c r="N142" s="918"/>
      <c r="O142" s="909"/>
      <c r="P142" s="908" t="s">
        <v>9</v>
      </c>
      <c r="Q142" s="918"/>
      <c r="R142" s="918"/>
      <c r="S142" s="909"/>
      <c r="T142" s="908" t="s">
        <v>174</v>
      </c>
      <c r="U142" s="918"/>
      <c r="V142" s="918"/>
      <c r="W142" s="918"/>
      <c r="X142" s="909"/>
    </row>
    <row r="143" spans="1:24" ht="13.5" thickBot="1">
      <c r="A143" s="907"/>
      <c r="B143" s="919">
        <v>6200000</v>
      </c>
      <c r="C143" s="921"/>
      <c r="D143" s="919">
        <v>1200000</v>
      </c>
      <c r="E143" s="921"/>
      <c r="F143" s="921"/>
      <c r="G143" s="920"/>
      <c r="H143" s="919">
        <v>2500000</v>
      </c>
      <c r="I143" s="921"/>
      <c r="J143" s="921"/>
      <c r="K143" s="920"/>
      <c r="L143" s="919">
        <v>2800000</v>
      </c>
      <c r="M143" s="921"/>
      <c r="N143" s="921"/>
      <c r="O143" s="920"/>
      <c r="P143" s="919">
        <f>SUM(B143:O143)</f>
        <v>12700000</v>
      </c>
      <c r="Q143" s="921"/>
      <c r="R143" s="921"/>
      <c r="S143" s="920"/>
      <c r="T143" s="942">
        <f>B143/P143%</f>
        <v>48.818897637795274</v>
      </c>
      <c r="U143" s="943"/>
      <c r="V143" s="943"/>
      <c r="W143" s="943"/>
      <c r="X143" s="944"/>
    </row>
    <row r="144" spans="1:24" ht="13.5" thickBot="1">
      <c r="A144" s="906" t="s">
        <v>10</v>
      </c>
      <c r="B144" s="908" t="s">
        <v>175</v>
      </c>
      <c r="C144" s="918"/>
      <c r="D144" s="910"/>
      <c r="E144" s="911"/>
      <c r="F144" s="911"/>
      <c r="G144" s="911"/>
      <c r="H144" s="911"/>
      <c r="I144" s="911"/>
      <c r="J144" s="911"/>
      <c r="K144" s="911"/>
      <c r="L144" s="911"/>
      <c r="M144" s="911"/>
      <c r="N144" s="911"/>
      <c r="O144" s="911"/>
      <c r="P144" s="911"/>
      <c r="Q144" s="911"/>
      <c r="R144" s="911"/>
      <c r="S144" s="911"/>
      <c r="T144" s="911"/>
      <c r="U144" s="911"/>
      <c r="V144" s="911"/>
      <c r="W144" s="911"/>
      <c r="X144" s="912"/>
    </row>
    <row r="145" spans="1:24" ht="13.5" thickBot="1">
      <c r="A145" s="907"/>
      <c r="B145" s="916"/>
      <c r="C145" s="994"/>
      <c r="D145" s="913"/>
      <c r="E145" s="914"/>
      <c r="F145" s="914"/>
      <c r="G145" s="914"/>
      <c r="H145" s="914"/>
      <c r="I145" s="914"/>
      <c r="J145" s="914"/>
      <c r="K145" s="914"/>
      <c r="L145" s="914"/>
      <c r="M145" s="914"/>
      <c r="N145" s="914"/>
      <c r="O145" s="914"/>
      <c r="P145" s="914"/>
      <c r="Q145" s="914"/>
      <c r="R145" s="914"/>
      <c r="S145" s="914"/>
      <c r="T145" s="914"/>
      <c r="U145" s="914"/>
      <c r="V145" s="914"/>
      <c r="W145" s="914"/>
      <c r="X145" s="915"/>
    </row>
    <row r="147" spans="1:24" ht="13.5" thickBot="1">
      <c r="L147" s="115"/>
    </row>
    <row r="148" spans="1:24" ht="13.5" thickBot="1">
      <c r="A148" s="173" t="s">
        <v>26</v>
      </c>
      <c r="B148" s="172" t="s">
        <v>29</v>
      </c>
      <c r="C148" s="8"/>
      <c r="D148" s="927" t="s">
        <v>78</v>
      </c>
      <c r="E148" s="928"/>
      <c r="F148" s="928"/>
      <c r="G148" s="929"/>
      <c r="H148" s="927" t="s">
        <v>77</v>
      </c>
      <c r="I148" s="928"/>
      <c r="J148" s="928"/>
      <c r="K148" s="929"/>
      <c r="L148" s="927" t="s">
        <v>81</v>
      </c>
      <c r="M148" s="928"/>
      <c r="N148" s="928"/>
      <c r="O148" s="929"/>
      <c r="P148" s="927" t="s">
        <v>254</v>
      </c>
      <c r="Q148" s="928"/>
      <c r="R148" s="928"/>
      <c r="S148" s="929"/>
      <c r="T148" s="927" t="s">
        <v>76</v>
      </c>
      <c r="U148" s="928"/>
      <c r="V148" s="928"/>
      <c r="W148" s="929"/>
      <c r="X148" s="16" t="s">
        <v>12</v>
      </c>
    </row>
    <row r="149" spans="1:24" ht="54.95" customHeight="1" thickBot="1">
      <c r="A149" s="868" t="s">
        <v>64</v>
      </c>
      <c r="B149" s="868" t="s">
        <v>156</v>
      </c>
      <c r="C149" s="9"/>
      <c r="D149" s="17" t="s">
        <v>101</v>
      </c>
      <c r="E149" s="17" t="s">
        <v>104</v>
      </c>
      <c r="F149" s="17" t="s">
        <v>102</v>
      </c>
      <c r="G149" s="17" t="s">
        <v>103</v>
      </c>
      <c r="H149" s="17" t="s">
        <v>101</v>
      </c>
      <c r="I149" s="17" t="s">
        <v>104</v>
      </c>
      <c r="J149" s="17" t="s">
        <v>102</v>
      </c>
      <c r="K149" s="17" t="s">
        <v>103</v>
      </c>
      <c r="L149" s="17" t="s">
        <v>101</v>
      </c>
      <c r="M149" s="17" t="s">
        <v>104</v>
      </c>
      <c r="N149" s="17" t="s">
        <v>102</v>
      </c>
      <c r="O149" s="17" t="s">
        <v>103</v>
      </c>
      <c r="P149" s="17" t="s">
        <v>101</v>
      </c>
      <c r="Q149" s="17" t="s">
        <v>104</v>
      </c>
      <c r="R149" s="17" t="s">
        <v>102</v>
      </c>
      <c r="S149" s="17" t="s">
        <v>103</v>
      </c>
      <c r="T149" s="17" t="s">
        <v>101</v>
      </c>
      <c r="U149" s="17" t="s">
        <v>104</v>
      </c>
      <c r="V149" s="17" t="s">
        <v>102</v>
      </c>
      <c r="W149" s="17" t="s">
        <v>103</v>
      </c>
      <c r="X149" s="879" t="s">
        <v>98</v>
      </c>
    </row>
    <row r="150" spans="1:24" ht="13.5" thickBot="1">
      <c r="A150" s="885"/>
      <c r="B150" s="885"/>
      <c r="C150" s="9" t="s">
        <v>247</v>
      </c>
      <c r="D150" s="2">
        <v>2</v>
      </c>
      <c r="E150" s="2">
        <v>0</v>
      </c>
      <c r="F150" s="2">
        <v>0</v>
      </c>
      <c r="G150" s="2">
        <v>0</v>
      </c>
      <c r="H150" s="2">
        <v>15</v>
      </c>
      <c r="I150" s="2">
        <v>10</v>
      </c>
      <c r="J150" s="2">
        <v>5</v>
      </c>
      <c r="K150" s="2">
        <v>1</v>
      </c>
      <c r="L150" s="158">
        <v>30</v>
      </c>
      <c r="M150" s="158">
        <v>20</v>
      </c>
      <c r="N150" s="2">
        <v>15</v>
      </c>
      <c r="O150" s="2">
        <v>8</v>
      </c>
      <c r="P150" s="2">
        <v>50</v>
      </c>
      <c r="Q150" s="2">
        <v>35</v>
      </c>
      <c r="R150" s="2">
        <v>25</v>
      </c>
      <c r="S150" s="2">
        <v>12</v>
      </c>
      <c r="T150" s="166">
        <v>70</v>
      </c>
      <c r="U150" s="166">
        <v>50</v>
      </c>
      <c r="V150" s="166">
        <v>40</v>
      </c>
      <c r="W150" s="166">
        <v>20</v>
      </c>
      <c r="X150" s="880"/>
    </row>
    <row r="151" spans="1:24" ht="12.95" customHeight="1" thickBot="1">
      <c r="A151" s="885"/>
      <c r="B151" s="170" t="s">
        <v>151</v>
      </c>
      <c r="C151" s="102" t="s">
        <v>246</v>
      </c>
      <c r="D151" s="1008" t="s">
        <v>416</v>
      </c>
      <c r="E151" s="1009"/>
      <c r="F151" s="1009"/>
      <c r="G151" s="1010"/>
      <c r="H151" s="117">
        <v>20</v>
      </c>
      <c r="I151" s="117">
        <v>15</v>
      </c>
      <c r="J151" s="117">
        <v>10</v>
      </c>
      <c r="K151" s="117">
        <v>5</v>
      </c>
      <c r="L151" s="117">
        <v>27</v>
      </c>
      <c r="M151" s="117">
        <v>22</v>
      </c>
      <c r="N151" s="117">
        <v>16</v>
      </c>
      <c r="O151" s="117">
        <v>10</v>
      </c>
      <c r="P151" s="417">
        <f>SUM('State DisAgg LFx10 (2015)'!P354:P363)</f>
        <v>66</v>
      </c>
      <c r="Q151" s="417">
        <f>SUM('State DisAgg LFx10 (2015)'!Q354:Q363)</f>
        <v>46</v>
      </c>
      <c r="R151" s="417">
        <f>SUM('State DisAgg LFx10 (2015)'!R354:R363)</f>
        <v>30</v>
      </c>
      <c r="S151" s="417">
        <f>SUM('State DisAgg LFx10 (2015)'!S354:S363)</f>
        <v>10</v>
      </c>
      <c r="T151" s="117">
        <v>0</v>
      </c>
      <c r="U151" s="117">
        <v>0</v>
      </c>
      <c r="V151" s="117">
        <v>0</v>
      </c>
      <c r="W151" s="117">
        <v>0</v>
      </c>
      <c r="X151" s="880"/>
    </row>
    <row r="152" spans="1:24" ht="13.5" thickBot="1">
      <c r="A152" s="885"/>
      <c r="B152" s="170" t="s">
        <v>150</v>
      </c>
      <c r="C152" s="998" t="s">
        <v>413</v>
      </c>
      <c r="D152" s="927" t="s">
        <v>4</v>
      </c>
      <c r="E152" s="928"/>
      <c r="F152" s="928"/>
      <c r="G152" s="928"/>
      <c r="H152" s="928"/>
      <c r="I152" s="928"/>
      <c r="J152" s="928"/>
      <c r="K152" s="928"/>
      <c r="L152" s="928"/>
      <c r="M152" s="928"/>
      <c r="N152" s="928"/>
      <c r="O152" s="928"/>
      <c r="P152" s="928"/>
      <c r="Q152" s="928"/>
      <c r="R152" s="928"/>
      <c r="S152" s="928"/>
      <c r="T152" s="928"/>
      <c r="U152" s="928"/>
      <c r="V152" s="928"/>
      <c r="W152" s="929"/>
      <c r="X152" s="880"/>
    </row>
    <row r="153" spans="1:24" ht="24.75" thickBot="1">
      <c r="A153" s="885"/>
      <c r="B153" s="171" t="s">
        <v>149</v>
      </c>
      <c r="C153" s="999"/>
      <c r="D153" s="930" t="s">
        <v>420</v>
      </c>
      <c r="E153" s="931"/>
      <c r="F153" s="931"/>
      <c r="G153" s="931"/>
      <c r="H153" s="931"/>
      <c r="I153" s="931"/>
      <c r="J153" s="931"/>
      <c r="K153" s="931"/>
      <c r="L153" s="931"/>
      <c r="M153" s="931"/>
      <c r="N153" s="931"/>
      <c r="O153" s="931"/>
      <c r="P153" s="931"/>
      <c r="Q153" s="931"/>
      <c r="R153" s="931"/>
      <c r="S153" s="931"/>
      <c r="T153" s="931"/>
      <c r="U153" s="931"/>
      <c r="V153" s="931"/>
      <c r="W153" s="932"/>
      <c r="X153" s="880"/>
    </row>
    <row r="154" spans="1:24" ht="13.5" thickBot="1">
      <c r="A154" s="885"/>
      <c r="B154" s="11" t="s">
        <v>30</v>
      </c>
      <c r="C154" s="12"/>
      <c r="D154" s="927" t="s">
        <v>78</v>
      </c>
      <c r="E154" s="928"/>
      <c r="F154" s="928"/>
      <c r="G154" s="929"/>
      <c r="H154" s="927" t="s">
        <v>77</v>
      </c>
      <c r="I154" s="928"/>
      <c r="J154" s="928"/>
      <c r="K154" s="929"/>
      <c r="L154" s="927" t="s">
        <v>81</v>
      </c>
      <c r="M154" s="928"/>
      <c r="N154" s="928"/>
      <c r="O154" s="929"/>
      <c r="P154" s="927" t="s">
        <v>254</v>
      </c>
      <c r="Q154" s="928"/>
      <c r="R154" s="928"/>
      <c r="S154" s="929"/>
      <c r="T154" s="927" t="s">
        <v>76</v>
      </c>
      <c r="U154" s="928"/>
      <c r="V154" s="928"/>
      <c r="W154" s="929"/>
      <c r="X154" s="880"/>
    </row>
    <row r="155" spans="1:24" ht="44.1" customHeight="1" thickBot="1">
      <c r="A155" s="885"/>
      <c r="B155" s="868" t="s">
        <v>157</v>
      </c>
      <c r="C155" s="23"/>
      <c r="D155" s="17" t="s">
        <v>101</v>
      </c>
      <c r="E155" s="17" t="s">
        <v>104</v>
      </c>
      <c r="F155" s="17" t="s">
        <v>102</v>
      </c>
      <c r="G155" s="17" t="s">
        <v>103</v>
      </c>
      <c r="H155" s="17" t="s">
        <v>101</v>
      </c>
      <c r="I155" s="17" t="s">
        <v>104</v>
      </c>
      <c r="J155" s="17" t="s">
        <v>102</v>
      </c>
      <c r="K155" s="17" t="s">
        <v>103</v>
      </c>
      <c r="L155" s="17" t="s">
        <v>101</v>
      </c>
      <c r="M155" s="17" t="s">
        <v>104</v>
      </c>
      <c r="N155" s="17" t="s">
        <v>102</v>
      </c>
      <c r="O155" s="17" t="s">
        <v>103</v>
      </c>
      <c r="P155" s="17" t="s">
        <v>101</v>
      </c>
      <c r="Q155" s="17" t="s">
        <v>104</v>
      </c>
      <c r="R155" s="17" t="s">
        <v>102</v>
      </c>
      <c r="S155" s="17" t="s">
        <v>103</v>
      </c>
      <c r="T155" s="17" t="s">
        <v>101</v>
      </c>
      <c r="U155" s="17" t="s">
        <v>104</v>
      </c>
      <c r="V155" s="17" t="s">
        <v>102</v>
      </c>
      <c r="W155" s="17" t="s">
        <v>103</v>
      </c>
      <c r="X155" s="880"/>
    </row>
    <row r="156" spans="1:24" ht="13.5" thickBot="1">
      <c r="A156" s="885"/>
      <c r="B156" s="885"/>
      <c r="C156" s="9" t="s">
        <v>247</v>
      </c>
      <c r="D156" s="2">
        <v>2</v>
      </c>
      <c r="E156" s="2">
        <v>0</v>
      </c>
      <c r="F156" s="2">
        <v>0</v>
      </c>
      <c r="G156" s="2">
        <v>0</v>
      </c>
      <c r="H156" s="2">
        <v>15</v>
      </c>
      <c r="I156" s="2">
        <v>10</v>
      </c>
      <c r="J156" s="2">
        <v>5</v>
      </c>
      <c r="K156" s="2">
        <v>2</v>
      </c>
      <c r="L156" s="158">
        <v>30</v>
      </c>
      <c r="M156" s="158">
        <v>20</v>
      </c>
      <c r="N156" s="2">
        <v>15</v>
      </c>
      <c r="O156" s="2">
        <v>10</v>
      </c>
      <c r="P156" s="166">
        <v>45</v>
      </c>
      <c r="Q156" s="2">
        <v>35</v>
      </c>
      <c r="R156" s="2">
        <v>25</v>
      </c>
      <c r="S156" s="2">
        <v>15</v>
      </c>
      <c r="T156" s="166">
        <v>60</v>
      </c>
      <c r="U156" s="166">
        <v>45</v>
      </c>
      <c r="V156" s="166">
        <v>35</v>
      </c>
      <c r="W156" s="2">
        <v>25</v>
      </c>
      <c r="X156" s="880"/>
    </row>
    <row r="157" spans="1:24" ht="13.5" thickBot="1">
      <c r="A157" s="885"/>
      <c r="B157" s="170" t="s">
        <v>151</v>
      </c>
      <c r="C157" s="102" t="s">
        <v>246</v>
      </c>
      <c r="D157" s="1003" t="s">
        <v>172</v>
      </c>
      <c r="E157" s="1004"/>
      <c r="F157" s="1004"/>
      <c r="G157" s="1005"/>
      <c r="H157" s="1003" t="s">
        <v>417</v>
      </c>
      <c r="I157" s="1004"/>
      <c r="J157" s="1004"/>
      <c r="K157" s="1005"/>
      <c r="L157" s="117">
        <v>23</v>
      </c>
      <c r="M157" s="117">
        <v>21</v>
      </c>
      <c r="N157" s="117">
        <v>17</v>
      </c>
      <c r="O157" s="117">
        <v>7</v>
      </c>
      <c r="P157" s="417">
        <f>SUM('State DisAgg LFx10 (2015)'!P378:P387)</f>
        <v>44</v>
      </c>
      <c r="Q157" s="417">
        <f>SUM('State DisAgg LFx10 (2015)'!Q378:Q387)</f>
        <v>27</v>
      </c>
      <c r="R157" s="417">
        <f>SUM('State DisAgg LFx10 (2015)'!R378:R387)</f>
        <v>20</v>
      </c>
      <c r="S157" s="417">
        <f>SUM('State DisAgg LFx10 (2015)'!S378:S387)</f>
        <v>8</v>
      </c>
      <c r="T157" s="117">
        <v>0</v>
      </c>
      <c r="U157" s="117">
        <v>0</v>
      </c>
      <c r="V157" s="117">
        <v>0</v>
      </c>
      <c r="W157" s="117">
        <v>0</v>
      </c>
      <c r="X157" s="880"/>
    </row>
    <row r="158" spans="1:24" ht="13.5" thickBot="1">
      <c r="A158" s="885"/>
      <c r="B158" s="170" t="s">
        <v>150</v>
      </c>
      <c r="C158" s="998" t="s">
        <v>413</v>
      </c>
      <c r="D158" s="927" t="s">
        <v>4</v>
      </c>
      <c r="E158" s="928"/>
      <c r="F158" s="928"/>
      <c r="G158" s="928"/>
      <c r="H158" s="928"/>
      <c r="I158" s="928"/>
      <c r="J158" s="928"/>
      <c r="K158" s="928"/>
      <c r="L158" s="928"/>
      <c r="M158" s="928"/>
      <c r="N158" s="928"/>
      <c r="O158" s="928"/>
      <c r="P158" s="928"/>
      <c r="Q158" s="928"/>
      <c r="R158" s="928"/>
      <c r="S158" s="928"/>
      <c r="T158" s="928"/>
      <c r="U158" s="928"/>
      <c r="V158" s="928"/>
      <c r="W158" s="929"/>
      <c r="X158" s="880"/>
    </row>
    <row r="159" spans="1:24" ht="13.5" thickBot="1">
      <c r="A159" s="885"/>
      <c r="B159" s="171" t="s">
        <v>152</v>
      </c>
      <c r="C159" s="999"/>
      <c r="D159" s="930" t="s">
        <v>420</v>
      </c>
      <c r="E159" s="931"/>
      <c r="F159" s="931"/>
      <c r="G159" s="931"/>
      <c r="H159" s="931"/>
      <c r="I159" s="931"/>
      <c r="J159" s="931"/>
      <c r="K159" s="931"/>
      <c r="L159" s="931"/>
      <c r="M159" s="931"/>
      <c r="N159" s="931"/>
      <c r="O159" s="931"/>
      <c r="P159" s="931"/>
      <c r="Q159" s="931"/>
      <c r="R159" s="931"/>
      <c r="S159" s="931"/>
      <c r="T159" s="931"/>
      <c r="U159" s="931"/>
      <c r="V159" s="931"/>
      <c r="W159" s="932"/>
      <c r="X159" s="880"/>
    </row>
    <row r="160" spans="1:24" ht="13.5" thickBot="1">
      <c r="A160" s="885"/>
      <c r="B160" s="92" t="s">
        <v>31</v>
      </c>
      <c r="C160" s="12"/>
      <c r="D160" s="927" t="s">
        <v>78</v>
      </c>
      <c r="E160" s="928"/>
      <c r="F160" s="928"/>
      <c r="G160" s="929"/>
      <c r="H160" s="927" t="s">
        <v>77</v>
      </c>
      <c r="I160" s="928"/>
      <c r="J160" s="928"/>
      <c r="K160" s="929"/>
      <c r="L160" s="927" t="s">
        <v>81</v>
      </c>
      <c r="M160" s="928"/>
      <c r="N160" s="928"/>
      <c r="O160" s="929"/>
      <c r="P160" s="927" t="s">
        <v>254</v>
      </c>
      <c r="Q160" s="928"/>
      <c r="R160" s="928"/>
      <c r="S160" s="929"/>
      <c r="T160" s="927" t="s">
        <v>76</v>
      </c>
      <c r="U160" s="928"/>
      <c r="V160" s="928"/>
      <c r="W160" s="929"/>
      <c r="X160" s="880"/>
    </row>
    <row r="161" spans="1:24" ht="17.100000000000001" customHeight="1" thickBot="1">
      <c r="A161" s="885"/>
      <c r="B161" s="868" t="s">
        <v>421</v>
      </c>
      <c r="C161" s="23"/>
      <c r="D161" s="955" t="s">
        <v>418</v>
      </c>
      <c r="E161" s="956"/>
      <c r="F161" s="955" t="s">
        <v>419</v>
      </c>
      <c r="G161" s="956"/>
      <c r="H161" s="955" t="s">
        <v>418</v>
      </c>
      <c r="I161" s="956"/>
      <c r="J161" s="955" t="s">
        <v>419</v>
      </c>
      <c r="K161" s="956"/>
      <c r="L161" s="955" t="s">
        <v>418</v>
      </c>
      <c r="M161" s="956"/>
      <c r="N161" s="955" t="s">
        <v>419</v>
      </c>
      <c r="O161" s="956"/>
      <c r="P161" s="955" t="s">
        <v>418</v>
      </c>
      <c r="Q161" s="956"/>
      <c r="R161" s="955" t="s">
        <v>419</v>
      </c>
      <c r="S161" s="956"/>
      <c r="T161" s="955" t="s">
        <v>418</v>
      </c>
      <c r="U161" s="956"/>
      <c r="V161" s="955" t="s">
        <v>419</v>
      </c>
      <c r="W161" s="956"/>
      <c r="X161" s="880"/>
    </row>
    <row r="162" spans="1:24" ht="12.95" customHeight="1" thickBot="1">
      <c r="A162" s="885"/>
      <c r="B162" s="885"/>
      <c r="C162" s="91" t="s">
        <v>235</v>
      </c>
      <c r="D162" s="933" t="s">
        <v>172</v>
      </c>
      <c r="E162" s="934"/>
      <c r="F162" s="934"/>
      <c r="G162" s="935"/>
      <c r="H162" s="966" t="s">
        <v>572</v>
      </c>
      <c r="I162" s="967"/>
      <c r="J162" s="967"/>
      <c r="K162" s="968"/>
      <c r="L162" s="1092">
        <v>50</v>
      </c>
      <c r="M162" s="1093"/>
      <c r="N162" s="1092">
        <v>36.6</v>
      </c>
      <c r="O162" s="1093"/>
      <c r="P162" s="1092">
        <v>63</v>
      </c>
      <c r="Q162" s="1093"/>
      <c r="R162" s="1092">
        <v>39.799999999999997</v>
      </c>
      <c r="S162" s="1093"/>
      <c r="T162" s="1092">
        <v>75</v>
      </c>
      <c r="U162" s="1093"/>
      <c r="V162" s="1092">
        <v>43</v>
      </c>
      <c r="W162" s="1093"/>
      <c r="X162" s="880"/>
    </row>
    <row r="163" spans="1:24" ht="12.95" customHeight="1" thickBot="1">
      <c r="A163" s="885"/>
      <c r="B163" s="885"/>
      <c r="C163" s="91" t="s">
        <v>233</v>
      </c>
      <c r="D163" s="957"/>
      <c r="E163" s="958"/>
      <c r="F163" s="958"/>
      <c r="G163" s="959"/>
      <c r="H163" s="966" t="s">
        <v>572</v>
      </c>
      <c r="I163" s="967"/>
      <c r="J163" s="967"/>
      <c r="K163" s="968"/>
      <c r="L163" s="1092">
        <v>28.333333333333332</v>
      </c>
      <c r="M163" s="1093"/>
      <c r="N163" s="1092">
        <v>21</v>
      </c>
      <c r="O163" s="1093"/>
      <c r="P163" s="1092">
        <v>41.666666666666664</v>
      </c>
      <c r="Q163" s="1093"/>
      <c r="R163" s="1092">
        <v>28.333333333333332</v>
      </c>
      <c r="S163" s="1093"/>
      <c r="T163" s="1092">
        <v>75</v>
      </c>
      <c r="U163" s="1093"/>
      <c r="V163" s="1092">
        <v>50</v>
      </c>
      <c r="W163" s="1093"/>
      <c r="X163" s="880"/>
    </row>
    <row r="164" spans="1:24" ht="12.95" customHeight="1" thickBot="1">
      <c r="A164" s="885"/>
      <c r="B164" s="885"/>
      <c r="C164" s="91" t="s">
        <v>234</v>
      </c>
      <c r="D164" s="957"/>
      <c r="E164" s="958"/>
      <c r="F164" s="958"/>
      <c r="G164" s="959"/>
      <c r="H164" s="957"/>
      <c r="I164" s="958"/>
      <c r="J164" s="958"/>
      <c r="K164" s="959"/>
      <c r="L164" s="1057" t="s">
        <v>443</v>
      </c>
      <c r="M164" s="1058"/>
      <c r="N164" s="1058"/>
      <c r="O164" s="1059"/>
      <c r="P164" s="1034">
        <v>0</v>
      </c>
      <c r="Q164" s="1035"/>
      <c r="R164" s="1034">
        <v>0</v>
      </c>
      <c r="S164" s="1035"/>
      <c r="T164" s="1034">
        <v>0</v>
      </c>
      <c r="U164" s="1035"/>
      <c r="V164" s="1034">
        <v>0</v>
      </c>
      <c r="W164" s="1035"/>
      <c r="X164" s="880"/>
    </row>
    <row r="165" spans="1:24" ht="13.5" thickBot="1">
      <c r="A165" s="885"/>
      <c r="B165" s="170" t="s">
        <v>179</v>
      </c>
      <c r="C165" s="103" t="s">
        <v>236</v>
      </c>
      <c r="D165" s="1011"/>
      <c r="E165" s="1012"/>
      <c r="F165" s="1012"/>
      <c r="G165" s="1013"/>
      <c r="H165" s="1011"/>
      <c r="I165" s="1012"/>
      <c r="J165" s="1012"/>
      <c r="K165" s="1013"/>
      <c r="L165" s="1011"/>
      <c r="M165" s="1012"/>
      <c r="N165" s="1012"/>
      <c r="O165" s="1013"/>
      <c r="P165" s="1090">
        <f>SUM('State DisAgg LFx10 (2015)'!P402:Q406)/5</f>
        <v>76</v>
      </c>
      <c r="Q165" s="1091"/>
      <c r="R165" s="1090">
        <f>SUM('State DisAgg LFx10 (2015)'!R402:S406)/5</f>
        <v>59.8</v>
      </c>
      <c r="S165" s="1091"/>
      <c r="T165" s="995">
        <v>0</v>
      </c>
      <c r="U165" s="997"/>
      <c r="V165" s="995">
        <v>0</v>
      </c>
      <c r="W165" s="997"/>
      <c r="X165" s="880"/>
    </row>
    <row r="166" spans="1:24" ht="13.5" thickBot="1">
      <c r="A166" s="885"/>
      <c r="B166" s="170"/>
      <c r="C166" s="102" t="s">
        <v>283</v>
      </c>
      <c r="D166" s="1017"/>
      <c r="E166" s="1018"/>
      <c r="F166" s="1018"/>
      <c r="G166" s="1019"/>
      <c r="H166" s="1017"/>
      <c r="I166" s="1018"/>
      <c r="J166" s="1018"/>
      <c r="K166" s="1019"/>
      <c r="L166" s="1011"/>
      <c r="M166" s="1012"/>
      <c r="N166" s="1012"/>
      <c r="O166" s="1013"/>
      <c r="P166" s="1088">
        <v>42.666666666666664</v>
      </c>
      <c r="Q166" s="1089"/>
      <c r="R166" s="1088">
        <v>27.333333333333332</v>
      </c>
      <c r="S166" s="1089"/>
      <c r="T166" s="995">
        <v>0</v>
      </c>
      <c r="U166" s="997"/>
      <c r="V166" s="995">
        <v>0</v>
      </c>
      <c r="W166" s="997"/>
      <c r="X166" s="880"/>
    </row>
    <row r="167" spans="1:24" ht="13.5" thickBot="1">
      <c r="A167" s="885"/>
      <c r="B167" s="170"/>
      <c r="C167" s="102" t="s">
        <v>284</v>
      </c>
      <c r="D167" s="1017"/>
      <c r="E167" s="1018"/>
      <c r="F167" s="1018"/>
      <c r="G167" s="1019"/>
      <c r="H167" s="1017"/>
      <c r="I167" s="1018"/>
      <c r="J167" s="1018"/>
      <c r="K167" s="1019"/>
      <c r="L167" s="1017"/>
      <c r="M167" s="1018"/>
      <c r="N167" s="1018"/>
      <c r="O167" s="1019"/>
      <c r="P167" s="1017"/>
      <c r="Q167" s="1018"/>
      <c r="R167" s="1018"/>
      <c r="S167" s="1019"/>
      <c r="T167" s="995">
        <v>0</v>
      </c>
      <c r="U167" s="997"/>
      <c r="V167" s="995">
        <v>0</v>
      </c>
      <c r="W167" s="997"/>
      <c r="X167" s="880"/>
    </row>
    <row r="168" spans="1:24" ht="13.5" thickBot="1">
      <c r="A168" s="885"/>
      <c r="B168" s="885"/>
      <c r="C168" s="998" t="s">
        <v>413</v>
      </c>
      <c r="D168" s="927" t="s">
        <v>4</v>
      </c>
      <c r="E168" s="928"/>
      <c r="F168" s="928"/>
      <c r="G168" s="928"/>
      <c r="H168" s="928"/>
      <c r="I168" s="928"/>
      <c r="J168" s="928"/>
      <c r="K168" s="928"/>
      <c r="L168" s="928"/>
      <c r="M168" s="928"/>
      <c r="N168" s="928"/>
      <c r="O168" s="928"/>
      <c r="P168" s="928"/>
      <c r="Q168" s="928"/>
      <c r="R168" s="928"/>
      <c r="S168" s="928"/>
      <c r="T168" s="928"/>
      <c r="U168" s="928"/>
      <c r="V168" s="928"/>
      <c r="W168" s="929"/>
      <c r="X168" s="880"/>
    </row>
    <row r="169" spans="1:24" ht="24" customHeight="1" thickBot="1">
      <c r="A169" s="885"/>
      <c r="B169" s="869"/>
      <c r="C169" s="999"/>
      <c r="D169" s="930" t="s">
        <v>121</v>
      </c>
      <c r="E169" s="931"/>
      <c r="F169" s="931"/>
      <c r="G169" s="931"/>
      <c r="H169" s="931"/>
      <c r="I169" s="931"/>
      <c r="J169" s="931"/>
      <c r="K169" s="931"/>
      <c r="L169" s="931"/>
      <c r="M169" s="931"/>
      <c r="N169" s="931"/>
      <c r="O169" s="931"/>
      <c r="P169" s="931"/>
      <c r="Q169" s="931"/>
      <c r="R169" s="931"/>
      <c r="S169" s="931"/>
      <c r="T169" s="931"/>
      <c r="U169" s="931"/>
      <c r="V169" s="931"/>
      <c r="W169" s="932"/>
      <c r="X169" s="880"/>
    </row>
    <row r="170" spans="1:24" ht="13.5" thickBot="1">
      <c r="A170" s="885"/>
      <c r="B170" s="11" t="s">
        <v>40</v>
      </c>
      <c r="C170" s="12"/>
      <c r="D170" s="927" t="s">
        <v>78</v>
      </c>
      <c r="E170" s="928"/>
      <c r="F170" s="928"/>
      <c r="G170" s="929"/>
      <c r="H170" s="927" t="s">
        <v>77</v>
      </c>
      <c r="I170" s="928"/>
      <c r="J170" s="928"/>
      <c r="K170" s="929"/>
      <c r="L170" s="927" t="s">
        <v>81</v>
      </c>
      <c r="M170" s="928"/>
      <c r="N170" s="928"/>
      <c r="O170" s="929"/>
      <c r="P170" s="927" t="s">
        <v>254</v>
      </c>
      <c r="Q170" s="928"/>
      <c r="R170" s="928"/>
      <c r="S170" s="929"/>
      <c r="T170" s="927" t="s">
        <v>76</v>
      </c>
      <c r="U170" s="928"/>
      <c r="V170" s="928"/>
      <c r="W170" s="929"/>
      <c r="X170" s="880"/>
    </row>
    <row r="171" spans="1:24" ht="12.95" customHeight="1" thickBot="1">
      <c r="A171" s="885"/>
      <c r="B171" s="1069" t="s">
        <v>644</v>
      </c>
      <c r="C171" s="9" t="s">
        <v>235</v>
      </c>
      <c r="D171" s="933" t="s">
        <v>171</v>
      </c>
      <c r="E171" s="934"/>
      <c r="F171" s="934"/>
      <c r="G171" s="935"/>
      <c r="H171" s="966" t="s">
        <v>572</v>
      </c>
      <c r="I171" s="967"/>
      <c r="J171" s="967"/>
      <c r="K171" s="968"/>
      <c r="L171" s="1085">
        <v>3.5</v>
      </c>
      <c r="M171" s="1086"/>
      <c r="N171" s="1086"/>
      <c r="O171" s="1087"/>
      <c r="P171" s="1082">
        <v>3.78</v>
      </c>
      <c r="Q171" s="1083"/>
      <c r="R171" s="1083"/>
      <c r="S171" s="1084"/>
      <c r="T171" s="1082">
        <v>4.1399999999999997</v>
      </c>
      <c r="U171" s="1083"/>
      <c r="V171" s="1083"/>
      <c r="W171" s="1084"/>
      <c r="X171" s="880"/>
    </row>
    <row r="172" spans="1:24" ht="12.95" customHeight="1" thickBot="1">
      <c r="A172" s="885"/>
      <c r="B172" s="1070"/>
      <c r="C172" s="9" t="s">
        <v>233</v>
      </c>
      <c r="D172" s="957"/>
      <c r="E172" s="958"/>
      <c r="F172" s="958"/>
      <c r="G172" s="959"/>
      <c r="H172" s="966" t="s">
        <v>572</v>
      </c>
      <c r="I172" s="967"/>
      <c r="J172" s="967"/>
      <c r="K172" s="968"/>
      <c r="L172" s="1085">
        <v>2.0333333333333332</v>
      </c>
      <c r="M172" s="1086"/>
      <c r="N172" s="1086"/>
      <c r="O172" s="1087"/>
      <c r="P172" s="1082">
        <v>2.3333333333333335</v>
      </c>
      <c r="Q172" s="1083"/>
      <c r="R172" s="1083"/>
      <c r="S172" s="1084"/>
      <c r="T172" s="1082">
        <v>2.8333333333333335</v>
      </c>
      <c r="U172" s="1083"/>
      <c r="V172" s="1083"/>
      <c r="W172" s="1084"/>
      <c r="X172" s="880"/>
    </row>
    <row r="173" spans="1:24" ht="12.95" customHeight="1" thickBot="1">
      <c r="A173" s="885"/>
      <c r="B173" s="1070"/>
      <c r="C173" s="9" t="s">
        <v>234</v>
      </c>
      <c r="D173" s="957"/>
      <c r="E173" s="958"/>
      <c r="F173" s="958"/>
      <c r="G173" s="959"/>
      <c r="H173" s="957"/>
      <c r="I173" s="958"/>
      <c r="J173" s="958"/>
      <c r="K173" s="959"/>
      <c r="L173" s="1057" t="s">
        <v>443</v>
      </c>
      <c r="M173" s="1058"/>
      <c r="N173" s="1058"/>
      <c r="O173" s="1059"/>
      <c r="P173" s="1023">
        <v>0</v>
      </c>
      <c r="Q173" s="1024"/>
      <c r="R173" s="1024"/>
      <c r="S173" s="1025"/>
      <c r="T173" s="1023">
        <v>0</v>
      </c>
      <c r="U173" s="1024"/>
      <c r="V173" s="1024"/>
      <c r="W173" s="1025"/>
      <c r="X173" s="880"/>
    </row>
    <row r="174" spans="1:24" ht="13.5" thickBot="1">
      <c r="A174" s="885"/>
      <c r="B174" s="1070"/>
      <c r="C174" s="102" t="s">
        <v>236</v>
      </c>
      <c r="D174" s="1011"/>
      <c r="E174" s="1012"/>
      <c r="F174" s="1012"/>
      <c r="G174" s="1013"/>
      <c r="H174" s="1011"/>
      <c r="I174" s="1012"/>
      <c r="J174" s="1012"/>
      <c r="K174" s="1013"/>
      <c r="L174" s="1011"/>
      <c r="M174" s="1012"/>
      <c r="N174" s="1012"/>
      <c r="O174" s="1013"/>
      <c r="P174" s="1020" t="s">
        <v>787</v>
      </c>
      <c r="Q174" s="1021"/>
      <c r="R174" s="1021"/>
      <c r="S174" s="1022"/>
      <c r="T174" s="1020">
        <v>0</v>
      </c>
      <c r="U174" s="1021"/>
      <c r="V174" s="1021"/>
      <c r="W174" s="1022"/>
      <c r="X174" s="881"/>
    </row>
    <row r="175" spans="1:24" ht="13.5" thickBot="1">
      <c r="A175" s="885"/>
      <c r="B175" s="1070"/>
      <c r="C175" s="102" t="s">
        <v>283</v>
      </c>
      <c r="D175" s="1017"/>
      <c r="E175" s="1018"/>
      <c r="F175" s="1018"/>
      <c r="G175" s="1019"/>
      <c r="H175" s="1017"/>
      <c r="I175" s="1018"/>
      <c r="J175" s="1018"/>
      <c r="K175" s="1019"/>
      <c r="L175" s="1011"/>
      <c r="M175" s="1012"/>
      <c r="N175" s="1012"/>
      <c r="O175" s="1013"/>
      <c r="P175" s="1020">
        <v>2.5333333333333332</v>
      </c>
      <c r="Q175" s="1021"/>
      <c r="R175" s="1021"/>
      <c r="S175" s="1022"/>
      <c r="T175" s="1020">
        <v>0</v>
      </c>
      <c r="U175" s="1021"/>
      <c r="V175" s="1021"/>
      <c r="W175" s="1022"/>
      <c r="X175" s="101"/>
    </row>
    <row r="176" spans="1:24" ht="13.5" thickBot="1">
      <c r="A176" s="869"/>
      <c r="B176" s="1070"/>
      <c r="C176" s="102" t="s">
        <v>284</v>
      </c>
      <c r="D176" s="1017"/>
      <c r="E176" s="1018"/>
      <c r="F176" s="1018"/>
      <c r="G176" s="1019"/>
      <c r="H176" s="1017"/>
      <c r="I176" s="1018"/>
      <c r="J176" s="1018"/>
      <c r="K176" s="1019"/>
      <c r="L176" s="1017"/>
      <c r="M176" s="1018"/>
      <c r="N176" s="1018"/>
      <c r="O176" s="1019"/>
      <c r="P176" s="1017"/>
      <c r="Q176" s="1018"/>
      <c r="R176" s="1018"/>
      <c r="S176" s="1019"/>
      <c r="T176" s="1020">
        <v>0</v>
      </c>
      <c r="U176" s="1021"/>
      <c r="V176" s="1021"/>
      <c r="W176" s="1022"/>
      <c r="X176" s="101"/>
    </row>
    <row r="177" spans="1:24" ht="13.5" thickBot="1">
      <c r="A177" s="174" t="s">
        <v>13</v>
      </c>
      <c r="B177" s="1070"/>
      <c r="C177" s="998" t="s">
        <v>413</v>
      </c>
      <c r="D177" s="927" t="s">
        <v>4</v>
      </c>
      <c r="E177" s="928"/>
      <c r="F177" s="928"/>
      <c r="G177" s="928"/>
      <c r="H177" s="928"/>
      <c r="I177" s="928"/>
      <c r="J177" s="928"/>
      <c r="K177" s="928"/>
      <c r="L177" s="928"/>
      <c r="M177" s="928"/>
      <c r="N177" s="928"/>
      <c r="O177" s="928"/>
      <c r="P177" s="928"/>
      <c r="Q177" s="928"/>
      <c r="R177" s="928"/>
      <c r="S177" s="928"/>
      <c r="T177" s="928"/>
      <c r="U177" s="928"/>
      <c r="V177" s="928"/>
      <c r="W177" s="929"/>
      <c r="X177" s="24" t="s">
        <v>14</v>
      </c>
    </row>
    <row r="178" spans="1:24" ht="13.5" thickBot="1">
      <c r="A178" s="25" t="s">
        <v>75</v>
      </c>
      <c r="B178" s="1071"/>
      <c r="C178" s="999"/>
      <c r="D178" s="930" t="s">
        <v>122</v>
      </c>
      <c r="E178" s="931"/>
      <c r="F178" s="931"/>
      <c r="G178" s="931"/>
      <c r="H178" s="931"/>
      <c r="I178" s="931"/>
      <c r="J178" s="931"/>
      <c r="K178" s="931"/>
      <c r="L178" s="931"/>
      <c r="M178" s="931"/>
      <c r="N178" s="931"/>
      <c r="O178" s="931"/>
      <c r="P178" s="931"/>
      <c r="Q178" s="931"/>
      <c r="R178" s="931"/>
      <c r="S178" s="931"/>
      <c r="T178" s="931"/>
      <c r="U178" s="931"/>
      <c r="V178" s="931"/>
      <c r="W178" s="932"/>
      <c r="X178" s="18" t="s">
        <v>92</v>
      </c>
    </row>
    <row r="179" spans="1:24" ht="13.5" thickBot="1">
      <c r="A179" s="906" t="s">
        <v>7</v>
      </c>
      <c r="B179" s="908" t="s">
        <v>173</v>
      </c>
      <c r="C179" s="918"/>
      <c r="D179" s="908" t="s">
        <v>8</v>
      </c>
      <c r="E179" s="918"/>
      <c r="F179" s="918"/>
      <c r="G179" s="909"/>
      <c r="H179" s="908" t="s">
        <v>88</v>
      </c>
      <c r="I179" s="918"/>
      <c r="J179" s="918"/>
      <c r="K179" s="909"/>
      <c r="L179" s="908" t="s">
        <v>89</v>
      </c>
      <c r="M179" s="918"/>
      <c r="N179" s="918"/>
      <c r="O179" s="909"/>
      <c r="P179" s="908" t="s">
        <v>9</v>
      </c>
      <c r="Q179" s="918"/>
      <c r="R179" s="918"/>
      <c r="S179" s="909"/>
      <c r="T179" s="908" t="s">
        <v>174</v>
      </c>
      <c r="U179" s="918"/>
      <c r="V179" s="918"/>
      <c r="W179" s="918"/>
      <c r="X179" s="909"/>
    </row>
    <row r="180" spans="1:24" ht="13.5" thickBot="1">
      <c r="A180" s="907"/>
      <c r="B180" s="919">
        <v>4200000</v>
      </c>
      <c r="C180" s="921"/>
      <c r="D180" s="919">
        <v>0</v>
      </c>
      <c r="E180" s="921"/>
      <c r="F180" s="921"/>
      <c r="G180" s="920"/>
      <c r="H180" s="919">
        <v>3200000</v>
      </c>
      <c r="I180" s="921"/>
      <c r="J180" s="921"/>
      <c r="K180" s="920"/>
      <c r="L180" s="919">
        <v>0</v>
      </c>
      <c r="M180" s="921"/>
      <c r="N180" s="921"/>
      <c r="O180" s="920"/>
      <c r="P180" s="919">
        <f>SUM(B180:O180)</f>
        <v>7400000</v>
      </c>
      <c r="Q180" s="921"/>
      <c r="R180" s="921"/>
      <c r="S180" s="920"/>
      <c r="T180" s="942">
        <f>B180/P180%</f>
        <v>56.756756756756758</v>
      </c>
      <c r="U180" s="943"/>
      <c r="V180" s="943"/>
      <c r="W180" s="943"/>
      <c r="X180" s="944"/>
    </row>
    <row r="181" spans="1:24" ht="13.5" thickBot="1">
      <c r="A181" s="906" t="s">
        <v>10</v>
      </c>
      <c r="B181" s="908" t="s">
        <v>175</v>
      </c>
      <c r="C181" s="918"/>
      <c r="D181" s="910"/>
      <c r="E181" s="911"/>
      <c r="F181" s="911"/>
      <c r="G181" s="911"/>
      <c r="H181" s="911"/>
      <c r="I181" s="911"/>
      <c r="J181" s="911"/>
      <c r="K181" s="911"/>
      <c r="L181" s="911"/>
      <c r="M181" s="911"/>
      <c r="N181" s="911"/>
      <c r="O181" s="911"/>
      <c r="P181" s="911"/>
      <c r="Q181" s="911"/>
      <c r="R181" s="911"/>
      <c r="S181" s="911"/>
      <c r="T181" s="911"/>
      <c r="U181" s="911"/>
      <c r="V181" s="911"/>
      <c r="W181" s="911"/>
      <c r="X181" s="912"/>
    </row>
    <row r="182" spans="1:24" ht="13.5" thickBot="1">
      <c r="A182" s="907"/>
      <c r="B182" s="916"/>
      <c r="C182" s="994"/>
      <c r="D182" s="913"/>
      <c r="E182" s="914"/>
      <c r="F182" s="914"/>
      <c r="G182" s="914"/>
      <c r="H182" s="914"/>
      <c r="I182" s="914"/>
      <c r="J182" s="914"/>
      <c r="K182" s="914"/>
      <c r="L182" s="914"/>
      <c r="M182" s="914"/>
      <c r="N182" s="914"/>
      <c r="O182" s="914"/>
      <c r="P182" s="914"/>
      <c r="Q182" s="914"/>
      <c r="R182" s="914"/>
      <c r="S182" s="914"/>
      <c r="T182" s="914"/>
      <c r="U182" s="914"/>
      <c r="V182" s="914"/>
      <c r="W182" s="914"/>
      <c r="X182" s="915"/>
    </row>
    <row r="183" spans="1:24">
      <c r="A183" s="5"/>
      <c r="B183" s="5"/>
      <c r="C183" s="6"/>
      <c r="D183" s="5"/>
      <c r="E183" s="5"/>
      <c r="F183" s="5"/>
      <c r="G183" s="5"/>
      <c r="H183" s="5"/>
      <c r="I183" s="5"/>
      <c r="J183" s="5"/>
      <c r="K183" s="5"/>
      <c r="L183" s="5"/>
      <c r="M183" s="5"/>
      <c r="N183" s="5"/>
      <c r="O183" s="5"/>
      <c r="P183" s="5"/>
      <c r="Q183" s="5"/>
      <c r="R183" s="5"/>
      <c r="S183" s="5"/>
      <c r="T183" s="5"/>
      <c r="U183" s="5"/>
      <c r="V183" s="5"/>
      <c r="W183" s="5"/>
      <c r="X183" s="5"/>
    </row>
    <row r="184" spans="1:24" ht="13.5" thickBot="1">
      <c r="A184" s="5"/>
      <c r="B184" s="5"/>
      <c r="C184" s="6"/>
      <c r="D184" s="5"/>
      <c r="E184" s="5"/>
      <c r="F184" s="5"/>
      <c r="G184" s="5"/>
      <c r="H184" s="5"/>
      <c r="I184" s="5"/>
      <c r="J184" s="5"/>
      <c r="K184" s="5"/>
      <c r="L184" s="5"/>
      <c r="M184" s="5"/>
      <c r="N184" s="5"/>
      <c r="O184" s="5"/>
      <c r="P184" s="5"/>
      <c r="Q184" s="5"/>
      <c r="R184" s="5"/>
      <c r="S184" s="5"/>
      <c r="T184" s="5"/>
      <c r="U184" s="5"/>
      <c r="V184" s="5"/>
      <c r="W184" s="5"/>
      <c r="X184" s="5"/>
    </row>
    <row r="185" spans="1:24" ht="13.5" thickBot="1">
      <c r="A185" s="173" t="s">
        <v>28</v>
      </c>
      <c r="B185" s="172" t="s">
        <v>32</v>
      </c>
      <c r="C185" s="8"/>
      <c r="D185" s="927" t="s">
        <v>78</v>
      </c>
      <c r="E185" s="928"/>
      <c r="F185" s="928"/>
      <c r="G185" s="929"/>
      <c r="H185" s="927" t="s">
        <v>77</v>
      </c>
      <c r="I185" s="928"/>
      <c r="J185" s="928"/>
      <c r="K185" s="929"/>
      <c r="L185" s="927" t="s">
        <v>81</v>
      </c>
      <c r="M185" s="928"/>
      <c r="N185" s="928"/>
      <c r="O185" s="929"/>
      <c r="P185" s="927" t="s">
        <v>254</v>
      </c>
      <c r="Q185" s="928"/>
      <c r="R185" s="928"/>
      <c r="S185" s="929"/>
      <c r="T185" s="927" t="s">
        <v>76</v>
      </c>
      <c r="U185" s="928"/>
      <c r="V185" s="928"/>
      <c r="W185" s="929"/>
      <c r="X185" s="16" t="s">
        <v>6</v>
      </c>
    </row>
    <row r="186" spans="1:24" ht="13.5" thickBot="1">
      <c r="A186" s="868" t="s">
        <v>65</v>
      </c>
      <c r="B186" s="868" t="s">
        <v>66</v>
      </c>
      <c r="C186" s="9" t="s">
        <v>235</v>
      </c>
      <c r="D186" s="1014">
        <v>1.6</v>
      </c>
      <c r="E186" s="1015"/>
      <c r="F186" s="1015"/>
      <c r="G186" s="1016"/>
      <c r="H186" s="1014">
        <v>2</v>
      </c>
      <c r="I186" s="1015"/>
      <c r="J186" s="1015"/>
      <c r="K186" s="1016"/>
      <c r="L186" s="1014">
        <v>2.4</v>
      </c>
      <c r="M186" s="1015"/>
      <c r="N186" s="1015"/>
      <c r="O186" s="1016"/>
      <c r="P186" s="1014">
        <v>2.6</v>
      </c>
      <c r="Q186" s="1015"/>
      <c r="R186" s="1015"/>
      <c r="S186" s="1016"/>
      <c r="T186" s="1014">
        <v>3</v>
      </c>
      <c r="U186" s="1015"/>
      <c r="V186" s="1015"/>
      <c r="W186" s="1016"/>
      <c r="X186" s="879" t="s">
        <v>91</v>
      </c>
    </row>
    <row r="187" spans="1:24" ht="13.5" thickBot="1">
      <c r="A187" s="885"/>
      <c r="B187" s="885"/>
      <c r="C187" s="9" t="s">
        <v>233</v>
      </c>
      <c r="D187" s="966" t="s">
        <v>255</v>
      </c>
      <c r="E187" s="967"/>
      <c r="F187" s="967"/>
      <c r="G187" s="968"/>
      <c r="H187" s="1036">
        <v>1.5</v>
      </c>
      <c r="I187" s="1037"/>
      <c r="J187" s="1037"/>
      <c r="K187" s="1038"/>
      <c r="L187" s="1014">
        <v>1.5</v>
      </c>
      <c r="M187" s="1015"/>
      <c r="N187" s="1015"/>
      <c r="O187" s="1016"/>
      <c r="P187" s="1014">
        <v>1.6</v>
      </c>
      <c r="Q187" s="1015"/>
      <c r="R187" s="1015"/>
      <c r="S187" s="1016"/>
      <c r="T187" s="1014">
        <v>2.5</v>
      </c>
      <c r="U187" s="1015"/>
      <c r="V187" s="1015"/>
      <c r="W187" s="1016"/>
      <c r="X187" s="880"/>
    </row>
    <row r="188" spans="1:24" ht="12.95" customHeight="1" thickBot="1">
      <c r="A188" s="885"/>
      <c r="B188" s="885"/>
      <c r="C188" s="9" t="s">
        <v>234</v>
      </c>
      <c r="D188" s="957"/>
      <c r="E188" s="958"/>
      <c r="F188" s="958"/>
      <c r="G188" s="959"/>
      <c r="H188" s="957"/>
      <c r="I188" s="958"/>
      <c r="J188" s="958"/>
      <c r="K188" s="959"/>
      <c r="L188" s="1057" t="s">
        <v>443</v>
      </c>
      <c r="M188" s="1058"/>
      <c r="N188" s="1058"/>
      <c r="O188" s="1059"/>
      <c r="P188" s="1023">
        <v>0</v>
      </c>
      <c r="Q188" s="1024"/>
      <c r="R188" s="1024"/>
      <c r="S188" s="1025"/>
      <c r="T188" s="1023">
        <v>0</v>
      </c>
      <c r="U188" s="1024"/>
      <c r="V188" s="1024"/>
      <c r="W188" s="1025"/>
      <c r="X188" s="880"/>
    </row>
    <row r="189" spans="1:24" ht="13.5" thickBot="1">
      <c r="A189" s="885"/>
      <c r="B189" s="885"/>
      <c r="C189" s="102" t="s">
        <v>236</v>
      </c>
      <c r="D189" s="1008" t="s">
        <v>416</v>
      </c>
      <c r="E189" s="1009"/>
      <c r="F189" s="1009"/>
      <c r="G189" s="1010"/>
      <c r="H189" s="1020">
        <v>2</v>
      </c>
      <c r="I189" s="1021"/>
      <c r="J189" s="1021"/>
      <c r="K189" s="1022"/>
      <c r="L189" s="1020">
        <v>2.7</v>
      </c>
      <c r="M189" s="1021"/>
      <c r="N189" s="1021"/>
      <c r="O189" s="1022"/>
      <c r="P189" s="1079" t="s">
        <v>788</v>
      </c>
      <c r="Q189" s="1080"/>
      <c r="R189" s="1080"/>
      <c r="S189" s="1081"/>
      <c r="T189" s="1020">
        <v>0</v>
      </c>
      <c r="U189" s="1021"/>
      <c r="V189" s="1021"/>
      <c r="W189" s="1022"/>
      <c r="X189" s="880"/>
    </row>
    <row r="190" spans="1:24" ht="13.5" thickBot="1">
      <c r="A190" s="885"/>
      <c r="B190" s="885"/>
      <c r="C190" s="102" t="s">
        <v>283</v>
      </c>
      <c r="D190" s="1017"/>
      <c r="E190" s="1018"/>
      <c r="F190" s="1018"/>
      <c r="G190" s="1019"/>
      <c r="H190" s="1017"/>
      <c r="I190" s="1018"/>
      <c r="J190" s="1018"/>
      <c r="K190" s="1019"/>
      <c r="L190" s="1020">
        <v>1.5</v>
      </c>
      <c r="M190" s="1021"/>
      <c r="N190" s="1021"/>
      <c r="O190" s="1022"/>
      <c r="P190" s="1020" t="s">
        <v>789</v>
      </c>
      <c r="Q190" s="1021"/>
      <c r="R190" s="1021"/>
      <c r="S190" s="1022"/>
      <c r="T190" s="1020">
        <v>0</v>
      </c>
      <c r="U190" s="1021"/>
      <c r="V190" s="1021"/>
      <c r="W190" s="1022"/>
      <c r="X190" s="880"/>
    </row>
    <row r="191" spans="1:24" ht="13.5" thickBot="1">
      <c r="A191" s="885"/>
      <c r="B191" s="885"/>
      <c r="C191" s="102" t="s">
        <v>284</v>
      </c>
      <c r="D191" s="1017"/>
      <c r="E191" s="1018"/>
      <c r="F191" s="1018"/>
      <c r="G191" s="1019"/>
      <c r="H191" s="1017"/>
      <c r="I191" s="1018"/>
      <c r="J191" s="1018"/>
      <c r="K191" s="1019"/>
      <c r="L191" s="1017"/>
      <c r="M191" s="1018"/>
      <c r="N191" s="1018"/>
      <c r="O191" s="1019"/>
      <c r="P191" s="1017"/>
      <c r="Q191" s="1018"/>
      <c r="R191" s="1018"/>
      <c r="S191" s="1019"/>
      <c r="T191" s="1020">
        <v>0</v>
      </c>
      <c r="U191" s="1021"/>
      <c r="V191" s="1021"/>
      <c r="W191" s="1022"/>
      <c r="X191" s="880"/>
    </row>
    <row r="192" spans="1:24" ht="13.5" thickBot="1">
      <c r="A192" s="885"/>
      <c r="B192" s="885"/>
      <c r="C192" s="998" t="s">
        <v>413</v>
      </c>
      <c r="D192" s="927" t="s">
        <v>4</v>
      </c>
      <c r="E192" s="928"/>
      <c r="F192" s="928"/>
      <c r="G192" s="928"/>
      <c r="H192" s="928"/>
      <c r="I192" s="928"/>
      <c r="J192" s="928"/>
      <c r="K192" s="928"/>
      <c r="L192" s="928"/>
      <c r="M192" s="928"/>
      <c r="N192" s="928"/>
      <c r="O192" s="928"/>
      <c r="P192" s="928"/>
      <c r="Q192" s="928"/>
      <c r="R192" s="928"/>
      <c r="S192" s="928"/>
      <c r="T192" s="928"/>
      <c r="U192" s="928"/>
      <c r="V192" s="928"/>
      <c r="W192" s="929"/>
      <c r="X192" s="880"/>
    </row>
    <row r="193" spans="1:24" ht="13.5" thickBot="1">
      <c r="A193" s="885"/>
      <c r="B193" s="869"/>
      <c r="C193" s="999"/>
      <c r="D193" s="930" t="s">
        <v>123</v>
      </c>
      <c r="E193" s="931"/>
      <c r="F193" s="931"/>
      <c r="G193" s="931"/>
      <c r="H193" s="931"/>
      <c r="I193" s="931"/>
      <c r="J193" s="931"/>
      <c r="K193" s="931"/>
      <c r="L193" s="931"/>
      <c r="M193" s="931"/>
      <c r="N193" s="931"/>
      <c r="O193" s="931"/>
      <c r="P193" s="931"/>
      <c r="Q193" s="931"/>
      <c r="R193" s="931"/>
      <c r="S193" s="931"/>
      <c r="T193" s="931"/>
      <c r="U193" s="931"/>
      <c r="V193" s="931"/>
      <c r="W193" s="932"/>
      <c r="X193" s="880"/>
    </row>
    <row r="194" spans="1:24" ht="13.5" thickBot="1">
      <c r="A194" s="885"/>
      <c r="B194" s="11" t="s">
        <v>33</v>
      </c>
      <c r="C194" s="12"/>
      <c r="D194" s="927" t="s">
        <v>78</v>
      </c>
      <c r="E194" s="928"/>
      <c r="F194" s="928"/>
      <c r="G194" s="929"/>
      <c r="H194" s="927" t="s">
        <v>77</v>
      </c>
      <c r="I194" s="928"/>
      <c r="J194" s="928"/>
      <c r="K194" s="929"/>
      <c r="L194" s="927" t="s">
        <v>81</v>
      </c>
      <c r="M194" s="928"/>
      <c r="N194" s="928"/>
      <c r="O194" s="929"/>
      <c r="P194" s="927" t="s">
        <v>254</v>
      </c>
      <c r="Q194" s="928"/>
      <c r="R194" s="928"/>
      <c r="S194" s="929"/>
      <c r="T194" s="927" t="s">
        <v>76</v>
      </c>
      <c r="U194" s="928"/>
      <c r="V194" s="928"/>
      <c r="W194" s="929"/>
      <c r="X194" s="880"/>
    </row>
    <row r="195" spans="1:24" ht="13.5" thickBot="1">
      <c r="A195" s="885"/>
      <c r="B195" s="868" t="s">
        <v>67</v>
      </c>
      <c r="C195" s="9" t="s">
        <v>235</v>
      </c>
      <c r="D195" s="1014">
        <v>1.2</v>
      </c>
      <c r="E195" s="1015"/>
      <c r="F195" s="1015"/>
      <c r="G195" s="1016"/>
      <c r="H195" s="1014">
        <v>1.8</v>
      </c>
      <c r="I195" s="1015"/>
      <c r="J195" s="1015"/>
      <c r="K195" s="1016"/>
      <c r="L195" s="1014">
        <v>2.4</v>
      </c>
      <c r="M195" s="1015"/>
      <c r="N195" s="1015"/>
      <c r="O195" s="1016"/>
      <c r="P195" s="1014">
        <v>2.7</v>
      </c>
      <c r="Q195" s="1015"/>
      <c r="R195" s="1015"/>
      <c r="S195" s="1016"/>
      <c r="T195" s="1014">
        <v>3</v>
      </c>
      <c r="U195" s="1015"/>
      <c r="V195" s="1015"/>
      <c r="W195" s="1016"/>
      <c r="X195" s="880"/>
    </row>
    <row r="196" spans="1:24" ht="13.5" thickBot="1">
      <c r="A196" s="885"/>
      <c r="B196" s="885"/>
      <c r="C196" s="9" t="s">
        <v>233</v>
      </c>
      <c r="D196" s="966" t="s">
        <v>255</v>
      </c>
      <c r="E196" s="967"/>
      <c r="F196" s="967"/>
      <c r="G196" s="968"/>
      <c r="H196" s="1036">
        <v>2.5</v>
      </c>
      <c r="I196" s="1037"/>
      <c r="J196" s="1037"/>
      <c r="K196" s="1038"/>
      <c r="L196" s="1014">
        <v>2.5</v>
      </c>
      <c r="M196" s="1015"/>
      <c r="N196" s="1015"/>
      <c r="O196" s="1016"/>
      <c r="P196" s="1014">
        <v>2.2999999999999998</v>
      </c>
      <c r="Q196" s="1015"/>
      <c r="R196" s="1015"/>
      <c r="S196" s="1016"/>
      <c r="T196" s="1014">
        <v>2.8</v>
      </c>
      <c r="U196" s="1015"/>
      <c r="V196" s="1015"/>
      <c r="W196" s="1016"/>
      <c r="X196" s="880"/>
    </row>
    <row r="197" spans="1:24" ht="12.95" customHeight="1" thickBot="1">
      <c r="A197" s="885"/>
      <c r="B197" s="885"/>
      <c r="C197" s="9" t="s">
        <v>234</v>
      </c>
      <c r="D197" s="957"/>
      <c r="E197" s="958"/>
      <c r="F197" s="958"/>
      <c r="G197" s="959"/>
      <c r="H197" s="957"/>
      <c r="I197" s="958"/>
      <c r="J197" s="958"/>
      <c r="K197" s="959"/>
      <c r="L197" s="1057" t="s">
        <v>443</v>
      </c>
      <c r="M197" s="1058"/>
      <c r="N197" s="1058"/>
      <c r="O197" s="1059"/>
      <c r="P197" s="1023">
        <v>0</v>
      </c>
      <c r="Q197" s="1024"/>
      <c r="R197" s="1024"/>
      <c r="S197" s="1025"/>
      <c r="T197" s="1023">
        <v>0</v>
      </c>
      <c r="U197" s="1024"/>
      <c r="V197" s="1024"/>
      <c r="W197" s="1025"/>
      <c r="X197" s="880"/>
    </row>
    <row r="198" spans="1:24" ht="13.5" thickBot="1">
      <c r="A198" s="885"/>
      <c r="B198" s="885"/>
      <c r="C198" s="102" t="s">
        <v>236</v>
      </c>
      <c r="D198" s="1008" t="s">
        <v>416</v>
      </c>
      <c r="E198" s="1009"/>
      <c r="F198" s="1009"/>
      <c r="G198" s="1010"/>
      <c r="H198" s="1020">
        <v>2.2999999999999998</v>
      </c>
      <c r="I198" s="1021"/>
      <c r="J198" s="1021"/>
      <c r="K198" s="1022"/>
      <c r="L198" s="1020">
        <v>2.7</v>
      </c>
      <c r="M198" s="1021"/>
      <c r="N198" s="1021"/>
      <c r="O198" s="1022"/>
      <c r="P198" s="1079">
        <v>4.0999999999999996</v>
      </c>
      <c r="Q198" s="1080"/>
      <c r="R198" s="1080"/>
      <c r="S198" s="1081"/>
      <c r="T198" s="1020">
        <v>0</v>
      </c>
      <c r="U198" s="1021"/>
      <c r="V198" s="1021"/>
      <c r="W198" s="1022"/>
      <c r="X198" s="880"/>
    </row>
    <row r="199" spans="1:24" ht="13.5" thickBot="1">
      <c r="A199" s="885"/>
      <c r="B199" s="885"/>
      <c r="C199" s="102" t="s">
        <v>283</v>
      </c>
      <c r="D199" s="1017"/>
      <c r="E199" s="1018"/>
      <c r="F199" s="1018"/>
      <c r="G199" s="1019"/>
      <c r="H199" s="1017"/>
      <c r="I199" s="1018"/>
      <c r="J199" s="1018"/>
      <c r="K199" s="1019"/>
      <c r="L199" s="1020">
        <v>2.5</v>
      </c>
      <c r="M199" s="1021"/>
      <c r="N199" s="1021"/>
      <c r="O199" s="1022"/>
      <c r="P199" s="1020" t="s">
        <v>790</v>
      </c>
      <c r="Q199" s="1021"/>
      <c r="R199" s="1021"/>
      <c r="S199" s="1022"/>
      <c r="T199" s="1020">
        <v>0</v>
      </c>
      <c r="U199" s="1021"/>
      <c r="V199" s="1021"/>
      <c r="W199" s="1022"/>
      <c r="X199" s="880"/>
    </row>
    <row r="200" spans="1:24" ht="13.5" thickBot="1">
      <c r="A200" s="885"/>
      <c r="B200" s="885"/>
      <c r="C200" s="102" t="s">
        <v>284</v>
      </c>
      <c r="D200" s="1017"/>
      <c r="E200" s="1018"/>
      <c r="F200" s="1018"/>
      <c r="G200" s="1019"/>
      <c r="H200" s="1017"/>
      <c r="I200" s="1018"/>
      <c r="J200" s="1018"/>
      <c r="K200" s="1019"/>
      <c r="L200" s="1017"/>
      <c r="M200" s="1018"/>
      <c r="N200" s="1018"/>
      <c r="O200" s="1019"/>
      <c r="P200" s="1017"/>
      <c r="Q200" s="1018"/>
      <c r="R200" s="1018"/>
      <c r="S200" s="1019"/>
      <c r="T200" s="1020">
        <v>0</v>
      </c>
      <c r="U200" s="1021"/>
      <c r="V200" s="1021"/>
      <c r="W200" s="1022"/>
      <c r="X200" s="880"/>
    </row>
    <row r="201" spans="1:24" ht="13.5" thickBot="1">
      <c r="A201" s="885"/>
      <c r="B201" s="885"/>
      <c r="C201" s="998" t="s">
        <v>413</v>
      </c>
      <c r="D201" s="927" t="s">
        <v>4</v>
      </c>
      <c r="E201" s="928"/>
      <c r="F201" s="928"/>
      <c r="G201" s="928"/>
      <c r="H201" s="928"/>
      <c r="I201" s="928"/>
      <c r="J201" s="928"/>
      <c r="K201" s="928"/>
      <c r="L201" s="928"/>
      <c r="M201" s="928"/>
      <c r="N201" s="928"/>
      <c r="O201" s="928"/>
      <c r="P201" s="928"/>
      <c r="Q201" s="928"/>
      <c r="R201" s="928"/>
      <c r="S201" s="928"/>
      <c r="T201" s="928"/>
      <c r="U201" s="928"/>
      <c r="V201" s="928"/>
      <c r="W201" s="929"/>
      <c r="X201" s="880"/>
    </row>
    <row r="202" spans="1:24" ht="13.5" thickBot="1">
      <c r="A202" s="885"/>
      <c r="B202" s="869"/>
      <c r="C202" s="999"/>
      <c r="D202" s="930" t="s">
        <v>123</v>
      </c>
      <c r="E202" s="931"/>
      <c r="F202" s="931"/>
      <c r="G202" s="931"/>
      <c r="H202" s="931"/>
      <c r="I202" s="931"/>
      <c r="J202" s="931"/>
      <c r="K202" s="931"/>
      <c r="L202" s="931"/>
      <c r="M202" s="931"/>
      <c r="N202" s="931"/>
      <c r="O202" s="931"/>
      <c r="P202" s="931"/>
      <c r="Q202" s="931"/>
      <c r="R202" s="931"/>
      <c r="S202" s="931"/>
      <c r="T202" s="931"/>
      <c r="U202" s="931"/>
      <c r="V202" s="931"/>
      <c r="W202" s="932"/>
      <c r="X202" s="880"/>
    </row>
    <row r="203" spans="1:24" ht="13.5" thickBot="1">
      <c r="A203" s="885"/>
      <c r="B203" s="11" t="s">
        <v>34</v>
      </c>
      <c r="C203" s="12"/>
      <c r="D203" s="927" t="s">
        <v>78</v>
      </c>
      <c r="E203" s="928"/>
      <c r="F203" s="928"/>
      <c r="G203" s="929"/>
      <c r="H203" s="927" t="s">
        <v>77</v>
      </c>
      <c r="I203" s="928"/>
      <c r="J203" s="928"/>
      <c r="K203" s="929"/>
      <c r="L203" s="927" t="s">
        <v>81</v>
      </c>
      <c r="M203" s="928"/>
      <c r="N203" s="928"/>
      <c r="O203" s="929"/>
      <c r="P203" s="927" t="s">
        <v>254</v>
      </c>
      <c r="Q203" s="928"/>
      <c r="R203" s="928"/>
      <c r="S203" s="929"/>
      <c r="T203" s="927" t="s">
        <v>76</v>
      </c>
      <c r="U203" s="928"/>
      <c r="V203" s="928"/>
      <c r="W203" s="929"/>
      <c r="X203" s="880"/>
    </row>
    <row r="204" spans="1:24" ht="13.5" thickBot="1">
      <c r="A204" s="885"/>
      <c r="B204" s="868" t="s">
        <v>68</v>
      </c>
      <c r="C204" s="9" t="s">
        <v>235</v>
      </c>
      <c r="D204" s="1014">
        <v>1</v>
      </c>
      <c r="E204" s="1015"/>
      <c r="F204" s="1015"/>
      <c r="G204" s="1016"/>
      <c r="H204" s="1014">
        <v>1.6</v>
      </c>
      <c r="I204" s="1015"/>
      <c r="J204" s="1015"/>
      <c r="K204" s="1016"/>
      <c r="L204" s="1014">
        <v>2.2000000000000002</v>
      </c>
      <c r="M204" s="1015"/>
      <c r="N204" s="1015"/>
      <c r="O204" s="1016"/>
      <c r="P204" s="1014">
        <v>2.6</v>
      </c>
      <c r="Q204" s="1015"/>
      <c r="R204" s="1015"/>
      <c r="S204" s="1016"/>
      <c r="T204" s="1014">
        <v>3</v>
      </c>
      <c r="U204" s="1015"/>
      <c r="V204" s="1015"/>
      <c r="W204" s="1016"/>
      <c r="X204" s="880"/>
    </row>
    <row r="205" spans="1:24" ht="13.5" thickBot="1">
      <c r="A205" s="885"/>
      <c r="B205" s="885"/>
      <c r="C205" s="9" t="s">
        <v>233</v>
      </c>
      <c r="D205" s="966" t="s">
        <v>255</v>
      </c>
      <c r="E205" s="967"/>
      <c r="F205" s="967"/>
      <c r="G205" s="968"/>
      <c r="H205" s="1036">
        <v>1.6</v>
      </c>
      <c r="I205" s="1037"/>
      <c r="J205" s="1037"/>
      <c r="K205" s="1038"/>
      <c r="L205" s="1014">
        <v>1.6</v>
      </c>
      <c r="M205" s="1015"/>
      <c r="N205" s="1015"/>
      <c r="O205" s="1016"/>
      <c r="P205" s="1014">
        <v>1.7</v>
      </c>
      <c r="Q205" s="1015"/>
      <c r="R205" s="1015"/>
      <c r="S205" s="1016"/>
      <c r="T205" s="1014">
        <v>2.5</v>
      </c>
      <c r="U205" s="1015"/>
      <c r="V205" s="1015"/>
      <c r="W205" s="1016"/>
      <c r="X205" s="880"/>
    </row>
    <row r="206" spans="1:24" ht="12.95" customHeight="1" thickBot="1">
      <c r="A206" s="885"/>
      <c r="B206" s="885"/>
      <c r="C206" s="9" t="s">
        <v>234</v>
      </c>
      <c r="D206" s="957"/>
      <c r="E206" s="958"/>
      <c r="F206" s="958"/>
      <c r="G206" s="959"/>
      <c r="H206" s="957"/>
      <c r="I206" s="958"/>
      <c r="J206" s="958"/>
      <c r="K206" s="959"/>
      <c r="L206" s="1057" t="s">
        <v>443</v>
      </c>
      <c r="M206" s="1058"/>
      <c r="N206" s="1058"/>
      <c r="O206" s="1059"/>
      <c r="P206" s="1023">
        <v>0</v>
      </c>
      <c r="Q206" s="1024"/>
      <c r="R206" s="1024"/>
      <c r="S206" s="1025"/>
      <c r="T206" s="1023">
        <v>0</v>
      </c>
      <c r="U206" s="1024"/>
      <c r="V206" s="1024"/>
      <c r="W206" s="1025"/>
      <c r="X206" s="880"/>
    </row>
    <row r="207" spans="1:24" ht="13.5" thickBot="1">
      <c r="A207" s="885"/>
      <c r="B207" s="885"/>
      <c r="C207" s="102" t="s">
        <v>236</v>
      </c>
      <c r="D207" s="1008" t="s">
        <v>416</v>
      </c>
      <c r="E207" s="1009"/>
      <c r="F207" s="1009"/>
      <c r="G207" s="1010"/>
      <c r="H207" s="1020">
        <v>1.9</v>
      </c>
      <c r="I207" s="1021"/>
      <c r="J207" s="1021"/>
      <c r="K207" s="1022"/>
      <c r="L207" s="1020">
        <v>2.2000000000000002</v>
      </c>
      <c r="M207" s="1021"/>
      <c r="N207" s="1021"/>
      <c r="O207" s="1022"/>
      <c r="P207" s="1079">
        <v>2.8</v>
      </c>
      <c r="Q207" s="1080"/>
      <c r="R207" s="1080"/>
      <c r="S207" s="1081"/>
      <c r="T207" s="1020">
        <v>0</v>
      </c>
      <c r="U207" s="1021"/>
      <c r="V207" s="1021"/>
      <c r="W207" s="1022"/>
      <c r="X207" s="880"/>
    </row>
    <row r="208" spans="1:24" ht="13.5" thickBot="1">
      <c r="A208" s="885"/>
      <c r="B208" s="885"/>
      <c r="C208" s="102" t="s">
        <v>283</v>
      </c>
      <c r="D208" s="1017"/>
      <c r="E208" s="1018"/>
      <c r="F208" s="1018"/>
      <c r="G208" s="1019"/>
      <c r="H208" s="1017"/>
      <c r="I208" s="1018"/>
      <c r="J208" s="1018"/>
      <c r="K208" s="1019"/>
      <c r="L208" s="1020">
        <v>1.6</v>
      </c>
      <c r="M208" s="1021"/>
      <c r="N208" s="1021"/>
      <c r="O208" s="1022"/>
      <c r="P208" s="1020" t="s">
        <v>791</v>
      </c>
      <c r="Q208" s="1021"/>
      <c r="R208" s="1021"/>
      <c r="S208" s="1022"/>
      <c r="T208" s="1020">
        <v>0</v>
      </c>
      <c r="U208" s="1021"/>
      <c r="V208" s="1021"/>
      <c r="W208" s="1022"/>
      <c r="X208" s="880"/>
    </row>
    <row r="209" spans="1:24" ht="13.5" thickBot="1">
      <c r="A209" s="885"/>
      <c r="B209" s="885"/>
      <c r="C209" s="102" t="s">
        <v>284</v>
      </c>
      <c r="D209" s="1017"/>
      <c r="E209" s="1018"/>
      <c r="F209" s="1018"/>
      <c r="G209" s="1019"/>
      <c r="H209" s="1017"/>
      <c r="I209" s="1018"/>
      <c r="J209" s="1018"/>
      <c r="K209" s="1019"/>
      <c r="L209" s="1017"/>
      <c r="M209" s="1018"/>
      <c r="N209" s="1018"/>
      <c r="O209" s="1019"/>
      <c r="P209" s="1017"/>
      <c r="Q209" s="1018"/>
      <c r="R209" s="1018"/>
      <c r="S209" s="1019"/>
      <c r="T209" s="1020">
        <v>0</v>
      </c>
      <c r="U209" s="1021"/>
      <c r="V209" s="1021"/>
      <c r="W209" s="1022"/>
      <c r="X209" s="880"/>
    </row>
    <row r="210" spans="1:24" ht="13.5" thickBot="1">
      <c r="A210" s="885"/>
      <c r="B210" s="885"/>
      <c r="C210" s="998" t="s">
        <v>413</v>
      </c>
      <c r="D210" s="927" t="s">
        <v>4</v>
      </c>
      <c r="E210" s="928"/>
      <c r="F210" s="928"/>
      <c r="G210" s="928"/>
      <c r="H210" s="928"/>
      <c r="I210" s="928"/>
      <c r="J210" s="928"/>
      <c r="K210" s="928"/>
      <c r="L210" s="928"/>
      <c r="M210" s="928"/>
      <c r="N210" s="928"/>
      <c r="O210" s="928"/>
      <c r="P210" s="928"/>
      <c r="Q210" s="928"/>
      <c r="R210" s="928"/>
      <c r="S210" s="928"/>
      <c r="T210" s="928"/>
      <c r="U210" s="928"/>
      <c r="V210" s="928"/>
      <c r="W210" s="929"/>
      <c r="X210" s="880"/>
    </row>
    <row r="211" spans="1:24" ht="13.5" thickBot="1">
      <c r="A211" s="885"/>
      <c r="B211" s="869"/>
      <c r="C211" s="999"/>
      <c r="D211" s="930" t="s">
        <v>123</v>
      </c>
      <c r="E211" s="931"/>
      <c r="F211" s="931"/>
      <c r="G211" s="931"/>
      <c r="H211" s="931"/>
      <c r="I211" s="931"/>
      <c r="J211" s="931"/>
      <c r="K211" s="931"/>
      <c r="L211" s="931"/>
      <c r="M211" s="931"/>
      <c r="N211" s="931"/>
      <c r="O211" s="931"/>
      <c r="P211" s="931"/>
      <c r="Q211" s="931"/>
      <c r="R211" s="931"/>
      <c r="S211" s="931"/>
      <c r="T211" s="931"/>
      <c r="U211" s="931"/>
      <c r="V211" s="931"/>
      <c r="W211" s="932"/>
      <c r="X211" s="880"/>
    </row>
    <row r="212" spans="1:24" ht="13.5" thickBot="1">
      <c r="A212" s="885"/>
      <c r="B212" s="11" t="s">
        <v>41</v>
      </c>
      <c r="C212" s="12"/>
      <c r="D212" s="927" t="s">
        <v>78</v>
      </c>
      <c r="E212" s="928"/>
      <c r="F212" s="928"/>
      <c r="G212" s="929"/>
      <c r="H212" s="927" t="s">
        <v>77</v>
      </c>
      <c r="I212" s="928"/>
      <c r="J212" s="928"/>
      <c r="K212" s="929"/>
      <c r="L212" s="927" t="s">
        <v>81</v>
      </c>
      <c r="M212" s="928"/>
      <c r="N212" s="928"/>
      <c r="O212" s="929"/>
      <c r="P212" s="927" t="s">
        <v>254</v>
      </c>
      <c r="Q212" s="928"/>
      <c r="R212" s="928"/>
      <c r="S212" s="929"/>
      <c r="T212" s="927" t="s">
        <v>76</v>
      </c>
      <c r="U212" s="928"/>
      <c r="V212" s="928"/>
      <c r="W212" s="929"/>
      <c r="X212" s="880"/>
    </row>
    <row r="213" spans="1:24" ht="13.5" thickBot="1">
      <c r="A213" s="885"/>
      <c r="B213" s="868" t="s">
        <v>69</v>
      </c>
      <c r="C213" s="9" t="s">
        <v>235</v>
      </c>
      <c r="D213" s="1014">
        <v>1.2</v>
      </c>
      <c r="E213" s="1015"/>
      <c r="F213" s="1015"/>
      <c r="G213" s="1016"/>
      <c r="H213" s="1014">
        <v>1.6</v>
      </c>
      <c r="I213" s="1015"/>
      <c r="J213" s="1015"/>
      <c r="K213" s="1016"/>
      <c r="L213" s="1014">
        <v>2.2000000000000002</v>
      </c>
      <c r="M213" s="1015"/>
      <c r="N213" s="1015"/>
      <c r="O213" s="1016"/>
      <c r="P213" s="1014">
        <v>2.6</v>
      </c>
      <c r="Q213" s="1015"/>
      <c r="R213" s="1015"/>
      <c r="S213" s="1016"/>
      <c r="T213" s="1014">
        <v>3</v>
      </c>
      <c r="U213" s="1015"/>
      <c r="V213" s="1015"/>
      <c r="W213" s="1016"/>
      <c r="X213" s="880"/>
    </row>
    <row r="214" spans="1:24" ht="13.5" thickBot="1">
      <c r="A214" s="885"/>
      <c r="B214" s="885"/>
      <c r="C214" s="9" t="s">
        <v>233</v>
      </c>
      <c r="D214" s="966" t="s">
        <v>255</v>
      </c>
      <c r="E214" s="967"/>
      <c r="F214" s="967"/>
      <c r="G214" s="968"/>
      <c r="H214" s="1014">
        <v>1.7</v>
      </c>
      <c r="I214" s="1015"/>
      <c r="J214" s="1015"/>
      <c r="K214" s="1016"/>
      <c r="L214" s="1014">
        <v>1.7</v>
      </c>
      <c r="M214" s="1015"/>
      <c r="N214" s="1015"/>
      <c r="O214" s="1016"/>
      <c r="P214" s="1014">
        <v>1.8</v>
      </c>
      <c r="Q214" s="1015"/>
      <c r="R214" s="1015"/>
      <c r="S214" s="1016"/>
      <c r="T214" s="1014">
        <v>2.5</v>
      </c>
      <c r="U214" s="1015"/>
      <c r="V214" s="1015"/>
      <c r="W214" s="1016"/>
      <c r="X214" s="880"/>
    </row>
    <row r="215" spans="1:24" ht="12.95" customHeight="1" thickBot="1">
      <c r="A215" s="885"/>
      <c r="B215" s="885"/>
      <c r="C215" s="9" t="s">
        <v>234</v>
      </c>
      <c r="D215" s="957"/>
      <c r="E215" s="958"/>
      <c r="F215" s="958"/>
      <c r="G215" s="959"/>
      <c r="H215" s="957"/>
      <c r="I215" s="958"/>
      <c r="J215" s="958"/>
      <c r="K215" s="959"/>
      <c r="L215" s="1057" t="s">
        <v>443</v>
      </c>
      <c r="M215" s="1058"/>
      <c r="N215" s="1058"/>
      <c r="O215" s="1059"/>
      <c r="P215" s="1023">
        <v>0</v>
      </c>
      <c r="Q215" s="1024"/>
      <c r="R215" s="1024"/>
      <c r="S215" s="1025"/>
      <c r="T215" s="1023">
        <v>0</v>
      </c>
      <c r="U215" s="1024"/>
      <c r="V215" s="1024"/>
      <c r="W215" s="1025"/>
      <c r="X215" s="880"/>
    </row>
    <row r="216" spans="1:24" ht="13.5" thickBot="1">
      <c r="A216" s="885"/>
      <c r="B216" s="885"/>
      <c r="C216" s="102" t="s">
        <v>236</v>
      </c>
      <c r="D216" s="1008" t="s">
        <v>416</v>
      </c>
      <c r="E216" s="1009"/>
      <c r="F216" s="1009"/>
      <c r="G216" s="1010"/>
      <c r="H216" s="1020">
        <v>1.9</v>
      </c>
      <c r="I216" s="1021"/>
      <c r="J216" s="1021"/>
      <c r="K216" s="1022"/>
      <c r="L216" s="1020">
        <v>2.1</v>
      </c>
      <c r="M216" s="1021"/>
      <c r="N216" s="1021"/>
      <c r="O216" s="1022"/>
      <c r="P216" s="1079" t="s">
        <v>792</v>
      </c>
      <c r="Q216" s="1080"/>
      <c r="R216" s="1080"/>
      <c r="S216" s="1081"/>
      <c r="T216" s="1020">
        <v>0</v>
      </c>
      <c r="U216" s="1021"/>
      <c r="V216" s="1021"/>
      <c r="W216" s="1022"/>
      <c r="X216" s="880"/>
    </row>
    <row r="217" spans="1:24" ht="13.5" thickBot="1">
      <c r="A217" s="885"/>
      <c r="B217" s="885"/>
      <c r="C217" s="102" t="s">
        <v>283</v>
      </c>
      <c r="D217" s="1017"/>
      <c r="E217" s="1018"/>
      <c r="F217" s="1018"/>
      <c r="G217" s="1019"/>
      <c r="H217" s="1017"/>
      <c r="I217" s="1018"/>
      <c r="J217" s="1018"/>
      <c r="K217" s="1019"/>
      <c r="L217" s="1020">
        <v>1.7</v>
      </c>
      <c r="M217" s="1021"/>
      <c r="N217" s="1021"/>
      <c r="O217" s="1022"/>
      <c r="P217" s="1020" t="s">
        <v>793</v>
      </c>
      <c r="Q217" s="1021"/>
      <c r="R217" s="1021"/>
      <c r="S217" s="1022"/>
      <c r="T217" s="1020">
        <v>0</v>
      </c>
      <c r="U217" s="1021"/>
      <c r="V217" s="1021"/>
      <c r="W217" s="1022"/>
      <c r="X217" s="880"/>
    </row>
    <row r="218" spans="1:24" ht="13.5" thickBot="1">
      <c r="A218" s="885"/>
      <c r="B218" s="885"/>
      <c r="C218" s="102" t="s">
        <v>284</v>
      </c>
      <c r="D218" s="1017"/>
      <c r="E218" s="1018"/>
      <c r="F218" s="1018"/>
      <c r="G218" s="1019"/>
      <c r="H218" s="1017"/>
      <c r="I218" s="1018"/>
      <c r="J218" s="1018"/>
      <c r="K218" s="1019"/>
      <c r="L218" s="1017"/>
      <c r="M218" s="1018"/>
      <c r="N218" s="1018"/>
      <c r="O218" s="1019"/>
      <c r="P218" s="1017"/>
      <c r="Q218" s="1018"/>
      <c r="R218" s="1018"/>
      <c r="S218" s="1019"/>
      <c r="T218" s="1020">
        <v>0</v>
      </c>
      <c r="U218" s="1021"/>
      <c r="V218" s="1021"/>
      <c r="W218" s="1022"/>
      <c r="X218" s="880"/>
    </row>
    <row r="219" spans="1:24" ht="13.5" thickBot="1">
      <c r="A219" s="885"/>
      <c r="B219" s="885"/>
      <c r="C219" s="998" t="s">
        <v>413</v>
      </c>
      <c r="D219" s="927" t="s">
        <v>4</v>
      </c>
      <c r="E219" s="928"/>
      <c r="F219" s="928"/>
      <c r="G219" s="928"/>
      <c r="H219" s="928"/>
      <c r="I219" s="928"/>
      <c r="J219" s="928"/>
      <c r="K219" s="928"/>
      <c r="L219" s="928"/>
      <c r="M219" s="928"/>
      <c r="N219" s="928"/>
      <c r="O219" s="928"/>
      <c r="P219" s="928"/>
      <c r="Q219" s="928"/>
      <c r="R219" s="928"/>
      <c r="S219" s="928"/>
      <c r="T219" s="928"/>
      <c r="U219" s="928"/>
      <c r="V219" s="928"/>
      <c r="W219" s="929"/>
      <c r="X219" s="880"/>
    </row>
    <row r="220" spans="1:24" ht="13.5" thickBot="1">
      <c r="A220" s="885"/>
      <c r="B220" s="869"/>
      <c r="C220" s="999"/>
      <c r="D220" s="930" t="s">
        <v>123</v>
      </c>
      <c r="E220" s="931"/>
      <c r="F220" s="931"/>
      <c r="G220" s="931"/>
      <c r="H220" s="931"/>
      <c r="I220" s="931"/>
      <c r="J220" s="931"/>
      <c r="K220" s="931"/>
      <c r="L220" s="931"/>
      <c r="M220" s="931"/>
      <c r="N220" s="931"/>
      <c r="O220" s="931"/>
      <c r="P220" s="931"/>
      <c r="Q220" s="931"/>
      <c r="R220" s="931"/>
      <c r="S220" s="931"/>
      <c r="T220" s="931"/>
      <c r="U220" s="931"/>
      <c r="V220" s="931"/>
      <c r="W220" s="932"/>
      <c r="X220" s="880"/>
    </row>
    <row r="221" spans="1:24" ht="13.5" thickBot="1">
      <c r="A221" s="885"/>
      <c r="B221" s="11" t="s">
        <v>42</v>
      </c>
      <c r="C221" s="28"/>
      <c r="D221" s="927" t="s">
        <v>78</v>
      </c>
      <c r="E221" s="928"/>
      <c r="F221" s="928"/>
      <c r="G221" s="929"/>
      <c r="H221" s="927" t="s">
        <v>77</v>
      </c>
      <c r="I221" s="928"/>
      <c r="J221" s="928"/>
      <c r="K221" s="929"/>
      <c r="L221" s="927" t="s">
        <v>81</v>
      </c>
      <c r="M221" s="928"/>
      <c r="N221" s="928"/>
      <c r="O221" s="929"/>
      <c r="P221" s="927" t="s">
        <v>254</v>
      </c>
      <c r="Q221" s="928"/>
      <c r="R221" s="928"/>
      <c r="S221" s="929"/>
      <c r="T221" s="927" t="s">
        <v>76</v>
      </c>
      <c r="U221" s="928"/>
      <c r="V221" s="928"/>
      <c r="W221" s="929"/>
      <c r="X221" s="880"/>
    </row>
    <row r="222" spans="1:24" ht="18.95" customHeight="1" thickBot="1">
      <c r="A222" s="885"/>
      <c r="B222" s="868" t="s">
        <v>180</v>
      </c>
      <c r="C222" s="26"/>
      <c r="D222" s="955" t="s">
        <v>99</v>
      </c>
      <c r="E222" s="956"/>
      <c r="F222" s="955" t="s">
        <v>100</v>
      </c>
      <c r="G222" s="956"/>
      <c r="H222" s="955" t="s">
        <v>99</v>
      </c>
      <c r="I222" s="956"/>
      <c r="J222" s="955" t="s">
        <v>100</v>
      </c>
      <c r="K222" s="956"/>
      <c r="L222" s="955" t="s">
        <v>99</v>
      </c>
      <c r="M222" s="956"/>
      <c r="N222" s="955" t="s">
        <v>100</v>
      </c>
      <c r="O222" s="956"/>
      <c r="P222" s="955" t="s">
        <v>99</v>
      </c>
      <c r="Q222" s="956"/>
      <c r="R222" s="955" t="s">
        <v>100</v>
      </c>
      <c r="S222" s="956"/>
      <c r="T222" s="955" t="s">
        <v>99</v>
      </c>
      <c r="U222" s="956"/>
      <c r="V222" s="955" t="s">
        <v>100</v>
      </c>
      <c r="W222" s="956"/>
      <c r="X222" s="880"/>
    </row>
    <row r="223" spans="1:24" ht="13.5" thickBot="1">
      <c r="A223" s="885"/>
      <c r="B223" s="885"/>
      <c r="C223" s="9" t="s">
        <v>247</v>
      </c>
      <c r="D223" s="1006">
        <v>0</v>
      </c>
      <c r="E223" s="1007"/>
      <c r="F223" s="1006">
        <v>0</v>
      </c>
      <c r="G223" s="1007"/>
      <c r="H223" s="1006">
        <v>20</v>
      </c>
      <c r="I223" s="1007"/>
      <c r="J223" s="1006">
        <v>10</v>
      </c>
      <c r="K223" s="1007"/>
      <c r="L223" s="1075">
        <v>34</v>
      </c>
      <c r="M223" s="1076"/>
      <c r="N223" s="1075">
        <v>13</v>
      </c>
      <c r="O223" s="1076"/>
      <c r="P223" s="1075">
        <v>45</v>
      </c>
      <c r="Q223" s="1076"/>
      <c r="R223" s="1006">
        <v>20</v>
      </c>
      <c r="S223" s="1007"/>
      <c r="T223" s="1006">
        <v>60</v>
      </c>
      <c r="U223" s="1007"/>
      <c r="V223" s="1006">
        <v>25</v>
      </c>
      <c r="W223" s="1007"/>
      <c r="X223" s="880"/>
    </row>
    <row r="224" spans="1:24" ht="13.5" thickBot="1">
      <c r="A224" s="869"/>
      <c r="B224" s="885"/>
      <c r="C224" s="102" t="s">
        <v>246</v>
      </c>
      <c r="D224" s="1011" t="s">
        <v>171</v>
      </c>
      <c r="E224" s="1012"/>
      <c r="F224" s="1012"/>
      <c r="G224" s="1013"/>
      <c r="H224" s="1011" t="s">
        <v>417</v>
      </c>
      <c r="I224" s="1012"/>
      <c r="J224" s="1012"/>
      <c r="K224" s="1013"/>
      <c r="L224" s="995">
        <v>26</v>
      </c>
      <c r="M224" s="997"/>
      <c r="N224" s="995">
        <v>14</v>
      </c>
      <c r="O224" s="997"/>
      <c r="P224" s="1077" t="s">
        <v>794</v>
      </c>
      <c r="Q224" s="1078"/>
      <c r="R224" s="1077" t="s">
        <v>813</v>
      </c>
      <c r="S224" s="1078"/>
      <c r="T224" s="995">
        <v>0</v>
      </c>
      <c r="U224" s="997"/>
      <c r="V224" s="995">
        <v>0</v>
      </c>
      <c r="W224" s="997"/>
      <c r="X224" s="881"/>
    </row>
    <row r="225" spans="1:24" ht="13.5" thickBot="1">
      <c r="A225" s="174" t="s">
        <v>13</v>
      </c>
      <c r="B225" s="170" t="s">
        <v>178</v>
      </c>
      <c r="C225" s="998" t="s">
        <v>413</v>
      </c>
      <c r="D225" s="927" t="s">
        <v>4</v>
      </c>
      <c r="E225" s="928"/>
      <c r="F225" s="928"/>
      <c r="G225" s="928"/>
      <c r="H225" s="928"/>
      <c r="I225" s="928"/>
      <c r="J225" s="928"/>
      <c r="K225" s="928"/>
      <c r="L225" s="928"/>
      <c r="M225" s="928"/>
      <c r="N225" s="928"/>
      <c r="O225" s="928"/>
      <c r="P225" s="928"/>
      <c r="Q225" s="928"/>
      <c r="R225" s="928"/>
      <c r="S225" s="928"/>
      <c r="T225" s="928"/>
      <c r="U225" s="928"/>
      <c r="V225" s="928"/>
      <c r="W225" s="929"/>
      <c r="X225" s="24" t="s">
        <v>14</v>
      </c>
    </row>
    <row r="226" spans="1:24" ht="13.5" thickBot="1">
      <c r="A226" s="25" t="s">
        <v>74</v>
      </c>
      <c r="B226" s="171"/>
      <c r="C226" s="999"/>
      <c r="D226" s="930" t="s">
        <v>124</v>
      </c>
      <c r="E226" s="931"/>
      <c r="F226" s="931"/>
      <c r="G226" s="931"/>
      <c r="H226" s="931"/>
      <c r="I226" s="931"/>
      <c r="J226" s="931"/>
      <c r="K226" s="931"/>
      <c r="L226" s="931"/>
      <c r="M226" s="931"/>
      <c r="N226" s="931"/>
      <c r="O226" s="931"/>
      <c r="P226" s="931"/>
      <c r="Q226" s="931"/>
      <c r="R226" s="931"/>
      <c r="S226" s="931"/>
      <c r="T226" s="931"/>
      <c r="U226" s="931"/>
      <c r="V226" s="931"/>
      <c r="W226" s="932"/>
      <c r="X226" s="18" t="s">
        <v>93</v>
      </c>
    </row>
    <row r="227" spans="1:24" ht="13.5" thickBot="1">
      <c r="A227" s="906" t="s">
        <v>7</v>
      </c>
      <c r="B227" s="908" t="s">
        <v>173</v>
      </c>
      <c r="C227" s="918"/>
      <c r="D227" s="908" t="s">
        <v>8</v>
      </c>
      <c r="E227" s="918"/>
      <c r="F227" s="918"/>
      <c r="G227" s="909"/>
      <c r="H227" s="908" t="s">
        <v>88</v>
      </c>
      <c r="I227" s="918"/>
      <c r="J227" s="918"/>
      <c r="K227" s="909"/>
      <c r="L227" s="908" t="s">
        <v>89</v>
      </c>
      <c r="M227" s="918"/>
      <c r="N227" s="918"/>
      <c r="O227" s="909"/>
      <c r="P227" s="908" t="s">
        <v>9</v>
      </c>
      <c r="Q227" s="918"/>
      <c r="R227" s="918"/>
      <c r="S227" s="909"/>
      <c r="T227" s="908" t="s">
        <v>174</v>
      </c>
      <c r="U227" s="918"/>
      <c r="V227" s="918"/>
      <c r="W227" s="918"/>
      <c r="X227" s="909"/>
    </row>
    <row r="228" spans="1:24" ht="13.5" thickBot="1">
      <c r="A228" s="907"/>
      <c r="B228" s="919">
        <v>10300000</v>
      </c>
      <c r="C228" s="921"/>
      <c r="D228" s="919">
        <v>0</v>
      </c>
      <c r="E228" s="921"/>
      <c r="F228" s="921"/>
      <c r="G228" s="920"/>
      <c r="H228" s="919">
        <v>5500000</v>
      </c>
      <c r="I228" s="921"/>
      <c r="J228" s="921"/>
      <c r="K228" s="920"/>
      <c r="L228" s="919">
        <v>3100000</v>
      </c>
      <c r="M228" s="921"/>
      <c r="N228" s="921"/>
      <c r="O228" s="920"/>
      <c r="P228" s="919">
        <f>SUM(B228:O228)</f>
        <v>18900000</v>
      </c>
      <c r="Q228" s="921"/>
      <c r="R228" s="921"/>
      <c r="S228" s="920"/>
      <c r="T228" s="942">
        <f>B228/P228%</f>
        <v>54.4973544973545</v>
      </c>
      <c r="U228" s="943"/>
      <c r="V228" s="943"/>
      <c r="W228" s="943"/>
      <c r="X228" s="944"/>
    </row>
    <row r="229" spans="1:24" ht="13.5" thickBot="1">
      <c r="A229" s="906" t="s">
        <v>10</v>
      </c>
      <c r="B229" s="908" t="s">
        <v>175</v>
      </c>
      <c r="C229" s="918"/>
      <c r="D229" s="910"/>
      <c r="E229" s="911"/>
      <c r="F229" s="911"/>
      <c r="G229" s="911"/>
      <c r="H229" s="911"/>
      <c r="I229" s="911"/>
      <c r="J229" s="911"/>
      <c r="K229" s="911"/>
      <c r="L229" s="911"/>
      <c r="M229" s="911"/>
      <c r="N229" s="911"/>
      <c r="O229" s="911"/>
      <c r="P229" s="911"/>
      <c r="Q229" s="911"/>
      <c r="R229" s="911"/>
      <c r="S229" s="911"/>
      <c r="T229" s="911"/>
      <c r="U229" s="911"/>
      <c r="V229" s="911"/>
      <c r="W229" s="911"/>
      <c r="X229" s="912"/>
    </row>
    <row r="230" spans="1:24" ht="13.5" thickBot="1">
      <c r="A230" s="907"/>
      <c r="B230" s="916"/>
      <c r="C230" s="994"/>
      <c r="D230" s="913"/>
      <c r="E230" s="914"/>
      <c r="F230" s="914"/>
      <c r="G230" s="914"/>
      <c r="H230" s="914"/>
      <c r="I230" s="914"/>
      <c r="J230" s="914"/>
      <c r="K230" s="914"/>
      <c r="L230" s="914"/>
      <c r="M230" s="914"/>
      <c r="N230" s="914"/>
      <c r="O230" s="914"/>
      <c r="P230" s="914"/>
      <c r="Q230" s="914"/>
      <c r="R230" s="914"/>
      <c r="S230" s="914"/>
      <c r="T230" s="914"/>
      <c r="U230" s="914"/>
      <c r="V230" s="914"/>
      <c r="W230" s="914"/>
      <c r="X230" s="915"/>
    </row>
    <row r="232" spans="1:24" ht="13.5" thickBot="1"/>
    <row r="233" spans="1:24" ht="13.5" thickBot="1">
      <c r="A233" s="173" t="s">
        <v>27</v>
      </c>
      <c r="B233" s="172" t="s">
        <v>35</v>
      </c>
      <c r="C233" s="8"/>
      <c r="D233" s="927" t="s">
        <v>78</v>
      </c>
      <c r="E233" s="928"/>
      <c r="F233" s="928"/>
      <c r="G233" s="929"/>
      <c r="H233" s="927" t="s">
        <v>77</v>
      </c>
      <c r="I233" s="928"/>
      <c r="J233" s="928"/>
      <c r="K233" s="929"/>
      <c r="L233" s="927" t="s">
        <v>81</v>
      </c>
      <c r="M233" s="928"/>
      <c r="N233" s="928"/>
      <c r="O233" s="929"/>
      <c r="P233" s="927" t="s">
        <v>254</v>
      </c>
      <c r="Q233" s="928"/>
      <c r="R233" s="928"/>
      <c r="S233" s="929"/>
      <c r="T233" s="927" t="s">
        <v>76</v>
      </c>
      <c r="U233" s="928"/>
      <c r="V233" s="928"/>
      <c r="W233" s="929"/>
      <c r="X233" s="16" t="s">
        <v>12</v>
      </c>
    </row>
    <row r="234" spans="1:24" ht="12.95" customHeight="1" thickBot="1">
      <c r="A234" s="868" t="s">
        <v>70</v>
      </c>
      <c r="B234" s="1069" t="s">
        <v>609</v>
      </c>
      <c r="C234" s="187"/>
      <c r="D234" s="1065" t="s">
        <v>638</v>
      </c>
      <c r="E234" s="1066"/>
      <c r="F234" s="1066"/>
      <c r="G234" s="1067"/>
      <c r="H234" s="1065" t="s">
        <v>638</v>
      </c>
      <c r="I234" s="1066"/>
      <c r="J234" s="1066"/>
      <c r="K234" s="1067"/>
      <c r="L234" s="1065" t="s">
        <v>638</v>
      </c>
      <c r="M234" s="1066"/>
      <c r="N234" s="1066"/>
      <c r="O234" s="1067"/>
      <c r="P234" s="219" t="s">
        <v>602</v>
      </c>
      <c r="Q234" s="219" t="s">
        <v>603</v>
      </c>
      <c r="R234" s="219" t="s">
        <v>608</v>
      </c>
      <c r="S234" s="219" t="s">
        <v>604</v>
      </c>
      <c r="T234" s="219" t="s">
        <v>602</v>
      </c>
      <c r="U234" s="219" t="s">
        <v>603</v>
      </c>
      <c r="V234" s="219" t="s">
        <v>608</v>
      </c>
      <c r="W234" s="219" t="s">
        <v>604</v>
      </c>
      <c r="X234" s="879" t="s">
        <v>90</v>
      </c>
    </row>
    <row r="235" spans="1:24" ht="12.95" customHeight="1" thickBot="1">
      <c r="A235" s="885"/>
      <c r="B235" s="1070"/>
      <c r="C235" s="9" t="s">
        <v>247</v>
      </c>
      <c r="D235" s="1000">
        <v>4</v>
      </c>
      <c r="E235" s="1001"/>
      <c r="F235" s="1001"/>
      <c r="G235" s="1002"/>
      <c r="H235" s="1000">
        <v>13</v>
      </c>
      <c r="I235" s="1001"/>
      <c r="J235" s="1001"/>
      <c r="K235" s="1002"/>
      <c r="L235" s="1000">
        <v>20</v>
      </c>
      <c r="M235" s="1001"/>
      <c r="N235" s="1001"/>
      <c r="O235" s="1002"/>
      <c r="P235" s="1103" t="s">
        <v>639</v>
      </c>
      <c r="Q235" s="1104"/>
      <c r="R235" s="1104"/>
      <c r="S235" s="1105"/>
      <c r="T235" s="189" t="s">
        <v>640</v>
      </c>
      <c r="U235" s="220" t="s">
        <v>423</v>
      </c>
      <c r="V235" s="220" t="s">
        <v>423</v>
      </c>
      <c r="W235" s="220" t="s">
        <v>423</v>
      </c>
      <c r="X235" s="880"/>
    </row>
    <row r="236" spans="1:24" ht="12.95" customHeight="1" thickBot="1">
      <c r="A236" s="885"/>
      <c r="B236" s="1070"/>
      <c r="C236" s="102" t="s">
        <v>246</v>
      </c>
      <c r="D236" s="1109" t="s">
        <v>416</v>
      </c>
      <c r="E236" s="1110"/>
      <c r="F236" s="1110"/>
      <c r="G236" s="1111"/>
      <c r="H236" s="1106">
        <v>16</v>
      </c>
      <c r="I236" s="1107"/>
      <c r="J236" s="1107"/>
      <c r="K236" s="1108"/>
      <c r="L236" s="1068">
        <v>37</v>
      </c>
      <c r="M236" s="996"/>
      <c r="N236" s="996"/>
      <c r="O236" s="997"/>
      <c r="P236" s="188" t="s">
        <v>796</v>
      </c>
      <c r="Q236" s="188">
        <v>0</v>
      </c>
      <c r="R236" s="188">
        <v>0</v>
      </c>
      <c r="S236" s="188">
        <v>0</v>
      </c>
      <c r="T236" s="188">
        <v>0</v>
      </c>
      <c r="U236" s="188">
        <v>0</v>
      </c>
      <c r="V236" s="188">
        <v>0</v>
      </c>
      <c r="W236" s="188">
        <v>0</v>
      </c>
      <c r="X236" s="880"/>
    </row>
    <row r="237" spans="1:24" ht="13.5" thickBot="1">
      <c r="A237" s="885"/>
      <c r="B237" s="1070"/>
      <c r="C237" s="998" t="s">
        <v>413</v>
      </c>
      <c r="D237" s="927" t="s">
        <v>4</v>
      </c>
      <c r="E237" s="928"/>
      <c r="F237" s="928"/>
      <c r="G237" s="928"/>
      <c r="H237" s="928"/>
      <c r="I237" s="928"/>
      <c r="J237" s="928"/>
      <c r="K237" s="928"/>
      <c r="L237" s="928"/>
      <c r="M237" s="928"/>
      <c r="N237" s="928"/>
      <c r="O237" s="928"/>
      <c r="P237" s="928"/>
      <c r="Q237" s="928"/>
      <c r="R237" s="928"/>
      <c r="S237" s="928"/>
      <c r="T237" s="928"/>
      <c r="U237" s="928"/>
      <c r="V237" s="928"/>
      <c r="W237" s="929"/>
      <c r="X237" s="880"/>
    </row>
    <row r="238" spans="1:24" ht="13.5" thickBot="1">
      <c r="A238" s="885"/>
      <c r="B238" s="1071"/>
      <c r="C238" s="999"/>
      <c r="D238" s="930" t="s">
        <v>125</v>
      </c>
      <c r="E238" s="931"/>
      <c r="F238" s="931"/>
      <c r="G238" s="931"/>
      <c r="H238" s="931"/>
      <c r="I238" s="931"/>
      <c r="J238" s="931"/>
      <c r="K238" s="931"/>
      <c r="L238" s="931"/>
      <c r="M238" s="931"/>
      <c r="N238" s="931"/>
      <c r="O238" s="931"/>
      <c r="P238" s="931"/>
      <c r="Q238" s="931"/>
      <c r="R238" s="931"/>
      <c r="S238" s="931"/>
      <c r="T238" s="931"/>
      <c r="U238" s="931"/>
      <c r="V238" s="931"/>
      <c r="W238" s="932"/>
      <c r="X238" s="880"/>
    </row>
    <row r="239" spans="1:24" ht="13.5" thickBot="1">
      <c r="A239" s="885"/>
      <c r="B239" s="11" t="s">
        <v>36</v>
      </c>
      <c r="C239" s="12"/>
      <c r="D239" s="927" t="s">
        <v>78</v>
      </c>
      <c r="E239" s="928"/>
      <c r="F239" s="928"/>
      <c r="G239" s="929"/>
      <c r="H239" s="927" t="s">
        <v>77</v>
      </c>
      <c r="I239" s="928"/>
      <c r="J239" s="928"/>
      <c r="K239" s="929"/>
      <c r="L239" s="927" t="s">
        <v>81</v>
      </c>
      <c r="M239" s="928"/>
      <c r="N239" s="928"/>
      <c r="O239" s="929"/>
      <c r="P239" s="927" t="s">
        <v>254</v>
      </c>
      <c r="Q239" s="928"/>
      <c r="R239" s="928"/>
      <c r="S239" s="929"/>
      <c r="T239" s="927" t="s">
        <v>76</v>
      </c>
      <c r="U239" s="928"/>
      <c r="V239" s="928"/>
      <c r="W239" s="929"/>
      <c r="X239" s="880"/>
    </row>
    <row r="240" spans="1:24" ht="12.95" customHeight="1" thickBot="1">
      <c r="A240" s="885"/>
      <c r="B240" s="1069" t="s">
        <v>601</v>
      </c>
      <c r="C240" s="187"/>
      <c r="D240" s="1065" t="s">
        <v>636</v>
      </c>
      <c r="E240" s="1066"/>
      <c r="F240" s="1066"/>
      <c r="G240" s="1067"/>
      <c r="H240" s="1065" t="s">
        <v>636</v>
      </c>
      <c r="I240" s="1066"/>
      <c r="J240" s="1066"/>
      <c r="K240" s="1067"/>
      <c r="L240" s="1065" t="s">
        <v>636</v>
      </c>
      <c r="M240" s="1066"/>
      <c r="N240" s="1066"/>
      <c r="O240" s="1067"/>
      <c r="P240" s="218" t="s">
        <v>101</v>
      </c>
      <c r="Q240" s="218" t="s">
        <v>104</v>
      </c>
      <c r="R240" s="218" t="s">
        <v>102</v>
      </c>
      <c r="S240" s="218" t="s">
        <v>103</v>
      </c>
      <c r="T240" s="218" t="s">
        <v>101</v>
      </c>
      <c r="U240" s="218" t="s">
        <v>104</v>
      </c>
      <c r="V240" s="218" t="s">
        <v>102</v>
      </c>
      <c r="W240" s="218" t="s">
        <v>103</v>
      </c>
      <c r="X240" s="880"/>
    </row>
    <row r="241" spans="1:24" ht="12.95" customHeight="1" thickBot="1">
      <c r="A241" s="885"/>
      <c r="B241" s="1070"/>
      <c r="C241" s="9" t="s">
        <v>247</v>
      </c>
      <c r="D241" s="1000">
        <v>0</v>
      </c>
      <c r="E241" s="1001"/>
      <c r="F241" s="1001"/>
      <c r="G241" s="1002"/>
      <c r="H241" s="1000">
        <v>5</v>
      </c>
      <c r="I241" s="1001"/>
      <c r="J241" s="1001"/>
      <c r="K241" s="1002"/>
      <c r="L241" s="1000">
        <v>10</v>
      </c>
      <c r="M241" s="1001"/>
      <c r="N241" s="1001"/>
      <c r="O241" s="1002"/>
      <c r="P241" s="1000">
        <v>15</v>
      </c>
      <c r="Q241" s="1001"/>
      <c r="R241" s="1001"/>
      <c r="S241" s="1002"/>
      <c r="T241" s="113">
        <v>20</v>
      </c>
      <c r="U241" s="220" t="s">
        <v>423</v>
      </c>
      <c r="V241" s="220" t="s">
        <v>423</v>
      </c>
      <c r="W241" s="220" t="s">
        <v>423</v>
      </c>
      <c r="X241" s="880"/>
    </row>
    <row r="242" spans="1:24" ht="12.95" customHeight="1" thickBot="1">
      <c r="A242" s="885"/>
      <c r="B242" s="1070"/>
      <c r="C242" s="102" t="s">
        <v>246</v>
      </c>
      <c r="D242" s="1061" t="s">
        <v>172</v>
      </c>
      <c r="E242" s="1062"/>
      <c r="F242" s="1062"/>
      <c r="G242" s="1063"/>
      <c r="H242" s="1064" t="s">
        <v>637</v>
      </c>
      <c r="I242" s="1062"/>
      <c r="J242" s="1062"/>
      <c r="K242" s="1063"/>
      <c r="L242" s="1068">
        <v>20</v>
      </c>
      <c r="M242" s="996"/>
      <c r="N242" s="996"/>
      <c r="O242" s="997"/>
      <c r="P242" s="188" t="s">
        <v>795</v>
      </c>
      <c r="Q242" s="188">
        <v>0</v>
      </c>
      <c r="R242" s="188">
        <v>0</v>
      </c>
      <c r="S242" s="188">
        <v>0</v>
      </c>
      <c r="T242" s="188">
        <v>0</v>
      </c>
      <c r="U242" s="188">
        <v>0</v>
      </c>
      <c r="V242" s="188">
        <v>0</v>
      </c>
      <c r="W242" s="188">
        <v>0</v>
      </c>
      <c r="X242" s="880"/>
    </row>
    <row r="243" spans="1:24" ht="13.5" thickBot="1">
      <c r="A243" s="885"/>
      <c r="B243" s="1070"/>
      <c r="C243" s="998" t="s">
        <v>413</v>
      </c>
      <c r="D243" s="927" t="s">
        <v>4</v>
      </c>
      <c r="E243" s="928"/>
      <c r="F243" s="928"/>
      <c r="G243" s="928"/>
      <c r="H243" s="928"/>
      <c r="I243" s="928"/>
      <c r="J243" s="928"/>
      <c r="K243" s="928"/>
      <c r="L243" s="928"/>
      <c r="M243" s="928"/>
      <c r="N243" s="928"/>
      <c r="O243" s="928"/>
      <c r="P243" s="928"/>
      <c r="Q243" s="928"/>
      <c r="R243" s="928"/>
      <c r="S243" s="928"/>
      <c r="T243" s="928"/>
      <c r="U243" s="928"/>
      <c r="V243" s="928"/>
      <c r="W243" s="929"/>
      <c r="X243" s="880"/>
    </row>
    <row r="244" spans="1:24" ht="13.5" thickBot="1">
      <c r="A244" s="885"/>
      <c r="B244" s="1071"/>
      <c r="C244" s="999"/>
      <c r="D244" s="930" t="s">
        <v>125</v>
      </c>
      <c r="E244" s="931"/>
      <c r="F244" s="931"/>
      <c r="G244" s="931"/>
      <c r="H244" s="931"/>
      <c r="I244" s="931"/>
      <c r="J244" s="931"/>
      <c r="K244" s="931"/>
      <c r="L244" s="931"/>
      <c r="M244" s="931"/>
      <c r="N244" s="931"/>
      <c r="O244" s="931"/>
      <c r="P244" s="931"/>
      <c r="Q244" s="931"/>
      <c r="R244" s="931"/>
      <c r="S244" s="931"/>
      <c r="T244" s="931"/>
      <c r="U244" s="931"/>
      <c r="V244" s="931"/>
      <c r="W244" s="932"/>
      <c r="X244" s="880"/>
    </row>
    <row r="245" spans="1:24" ht="13.5" thickBot="1">
      <c r="A245" s="885"/>
      <c r="B245" s="11" t="s">
        <v>600</v>
      </c>
      <c r="C245" s="12"/>
      <c r="D245" s="927" t="s">
        <v>78</v>
      </c>
      <c r="E245" s="928"/>
      <c r="F245" s="928"/>
      <c r="G245" s="929"/>
      <c r="H245" s="927" t="s">
        <v>77</v>
      </c>
      <c r="I245" s="928"/>
      <c r="J245" s="928"/>
      <c r="K245" s="929"/>
      <c r="L245" s="927" t="s">
        <v>81</v>
      </c>
      <c r="M245" s="928"/>
      <c r="N245" s="928"/>
      <c r="O245" s="929"/>
      <c r="P245" s="927" t="s">
        <v>254</v>
      </c>
      <c r="Q245" s="928"/>
      <c r="R245" s="928"/>
      <c r="S245" s="929"/>
      <c r="T245" s="927" t="s">
        <v>76</v>
      </c>
      <c r="U245" s="928"/>
      <c r="V245" s="928"/>
      <c r="W245" s="929"/>
      <c r="X245" s="880"/>
    </row>
    <row r="246" spans="1:24" ht="12.95" customHeight="1" thickBot="1">
      <c r="A246" s="885"/>
      <c r="B246" s="1072" t="s">
        <v>648</v>
      </c>
      <c r="C246" s="187"/>
      <c r="D246" s="1065"/>
      <c r="E246" s="1066"/>
      <c r="F246" s="1066"/>
      <c r="G246" s="1067"/>
      <c r="H246" s="1065"/>
      <c r="I246" s="1066"/>
      <c r="J246" s="1066"/>
      <c r="K246" s="1067"/>
      <c r="L246" s="1065"/>
      <c r="M246" s="1066"/>
      <c r="N246" s="1066"/>
      <c r="O246" s="1067"/>
      <c r="P246" s="218" t="s">
        <v>693</v>
      </c>
      <c r="Q246" s="219" t="s">
        <v>607</v>
      </c>
      <c r="R246" s="218" t="s">
        <v>606</v>
      </c>
      <c r="S246" s="218" t="s">
        <v>694</v>
      </c>
      <c r="T246" s="218" t="s">
        <v>693</v>
      </c>
      <c r="U246" s="219" t="s">
        <v>607</v>
      </c>
      <c r="V246" s="218" t="s">
        <v>606</v>
      </c>
      <c r="W246" s="218" t="s">
        <v>694</v>
      </c>
      <c r="X246" s="880"/>
    </row>
    <row r="247" spans="1:24" ht="12.95" customHeight="1" thickBot="1">
      <c r="A247" s="885"/>
      <c r="B247" s="1073"/>
      <c r="C247" s="9" t="s">
        <v>247</v>
      </c>
      <c r="D247" s="957"/>
      <c r="E247" s="958"/>
      <c r="F247" s="958"/>
      <c r="G247" s="959"/>
      <c r="H247" s="1061" t="s">
        <v>635</v>
      </c>
      <c r="I247" s="1062"/>
      <c r="J247" s="1062"/>
      <c r="K247" s="1063"/>
      <c r="L247" s="966" t="s">
        <v>443</v>
      </c>
      <c r="M247" s="967"/>
      <c r="N247" s="967"/>
      <c r="O247" s="968"/>
      <c r="P247" s="220">
        <v>0</v>
      </c>
      <c r="Q247" s="220">
        <v>0</v>
      </c>
      <c r="R247" s="220">
        <v>0</v>
      </c>
      <c r="S247" s="220">
        <v>0</v>
      </c>
      <c r="T247" s="220" t="s">
        <v>423</v>
      </c>
      <c r="U247" s="220" t="s">
        <v>423</v>
      </c>
      <c r="V247" s="220" t="s">
        <v>423</v>
      </c>
      <c r="W247" s="220" t="s">
        <v>423</v>
      </c>
      <c r="X247" s="880"/>
    </row>
    <row r="248" spans="1:24" ht="12.95" customHeight="1" thickBot="1">
      <c r="A248" s="869"/>
      <c r="B248" s="1073"/>
      <c r="C248" s="102" t="s">
        <v>246</v>
      </c>
      <c r="D248" s="957"/>
      <c r="E248" s="958"/>
      <c r="F248" s="958"/>
      <c r="G248" s="959"/>
      <c r="H248" s="957"/>
      <c r="I248" s="958"/>
      <c r="J248" s="958"/>
      <c r="K248" s="959"/>
      <c r="L248" s="957"/>
      <c r="M248" s="958"/>
      <c r="N248" s="958"/>
      <c r="O248" s="959"/>
      <c r="P248" s="957"/>
      <c r="Q248" s="958"/>
      <c r="R248" s="958"/>
      <c r="S248" s="959"/>
      <c r="T248" s="188">
        <v>0</v>
      </c>
      <c r="U248" s="188">
        <v>0</v>
      </c>
      <c r="V248" s="188">
        <v>0</v>
      </c>
      <c r="W248" s="188">
        <v>0</v>
      </c>
      <c r="X248" s="881"/>
    </row>
    <row r="249" spans="1:24" ht="13.5" thickBot="1">
      <c r="A249" s="182" t="s">
        <v>13</v>
      </c>
      <c r="B249" s="1073"/>
      <c r="C249" s="998" t="s">
        <v>413</v>
      </c>
      <c r="D249" s="927" t="s">
        <v>4</v>
      </c>
      <c r="E249" s="928"/>
      <c r="F249" s="928"/>
      <c r="G249" s="928"/>
      <c r="H249" s="928"/>
      <c r="I249" s="928"/>
      <c r="J249" s="928"/>
      <c r="K249" s="928"/>
      <c r="L249" s="928"/>
      <c r="M249" s="928"/>
      <c r="N249" s="928"/>
      <c r="O249" s="928"/>
      <c r="P249" s="928"/>
      <c r="Q249" s="928"/>
      <c r="R249" s="928"/>
      <c r="S249" s="928"/>
      <c r="T249" s="928"/>
      <c r="U249" s="928"/>
      <c r="V249" s="928"/>
      <c r="W249" s="929"/>
      <c r="X249" s="24" t="s">
        <v>14</v>
      </c>
    </row>
    <row r="250" spans="1:24" ht="13.5" thickBot="1">
      <c r="A250" s="25" t="s">
        <v>73</v>
      </c>
      <c r="B250" s="1074"/>
      <c r="C250" s="999"/>
      <c r="D250" s="930" t="s">
        <v>125</v>
      </c>
      <c r="E250" s="931"/>
      <c r="F250" s="931"/>
      <c r="G250" s="931"/>
      <c r="H250" s="931"/>
      <c r="I250" s="931"/>
      <c r="J250" s="931"/>
      <c r="K250" s="931"/>
      <c r="L250" s="931"/>
      <c r="M250" s="931"/>
      <c r="N250" s="931"/>
      <c r="O250" s="931"/>
      <c r="P250" s="931"/>
      <c r="Q250" s="931"/>
      <c r="R250" s="931"/>
      <c r="S250" s="931"/>
      <c r="T250" s="931"/>
      <c r="U250" s="931"/>
      <c r="V250" s="931"/>
      <c r="W250" s="932"/>
      <c r="X250" s="18" t="s">
        <v>92</v>
      </c>
    </row>
    <row r="251" spans="1:24" ht="13.5" thickBot="1">
      <c r="A251" s="1060" t="s">
        <v>7</v>
      </c>
      <c r="B251" s="908" t="s">
        <v>173</v>
      </c>
      <c r="C251" s="918"/>
      <c r="D251" s="908" t="s">
        <v>8</v>
      </c>
      <c r="E251" s="918"/>
      <c r="F251" s="918"/>
      <c r="G251" s="909"/>
      <c r="H251" s="908" t="s">
        <v>88</v>
      </c>
      <c r="I251" s="918"/>
      <c r="J251" s="918"/>
      <c r="K251" s="909"/>
      <c r="L251" s="908" t="s">
        <v>89</v>
      </c>
      <c r="M251" s="918"/>
      <c r="N251" s="918"/>
      <c r="O251" s="909"/>
      <c r="P251" s="908" t="s">
        <v>9</v>
      </c>
      <c r="Q251" s="918"/>
      <c r="R251" s="918"/>
      <c r="S251" s="909"/>
      <c r="T251" s="908" t="s">
        <v>174</v>
      </c>
      <c r="U251" s="918"/>
      <c r="V251" s="918"/>
      <c r="W251" s="918"/>
      <c r="X251" s="909"/>
    </row>
    <row r="252" spans="1:24" ht="13.5" thickBot="1">
      <c r="A252" s="907"/>
      <c r="B252" s="919">
        <v>4100000</v>
      </c>
      <c r="C252" s="921"/>
      <c r="D252" s="919">
        <v>0</v>
      </c>
      <c r="E252" s="921"/>
      <c r="F252" s="921"/>
      <c r="G252" s="920"/>
      <c r="H252" s="919">
        <v>0</v>
      </c>
      <c r="I252" s="921"/>
      <c r="J252" s="921"/>
      <c r="K252" s="920"/>
      <c r="L252" s="919">
        <v>2700000</v>
      </c>
      <c r="M252" s="921"/>
      <c r="N252" s="921"/>
      <c r="O252" s="920"/>
      <c r="P252" s="919">
        <f>SUM(B252:O252)</f>
        <v>6800000</v>
      </c>
      <c r="Q252" s="921"/>
      <c r="R252" s="921"/>
      <c r="S252" s="920"/>
      <c r="T252" s="942">
        <f>B252/P252%</f>
        <v>60.294117647058826</v>
      </c>
      <c r="U252" s="943"/>
      <c r="V252" s="943"/>
      <c r="W252" s="943"/>
      <c r="X252" s="944"/>
    </row>
    <row r="253" spans="1:24" ht="13.5" thickBot="1">
      <c r="A253" s="906" t="s">
        <v>10</v>
      </c>
      <c r="B253" s="908" t="s">
        <v>175</v>
      </c>
      <c r="C253" s="918"/>
      <c r="D253" s="910"/>
      <c r="E253" s="911"/>
      <c r="F253" s="911"/>
      <c r="G253" s="911"/>
      <c r="H253" s="911"/>
      <c r="I253" s="911"/>
      <c r="J253" s="911"/>
      <c r="K253" s="911"/>
      <c r="L253" s="911"/>
      <c r="M253" s="911"/>
      <c r="N253" s="911"/>
      <c r="O253" s="911"/>
      <c r="P253" s="911"/>
      <c r="Q253" s="911"/>
      <c r="R253" s="911"/>
      <c r="S253" s="911"/>
      <c r="T253" s="911"/>
      <c r="U253" s="911"/>
      <c r="V253" s="911"/>
      <c r="W253" s="911"/>
      <c r="X253" s="912"/>
    </row>
    <row r="254" spans="1:24" ht="13.5" thickBot="1">
      <c r="A254" s="907"/>
      <c r="B254" s="916"/>
      <c r="C254" s="994"/>
      <c r="D254" s="913"/>
      <c r="E254" s="914"/>
      <c r="F254" s="914"/>
      <c r="G254" s="914"/>
      <c r="H254" s="914"/>
      <c r="I254" s="914"/>
      <c r="J254" s="914"/>
      <c r="K254" s="914"/>
      <c r="L254" s="914"/>
      <c r="M254" s="914"/>
      <c r="N254" s="914"/>
      <c r="O254" s="914"/>
      <c r="P254" s="914"/>
      <c r="Q254" s="914"/>
      <c r="R254" s="914"/>
      <c r="S254" s="914"/>
      <c r="T254" s="914"/>
      <c r="U254" s="914"/>
      <c r="V254" s="914"/>
      <c r="W254" s="914"/>
      <c r="X254" s="915"/>
    </row>
  </sheetData>
  <sheetProtection password="CF55" sheet="1" objects="1" scenarios="1" selectLockedCells="1" selectUnlockedCells="1"/>
  <mergeCells count="944">
    <mergeCell ref="D237:W237"/>
    <mergeCell ref="D238:W238"/>
    <mergeCell ref="D239:G239"/>
    <mergeCell ref="D234:G234"/>
    <mergeCell ref="H234:K234"/>
    <mergeCell ref="L234:O234"/>
    <mergeCell ref="D235:G235"/>
    <mergeCell ref="H235:K235"/>
    <mergeCell ref="L235:O235"/>
    <mergeCell ref="P235:S235"/>
    <mergeCell ref="H236:K236"/>
    <mergeCell ref="L236:O236"/>
    <mergeCell ref="D236:G236"/>
    <mergeCell ref="X4:X18"/>
    <mergeCell ref="P9:S9"/>
    <mergeCell ref="T9:W9"/>
    <mergeCell ref="D14:G14"/>
    <mergeCell ref="H14:K14"/>
    <mergeCell ref="D21:G21"/>
    <mergeCell ref="H21:K21"/>
    <mergeCell ref="L21:O21"/>
    <mergeCell ref="P21:S21"/>
    <mergeCell ref="T21:W21"/>
    <mergeCell ref="D4:G4"/>
    <mergeCell ref="H4:K4"/>
    <mergeCell ref="L4:O4"/>
    <mergeCell ref="P4:S4"/>
    <mergeCell ref="T4:W4"/>
    <mergeCell ref="A5:A18"/>
    <mergeCell ref="B5:B8"/>
    <mergeCell ref="D5:W5"/>
    <mergeCell ref="D6:W6"/>
    <mergeCell ref="C7:C8"/>
    <mergeCell ref="D7:W7"/>
    <mergeCell ref="D8:W8"/>
    <mergeCell ref="D9:G9"/>
    <mergeCell ref="H9:K9"/>
    <mergeCell ref="L9:O9"/>
    <mergeCell ref="B10:B13"/>
    <mergeCell ref="D10:W10"/>
    <mergeCell ref="D11:W11"/>
    <mergeCell ref="C12:C13"/>
    <mergeCell ref="D12:W12"/>
    <mergeCell ref="D13:W13"/>
    <mergeCell ref="A22:A48"/>
    <mergeCell ref="B22:B29"/>
    <mergeCell ref="D22:G22"/>
    <mergeCell ref="H22:K22"/>
    <mergeCell ref="L22:O22"/>
    <mergeCell ref="L14:O14"/>
    <mergeCell ref="P14:S14"/>
    <mergeCell ref="T14:W14"/>
    <mergeCell ref="B15:B18"/>
    <mergeCell ref="D15:W15"/>
    <mergeCell ref="D16:W16"/>
    <mergeCell ref="C17:C18"/>
    <mergeCell ref="D17:W17"/>
    <mergeCell ref="D18:W18"/>
    <mergeCell ref="C28:C29"/>
    <mergeCell ref="D30:G30"/>
    <mergeCell ref="H30:K30"/>
    <mergeCell ref="L30:O30"/>
    <mergeCell ref="P30:S30"/>
    <mergeCell ref="T30:W30"/>
    <mergeCell ref="D26:G26"/>
    <mergeCell ref="H26:K26"/>
    <mergeCell ref="L26:O26"/>
    <mergeCell ref="P26:S26"/>
    <mergeCell ref="T22:W22"/>
    <mergeCell ref="L34:O34"/>
    <mergeCell ref="P34:S34"/>
    <mergeCell ref="T34:W34"/>
    <mergeCell ref="D35:G35"/>
    <mergeCell ref="H35:K35"/>
    <mergeCell ref="L35:O35"/>
    <mergeCell ref="P35:S35"/>
    <mergeCell ref="T35:W35"/>
    <mergeCell ref="T32:W32"/>
    <mergeCell ref="D33:G33"/>
    <mergeCell ref="H33:K33"/>
    <mergeCell ref="L33:O33"/>
    <mergeCell ref="P33:S33"/>
    <mergeCell ref="T33:W33"/>
    <mergeCell ref="L24:O24"/>
    <mergeCell ref="T24:W24"/>
    <mergeCell ref="D25:G25"/>
    <mergeCell ref="H25:K25"/>
    <mergeCell ref="L25:O25"/>
    <mergeCell ref="P25:S25"/>
    <mergeCell ref="X22:X48"/>
    <mergeCell ref="D23:G23"/>
    <mergeCell ref="H23:K23"/>
    <mergeCell ref="L23:O23"/>
    <mergeCell ref="P23:S23"/>
    <mergeCell ref="T23:W23"/>
    <mergeCell ref="D24:G24"/>
    <mergeCell ref="H24:K24"/>
    <mergeCell ref="D28:W28"/>
    <mergeCell ref="D29:W29"/>
    <mergeCell ref="T26:W26"/>
    <mergeCell ref="D27:G27"/>
    <mergeCell ref="H27:K27"/>
    <mergeCell ref="L27:O27"/>
    <mergeCell ref="P27:S27"/>
    <mergeCell ref="T27:W27"/>
    <mergeCell ref="L39:O39"/>
    <mergeCell ref="P39:S39"/>
    <mergeCell ref="T39:W39"/>
    <mergeCell ref="D46:G46"/>
    <mergeCell ref="H46:K46"/>
    <mergeCell ref="L46:O46"/>
    <mergeCell ref="T25:W25"/>
    <mergeCell ref="P22:S22"/>
    <mergeCell ref="B40:B41"/>
    <mergeCell ref="D36:G36"/>
    <mergeCell ref="H36:K36"/>
    <mergeCell ref="L36:O36"/>
    <mergeCell ref="P36:S36"/>
    <mergeCell ref="T36:W36"/>
    <mergeCell ref="C37:C38"/>
    <mergeCell ref="D37:W37"/>
    <mergeCell ref="D38:W38"/>
    <mergeCell ref="B31:B38"/>
    <mergeCell ref="D31:G31"/>
    <mergeCell ref="H31:K31"/>
    <mergeCell ref="L31:O31"/>
    <mergeCell ref="P31:S31"/>
    <mergeCell ref="T31:W31"/>
    <mergeCell ref="D32:G32"/>
    <mergeCell ref="H32:K32"/>
    <mergeCell ref="L32:O32"/>
    <mergeCell ref="P32:S32"/>
    <mergeCell ref="D34:G34"/>
    <mergeCell ref="H34:K34"/>
    <mergeCell ref="D39:G39"/>
    <mergeCell ref="H39:K39"/>
    <mergeCell ref="B47:B48"/>
    <mergeCell ref="C47:C48"/>
    <mergeCell ref="D47:W47"/>
    <mergeCell ref="D48:W48"/>
    <mergeCell ref="D42:G42"/>
    <mergeCell ref="D43:G43"/>
    <mergeCell ref="H43:K43"/>
    <mergeCell ref="D44:G44"/>
    <mergeCell ref="D45:G45"/>
    <mergeCell ref="H45:K45"/>
    <mergeCell ref="D51:G51"/>
    <mergeCell ref="H51:K51"/>
    <mergeCell ref="L51:O51"/>
    <mergeCell ref="P51:S51"/>
    <mergeCell ref="T51:W51"/>
    <mergeCell ref="A52:A83"/>
    <mergeCell ref="B52:B59"/>
    <mergeCell ref="D52:G52"/>
    <mergeCell ref="H52:K52"/>
    <mergeCell ref="L52:O52"/>
    <mergeCell ref="L54:O54"/>
    <mergeCell ref="P54:S54"/>
    <mergeCell ref="T54:W54"/>
    <mergeCell ref="D55:G55"/>
    <mergeCell ref="H55:K55"/>
    <mergeCell ref="L55:O55"/>
    <mergeCell ref="P55:S55"/>
    <mergeCell ref="T55:W55"/>
    <mergeCell ref="P52:S52"/>
    <mergeCell ref="T52:W52"/>
    <mergeCell ref="D53:G53"/>
    <mergeCell ref="H53:K53"/>
    <mergeCell ref="L53:O53"/>
    <mergeCell ref="P53:S53"/>
    <mergeCell ref="T53:W53"/>
    <mergeCell ref="D54:G54"/>
    <mergeCell ref="H54:K54"/>
    <mergeCell ref="C58:C59"/>
    <mergeCell ref="D58:W58"/>
    <mergeCell ref="D59:W59"/>
    <mergeCell ref="D60:G60"/>
    <mergeCell ref="H60:K60"/>
    <mergeCell ref="L60:O60"/>
    <mergeCell ref="P60:S60"/>
    <mergeCell ref="T60:W60"/>
    <mergeCell ref="D56:G56"/>
    <mergeCell ref="H56:K56"/>
    <mergeCell ref="L56:O56"/>
    <mergeCell ref="P56:S56"/>
    <mergeCell ref="T56:W56"/>
    <mergeCell ref="D57:G57"/>
    <mergeCell ref="H57:K57"/>
    <mergeCell ref="L57:O57"/>
    <mergeCell ref="P57:S57"/>
    <mergeCell ref="T57:W57"/>
    <mergeCell ref="T62:W62"/>
    <mergeCell ref="D63:G63"/>
    <mergeCell ref="H63:K63"/>
    <mergeCell ref="L63:O63"/>
    <mergeCell ref="P63:S63"/>
    <mergeCell ref="T63:W63"/>
    <mergeCell ref="B61:B68"/>
    <mergeCell ref="D61:G61"/>
    <mergeCell ref="H61:K61"/>
    <mergeCell ref="L61:O61"/>
    <mergeCell ref="P61:S61"/>
    <mergeCell ref="T61:W61"/>
    <mergeCell ref="D62:G62"/>
    <mergeCell ref="H62:K62"/>
    <mergeCell ref="L62:O62"/>
    <mergeCell ref="P62:S62"/>
    <mergeCell ref="D66:G66"/>
    <mergeCell ref="H66:K66"/>
    <mergeCell ref="L66:O66"/>
    <mergeCell ref="P66:S66"/>
    <mergeCell ref="T66:W66"/>
    <mergeCell ref="C67:C68"/>
    <mergeCell ref="D67:W67"/>
    <mergeCell ref="D68:W68"/>
    <mergeCell ref="D64:G64"/>
    <mergeCell ref="H64:K64"/>
    <mergeCell ref="L64:O64"/>
    <mergeCell ref="P64:S64"/>
    <mergeCell ref="T64:W64"/>
    <mergeCell ref="D65:G65"/>
    <mergeCell ref="H65:K65"/>
    <mergeCell ref="L65:O65"/>
    <mergeCell ref="P65:S65"/>
    <mergeCell ref="T65:W65"/>
    <mergeCell ref="T70:W70"/>
    <mergeCell ref="D71:G71"/>
    <mergeCell ref="H71:K71"/>
    <mergeCell ref="L71:O71"/>
    <mergeCell ref="P71:S71"/>
    <mergeCell ref="T71:W71"/>
    <mergeCell ref="D69:G69"/>
    <mergeCell ref="H69:K69"/>
    <mergeCell ref="L69:O69"/>
    <mergeCell ref="P69:S69"/>
    <mergeCell ref="T69:W69"/>
    <mergeCell ref="D70:G70"/>
    <mergeCell ref="H70:K70"/>
    <mergeCell ref="L70:O70"/>
    <mergeCell ref="P70:S70"/>
    <mergeCell ref="H72:K72"/>
    <mergeCell ref="L72:O72"/>
    <mergeCell ref="P72:S72"/>
    <mergeCell ref="T72:W72"/>
    <mergeCell ref="D73:G73"/>
    <mergeCell ref="H73:K73"/>
    <mergeCell ref="L73:O73"/>
    <mergeCell ref="P73:S73"/>
    <mergeCell ref="T73:W73"/>
    <mergeCell ref="P78:S78"/>
    <mergeCell ref="T78:W78"/>
    <mergeCell ref="B70:B77"/>
    <mergeCell ref="P84:S84"/>
    <mergeCell ref="T84:X84"/>
    <mergeCell ref="B85:C85"/>
    <mergeCell ref="D85:G85"/>
    <mergeCell ref="H85:K85"/>
    <mergeCell ref="L85:O85"/>
    <mergeCell ref="P85:S85"/>
    <mergeCell ref="T85:X85"/>
    <mergeCell ref="B79:B80"/>
    <mergeCell ref="D81:G81"/>
    <mergeCell ref="D74:G74"/>
    <mergeCell ref="H74:K74"/>
    <mergeCell ref="L74:O74"/>
    <mergeCell ref="P74:S74"/>
    <mergeCell ref="T74:W74"/>
    <mergeCell ref="D75:G75"/>
    <mergeCell ref="H75:K75"/>
    <mergeCell ref="L75:O75"/>
    <mergeCell ref="P75:S75"/>
    <mergeCell ref="T75:W75"/>
    <mergeCell ref="D72:G72"/>
    <mergeCell ref="C82:C83"/>
    <mergeCell ref="D82:W82"/>
    <mergeCell ref="D83:W83"/>
    <mergeCell ref="X52:X83"/>
    <mergeCell ref="A86:A87"/>
    <mergeCell ref="B86:C86"/>
    <mergeCell ref="D86:X87"/>
    <mergeCell ref="B87:C87"/>
    <mergeCell ref="D90:G90"/>
    <mergeCell ref="H90:K90"/>
    <mergeCell ref="L90:O90"/>
    <mergeCell ref="P90:S90"/>
    <mergeCell ref="T90:W90"/>
    <mergeCell ref="A84:A85"/>
    <mergeCell ref="B84:C84"/>
    <mergeCell ref="D84:G84"/>
    <mergeCell ref="H84:K84"/>
    <mergeCell ref="L84:O84"/>
    <mergeCell ref="C76:C77"/>
    <mergeCell ref="D76:W76"/>
    <mergeCell ref="D77:W77"/>
    <mergeCell ref="D78:G78"/>
    <mergeCell ref="H78:K78"/>
    <mergeCell ref="L78:O78"/>
    <mergeCell ref="T93:W93"/>
    <mergeCell ref="D94:G94"/>
    <mergeCell ref="H94:K94"/>
    <mergeCell ref="L94:O94"/>
    <mergeCell ref="P94:S94"/>
    <mergeCell ref="T94:W94"/>
    <mergeCell ref="T91:W91"/>
    <mergeCell ref="X91:X110"/>
    <mergeCell ref="D92:G92"/>
    <mergeCell ref="H92:K92"/>
    <mergeCell ref="L92:O92"/>
    <mergeCell ref="P92:S92"/>
    <mergeCell ref="T92:W92"/>
    <mergeCell ref="D93:G93"/>
    <mergeCell ref="H93:K93"/>
    <mergeCell ref="L93:O93"/>
    <mergeCell ref="D91:G91"/>
    <mergeCell ref="H91:K91"/>
    <mergeCell ref="L91:O91"/>
    <mergeCell ref="P91:S91"/>
    <mergeCell ref="P93:S93"/>
    <mergeCell ref="D95:G95"/>
    <mergeCell ref="H95:K95"/>
    <mergeCell ref="L95:O95"/>
    <mergeCell ref="C97:C98"/>
    <mergeCell ref="D97:W97"/>
    <mergeCell ref="D98:W98"/>
    <mergeCell ref="D99:G99"/>
    <mergeCell ref="H99:K99"/>
    <mergeCell ref="L99:O99"/>
    <mergeCell ref="P99:S99"/>
    <mergeCell ref="T99:W99"/>
    <mergeCell ref="P95:S95"/>
    <mergeCell ref="T95:W95"/>
    <mergeCell ref="D96:G96"/>
    <mergeCell ref="H96:K96"/>
    <mergeCell ref="L96:O96"/>
    <mergeCell ref="P96:S96"/>
    <mergeCell ref="T96:W96"/>
    <mergeCell ref="T101:W101"/>
    <mergeCell ref="D102:G102"/>
    <mergeCell ref="H102:K102"/>
    <mergeCell ref="L102:O102"/>
    <mergeCell ref="P102:S102"/>
    <mergeCell ref="T102:W102"/>
    <mergeCell ref="B100:B107"/>
    <mergeCell ref="D100:G100"/>
    <mergeCell ref="H100:K100"/>
    <mergeCell ref="L100:O100"/>
    <mergeCell ref="P100:S100"/>
    <mergeCell ref="T100:W100"/>
    <mergeCell ref="D101:G101"/>
    <mergeCell ref="H101:K101"/>
    <mergeCell ref="L101:O101"/>
    <mergeCell ref="P101:S101"/>
    <mergeCell ref="D105:G105"/>
    <mergeCell ref="H105:K105"/>
    <mergeCell ref="L105:O105"/>
    <mergeCell ref="P105:S105"/>
    <mergeCell ref="T105:W105"/>
    <mergeCell ref="C106:C107"/>
    <mergeCell ref="D106:W106"/>
    <mergeCell ref="D107:W107"/>
    <mergeCell ref="D103:G103"/>
    <mergeCell ref="H103:K103"/>
    <mergeCell ref="L103:O103"/>
    <mergeCell ref="P103:S103"/>
    <mergeCell ref="T103:W103"/>
    <mergeCell ref="D104:G104"/>
    <mergeCell ref="H104:K104"/>
    <mergeCell ref="L104:O104"/>
    <mergeCell ref="P104:S104"/>
    <mergeCell ref="T104:W104"/>
    <mergeCell ref="D108:G108"/>
    <mergeCell ref="H108:K108"/>
    <mergeCell ref="L108:O108"/>
    <mergeCell ref="P108:S108"/>
    <mergeCell ref="T108:W108"/>
    <mergeCell ref="B109:B112"/>
    <mergeCell ref="D109:G109"/>
    <mergeCell ref="H109:K109"/>
    <mergeCell ref="L109:O109"/>
    <mergeCell ref="P109:S109"/>
    <mergeCell ref="A113:A114"/>
    <mergeCell ref="B113:C113"/>
    <mergeCell ref="D113:G113"/>
    <mergeCell ref="H113:K113"/>
    <mergeCell ref="L113:O113"/>
    <mergeCell ref="P113:S113"/>
    <mergeCell ref="T113:X113"/>
    <mergeCell ref="T109:W109"/>
    <mergeCell ref="D110:G110"/>
    <mergeCell ref="H110:K110"/>
    <mergeCell ref="L110:O110"/>
    <mergeCell ref="P110:S110"/>
    <mergeCell ref="T110:W110"/>
    <mergeCell ref="A91:A110"/>
    <mergeCell ref="B91:B98"/>
    <mergeCell ref="B114:C114"/>
    <mergeCell ref="D114:G114"/>
    <mergeCell ref="H114:K114"/>
    <mergeCell ref="L114:O114"/>
    <mergeCell ref="P114:S114"/>
    <mergeCell ref="T114:X114"/>
    <mergeCell ref="C111:C112"/>
    <mergeCell ref="D111:W111"/>
    <mergeCell ref="D112:W112"/>
    <mergeCell ref="A115:A116"/>
    <mergeCell ref="B115:C115"/>
    <mergeCell ref="D115:X116"/>
    <mergeCell ref="B116:C116"/>
    <mergeCell ref="D119:G119"/>
    <mergeCell ref="H119:K119"/>
    <mergeCell ref="L119:O119"/>
    <mergeCell ref="P119:S119"/>
    <mergeCell ref="T119:W119"/>
    <mergeCell ref="T122:W122"/>
    <mergeCell ref="D123:G123"/>
    <mergeCell ref="H123:K123"/>
    <mergeCell ref="L123:O123"/>
    <mergeCell ref="P123:S123"/>
    <mergeCell ref="T123:W123"/>
    <mergeCell ref="T120:W120"/>
    <mergeCell ref="X120:X139"/>
    <mergeCell ref="D121:G121"/>
    <mergeCell ref="H121:K121"/>
    <mergeCell ref="L121:O121"/>
    <mergeCell ref="P121:S121"/>
    <mergeCell ref="T121:W121"/>
    <mergeCell ref="D122:G122"/>
    <mergeCell ref="H122:K122"/>
    <mergeCell ref="L122:O122"/>
    <mergeCell ref="D120:G120"/>
    <mergeCell ref="H120:K120"/>
    <mergeCell ref="L120:O120"/>
    <mergeCell ref="P120:S120"/>
    <mergeCell ref="P122:S122"/>
    <mergeCell ref="D124:G124"/>
    <mergeCell ref="H124:K124"/>
    <mergeCell ref="L124:O124"/>
    <mergeCell ref="C126:C127"/>
    <mergeCell ref="D126:W126"/>
    <mergeCell ref="D127:W127"/>
    <mergeCell ref="D128:G128"/>
    <mergeCell ref="H128:K128"/>
    <mergeCell ref="L128:O128"/>
    <mergeCell ref="P128:S128"/>
    <mergeCell ref="T128:W128"/>
    <mergeCell ref="P124:S124"/>
    <mergeCell ref="T124:W124"/>
    <mergeCell ref="D125:G125"/>
    <mergeCell ref="H125:K125"/>
    <mergeCell ref="L125:O125"/>
    <mergeCell ref="P125:S125"/>
    <mergeCell ref="T125:W125"/>
    <mergeCell ref="T130:W130"/>
    <mergeCell ref="D131:G131"/>
    <mergeCell ref="H131:K131"/>
    <mergeCell ref="L131:O131"/>
    <mergeCell ref="P131:S131"/>
    <mergeCell ref="T131:W131"/>
    <mergeCell ref="B129:B136"/>
    <mergeCell ref="D129:G129"/>
    <mergeCell ref="H129:K129"/>
    <mergeCell ref="L129:O129"/>
    <mergeCell ref="P129:S129"/>
    <mergeCell ref="T129:W129"/>
    <mergeCell ref="D130:G130"/>
    <mergeCell ref="H130:K130"/>
    <mergeCell ref="L130:O130"/>
    <mergeCell ref="P130:S130"/>
    <mergeCell ref="D134:G134"/>
    <mergeCell ref="H134:K134"/>
    <mergeCell ref="L134:O134"/>
    <mergeCell ref="P134:S134"/>
    <mergeCell ref="T134:W134"/>
    <mergeCell ref="C135:C136"/>
    <mergeCell ref="D135:W135"/>
    <mergeCell ref="D136:W136"/>
    <mergeCell ref="D132:G132"/>
    <mergeCell ref="H132:K132"/>
    <mergeCell ref="L132:O132"/>
    <mergeCell ref="P132:S132"/>
    <mergeCell ref="T132:W132"/>
    <mergeCell ref="D133:G133"/>
    <mergeCell ref="H133:K133"/>
    <mergeCell ref="L133:O133"/>
    <mergeCell ref="P133:S133"/>
    <mergeCell ref="T133:W133"/>
    <mergeCell ref="D137:G137"/>
    <mergeCell ref="H137:K137"/>
    <mergeCell ref="L137:O137"/>
    <mergeCell ref="P137:S137"/>
    <mergeCell ref="T137:W137"/>
    <mergeCell ref="B138:B141"/>
    <mergeCell ref="D138:G138"/>
    <mergeCell ref="H138:K138"/>
    <mergeCell ref="L138:O138"/>
    <mergeCell ref="P138:S138"/>
    <mergeCell ref="A142:A143"/>
    <mergeCell ref="B142:C142"/>
    <mergeCell ref="D142:G142"/>
    <mergeCell ref="H142:K142"/>
    <mergeCell ref="L142:O142"/>
    <mergeCell ref="P142:S142"/>
    <mergeCell ref="T142:X142"/>
    <mergeCell ref="T138:W138"/>
    <mergeCell ref="D139:G139"/>
    <mergeCell ref="H139:K139"/>
    <mergeCell ref="L139:O139"/>
    <mergeCell ref="P139:S139"/>
    <mergeCell ref="T139:W139"/>
    <mergeCell ref="A120:A139"/>
    <mergeCell ref="B120:B127"/>
    <mergeCell ref="B143:C143"/>
    <mergeCell ref="D143:G143"/>
    <mergeCell ref="H143:K143"/>
    <mergeCell ref="L143:O143"/>
    <mergeCell ref="P143:S143"/>
    <mergeCell ref="T143:X143"/>
    <mergeCell ref="C140:C141"/>
    <mergeCell ref="D140:W140"/>
    <mergeCell ref="D141:W141"/>
    <mergeCell ref="A144:A145"/>
    <mergeCell ref="B144:C144"/>
    <mergeCell ref="D144:X145"/>
    <mergeCell ref="B145:C145"/>
    <mergeCell ref="D148:G148"/>
    <mergeCell ref="H148:K148"/>
    <mergeCell ref="L148:O148"/>
    <mergeCell ref="P148:S148"/>
    <mergeCell ref="T148:W148"/>
    <mergeCell ref="A149:A176"/>
    <mergeCell ref="B149:B150"/>
    <mergeCell ref="X149:X174"/>
    <mergeCell ref="D151:G151"/>
    <mergeCell ref="C152:C153"/>
    <mergeCell ref="D152:W152"/>
    <mergeCell ref="D153:W153"/>
    <mergeCell ref="D154:G154"/>
    <mergeCell ref="H154:K154"/>
    <mergeCell ref="L154:O154"/>
    <mergeCell ref="B161:B164"/>
    <mergeCell ref="D161:E161"/>
    <mergeCell ref="F161:G161"/>
    <mergeCell ref="H161:I161"/>
    <mergeCell ref="J161:K161"/>
    <mergeCell ref="P154:S154"/>
    <mergeCell ref="T154:W154"/>
    <mergeCell ref="B155:B156"/>
    <mergeCell ref="D157:G157"/>
    <mergeCell ref="H157:K157"/>
    <mergeCell ref="C158:C159"/>
    <mergeCell ref="D158:W158"/>
    <mergeCell ref="D159:W159"/>
    <mergeCell ref="L161:M161"/>
    <mergeCell ref="N161:O161"/>
    <mergeCell ref="P161:Q161"/>
    <mergeCell ref="R161:S161"/>
    <mergeCell ref="T161:U161"/>
    <mergeCell ref="V161:W161"/>
    <mergeCell ref="D160:G160"/>
    <mergeCell ref="H160:K160"/>
    <mergeCell ref="L160:O160"/>
    <mergeCell ref="P160:S160"/>
    <mergeCell ref="T160:W160"/>
    <mergeCell ref="T162:U162"/>
    <mergeCell ref="V162:W162"/>
    <mergeCell ref="D163:G163"/>
    <mergeCell ref="H163:K163"/>
    <mergeCell ref="L163:M163"/>
    <mergeCell ref="N163:O163"/>
    <mergeCell ref="P163:Q163"/>
    <mergeCell ref="R163:S163"/>
    <mergeCell ref="T163:U163"/>
    <mergeCell ref="V163:W163"/>
    <mergeCell ref="D162:G162"/>
    <mergeCell ref="H162:K162"/>
    <mergeCell ref="L162:M162"/>
    <mergeCell ref="N162:O162"/>
    <mergeCell ref="P162:Q162"/>
    <mergeCell ref="R162:S162"/>
    <mergeCell ref="T164:U164"/>
    <mergeCell ref="V164:W164"/>
    <mergeCell ref="D165:G165"/>
    <mergeCell ref="H165:K165"/>
    <mergeCell ref="L165:O165"/>
    <mergeCell ref="P165:Q165"/>
    <mergeCell ref="R165:S165"/>
    <mergeCell ref="T165:U165"/>
    <mergeCell ref="V165:W165"/>
    <mergeCell ref="D164:G164"/>
    <mergeCell ref="H164:K164"/>
    <mergeCell ref="P164:Q164"/>
    <mergeCell ref="R164:S164"/>
    <mergeCell ref="V166:W166"/>
    <mergeCell ref="D167:G167"/>
    <mergeCell ref="H167:K167"/>
    <mergeCell ref="L167:O167"/>
    <mergeCell ref="T167:U167"/>
    <mergeCell ref="V167:W167"/>
    <mergeCell ref="D166:G166"/>
    <mergeCell ref="H166:K166"/>
    <mergeCell ref="L166:O166"/>
    <mergeCell ref="P166:Q166"/>
    <mergeCell ref="R166:S166"/>
    <mergeCell ref="T166:U166"/>
    <mergeCell ref="B168:B169"/>
    <mergeCell ref="C168:C169"/>
    <mergeCell ref="D168:W168"/>
    <mergeCell ref="D169:W169"/>
    <mergeCell ref="D170:G170"/>
    <mergeCell ref="H170:K170"/>
    <mergeCell ref="L170:O170"/>
    <mergeCell ref="P170:S170"/>
    <mergeCell ref="T170:W170"/>
    <mergeCell ref="T172:W172"/>
    <mergeCell ref="D173:G173"/>
    <mergeCell ref="H173:K173"/>
    <mergeCell ref="L173:O173"/>
    <mergeCell ref="P173:S173"/>
    <mergeCell ref="T173:W173"/>
    <mergeCell ref="B171:B178"/>
    <mergeCell ref="D171:G171"/>
    <mergeCell ref="H171:K171"/>
    <mergeCell ref="L171:O171"/>
    <mergeCell ref="P171:S171"/>
    <mergeCell ref="T171:W171"/>
    <mergeCell ref="D172:G172"/>
    <mergeCell ref="H172:K172"/>
    <mergeCell ref="L172:O172"/>
    <mergeCell ref="P172:S172"/>
    <mergeCell ref="D176:G176"/>
    <mergeCell ref="H176:K176"/>
    <mergeCell ref="L176:O176"/>
    <mergeCell ref="P176:S176"/>
    <mergeCell ref="T176:W176"/>
    <mergeCell ref="C177:C178"/>
    <mergeCell ref="D177:W177"/>
    <mergeCell ref="D178:W178"/>
    <mergeCell ref="D174:G174"/>
    <mergeCell ref="H174:K174"/>
    <mergeCell ref="L174:O174"/>
    <mergeCell ref="P174:S174"/>
    <mergeCell ref="T174:W174"/>
    <mergeCell ref="D175:G175"/>
    <mergeCell ref="H175:K175"/>
    <mergeCell ref="L175:O175"/>
    <mergeCell ref="P175:S175"/>
    <mergeCell ref="T175:W175"/>
    <mergeCell ref="T179:X179"/>
    <mergeCell ref="B180:C180"/>
    <mergeCell ref="D180:G180"/>
    <mergeCell ref="H180:K180"/>
    <mergeCell ref="L180:O180"/>
    <mergeCell ref="P180:S180"/>
    <mergeCell ref="T180:X180"/>
    <mergeCell ref="A179:A180"/>
    <mergeCell ref="B179:C179"/>
    <mergeCell ref="D179:G179"/>
    <mergeCell ref="H179:K179"/>
    <mergeCell ref="L179:O179"/>
    <mergeCell ref="P179:S179"/>
    <mergeCell ref="A181:A182"/>
    <mergeCell ref="B181:C181"/>
    <mergeCell ref="D181:X182"/>
    <mergeCell ref="B182:C182"/>
    <mergeCell ref="D185:G185"/>
    <mergeCell ref="H185:K185"/>
    <mergeCell ref="L185:O185"/>
    <mergeCell ref="P185:S185"/>
    <mergeCell ref="T185:W185"/>
    <mergeCell ref="T188:W188"/>
    <mergeCell ref="D189:G189"/>
    <mergeCell ref="H189:K189"/>
    <mergeCell ref="L189:O189"/>
    <mergeCell ref="P189:S189"/>
    <mergeCell ref="T189:W189"/>
    <mergeCell ref="T186:W186"/>
    <mergeCell ref="X186:X224"/>
    <mergeCell ref="D187:G187"/>
    <mergeCell ref="H187:K187"/>
    <mergeCell ref="L187:O187"/>
    <mergeCell ref="P187:S187"/>
    <mergeCell ref="T187:W187"/>
    <mergeCell ref="D188:G188"/>
    <mergeCell ref="H188:K188"/>
    <mergeCell ref="L188:O188"/>
    <mergeCell ref="D186:G186"/>
    <mergeCell ref="H186:K186"/>
    <mergeCell ref="L186:O186"/>
    <mergeCell ref="P186:S186"/>
    <mergeCell ref="P188:S188"/>
    <mergeCell ref="D190:G190"/>
    <mergeCell ref="H190:K190"/>
    <mergeCell ref="L190:O190"/>
    <mergeCell ref="C192:C193"/>
    <mergeCell ref="D192:W192"/>
    <mergeCell ref="D193:W193"/>
    <mergeCell ref="D194:G194"/>
    <mergeCell ref="H194:K194"/>
    <mergeCell ref="L194:O194"/>
    <mergeCell ref="P194:S194"/>
    <mergeCell ref="T194:W194"/>
    <mergeCell ref="P190:S190"/>
    <mergeCell ref="T190:W190"/>
    <mergeCell ref="D191:G191"/>
    <mergeCell ref="H191:K191"/>
    <mergeCell ref="L191:O191"/>
    <mergeCell ref="P191:S191"/>
    <mergeCell ref="T191:W191"/>
    <mergeCell ref="T196:W196"/>
    <mergeCell ref="D197:G197"/>
    <mergeCell ref="H197:K197"/>
    <mergeCell ref="L197:O197"/>
    <mergeCell ref="P197:S197"/>
    <mergeCell ref="T197:W197"/>
    <mergeCell ref="B195:B202"/>
    <mergeCell ref="D195:G195"/>
    <mergeCell ref="H195:K195"/>
    <mergeCell ref="L195:O195"/>
    <mergeCell ref="P195:S195"/>
    <mergeCell ref="T195:W195"/>
    <mergeCell ref="D196:G196"/>
    <mergeCell ref="H196:K196"/>
    <mergeCell ref="L196:O196"/>
    <mergeCell ref="P196:S196"/>
    <mergeCell ref="T200:W200"/>
    <mergeCell ref="C201:C202"/>
    <mergeCell ref="D201:W201"/>
    <mergeCell ref="D202:W202"/>
    <mergeCell ref="D198:G198"/>
    <mergeCell ref="H198:K198"/>
    <mergeCell ref="L198:O198"/>
    <mergeCell ref="P198:S198"/>
    <mergeCell ref="T198:W198"/>
    <mergeCell ref="D199:G199"/>
    <mergeCell ref="H199:K199"/>
    <mergeCell ref="L199:O199"/>
    <mergeCell ref="P199:S199"/>
    <mergeCell ref="T199:W199"/>
    <mergeCell ref="B204:B211"/>
    <mergeCell ref="D204:G204"/>
    <mergeCell ref="H204:K204"/>
    <mergeCell ref="L204:O204"/>
    <mergeCell ref="P204:S204"/>
    <mergeCell ref="D200:G200"/>
    <mergeCell ref="H200:K200"/>
    <mergeCell ref="L200:O200"/>
    <mergeCell ref="P200:S200"/>
    <mergeCell ref="T204:W204"/>
    <mergeCell ref="D205:G205"/>
    <mergeCell ref="H205:K205"/>
    <mergeCell ref="L205:O205"/>
    <mergeCell ref="P205:S205"/>
    <mergeCell ref="T205:W205"/>
    <mergeCell ref="D203:G203"/>
    <mergeCell ref="H203:K203"/>
    <mergeCell ref="L203:O203"/>
    <mergeCell ref="P203:S203"/>
    <mergeCell ref="T203:W203"/>
    <mergeCell ref="D206:G206"/>
    <mergeCell ref="H206:K206"/>
    <mergeCell ref="L206:O206"/>
    <mergeCell ref="P206:S206"/>
    <mergeCell ref="T206:W206"/>
    <mergeCell ref="D207:G207"/>
    <mergeCell ref="H207:K207"/>
    <mergeCell ref="L207:O207"/>
    <mergeCell ref="P207:S207"/>
    <mergeCell ref="T207:W207"/>
    <mergeCell ref="C210:C211"/>
    <mergeCell ref="D210:W210"/>
    <mergeCell ref="D211:W211"/>
    <mergeCell ref="D212:G212"/>
    <mergeCell ref="H212:K212"/>
    <mergeCell ref="L212:O212"/>
    <mergeCell ref="P212:S212"/>
    <mergeCell ref="T212:W212"/>
    <mergeCell ref="D208:G208"/>
    <mergeCell ref="H208:K208"/>
    <mergeCell ref="L208:O208"/>
    <mergeCell ref="P208:S208"/>
    <mergeCell ref="T208:W208"/>
    <mergeCell ref="D209:G209"/>
    <mergeCell ref="H209:K209"/>
    <mergeCell ref="L209:O209"/>
    <mergeCell ref="P209:S209"/>
    <mergeCell ref="T209:W209"/>
    <mergeCell ref="T214:W214"/>
    <mergeCell ref="D215:G215"/>
    <mergeCell ref="H215:K215"/>
    <mergeCell ref="L215:O215"/>
    <mergeCell ref="P215:S215"/>
    <mergeCell ref="T215:W215"/>
    <mergeCell ref="B213:B220"/>
    <mergeCell ref="D213:G213"/>
    <mergeCell ref="H213:K213"/>
    <mergeCell ref="L213:O213"/>
    <mergeCell ref="P213:S213"/>
    <mergeCell ref="T213:W213"/>
    <mergeCell ref="D214:G214"/>
    <mergeCell ref="H214:K214"/>
    <mergeCell ref="L214:O214"/>
    <mergeCell ref="P214:S214"/>
    <mergeCell ref="D218:G218"/>
    <mergeCell ref="H218:K218"/>
    <mergeCell ref="L218:O218"/>
    <mergeCell ref="P218:S218"/>
    <mergeCell ref="T218:W218"/>
    <mergeCell ref="C219:C220"/>
    <mergeCell ref="D219:W219"/>
    <mergeCell ref="D220:W220"/>
    <mergeCell ref="D216:G216"/>
    <mergeCell ref="H216:K216"/>
    <mergeCell ref="L216:O216"/>
    <mergeCell ref="P216:S216"/>
    <mergeCell ref="T216:W216"/>
    <mergeCell ref="D217:G217"/>
    <mergeCell ref="H217:K217"/>
    <mergeCell ref="L217:O217"/>
    <mergeCell ref="P217:S217"/>
    <mergeCell ref="T217:W217"/>
    <mergeCell ref="L222:M222"/>
    <mergeCell ref="N222:O222"/>
    <mergeCell ref="P222:Q222"/>
    <mergeCell ref="R222:S222"/>
    <mergeCell ref="T222:U222"/>
    <mergeCell ref="V222:W222"/>
    <mergeCell ref="D221:G221"/>
    <mergeCell ref="H221:K221"/>
    <mergeCell ref="L221:O221"/>
    <mergeCell ref="P221:S221"/>
    <mergeCell ref="T221:W221"/>
    <mergeCell ref="D222:E222"/>
    <mergeCell ref="F222:G222"/>
    <mergeCell ref="H222:I222"/>
    <mergeCell ref="J222:K222"/>
    <mergeCell ref="A227:A228"/>
    <mergeCell ref="B227:C227"/>
    <mergeCell ref="D227:G227"/>
    <mergeCell ref="H227:K227"/>
    <mergeCell ref="L227:O227"/>
    <mergeCell ref="P223:Q223"/>
    <mergeCell ref="R223:S223"/>
    <mergeCell ref="T223:U223"/>
    <mergeCell ref="V223:W223"/>
    <mergeCell ref="D224:G224"/>
    <mergeCell ref="H224:K224"/>
    <mergeCell ref="L224:M224"/>
    <mergeCell ref="N224:O224"/>
    <mergeCell ref="P224:Q224"/>
    <mergeCell ref="R224:S224"/>
    <mergeCell ref="D223:E223"/>
    <mergeCell ref="F223:G223"/>
    <mergeCell ref="H223:I223"/>
    <mergeCell ref="J223:K223"/>
    <mergeCell ref="L223:M223"/>
    <mergeCell ref="N223:O223"/>
    <mergeCell ref="B222:B224"/>
    <mergeCell ref="A186:A224"/>
    <mergeCell ref="B186:B193"/>
    <mergeCell ref="P227:S227"/>
    <mergeCell ref="T227:X227"/>
    <mergeCell ref="B228:C228"/>
    <mergeCell ref="D228:G228"/>
    <mergeCell ref="H228:K228"/>
    <mergeCell ref="L228:O228"/>
    <mergeCell ref="P228:S228"/>
    <mergeCell ref="T228:X228"/>
    <mergeCell ref="T224:U224"/>
    <mergeCell ref="V224:W224"/>
    <mergeCell ref="C225:C226"/>
    <mergeCell ref="D225:W225"/>
    <mergeCell ref="D226:W226"/>
    <mergeCell ref="C237:C238"/>
    <mergeCell ref="H239:K239"/>
    <mergeCell ref="L239:O239"/>
    <mergeCell ref="P239:S239"/>
    <mergeCell ref="A229:A230"/>
    <mergeCell ref="B229:C229"/>
    <mergeCell ref="D229:X230"/>
    <mergeCell ref="B230:C230"/>
    <mergeCell ref="D233:G233"/>
    <mergeCell ref="H233:K233"/>
    <mergeCell ref="L233:O233"/>
    <mergeCell ref="P233:S233"/>
    <mergeCell ref="T233:W233"/>
    <mergeCell ref="B234:B238"/>
    <mergeCell ref="A234:A248"/>
    <mergeCell ref="B240:B244"/>
    <mergeCell ref="B246:B250"/>
    <mergeCell ref="D248:G248"/>
    <mergeCell ref="H248:K248"/>
    <mergeCell ref="C249:C250"/>
    <mergeCell ref="X234:X248"/>
    <mergeCell ref="H241:K241"/>
    <mergeCell ref="L241:O241"/>
    <mergeCell ref="P241:S241"/>
    <mergeCell ref="L251:O251"/>
    <mergeCell ref="T239:W239"/>
    <mergeCell ref="D242:G242"/>
    <mergeCell ref="H242:K242"/>
    <mergeCell ref="D245:G245"/>
    <mergeCell ref="H245:K245"/>
    <mergeCell ref="L245:O245"/>
    <mergeCell ref="P245:S245"/>
    <mergeCell ref="T245:W245"/>
    <mergeCell ref="D249:W249"/>
    <mergeCell ref="D250:W250"/>
    <mergeCell ref="D246:G246"/>
    <mergeCell ref="H246:K246"/>
    <mergeCell ref="L246:O246"/>
    <mergeCell ref="D247:G247"/>
    <mergeCell ref="H247:K247"/>
    <mergeCell ref="L247:O247"/>
    <mergeCell ref="L248:O248"/>
    <mergeCell ref="P248:S248"/>
    <mergeCell ref="D240:G240"/>
    <mergeCell ref="H240:K240"/>
    <mergeCell ref="L240:O240"/>
    <mergeCell ref="D241:G241"/>
    <mergeCell ref="L242:O242"/>
    <mergeCell ref="A253:A254"/>
    <mergeCell ref="B253:C253"/>
    <mergeCell ref="D253:X254"/>
    <mergeCell ref="B254:C254"/>
    <mergeCell ref="P24:S24"/>
    <mergeCell ref="L43:O43"/>
    <mergeCell ref="P167:S167"/>
    <mergeCell ref="L164:O164"/>
    <mergeCell ref="P46:S46"/>
    <mergeCell ref="P251:S251"/>
    <mergeCell ref="T251:X251"/>
    <mergeCell ref="B252:C252"/>
    <mergeCell ref="D252:G252"/>
    <mergeCell ref="H252:K252"/>
    <mergeCell ref="L252:O252"/>
    <mergeCell ref="P252:S252"/>
    <mergeCell ref="T252:X252"/>
    <mergeCell ref="C243:C244"/>
    <mergeCell ref="D243:W243"/>
    <mergeCell ref="D244:W244"/>
    <mergeCell ref="A251:A252"/>
    <mergeCell ref="B251:C251"/>
    <mergeCell ref="D251:G251"/>
    <mergeCell ref="H251:K251"/>
  </mergeCells>
  <pageMargins left="0.39000000000000007" right="0.39000000000000007" top="0.39000000000000007" bottom="0.39000000000000007" header="0" footer="0"/>
  <pageSetup paperSize="9" scale="57" fitToHeight="10" orientation="landscape"/>
  <headerFooter>
    <oddFooter>&amp;L&amp;K000000&amp;F&amp;C&amp;K000000&amp;D&amp;R&amp;K000000Page &amp;P</oddFooter>
  </headerFooter>
  <legacy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56"/>
  <sheetViews>
    <sheetView workbookViewId="0">
      <selection activeCell="T105" sqref="T105"/>
    </sheetView>
  </sheetViews>
  <sheetFormatPr defaultColWidth="10.85546875" defaultRowHeight="12.75"/>
  <cols>
    <col min="1" max="1" width="20.85546875" style="37" customWidth="1"/>
    <col min="2" max="2" width="80.7109375" style="32" customWidth="1"/>
    <col min="3" max="16384" width="10.85546875" style="36"/>
  </cols>
  <sheetData>
    <row r="1" spans="1:2" s="61" customFormat="1" ht="15.75">
      <c r="A1" s="62" t="str">
        <f>'Guide - wip'!A1</f>
        <v>SAVI Programme</v>
      </c>
      <c r="B1" s="60" t="s">
        <v>230</v>
      </c>
    </row>
    <row r="2" spans="1:2">
      <c r="A2" s="36"/>
      <c r="B2" s="36"/>
    </row>
    <row r="3" spans="1:2" ht="13.5" thickBot="1"/>
    <row r="4" spans="1:2" ht="13.5" thickBot="1">
      <c r="A4" s="1" t="s">
        <v>177</v>
      </c>
    </row>
    <row r="5" spans="1:2" ht="13.5" thickBot="1">
      <c r="A5" s="1123" t="s">
        <v>24</v>
      </c>
      <c r="B5" s="1124"/>
    </row>
    <row r="6" spans="1:2" ht="300" customHeight="1" thickBot="1">
      <c r="A6" s="1112" t="str">
        <f>'State DisAgg LFx10 (2015)'!B22</f>
        <v>Level of accountability and responsiveness of state and local government.</v>
      </c>
      <c r="B6" s="1113"/>
    </row>
    <row r="7" spans="1:2" ht="13.5" thickBot="1">
      <c r="A7" s="1114" t="s">
        <v>25</v>
      </c>
      <c r="B7" s="1115"/>
    </row>
    <row r="8" spans="1:2" ht="300" customHeight="1" thickBot="1">
      <c r="A8" s="1128" t="str">
        <f>'State DisAgg LFx10 (2015)'!B45</f>
        <v>Level of citizen’s satisfaction (including that of women and other socially excluded groups) with their ability to claim rights and hold government to account through democratic channels.</v>
      </c>
      <c r="B8" s="1129"/>
    </row>
    <row r="9" spans="1:2" ht="13.5" thickBot="1">
      <c r="A9" s="1114" t="s">
        <v>37</v>
      </c>
      <c r="B9" s="1115"/>
    </row>
    <row r="10" spans="1:2" ht="24" customHeight="1">
      <c r="A10" s="1112" t="str">
        <f>'State DisAgg LFx10 (2015)'!B68</f>
        <v>Extent of passage and implementation (by state houses of assembly and state governments) of key legislation that underpins good governance:
a). fiscal responsibility bill (FR),</v>
      </c>
      <c r="B10" s="1113"/>
    </row>
    <row r="11" spans="1:2" ht="12.75" customHeight="1">
      <c r="A11" s="971">
        <f>'State DisAgg LFx10 (2015)'!B74</f>
        <v>0</v>
      </c>
      <c r="B11" s="1127"/>
    </row>
    <row r="12" spans="1:2" ht="12.75" customHeight="1">
      <c r="A12" s="971">
        <f>'State DisAgg LFx10 (2015)'!B77</f>
        <v>0</v>
      </c>
      <c r="B12" s="1127"/>
    </row>
    <row r="13" spans="1:2" ht="290.10000000000002" customHeight="1" thickBot="1">
      <c r="A13" s="982">
        <f>'State DisAgg LFx10 (2015)'!B79</f>
        <v>0</v>
      </c>
      <c r="B13" s="1122"/>
    </row>
    <row r="15" spans="1:2" ht="13.5" thickBot="1"/>
    <row r="16" spans="1:2" ht="13.5" thickBot="1">
      <c r="A16" s="1" t="s">
        <v>176</v>
      </c>
    </row>
    <row r="17" spans="1:2" ht="13.5" thickBot="1">
      <c r="A17" s="1114" t="s">
        <v>22</v>
      </c>
      <c r="B17" s="1115"/>
    </row>
    <row r="18" spans="1:2" ht="300" customHeight="1" thickBot="1">
      <c r="A18" s="1128" t="str">
        <f>'State DisAgg LFx10 (2015)'!B94</f>
        <v>Level of functionality of state houses of assembly as agents of voice and accountability.</v>
      </c>
      <c r="B18" s="1129"/>
    </row>
    <row r="19" spans="1:2" ht="13.5" thickBot="1">
      <c r="A19" s="1114" t="s">
        <v>23</v>
      </c>
      <c r="B19" s="1115"/>
    </row>
    <row r="20" spans="1:2" ht="300" customHeight="1" thickBot="1">
      <c r="A20" s="1112" t="str">
        <f>'State DisAgg LFx10 (2015)'!B117</f>
        <v>Level of functionality of civil society as agents of voice and accountability.</v>
      </c>
      <c r="B20" s="1113"/>
    </row>
    <row r="21" spans="1:2" ht="13.5" thickBot="1">
      <c r="A21" s="1114" t="s">
        <v>38</v>
      </c>
      <c r="B21" s="1115"/>
    </row>
    <row r="22" spans="1:2" ht="300" customHeight="1" thickBot="1">
      <c r="A22" s="1128" t="str">
        <f>'State DisAgg LFx10 (2015)'!B140</f>
        <v>Level of functionality of the media as agents of voice and accountability.</v>
      </c>
      <c r="B22" s="1129"/>
    </row>
    <row r="23" spans="1:2" ht="13.5" thickBot="1">
      <c r="A23" s="1114" t="s">
        <v>39</v>
      </c>
      <c r="B23" s="1115"/>
    </row>
    <row r="24" spans="1:2" ht="300" customHeight="1" thickBot="1">
      <c r="A24" s="1112" t="str">
        <f>'State DisAgg LFx10 (2015)'!B163</f>
        <v>Cumulative number of demonstrable changes in policy and implementation (behavioural change, policy change and change in practice) by state government in response to public demand where there is evidence of attribution to SAVI's approach, a number of which:</v>
      </c>
      <c r="B24" s="1113"/>
    </row>
    <row r="25" spans="1:2" ht="12.75" customHeight="1">
      <c r="A25" s="1128" t="e">
        <f>'State DisAgg LFx10 (2015)'!#REF!</f>
        <v>#REF!</v>
      </c>
      <c r="B25" s="1129"/>
    </row>
    <row r="26" spans="1:2" ht="12.75" customHeight="1">
      <c r="A26" s="1130">
        <f>'State DisAgg LFx10 (2015)'!B184</f>
        <v>0</v>
      </c>
      <c r="B26" s="1131"/>
    </row>
    <row r="27" spans="1:2" ht="290.10000000000002" customHeight="1" thickBot="1">
      <c r="A27" s="1125">
        <f>'State DisAgg LFx10 (2015)'!B185</f>
        <v>0</v>
      </c>
      <c r="B27" s="1126"/>
    </row>
    <row r="29" spans="1:2" ht="13.5" thickBot="1"/>
    <row r="30" spans="1:2" ht="13.5" thickBot="1">
      <c r="A30" s="63" t="s">
        <v>11</v>
      </c>
    </row>
    <row r="31" spans="1:2" ht="13.5" thickBot="1">
      <c r="A31" s="1114" t="s">
        <v>16</v>
      </c>
      <c r="B31" s="1115"/>
    </row>
    <row r="32" spans="1:2" ht="300" customHeight="1" thickBot="1">
      <c r="A32" s="1112" t="str">
        <f>'State DisAgg LFx10 (2015)'!B193</f>
        <v>Level of strength of civil society partnerships in terms of their internal capacity, external relations and skills in policy advocacy and monitoring.</v>
      </c>
      <c r="B32" s="1113"/>
    </row>
    <row r="33" spans="1:2" ht="13.5" thickBot="1">
      <c r="A33" s="1114" t="s">
        <v>17</v>
      </c>
      <c r="B33" s="1115"/>
    </row>
    <row r="34" spans="1:2" ht="300" customHeight="1" thickBot="1">
      <c r="A34" s="1128" t="str">
        <f>'State DisAgg LFx10 (2015)'!B216</f>
        <v>Level of independence / dependence of civil society partnerships on SAVI support.</v>
      </c>
      <c r="B34" s="1129"/>
    </row>
    <row r="35" spans="1:2" ht="13.5" thickBot="1">
      <c r="A35" s="1114" t="s">
        <v>18</v>
      </c>
      <c r="B35" s="1115"/>
    </row>
    <row r="36" spans="1:2" ht="300" customHeight="1" thickBot="1">
      <c r="A36" s="1120" t="str">
        <f>'State DisAgg LFx10 (2015)'!B239</f>
        <v>Cumulative number of civil society partnerships emerging in other sub-sectors, sectors and states which have based key aspects of their approach on that of SAVI-supported partnerships.</v>
      </c>
      <c r="B36" s="1121"/>
    </row>
    <row r="38" spans="1:2" ht="13.5" thickBot="1"/>
    <row r="39" spans="1:2" ht="13.5" thickBot="1">
      <c r="A39" s="63" t="s">
        <v>15</v>
      </c>
    </row>
    <row r="40" spans="1:2" ht="13.5" thickBot="1">
      <c r="A40" s="1114" t="s">
        <v>19</v>
      </c>
      <c r="B40" s="1115"/>
    </row>
    <row r="41" spans="1:2" ht="300" customHeight="1" thickBot="1">
      <c r="A41" s="1128" t="str">
        <f>'State DisAgg LFx10 (2015)'!B268</f>
        <v>Level of strength of civil society partnerships in terms of their internal capacity, external relations and skills in facilitating public involvement in government budget and planning processes.</v>
      </c>
      <c r="B41" s="1129"/>
    </row>
    <row r="42" spans="1:2" ht="13.5" thickBot="1">
      <c r="A42" s="1114" t="s">
        <v>20</v>
      </c>
      <c r="B42" s="1115"/>
    </row>
    <row r="43" spans="1:2" ht="300" customHeight="1" thickBot="1">
      <c r="A43" s="1112" t="str">
        <f>'State DisAgg LFx10 (2015)'!B291</f>
        <v>Level of independence / dependence of civil society partnerships on SAVI support.</v>
      </c>
      <c r="B43" s="1113"/>
    </row>
    <row r="44" spans="1:2" ht="13.5" thickBot="1">
      <c r="A44" s="1114" t="s">
        <v>21</v>
      </c>
      <c r="B44" s="1115"/>
    </row>
    <row r="45" spans="1:2" ht="300" customHeight="1" thickBot="1">
      <c r="A45" s="1116" t="str">
        <f>'State DisAgg LFx10 (2015)'!B314</f>
        <v>Cumulative number of issue-based civil society partnerships supported by these budget and planning process partnerships through replication of key aspects of their approaches to facilitating public involvement.</v>
      </c>
      <c r="B45" s="1117"/>
    </row>
    <row r="47" spans="1:2" ht="13.5" thickBot="1"/>
    <row r="48" spans="1:2" ht="13.5" thickBot="1">
      <c r="A48" s="63" t="s">
        <v>26</v>
      </c>
    </row>
    <row r="49" spans="1:2" ht="13.5" thickBot="1">
      <c r="A49" s="1114" t="s">
        <v>29</v>
      </c>
      <c r="B49" s="1115"/>
    </row>
    <row r="50" spans="1:2" ht="36" customHeight="1">
      <c r="A50" s="1112" t="str">
        <f>'State DisAgg LFx10 (2015)'!B343</f>
        <v>Cumulative number of partnerships supported by SAVI (for demonstration) and by local partners (for replication) under all five Outputs progressively supported by the leadership in civil society, the media, state houses of assembly and government: i.e:
a). permitting &gt;</v>
      </c>
      <c r="B50" s="1113"/>
    </row>
    <row r="51" spans="1:2" ht="12.75" customHeight="1">
      <c r="A51" s="971" t="str">
        <f>'State DisAgg LFx10 (2015)'!B345</f>
        <v xml:space="preserve">b). facilitating &gt; </v>
      </c>
      <c r="B51" s="1127"/>
    </row>
    <row r="52" spans="1:2" ht="12.75" customHeight="1">
      <c r="A52" s="971" t="str">
        <f>'State DisAgg LFx10 (2015)'!B346</f>
        <v>c). promoting &gt;</v>
      </c>
      <c r="B52" s="1127"/>
    </row>
    <row r="53" spans="1:2" ht="290.10000000000002" customHeight="1" thickBot="1">
      <c r="A53" s="982">
        <f>'State DisAgg LFx10 (2015)'!B365</f>
        <v>0</v>
      </c>
      <c r="B53" s="1122"/>
    </row>
    <row r="54" spans="1:2" ht="13.5" thickBot="1">
      <c r="A54" s="1114" t="s">
        <v>30</v>
      </c>
      <c r="B54" s="1115"/>
    </row>
    <row r="55" spans="1:2" ht="36" customHeight="1">
      <c r="A55" s="1128" t="str">
        <f>'State DisAgg LFx10 (2015)'!B367</f>
        <v>Cumulative number of partnerships supported by SAVI (for demonstration) and by local partners (for replication) under all five Outputs progressively including the voice of women and other socially excluded groups: i.e:
a). permitting &gt;</v>
      </c>
      <c r="B55" s="1129"/>
    </row>
    <row r="56" spans="1:2" ht="12.75" customHeight="1">
      <c r="A56" s="1130">
        <f>'State DisAgg LFx10 (2015)'!B378</f>
        <v>0</v>
      </c>
      <c r="B56" s="1131"/>
    </row>
    <row r="57" spans="1:2" ht="12.75" customHeight="1">
      <c r="A57" s="1130">
        <f>'State DisAgg LFx10 (2015)'!B388</f>
        <v>0</v>
      </c>
      <c r="B57" s="1131"/>
    </row>
    <row r="58" spans="1:2" ht="290.10000000000002" customHeight="1" thickBot="1">
      <c r="A58" s="1125">
        <f>'State DisAgg LFx10 (2015)'!B389</f>
        <v>0</v>
      </c>
      <c r="B58" s="1126"/>
    </row>
    <row r="59" spans="1:2" ht="13.5" thickBot="1">
      <c r="A59" s="1114" t="s">
        <v>31</v>
      </c>
      <c r="B59" s="1115"/>
    </row>
    <row r="60" spans="1:2" ht="33.75" customHeight="1">
      <c r="A60" s="1112" t="str">
        <f>'State DisAgg LFx10 (2015)'!B391</f>
        <v>Extent of public understanding of the expected roles and responsibilities of civil society, the media, state houses of assembly, government and citizens in improving voice and accountability:
a). among SAVI's local partners,</v>
      </c>
      <c r="B60" s="1113"/>
    </row>
    <row r="61" spans="1:2" ht="290.10000000000002" customHeight="1" thickBot="1">
      <c r="A61" s="982" t="str">
        <f>'State DisAgg LFx10 (2015)'!B395</f>
        <v>b). among state citizens.</v>
      </c>
      <c r="B61" s="1122"/>
    </row>
    <row r="62" spans="1:2" ht="13.5" thickBot="1">
      <c r="A62" s="1118" t="s">
        <v>40</v>
      </c>
      <c r="B62" s="1119"/>
    </row>
    <row r="63" spans="1:2" ht="300" customHeight="1" thickBot="1">
      <c r="A63" s="1116" t="str">
        <f>'State DisAgg LFx10 (2015)'!B415</f>
        <v>Level of strength of SAVI supported media partners in terms of their internal capacity, external relations and programming skills in support of local partners achievement of their objectives under all five Outputs.</v>
      </c>
      <c r="B63" s="1117"/>
    </row>
    <row r="65" spans="1:2" ht="13.5" thickBot="1"/>
    <row r="66" spans="1:2" ht="13.5" thickBot="1">
      <c r="A66" s="63" t="s">
        <v>28</v>
      </c>
    </row>
    <row r="67" spans="1:2" ht="13.5" thickBot="1">
      <c r="A67" s="1114" t="s">
        <v>32</v>
      </c>
      <c r="B67" s="1115"/>
    </row>
    <row r="68" spans="1:2" ht="300" customHeight="1" thickBot="1">
      <c r="A68" s="1120" t="str">
        <f>'State DisAgg LFx10 (2015)'!B444</f>
        <v>Level of quality of systems for recruitment and retention of house support staff and aides.</v>
      </c>
      <c r="B68" s="1121"/>
    </row>
    <row r="69" spans="1:2" ht="13.5" thickBot="1">
      <c r="A69" s="1114" t="s">
        <v>33</v>
      </c>
      <c r="B69" s="1115"/>
    </row>
    <row r="70" spans="1:2" ht="300" customHeight="1" thickBot="1">
      <c r="A70" s="1116" t="str">
        <f>'State DisAgg LFx10 (2015)'!B467</f>
        <v>Level of quality of systems for induction and monitoring of compliance with house rules &amp; procedures.</v>
      </c>
      <c r="B70" s="1117"/>
    </row>
    <row r="71" spans="1:2" ht="13.5" thickBot="1">
      <c r="A71" s="1118" t="s">
        <v>34</v>
      </c>
      <c r="B71" s="1119"/>
    </row>
    <row r="72" spans="1:2" ht="300" customHeight="1" thickBot="1">
      <c r="A72" s="1120" t="str">
        <f>'State DisAgg LFx10 (2015)'!B490</f>
        <v>Level of quality of systems for public access to information and processes in the house and representation of public interests by members.</v>
      </c>
      <c r="B72" s="1121"/>
    </row>
    <row r="73" spans="1:2" ht="13.5" thickBot="1">
      <c r="A73" s="1114" t="s">
        <v>41</v>
      </c>
      <c r="B73" s="1115"/>
    </row>
    <row r="74" spans="1:2" ht="300" customHeight="1" thickBot="1">
      <c r="A74" s="1116" t="str">
        <f>'State DisAgg LFx10 (2015)'!B513</f>
        <v>Level of quality of systems for scrutinizing public financial documents in the house.</v>
      </c>
      <c r="B74" s="1117"/>
    </row>
    <row r="75" spans="1:2" ht="13.5" thickBot="1">
      <c r="A75" s="1114" t="s">
        <v>42</v>
      </c>
      <c r="B75" s="1115"/>
    </row>
    <row r="76" spans="1:2" ht="33" customHeight="1">
      <c r="A76" s="1112" t="str">
        <f>'State DisAgg LFx10 (2015)'!B536</f>
        <v>Cumulative number of house committees and state houses improving the quality of their systems based on approaches initially demonstrated with SAVI support:
a). house committees,</v>
      </c>
      <c r="B76" s="1113"/>
    </row>
    <row r="77" spans="1:2" ht="290.10000000000002" customHeight="1" thickBot="1">
      <c r="A77" s="982">
        <f>'State DisAgg LFx10 (2015)'!B557</f>
        <v>0</v>
      </c>
      <c r="B77" s="1122"/>
    </row>
    <row r="79" spans="1:2" ht="13.5" thickBot="1"/>
    <row r="80" spans="1:2" ht="13.5" thickBot="1">
      <c r="A80" s="63" t="s">
        <v>27</v>
      </c>
    </row>
    <row r="81" spans="1:2" ht="13.5" thickBot="1">
      <c r="A81" s="1114" t="s">
        <v>35</v>
      </c>
      <c r="B81" s="1115"/>
    </row>
    <row r="82" spans="1:2" ht="300" customHeight="1" thickBot="1">
      <c r="A82" s="1116" t="str">
        <f>'State DisAgg LFx10 (2015)'!B566</f>
        <v>Cumulative number of other development partners (individuals) accessing and taking-up relevant and useful lessons learnt by SAVI and its local partners.</v>
      </c>
      <c r="B82" s="1117"/>
    </row>
    <row r="83" spans="1:2" ht="13.5" thickBot="1">
      <c r="A83" s="1114" t="s">
        <v>36</v>
      </c>
      <c r="B83" s="1115"/>
    </row>
    <row r="84" spans="1:2" ht="300" customHeight="1" thickBot="1">
      <c r="A84" s="1120" t="str">
        <f>'State DisAgg LFx10 (2015)'!B593</f>
        <v>Cumulative number of firm commitments by other development partners (organisations) to replicate key aspects of SAVI and its local partners approaches.</v>
      </c>
      <c r="B84" s="1121"/>
    </row>
    <row r="94" spans="1:2">
      <c r="A94" s="29"/>
      <c r="B94" s="29"/>
    </row>
    <row r="95" spans="1:2">
      <c r="A95" s="29"/>
      <c r="B95" s="29"/>
    </row>
    <row r="96" spans="1:2">
      <c r="A96" s="29"/>
      <c r="B96" s="29"/>
    </row>
    <row r="97" spans="1:2">
      <c r="A97" s="29"/>
      <c r="B97" s="29"/>
    </row>
    <row r="98" spans="1:2">
      <c r="A98" s="29"/>
      <c r="B98" s="29"/>
    </row>
    <row r="99" spans="1:2">
      <c r="A99" s="29"/>
      <c r="B99" s="29"/>
    </row>
    <row r="100" spans="1:2">
      <c r="A100" s="29"/>
      <c r="B100" s="29"/>
    </row>
    <row r="101" spans="1:2">
      <c r="A101" s="29"/>
      <c r="B101" s="29"/>
    </row>
    <row r="102" spans="1:2">
      <c r="A102" s="29"/>
      <c r="B102" s="29"/>
    </row>
    <row r="103" spans="1:2">
      <c r="A103" s="29"/>
      <c r="B103" s="29"/>
    </row>
    <row r="104" spans="1:2">
      <c r="A104" s="29"/>
      <c r="B104" s="29"/>
    </row>
    <row r="105" spans="1:2">
      <c r="A105" s="29"/>
      <c r="B105" s="29"/>
    </row>
    <row r="106" spans="1:2">
      <c r="A106" s="29"/>
      <c r="B106" s="29"/>
    </row>
    <row r="107" spans="1:2">
      <c r="A107" s="29"/>
      <c r="B107" s="29"/>
    </row>
    <row r="108" spans="1:2">
      <c r="A108" s="29"/>
      <c r="B108" s="29"/>
    </row>
    <row r="109" spans="1:2">
      <c r="A109" s="29"/>
      <c r="B109" s="29"/>
    </row>
    <row r="112" spans="1:2">
      <c r="A112" s="32"/>
    </row>
    <row r="113" spans="1:2">
      <c r="A113" s="32"/>
    </row>
    <row r="114" spans="1:2">
      <c r="A114" s="32"/>
    </row>
    <row r="115" spans="1:2">
      <c r="A115" s="32"/>
    </row>
    <row r="116" spans="1:2">
      <c r="A116" s="32"/>
    </row>
    <row r="117" spans="1:2">
      <c r="A117" s="32"/>
    </row>
    <row r="118" spans="1:2">
      <c r="A118" s="32"/>
      <c r="B118" s="36"/>
    </row>
    <row r="119" spans="1:2">
      <c r="A119" s="32"/>
      <c r="B119" s="36"/>
    </row>
    <row r="120" spans="1:2">
      <c r="A120" s="32"/>
      <c r="B120" s="36"/>
    </row>
    <row r="121" spans="1:2">
      <c r="A121" s="32"/>
      <c r="B121" s="36"/>
    </row>
    <row r="122" spans="1:2">
      <c r="A122" s="32"/>
      <c r="B122" s="36"/>
    </row>
    <row r="123" spans="1:2">
      <c r="A123" s="32"/>
      <c r="B123" s="36"/>
    </row>
    <row r="124" spans="1:2">
      <c r="A124" s="32"/>
      <c r="B124" s="36"/>
    </row>
    <row r="125" spans="1:2">
      <c r="A125" s="32"/>
      <c r="B125" s="36"/>
    </row>
    <row r="126" spans="1:2">
      <c r="A126" s="32"/>
      <c r="B126" s="36"/>
    </row>
    <row r="127" spans="1:2">
      <c r="A127" s="32"/>
      <c r="B127" s="36"/>
    </row>
    <row r="128" spans="1:2">
      <c r="A128" s="32"/>
      <c r="B128" s="36"/>
    </row>
    <row r="129" spans="1:2">
      <c r="A129" s="32"/>
      <c r="B129" s="36"/>
    </row>
    <row r="130" spans="1:2">
      <c r="A130" s="32"/>
      <c r="B130" s="36"/>
    </row>
    <row r="131" spans="1:2">
      <c r="A131" s="32"/>
      <c r="B131" s="36"/>
    </row>
    <row r="132" spans="1:2">
      <c r="A132" s="32"/>
      <c r="B132" s="36"/>
    </row>
    <row r="133" spans="1:2">
      <c r="A133" s="32"/>
      <c r="B133" s="36"/>
    </row>
    <row r="134" spans="1:2">
      <c r="A134" s="32"/>
      <c r="B134" s="36"/>
    </row>
    <row r="135" spans="1:2">
      <c r="A135" s="32"/>
      <c r="B135" s="36"/>
    </row>
    <row r="136" spans="1:2">
      <c r="A136" s="32"/>
      <c r="B136" s="36"/>
    </row>
    <row r="137" spans="1:2">
      <c r="A137" s="32"/>
      <c r="B137" s="36"/>
    </row>
    <row r="138" spans="1:2">
      <c r="A138" s="32"/>
      <c r="B138" s="36"/>
    </row>
    <row r="139" spans="1:2">
      <c r="A139" s="32"/>
      <c r="B139" s="36"/>
    </row>
    <row r="140" spans="1:2">
      <c r="A140" s="32"/>
      <c r="B140" s="36"/>
    </row>
    <row r="141" spans="1:2">
      <c r="A141" s="32"/>
      <c r="B141" s="36"/>
    </row>
    <row r="142" spans="1:2">
      <c r="A142" s="32"/>
      <c r="B142" s="36"/>
    </row>
    <row r="143" spans="1:2">
      <c r="A143" s="32"/>
      <c r="B143" s="36"/>
    </row>
    <row r="144" spans="1:2">
      <c r="A144" s="32"/>
      <c r="B144" s="36"/>
    </row>
    <row r="145" spans="1:2">
      <c r="A145" s="32"/>
      <c r="B145" s="36"/>
    </row>
    <row r="146" spans="1:2">
      <c r="A146" s="32"/>
      <c r="B146" s="36"/>
    </row>
    <row r="147" spans="1:2">
      <c r="A147" s="32"/>
      <c r="B147" s="36"/>
    </row>
    <row r="148" spans="1:2">
      <c r="A148" s="32"/>
      <c r="B148" s="36"/>
    </row>
    <row r="149" spans="1:2">
      <c r="A149" s="32"/>
      <c r="B149" s="36"/>
    </row>
    <row r="150" spans="1:2">
      <c r="A150" s="32"/>
      <c r="B150" s="36"/>
    </row>
    <row r="151" spans="1:2">
      <c r="A151" s="32"/>
      <c r="B151" s="36"/>
    </row>
    <row r="152" spans="1:2">
      <c r="A152" s="32"/>
      <c r="B152" s="36"/>
    </row>
    <row r="153" spans="1:2">
      <c r="A153" s="32"/>
      <c r="B153" s="36"/>
    </row>
    <row r="154" spans="1:2">
      <c r="A154" s="32"/>
      <c r="B154" s="36"/>
    </row>
    <row r="155" spans="1:2">
      <c r="A155" s="32"/>
      <c r="B155" s="36"/>
    </row>
    <row r="156" spans="1:2">
      <c r="A156" s="32"/>
      <c r="B156" s="36"/>
    </row>
    <row r="157" spans="1:2">
      <c r="A157" s="32"/>
      <c r="B157" s="36"/>
    </row>
    <row r="158" spans="1:2">
      <c r="A158" s="32"/>
      <c r="B158" s="36"/>
    </row>
    <row r="159" spans="1:2">
      <c r="A159" s="32"/>
      <c r="B159" s="36"/>
    </row>
    <row r="160" spans="1:2">
      <c r="A160" s="32"/>
      <c r="B160" s="36"/>
    </row>
    <row r="161" spans="1:2">
      <c r="A161" s="32"/>
      <c r="B161" s="36"/>
    </row>
    <row r="162" spans="1:2">
      <c r="A162" s="32"/>
      <c r="B162" s="36"/>
    </row>
    <row r="163" spans="1:2">
      <c r="A163" s="32"/>
      <c r="B163" s="36"/>
    </row>
    <row r="164" spans="1:2">
      <c r="A164" s="32"/>
      <c r="B164" s="36"/>
    </row>
    <row r="165" spans="1:2">
      <c r="A165" s="32"/>
      <c r="B165" s="36"/>
    </row>
    <row r="166" spans="1:2">
      <c r="A166" s="32"/>
      <c r="B166" s="36"/>
    </row>
    <row r="167" spans="1:2">
      <c r="A167" s="32"/>
      <c r="B167" s="36"/>
    </row>
    <row r="168" spans="1:2">
      <c r="A168" s="32"/>
      <c r="B168" s="36"/>
    </row>
    <row r="169" spans="1:2">
      <c r="A169" s="32"/>
      <c r="B169" s="36"/>
    </row>
    <row r="170" spans="1:2">
      <c r="A170" s="32"/>
      <c r="B170" s="36"/>
    </row>
    <row r="171" spans="1:2">
      <c r="A171" s="32"/>
      <c r="B171" s="36"/>
    </row>
    <row r="172" spans="1:2">
      <c r="A172" s="32"/>
      <c r="B172" s="36"/>
    </row>
    <row r="173" spans="1:2">
      <c r="A173" s="32"/>
      <c r="B173" s="36"/>
    </row>
    <row r="174" spans="1:2">
      <c r="A174" s="32"/>
      <c r="B174" s="36"/>
    </row>
    <row r="175" spans="1:2">
      <c r="A175" s="32"/>
      <c r="B175" s="36"/>
    </row>
    <row r="176" spans="1:2">
      <c r="A176" s="32"/>
      <c r="B176" s="36"/>
    </row>
    <row r="177" spans="1:2">
      <c r="A177" s="32"/>
      <c r="B177" s="36"/>
    </row>
    <row r="178" spans="1:2">
      <c r="A178" s="32"/>
      <c r="B178" s="36"/>
    </row>
    <row r="179" spans="1:2">
      <c r="A179" s="32"/>
      <c r="B179" s="36"/>
    </row>
    <row r="180" spans="1:2">
      <c r="A180" s="32"/>
      <c r="B180" s="36"/>
    </row>
    <row r="181" spans="1:2">
      <c r="A181" s="32"/>
      <c r="B181" s="36"/>
    </row>
    <row r="182" spans="1:2">
      <c r="A182" s="32"/>
      <c r="B182" s="36"/>
    </row>
    <row r="183" spans="1:2">
      <c r="A183" s="32"/>
      <c r="B183" s="36"/>
    </row>
    <row r="184" spans="1:2">
      <c r="A184" s="32"/>
      <c r="B184" s="36"/>
    </row>
    <row r="185" spans="1:2">
      <c r="A185" s="32"/>
      <c r="B185" s="36"/>
    </row>
    <row r="186" spans="1:2">
      <c r="A186" s="32"/>
      <c r="B186" s="36"/>
    </row>
    <row r="187" spans="1:2">
      <c r="A187" s="32"/>
      <c r="B187" s="36"/>
    </row>
    <row r="188" spans="1:2">
      <c r="A188" s="32"/>
      <c r="B188" s="36"/>
    </row>
    <row r="189" spans="1:2">
      <c r="A189" s="32"/>
      <c r="B189" s="36"/>
    </row>
    <row r="190" spans="1:2">
      <c r="A190" s="32"/>
      <c r="B190" s="36"/>
    </row>
    <row r="191" spans="1:2">
      <c r="A191" s="32"/>
      <c r="B191" s="36"/>
    </row>
    <row r="192" spans="1:2">
      <c r="A192" s="32"/>
      <c r="B192" s="36"/>
    </row>
    <row r="193" spans="1:2">
      <c r="A193" s="32"/>
      <c r="B193" s="36"/>
    </row>
    <row r="194" spans="1:2">
      <c r="A194" s="32"/>
      <c r="B194" s="36"/>
    </row>
    <row r="195" spans="1:2">
      <c r="A195" s="32"/>
      <c r="B195" s="36"/>
    </row>
    <row r="196" spans="1:2">
      <c r="A196" s="32"/>
      <c r="B196" s="36"/>
    </row>
    <row r="197" spans="1:2">
      <c r="A197" s="32"/>
      <c r="B197" s="36"/>
    </row>
    <row r="198" spans="1:2">
      <c r="A198" s="32"/>
      <c r="B198" s="36"/>
    </row>
    <row r="199" spans="1:2">
      <c r="A199" s="32"/>
      <c r="B199" s="36"/>
    </row>
    <row r="200" spans="1:2">
      <c r="A200" s="32"/>
      <c r="B200" s="36"/>
    </row>
    <row r="201" spans="1:2">
      <c r="A201" s="32"/>
      <c r="B201" s="36"/>
    </row>
    <row r="202" spans="1:2">
      <c r="A202" s="32"/>
      <c r="B202" s="36"/>
    </row>
    <row r="203" spans="1:2">
      <c r="A203" s="32"/>
      <c r="B203" s="36"/>
    </row>
    <row r="204" spans="1:2">
      <c r="A204" s="32"/>
      <c r="B204" s="36"/>
    </row>
    <row r="205" spans="1:2">
      <c r="A205" s="32"/>
      <c r="B205" s="36"/>
    </row>
    <row r="206" spans="1:2">
      <c r="A206" s="32"/>
      <c r="B206" s="36"/>
    </row>
    <row r="207" spans="1:2">
      <c r="A207" s="32"/>
      <c r="B207" s="36"/>
    </row>
    <row r="208" spans="1:2">
      <c r="A208" s="32"/>
      <c r="B208" s="36"/>
    </row>
    <row r="209" spans="1:2">
      <c r="A209" s="32"/>
      <c r="B209" s="36"/>
    </row>
    <row r="210" spans="1:2">
      <c r="A210" s="32"/>
      <c r="B210" s="36"/>
    </row>
    <row r="211" spans="1:2">
      <c r="A211" s="32"/>
      <c r="B211" s="36"/>
    </row>
    <row r="212" spans="1:2">
      <c r="A212" s="32"/>
      <c r="B212" s="36"/>
    </row>
    <row r="213" spans="1:2">
      <c r="A213" s="32"/>
      <c r="B213" s="36"/>
    </row>
    <row r="214" spans="1:2">
      <c r="A214" s="32"/>
      <c r="B214" s="36"/>
    </row>
    <row r="215" spans="1:2">
      <c r="A215" s="32"/>
      <c r="B215" s="36"/>
    </row>
    <row r="216" spans="1:2">
      <c r="A216" s="32"/>
      <c r="B216" s="36"/>
    </row>
    <row r="217" spans="1:2">
      <c r="A217" s="32"/>
      <c r="B217" s="36"/>
    </row>
    <row r="218" spans="1:2">
      <c r="A218" s="32"/>
      <c r="B218" s="36"/>
    </row>
    <row r="219" spans="1:2">
      <c r="A219" s="32"/>
      <c r="B219" s="36"/>
    </row>
    <row r="220" spans="1:2">
      <c r="A220" s="32"/>
      <c r="B220" s="36"/>
    </row>
    <row r="221" spans="1:2">
      <c r="A221" s="32"/>
      <c r="B221" s="36"/>
    </row>
    <row r="222" spans="1:2">
      <c r="A222" s="32"/>
      <c r="B222" s="36"/>
    </row>
    <row r="223" spans="1:2">
      <c r="A223" s="32"/>
      <c r="B223" s="36"/>
    </row>
    <row r="224" spans="1:2">
      <c r="A224" s="32"/>
      <c r="B224" s="36"/>
    </row>
    <row r="225" spans="1:2">
      <c r="A225" s="32"/>
      <c r="B225" s="36"/>
    </row>
    <row r="226" spans="1:2">
      <c r="A226" s="32"/>
      <c r="B226" s="36"/>
    </row>
    <row r="227" spans="1:2">
      <c r="A227" s="32"/>
      <c r="B227" s="36"/>
    </row>
    <row r="228" spans="1:2">
      <c r="A228" s="32"/>
      <c r="B228" s="36"/>
    </row>
    <row r="229" spans="1:2">
      <c r="A229" s="32"/>
      <c r="B229" s="36"/>
    </row>
    <row r="230" spans="1:2">
      <c r="A230" s="32"/>
      <c r="B230" s="36"/>
    </row>
    <row r="231" spans="1:2">
      <c r="A231" s="32"/>
      <c r="B231" s="36"/>
    </row>
    <row r="232" spans="1:2">
      <c r="A232" s="32"/>
      <c r="B232" s="36"/>
    </row>
    <row r="233" spans="1:2">
      <c r="A233" s="32"/>
      <c r="B233" s="36"/>
    </row>
    <row r="234" spans="1:2">
      <c r="A234" s="32"/>
      <c r="B234" s="36"/>
    </row>
    <row r="235" spans="1:2">
      <c r="A235" s="32"/>
      <c r="B235" s="36"/>
    </row>
    <row r="236" spans="1:2">
      <c r="A236" s="32"/>
      <c r="B236" s="36"/>
    </row>
    <row r="237" spans="1:2">
      <c r="A237" s="32"/>
      <c r="B237" s="36"/>
    </row>
    <row r="238" spans="1:2">
      <c r="A238" s="32"/>
      <c r="B238" s="36"/>
    </row>
    <row r="239" spans="1:2">
      <c r="A239" s="32"/>
      <c r="B239" s="36"/>
    </row>
    <row r="240" spans="1:2">
      <c r="A240" s="32"/>
      <c r="B240" s="36"/>
    </row>
    <row r="241" spans="1:2">
      <c r="A241" s="32"/>
      <c r="B241" s="36"/>
    </row>
    <row r="242" spans="1:2">
      <c r="A242" s="32"/>
      <c r="B242" s="36"/>
    </row>
    <row r="243" spans="1:2">
      <c r="A243" s="32"/>
      <c r="B243" s="36"/>
    </row>
    <row r="244" spans="1:2">
      <c r="A244" s="32"/>
      <c r="B244" s="36"/>
    </row>
    <row r="245" spans="1:2">
      <c r="A245" s="32"/>
      <c r="B245" s="36"/>
    </row>
    <row r="246" spans="1:2">
      <c r="A246" s="32"/>
      <c r="B246" s="36"/>
    </row>
    <row r="247" spans="1:2">
      <c r="A247" s="32"/>
      <c r="B247" s="36"/>
    </row>
    <row r="248" spans="1:2">
      <c r="A248" s="32"/>
      <c r="B248" s="36"/>
    </row>
    <row r="249" spans="1:2">
      <c r="A249" s="32"/>
      <c r="B249" s="36"/>
    </row>
    <row r="250" spans="1:2">
      <c r="A250" s="32"/>
      <c r="B250" s="36"/>
    </row>
    <row r="251" spans="1:2">
      <c r="A251" s="32"/>
      <c r="B251" s="36"/>
    </row>
    <row r="252" spans="1:2">
      <c r="A252" s="32"/>
      <c r="B252" s="36"/>
    </row>
    <row r="253" spans="1:2">
      <c r="A253" s="32"/>
      <c r="B253" s="36"/>
    </row>
    <row r="254" spans="1:2">
      <c r="A254" s="32"/>
      <c r="B254" s="36"/>
    </row>
    <row r="255" spans="1:2">
      <c r="A255" s="32"/>
      <c r="B255" s="36"/>
    </row>
    <row r="256" spans="1:2">
      <c r="A256" s="32"/>
      <c r="B256" s="36"/>
    </row>
    <row r="257" spans="1:2">
      <c r="A257" s="32"/>
      <c r="B257" s="36"/>
    </row>
    <row r="258" spans="1:2">
      <c r="A258" s="32"/>
      <c r="B258" s="36"/>
    </row>
    <row r="259" spans="1:2">
      <c r="A259" s="32"/>
      <c r="B259" s="36"/>
    </row>
    <row r="260" spans="1:2">
      <c r="A260" s="32"/>
      <c r="B260" s="36"/>
    </row>
    <row r="261" spans="1:2">
      <c r="A261" s="32"/>
      <c r="B261" s="36"/>
    </row>
    <row r="262" spans="1:2">
      <c r="A262" s="32"/>
      <c r="B262" s="36"/>
    </row>
    <row r="263" spans="1:2">
      <c r="A263" s="32"/>
      <c r="B263" s="36"/>
    </row>
    <row r="264" spans="1:2">
      <c r="A264" s="32"/>
      <c r="B264" s="36"/>
    </row>
    <row r="265" spans="1:2">
      <c r="A265" s="32"/>
      <c r="B265" s="36"/>
    </row>
    <row r="266" spans="1:2">
      <c r="A266" s="32"/>
      <c r="B266" s="36"/>
    </row>
    <row r="267" spans="1:2">
      <c r="A267" s="32"/>
      <c r="B267" s="36"/>
    </row>
    <row r="268" spans="1:2">
      <c r="A268" s="32"/>
      <c r="B268" s="36"/>
    </row>
    <row r="269" spans="1:2">
      <c r="A269" s="32"/>
      <c r="B269" s="36"/>
    </row>
    <row r="270" spans="1:2">
      <c r="A270" s="32"/>
      <c r="B270" s="36"/>
    </row>
    <row r="271" spans="1:2">
      <c r="A271" s="32"/>
      <c r="B271" s="36"/>
    </row>
    <row r="272" spans="1:2">
      <c r="A272" s="32"/>
      <c r="B272" s="36"/>
    </row>
    <row r="273" spans="1:2">
      <c r="A273" s="32"/>
      <c r="B273" s="36"/>
    </row>
    <row r="274" spans="1:2">
      <c r="A274" s="32"/>
      <c r="B274" s="36"/>
    </row>
    <row r="275" spans="1:2">
      <c r="A275" s="32"/>
      <c r="B275" s="36"/>
    </row>
    <row r="276" spans="1:2">
      <c r="A276" s="32"/>
      <c r="B276" s="36"/>
    </row>
    <row r="277" spans="1:2">
      <c r="A277" s="32"/>
      <c r="B277" s="36"/>
    </row>
    <row r="278" spans="1:2">
      <c r="A278" s="32"/>
      <c r="B278" s="36"/>
    </row>
    <row r="279" spans="1:2">
      <c r="A279" s="32"/>
      <c r="B279" s="36"/>
    </row>
    <row r="280" spans="1:2">
      <c r="A280" s="32"/>
      <c r="B280" s="36"/>
    </row>
    <row r="281" spans="1:2">
      <c r="A281" s="32"/>
      <c r="B281" s="36"/>
    </row>
    <row r="282" spans="1:2">
      <c r="A282" s="32"/>
      <c r="B282" s="36"/>
    </row>
    <row r="283" spans="1:2">
      <c r="A283" s="32"/>
      <c r="B283" s="36"/>
    </row>
    <row r="284" spans="1:2">
      <c r="A284" s="32"/>
      <c r="B284" s="36"/>
    </row>
    <row r="285" spans="1:2">
      <c r="A285" s="32"/>
      <c r="B285" s="36"/>
    </row>
    <row r="286" spans="1:2">
      <c r="A286" s="32"/>
      <c r="B286" s="36"/>
    </row>
    <row r="287" spans="1:2">
      <c r="A287" s="32"/>
      <c r="B287" s="36"/>
    </row>
    <row r="288" spans="1:2">
      <c r="A288" s="32"/>
      <c r="B288" s="36"/>
    </row>
    <row r="289" spans="1:2">
      <c r="A289" s="32"/>
      <c r="B289" s="36"/>
    </row>
    <row r="290" spans="1:2">
      <c r="A290" s="32"/>
      <c r="B290" s="36"/>
    </row>
    <row r="291" spans="1:2">
      <c r="A291" s="32"/>
      <c r="B291" s="36"/>
    </row>
    <row r="292" spans="1:2">
      <c r="A292" s="32"/>
      <c r="B292" s="36"/>
    </row>
    <row r="293" spans="1:2">
      <c r="A293" s="32"/>
      <c r="B293" s="36"/>
    </row>
    <row r="294" spans="1:2">
      <c r="A294" s="32"/>
      <c r="B294" s="36"/>
    </row>
    <row r="295" spans="1:2">
      <c r="A295" s="32"/>
      <c r="B295" s="36"/>
    </row>
    <row r="296" spans="1:2">
      <c r="A296" s="32"/>
      <c r="B296" s="36"/>
    </row>
    <row r="297" spans="1:2">
      <c r="A297" s="32"/>
      <c r="B297" s="36"/>
    </row>
    <row r="298" spans="1:2">
      <c r="A298" s="32"/>
      <c r="B298" s="36"/>
    </row>
    <row r="299" spans="1:2">
      <c r="A299" s="32"/>
      <c r="B299" s="36"/>
    </row>
    <row r="300" spans="1:2">
      <c r="A300" s="32"/>
      <c r="B300" s="36"/>
    </row>
    <row r="301" spans="1:2">
      <c r="A301" s="32"/>
      <c r="B301" s="36"/>
    </row>
    <row r="302" spans="1:2">
      <c r="A302" s="32"/>
      <c r="B302" s="36"/>
    </row>
    <row r="303" spans="1:2">
      <c r="A303" s="32"/>
      <c r="B303" s="36"/>
    </row>
    <row r="304" spans="1:2">
      <c r="A304" s="32"/>
      <c r="B304" s="36"/>
    </row>
    <row r="305" spans="1:2">
      <c r="A305" s="32"/>
      <c r="B305" s="36"/>
    </row>
    <row r="306" spans="1:2">
      <c r="A306" s="32"/>
      <c r="B306" s="36"/>
    </row>
    <row r="307" spans="1:2">
      <c r="A307" s="32"/>
      <c r="B307" s="36"/>
    </row>
    <row r="308" spans="1:2">
      <c r="A308" s="32"/>
      <c r="B308" s="36"/>
    </row>
    <row r="309" spans="1:2">
      <c r="A309" s="32"/>
      <c r="B309" s="36"/>
    </row>
    <row r="310" spans="1:2">
      <c r="A310" s="32"/>
      <c r="B310" s="36"/>
    </row>
    <row r="311" spans="1:2">
      <c r="A311" s="32"/>
      <c r="B311" s="36"/>
    </row>
    <row r="312" spans="1:2">
      <c r="A312" s="32"/>
      <c r="B312" s="36"/>
    </row>
    <row r="313" spans="1:2">
      <c r="A313" s="32"/>
      <c r="B313" s="36"/>
    </row>
    <row r="314" spans="1:2">
      <c r="A314" s="32"/>
      <c r="B314" s="36"/>
    </row>
    <row r="315" spans="1:2">
      <c r="A315" s="32"/>
      <c r="B315" s="36"/>
    </row>
    <row r="316" spans="1:2">
      <c r="A316" s="32"/>
      <c r="B316" s="36"/>
    </row>
    <row r="317" spans="1:2">
      <c r="A317" s="32"/>
      <c r="B317" s="36"/>
    </row>
    <row r="318" spans="1:2">
      <c r="A318" s="32"/>
      <c r="B318" s="36"/>
    </row>
    <row r="319" spans="1:2">
      <c r="A319" s="32"/>
      <c r="B319" s="36"/>
    </row>
    <row r="320" spans="1:2">
      <c r="A320" s="32"/>
      <c r="B320" s="36"/>
    </row>
    <row r="321" spans="1:2">
      <c r="A321" s="32"/>
      <c r="B321" s="36"/>
    </row>
    <row r="322" spans="1:2">
      <c r="A322" s="32"/>
      <c r="B322" s="36"/>
    </row>
    <row r="323" spans="1:2">
      <c r="A323" s="32"/>
      <c r="B323" s="36"/>
    </row>
    <row r="324" spans="1:2">
      <c r="A324" s="32"/>
      <c r="B324" s="36"/>
    </row>
    <row r="325" spans="1:2">
      <c r="A325" s="32"/>
      <c r="B325" s="36"/>
    </row>
    <row r="326" spans="1:2">
      <c r="A326" s="32"/>
      <c r="B326" s="36"/>
    </row>
    <row r="327" spans="1:2">
      <c r="A327" s="32"/>
      <c r="B327" s="36"/>
    </row>
    <row r="328" spans="1:2">
      <c r="A328" s="32"/>
      <c r="B328" s="36"/>
    </row>
    <row r="329" spans="1:2">
      <c r="A329" s="32"/>
      <c r="B329" s="36"/>
    </row>
    <row r="330" spans="1:2">
      <c r="A330" s="32"/>
      <c r="B330" s="36"/>
    </row>
    <row r="331" spans="1:2">
      <c r="A331" s="32"/>
      <c r="B331" s="36"/>
    </row>
    <row r="332" spans="1:2">
      <c r="A332" s="32"/>
      <c r="B332" s="36"/>
    </row>
    <row r="333" spans="1:2">
      <c r="A333" s="32"/>
      <c r="B333" s="36"/>
    </row>
    <row r="334" spans="1:2">
      <c r="A334" s="32"/>
      <c r="B334" s="36"/>
    </row>
    <row r="335" spans="1:2">
      <c r="A335" s="32"/>
      <c r="B335" s="36"/>
    </row>
    <row r="336" spans="1:2">
      <c r="A336" s="32"/>
      <c r="B336" s="36"/>
    </row>
    <row r="337" spans="1:2">
      <c r="A337" s="32"/>
      <c r="B337" s="36"/>
    </row>
    <row r="338" spans="1:2">
      <c r="A338" s="32"/>
      <c r="B338" s="36"/>
    </row>
    <row r="339" spans="1:2">
      <c r="A339" s="32"/>
      <c r="B339" s="36"/>
    </row>
    <row r="340" spans="1:2">
      <c r="A340" s="32"/>
      <c r="B340" s="36"/>
    </row>
    <row r="341" spans="1:2">
      <c r="A341" s="32"/>
      <c r="B341" s="36"/>
    </row>
    <row r="342" spans="1:2">
      <c r="A342" s="32"/>
      <c r="B342" s="36"/>
    </row>
    <row r="343" spans="1:2">
      <c r="A343" s="32"/>
      <c r="B343" s="36"/>
    </row>
    <row r="344" spans="1:2">
      <c r="A344" s="32"/>
      <c r="B344" s="36"/>
    </row>
    <row r="345" spans="1:2">
      <c r="A345" s="32"/>
      <c r="B345" s="36"/>
    </row>
    <row r="346" spans="1:2">
      <c r="A346" s="32"/>
      <c r="B346" s="36"/>
    </row>
    <row r="347" spans="1:2">
      <c r="A347" s="32"/>
      <c r="B347" s="36"/>
    </row>
    <row r="348" spans="1:2">
      <c r="A348" s="32"/>
      <c r="B348" s="36"/>
    </row>
    <row r="349" spans="1:2">
      <c r="A349" s="32"/>
      <c r="B349" s="36"/>
    </row>
    <row r="350" spans="1:2">
      <c r="A350" s="32"/>
      <c r="B350" s="36"/>
    </row>
    <row r="351" spans="1:2">
      <c r="A351" s="32"/>
      <c r="B351" s="36"/>
    </row>
    <row r="352" spans="1:2">
      <c r="A352" s="32"/>
      <c r="B352" s="36"/>
    </row>
    <row r="353" spans="1:2">
      <c r="A353" s="32"/>
      <c r="B353" s="36"/>
    </row>
    <row r="354" spans="1:2">
      <c r="A354" s="32"/>
      <c r="B354" s="36"/>
    </row>
    <row r="355" spans="1:2">
      <c r="A355" s="32"/>
      <c r="B355" s="36"/>
    </row>
    <row r="356" spans="1:2">
      <c r="A356" s="32"/>
      <c r="B356" s="36"/>
    </row>
    <row r="357" spans="1:2">
      <c r="A357" s="32"/>
      <c r="B357" s="36"/>
    </row>
    <row r="358" spans="1:2">
      <c r="A358" s="32"/>
      <c r="B358" s="36"/>
    </row>
    <row r="359" spans="1:2">
      <c r="A359" s="32"/>
      <c r="B359" s="36"/>
    </row>
    <row r="360" spans="1:2">
      <c r="A360" s="32"/>
      <c r="B360" s="36"/>
    </row>
    <row r="361" spans="1:2">
      <c r="A361" s="32"/>
      <c r="B361" s="36"/>
    </row>
    <row r="362" spans="1:2">
      <c r="A362" s="32"/>
      <c r="B362" s="36"/>
    </row>
    <row r="363" spans="1:2">
      <c r="A363" s="32"/>
      <c r="B363" s="36"/>
    </row>
    <row r="364" spans="1:2">
      <c r="A364" s="32"/>
      <c r="B364" s="36"/>
    </row>
    <row r="365" spans="1:2">
      <c r="A365" s="32"/>
      <c r="B365" s="36"/>
    </row>
    <row r="366" spans="1:2">
      <c r="A366" s="32"/>
      <c r="B366" s="36"/>
    </row>
    <row r="367" spans="1:2">
      <c r="A367" s="32"/>
      <c r="B367" s="36"/>
    </row>
    <row r="368" spans="1:2">
      <c r="A368" s="32"/>
      <c r="B368" s="36"/>
    </row>
    <row r="369" spans="1:2">
      <c r="A369" s="32"/>
      <c r="B369" s="36"/>
    </row>
    <row r="370" spans="1:2">
      <c r="A370" s="32"/>
      <c r="B370" s="36"/>
    </row>
    <row r="371" spans="1:2">
      <c r="A371" s="32"/>
      <c r="B371" s="36"/>
    </row>
    <row r="372" spans="1:2">
      <c r="A372" s="32"/>
      <c r="B372" s="36"/>
    </row>
    <row r="373" spans="1:2">
      <c r="A373" s="32"/>
      <c r="B373" s="36"/>
    </row>
    <row r="374" spans="1:2">
      <c r="A374" s="32"/>
      <c r="B374" s="36"/>
    </row>
    <row r="375" spans="1:2">
      <c r="A375" s="32"/>
      <c r="B375" s="36"/>
    </row>
    <row r="376" spans="1:2">
      <c r="A376" s="32"/>
      <c r="B376" s="36"/>
    </row>
    <row r="377" spans="1:2">
      <c r="A377" s="32"/>
      <c r="B377" s="36"/>
    </row>
    <row r="378" spans="1:2">
      <c r="A378" s="32"/>
      <c r="B378" s="36"/>
    </row>
    <row r="379" spans="1:2">
      <c r="A379" s="32"/>
      <c r="B379" s="36"/>
    </row>
    <row r="380" spans="1:2">
      <c r="A380" s="32"/>
      <c r="B380" s="36"/>
    </row>
    <row r="381" spans="1:2">
      <c r="A381" s="32"/>
      <c r="B381" s="36"/>
    </row>
    <row r="382" spans="1:2">
      <c r="A382" s="32"/>
      <c r="B382" s="36"/>
    </row>
    <row r="383" spans="1:2">
      <c r="A383" s="32"/>
      <c r="B383" s="36"/>
    </row>
    <row r="384" spans="1:2">
      <c r="A384" s="32"/>
      <c r="B384" s="36"/>
    </row>
    <row r="385" spans="1:2">
      <c r="A385" s="32"/>
      <c r="B385" s="36"/>
    </row>
    <row r="386" spans="1:2">
      <c r="A386" s="32"/>
      <c r="B386" s="36"/>
    </row>
    <row r="387" spans="1:2">
      <c r="A387" s="32"/>
      <c r="B387" s="36"/>
    </row>
    <row r="388" spans="1:2">
      <c r="A388" s="32"/>
      <c r="B388" s="36"/>
    </row>
    <row r="389" spans="1:2">
      <c r="A389" s="32"/>
      <c r="B389" s="36"/>
    </row>
    <row r="390" spans="1:2">
      <c r="A390" s="32"/>
      <c r="B390" s="36"/>
    </row>
    <row r="391" spans="1:2">
      <c r="A391" s="32"/>
      <c r="B391" s="36"/>
    </row>
    <row r="392" spans="1:2">
      <c r="A392" s="32"/>
      <c r="B392" s="36"/>
    </row>
    <row r="393" spans="1:2">
      <c r="A393" s="32"/>
      <c r="B393" s="36"/>
    </row>
    <row r="394" spans="1:2">
      <c r="A394" s="32"/>
      <c r="B394" s="36"/>
    </row>
    <row r="395" spans="1:2">
      <c r="A395" s="32"/>
      <c r="B395" s="36"/>
    </row>
    <row r="396" spans="1:2">
      <c r="A396" s="32"/>
      <c r="B396" s="36"/>
    </row>
    <row r="397" spans="1:2">
      <c r="A397" s="32"/>
      <c r="B397" s="36"/>
    </row>
    <row r="398" spans="1:2">
      <c r="A398" s="32"/>
      <c r="B398" s="36"/>
    </row>
    <row r="399" spans="1:2">
      <c r="A399" s="32"/>
      <c r="B399" s="36"/>
    </row>
    <row r="400" spans="1:2">
      <c r="A400" s="32"/>
      <c r="B400" s="36"/>
    </row>
    <row r="401" spans="1:2">
      <c r="A401" s="32"/>
      <c r="B401" s="36"/>
    </row>
    <row r="402" spans="1:2">
      <c r="A402" s="32"/>
      <c r="B402" s="36"/>
    </row>
    <row r="403" spans="1:2">
      <c r="A403" s="32"/>
      <c r="B403" s="36"/>
    </row>
    <row r="404" spans="1:2">
      <c r="A404" s="32"/>
      <c r="B404" s="36"/>
    </row>
    <row r="405" spans="1:2">
      <c r="A405" s="32"/>
      <c r="B405" s="36"/>
    </row>
    <row r="406" spans="1:2">
      <c r="A406" s="32"/>
      <c r="B406" s="36"/>
    </row>
    <row r="407" spans="1:2">
      <c r="A407" s="32"/>
      <c r="B407" s="36"/>
    </row>
    <row r="408" spans="1:2">
      <c r="A408" s="32"/>
      <c r="B408" s="36"/>
    </row>
    <row r="409" spans="1:2">
      <c r="A409" s="32"/>
      <c r="B409" s="36"/>
    </row>
    <row r="410" spans="1:2">
      <c r="A410" s="32"/>
      <c r="B410" s="36"/>
    </row>
    <row r="411" spans="1:2">
      <c r="A411" s="32"/>
      <c r="B411" s="36"/>
    </row>
    <row r="412" spans="1:2">
      <c r="A412" s="32"/>
      <c r="B412" s="36"/>
    </row>
    <row r="413" spans="1:2">
      <c r="A413" s="32"/>
      <c r="B413" s="36"/>
    </row>
    <row r="414" spans="1:2">
      <c r="A414" s="32"/>
      <c r="B414" s="36"/>
    </row>
    <row r="415" spans="1:2">
      <c r="A415" s="32"/>
      <c r="B415" s="36"/>
    </row>
    <row r="416" spans="1:2">
      <c r="A416" s="32"/>
      <c r="B416" s="36"/>
    </row>
    <row r="417" spans="1:2">
      <c r="A417" s="32"/>
      <c r="B417" s="36"/>
    </row>
    <row r="418" spans="1:2">
      <c r="A418" s="32"/>
      <c r="B418" s="36"/>
    </row>
    <row r="419" spans="1:2">
      <c r="A419" s="32"/>
      <c r="B419" s="36"/>
    </row>
    <row r="420" spans="1:2">
      <c r="A420" s="32"/>
      <c r="B420" s="36"/>
    </row>
    <row r="421" spans="1:2">
      <c r="A421" s="32"/>
      <c r="B421" s="36"/>
    </row>
    <row r="422" spans="1:2">
      <c r="A422" s="32"/>
      <c r="B422" s="36"/>
    </row>
    <row r="423" spans="1:2">
      <c r="A423" s="32"/>
      <c r="B423" s="36"/>
    </row>
    <row r="424" spans="1:2">
      <c r="A424" s="32"/>
      <c r="B424" s="36"/>
    </row>
    <row r="425" spans="1:2">
      <c r="A425" s="32"/>
      <c r="B425" s="36"/>
    </row>
    <row r="426" spans="1:2">
      <c r="A426" s="32"/>
      <c r="B426" s="36"/>
    </row>
    <row r="427" spans="1:2">
      <c r="A427" s="32"/>
      <c r="B427" s="36"/>
    </row>
    <row r="428" spans="1:2">
      <c r="A428" s="32"/>
      <c r="B428" s="36"/>
    </row>
    <row r="429" spans="1:2">
      <c r="A429" s="32"/>
      <c r="B429" s="36"/>
    </row>
    <row r="430" spans="1:2">
      <c r="A430" s="32"/>
      <c r="B430" s="36"/>
    </row>
    <row r="431" spans="1:2">
      <c r="A431" s="32"/>
      <c r="B431" s="36"/>
    </row>
    <row r="432" spans="1:2">
      <c r="A432" s="32"/>
      <c r="B432" s="36"/>
    </row>
    <row r="433" spans="1:2">
      <c r="A433" s="32"/>
      <c r="B433" s="36"/>
    </row>
    <row r="434" spans="1:2">
      <c r="A434" s="32"/>
      <c r="B434" s="36"/>
    </row>
    <row r="435" spans="1:2">
      <c r="A435" s="32"/>
      <c r="B435" s="36"/>
    </row>
    <row r="436" spans="1:2">
      <c r="A436" s="32"/>
      <c r="B436" s="36"/>
    </row>
    <row r="437" spans="1:2">
      <c r="A437" s="32"/>
      <c r="B437" s="36"/>
    </row>
    <row r="438" spans="1:2">
      <c r="A438" s="32"/>
      <c r="B438" s="36"/>
    </row>
    <row r="439" spans="1:2">
      <c r="A439" s="32"/>
      <c r="B439" s="36"/>
    </row>
    <row r="440" spans="1:2">
      <c r="A440" s="32"/>
      <c r="B440" s="36"/>
    </row>
    <row r="441" spans="1:2">
      <c r="A441" s="32"/>
      <c r="B441" s="36"/>
    </row>
    <row r="442" spans="1:2">
      <c r="A442" s="32"/>
      <c r="B442" s="36"/>
    </row>
    <row r="443" spans="1:2">
      <c r="A443" s="32"/>
      <c r="B443" s="36"/>
    </row>
    <row r="444" spans="1:2">
      <c r="A444" s="32"/>
      <c r="B444" s="36"/>
    </row>
    <row r="445" spans="1:2">
      <c r="A445" s="32"/>
      <c r="B445" s="36"/>
    </row>
    <row r="446" spans="1:2">
      <c r="A446" s="32"/>
      <c r="B446" s="36"/>
    </row>
    <row r="447" spans="1:2">
      <c r="A447" s="32"/>
      <c r="B447" s="36"/>
    </row>
    <row r="448" spans="1:2">
      <c r="A448" s="32"/>
      <c r="B448" s="36"/>
    </row>
    <row r="449" spans="1:2">
      <c r="A449" s="32"/>
      <c r="B449" s="36"/>
    </row>
    <row r="450" spans="1:2">
      <c r="A450" s="32"/>
      <c r="B450" s="36"/>
    </row>
    <row r="451" spans="1:2">
      <c r="A451" s="32"/>
      <c r="B451" s="36"/>
    </row>
    <row r="452" spans="1:2">
      <c r="A452" s="32"/>
      <c r="B452" s="36"/>
    </row>
    <row r="453" spans="1:2">
      <c r="A453" s="32"/>
      <c r="B453" s="36"/>
    </row>
    <row r="454" spans="1:2">
      <c r="A454" s="32"/>
      <c r="B454" s="36"/>
    </row>
    <row r="455" spans="1:2">
      <c r="A455" s="32"/>
      <c r="B455" s="36"/>
    </row>
    <row r="456" spans="1:2">
      <c r="A456" s="32"/>
      <c r="B456" s="36"/>
    </row>
  </sheetData>
  <sheetProtection password="CF55" sheet="1" objects="1" scenarios="1" selectLockedCells="1" selectUnlockedCells="1"/>
  <mergeCells count="62">
    <mergeCell ref="A17:B17"/>
    <mergeCell ref="A18:B18"/>
    <mergeCell ref="A19:B19"/>
    <mergeCell ref="A20:B20"/>
    <mergeCell ref="A83:B83"/>
    <mergeCell ref="A21:B21"/>
    <mergeCell ref="A22:B22"/>
    <mergeCell ref="A24:B24"/>
    <mergeCell ref="A31:B31"/>
    <mergeCell ref="A32:B32"/>
    <mergeCell ref="A44:B44"/>
    <mergeCell ref="A56:B56"/>
    <mergeCell ref="A57:B57"/>
    <mergeCell ref="A58:B58"/>
    <mergeCell ref="A60:B60"/>
    <mergeCell ref="A77:B77"/>
    <mergeCell ref="A84:B84"/>
    <mergeCell ref="A33:B33"/>
    <mergeCell ref="A53:B53"/>
    <mergeCell ref="A55:B55"/>
    <mergeCell ref="A49:B49"/>
    <mergeCell ref="A50:B50"/>
    <mergeCell ref="A54:B54"/>
    <mergeCell ref="A41:B41"/>
    <mergeCell ref="A42:B42"/>
    <mergeCell ref="A59:B59"/>
    <mergeCell ref="A34:B34"/>
    <mergeCell ref="A35:B35"/>
    <mergeCell ref="A36:B36"/>
    <mergeCell ref="A45:B45"/>
    <mergeCell ref="A40:B40"/>
    <mergeCell ref="A43:B43"/>
    <mergeCell ref="A5:B5"/>
    <mergeCell ref="A6:B6"/>
    <mergeCell ref="A7:B7"/>
    <mergeCell ref="A82:B82"/>
    <mergeCell ref="A27:B27"/>
    <mergeCell ref="A51:B51"/>
    <mergeCell ref="A52:B52"/>
    <mergeCell ref="A9:B9"/>
    <mergeCell ref="A10:B10"/>
    <mergeCell ref="A23:B23"/>
    <mergeCell ref="A8:B8"/>
    <mergeCell ref="A11:B11"/>
    <mergeCell ref="A12:B12"/>
    <mergeCell ref="A13:B13"/>
    <mergeCell ref="A25:B25"/>
    <mergeCell ref="A26:B26"/>
    <mergeCell ref="A61:B61"/>
    <mergeCell ref="A69:B69"/>
    <mergeCell ref="A74:B74"/>
    <mergeCell ref="A62:B62"/>
    <mergeCell ref="A63:B63"/>
    <mergeCell ref="A67:B67"/>
    <mergeCell ref="A68:B68"/>
    <mergeCell ref="A76:B76"/>
    <mergeCell ref="A75:B75"/>
    <mergeCell ref="A81:B81"/>
    <mergeCell ref="A70:B70"/>
    <mergeCell ref="A71:B71"/>
    <mergeCell ref="A72:B72"/>
    <mergeCell ref="A73:B73"/>
  </mergeCells>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9" tint="-0.249977111117893"/>
  </sheetPr>
  <dimension ref="A1:X254"/>
  <sheetViews>
    <sheetView workbookViewId="0">
      <pane xSplit="2" ySplit="1" topLeftCell="C71" activePane="bottomRight" state="frozen"/>
      <selection activeCell="P22" sqref="P22:S22"/>
      <selection pane="topRight" activeCell="P22" sqref="P22:S22"/>
      <selection pane="bottomLeft" activeCell="P22" sqref="P22:S22"/>
      <selection pane="bottomRight" activeCell="A2" sqref="A2"/>
    </sheetView>
  </sheetViews>
  <sheetFormatPr defaultColWidth="8.85546875" defaultRowHeight="12.75"/>
  <cols>
    <col min="1" max="1" width="20.85546875" style="4" customWidth="1"/>
    <col min="2" max="2" width="40.85546875" style="4" customWidth="1"/>
    <col min="3" max="3" width="15.85546875" style="27" customWidth="1"/>
    <col min="4" max="23" width="5.85546875" style="4" customWidth="1"/>
    <col min="24" max="24" width="30.85546875" style="4" customWidth="1"/>
    <col min="25" max="16384" width="8.85546875" style="4"/>
  </cols>
  <sheetData>
    <row r="1" spans="1:24" s="67" customFormat="1" ht="32.25" thickBot="1">
      <c r="A1" s="3" t="s">
        <v>0</v>
      </c>
      <c r="B1" s="64" t="s">
        <v>231</v>
      </c>
      <c r="C1" s="65" t="s">
        <v>270</v>
      </c>
      <c r="D1" s="65"/>
      <c r="E1" s="65"/>
      <c r="F1" s="65"/>
      <c r="G1" s="65"/>
      <c r="H1" s="65"/>
      <c r="I1" s="65"/>
      <c r="J1" s="65"/>
      <c r="K1" s="65"/>
      <c r="L1" s="65"/>
      <c r="M1" s="65"/>
      <c r="N1" s="65"/>
      <c r="O1" s="65"/>
      <c r="P1" s="65"/>
      <c r="Q1" s="65"/>
      <c r="R1" s="65"/>
      <c r="S1" s="65"/>
      <c r="T1" s="65"/>
      <c r="U1" s="65"/>
      <c r="V1" s="65"/>
      <c r="W1" s="65"/>
      <c r="X1" s="66"/>
    </row>
    <row r="2" spans="1:24">
      <c r="A2" s="5"/>
      <c r="B2" s="5"/>
      <c r="C2" s="6"/>
      <c r="D2" s="5"/>
      <c r="E2" s="5"/>
      <c r="F2" s="5"/>
      <c r="G2" s="5"/>
      <c r="H2" s="5"/>
      <c r="I2" s="5"/>
      <c r="J2" s="5"/>
      <c r="K2" s="5"/>
      <c r="L2" s="5"/>
      <c r="M2" s="5"/>
      <c r="N2" s="5"/>
      <c r="O2" s="5"/>
      <c r="P2" s="5"/>
      <c r="Q2" s="5"/>
      <c r="R2" s="5"/>
      <c r="S2" s="5"/>
      <c r="T2" s="5"/>
      <c r="U2" s="5"/>
      <c r="V2" s="5"/>
      <c r="W2" s="5"/>
      <c r="X2" s="5"/>
    </row>
    <row r="3" spans="1:24" ht="13.5" thickBot="1">
      <c r="A3" s="5"/>
      <c r="B3" s="5"/>
      <c r="C3" s="6"/>
      <c r="D3" s="5"/>
      <c r="E3" s="5"/>
      <c r="F3" s="5"/>
      <c r="G3" s="5"/>
      <c r="H3" s="5"/>
      <c r="I3" s="5"/>
      <c r="J3" s="5"/>
      <c r="K3" s="5"/>
      <c r="L3" s="5"/>
      <c r="M3" s="5"/>
      <c r="N3" s="5"/>
      <c r="O3" s="5"/>
      <c r="P3" s="5"/>
      <c r="Q3" s="5"/>
      <c r="R3" s="5"/>
      <c r="S3" s="5"/>
      <c r="T3" s="5"/>
      <c r="U3" s="5"/>
      <c r="V3" s="5"/>
      <c r="W3" s="5"/>
      <c r="X3" s="5"/>
    </row>
    <row r="4" spans="1:24" ht="13.5" thickBot="1">
      <c r="A4" s="470" t="s">
        <v>50</v>
      </c>
      <c r="B4" s="471" t="s">
        <v>51</v>
      </c>
      <c r="C4" s="8"/>
      <c r="D4" s="927" t="s">
        <v>79</v>
      </c>
      <c r="E4" s="928"/>
      <c r="F4" s="928"/>
      <c r="G4" s="929"/>
      <c r="H4" s="927" t="s">
        <v>80</v>
      </c>
      <c r="I4" s="928"/>
      <c r="J4" s="928"/>
      <c r="K4" s="929"/>
      <c r="L4" s="927" t="s">
        <v>81</v>
      </c>
      <c r="M4" s="928"/>
      <c r="N4" s="928"/>
      <c r="O4" s="929"/>
      <c r="P4" s="927" t="s">
        <v>254</v>
      </c>
      <c r="Q4" s="928"/>
      <c r="R4" s="928"/>
      <c r="S4" s="929"/>
      <c r="T4" s="927" t="s">
        <v>76</v>
      </c>
      <c r="U4" s="928"/>
      <c r="V4" s="928"/>
      <c r="W4" s="929"/>
      <c r="X4" s="991"/>
    </row>
    <row r="5" spans="1:24" ht="13.5" thickBot="1">
      <c r="A5" s="868" t="s">
        <v>43</v>
      </c>
      <c r="B5" s="868" t="s">
        <v>46</v>
      </c>
      <c r="C5" s="9" t="s">
        <v>2</v>
      </c>
      <c r="D5" s="983" t="s">
        <v>82</v>
      </c>
      <c r="E5" s="984"/>
      <c r="F5" s="984"/>
      <c r="G5" s="984"/>
      <c r="H5" s="984"/>
      <c r="I5" s="984"/>
      <c r="J5" s="984"/>
      <c r="K5" s="984"/>
      <c r="L5" s="984"/>
      <c r="M5" s="984"/>
      <c r="N5" s="984"/>
      <c r="O5" s="984"/>
      <c r="P5" s="984"/>
      <c r="Q5" s="984"/>
      <c r="R5" s="984"/>
      <c r="S5" s="984"/>
      <c r="T5" s="984"/>
      <c r="U5" s="984"/>
      <c r="V5" s="984"/>
      <c r="W5" s="985"/>
      <c r="X5" s="992"/>
    </row>
    <row r="6" spans="1:24" ht="13.5" thickBot="1">
      <c r="A6" s="885"/>
      <c r="B6" s="885"/>
      <c r="C6" s="10" t="s">
        <v>3</v>
      </c>
      <c r="D6" s="986"/>
      <c r="E6" s="987"/>
      <c r="F6" s="987"/>
      <c r="G6" s="987"/>
      <c r="H6" s="987"/>
      <c r="I6" s="987"/>
      <c r="J6" s="987"/>
      <c r="K6" s="987"/>
      <c r="L6" s="987"/>
      <c r="M6" s="987"/>
      <c r="N6" s="987"/>
      <c r="O6" s="987"/>
      <c r="P6" s="987"/>
      <c r="Q6" s="987"/>
      <c r="R6" s="987"/>
      <c r="S6" s="987"/>
      <c r="T6" s="987"/>
      <c r="U6" s="987"/>
      <c r="V6" s="987"/>
      <c r="W6" s="988"/>
      <c r="X6" s="992"/>
    </row>
    <row r="7" spans="1:24" ht="13.5" thickBot="1">
      <c r="A7" s="885"/>
      <c r="B7" s="885"/>
      <c r="C7" s="998" t="s">
        <v>413</v>
      </c>
      <c r="D7" s="989" t="s">
        <v>4</v>
      </c>
      <c r="E7" s="990"/>
      <c r="F7" s="990"/>
      <c r="G7" s="990"/>
      <c r="H7" s="990"/>
      <c r="I7" s="990"/>
      <c r="J7" s="990"/>
      <c r="K7" s="990"/>
      <c r="L7" s="990"/>
      <c r="M7" s="990"/>
      <c r="N7" s="990"/>
      <c r="O7" s="990"/>
      <c r="P7" s="990"/>
      <c r="Q7" s="990"/>
      <c r="R7" s="990"/>
      <c r="S7" s="990"/>
      <c r="T7" s="990"/>
      <c r="U7" s="990"/>
      <c r="V7" s="990"/>
      <c r="W7" s="990"/>
      <c r="X7" s="992"/>
    </row>
    <row r="8" spans="1:24" ht="13.5" thickBot="1">
      <c r="A8" s="885"/>
      <c r="B8" s="869"/>
      <c r="C8" s="999"/>
      <c r="D8" s="930" t="s">
        <v>85</v>
      </c>
      <c r="E8" s="931"/>
      <c r="F8" s="931"/>
      <c r="G8" s="931"/>
      <c r="H8" s="931"/>
      <c r="I8" s="931"/>
      <c r="J8" s="931"/>
      <c r="K8" s="931"/>
      <c r="L8" s="931"/>
      <c r="M8" s="931"/>
      <c r="N8" s="931"/>
      <c r="O8" s="931"/>
      <c r="P8" s="931"/>
      <c r="Q8" s="931"/>
      <c r="R8" s="931"/>
      <c r="S8" s="931"/>
      <c r="T8" s="931"/>
      <c r="U8" s="931"/>
      <c r="V8" s="931"/>
      <c r="W8" s="932"/>
      <c r="X8" s="992"/>
    </row>
    <row r="9" spans="1:24" ht="13.5" thickBot="1">
      <c r="A9" s="885"/>
      <c r="B9" s="11" t="s">
        <v>52</v>
      </c>
      <c r="C9" s="12"/>
      <c r="D9" s="927" t="s">
        <v>79</v>
      </c>
      <c r="E9" s="928"/>
      <c r="F9" s="928"/>
      <c r="G9" s="929"/>
      <c r="H9" s="927" t="s">
        <v>80</v>
      </c>
      <c r="I9" s="928"/>
      <c r="J9" s="928"/>
      <c r="K9" s="929"/>
      <c r="L9" s="927" t="s">
        <v>81</v>
      </c>
      <c r="M9" s="928"/>
      <c r="N9" s="928"/>
      <c r="O9" s="929"/>
      <c r="P9" s="927" t="s">
        <v>254</v>
      </c>
      <c r="Q9" s="928"/>
      <c r="R9" s="928"/>
      <c r="S9" s="929"/>
      <c r="T9" s="927" t="s">
        <v>76</v>
      </c>
      <c r="U9" s="928"/>
      <c r="V9" s="928"/>
      <c r="W9" s="929"/>
      <c r="X9" s="992"/>
    </row>
    <row r="10" spans="1:24" ht="35.1" customHeight="1" thickBot="1">
      <c r="A10" s="885"/>
      <c r="B10" s="868" t="s">
        <v>45</v>
      </c>
      <c r="C10" s="13" t="s">
        <v>2</v>
      </c>
      <c r="D10" s="930" t="s">
        <v>86</v>
      </c>
      <c r="E10" s="931"/>
      <c r="F10" s="931"/>
      <c r="G10" s="931"/>
      <c r="H10" s="931"/>
      <c r="I10" s="931"/>
      <c r="J10" s="931"/>
      <c r="K10" s="931"/>
      <c r="L10" s="931"/>
      <c r="M10" s="931"/>
      <c r="N10" s="931"/>
      <c r="O10" s="931"/>
      <c r="P10" s="931"/>
      <c r="Q10" s="931"/>
      <c r="R10" s="931"/>
      <c r="S10" s="931"/>
      <c r="T10" s="931"/>
      <c r="U10" s="931"/>
      <c r="V10" s="931"/>
      <c r="W10" s="932"/>
      <c r="X10" s="992"/>
    </row>
    <row r="11" spans="1:24" ht="13.5" thickBot="1">
      <c r="A11" s="885"/>
      <c r="B11" s="885"/>
      <c r="C11" s="10" t="s">
        <v>3</v>
      </c>
      <c r="D11" s="986"/>
      <c r="E11" s="987"/>
      <c r="F11" s="987"/>
      <c r="G11" s="987"/>
      <c r="H11" s="987"/>
      <c r="I11" s="987"/>
      <c r="J11" s="987"/>
      <c r="K11" s="987"/>
      <c r="L11" s="987"/>
      <c r="M11" s="987"/>
      <c r="N11" s="987"/>
      <c r="O11" s="987"/>
      <c r="P11" s="987"/>
      <c r="Q11" s="987"/>
      <c r="R11" s="987"/>
      <c r="S11" s="987"/>
      <c r="T11" s="987"/>
      <c r="U11" s="987"/>
      <c r="V11" s="987"/>
      <c r="W11" s="988"/>
      <c r="X11" s="992"/>
    </row>
    <row r="12" spans="1:24" ht="13.5" thickBot="1">
      <c r="A12" s="885"/>
      <c r="B12" s="885"/>
      <c r="C12" s="998" t="s">
        <v>413</v>
      </c>
      <c r="D12" s="927" t="s">
        <v>4</v>
      </c>
      <c r="E12" s="928"/>
      <c r="F12" s="928"/>
      <c r="G12" s="928"/>
      <c r="H12" s="928"/>
      <c r="I12" s="928"/>
      <c r="J12" s="928"/>
      <c r="K12" s="928"/>
      <c r="L12" s="928"/>
      <c r="M12" s="928"/>
      <c r="N12" s="928"/>
      <c r="O12" s="928"/>
      <c r="P12" s="928"/>
      <c r="Q12" s="928"/>
      <c r="R12" s="928"/>
      <c r="S12" s="928"/>
      <c r="T12" s="928"/>
      <c r="U12" s="928"/>
      <c r="V12" s="928"/>
      <c r="W12" s="928"/>
      <c r="X12" s="992"/>
    </row>
    <row r="13" spans="1:24" ht="24" customHeight="1" thickBot="1">
      <c r="A13" s="885"/>
      <c r="B13" s="869"/>
      <c r="C13" s="999"/>
      <c r="D13" s="930" t="s">
        <v>87</v>
      </c>
      <c r="E13" s="931"/>
      <c r="F13" s="931"/>
      <c r="G13" s="931"/>
      <c r="H13" s="931"/>
      <c r="I13" s="931"/>
      <c r="J13" s="931"/>
      <c r="K13" s="931"/>
      <c r="L13" s="931"/>
      <c r="M13" s="931"/>
      <c r="N13" s="931"/>
      <c r="O13" s="931"/>
      <c r="P13" s="931"/>
      <c r="Q13" s="931"/>
      <c r="R13" s="931"/>
      <c r="S13" s="931"/>
      <c r="T13" s="931"/>
      <c r="U13" s="931"/>
      <c r="V13" s="931"/>
      <c r="W13" s="932"/>
      <c r="X13" s="992"/>
    </row>
    <row r="14" spans="1:24" ht="13.5" thickBot="1">
      <c r="A14" s="885"/>
      <c r="B14" s="11" t="s">
        <v>53</v>
      </c>
      <c r="C14" s="12"/>
      <c r="D14" s="927" t="s">
        <v>79</v>
      </c>
      <c r="E14" s="928"/>
      <c r="F14" s="928"/>
      <c r="G14" s="929"/>
      <c r="H14" s="927" t="s">
        <v>80</v>
      </c>
      <c r="I14" s="928"/>
      <c r="J14" s="928"/>
      <c r="K14" s="929"/>
      <c r="L14" s="927" t="s">
        <v>81</v>
      </c>
      <c r="M14" s="928"/>
      <c r="N14" s="928"/>
      <c r="O14" s="929"/>
      <c r="P14" s="927" t="s">
        <v>254</v>
      </c>
      <c r="Q14" s="928"/>
      <c r="R14" s="928"/>
      <c r="S14" s="929"/>
      <c r="T14" s="927" t="s">
        <v>76</v>
      </c>
      <c r="U14" s="928"/>
      <c r="V14" s="928"/>
      <c r="W14" s="929"/>
      <c r="X14" s="992"/>
    </row>
    <row r="15" spans="1:24" ht="13.5" thickBot="1">
      <c r="A15" s="885"/>
      <c r="B15" s="868" t="s">
        <v>44</v>
      </c>
      <c r="C15" s="9" t="s">
        <v>2</v>
      </c>
      <c r="D15" s="930" t="s">
        <v>83</v>
      </c>
      <c r="E15" s="931"/>
      <c r="F15" s="931"/>
      <c r="G15" s="931"/>
      <c r="H15" s="931"/>
      <c r="I15" s="931"/>
      <c r="J15" s="931"/>
      <c r="K15" s="931"/>
      <c r="L15" s="931"/>
      <c r="M15" s="931"/>
      <c r="N15" s="931"/>
      <c r="O15" s="931"/>
      <c r="P15" s="931"/>
      <c r="Q15" s="931"/>
      <c r="R15" s="931"/>
      <c r="S15" s="931"/>
      <c r="T15" s="931"/>
      <c r="U15" s="931"/>
      <c r="V15" s="931"/>
      <c r="W15" s="932"/>
      <c r="X15" s="992"/>
    </row>
    <row r="16" spans="1:24" ht="13.5" thickBot="1">
      <c r="A16" s="885"/>
      <c r="B16" s="885"/>
      <c r="C16" s="10" t="s">
        <v>3</v>
      </c>
      <c r="D16" s="986"/>
      <c r="E16" s="987"/>
      <c r="F16" s="987"/>
      <c r="G16" s="987"/>
      <c r="H16" s="987"/>
      <c r="I16" s="987"/>
      <c r="J16" s="987"/>
      <c r="K16" s="987"/>
      <c r="L16" s="987"/>
      <c r="M16" s="987"/>
      <c r="N16" s="987"/>
      <c r="O16" s="987"/>
      <c r="P16" s="987"/>
      <c r="Q16" s="987"/>
      <c r="R16" s="987"/>
      <c r="S16" s="987"/>
      <c r="T16" s="987"/>
      <c r="U16" s="987"/>
      <c r="V16" s="987"/>
      <c r="W16" s="988"/>
      <c r="X16" s="992"/>
    </row>
    <row r="17" spans="1:24" ht="13.5" thickBot="1">
      <c r="A17" s="885"/>
      <c r="B17" s="885"/>
      <c r="C17" s="998" t="s">
        <v>413</v>
      </c>
      <c r="D17" s="989" t="s">
        <v>4</v>
      </c>
      <c r="E17" s="990"/>
      <c r="F17" s="990"/>
      <c r="G17" s="990"/>
      <c r="H17" s="990"/>
      <c r="I17" s="990"/>
      <c r="J17" s="990"/>
      <c r="K17" s="990"/>
      <c r="L17" s="990"/>
      <c r="M17" s="990"/>
      <c r="N17" s="990"/>
      <c r="O17" s="990"/>
      <c r="P17" s="990"/>
      <c r="Q17" s="990"/>
      <c r="R17" s="990"/>
      <c r="S17" s="990"/>
      <c r="T17" s="990"/>
      <c r="U17" s="990"/>
      <c r="V17" s="990"/>
      <c r="W17" s="990"/>
      <c r="X17" s="992"/>
    </row>
    <row r="18" spans="1:24" ht="13.5" thickBot="1">
      <c r="A18" s="869"/>
      <c r="B18" s="869"/>
      <c r="C18" s="999"/>
      <c r="D18" s="930" t="s">
        <v>84</v>
      </c>
      <c r="E18" s="931"/>
      <c r="F18" s="931"/>
      <c r="G18" s="931"/>
      <c r="H18" s="931"/>
      <c r="I18" s="931"/>
      <c r="J18" s="931"/>
      <c r="K18" s="931"/>
      <c r="L18" s="931"/>
      <c r="M18" s="931"/>
      <c r="N18" s="931"/>
      <c r="O18" s="931"/>
      <c r="P18" s="931"/>
      <c r="Q18" s="931"/>
      <c r="R18" s="931"/>
      <c r="S18" s="931"/>
      <c r="T18" s="931"/>
      <c r="U18" s="931"/>
      <c r="V18" s="931"/>
      <c r="W18" s="932"/>
      <c r="X18" s="993"/>
    </row>
    <row r="19" spans="1:24">
      <c r="A19" s="5"/>
      <c r="B19" s="5"/>
      <c r="C19" s="14"/>
      <c r="D19" s="5"/>
      <c r="E19" s="5"/>
      <c r="F19" s="5"/>
      <c r="G19" s="5"/>
      <c r="H19" s="5"/>
      <c r="I19" s="5"/>
      <c r="J19" s="5"/>
      <c r="K19" s="5"/>
      <c r="L19" s="5"/>
      <c r="M19" s="5"/>
      <c r="N19" s="5"/>
      <c r="O19" s="5"/>
      <c r="P19" s="5"/>
      <c r="Q19" s="5"/>
      <c r="R19" s="5"/>
      <c r="S19" s="5"/>
      <c r="T19" s="5"/>
      <c r="U19" s="5"/>
      <c r="V19" s="5"/>
      <c r="W19" s="5"/>
      <c r="X19" s="5"/>
    </row>
    <row r="20" spans="1:24" ht="13.5" thickBot="1">
      <c r="A20" s="5"/>
      <c r="B20" s="5"/>
      <c r="C20" s="6"/>
      <c r="D20" s="5"/>
      <c r="E20" s="5"/>
      <c r="F20" s="5"/>
      <c r="G20" s="5"/>
      <c r="H20" s="5"/>
      <c r="I20" s="5"/>
      <c r="J20" s="5"/>
      <c r="K20" s="5"/>
      <c r="L20" s="5"/>
      <c r="M20" s="5"/>
      <c r="N20" s="5"/>
      <c r="O20" s="5"/>
      <c r="P20" s="5"/>
      <c r="Q20" s="5"/>
      <c r="R20" s="5"/>
      <c r="S20" s="5"/>
      <c r="T20" s="5"/>
      <c r="U20" s="5"/>
      <c r="V20" s="5"/>
      <c r="W20" s="5"/>
      <c r="X20" s="5"/>
    </row>
    <row r="21" spans="1:24" ht="13.5" thickBot="1">
      <c r="A21" s="15" t="s">
        <v>1</v>
      </c>
      <c r="B21" s="471" t="s">
        <v>24</v>
      </c>
      <c r="C21" s="8"/>
      <c r="D21" s="927" t="s">
        <v>78</v>
      </c>
      <c r="E21" s="928"/>
      <c r="F21" s="928"/>
      <c r="G21" s="929"/>
      <c r="H21" s="927" t="s">
        <v>77</v>
      </c>
      <c r="I21" s="928"/>
      <c r="J21" s="928"/>
      <c r="K21" s="929"/>
      <c r="L21" s="927" t="s">
        <v>81</v>
      </c>
      <c r="M21" s="928"/>
      <c r="N21" s="928"/>
      <c r="O21" s="929"/>
      <c r="P21" s="927" t="s">
        <v>254</v>
      </c>
      <c r="Q21" s="928"/>
      <c r="R21" s="928"/>
      <c r="S21" s="929"/>
      <c r="T21" s="927" t="s">
        <v>76</v>
      </c>
      <c r="U21" s="928"/>
      <c r="V21" s="928"/>
      <c r="W21" s="929"/>
      <c r="X21" s="16" t="s">
        <v>6</v>
      </c>
    </row>
    <row r="22" spans="1:24" ht="13.5" thickBot="1">
      <c r="A22" s="868" t="s">
        <v>47</v>
      </c>
      <c r="B22" s="868" t="s">
        <v>48</v>
      </c>
      <c r="C22" s="9" t="s">
        <v>235</v>
      </c>
      <c r="D22" s="1014">
        <v>2.1</v>
      </c>
      <c r="E22" s="1015"/>
      <c r="F22" s="1015"/>
      <c r="G22" s="1016"/>
      <c r="H22" s="1014">
        <v>2.1</v>
      </c>
      <c r="I22" s="1015"/>
      <c r="J22" s="1015"/>
      <c r="K22" s="1016"/>
      <c r="L22" s="1014">
        <v>2.7</v>
      </c>
      <c r="M22" s="1015"/>
      <c r="N22" s="1015"/>
      <c r="O22" s="1016"/>
      <c r="P22" s="1014">
        <v>3.1</v>
      </c>
      <c r="Q22" s="1015"/>
      <c r="R22" s="1015"/>
      <c r="S22" s="1016"/>
      <c r="T22" s="1014">
        <v>3.1</v>
      </c>
      <c r="U22" s="1015"/>
      <c r="V22" s="1015"/>
      <c r="W22" s="1016"/>
      <c r="X22" s="873" t="s">
        <v>96</v>
      </c>
    </row>
    <row r="23" spans="1:24" ht="13.5" thickBot="1">
      <c r="A23" s="885"/>
      <c r="B23" s="885"/>
      <c r="C23" s="9" t="s">
        <v>233</v>
      </c>
      <c r="D23" s="1048" t="s">
        <v>414</v>
      </c>
      <c r="E23" s="1049"/>
      <c r="F23" s="1049"/>
      <c r="G23" s="1050"/>
      <c r="H23" s="1014">
        <v>2.2999999999999998</v>
      </c>
      <c r="I23" s="1015"/>
      <c r="J23" s="1015"/>
      <c r="K23" s="1016"/>
      <c r="L23" s="1014">
        <v>2.2999999999999998</v>
      </c>
      <c r="M23" s="1015"/>
      <c r="N23" s="1015"/>
      <c r="O23" s="1016"/>
      <c r="P23" s="1014">
        <v>2.5</v>
      </c>
      <c r="Q23" s="1015"/>
      <c r="R23" s="1015"/>
      <c r="S23" s="1016"/>
      <c r="T23" s="1014">
        <v>2.7</v>
      </c>
      <c r="U23" s="1015"/>
      <c r="V23" s="1015"/>
      <c r="W23" s="1016"/>
      <c r="X23" s="874"/>
    </row>
    <row r="24" spans="1:24" ht="12.95" customHeight="1" thickBot="1">
      <c r="A24" s="885"/>
      <c r="B24" s="885"/>
      <c r="C24" s="9" t="s">
        <v>234</v>
      </c>
      <c r="D24" s="957"/>
      <c r="E24" s="958"/>
      <c r="F24" s="958"/>
      <c r="G24" s="959"/>
      <c r="H24" s="957"/>
      <c r="I24" s="958"/>
      <c r="J24" s="958"/>
      <c r="K24" s="959"/>
      <c r="L24" s="1057" t="s">
        <v>909</v>
      </c>
      <c r="M24" s="1058"/>
      <c r="N24" s="1058"/>
      <c r="O24" s="1059"/>
      <c r="P24" s="1094">
        <f>'State Agg LFx3 (2015)'!P24</f>
        <v>2.6</v>
      </c>
      <c r="Q24" s="1095"/>
      <c r="R24" s="1095"/>
      <c r="S24" s="1096"/>
      <c r="T24" s="1094">
        <f>'State Agg LFx3 (2015)'!T24</f>
        <v>2.85</v>
      </c>
      <c r="U24" s="1095"/>
      <c r="V24" s="1095"/>
      <c r="W24" s="1096"/>
      <c r="X24" s="874"/>
    </row>
    <row r="25" spans="1:24" ht="13.5" thickBot="1">
      <c r="A25" s="885"/>
      <c r="B25" s="885"/>
      <c r="C25" s="102" t="s">
        <v>236</v>
      </c>
      <c r="D25" s="1045" t="s">
        <v>415</v>
      </c>
      <c r="E25" s="1046"/>
      <c r="F25" s="1046"/>
      <c r="G25" s="1047"/>
      <c r="H25" s="1020">
        <v>2.66</v>
      </c>
      <c r="I25" s="1021"/>
      <c r="J25" s="1021"/>
      <c r="K25" s="1022"/>
      <c r="L25" s="1020">
        <v>2.8</v>
      </c>
      <c r="M25" s="1021"/>
      <c r="N25" s="1021"/>
      <c r="O25" s="1022"/>
      <c r="P25" s="1020">
        <v>3.1800000000000006</v>
      </c>
      <c r="Q25" s="1021"/>
      <c r="R25" s="1021"/>
      <c r="S25" s="1022"/>
      <c r="T25" s="1020">
        <f>'State Agg LFx3 (2015)'!T25</f>
        <v>0</v>
      </c>
      <c r="U25" s="1021"/>
      <c r="V25" s="1021"/>
      <c r="W25" s="1022"/>
      <c r="X25" s="874"/>
    </row>
    <row r="26" spans="1:24" ht="13.5" thickBot="1">
      <c r="A26" s="885"/>
      <c r="B26" s="885"/>
      <c r="C26" s="102" t="s">
        <v>283</v>
      </c>
      <c r="D26" s="1017"/>
      <c r="E26" s="1018"/>
      <c r="F26" s="1018"/>
      <c r="G26" s="1019"/>
      <c r="H26" s="1017"/>
      <c r="I26" s="1018"/>
      <c r="J26" s="1018"/>
      <c r="K26" s="1019"/>
      <c r="L26" s="1020">
        <v>2.2999999999999998</v>
      </c>
      <c r="M26" s="1021"/>
      <c r="N26" s="1021"/>
      <c r="O26" s="1022"/>
      <c r="P26" s="1020" t="s">
        <v>776</v>
      </c>
      <c r="Q26" s="1021"/>
      <c r="R26" s="1021"/>
      <c r="S26" s="1022"/>
      <c r="T26" s="1020">
        <f>'State Agg LFx3 (2015)'!T26</f>
        <v>0</v>
      </c>
      <c r="U26" s="1021"/>
      <c r="V26" s="1021"/>
      <c r="W26" s="1022"/>
      <c r="X26" s="874"/>
    </row>
    <row r="27" spans="1:24" ht="13.5" thickBot="1">
      <c r="A27" s="885"/>
      <c r="B27" s="885"/>
      <c r="C27" s="102" t="s">
        <v>284</v>
      </c>
      <c r="D27" s="1017"/>
      <c r="E27" s="1018"/>
      <c r="F27" s="1018"/>
      <c r="G27" s="1019"/>
      <c r="H27" s="1017"/>
      <c r="I27" s="1018"/>
      <c r="J27" s="1018"/>
      <c r="K27" s="1019"/>
      <c r="L27" s="1017"/>
      <c r="M27" s="1018"/>
      <c r="N27" s="1018"/>
      <c r="O27" s="1019"/>
      <c r="P27" s="1017"/>
      <c r="Q27" s="1018"/>
      <c r="R27" s="1018"/>
      <c r="S27" s="1019"/>
      <c r="T27" s="1020">
        <f>'State Agg LFx3 (2015)'!T27</f>
        <v>0</v>
      </c>
      <c r="U27" s="1021"/>
      <c r="V27" s="1021"/>
      <c r="W27" s="1022"/>
      <c r="X27" s="874"/>
    </row>
    <row r="28" spans="1:24" ht="13.5" thickBot="1">
      <c r="A28" s="885"/>
      <c r="B28" s="885"/>
      <c r="C28" s="998" t="s">
        <v>413</v>
      </c>
      <c r="D28" s="927" t="s">
        <v>4</v>
      </c>
      <c r="E28" s="928"/>
      <c r="F28" s="928"/>
      <c r="G28" s="928"/>
      <c r="H28" s="928"/>
      <c r="I28" s="928"/>
      <c r="J28" s="928"/>
      <c r="K28" s="928"/>
      <c r="L28" s="928"/>
      <c r="M28" s="928"/>
      <c r="N28" s="928"/>
      <c r="O28" s="928"/>
      <c r="P28" s="928"/>
      <c r="Q28" s="928"/>
      <c r="R28" s="928"/>
      <c r="S28" s="928"/>
      <c r="T28" s="928"/>
      <c r="U28" s="928"/>
      <c r="V28" s="928"/>
      <c r="W28" s="928"/>
      <c r="X28" s="874"/>
    </row>
    <row r="29" spans="1:24" ht="13.5" thickBot="1">
      <c r="A29" s="885"/>
      <c r="B29" s="869"/>
      <c r="C29" s="999"/>
      <c r="D29" s="930" t="s">
        <v>115</v>
      </c>
      <c r="E29" s="931"/>
      <c r="F29" s="931"/>
      <c r="G29" s="931"/>
      <c r="H29" s="931"/>
      <c r="I29" s="931"/>
      <c r="J29" s="931"/>
      <c r="K29" s="931"/>
      <c r="L29" s="931"/>
      <c r="M29" s="931"/>
      <c r="N29" s="931"/>
      <c r="O29" s="931"/>
      <c r="P29" s="931"/>
      <c r="Q29" s="931"/>
      <c r="R29" s="931"/>
      <c r="S29" s="931"/>
      <c r="T29" s="931"/>
      <c r="U29" s="931"/>
      <c r="V29" s="931"/>
      <c r="W29" s="932"/>
      <c r="X29" s="874"/>
    </row>
    <row r="30" spans="1:24" ht="13.5" thickBot="1">
      <c r="A30" s="885"/>
      <c r="B30" s="11" t="s">
        <v>25</v>
      </c>
      <c r="C30" s="12"/>
      <c r="D30" s="927" t="s">
        <v>78</v>
      </c>
      <c r="E30" s="928"/>
      <c r="F30" s="928"/>
      <c r="G30" s="929"/>
      <c r="H30" s="927" t="s">
        <v>77</v>
      </c>
      <c r="I30" s="928"/>
      <c r="J30" s="928"/>
      <c r="K30" s="929"/>
      <c r="L30" s="927" t="s">
        <v>81</v>
      </c>
      <c r="M30" s="928"/>
      <c r="N30" s="928"/>
      <c r="O30" s="929"/>
      <c r="P30" s="927" t="s">
        <v>254</v>
      </c>
      <c r="Q30" s="928"/>
      <c r="R30" s="928"/>
      <c r="S30" s="929"/>
      <c r="T30" s="927" t="s">
        <v>76</v>
      </c>
      <c r="U30" s="928"/>
      <c r="V30" s="928"/>
      <c r="W30" s="929"/>
      <c r="X30" s="874"/>
    </row>
    <row r="31" spans="1:24" ht="13.5" thickBot="1">
      <c r="A31" s="885"/>
      <c r="B31" s="868" t="s">
        <v>49</v>
      </c>
      <c r="C31" s="9" t="s">
        <v>235</v>
      </c>
      <c r="D31" s="1014">
        <v>1</v>
      </c>
      <c r="E31" s="1015"/>
      <c r="F31" s="1015"/>
      <c r="G31" s="1016"/>
      <c r="H31" s="1014">
        <v>1</v>
      </c>
      <c r="I31" s="1015"/>
      <c r="J31" s="1015"/>
      <c r="K31" s="1016"/>
      <c r="L31" s="1014">
        <v>1.45</v>
      </c>
      <c r="M31" s="1015"/>
      <c r="N31" s="1015"/>
      <c r="O31" s="1016"/>
      <c r="P31" s="1014">
        <v>1.8</v>
      </c>
      <c r="Q31" s="1015"/>
      <c r="R31" s="1015"/>
      <c r="S31" s="1016"/>
      <c r="T31" s="1014">
        <v>2.25</v>
      </c>
      <c r="U31" s="1015"/>
      <c r="V31" s="1015"/>
      <c r="W31" s="1016"/>
      <c r="X31" s="874"/>
    </row>
    <row r="32" spans="1:24" ht="13.5" thickBot="1">
      <c r="A32" s="885"/>
      <c r="B32" s="885"/>
      <c r="C32" s="9" t="s">
        <v>233</v>
      </c>
      <c r="D32" s="1048" t="s">
        <v>414</v>
      </c>
      <c r="E32" s="1049"/>
      <c r="F32" s="1049"/>
      <c r="G32" s="1050"/>
      <c r="H32" s="1014">
        <v>1</v>
      </c>
      <c r="I32" s="1015"/>
      <c r="J32" s="1015"/>
      <c r="K32" s="1016"/>
      <c r="L32" s="1014">
        <v>1</v>
      </c>
      <c r="M32" s="1015"/>
      <c r="N32" s="1015"/>
      <c r="O32" s="1016"/>
      <c r="P32" s="1014">
        <v>1.2</v>
      </c>
      <c r="Q32" s="1015"/>
      <c r="R32" s="1015"/>
      <c r="S32" s="1016"/>
      <c r="T32" s="1014">
        <v>1.4</v>
      </c>
      <c r="U32" s="1015"/>
      <c r="V32" s="1015"/>
      <c r="W32" s="1016"/>
      <c r="X32" s="874"/>
    </row>
    <row r="33" spans="1:24" ht="12.95" customHeight="1" thickBot="1">
      <c r="A33" s="885"/>
      <c r="B33" s="885"/>
      <c r="C33" s="9" t="s">
        <v>234</v>
      </c>
      <c r="D33" s="957"/>
      <c r="E33" s="958"/>
      <c r="F33" s="958"/>
      <c r="G33" s="959"/>
      <c r="H33" s="957"/>
      <c r="I33" s="958"/>
      <c r="J33" s="958"/>
      <c r="K33" s="959"/>
      <c r="L33" s="1057" t="s">
        <v>909</v>
      </c>
      <c r="M33" s="1058"/>
      <c r="N33" s="1058"/>
      <c r="O33" s="1059"/>
      <c r="P33" s="1094">
        <f>'State Agg LFx3 (2015)'!P33</f>
        <v>0.6</v>
      </c>
      <c r="Q33" s="1095"/>
      <c r="R33" s="1095"/>
      <c r="S33" s="1096"/>
      <c r="T33" s="1094">
        <f>'State Agg LFx3 (2015)'!T33</f>
        <v>1.9</v>
      </c>
      <c r="U33" s="1095"/>
      <c r="V33" s="1095"/>
      <c r="W33" s="1096"/>
      <c r="X33" s="874"/>
    </row>
    <row r="34" spans="1:24" ht="13.5" thickBot="1">
      <c r="A34" s="885"/>
      <c r="B34" s="885"/>
      <c r="C34" s="102" t="s">
        <v>236</v>
      </c>
      <c r="D34" s="1008" t="s">
        <v>416</v>
      </c>
      <c r="E34" s="1009"/>
      <c r="F34" s="1009"/>
      <c r="G34" s="1010"/>
      <c r="H34" s="1020">
        <v>1.6</v>
      </c>
      <c r="I34" s="1021"/>
      <c r="J34" s="1021"/>
      <c r="K34" s="1022"/>
      <c r="L34" s="1020">
        <v>2.2000000000000002</v>
      </c>
      <c r="M34" s="1021"/>
      <c r="N34" s="1021"/>
      <c r="O34" s="1022"/>
      <c r="P34" s="1020">
        <v>2.6</v>
      </c>
      <c r="Q34" s="1021"/>
      <c r="R34" s="1021"/>
      <c r="S34" s="1022"/>
      <c r="T34" s="1020">
        <f>'State Agg LFx3 (2015)'!T34</f>
        <v>0</v>
      </c>
      <c r="U34" s="1021"/>
      <c r="V34" s="1021"/>
      <c r="W34" s="1022"/>
      <c r="X34" s="874"/>
    </row>
    <row r="35" spans="1:24" ht="13.5" thickBot="1">
      <c r="A35" s="885"/>
      <c r="B35" s="885"/>
      <c r="C35" s="102" t="s">
        <v>283</v>
      </c>
      <c r="D35" s="1017"/>
      <c r="E35" s="1018"/>
      <c r="F35" s="1018"/>
      <c r="G35" s="1019"/>
      <c r="H35" s="1017"/>
      <c r="I35" s="1018"/>
      <c r="J35" s="1018"/>
      <c r="K35" s="1019"/>
      <c r="L35" s="1020">
        <v>1</v>
      </c>
      <c r="M35" s="1021"/>
      <c r="N35" s="1021"/>
      <c r="O35" s="1022"/>
      <c r="P35" s="1020">
        <v>1.8333333333333333</v>
      </c>
      <c r="Q35" s="1021"/>
      <c r="R35" s="1021"/>
      <c r="S35" s="1022"/>
      <c r="T35" s="1020">
        <f>'State Agg LFx3 (2015)'!T35</f>
        <v>0</v>
      </c>
      <c r="U35" s="1021"/>
      <c r="V35" s="1021"/>
      <c r="W35" s="1022"/>
      <c r="X35" s="874"/>
    </row>
    <row r="36" spans="1:24" ht="13.5" thickBot="1">
      <c r="A36" s="885"/>
      <c r="B36" s="885"/>
      <c r="C36" s="102" t="s">
        <v>284</v>
      </c>
      <c r="D36" s="1017"/>
      <c r="E36" s="1018"/>
      <c r="F36" s="1018"/>
      <c r="G36" s="1019"/>
      <c r="H36" s="1017"/>
      <c r="I36" s="1018"/>
      <c r="J36" s="1018"/>
      <c r="K36" s="1019"/>
      <c r="L36" s="1017"/>
      <c r="M36" s="1018"/>
      <c r="N36" s="1018"/>
      <c r="O36" s="1019"/>
      <c r="P36" s="1017"/>
      <c r="Q36" s="1018"/>
      <c r="R36" s="1018"/>
      <c r="S36" s="1019"/>
      <c r="T36" s="1020">
        <f>'State Agg LFx3 (2015)'!T36</f>
        <v>0</v>
      </c>
      <c r="U36" s="1021"/>
      <c r="V36" s="1021"/>
      <c r="W36" s="1022"/>
      <c r="X36" s="874"/>
    </row>
    <row r="37" spans="1:24" ht="13.5" thickBot="1">
      <c r="A37" s="885"/>
      <c r="B37" s="885"/>
      <c r="C37" s="998" t="s">
        <v>413</v>
      </c>
      <c r="D37" s="927" t="s">
        <v>4</v>
      </c>
      <c r="E37" s="928"/>
      <c r="F37" s="928"/>
      <c r="G37" s="928"/>
      <c r="H37" s="928"/>
      <c r="I37" s="928"/>
      <c r="J37" s="928"/>
      <c r="K37" s="928"/>
      <c r="L37" s="928"/>
      <c r="M37" s="928"/>
      <c r="N37" s="928"/>
      <c r="O37" s="928"/>
      <c r="P37" s="928"/>
      <c r="Q37" s="928"/>
      <c r="R37" s="928"/>
      <c r="S37" s="928"/>
      <c r="T37" s="928"/>
      <c r="U37" s="928"/>
      <c r="V37" s="928"/>
      <c r="W37" s="928"/>
      <c r="X37" s="874"/>
    </row>
    <row r="38" spans="1:24" ht="13.5" thickBot="1">
      <c r="A38" s="885"/>
      <c r="B38" s="869"/>
      <c r="C38" s="999"/>
      <c r="D38" s="930" t="s">
        <v>116</v>
      </c>
      <c r="E38" s="931"/>
      <c r="F38" s="931"/>
      <c r="G38" s="931"/>
      <c r="H38" s="931"/>
      <c r="I38" s="931"/>
      <c r="J38" s="931"/>
      <c r="K38" s="931"/>
      <c r="L38" s="931"/>
      <c r="M38" s="931"/>
      <c r="N38" s="931"/>
      <c r="O38" s="931"/>
      <c r="P38" s="931"/>
      <c r="Q38" s="931"/>
      <c r="R38" s="931"/>
      <c r="S38" s="931"/>
      <c r="T38" s="931"/>
      <c r="U38" s="931"/>
      <c r="V38" s="931"/>
      <c r="W38" s="932"/>
      <c r="X38" s="874"/>
    </row>
    <row r="39" spans="1:24" ht="13.5" thickBot="1">
      <c r="A39" s="885"/>
      <c r="B39" s="11" t="s">
        <v>37</v>
      </c>
      <c r="C39" s="12"/>
      <c r="D39" s="927" t="s">
        <v>78</v>
      </c>
      <c r="E39" s="928"/>
      <c r="F39" s="928"/>
      <c r="G39" s="929"/>
      <c r="H39" s="927" t="s">
        <v>77</v>
      </c>
      <c r="I39" s="928"/>
      <c r="J39" s="928"/>
      <c r="K39" s="929"/>
      <c r="L39" s="927" t="s">
        <v>81</v>
      </c>
      <c r="M39" s="928"/>
      <c r="N39" s="928"/>
      <c r="O39" s="929"/>
      <c r="P39" s="927" t="s">
        <v>254</v>
      </c>
      <c r="Q39" s="928"/>
      <c r="R39" s="928"/>
      <c r="S39" s="929"/>
      <c r="T39" s="927" t="s">
        <v>76</v>
      </c>
      <c r="U39" s="928"/>
      <c r="V39" s="928"/>
      <c r="W39" s="929"/>
      <c r="X39" s="874"/>
    </row>
    <row r="40" spans="1:24" ht="33" customHeight="1" thickBot="1">
      <c r="A40" s="971"/>
      <c r="B40" s="868" t="s">
        <v>148</v>
      </c>
      <c r="C40" s="91"/>
      <c r="D40" s="17" t="s">
        <v>106</v>
      </c>
      <c r="E40" s="17" t="s">
        <v>107</v>
      </c>
      <c r="F40" s="17" t="s">
        <v>108</v>
      </c>
      <c r="G40" s="17" t="s">
        <v>109</v>
      </c>
      <c r="H40" s="17" t="s">
        <v>106</v>
      </c>
      <c r="I40" s="17" t="s">
        <v>107</v>
      </c>
      <c r="J40" s="17" t="s">
        <v>108</v>
      </c>
      <c r="K40" s="17" t="s">
        <v>109</v>
      </c>
      <c r="L40" s="17" t="s">
        <v>106</v>
      </c>
      <c r="M40" s="17" t="s">
        <v>107</v>
      </c>
      <c r="N40" s="17" t="s">
        <v>108</v>
      </c>
      <c r="O40" s="17" t="s">
        <v>109</v>
      </c>
      <c r="P40" s="17" t="s">
        <v>106</v>
      </c>
      <c r="Q40" s="17" t="s">
        <v>107</v>
      </c>
      <c r="R40" s="17" t="s">
        <v>108</v>
      </c>
      <c r="S40" s="17" t="s">
        <v>109</v>
      </c>
      <c r="T40" s="17" t="s">
        <v>106</v>
      </c>
      <c r="U40" s="17" t="s">
        <v>107</v>
      </c>
      <c r="V40" s="17" t="s">
        <v>108</v>
      </c>
      <c r="W40" s="17" t="s">
        <v>109</v>
      </c>
      <c r="X40" s="874"/>
    </row>
    <row r="41" spans="1:24" ht="13.5" thickBot="1">
      <c r="A41" s="971"/>
      <c r="B41" s="885"/>
      <c r="C41" s="91" t="s">
        <v>235</v>
      </c>
      <c r="D41" s="113">
        <v>2.6</v>
      </c>
      <c r="E41" s="113">
        <v>3</v>
      </c>
      <c r="F41" s="113">
        <v>0.2</v>
      </c>
      <c r="G41" s="113">
        <v>6</v>
      </c>
      <c r="H41" s="113">
        <v>6.6</v>
      </c>
      <c r="I41" s="113">
        <v>8</v>
      </c>
      <c r="J41" s="113">
        <v>0.6</v>
      </c>
      <c r="K41" s="113">
        <v>10.199999999999999</v>
      </c>
      <c r="L41" s="113">
        <v>6</v>
      </c>
      <c r="M41" s="113">
        <v>9.1999999999999993</v>
      </c>
      <c r="N41" s="113">
        <v>2.6</v>
      </c>
      <c r="O41" s="113">
        <v>12.2</v>
      </c>
      <c r="P41" s="113">
        <v>8.1999999999999993</v>
      </c>
      <c r="Q41" s="113">
        <v>11</v>
      </c>
      <c r="R41" s="113">
        <v>3.8</v>
      </c>
      <c r="S41" s="238">
        <v>12.6</v>
      </c>
      <c r="T41" s="150">
        <v>11</v>
      </c>
      <c r="U41" s="150">
        <v>13</v>
      </c>
      <c r="V41" s="113">
        <v>7</v>
      </c>
      <c r="W41" s="113">
        <v>14.9</v>
      </c>
      <c r="X41" s="874"/>
    </row>
    <row r="42" spans="1:24" ht="13.5" thickBot="1">
      <c r="A42" s="971"/>
      <c r="B42" s="466" t="s">
        <v>145</v>
      </c>
      <c r="C42" s="91" t="s">
        <v>233</v>
      </c>
      <c r="D42" s="1051" t="s">
        <v>414</v>
      </c>
      <c r="E42" s="1052"/>
      <c r="F42" s="1052"/>
      <c r="G42" s="1053"/>
      <c r="H42" s="113">
        <v>0</v>
      </c>
      <c r="I42" s="113">
        <v>0</v>
      </c>
      <c r="J42" s="113">
        <v>0</v>
      </c>
      <c r="K42" s="113">
        <v>14</v>
      </c>
      <c r="L42" s="113">
        <v>0</v>
      </c>
      <c r="M42" s="113">
        <v>1</v>
      </c>
      <c r="N42" s="113">
        <v>0</v>
      </c>
      <c r="O42" s="113">
        <v>14</v>
      </c>
      <c r="P42" s="113">
        <v>2.2999999999999998</v>
      </c>
      <c r="Q42" s="113">
        <v>2.2999999999999998</v>
      </c>
      <c r="R42" s="113">
        <v>2</v>
      </c>
      <c r="S42" s="150">
        <v>14</v>
      </c>
      <c r="T42" s="150">
        <v>5</v>
      </c>
      <c r="U42" s="150">
        <v>5</v>
      </c>
      <c r="V42" s="113">
        <v>3.3</v>
      </c>
      <c r="W42" s="113">
        <v>14.7</v>
      </c>
      <c r="X42" s="874"/>
    </row>
    <row r="43" spans="1:24" ht="12.95" customHeight="1" thickBot="1">
      <c r="A43" s="971"/>
      <c r="B43" s="466" t="s">
        <v>147</v>
      </c>
      <c r="C43" s="91" t="s">
        <v>234</v>
      </c>
      <c r="D43" s="945"/>
      <c r="E43" s="946"/>
      <c r="F43" s="946"/>
      <c r="G43" s="947"/>
      <c r="H43" s="957"/>
      <c r="I43" s="958"/>
      <c r="J43" s="958"/>
      <c r="K43" s="959"/>
      <c r="L43" s="1057" t="s">
        <v>910</v>
      </c>
      <c r="M43" s="1058"/>
      <c r="N43" s="1058"/>
      <c r="O43" s="1059"/>
      <c r="P43" s="238">
        <f>'State Agg LFx3 (2015)'!P43</f>
        <v>13.5</v>
      </c>
      <c r="Q43" s="238">
        <f>'State Agg LFx3 (2015)'!Q43</f>
        <v>13.5</v>
      </c>
      <c r="R43" s="238">
        <f>'State Agg LFx3 (2015)'!R43</f>
        <v>12</v>
      </c>
      <c r="S43" s="238">
        <f>'State Agg LFx3 (2015)'!S43</f>
        <v>13.5</v>
      </c>
      <c r="T43" s="238">
        <f>'State Agg LFx3 (2015)'!T43</f>
        <v>13.5</v>
      </c>
      <c r="U43" s="238">
        <f>'State Agg LFx3 (2015)'!U43</f>
        <v>13.5</v>
      </c>
      <c r="V43" s="238">
        <f>'State Agg LFx3 (2015)'!V43</f>
        <v>12.5</v>
      </c>
      <c r="W43" s="238">
        <f>'State Agg LFx3 (2015)'!W43</f>
        <v>13.5</v>
      </c>
      <c r="X43" s="874"/>
    </row>
    <row r="44" spans="1:24" ht="13.5" thickBot="1">
      <c r="A44" s="971"/>
      <c r="B44" s="466" t="s">
        <v>146</v>
      </c>
      <c r="C44" s="103" t="s">
        <v>236</v>
      </c>
      <c r="D44" s="1042" t="s">
        <v>416</v>
      </c>
      <c r="E44" s="1043"/>
      <c r="F44" s="1043"/>
      <c r="G44" s="1044"/>
      <c r="H44" s="117">
        <v>8.1999999999999993</v>
      </c>
      <c r="I44" s="117">
        <v>8</v>
      </c>
      <c r="J44" s="117">
        <v>3.8</v>
      </c>
      <c r="K44" s="117">
        <v>12</v>
      </c>
      <c r="L44" s="117">
        <v>6</v>
      </c>
      <c r="M44" s="117">
        <v>9</v>
      </c>
      <c r="N44" s="117">
        <v>2</v>
      </c>
      <c r="O44" s="117">
        <v>14</v>
      </c>
      <c r="P44" s="117">
        <v>7.4</v>
      </c>
      <c r="Q44" s="117">
        <v>10.4</v>
      </c>
      <c r="R44" s="117">
        <v>2.2000000000000002</v>
      </c>
      <c r="S44" s="117">
        <v>14.4</v>
      </c>
      <c r="T44" s="188">
        <f>'State Agg LFx3 (2015)'!T44</f>
        <v>0</v>
      </c>
      <c r="U44" s="188">
        <f>'State Agg LFx3 (2015)'!U44</f>
        <v>0</v>
      </c>
      <c r="V44" s="188">
        <f>'State Agg LFx3 (2015)'!V44</f>
        <v>0</v>
      </c>
      <c r="W44" s="188">
        <f>'State Agg LFx3 (2015)'!W44</f>
        <v>0</v>
      </c>
      <c r="X44" s="874"/>
    </row>
    <row r="45" spans="1:24" ht="13.5" thickBot="1">
      <c r="A45" s="971"/>
      <c r="B45" s="466"/>
      <c r="C45" s="102" t="s">
        <v>283</v>
      </c>
      <c r="D45" s="1054"/>
      <c r="E45" s="1055"/>
      <c r="F45" s="1055"/>
      <c r="G45" s="1056"/>
      <c r="H45" s="1054"/>
      <c r="I45" s="1055"/>
      <c r="J45" s="1055"/>
      <c r="K45" s="1056"/>
      <c r="L45" s="117">
        <v>0</v>
      </c>
      <c r="M45" s="117">
        <v>1</v>
      </c>
      <c r="N45" s="117">
        <v>0</v>
      </c>
      <c r="O45" s="117">
        <v>14</v>
      </c>
      <c r="P45" s="117">
        <v>2.6666666666666665</v>
      </c>
      <c r="Q45" s="117">
        <v>2.6666666666666665</v>
      </c>
      <c r="R45" s="117">
        <v>0.66666666666666663</v>
      </c>
      <c r="S45" s="117">
        <v>14.333333333333334</v>
      </c>
      <c r="T45" s="188">
        <f>'State Agg LFx3 (2015)'!T45</f>
        <v>0</v>
      </c>
      <c r="U45" s="188">
        <f>'State Agg LFx3 (2015)'!U45</f>
        <v>0</v>
      </c>
      <c r="V45" s="188">
        <f>'State Agg LFx3 (2015)'!V45</f>
        <v>0</v>
      </c>
      <c r="W45" s="188">
        <f>'State Agg LFx3 (2015)'!W45</f>
        <v>0</v>
      </c>
      <c r="X45" s="874"/>
    </row>
    <row r="46" spans="1:24" ht="13.5" thickBot="1">
      <c r="A46" s="971"/>
      <c r="B46" s="466"/>
      <c r="C46" s="102" t="s">
        <v>284</v>
      </c>
      <c r="D46" s="1054"/>
      <c r="E46" s="1055"/>
      <c r="F46" s="1055"/>
      <c r="G46" s="1056"/>
      <c r="H46" s="1054"/>
      <c r="I46" s="1055"/>
      <c r="J46" s="1055"/>
      <c r="K46" s="1056"/>
      <c r="L46" s="1054"/>
      <c r="M46" s="1055"/>
      <c r="N46" s="1055"/>
      <c r="O46" s="1056"/>
      <c r="P46" s="1017"/>
      <c r="Q46" s="1018"/>
      <c r="R46" s="1018"/>
      <c r="S46" s="1019"/>
      <c r="T46" s="188">
        <f>'State Agg LFx3 (2015)'!T46</f>
        <v>0</v>
      </c>
      <c r="U46" s="188">
        <f>'State Agg LFx3 (2015)'!U46</f>
        <v>0</v>
      </c>
      <c r="V46" s="188">
        <f>'State Agg LFx3 (2015)'!V46</f>
        <v>0</v>
      </c>
      <c r="W46" s="188">
        <f>'State Agg LFx3 (2015)'!W46</f>
        <v>0</v>
      </c>
      <c r="X46" s="874"/>
    </row>
    <row r="47" spans="1:24" ht="13.5" thickBot="1">
      <c r="A47" s="971"/>
      <c r="B47" s="980"/>
      <c r="C47" s="998" t="s">
        <v>413</v>
      </c>
      <c r="D47" s="927" t="s">
        <v>4</v>
      </c>
      <c r="E47" s="928"/>
      <c r="F47" s="928"/>
      <c r="G47" s="928"/>
      <c r="H47" s="928"/>
      <c r="I47" s="928"/>
      <c r="J47" s="928"/>
      <c r="K47" s="928"/>
      <c r="L47" s="928"/>
      <c r="M47" s="928"/>
      <c r="N47" s="928"/>
      <c r="O47" s="928"/>
      <c r="P47" s="928"/>
      <c r="Q47" s="928"/>
      <c r="R47" s="928"/>
      <c r="S47" s="928"/>
      <c r="T47" s="928"/>
      <c r="U47" s="928"/>
      <c r="V47" s="928"/>
      <c r="W47" s="928"/>
      <c r="X47" s="874"/>
    </row>
    <row r="48" spans="1:24" ht="13.5" thickBot="1">
      <c r="A48" s="982"/>
      <c r="B48" s="981"/>
      <c r="C48" s="999"/>
      <c r="D48" s="930" t="s">
        <v>117</v>
      </c>
      <c r="E48" s="931"/>
      <c r="F48" s="931"/>
      <c r="G48" s="931"/>
      <c r="H48" s="931"/>
      <c r="I48" s="931"/>
      <c r="J48" s="931"/>
      <c r="K48" s="931"/>
      <c r="L48" s="931"/>
      <c r="M48" s="931"/>
      <c r="N48" s="931"/>
      <c r="O48" s="931"/>
      <c r="P48" s="931"/>
      <c r="Q48" s="931"/>
      <c r="R48" s="931"/>
      <c r="S48" s="931"/>
      <c r="T48" s="931"/>
      <c r="U48" s="931"/>
      <c r="V48" s="931"/>
      <c r="W48" s="932"/>
      <c r="X48" s="875"/>
    </row>
    <row r="49" spans="1:24">
      <c r="A49" s="5"/>
      <c r="B49" s="5"/>
      <c r="C49" s="14"/>
      <c r="D49" s="5"/>
      <c r="E49" s="5"/>
      <c r="F49" s="5"/>
      <c r="G49" s="5"/>
      <c r="H49" s="5"/>
      <c r="I49" s="5"/>
      <c r="J49" s="5"/>
      <c r="K49" s="5"/>
      <c r="L49" s="5"/>
      <c r="M49" s="5"/>
      <c r="N49" s="5"/>
      <c r="O49" s="5"/>
      <c r="P49" s="5"/>
      <c r="Q49" s="5"/>
      <c r="R49" s="5"/>
      <c r="S49" s="5"/>
      <c r="T49" s="5"/>
      <c r="U49" s="5"/>
      <c r="V49" s="5"/>
      <c r="W49" s="5"/>
      <c r="X49" s="5"/>
    </row>
    <row r="50" spans="1:24" ht="13.5" thickBot="1">
      <c r="A50" s="5"/>
      <c r="B50" s="5"/>
      <c r="C50" s="6"/>
      <c r="D50" s="5"/>
      <c r="E50" s="5"/>
      <c r="F50" s="5"/>
      <c r="G50" s="5"/>
      <c r="H50" s="5"/>
      <c r="I50" s="5"/>
      <c r="J50" s="5"/>
      <c r="K50" s="5"/>
      <c r="L50" s="5"/>
      <c r="M50" s="5"/>
      <c r="N50" s="5"/>
      <c r="O50" s="5"/>
      <c r="P50" s="5"/>
      <c r="Q50" s="5"/>
      <c r="R50" s="5"/>
      <c r="S50" s="5"/>
      <c r="T50" s="5"/>
      <c r="U50" s="5"/>
      <c r="V50" s="5"/>
      <c r="W50" s="5"/>
      <c r="X50" s="5"/>
    </row>
    <row r="51" spans="1:24" ht="13.5" thickBot="1">
      <c r="A51" s="470" t="s">
        <v>5</v>
      </c>
      <c r="B51" s="471" t="s">
        <v>22</v>
      </c>
      <c r="C51" s="8"/>
      <c r="D51" s="927" t="s">
        <v>78</v>
      </c>
      <c r="E51" s="928"/>
      <c r="F51" s="928"/>
      <c r="G51" s="929"/>
      <c r="H51" s="927" t="s">
        <v>77</v>
      </c>
      <c r="I51" s="928"/>
      <c r="J51" s="928"/>
      <c r="K51" s="929"/>
      <c r="L51" s="927" t="s">
        <v>81</v>
      </c>
      <c r="M51" s="928"/>
      <c r="N51" s="928"/>
      <c r="O51" s="929"/>
      <c r="P51" s="927" t="s">
        <v>254</v>
      </c>
      <c r="Q51" s="928"/>
      <c r="R51" s="928"/>
      <c r="S51" s="929"/>
      <c r="T51" s="927" t="s">
        <v>76</v>
      </c>
      <c r="U51" s="928"/>
      <c r="V51" s="928"/>
      <c r="W51" s="929"/>
      <c r="X51" s="19" t="s">
        <v>6</v>
      </c>
    </row>
    <row r="52" spans="1:24" ht="13.5" thickBot="1">
      <c r="A52" s="868" t="s">
        <v>54</v>
      </c>
      <c r="B52" s="868" t="s">
        <v>55</v>
      </c>
      <c r="C52" s="9" t="s">
        <v>235</v>
      </c>
      <c r="D52" s="1014">
        <v>2.1</v>
      </c>
      <c r="E52" s="1015"/>
      <c r="F52" s="1015"/>
      <c r="G52" s="1016"/>
      <c r="H52" s="1014">
        <v>2.2999999999999998</v>
      </c>
      <c r="I52" s="1015"/>
      <c r="J52" s="1015"/>
      <c r="K52" s="1016"/>
      <c r="L52" s="1014">
        <v>2.9</v>
      </c>
      <c r="M52" s="1015"/>
      <c r="N52" s="1015"/>
      <c r="O52" s="1016"/>
      <c r="P52" s="1014">
        <v>3.2</v>
      </c>
      <c r="Q52" s="1015"/>
      <c r="R52" s="1015"/>
      <c r="S52" s="1016"/>
      <c r="T52" s="1014">
        <v>3.6</v>
      </c>
      <c r="U52" s="1015"/>
      <c r="V52" s="1015"/>
      <c r="W52" s="1016"/>
      <c r="X52" s="879" t="s">
        <v>95</v>
      </c>
    </row>
    <row r="53" spans="1:24" ht="13.5" thickBot="1">
      <c r="A53" s="885"/>
      <c r="B53" s="885"/>
      <c r="C53" s="9" t="s">
        <v>233</v>
      </c>
      <c r="D53" s="1048" t="s">
        <v>414</v>
      </c>
      <c r="E53" s="1049"/>
      <c r="F53" s="1049"/>
      <c r="G53" s="1050"/>
      <c r="H53" s="1014">
        <v>2.2000000000000002</v>
      </c>
      <c r="I53" s="1015"/>
      <c r="J53" s="1015"/>
      <c r="K53" s="1016"/>
      <c r="L53" s="1014">
        <v>2.2000000000000002</v>
      </c>
      <c r="M53" s="1015"/>
      <c r="N53" s="1015"/>
      <c r="O53" s="1016"/>
      <c r="P53" s="1014">
        <v>2.35</v>
      </c>
      <c r="Q53" s="1015"/>
      <c r="R53" s="1015"/>
      <c r="S53" s="1016"/>
      <c r="T53" s="1014">
        <v>2.75</v>
      </c>
      <c r="U53" s="1015"/>
      <c r="V53" s="1015"/>
      <c r="W53" s="1016"/>
      <c r="X53" s="880"/>
    </row>
    <row r="54" spans="1:24" ht="12.95" customHeight="1" thickBot="1">
      <c r="A54" s="885"/>
      <c r="B54" s="885"/>
      <c r="C54" s="9" t="s">
        <v>234</v>
      </c>
      <c r="D54" s="957"/>
      <c r="E54" s="958"/>
      <c r="F54" s="958"/>
      <c r="G54" s="959"/>
      <c r="H54" s="957"/>
      <c r="I54" s="958"/>
      <c r="J54" s="958"/>
      <c r="K54" s="959"/>
      <c r="L54" s="1057" t="s">
        <v>909</v>
      </c>
      <c r="M54" s="1058"/>
      <c r="N54" s="1058"/>
      <c r="O54" s="1059"/>
      <c r="P54" s="1094">
        <f>'State Agg LFx3 (2015)'!P54</f>
        <v>2.2999999999999998</v>
      </c>
      <c r="Q54" s="1095"/>
      <c r="R54" s="1095"/>
      <c r="S54" s="1096"/>
      <c r="T54" s="1094">
        <f>'State Agg LFx3 (2015)'!T54</f>
        <v>2.65</v>
      </c>
      <c r="U54" s="1095"/>
      <c r="V54" s="1095"/>
      <c r="W54" s="1096"/>
      <c r="X54" s="880"/>
    </row>
    <row r="55" spans="1:24" ht="13.5" thickBot="1">
      <c r="A55" s="885"/>
      <c r="B55" s="885"/>
      <c r="C55" s="102" t="s">
        <v>236</v>
      </c>
      <c r="D55" s="1045" t="s">
        <v>415</v>
      </c>
      <c r="E55" s="1046"/>
      <c r="F55" s="1046"/>
      <c r="G55" s="1047"/>
      <c r="H55" s="1020">
        <v>2.64</v>
      </c>
      <c r="I55" s="1021"/>
      <c r="J55" s="1021"/>
      <c r="K55" s="1022"/>
      <c r="L55" s="1020">
        <v>2.9</v>
      </c>
      <c r="M55" s="1021"/>
      <c r="N55" s="1021"/>
      <c r="O55" s="1022"/>
      <c r="P55" s="1020">
        <v>3.3200000000000003</v>
      </c>
      <c r="Q55" s="1021"/>
      <c r="R55" s="1021"/>
      <c r="S55" s="1022"/>
      <c r="T55" s="1020">
        <f>'State Agg LFx3 (2015)'!T55</f>
        <v>0</v>
      </c>
      <c r="U55" s="1021"/>
      <c r="V55" s="1021"/>
      <c r="W55" s="1022"/>
      <c r="X55" s="880"/>
    </row>
    <row r="56" spans="1:24" ht="13.5" thickBot="1">
      <c r="A56" s="885"/>
      <c r="B56" s="885"/>
      <c r="C56" s="102" t="s">
        <v>283</v>
      </c>
      <c r="D56" s="1017"/>
      <c r="E56" s="1018"/>
      <c r="F56" s="1018"/>
      <c r="G56" s="1019"/>
      <c r="H56" s="1017"/>
      <c r="I56" s="1018"/>
      <c r="J56" s="1018"/>
      <c r="K56" s="1019"/>
      <c r="L56" s="1020">
        <v>2.2000000000000002</v>
      </c>
      <c r="M56" s="1021"/>
      <c r="N56" s="1021"/>
      <c r="O56" s="1022"/>
      <c r="P56" s="1020" t="s">
        <v>777</v>
      </c>
      <c r="Q56" s="1021"/>
      <c r="R56" s="1021"/>
      <c r="S56" s="1022"/>
      <c r="T56" s="1020">
        <f>'State Agg LFx3 (2015)'!T56</f>
        <v>0</v>
      </c>
      <c r="U56" s="1021"/>
      <c r="V56" s="1021"/>
      <c r="W56" s="1022"/>
      <c r="X56" s="880"/>
    </row>
    <row r="57" spans="1:24" ht="13.5" thickBot="1">
      <c r="A57" s="885"/>
      <c r="B57" s="885"/>
      <c r="C57" s="102" t="s">
        <v>284</v>
      </c>
      <c r="D57" s="1017"/>
      <c r="E57" s="1018"/>
      <c r="F57" s="1018"/>
      <c r="G57" s="1019"/>
      <c r="H57" s="1017"/>
      <c r="I57" s="1018"/>
      <c r="J57" s="1018"/>
      <c r="K57" s="1019"/>
      <c r="L57" s="1017"/>
      <c r="M57" s="1018"/>
      <c r="N57" s="1018"/>
      <c r="O57" s="1019"/>
      <c r="P57" s="1017"/>
      <c r="Q57" s="1018"/>
      <c r="R57" s="1018"/>
      <c r="S57" s="1019"/>
      <c r="T57" s="1020">
        <f>'State Agg LFx3 (2015)'!T57</f>
        <v>0</v>
      </c>
      <c r="U57" s="1021"/>
      <c r="V57" s="1021"/>
      <c r="W57" s="1022"/>
      <c r="X57" s="880"/>
    </row>
    <row r="58" spans="1:24" ht="13.5" thickBot="1">
      <c r="A58" s="885"/>
      <c r="B58" s="885"/>
      <c r="C58" s="998" t="s">
        <v>413</v>
      </c>
      <c r="D58" s="927" t="s">
        <v>4</v>
      </c>
      <c r="E58" s="928"/>
      <c r="F58" s="928"/>
      <c r="G58" s="928"/>
      <c r="H58" s="928"/>
      <c r="I58" s="928"/>
      <c r="J58" s="928"/>
      <c r="K58" s="928"/>
      <c r="L58" s="928"/>
      <c r="M58" s="928"/>
      <c r="N58" s="928"/>
      <c r="O58" s="928"/>
      <c r="P58" s="928"/>
      <c r="Q58" s="928"/>
      <c r="R58" s="928"/>
      <c r="S58" s="928"/>
      <c r="T58" s="928"/>
      <c r="U58" s="928"/>
      <c r="V58" s="928"/>
      <c r="W58" s="928"/>
      <c r="X58" s="880"/>
    </row>
    <row r="59" spans="1:24" ht="13.5" thickBot="1">
      <c r="A59" s="885"/>
      <c r="B59" s="869"/>
      <c r="C59" s="999"/>
      <c r="D59" s="930" t="s">
        <v>115</v>
      </c>
      <c r="E59" s="931"/>
      <c r="F59" s="931"/>
      <c r="G59" s="931"/>
      <c r="H59" s="931"/>
      <c r="I59" s="931"/>
      <c r="J59" s="931"/>
      <c r="K59" s="931"/>
      <c r="L59" s="931"/>
      <c r="M59" s="931"/>
      <c r="N59" s="931"/>
      <c r="O59" s="931"/>
      <c r="P59" s="931"/>
      <c r="Q59" s="931"/>
      <c r="R59" s="931"/>
      <c r="S59" s="931"/>
      <c r="T59" s="931"/>
      <c r="U59" s="931"/>
      <c r="V59" s="931"/>
      <c r="W59" s="932"/>
      <c r="X59" s="880"/>
    </row>
    <row r="60" spans="1:24" ht="13.5" thickBot="1">
      <c r="A60" s="885"/>
      <c r="B60" s="11" t="s">
        <v>23</v>
      </c>
      <c r="C60" s="12"/>
      <c r="D60" s="927" t="s">
        <v>78</v>
      </c>
      <c r="E60" s="928"/>
      <c r="F60" s="928"/>
      <c r="G60" s="929"/>
      <c r="H60" s="927" t="s">
        <v>77</v>
      </c>
      <c r="I60" s="928"/>
      <c r="J60" s="928"/>
      <c r="K60" s="929"/>
      <c r="L60" s="927" t="s">
        <v>81</v>
      </c>
      <c r="M60" s="928"/>
      <c r="N60" s="928"/>
      <c r="O60" s="929"/>
      <c r="P60" s="927" t="s">
        <v>254</v>
      </c>
      <c r="Q60" s="928"/>
      <c r="R60" s="928"/>
      <c r="S60" s="929"/>
      <c r="T60" s="927" t="s">
        <v>76</v>
      </c>
      <c r="U60" s="928"/>
      <c r="V60" s="928"/>
      <c r="W60" s="929"/>
      <c r="X60" s="880"/>
    </row>
    <row r="61" spans="1:24" ht="13.5" thickBot="1">
      <c r="A61" s="885"/>
      <c r="B61" s="868" t="s">
        <v>56</v>
      </c>
      <c r="C61" s="9" t="s">
        <v>235</v>
      </c>
      <c r="D61" s="1014">
        <v>2.1</v>
      </c>
      <c r="E61" s="1015"/>
      <c r="F61" s="1015"/>
      <c r="G61" s="1016"/>
      <c r="H61" s="1014">
        <v>2.6</v>
      </c>
      <c r="I61" s="1015"/>
      <c r="J61" s="1015"/>
      <c r="K61" s="1016"/>
      <c r="L61" s="1014">
        <v>2.85</v>
      </c>
      <c r="M61" s="1015"/>
      <c r="N61" s="1015"/>
      <c r="O61" s="1016"/>
      <c r="P61" s="1014">
        <v>3.1</v>
      </c>
      <c r="Q61" s="1015"/>
      <c r="R61" s="1015"/>
      <c r="S61" s="1016"/>
      <c r="T61" s="1014">
        <v>3.45</v>
      </c>
      <c r="U61" s="1015"/>
      <c r="V61" s="1015"/>
      <c r="W61" s="1016"/>
      <c r="X61" s="880"/>
    </row>
    <row r="62" spans="1:24" ht="13.5" thickBot="1">
      <c r="A62" s="885"/>
      <c r="B62" s="885"/>
      <c r="C62" s="9" t="s">
        <v>233</v>
      </c>
      <c r="D62" s="1048" t="s">
        <v>414</v>
      </c>
      <c r="E62" s="1049"/>
      <c r="F62" s="1049"/>
      <c r="G62" s="1050"/>
      <c r="H62" s="1014">
        <v>1.6</v>
      </c>
      <c r="I62" s="1015"/>
      <c r="J62" s="1015"/>
      <c r="K62" s="1016"/>
      <c r="L62" s="1014">
        <v>1.75</v>
      </c>
      <c r="M62" s="1015"/>
      <c r="N62" s="1015"/>
      <c r="O62" s="1016"/>
      <c r="P62" s="1014">
        <v>1.9</v>
      </c>
      <c r="Q62" s="1015"/>
      <c r="R62" s="1015"/>
      <c r="S62" s="1016"/>
      <c r="T62" s="1014">
        <v>2.25</v>
      </c>
      <c r="U62" s="1015"/>
      <c r="V62" s="1015"/>
      <c r="W62" s="1016"/>
      <c r="X62" s="880"/>
    </row>
    <row r="63" spans="1:24" ht="12.95" customHeight="1" thickBot="1">
      <c r="A63" s="885"/>
      <c r="B63" s="885"/>
      <c r="C63" s="9" t="s">
        <v>234</v>
      </c>
      <c r="D63" s="957"/>
      <c r="E63" s="958"/>
      <c r="F63" s="958"/>
      <c r="G63" s="959"/>
      <c r="H63" s="957"/>
      <c r="I63" s="958"/>
      <c r="J63" s="958"/>
      <c r="K63" s="959"/>
      <c r="L63" s="1057" t="s">
        <v>909</v>
      </c>
      <c r="M63" s="1058"/>
      <c r="N63" s="1058"/>
      <c r="O63" s="1059"/>
      <c r="P63" s="1094">
        <f>'State Agg LFx3 (2015)'!P63</f>
        <v>2.25</v>
      </c>
      <c r="Q63" s="1095"/>
      <c r="R63" s="1095"/>
      <c r="S63" s="1096"/>
      <c r="T63" s="1094">
        <f>'State Agg LFx3 (2015)'!T63</f>
        <v>2.7</v>
      </c>
      <c r="U63" s="1095"/>
      <c r="V63" s="1095"/>
      <c r="W63" s="1096"/>
      <c r="X63" s="880"/>
    </row>
    <row r="64" spans="1:24" ht="13.5" thickBot="1">
      <c r="A64" s="885"/>
      <c r="B64" s="885"/>
      <c r="C64" s="102" t="s">
        <v>236</v>
      </c>
      <c r="D64" s="1045" t="s">
        <v>415</v>
      </c>
      <c r="E64" s="1046"/>
      <c r="F64" s="1046"/>
      <c r="G64" s="1047"/>
      <c r="H64" s="1020">
        <v>2.84</v>
      </c>
      <c r="I64" s="1021"/>
      <c r="J64" s="1021"/>
      <c r="K64" s="1022"/>
      <c r="L64" s="1020">
        <v>3</v>
      </c>
      <c r="M64" s="1021"/>
      <c r="N64" s="1021"/>
      <c r="O64" s="1022"/>
      <c r="P64" s="1020" t="s">
        <v>778</v>
      </c>
      <c r="Q64" s="1021"/>
      <c r="R64" s="1021"/>
      <c r="S64" s="1022"/>
      <c r="T64" s="1020">
        <f>'State Agg LFx3 (2015)'!T64</f>
        <v>0</v>
      </c>
      <c r="U64" s="1021"/>
      <c r="V64" s="1021"/>
      <c r="W64" s="1022"/>
      <c r="X64" s="880"/>
    </row>
    <row r="65" spans="1:24" ht="13.5" thickBot="1">
      <c r="A65" s="885"/>
      <c r="B65" s="885"/>
      <c r="C65" s="102" t="s">
        <v>283</v>
      </c>
      <c r="D65" s="1017"/>
      <c r="E65" s="1018"/>
      <c r="F65" s="1018"/>
      <c r="G65" s="1019"/>
      <c r="H65" s="1017"/>
      <c r="I65" s="1018"/>
      <c r="J65" s="1018"/>
      <c r="K65" s="1019"/>
      <c r="L65" s="1020">
        <v>1.6</v>
      </c>
      <c r="M65" s="1021"/>
      <c r="N65" s="1021"/>
      <c r="O65" s="1022"/>
      <c r="P65" s="1020">
        <v>2.1666666666666665</v>
      </c>
      <c r="Q65" s="1021"/>
      <c r="R65" s="1021"/>
      <c r="S65" s="1022"/>
      <c r="T65" s="1020">
        <f>'State Agg LFx3 (2015)'!T65</f>
        <v>0</v>
      </c>
      <c r="U65" s="1021"/>
      <c r="V65" s="1021"/>
      <c r="W65" s="1022"/>
      <c r="X65" s="880"/>
    </row>
    <row r="66" spans="1:24" ht="13.5" thickBot="1">
      <c r="A66" s="885"/>
      <c r="B66" s="885"/>
      <c r="C66" s="102" t="s">
        <v>284</v>
      </c>
      <c r="D66" s="1017"/>
      <c r="E66" s="1018"/>
      <c r="F66" s="1018"/>
      <c r="G66" s="1019"/>
      <c r="H66" s="1017"/>
      <c r="I66" s="1018"/>
      <c r="J66" s="1018"/>
      <c r="K66" s="1019"/>
      <c r="L66" s="1017"/>
      <c r="M66" s="1018"/>
      <c r="N66" s="1018"/>
      <c r="O66" s="1019"/>
      <c r="P66" s="1017"/>
      <c r="Q66" s="1018"/>
      <c r="R66" s="1018"/>
      <c r="S66" s="1019"/>
      <c r="T66" s="1020">
        <f>'State Agg LFx3 (2015)'!T66</f>
        <v>0</v>
      </c>
      <c r="U66" s="1021"/>
      <c r="V66" s="1021"/>
      <c r="W66" s="1022"/>
      <c r="X66" s="880"/>
    </row>
    <row r="67" spans="1:24" ht="13.5" thickBot="1">
      <c r="A67" s="885"/>
      <c r="B67" s="885"/>
      <c r="C67" s="998" t="s">
        <v>413</v>
      </c>
      <c r="D67" s="927" t="s">
        <v>4</v>
      </c>
      <c r="E67" s="928"/>
      <c r="F67" s="928"/>
      <c r="G67" s="928"/>
      <c r="H67" s="928"/>
      <c r="I67" s="928"/>
      <c r="J67" s="928"/>
      <c r="K67" s="928"/>
      <c r="L67" s="928"/>
      <c r="M67" s="928"/>
      <c r="N67" s="928"/>
      <c r="O67" s="928"/>
      <c r="P67" s="928"/>
      <c r="Q67" s="928"/>
      <c r="R67" s="928"/>
      <c r="S67" s="928"/>
      <c r="T67" s="928"/>
      <c r="U67" s="928"/>
      <c r="V67" s="928"/>
      <c r="W67" s="928"/>
      <c r="X67" s="880"/>
    </row>
    <row r="68" spans="1:24" ht="13.5" thickBot="1">
      <c r="A68" s="885"/>
      <c r="B68" s="869"/>
      <c r="C68" s="999"/>
      <c r="D68" s="930" t="s">
        <v>115</v>
      </c>
      <c r="E68" s="931"/>
      <c r="F68" s="931"/>
      <c r="G68" s="931"/>
      <c r="H68" s="931"/>
      <c r="I68" s="931"/>
      <c r="J68" s="931"/>
      <c r="K68" s="931"/>
      <c r="L68" s="931"/>
      <c r="M68" s="931"/>
      <c r="N68" s="931"/>
      <c r="O68" s="931"/>
      <c r="P68" s="931"/>
      <c r="Q68" s="931"/>
      <c r="R68" s="931"/>
      <c r="S68" s="931"/>
      <c r="T68" s="931"/>
      <c r="U68" s="931"/>
      <c r="V68" s="931"/>
      <c r="W68" s="932"/>
      <c r="X68" s="880"/>
    </row>
    <row r="69" spans="1:24" ht="13.5" thickBot="1">
      <c r="A69" s="885"/>
      <c r="B69" s="11" t="s">
        <v>38</v>
      </c>
      <c r="C69" s="12"/>
      <c r="D69" s="927" t="s">
        <v>78</v>
      </c>
      <c r="E69" s="928"/>
      <c r="F69" s="928"/>
      <c r="G69" s="929"/>
      <c r="H69" s="927" t="s">
        <v>77</v>
      </c>
      <c r="I69" s="928"/>
      <c r="J69" s="928"/>
      <c r="K69" s="929"/>
      <c r="L69" s="927" t="s">
        <v>81</v>
      </c>
      <c r="M69" s="928"/>
      <c r="N69" s="928"/>
      <c r="O69" s="929"/>
      <c r="P69" s="927" t="s">
        <v>254</v>
      </c>
      <c r="Q69" s="928"/>
      <c r="R69" s="928"/>
      <c r="S69" s="929"/>
      <c r="T69" s="927" t="s">
        <v>76</v>
      </c>
      <c r="U69" s="928"/>
      <c r="V69" s="928"/>
      <c r="W69" s="929"/>
      <c r="X69" s="880"/>
    </row>
    <row r="70" spans="1:24" ht="13.5" thickBot="1">
      <c r="A70" s="885"/>
      <c r="B70" s="868" t="s">
        <v>155</v>
      </c>
      <c r="C70" s="9" t="s">
        <v>235</v>
      </c>
      <c r="D70" s="933" t="s">
        <v>171</v>
      </c>
      <c r="E70" s="934"/>
      <c r="F70" s="934"/>
      <c r="G70" s="935"/>
      <c r="H70" s="966" t="s">
        <v>572</v>
      </c>
      <c r="I70" s="967"/>
      <c r="J70" s="967"/>
      <c r="K70" s="968"/>
      <c r="L70" s="1094">
        <v>3</v>
      </c>
      <c r="M70" s="1095"/>
      <c r="N70" s="1095"/>
      <c r="O70" s="1096"/>
      <c r="P70" s="1094">
        <v>3.2</v>
      </c>
      <c r="Q70" s="1095"/>
      <c r="R70" s="1095"/>
      <c r="S70" s="1096"/>
      <c r="T70" s="1094">
        <v>3.6</v>
      </c>
      <c r="U70" s="1095"/>
      <c r="V70" s="1095"/>
      <c r="W70" s="1096"/>
      <c r="X70" s="880"/>
    </row>
    <row r="71" spans="1:24" ht="12.95" customHeight="1" thickBot="1">
      <c r="A71" s="885"/>
      <c r="B71" s="885"/>
      <c r="C71" s="9" t="s">
        <v>233</v>
      </c>
      <c r="D71" s="957"/>
      <c r="E71" s="958"/>
      <c r="F71" s="958"/>
      <c r="G71" s="959"/>
      <c r="H71" s="966" t="s">
        <v>572</v>
      </c>
      <c r="I71" s="967"/>
      <c r="J71" s="967"/>
      <c r="K71" s="968"/>
      <c r="L71" s="1094">
        <v>2.6</v>
      </c>
      <c r="M71" s="1095"/>
      <c r="N71" s="1095"/>
      <c r="O71" s="1096"/>
      <c r="P71" s="1094">
        <v>2.9</v>
      </c>
      <c r="Q71" s="1095"/>
      <c r="R71" s="1095"/>
      <c r="S71" s="1096"/>
      <c r="T71" s="1094">
        <v>3.3</v>
      </c>
      <c r="U71" s="1095"/>
      <c r="V71" s="1095"/>
      <c r="W71" s="1096"/>
      <c r="X71" s="880"/>
    </row>
    <row r="72" spans="1:24" ht="12.95" customHeight="1" thickBot="1">
      <c r="A72" s="885"/>
      <c r="B72" s="885"/>
      <c r="C72" s="9" t="s">
        <v>234</v>
      </c>
      <c r="D72" s="957"/>
      <c r="E72" s="958"/>
      <c r="F72" s="958"/>
      <c r="G72" s="959"/>
      <c r="H72" s="957"/>
      <c r="I72" s="958"/>
      <c r="J72" s="958"/>
      <c r="K72" s="959"/>
      <c r="L72" s="1057" t="s">
        <v>909</v>
      </c>
      <c r="M72" s="1058"/>
      <c r="N72" s="1058"/>
      <c r="O72" s="1059"/>
      <c r="P72" s="1094">
        <f>'State Agg LFx3 (2015)'!P72</f>
        <v>3</v>
      </c>
      <c r="Q72" s="1095"/>
      <c r="R72" s="1095"/>
      <c r="S72" s="1096"/>
      <c r="T72" s="1094">
        <f>'State Agg LFx3 (2015)'!T72</f>
        <v>3.2</v>
      </c>
      <c r="U72" s="1095"/>
      <c r="V72" s="1095"/>
      <c r="W72" s="1096"/>
      <c r="X72" s="880"/>
    </row>
    <row r="73" spans="1:24" ht="13.5" thickBot="1">
      <c r="A73" s="885"/>
      <c r="B73" s="885"/>
      <c r="C73" s="102" t="s">
        <v>236</v>
      </c>
      <c r="D73" s="1011"/>
      <c r="E73" s="1012"/>
      <c r="F73" s="1012"/>
      <c r="G73" s="1013"/>
      <c r="H73" s="1011"/>
      <c r="I73" s="1012"/>
      <c r="J73" s="1012"/>
      <c r="K73" s="1013"/>
      <c r="L73" s="1011"/>
      <c r="M73" s="1012"/>
      <c r="N73" s="1012"/>
      <c r="O73" s="1013"/>
      <c r="P73" s="1020">
        <v>3.4800000000000004</v>
      </c>
      <c r="Q73" s="1021"/>
      <c r="R73" s="1021"/>
      <c r="S73" s="1022"/>
      <c r="T73" s="1020">
        <f>'State Agg LFx3 (2015)'!T73</f>
        <v>0</v>
      </c>
      <c r="U73" s="1021"/>
      <c r="V73" s="1021"/>
      <c r="W73" s="1022"/>
      <c r="X73" s="880"/>
    </row>
    <row r="74" spans="1:24" ht="13.5" thickBot="1">
      <c r="A74" s="885"/>
      <c r="B74" s="885"/>
      <c r="C74" s="102" t="s">
        <v>283</v>
      </c>
      <c r="D74" s="1017"/>
      <c r="E74" s="1018"/>
      <c r="F74" s="1018"/>
      <c r="G74" s="1019"/>
      <c r="H74" s="1017"/>
      <c r="I74" s="1018"/>
      <c r="J74" s="1018"/>
      <c r="K74" s="1019"/>
      <c r="L74" s="1011"/>
      <c r="M74" s="1012"/>
      <c r="N74" s="1012"/>
      <c r="O74" s="1013"/>
      <c r="P74" s="1020">
        <v>2.7666666666666671</v>
      </c>
      <c r="Q74" s="1021"/>
      <c r="R74" s="1021"/>
      <c r="S74" s="1022"/>
      <c r="T74" s="1020">
        <f>'State Agg LFx3 (2015)'!T74</f>
        <v>0</v>
      </c>
      <c r="U74" s="1021"/>
      <c r="V74" s="1021"/>
      <c r="W74" s="1022"/>
      <c r="X74" s="880"/>
    </row>
    <row r="75" spans="1:24" ht="13.5" thickBot="1">
      <c r="A75" s="885"/>
      <c r="B75" s="885"/>
      <c r="C75" s="102" t="s">
        <v>284</v>
      </c>
      <c r="D75" s="1017"/>
      <c r="E75" s="1018"/>
      <c r="F75" s="1018"/>
      <c r="G75" s="1019"/>
      <c r="H75" s="1017"/>
      <c r="I75" s="1018"/>
      <c r="J75" s="1018"/>
      <c r="K75" s="1019"/>
      <c r="L75" s="1017"/>
      <c r="M75" s="1018"/>
      <c r="N75" s="1018"/>
      <c r="O75" s="1019"/>
      <c r="P75" s="1017"/>
      <c r="Q75" s="1018"/>
      <c r="R75" s="1018"/>
      <c r="S75" s="1019"/>
      <c r="T75" s="1020">
        <f>'State Agg LFx3 (2015)'!T75</f>
        <v>0</v>
      </c>
      <c r="U75" s="1021"/>
      <c r="V75" s="1021"/>
      <c r="W75" s="1022"/>
      <c r="X75" s="880"/>
    </row>
    <row r="76" spans="1:24" ht="13.5" thickBot="1">
      <c r="A76" s="885"/>
      <c r="B76" s="885"/>
      <c r="C76" s="998" t="s">
        <v>413</v>
      </c>
      <c r="D76" s="927" t="s">
        <v>4</v>
      </c>
      <c r="E76" s="928"/>
      <c r="F76" s="928"/>
      <c r="G76" s="928"/>
      <c r="H76" s="928"/>
      <c r="I76" s="928"/>
      <c r="J76" s="928"/>
      <c r="K76" s="928"/>
      <c r="L76" s="928"/>
      <c r="M76" s="928"/>
      <c r="N76" s="928"/>
      <c r="O76" s="928"/>
      <c r="P76" s="928"/>
      <c r="Q76" s="928"/>
      <c r="R76" s="928"/>
      <c r="S76" s="928"/>
      <c r="T76" s="928"/>
      <c r="U76" s="928"/>
      <c r="V76" s="928"/>
      <c r="W76" s="928"/>
      <c r="X76" s="880"/>
    </row>
    <row r="77" spans="1:24" ht="13.5" thickBot="1">
      <c r="A77" s="885"/>
      <c r="B77" s="869"/>
      <c r="C77" s="999"/>
      <c r="D77" s="930" t="s">
        <v>115</v>
      </c>
      <c r="E77" s="931"/>
      <c r="F77" s="931"/>
      <c r="G77" s="931"/>
      <c r="H77" s="931"/>
      <c r="I77" s="931"/>
      <c r="J77" s="931"/>
      <c r="K77" s="931"/>
      <c r="L77" s="931"/>
      <c r="M77" s="931"/>
      <c r="N77" s="931"/>
      <c r="O77" s="931"/>
      <c r="P77" s="931"/>
      <c r="Q77" s="931"/>
      <c r="R77" s="931"/>
      <c r="S77" s="931"/>
      <c r="T77" s="931"/>
      <c r="U77" s="931"/>
      <c r="V77" s="931"/>
      <c r="W77" s="932"/>
      <c r="X77" s="880"/>
    </row>
    <row r="78" spans="1:24" ht="13.5" thickBot="1">
      <c r="A78" s="885"/>
      <c r="B78" s="11" t="s">
        <v>39</v>
      </c>
      <c r="C78" s="12"/>
      <c r="D78" s="927" t="s">
        <v>78</v>
      </c>
      <c r="E78" s="928"/>
      <c r="F78" s="928"/>
      <c r="G78" s="929"/>
      <c r="H78" s="927" t="s">
        <v>77</v>
      </c>
      <c r="I78" s="928"/>
      <c r="J78" s="928"/>
      <c r="K78" s="929"/>
      <c r="L78" s="927" t="s">
        <v>81</v>
      </c>
      <c r="M78" s="928"/>
      <c r="N78" s="928"/>
      <c r="O78" s="929"/>
      <c r="P78" s="927" t="s">
        <v>254</v>
      </c>
      <c r="Q78" s="928"/>
      <c r="R78" s="928"/>
      <c r="S78" s="929"/>
      <c r="T78" s="927" t="s">
        <v>76</v>
      </c>
      <c r="U78" s="928"/>
      <c r="V78" s="928"/>
      <c r="W78" s="929"/>
      <c r="X78" s="880"/>
    </row>
    <row r="79" spans="1:24" ht="42.95" customHeight="1" thickBot="1">
      <c r="A79" s="885"/>
      <c r="B79" s="978" t="s">
        <v>575</v>
      </c>
      <c r="C79" s="9"/>
      <c r="D79" s="20" t="s">
        <v>105</v>
      </c>
      <c r="E79" s="20" t="s">
        <v>579</v>
      </c>
      <c r="F79" s="20" t="s">
        <v>580</v>
      </c>
      <c r="G79" s="20" t="s">
        <v>581</v>
      </c>
      <c r="H79" s="20" t="s">
        <v>105</v>
      </c>
      <c r="I79" s="20" t="s">
        <v>579</v>
      </c>
      <c r="J79" s="20" t="s">
        <v>580</v>
      </c>
      <c r="K79" s="20" t="s">
        <v>581</v>
      </c>
      <c r="L79" s="20" t="s">
        <v>105</v>
      </c>
      <c r="M79" s="20" t="s">
        <v>579</v>
      </c>
      <c r="N79" s="20" t="s">
        <v>580</v>
      </c>
      <c r="O79" s="20" t="s">
        <v>581</v>
      </c>
      <c r="P79" s="20" t="s">
        <v>105</v>
      </c>
      <c r="Q79" s="20" t="s">
        <v>579</v>
      </c>
      <c r="R79" s="20" t="s">
        <v>580</v>
      </c>
      <c r="S79" s="20" t="s">
        <v>581</v>
      </c>
      <c r="T79" s="20" t="s">
        <v>105</v>
      </c>
      <c r="U79" s="20" t="s">
        <v>579</v>
      </c>
      <c r="V79" s="20" t="s">
        <v>580</v>
      </c>
      <c r="W79" s="20" t="s">
        <v>581</v>
      </c>
      <c r="X79" s="880"/>
    </row>
    <row r="80" spans="1:24" ht="13.5" thickBot="1">
      <c r="A80" s="885"/>
      <c r="B80" s="979"/>
      <c r="C80" s="9" t="s">
        <v>247</v>
      </c>
      <c r="D80" s="2">
        <v>0</v>
      </c>
      <c r="E80" s="2">
        <v>0</v>
      </c>
      <c r="F80" s="2">
        <v>0</v>
      </c>
      <c r="G80" s="2">
        <v>0</v>
      </c>
      <c r="H80" s="2">
        <v>10</v>
      </c>
      <c r="I80" s="2">
        <v>5</v>
      </c>
      <c r="J80" s="2">
        <v>0</v>
      </c>
      <c r="K80" s="2">
        <v>0</v>
      </c>
      <c r="L80" s="2">
        <v>20</v>
      </c>
      <c r="M80" s="2">
        <v>10</v>
      </c>
      <c r="N80" s="2">
        <v>5</v>
      </c>
      <c r="O80" s="2">
        <v>2</v>
      </c>
      <c r="P80" s="2">
        <v>35</v>
      </c>
      <c r="Q80" s="2">
        <v>18</v>
      </c>
      <c r="R80" s="158">
        <v>10</v>
      </c>
      <c r="S80" s="158">
        <v>5</v>
      </c>
      <c r="T80" s="158">
        <v>50</v>
      </c>
      <c r="U80" s="158">
        <v>25</v>
      </c>
      <c r="V80" s="158">
        <v>15</v>
      </c>
      <c r="W80" s="158">
        <v>8</v>
      </c>
      <c r="X80" s="880"/>
    </row>
    <row r="81" spans="1:24" ht="24.75" thickBot="1">
      <c r="A81" s="885"/>
      <c r="B81" s="469" t="s">
        <v>159</v>
      </c>
      <c r="C81" s="102" t="s">
        <v>246</v>
      </c>
      <c r="D81" s="1042" t="s">
        <v>416</v>
      </c>
      <c r="E81" s="1043"/>
      <c r="F81" s="1043"/>
      <c r="G81" s="1044"/>
      <c r="H81" s="117">
        <v>11</v>
      </c>
      <c r="I81" s="117">
        <v>6</v>
      </c>
      <c r="J81" s="117">
        <v>0</v>
      </c>
      <c r="K81" s="117">
        <v>0</v>
      </c>
      <c r="L81" s="117">
        <f>11+20</f>
        <v>31</v>
      </c>
      <c r="M81" s="117">
        <v>16</v>
      </c>
      <c r="N81" s="117">
        <v>6</v>
      </c>
      <c r="O81" s="117">
        <v>0</v>
      </c>
      <c r="P81" s="117">
        <v>75</v>
      </c>
      <c r="Q81" s="117">
        <v>39</v>
      </c>
      <c r="R81" s="117">
        <v>22</v>
      </c>
      <c r="S81" s="117">
        <v>4</v>
      </c>
      <c r="T81" s="188">
        <f>'State Agg LFx3 (2015)'!T81</f>
        <v>0</v>
      </c>
      <c r="U81" s="188">
        <f>'State Agg LFx3 (2015)'!U81</f>
        <v>0</v>
      </c>
      <c r="V81" s="188">
        <f>'State Agg LFx3 (2015)'!V81</f>
        <v>0</v>
      </c>
      <c r="W81" s="188">
        <f>'State Agg LFx3 (2015)'!W81</f>
        <v>0</v>
      </c>
      <c r="X81" s="880"/>
    </row>
    <row r="82" spans="1:24" ht="36.75" thickBot="1">
      <c r="A82" s="885"/>
      <c r="B82" s="183" t="s">
        <v>576</v>
      </c>
      <c r="C82" s="998" t="s">
        <v>413</v>
      </c>
      <c r="D82" s="927" t="s">
        <v>4</v>
      </c>
      <c r="E82" s="928"/>
      <c r="F82" s="928"/>
      <c r="G82" s="928"/>
      <c r="H82" s="928"/>
      <c r="I82" s="928"/>
      <c r="J82" s="928"/>
      <c r="K82" s="928"/>
      <c r="L82" s="928"/>
      <c r="M82" s="928"/>
      <c r="N82" s="928"/>
      <c r="O82" s="928"/>
      <c r="P82" s="928"/>
      <c r="Q82" s="928"/>
      <c r="R82" s="928"/>
      <c r="S82" s="928"/>
      <c r="T82" s="928"/>
      <c r="U82" s="928"/>
      <c r="V82" s="928"/>
      <c r="W82" s="928"/>
      <c r="X82" s="880"/>
    </row>
    <row r="83" spans="1:24" ht="13.5" thickBot="1">
      <c r="A83" s="869"/>
      <c r="B83" s="184" t="s">
        <v>577</v>
      </c>
      <c r="C83" s="999"/>
      <c r="D83" s="930" t="s">
        <v>126</v>
      </c>
      <c r="E83" s="931"/>
      <c r="F83" s="931"/>
      <c r="G83" s="931"/>
      <c r="H83" s="931"/>
      <c r="I83" s="931"/>
      <c r="J83" s="931"/>
      <c r="K83" s="931"/>
      <c r="L83" s="931"/>
      <c r="M83" s="931"/>
      <c r="N83" s="931"/>
      <c r="O83" s="931"/>
      <c r="P83" s="931"/>
      <c r="Q83" s="931"/>
      <c r="R83" s="931"/>
      <c r="S83" s="931"/>
      <c r="T83" s="931"/>
      <c r="U83" s="931"/>
      <c r="V83" s="931"/>
      <c r="W83" s="932"/>
      <c r="X83" s="881"/>
    </row>
    <row r="84" spans="1:24" ht="13.5" thickBot="1">
      <c r="A84" s="906" t="s">
        <v>7</v>
      </c>
      <c r="B84" s="908" t="s">
        <v>173</v>
      </c>
      <c r="C84" s="918"/>
      <c r="D84" s="908" t="s">
        <v>8</v>
      </c>
      <c r="E84" s="918"/>
      <c r="F84" s="918"/>
      <c r="G84" s="909"/>
      <c r="H84" s="908" t="s">
        <v>88</v>
      </c>
      <c r="I84" s="918"/>
      <c r="J84" s="918"/>
      <c r="K84" s="909"/>
      <c r="L84" s="908" t="s">
        <v>89</v>
      </c>
      <c r="M84" s="918"/>
      <c r="N84" s="918"/>
      <c r="O84" s="909"/>
      <c r="P84" s="908" t="s">
        <v>9</v>
      </c>
      <c r="Q84" s="918"/>
      <c r="R84" s="918"/>
      <c r="S84" s="909"/>
      <c r="T84" s="908" t="s">
        <v>174</v>
      </c>
      <c r="U84" s="918"/>
      <c r="V84" s="918"/>
      <c r="W84" s="918"/>
      <c r="X84" s="909"/>
    </row>
    <row r="85" spans="1:24" ht="13.5" thickBot="1">
      <c r="A85" s="907"/>
      <c r="B85" s="975">
        <f>SUM(B114+B143+B180+B228+B252)</f>
        <v>31000000</v>
      </c>
      <c r="C85" s="977"/>
      <c r="D85" s="975">
        <f>SUM(D114+D143+D180+D228+D252)</f>
        <v>2100000</v>
      </c>
      <c r="E85" s="977"/>
      <c r="F85" s="977">
        <f>SUM(F114+F143+F180+F228+F252)</f>
        <v>0</v>
      </c>
      <c r="G85" s="976"/>
      <c r="H85" s="975">
        <f>SUM(H114+H143+H180+H228+H252)</f>
        <v>13000000</v>
      </c>
      <c r="I85" s="977"/>
      <c r="J85" s="977">
        <f>SUM(J114+J143+J180+J228+J252)</f>
        <v>0</v>
      </c>
      <c r="K85" s="976"/>
      <c r="L85" s="975">
        <f>SUM(L114+L143+L180+L228+L252)</f>
        <v>11900000</v>
      </c>
      <c r="M85" s="977"/>
      <c r="N85" s="977">
        <f>SUM(N114+N143+N180+N228+N252)</f>
        <v>0</v>
      </c>
      <c r="O85" s="976"/>
      <c r="P85" s="975">
        <f>SUM(B85:O85)</f>
        <v>58000000</v>
      </c>
      <c r="Q85" s="977"/>
      <c r="R85" s="977"/>
      <c r="S85" s="976"/>
      <c r="T85" s="942">
        <f>B85/P85%</f>
        <v>53.448275862068968</v>
      </c>
      <c r="U85" s="943"/>
      <c r="V85" s="943"/>
      <c r="W85" s="943"/>
      <c r="X85" s="944"/>
    </row>
    <row r="86" spans="1:24" ht="13.5" thickBot="1">
      <c r="A86" s="906" t="s">
        <v>10</v>
      </c>
      <c r="B86" s="908" t="s">
        <v>175</v>
      </c>
      <c r="C86" s="918"/>
      <c r="D86" s="910"/>
      <c r="E86" s="911"/>
      <c r="F86" s="911"/>
      <c r="G86" s="911"/>
      <c r="H86" s="911"/>
      <c r="I86" s="911"/>
      <c r="J86" s="911"/>
      <c r="K86" s="911"/>
      <c r="L86" s="911"/>
      <c r="M86" s="911"/>
      <c r="N86" s="911"/>
      <c r="O86" s="911"/>
      <c r="P86" s="911"/>
      <c r="Q86" s="911"/>
      <c r="R86" s="911"/>
      <c r="S86" s="911"/>
      <c r="T86" s="911"/>
      <c r="U86" s="911"/>
      <c r="V86" s="911"/>
      <c r="W86" s="911"/>
      <c r="X86" s="912"/>
    </row>
    <row r="87" spans="1:24" ht="13.5" thickBot="1">
      <c r="A87" s="907"/>
      <c r="B87" s="916">
        <f>SUM(B116+B145+B182+B230+B254)</f>
        <v>0</v>
      </c>
      <c r="C87" s="994"/>
      <c r="D87" s="913"/>
      <c r="E87" s="914"/>
      <c r="F87" s="914"/>
      <c r="G87" s="914"/>
      <c r="H87" s="914"/>
      <c r="I87" s="914"/>
      <c r="J87" s="914"/>
      <c r="K87" s="914"/>
      <c r="L87" s="914"/>
      <c r="M87" s="914"/>
      <c r="N87" s="914"/>
      <c r="O87" s="914"/>
      <c r="P87" s="914"/>
      <c r="Q87" s="914"/>
      <c r="R87" s="914"/>
      <c r="S87" s="914"/>
      <c r="T87" s="914"/>
      <c r="U87" s="914"/>
      <c r="V87" s="914"/>
      <c r="W87" s="914"/>
      <c r="X87" s="915"/>
    </row>
    <row r="88" spans="1:24">
      <c r="A88" s="5"/>
      <c r="B88" s="5"/>
      <c r="C88" s="6"/>
      <c r="D88" s="5"/>
      <c r="E88" s="5"/>
      <c r="F88" s="5"/>
      <c r="G88" s="5"/>
      <c r="H88" s="5"/>
      <c r="I88" s="5"/>
      <c r="J88" s="5"/>
      <c r="K88" s="5"/>
      <c r="L88" s="5"/>
      <c r="M88" s="5"/>
      <c r="N88" s="5"/>
      <c r="O88" s="5"/>
      <c r="P88" s="5"/>
      <c r="Q88" s="5"/>
      <c r="R88" s="5"/>
      <c r="S88" s="5"/>
      <c r="T88" s="5"/>
      <c r="U88" s="5"/>
      <c r="V88" s="5"/>
      <c r="W88" s="5"/>
      <c r="X88" s="5"/>
    </row>
    <row r="89" spans="1:24" ht="13.5" thickBot="1">
      <c r="A89" s="21"/>
      <c r="B89" s="21"/>
      <c r="C89" s="22"/>
      <c r="D89" s="21"/>
      <c r="E89" s="21"/>
      <c r="F89" s="21"/>
      <c r="G89" s="21"/>
      <c r="H89" s="21"/>
      <c r="I89" s="21"/>
      <c r="J89" s="21"/>
      <c r="K89" s="21"/>
      <c r="L89" s="115"/>
      <c r="M89" s="21"/>
      <c r="N89" s="21"/>
      <c r="O89" s="21"/>
      <c r="P89" s="21"/>
      <c r="Q89" s="21"/>
      <c r="R89" s="21"/>
      <c r="S89" s="21"/>
      <c r="T89" s="21"/>
      <c r="U89" s="21"/>
      <c r="V89" s="21"/>
      <c r="W89" s="21"/>
      <c r="X89" s="21"/>
    </row>
    <row r="90" spans="1:24" ht="13.5" thickBot="1">
      <c r="A90" s="467" t="s">
        <v>11</v>
      </c>
      <c r="B90" s="471" t="s">
        <v>16</v>
      </c>
      <c r="C90" s="8"/>
      <c r="D90" s="927" t="s">
        <v>78</v>
      </c>
      <c r="E90" s="928"/>
      <c r="F90" s="928"/>
      <c r="G90" s="929"/>
      <c r="H90" s="927" t="s">
        <v>77</v>
      </c>
      <c r="I90" s="928"/>
      <c r="J90" s="928"/>
      <c r="K90" s="929"/>
      <c r="L90" s="927" t="s">
        <v>81</v>
      </c>
      <c r="M90" s="928"/>
      <c r="N90" s="928"/>
      <c r="O90" s="929"/>
      <c r="P90" s="927" t="s">
        <v>254</v>
      </c>
      <c r="Q90" s="928"/>
      <c r="R90" s="928"/>
      <c r="S90" s="929"/>
      <c r="T90" s="927" t="s">
        <v>76</v>
      </c>
      <c r="U90" s="928"/>
      <c r="V90" s="928"/>
      <c r="W90" s="929"/>
      <c r="X90" s="16" t="s">
        <v>12</v>
      </c>
    </row>
    <row r="91" spans="1:24" ht="13.5" thickBot="1">
      <c r="A91" s="868" t="s">
        <v>57</v>
      </c>
      <c r="B91" s="868" t="s">
        <v>58</v>
      </c>
      <c r="C91" s="9" t="s">
        <v>235</v>
      </c>
      <c r="D91" s="1014">
        <v>1</v>
      </c>
      <c r="E91" s="1015"/>
      <c r="F91" s="1015"/>
      <c r="G91" s="1016"/>
      <c r="H91" s="1014">
        <v>2.1</v>
      </c>
      <c r="I91" s="1015"/>
      <c r="J91" s="1015"/>
      <c r="K91" s="1016"/>
      <c r="L91" s="1094">
        <v>2.7</v>
      </c>
      <c r="M91" s="1095"/>
      <c r="N91" s="1095"/>
      <c r="O91" s="1096"/>
      <c r="P91" s="1094">
        <v>3.2</v>
      </c>
      <c r="Q91" s="1095"/>
      <c r="R91" s="1095"/>
      <c r="S91" s="1096"/>
      <c r="T91" s="1094">
        <v>3.7</v>
      </c>
      <c r="U91" s="1095"/>
      <c r="V91" s="1095"/>
      <c r="W91" s="1096"/>
      <c r="X91" s="879" t="s">
        <v>97</v>
      </c>
    </row>
    <row r="92" spans="1:24" ht="13.5" thickBot="1">
      <c r="A92" s="885"/>
      <c r="B92" s="885"/>
      <c r="C92" s="9" t="s">
        <v>233</v>
      </c>
      <c r="D92" s="966" t="s">
        <v>255</v>
      </c>
      <c r="E92" s="967"/>
      <c r="F92" s="967"/>
      <c r="G92" s="968"/>
      <c r="H92" s="1014">
        <v>1</v>
      </c>
      <c r="I92" s="1015"/>
      <c r="J92" s="1015"/>
      <c r="K92" s="1016"/>
      <c r="L92" s="1094">
        <v>1.1666666666666667</v>
      </c>
      <c r="M92" s="1095"/>
      <c r="N92" s="1095"/>
      <c r="O92" s="1096"/>
      <c r="P92" s="1094">
        <v>1.5</v>
      </c>
      <c r="Q92" s="1095"/>
      <c r="R92" s="1095"/>
      <c r="S92" s="1096"/>
      <c r="T92" s="1094">
        <v>2.5</v>
      </c>
      <c r="U92" s="1095"/>
      <c r="V92" s="1095"/>
      <c r="W92" s="1096"/>
      <c r="X92" s="880"/>
    </row>
    <row r="93" spans="1:24" ht="12.95" customHeight="1" thickBot="1">
      <c r="A93" s="885"/>
      <c r="B93" s="885"/>
      <c r="C93" s="9" t="s">
        <v>234</v>
      </c>
      <c r="D93" s="957"/>
      <c r="E93" s="958"/>
      <c r="F93" s="958"/>
      <c r="G93" s="959"/>
      <c r="H93" s="957"/>
      <c r="I93" s="958"/>
      <c r="J93" s="958"/>
      <c r="K93" s="959"/>
      <c r="L93" s="1057" t="s">
        <v>909</v>
      </c>
      <c r="M93" s="1058"/>
      <c r="N93" s="1058"/>
      <c r="O93" s="1059"/>
      <c r="P93" s="1094">
        <f>'State Agg LFx3 (2015)'!P93</f>
        <v>1.1499999999999999</v>
      </c>
      <c r="Q93" s="1095"/>
      <c r="R93" s="1095"/>
      <c r="S93" s="1096"/>
      <c r="T93" s="1094">
        <f>'State Agg LFx3 (2015)'!T93</f>
        <v>1.55</v>
      </c>
      <c r="U93" s="1095"/>
      <c r="V93" s="1095"/>
      <c r="W93" s="1096"/>
      <c r="X93" s="880"/>
    </row>
    <row r="94" spans="1:24" ht="13.5" thickBot="1">
      <c r="A94" s="885"/>
      <c r="B94" s="885"/>
      <c r="C94" s="102" t="s">
        <v>236</v>
      </c>
      <c r="D94" s="1008" t="s">
        <v>416</v>
      </c>
      <c r="E94" s="1009"/>
      <c r="F94" s="1009"/>
      <c r="G94" s="1010"/>
      <c r="H94" s="1020">
        <v>2.7</v>
      </c>
      <c r="I94" s="1021"/>
      <c r="J94" s="1021"/>
      <c r="K94" s="1022"/>
      <c r="L94" s="1020">
        <v>2.5</v>
      </c>
      <c r="M94" s="1021"/>
      <c r="N94" s="1021"/>
      <c r="O94" s="1022"/>
      <c r="P94" s="1020" t="s">
        <v>779</v>
      </c>
      <c r="Q94" s="1021"/>
      <c r="R94" s="1021"/>
      <c r="S94" s="1022"/>
      <c r="T94" s="1020">
        <f>'State Agg LFx3 (2015)'!T94</f>
        <v>0</v>
      </c>
      <c r="U94" s="1021"/>
      <c r="V94" s="1021"/>
      <c r="W94" s="1022"/>
      <c r="X94" s="880"/>
    </row>
    <row r="95" spans="1:24" ht="13.5" thickBot="1">
      <c r="A95" s="885"/>
      <c r="B95" s="885"/>
      <c r="C95" s="102" t="s">
        <v>283</v>
      </c>
      <c r="D95" s="1017"/>
      <c r="E95" s="1018"/>
      <c r="F95" s="1018"/>
      <c r="G95" s="1019"/>
      <c r="H95" s="1017"/>
      <c r="I95" s="1018"/>
      <c r="J95" s="1018"/>
      <c r="K95" s="1019"/>
      <c r="L95" s="1020">
        <v>1.2</v>
      </c>
      <c r="M95" s="1021"/>
      <c r="N95" s="1021"/>
      <c r="O95" s="1022"/>
      <c r="P95" s="1020" t="s">
        <v>780</v>
      </c>
      <c r="Q95" s="1021"/>
      <c r="R95" s="1021"/>
      <c r="S95" s="1022"/>
      <c r="T95" s="1020">
        <f>'State Agg LFx3 (2015)'!T95</f>
        <v>0</v>
      </c>
      <c r="U95" s="1021"/>
      <c r="V95" s="1021"/>
      <c r="W95" s="1022"/>
      <c r="X95" s="880"/>
    </row>
    <row r="96" spans="1:24" ht="13.5" thickBot="1">
      <c r="A96" s="885"/>
      <c r="B96" s="885"/>
      <c r="C96" s="102" t="s">
        <v>284</v>
      </c>
      <c r="D96" s="1017"/>
      <c r="E96" s="1018"/>
      <c r="F96" s="1018"/>
      <c r="G96" s="1019"/>
      <c r="H96" s="1017"/>
      <c r="I96" s="1018"/>
      <c r="J96" s="1018"/>
      <c r="K96" s="1019"/>
      <c r="L96" s="1017"/>
      <c r="M96" s="1018"/>
      <c r="N96" s="1018"/>
      <c r="O96" s="1019"/>
      <c r="P96" s="1017"/>
      <c r="Q96" s="1018"/>
      <c r="R96" s="1018"/>
      <c r="S96" s="1019"/>
      <c r="T96" s="1020">
        <f>'State Agg LFx3 (2015)'!T96</f>
        <v>0</v>
      </c>
      <c r="U96" s="1021"/>
      <c r="V96" s="1021"/>
      <c r="W96" s="1022"/>
      <c r="X96" s="880"/>
    </row>
    <row r="97" spans="1:24" ht="13.5" thickBot="1">
      <c r="A97" s="885"/>
      <c r="B97" s="885"/>
      <c r="C97" s="998" t="s">
        <v>413</v>
      </c>
      <c r="D97" s="927" t="s">
        <v>4</v>
      </c>
      <c r="E97" s="928"/>
      <c r="F97" s="928"/>
      <c r="G97" s="928"/>
      <c r="H97" s="928"/>
      <c r="I97" s="928"/>
      <c r="J97" s="928"/>
      <c r="K97" s="928"/>
      <c r="L97" s="928"/>
      <c r="M97" s="928"/>
      <c r="N97" s="928"/>
      <c r="O97" s="928"/>
      <c r="P97" s="928"/>
      <c r="Q97" s="928"/>
      <c r="R97" s="928"/>
      <c r="S97" s="928"/>
      <c r="T97" s="928"/>
      <c r="U97" s="928"/>
      <c r="V97" s="928"/>
      <c r="W97" s="929"/>
      <c r="X97" s="880"/>
    </row>
    <row r="98" spans="1:24" ht="24" customHeight="1" thickBot="1">
      <c r="A98" s="885"/>
      <c r="B98" s="869"/>
      <c r="C98" s="999"/>
      <c r="D98" s="930" t="s">
        <v>120</v>
      </c>
      <c r="E98" s="931"/>
      <c r="F98" s="931"/>
      <c r="G98" s="931"/>
      <c r="H98" s="931"/>
      <c r="I98" s="931"/>
      <c r="J98" s="931"/>
      <c r="K98" s="931"/>
      <c r="L98" s="931"/>
      <c r="M98" s="931"/>
      <c r="N98" s="931"/>
      <c r="O98" s="931"/>
      <c r="P98" s="931"/>
      <c r="Q98" s="931"/>
      <c r="R98" s="931"/>
      <c r="S98" s="931"/>
      <c r="T98" s="931"/>
      <c r="U98" s="931"/>
      <c r="V98" s="931"/>
      <c r="W98" s="932"/>
      <c r="X98" s="880"/>
    </row>
    <row r="99" spans="1:24" ht="13.5" thickBot="1">
      <c r="A99" s="885"/>
      <c r="B99" s="11" t="s">
        <v>17</v>
      </c>
      <c r="C99" s="12"/>
      <c r="D99" s="927" t="s">
        <v>78</v>
      </c>
      <c r="E99" s="928"/>
      <c r="F99" s="928"/>
      <c r="G99" s="929"/>
      <c r="H99" s="927" t="s">
        <v>77</v>
      </c>
      <c r="I99" s="928"/>
      <c r="J99" s="928"/>
      <c r="K99" s="929"/>
      <c r="L99" s="927" t="s">
        <v>81</v>
      </c>
      <c r="M99" s="928"/>
      <c r="N99" s="928"/>
      <c r="O99" s="929"/>
      <c r="P99" s="927" t="s">
        <v>254</v>
      </c>
      <c r="Q99" s="928"/>
      <c r="R99" s="928"/>
      <c r="S99" s="929"/>
      <c r="T99" s="927" t="s">
        <v>76</v>
      </c>
      <c r="U99" s="928"/>
      <c r="V99" s="928"/>
      <c r="W99" s="929"/>
      <c r="X99" s="880"/>
    </row>
    <row r="100" spans="1:24" ht="13.5" thickBot="1">
      <c r="A100" s="885"/>
      <c r="B100" s="868" t="s">
        <v>59</v>
      </c>
      <c r="C100" s="9" t="s">
        <v>235</v>
      </c>
      <c r="D100" s="1014">
        <v>1</v>
      </c>
      <c r="E100" s="1015"/>
      <c r="F100" s="1015"/>
      <c r="G100" s="1016"/>
      <c r="H100" s="1014">
        <v>2.1</v>
      </c>
      <c r="I100" s="1015"/>
      <c r="J100" s="1015"/>
      <c r="K100" s="1016"/>
      <c r="L100" s="1094">
        <v>2.7</v>
      </c>
      <c r="M100" s="1095"/>
      <c r="N100" s="1095"/>
      <c r="O100" s="1096"/>
      <c r="P100" s="1094">
        <v>3.3</v>
      </c>
      <c r="Q100" s="1095"/>
      <c r="R100" s="1095"/>
      <c r="S100" s="1096"/>
      <c r="T100" s="1094">
        <v>3.9</v>
      </c>
      <c r="U100" s="1095"/>
      <c r="V100" s="1095"/>
      <c r="W100" s="1096"/>
      <c r="X100" s="880"/>
    </row>
    <row r="101" spans="1:24" ht="13.5" thickBot="1">
      <c r="A101" s="885"/>
      <c r="B101" s="885"/>
      <c r="C101" s="9" t="s">
        <v>233</v>
      </c>
      <c r="D101" s="966" t="s">
        <v>255</v>
      </c>
      <c r="E101" s="967"/>
      <c r="F101" s="967"/>
      <c r="G101" s="968"/>
      <c r="H101" s="1014">
        <v>1</v>
      </c>
      <c r="I101" s="1015"/>
      <c r="J101" s="1015"/>
      <c r="K101" s="1016"/>
      <c r="L101" s="1094">
        <v>1</v>
      </c>
      <c r="M101" s="1095"/>
      <c r="N101" s="1095"/>
      <c r="O101" s="1096"/>
      <c r="P101" s="1094">
        <v>1.4</v>
      </c>
      <c r="Q101" s="1095"/>
      <c r="R101" s="1095"/>
      <c r="S101" s="1096"/>
      <c r="T101" s="1094">
        <v>2.4</v>
      </c>
      <c r="U101" s="1095"/>
      <c r="V101" s="1095"/>
      <c r="W101" s="1096"/>
      <c r="X101" s="880"/>
    </row>
    <row r="102" spans="1:24" ht="12.95" customHeight="1" thickBot="1">
      <c r="A102" s="885"/>
      <c r="B102" s="885"/>
      <c r="C102" s="9" t="s">
        <v>234</v>
      </c>
      <c r="D102" s="957"/>
      <c r="E102" s="958"/>
      <c r="F102" s="958"/>
      <c r="G102" s="959"/>
      <c r="H102" s="957"/>
      <c r="I102" s="958"/>
      <c r="J102" s="958"/>
      <c r="K102" s="959"/>
      <c r="L102" s="1057" t="s">
        <v>909</v>
      </c>
      <c r="M102" s="1058"/>
      <c r="N102" s="1058"/>
      <c r="O102" s="1059"/>
      <c r="P102" s="1094">
        <f>'State Agg LFx3 (2015)'!P102</f>
        <v>1.5</v>
      </c>
      <c r="Q102" s="1095"/>
      <c r="R102" s="1095"/>
      <c r="S102" s="1096"/>
      <c r="T102" s="1094">
        <f>'State Agg LFx3 (2015)'!T102</f>
        <v>1.9</v>
      </c>
      <c r="U102" s="1095"/>
      <c r="V102" s="1095"/>
      <c r="W102" s="1096"/>
      <c r="X102" s="880"/>
    </row>
    <row r="103" spans="1:24" ht="13.5" thickBot="1">
      <c r="A103" s="885"/>
      <c r="B103" s="885"/>
      <c r="C103" s="102" t="s">
        <v>236</v>
      </c>
      <c r="D103" s="1008" t="s">
        <v>416</v>
      </c>
      <c r="E103" s="1009"/>
      <c r="F103" s="1009"/>
      <c r="G103" s="1010"/>
      <c r="H103" s="1020">
        <v>2.6</v>
      </c>
      <c r="I103" s="1021"/>
      <c r="J103" s="1021"/>
      <c r="K103" s="1022"/>
      <c r="L103" s="1020">
        <v>2.8</v>
      </c>
      <c r="M103" s="1021"/>
      <c r="N103" s="1021"/>
      <c r="O103" s="1022"/>
      <c r="P103" s="1020" t="s">
        <v>781</v>
      </c>
      <c r="Q103" s="1021"/>
      <c r="R103" s="1021"/>
      <c r="S103" s="1022"/>
      <c r="T103" s="1020">
        <f>'State Agg LFx3 (2015)'!T103</f>
        <v>0</v>
      </c>
      <c r="U103" s="1021"/>
      <c r="V103" s="1021"/>
      <c r="W103" s="1022"/>
      <c r="X103" s="880"/>
    </row>
    <row r="104" spans="1:24" ht="13.5" thickBot="1">
      <c r="A104" s="885"/>
      <c r="B104" s="885"/>
      <c r="C104" s="102" t="s">
        <v>283</v>
      </c>
      <c r="D104" s="1017"/>
      <c r="E104" s="1018"/>
      <c r="F104" s="1018"/>
      <c r="G104" s="1019"/>
      <c r="H104" s="1017"/>
      <c r="I104" s="1018"/>
      <c r="J104" s="1018"/>
      <c r="K104" s="1019"/>
      <c r="L104" s="1020">
        <v>1</v>
      </c>
      <c r="M104" s="1021"/>
      <c r="N104" s="1021"/>
      <c r="O104" s="1022"/>
      <c r="P104" s="1020" t="s">
        <v>782</v>
      </c>
      <c r="Q104" s="1021"/>
      <c r="R104" s="1021"/>
      <c r="S104" s="1022"/>
      <c r="T104" s="1020">
        <f>'State Agg LFx3 (2015)'!T104</f>
        <v>0</v>
      </c>
      <c r="U104" s="1021"/>
      <c r="V104" s="1021"/>
      <c r="W104" s="1022"/>
      <c r="X104" s="880"/>
    </row>
    <row r="105" spans="1:24" ht="13.5" thickBot="1">
      <c r="A105" s="885"/>
      <c r="B105" s="885"/>
      <c r="C105" s="102" t="s">
        <v>284</v>
      </c>
      <c r="D105" s="1017"/>
      <c r="E105" s="1018"/>
      <c r="F105" s="1018"/>
      <c r="G105" s="1019"/>
      <c r="H105" s="1017"/>
      <c r="I105" s="1018"/>
      <c r="J105" s="1018"/>
      <c r="K105" s="1019"/>
      <c r="L105" s="1017"/>
      <c r="M105" s="1018"/>
      <c r="N105" s="1018"/>
      <c r="O105" s="1019"/>
      <c r="P105" s="1017"/>
      <c r="Q105" s="1018"/>
      <c r="R105" s="1018"/>
      <c r="S105" s="1019"/>
      <c r="T105" s="1020">
        <f>'State Agg LFx3 (2015)'!T105</f>
        <v>0</v>
      </c>
      <c r="U105" s="1021"/>
      <c r="V105" s="1021"/>
      <c r="W105" s="1022"/>
      <c r="X105" s="880"/>
    </row>
    <row r="106" spans="1:24" ht="13.5" thickBot="1">
      <c r="A106" s="885"/>
      <c r="B106" s="885"/>
      <c r="C106" s="998" t="s">
        <v>413</v>
      </c>
      <c r="D106" s="927" t="s">
        <v>4</v>
      </c>
      <c r="E106" s="928"/>
      <c r="F106" s="928"/>
      <c r="G106" s="928"/>
      <c r="H106" s="928"/>
      <c r="I106" s="928"/>
      <c r="J106" s="928"/>
      <c r="K106" s="928"/>
      <c r="L106" s="928"/>
      <c r="M106" s="928"/>
      <c r="N106" s="928"/>
      <c r="O106" s="928"/>
      <c r="P106" s="928"/>
      <c r="Q106" s="928"/>
      <c r="R106" s="928"/>
      <c r="S106" s="928"/>
      <c r="T106" s="928"/>
      <c r="U106" s="928"/>
      <c r="V106" s="928"/>
      <c r="W106" s="929"/>
      <c r="X106" s="880"/>
    </row>
    <row r="107" spans="1:24" ht="13.5" thickBot="1">
      <c r="A107" s="885"/>
      <c r="B107" s="869"/>
      <c r="C107" s="999"/>
      <c r="D107" s="930" t="s">
        <v>118</v>
      </c>
      <c r="E107" s="931"/>
      <c r="F107" s="931"/>
      <c r="G107" s="931"/>
      <c r="H107" s="931"/>
      <c r="I107" s="931"/>
      <c r="J107" s="931"/>
      <c r="K107" s="931"/>
      <c r="L107" s="931"/>
      <c r="M107" s="931"/>
      <c r="N107" s="931"/>
      <c r="O107" s="931"/>
      <c r="P107" s="931"/>
      <c r="Q107" s="931"/>
      <c r="R107" s="931"/>
      <c r="S107" s="931"/>
      <c r="T107" s="931"/>
      <c r="U107" s="931"/>
      <c r="V107" s="931"/>
      <c r="W107" s="932"/>
      <c r="X107" s="880"/>
    </row>
    <row r="108" spans="1:24" ht="13.5" thickBot="1">
      <c r="A108" s="885"/>
      <c r="B108" s="11" t="s">
        <v>18</v>
      </c>
      <c r="C108" s="12"/>
      <c r="D108" s="927" t="s">
        <v>78</v>
      </c>
      <c r="E108" s="928"/>
      <c r="F108" s="928"/>
      <c r="G108" s="929"/>
      <c r="H108" s="927" t="s">
        <v>77</v>
      </c>
      <c r="I108" s="928"/>
      <c r="J108" s="928"/>
      <c r="K108" s="929"/>
      <c r="L108" s="927" t="s">
        <v>81</v>
      </c>
      <c r="M108" s="928"/>
      <c r="N108" s="928"/>
      <c r="O108" s="929"/>
      <c r="P108" s="927" t="s">
        <v>254</v>
      </c>
      <c r="Q108" s="928"/>
      <c r="R108" s="928"/>
      <c r="S108" s="929"/>
      <c r="T108" s="927" t="s">
        <v>76</v>
      </c>
      <c r="U108" s="928"/>
      <c r="V108" s="928"/>
      <c r="W108" s="929"/>
      <c r="X108" s="880"/>
    </row>
    <row r="109" spans="1:24" ht="13.5" thickBot="1">
      <c r="A109" s="885"/>
      <c r="B109" s="868" t="s">
        <v>60</v>
      </c>
      <c r="C109" s="9" t="s">
        <v>247</v>
      </c>
      <c r="D109" s="1000">
        <v>0</v>
      </c>
      <c r="E109" s="1001"/>
      <c r="F109" s="1001"/>
      <c r="G109" s="1002"/>
      <c r="H109" s="1000">
        <v>0</v>
      </c>
      <c r="I109" s="1001"/>
      <c r="J109" s="1001"/>
      <c r="K109" s="1002"/>
      <c r="L109" s="1000">
        <v>5</v>
      </c>
      <c r="M109" s="1001"/>
      <c r="N109" s="1001"/>
      <c r="O109" s="1002"/>
      <c r="P109" s="1000">
        <v>15</v>
      </c>
      <c r="Q109" s="1001"/>
      <c r="R109" s="1001"/>
      <c r="S109" s="1002"/>
      <c r="T109" s="1000">
        <v>30</v>
      </c>
      <c r="U109" s="1001"/>
      <c r="V109" s="1001"/>
      <c r="W109" s="1002"/>
      <c r="X109" s="880"/>
    </row>
    <row r="110" spans="1:24" ht="13.5" thickBot="1">
      <c r="A110" s="869"/>
      <c r="B110" s="885"/>
      <c r="C110" s="102" t="s">
        <v>246</v>
      </c>
      <c r="D110" s="1003" t="s">
        <v>172</v>
      </c>
      <c r="E110" s="1004"/>
      <c r="F110" s="1004"/>
      <c r="G110" s="1005"/>
      <c r="H110" s="1003" t="s">
        <v>417</v>
      </c>
      <c r="I110" s="1004"/>
      <c r="J110" s="1004"/>
      <c r="K110" s="1005"/>
      <c r="L110" s="995">
        <v>11</v>
      </c>
      <c r="M110" s="996"/>
      <c r="N110" s="996"/>
      <c r="O110" s="997"/>
      <c r="P110" s="995" t="s">
        <v>783</v>
      </c>
      <c r="Q110" s="996"/>
      <c r="R110" s="996"/>
      <c r="S110" s="997"/>
      <c r="T110" s="995">
        <f>'State Agg LFx3 (2015)'!T110</f>
        <v>0</v>
      </c>
      <c r="U110" s="996"/>
      <c r="V110" s="996"/>
      <c r="W110" s="997"/>
      <c r="X110" s="881"/>
    </row>
    <row r="111" spans="1:24" ht="13.5" thickBot="1">
      <c r="A111" s="468" t="s">
        <v>13</v>
      </c>
      <c r="B111" s="885"/>
      <c r="C111" s="998" t="s">
        <v>413</v>
      </c>
      <c r="D111" s="927" t="s">
        <v>4</v>
      </c>
      <c r="E111" s="928"/>
      <c r="F111" s="928"/>
      <c r="G111" s="928"/>
      <c r="H111" s="928"/>
      <c r="I111" s="928"/>
      <c r="J111" s="928"/>
      <c r="K111" s="928"/>
      <c r="L111" s="928"/>
      <c r="M111" s="928"/>
      <c r="N111" s="928"/>
      <c r="O111" s="928"/>
      <c r="P111" s="928"/>
      <c r="Q111" s="928"/>
      <c r="R111" s="928"/>
      <c r="S111" s="928"/>
      <c r="T111" s="928"/>
      <c r="U111" s="928"/>
      <c r="V111" s="928"/>
      <c r="W111" s="929"/>
      <c r="X111" s="24" t="s">
        <v>14</v>
      </c>
    </row>
    <row r="112" spans="1:24" ht="13.5" thickBot="1">
      <c r="A112" s="25" t="s">
        <v>75</v>
      </c>
      <c r="B112" s="869"/>
      <c r="C112" s="999"/>
      <c r="D112" s="930" t="s">
        <v>119</v>
      </c>
      <c r="E112" s="931"/>
      <c r="F112" s="931"/>
      <c r="G112" s="931"/>
      <c r="H112" s="931"/>
      <c r="I112" s="931"/>
      <c r="J112" s="931"/>
      <c r="K112" s="931"/>
      <c r="L112" s="931"/>
      <c r="M112" s="931"/>
      <c r="N112" s="931"/>
      <c r="O112" s="931"/>
      <c r="P112" s="931"/>
      <c r="Q112" s="931"/>
      <c r="R112" s="931"/>
      <c r="S112" s="931"/>
      <c r="T112" s="931"/>
      <c r="U112" s="931"/>
      <c r="V112" s="931"/>
      <c r="W112" s="932"/>
      <c r="X112" s="18" t="s">
        <v>92</v>
      </c>
    </row>
    <row r="113" spans="1:24" ht="13.5" thickBot="1">
      <c r="A113" s="906" t="s">
        <v>7</v>
      </c>
      <c r="B113" s="908" t="s">
        <v>173</v>
      </c>
      <c r="C113" s="918"/>
      <c r="D113" s="908" t="s">
        <v>8</v>
      </c>
      <c r="E113" s="918"/>
      <c r="F113" s="918"/>
      <c r="G113" s="909"/>
      <c r="H113" s="908" t="s">
        <v>88</v>
      </c>
      <c r="I113" s="918"/>
      <c r="J113" s="918"/>
      <c r="K113" s="909"/>
      <c r="L113" s="908" t="s">
        <v>89</v>
      </c>
      <c r="M113" s="918"/>
      <c r="N113" s="918"/>
      <c r="O113" s="909"/>
      <c r="P113" s="908" t="s">
        <v>9</v>
      </c>
      <c r="Q113" s="918"/>
      <c r="R113" s="918"/>
      <c r="S113" s="909"/>
      <c r="T113" s="908" t="s">
        <v>174</v>
      </c>
      <c r="U113" s="918"/>
      <c r="V113" s="918"/>
      <c r="W113" s="918"/>
      <c r="X113" s="909"/>
    </row>
    <row r="114" spans="1:24" ht="13.5" thickBot="1">
      <c r="A114" s="907"/>
      <c r="B114" s="919">
        <v>6200000</v>
      </c>
      <c r="C114" s="921"/>
      <c r="D114" s="919">
        <v>900000</v>
      </c>
      <c r="E114" s="921"/>
      <c r="F114" s="921"/>
      <c r="G114" s="920"/>
      <c r="H114" s="919">
        <v>1800000</v>
      </c>
      <c r="I114" s="921"/>
      <c r="J114" s="921"/>
      <c r="K114" s="920"/>
      <c r="L114" s="919">
        <v>3300000</v>
      </c>
      <c r="M114" s="921"/>
      <c r="N114" s="921"/>
      <c r="O114" s="920"/>
      <c r="P114" s="919">
        <f>SUM(B114:O114)</f>
        <v>12200000</v>
      </c>
      <c r="Q114" s="921"/>
      <c r="R114" s="921"/>
      <c r="S114" s="920"/>
      <c r="T114" s="942">
        <f>B114/P114%</f>
        <v>50.819672131147541</v>
      </c>
      <c r="U114" s="943"/>
      <c r="V114" s="943"/>
      <c r="W114" s="943"/>
      <c r="X114" s="944"/>
    </row>
    <row r="115" spans="1:24" ht="13.5" thickBot="1">
      <c r="A115" s="906" t="s">
        <v>10</v>
      </c>
      <c r="B115" s="908" t="s">
        <v>175</v>
      </c>
      <c r="C115" s="918"/>
      <c r="D115" s="910"/>
      <c r="E115" s="911"/>
      <c r="F115" s="911"/>
      <c r="G115" s="911"/>
      <c r="H115" s="911"/>
      <c r="I115" s="911"/>
      <c r="J115" s="911"/>
      <c r="K115" s="911"/>
      <c r="L115" s="911"/>
      <c r="M115" s="911"/>
      <c r="N115" s="911"/>
      <c r="O115" s="911"/>
      <c r="P115" s="911"/>
      <c r="Q115" s="911"/>
      <c r="R115" s="911"/>
      <c r="S115" s="911"/>
      <c r="T115" s="911"/>
      <c r="U115" s="911"/>
      <c r="V115" s="911"/>
      <c r="W115" s="911"/>
      <c r="X115" s="912"/>
    </row>
    <row r="116" spans="1:24" ht="13.5" thickBot="1">
      <c r="A116" s="907"/>
      <c r="B116" s="916"/>
      <c r="C116" s="994"/>
      <c r="D116" s="913"/>
      <c r="E116" s="914"/>
      <c r="F116" s="914"/>
      <c r="G116" s="914"/>
      <c r="H116" s="914"/>
      <c r="I116" s="914"/>
      <c r="J116" s="914"/>
      <c r="K116" s="914"/>
      <c r="L116" s="914"/>
      <c r="M116" s="914"/>
      <c r="N116" s="914"/>
      <c r="O116" s="914"/>
      <c r="P116" s="914"/>
      <c r="Q116" s="914"/>
      <c r="R116" s="914"/>
      <c r="S116" s="914"/>
      <c r="T116" s="914"/>
      <c r="U116" s="914"/>
      <c r="V116" s="914"/>
      <c r="W116" s="914"/>
      <c r="X116" s="915"/>
    </row>
    <row r="117" spans="1:24">
      <c r="A117" s="5"/>
      <c r="B117" s="5"/>
      <c r="C117" s="6"/>
      <c r="D117" s="5"/>
      <c r="E117" s="5"/>
      <c r="F117" s="5"/>
      <c r="G117" s="5"/>
      <c r="H117" s="5"/>
      <c r="I117" s="5"/>
      <c r="J117" s="5"/>
      <c r="K117" s="5"/>
      <c r="L117" s="5"/>
      <c r="M117" s="5"/>
      <c r="N117" s="5"/>
      <c r="O117" s="5"/>
      <c r="P117" s="5"/>
      <c r="Q117" s="5"/>
      <c r="R117" s="5"/>
      <c r="S117" s="5"/>
      <c r="T117" s="5"/>
      <c r="U117" s="5"/>
      <c r="V117" s="5"/>
      <c r="W117" s="5"/>
      <c r="X117" s="5"/>
    </row>
    <row r="118" spans="1:24" ht="13.5" thickBot="1">
      <c r="A118" s="5"/>
      <c r="B118" s="5"/>
      <c r="C118" s="6"/>
      <c r="D118" s="5"/>
      <c r="E118" s="5"/>
      <c r="F118" s="5"/>
      <c r="G118" s="5"/>
      <c r="H118" s="5"/>
      <c r="I118" s="5"/>
      <c r="J118" s="5"/>
      <c r="K118" s="5"/>
      <c r="L118" s="115"/>
      <c r="M118" s="5"/>
      <c r="N118" s="5"/>
      <c r="O118" s="5"/>
      <c r="P118" s="5"/>
      <c r="Q118" s="5"/>
      <c r="R118" s="5"/>
      <c r="S118" s="5"/>
      <c r="T118" s="5"/>
      <c r="U118" s="5"/>
      <c r="V118" s="5"/>
      <c r="W118" s="5"/>
      <c r="X118" s="5"/>
    </row>
    <row r="119" spans="1:24" ht="13.5" thickBot="1">
      <c r="A119" s="467" t="s">
        <v>15</v>
      </c>
      <c r="B119" s="471" t="s">
        <v>19</v>
      </c>
      <c r="C119" s="8"/>
      <c r="D119" s="927" t="s">
        <v>78</v>
      </c>
      <c r="E119" s="928"/>
      <c r="F119" s="928"/>
      <c r="G119" s="929"/>
      <c r="H119" s="927" t="s">
        <v>77</v>
      </c>
      <c r="I119" s="928"/>
      <c r="J119" s="928"/>
      <c r="K119" s="929"/>
      <c r="L119" s="927" t="s">
        <v>81</v>
      </c>
      <c r="M119" s="928"/>
      <c r="N119" s="928"/>
      <c r="O119" s="929"/>
      <c r="P119" s="927" t="s">
        <v>254</v>
      </c>
      <c r="Q119" s="928"/>
      <c r="R119" s="928"/>
      <c r="S119" s="929"/>
      <c r="T119" s="927" t="s">
        <v>76</v>
      </c>
      <c r="U119" s="928"/>
      <c r="V119" s="928"/>
      <c r="W119" s="929"/>
      <c r="X119" s="16" t="s">
        <v>6</v>
      </c>
    </row>
    <row r="120" spans="1:24" ht="12.95" customHeight="1" thickBot="1">
      <c r="A120" s="868" t="s">
        <v>61</v>
      </c>
      <c r="B120" s="868" t="s">
        <v>62</v>
      </c>
      <c r="C120" s="9" t="s">
        <v>235</v>
      </c>
      <c r="D120" s="1014">
        <v>1</v>
      </c>
      <c r="E120" s="1015"/>
      <c r="F120" s="1015"/>
      <c r="G120" s="1016"/>
      <c r="H120" s="1014">
        <v>1.8</v>
      </c>
      <c r="I120" s="1015"/>
      <c r="J120" s="1015"/>
      <c r="K120" s="1016"/>
      <c r="L120" s="1094">
        <v>2.4</v>
      </c>
      <c r="M120" s="1095"/>
      <c r="N120" s="1095"/>
      <c r="O120" s="1096"/>
      <c r="P120" s="1094">
        <v>3.1</v>
      </c>
      <c r="Q120" s="1095"/>
      <c r="R120" s="1095"/>
      <c r="S120" s="1096"/>
      <c r="T120" s="1094">
        <v>3.7</v>
      </c>
      <c r="U120" s="1095"/>
      <c r="V120" s="1095"/>
      <c r="W120" s="1096"/>
      <c r="X120" s="879" t="s">
        <v>94</v>
      </c>
    </row>
    <row r="121" spans="1:24" ht="12.95" customHeight="1" thickBot="1">
      <c r="A121" s="885"/>
      <c r="B121" s="885"/>
      <c r="C121" s="9" t="s">
        <v>233</v>
      </c>
      <c r="D121" s="966" t="s">
        <v>255</v>
      </c>
      <c r="E121" s="967"/>
      <c r="F121" s="967"/>
      <c r="G121" s="968"/>
      <c r="H121" s="1014">
        <v>1</v>
      </c>
      <c r="I121" s="1015"/>
      <c r="J121" s="1015"/>
      <c r="K121" s="1016"/>
      <c r="L121" s="1094">
        <v>1</v>
      </c>
      <c r="M121" s="1095"/>
      <c r="N121" s="1095"/>
      <c r="O121" s="1096"/>
      <c r="P121" s="1094">
        <v>1.4</v>
      </c>
      <c r="Q121" s="1095"/>
      <c r="R121" s="1095"/>
      <c r="S121" s="1096"/>
      <c r="T121" s="1094">
        <v>2.6</v>
      </c>
      <c r="U121" s="1095"/>
      <c r="V121" s="1095"/>
      <c r="W121" s="1096"/>
      <c r="X121" s="880"/>
    </row>
    <row r="122" spans="1:24" ht="12.95" customHeight="1" thickBot="1">
      <c r="A122" s="885"/>
      <c r="B122" s="885"/>
      <c r="C122" s="9" t="s">
        <v>234</v>
      </c>
      <c r="D122" s="957"/>
      <c r="E122" s="958"/>
      <c r="F122" s="958"/>
      <c r="G122" s="959"/>
      <c r="H122" s="957"/>
      <c r="I122" s="958"/>
      <c r="J122" s="958"/>
      <c r="K122" s="959"/>
      <c r="L122" s="1057" t="s">
        <v>909</v>
      </c>
      <c r="M122" s="1058"/>
      <c r="N122" s="1058"/>
      <c r="O122" s="1059"/>
      <c r="P122" s="1094">
        <f>'State Agg LFx3 (2015)'!P122</f>
        <v>1.05</v>
      </c>
      <c r="Q122" s="1095"/>
      <c r="R122" s="1095"/>
      <c r="S122" s="1096"/>
      <c r="T122" s="1094">
        <f>'State Agg LFx3 (2015)'!T122</f>
        <v>1.4500000000000002</v>
      </c>
      <c r="U122" s="1095"/>
      <c r="V122" s="1095"/>
      <c r="W122" s="1096"/>
      <c r="X122" s="880"/>
    </row>
    <row r="123" spans="1:24" ht="13.5" thickBot="1">
      <c r="A123" s="885"/>
      <c r="B123" s="885"/>
      <c r="C123" s="102" t="s">
        <v>236</v>
      </c>
      <c r="D123" s="1008" t="s">
        <v>416</v>
      </c>
      <c r="E123" s="1009"/>
      <c r="F123" s="1009"/>
      <c r="G123" s="1010"/>
      <c r="H123" s="1020">
        <v>2</v>
      </c>
      <c r="I123" s="1021"/>
      <c r="J123" s="1021"/>
      <c r="K123" s="1022"/>
      <c r="L123" s="1020">
        <v>2.5</v>
      </c>
      <c r="M123" s="1021"/>
      <c r="N123" s="1021"/>
      <c r="O123" s="1022"/>
      <c r="P123" s="1020" t="s">
        <v>784</v>
      </c>
      <c r="Q123" s="1021"/>
      <c r="R123" s="1021"/>
      <c r="S123" s="1022"/>
      <c r="T123" s="1020">
        <f>'State Agg LFx3 (2015)'!T123</f>
        <v>0</v>
      </c>
      <c r="U123" s="1021"/>
      <c r="V123" s="1021"/>
      <c r="W123" s="1022"/>
      <c r="X123" s="880"/>
    </row>
    <row r="124" spans="1:24" ht="13.5" thickBot="1">
      <c r="A124" s="885"/>
      <c r="B124" s="885"/>
      <c r="C124" s="102" t="s">
        <v>283</v>
      </c>
      <c r="D124" s="1017"/>
      <c r="E124" s="1018"/>
      <c r="F124" s="1018"/>
      <c r="G124" s="1019"/>
      <c r="H124" s="1017"/>
      <c r="I124" s="1018"/>
      <c r="J124" s="1018"/>
      <c r="K124" s="1019"/>
      <c r="L124" s="1020">
        <v>1</v>
      </c>
      <c r="M124" s="1021"/>
      <c r="N124" s="1021"/>
      <c r="O124" s="1022"/>
      <c r="P124" s="1020">
        <v>1.7</v>
      </c>
      <c r="Q124" s="1021"/>
      <c r="R124" s="1021"/>
      <c r="S124" s="1022"/>
      <c r="T124" s="1020">
        <f>'State Agg LFx3 (2015)'!T124</f>
        <v>0</v>
      </c>
      <c r="U124" s="1021"/>
      <c r="V124" s="1021"/>
      <c r="W124" s="1022"/>
      <c r="X124" s="880"/>
    </row>
    <row r="125" spans="1:24" ht="13.5" thickBot="1">
      <c r="A125" s="885"/>
      <c r="B125" s="885"/>
      <c r="C125" s="102" t="s">
        <v>284</v>
      </c>
      <c r="D125" s="1017"/>
      <c r="E125" s="1018"/>
      <c r="F125" s="1018"/>
      <c r="G125" s="1019"/>
      <c r="H125" s="1017"/>
      <c r="I125" s="1018"/>
      <c r="J125" s="1018"/>
      <c r="K125" s="1019"/>
      <c r="L125" s="1017"/>
      <c r="M125" s="1018"/>
      <c r="N125" s="1018"/>
      <c r="O125" s="1019"/>
      <c r="P125" s="1017"/>
      <c r="Q125" s="1018"/>
      <c r="R125" s="1018"/>
      <c r="S125" s="1019"/>
      <c r="T125" s="1020">
        <f>'State Agg LFx3 (2015)'!T125</f>
        <v>0</v>
      </c>
      <c r="U125" s="1021"/>
      <c r="V125" s="1021"/>
      <c r="W125" s="1022"/>
      <c r="X125" s="880"/>
    </row>
    <row r="126" spans="1:24" ht="13.5" thickBot="1">
      <c r="A126" s="885"/>
      <c r="B126" s="885"/>
      <c r="C126" s="998" t="s">
        <v>413</v>
      </c>
      <c r="D126" s="927" t="s">
        <v>4</v>
      </c>
      <c r="E126" s="928"/>
      <c r="F126" s="928"/>
      <c r="G126" s="928"/>
      <c r="H126" s="928"/>
      <c r="I126" s="928"/>
      <c r="J126" s="928"/>
      <c r="K126" s="928"/>
      <c r="L126" s="928"/>
      <c r="M126" s="928"/>
      <c r="N126" s="928"/>
      <c r="O126" s="928"/>
      <c r="P126" s="928"/>
      <c r="Q126" s="928"/>
      <c r="R126" s="928"/>
      <c r="S126" s="928"/>
      <c r="T126" s="928"/>
      <c r="U126" s="928"/>
      <c r="V126" s="928"/>
      <c r="W126" s="929"/>
      <c r="X126" s="880"/>
    </row>
    <row r="127" spans="1:24" ht="24" customHeight="1" thickBot="1">
      <c r="A127" s="885"/>
      <c r="B127" s="869"/>
      <c r="C127" s="999"/>
      <c r="D127" s="930" t="s">
        <v>120</v>
      </c>
      <c r="E127" s="931"/>
      <c r="F127" s="931"/>
      <c r="G127" s="931"/>
      <c r="H127" s="931"/>
      <c r="I127" s="931"/>
      <c r="J127" s="931"/>
      <c r="K127" s="931"/>
      <c r="L127" s="931"/>
      <c r="M127" s="931"/>
      <c r="N127" s="931"/>
      <c r="O127" s="931"/>
      <c r="P127" s="931"/>
      <c r="Q127" s="931"/>
      <c r="R127" s="931"/>
      <c r="S127" s="931"/>
      <c r="T127" s="931"/>
      <c r="U127" s="931"/>
      <c r="V127" s="931"/>
      <c r="W127" s="932"/>
      <c r="X127" s="880"/>
    </row>
    <row r="128" spans="1:24" ht="13.5" thickBot="1">
      <c r="A128" s="885"/>
      <c r="B128" s="11" t="s">
        <v>20</v>
      </c>
      <c r="C128" s="12"/>
      <c r="D128" s="927" t="s">
        <v>78</v>
      </c>
      <c r="E128" s="928"/>
      <c r="F128" s="928"/>
      <c r="G128" s="929"/>
      <c r="H128" s="927" t="s">
        <v>77</v>
      </c>
      <c r="I128" s="928"/>
      <c r="J128" s="928"/>
      <c r="K128" s="929"/>
      <c r="L128" s="927" t="s">
        <v>81</v>
      </c>
      <c r="M128" s="928"/>
      <c r="N128" s="928"/>
      <c r="O128" s="929"/>
      <c r="P128" s="927" t="s">
        <v>254</v>
      </c>
      <c r="Q128" s="928"/>
      <c r="R128" s="928"/>
      <c r="S128" s="929"/>
      <c r="T128" s="927" t="s">
        <v>76</v>
      </c>
      <c r="U128" s="928"/>
      <c r="V128" s="928"/>
      <c r="W128" s="929"/>
      <c r="X128" s="880"/>
    </row>
    <row r="129" spans="1:24" ht="12.95" customHeight="1" thickBot="1">
      <c r="A129" s="885"/>
      <c r="B129" s="868" t="s">
        <v>59</v>
      </c>
      <c r="C129" s="9" t="s">
        <v>235</v>
      </c>
      <c r="D129" s="1014">
        <v>1</v>
      </c>
      <c r="E129" s="1015"/>
      <c r="F129" s="1015"/>
      <c r="G129" s="1016"/>
      <c r="H129" s="1014">
        <v>1.8</v>
      </c>
      <c r="I129" s="1015"/>
      <c r="J129" s="1015"/>
      <c r="K129" s="1016"/>
      <c r="L129" s="1094">
        <v>2.5</v>
      </c>
      <c r="M129" s="1095"/>
      <c r="N129" s="1095"/>
      <c r="O129" s="1096"/>
      <c r="P129" s="1094">
        <v>3.3</v>
      </c>
      <c r="Q129" s="1095"/>
      <c r="R129" s="1095"/>
      <c r="S129" s="1096"/>
      <c r="T129" s="1094">
        <v>4</v>
      </c>
      <c r="U129" s="1095"/>
      <c r="V129" s="1095"/>
      <c r="W129" s="1096"/>
      <c r="X129" s="880"/>
    </row>
    <row r="130" spans="1:24" ht="12.95" customHeight="1" thickBot="1">
      <c r="A130" s="885"/>
      <c r="B130" s="885"/>
      <c r="C130" s="9" t="s">
        <v>233</v>
      </c>
      <c r="D130" s="966" t="s">
        <v>255</v>
      </c>
      <c r="E130" s="967"/>
      <c r="F130" s="967"/>
      <c r="G130" s="968"/>
      <c r="H130" s="1014">
        <v>1</v>
      </c>
      <c r="I130" s="1015"/>
      <c r="J130" s="1015"/>
      <c r="K130" s="1016"/>
      <c r="L130" s="1094">
        <v>1</v>
      </c>
      <c r="M130" s="1095"/>
      <c r="N130" s="1095"/>
      <c r="O130" s="1096"/>
      <c r="P130" s="1094">
        <v>1.3</v>
      </c>
      <c r="Q130" s="1095"/>
      <c r="R130" s="1095"/>
      <c r="S130" s="1096"/>
      <c r="T130" s="1094">
        <v>2.4</v>
      </c>
      <c r="U130" s="1095"/>
      <c r="V130" s="1095"/>
      <c r="W130" s="1096"/>
      <c r="X130" s="880"/>
    </row>
    <row r="131" spans="1:24" ht="12.95" customHeight="1" thickBot="1">
      <c r="A131" s="885"/>
      <c r="B131" s="885"/>
      <c r="C131" s="9" t="s">
        <v>234</v>
      </c>
      <c r="D131" s="957"/>
      <c r="E131" s="958"/>
      <c r="F131" s="958"/>
      <c r="G131" s="959"/>
      <c r="H131" s="957"/>
      <c r="I131" s="958"/>
      <c r="J131" s="958"/>
      <c r="K131" s="959"/>
      <c r="L131" s="1057" t="s">
        <v>909</v>
      </c>
      <c r="M131" s="1058"/>
      <c r="N131" s="1058"/>
      <c r="O131" s="1059"/>
      <c r="P131" s="1094">
        <f>'State Agg LFx3 (2015)'!P131</f>
        <v>1</v>
      </c>
      <c r="Q131" s="1095"/>
      <c r="R131" s="1095"/>
      <c r="S131" s="1096"/>
      <c r="T131" s="1094">
        <f>'State Agg LFx3 (2015)'!T131</f>
        <v>1.4</v>
      </c>
      <c r="U131" s="1095"/>
      <c r="V131" s="1095"/>
      <c r="W131" s="1096"/>
      <c r="X131" s="880"/>
    </row>
    <row r="132" spans="1:24" ht="13.5" thickBot="1">
      <c r="A132" s="885"/>
      <c r="B132" s="885"/>
      <c r="C132" s="102" t="s">
        <v>236</v>
      </c>
      <c r="D132" s="1008" t="s">
        <v>416</v>
      </c>
      <c r="E132" s="1009"/>
      <c r="F132" s="1009"/>
      <c r="G132" s="1010"/>
      <c r="H132" s="1020">
        <v>1.8</v>
      </c>
      <c r="I132" s="1021"/>
      <c r="J132" s="1021"/>
      <c r="K132" s="1022"/>
      <c r="L132" s="1020">
        <v>2.9</v>
      </c>
      <c r="M132" s="1021"/>
      <c r="N132" s="1021"/>
      <c r="O132" s="1022"/>
      <c r="P132" s="1020">
        <v>3.4</v>
      </c>
      <c r="Q132" s="1021"/>
      <c r="R132" s="1021"/>
      <c r="S132" s="1022"/>
      <c r="T132" s="1020">
        <f>'State Agg LFx3 (2015)'!T132</f>
        <v>0</v>
      </c>
      <c r="U132" s="1021"/>
      <c r="V132" s="1021"/>
      <c r="W132" s="1022"/>
      <c r="X132" s="880"/>
    </row>
    <row r="133" spans="1:24" ht="13.5" thickBot="1">
      <c r="A133" s="885"/>
      <c r="B133" s="885"/>
      <c r="C133" s="102" t="s">
        <v>283</v>
      </c>
      <c r="D133" s="1017"/>
      <c r="E133" s="1018"/>
      <c r="F133" s="1018"/>
      <c r="G133" s="1019"/>
      <c r="H133" s="1017"/>
      <c r="I133" s="1018"/>
      <c r="J133" s="1018"/>
      <c r="K133" s="1019"/>
      <c r="L133" s="1020">
        <v>1</v>
      </c>
      <c r="M133" s="1021"/>
      <c r="N133" s="1021"/>
      <c r="O133" s="1022"/>
      <c r="P133" s="1020" t="s">
        <v>785</v>
      </c>
      <c r="Q133" s="1021"/>
      <c r="R133" s="1021"/>
      <c r="S133" s="1022"/>
      <c r="T133" s="1020">
        <f>'State Agg LFx3 (2015)'!T133</f>
        <v>0</v>
      </c>
      <c r="U133" s="1021"/>
      <c r="V133" s="1021"/>
      <c r="W133" s="1022"/>
      <c r="X133" s="880"/>
    </row>
    <row r="134" spans="1:24" ht="13.5" thickBot="1">
      <c r="A134" s="885"/>
      <c r="B134" s="885"/>
      <c r="C134" s="102" t="s">
        <v>284</v>
      </c>
      <c r="D134" s="1017"/>
      <c r="E134" s="1018"/>
      <c r="F134" s="1018"/>
      <c r="G134" s="1019"/>
      <c r="H134" s="1017"/>
      <c r="I134" s="1018"/>
      <c r="J134" s="1018"/>
      <c r="K134" s="1019"/>
      <c r="L134" s="1017"/>
      <c r="M134" s="1018"/>
      <c r="N134" s="1018"/>
      <c r="O134" s="1019"/>
      <c r="P134" s="1017"/>
      <c r="Q134" s="1018"/>
      <c r="R134" s="1018"/>
      <c r="S134" s="1019"/>
      <c r="T134" s="1020">
        <f>'State Agg LFx3 (2015)'!T134</f>
        <v>0</v>
      </c>
      <c r="U134" s="1021"/>
      <c r="V134" s="1021"/>
      <c r="W134" s="1022"/>
      <c r="X134" s="880"/>
    </row>
    <row r="135" spans="1:24" ht="13.5" thickBot="1">
      <c r="A135" s="885"/>
      <c r="B135" s="885"/>
      <c r="C135" s="998" t="s">
        <v>413</v>
      </c>
      <c r="D135" s="927" t="s">
        <v>4</v>
      </c>
      <c r="E135" s="928"/>
      <c r="F135" s="928"/>
      <c r="G135" s="928"/>
      <c r="H135" s="928"/>
      <c r="I135" s="928"/>
      <c r="J135" s="928"/>
      <c r="K135" s="928"/>
      <c r="L135" s="928"/>
      <c r="M135" s="928"/>
      <c r="N135" s="928"/>
      <c r="O135" s="928"/>
      <c r="P135" s="928"/>
      <c r="Q135" s="928"/>
      <c r="R135" s="928"/>
      <c r="S135" s="928"/>
      <c r="T135" s="928"/>
      <c r="U135" s="928"/>
      <c r="V135" s="928"/>
      <c r="W135" s="929"/>
      <c r="X135" s="880"/>
    </row>
    <row r="136" spans="1:24" ht="13.5" thickBot="1">
      <c r="A136" s="885"/>
      <c r="B136" s="869"/>
      <c r="C136" s="999"/>
      <c r="D136" s="930" t="s">
        <v>118</v>
      </c>
      <c r="E136" s="931"/>
      <c r="F136" s="931"/>
      <c r="G136" s="931"/>
      <c r="H136" s="931"/>
      <c r="I136" s="931"/>
      <c r="J136" s="931"/>
      <c r="K136" s="931"/>
      <c r="L136" s="931"/>
      <c r="M136" s="931"/>
      <c r="N136" s="931"/>
      <c r="O136" s="931"/>
      <c r="P136" s="931"/>
      <c r="Q136" s="931"/>
      <c r="R136" s="931"/>
      <c r="S136" s="931"/>
      <c r="T136" s="931"/>
      <c r="U136" s="931"/>
      <c r="V136" s="931"/>
      <c r="W136" s="932"/>
      <c r="X136" s="880"/>
    </row>
    <row r="137" spans="1:24" ht="13.5" thickBot="1">
      <c r="A137" s="885"/>
      <c r="B137" s="11" t="s">
        <v>21</v>
      </c>
      <c r="C137" s="12"/>
      <c r="D137" s="927" t="s">
        <v>78</v>
      </c>
      <c r="E137" s="928"/>
      <c r="F137" s="928"/>
      <c r="G137" s="929"/>
      <c r="H137" s="927" t="s">
        <v>77</v>
      </c>
      <c r="I137" s="928"/>
      <c r="J137" s="928"/>
      <c r="K137" s="929"/>
      <c r="L137" s="927" t="s">
        <v>81</v>
      </c>
      <c r="M137" s="928"/>
      <c r="N137" s="928"/>
      <c r="O137" s="929"/>
      <c r="P137" s="927" t="s">
        <v>254</v>
      </c>
      <c r="Q137" s="928"/>
      <c r="R137" s="928"/>
      <c r="S137" s="929"/>
      <c r="T137" s="927" t="s">
        <v>76</v>
      </c>
      <c r="U137" s="928"/>
      <c r="V137" s="928"/>
      <c r="W137" s="929"/>
      <c r="X137" s="880"/>
    </row>
    <row r="138" spans="1:24" ht="13.5" thickBot="1">
      <c r="A138" s="885"/>
      <c r="B138" s="868" t="s">
        <v>63</v>
      </c>
      <c r="C138" s="9" t="s">
        <v>247</v>
      </c>
      <c r="D138" s="1000">
        <v>0</v>
      </c>
      <c r="E138" s="1001"/>
      <c r="F138" s="1001"/>
      <c r="G138" s="1002"/>
      <c r="H138" s="1000">
        <v>10</v>
      </c>
      <c r="I138" s="1001"/>
      <c r="J138" s="1001"/>
      <c r="K138" s="1002"/>
      <c r="L138" s="1000">
        <v>20</v>
      </c>
      <c r="M138" s="1001"/>
      <c r="N138" s="1001"/>
      <c r="O138" s="1002"/>
      <c r="P138" s="1000">
        <v>30</v>
      </c>
      <c r="Q138" s="1001"/>
      <c r="R138" s="1001"/>
      <c r="S138" s="1002"/>
      <c r="T138" s="1000">
        <v>50</v>
      </c>
      <c r="U138" s="1001"/>
      <c r="V138" s="1001"/>
      <c r="W138" s="1002"/>
      <c r="X138" s="880"/>
    </row>
    <row r="139" spans="1:24" ht="13.5" thickBot="1">
      <c r="A139" s="869"/>
      <c r="B139" s="885"/>
      <c r="C139" s="102" t="s">
        <v>246</v>
      </c>
      <c r="D139" s="1003" t="s">
        <v>172</v>
      </c>
      <c r="E139" s="1004"/>
      <c r="F139" s="1004"/>
      <c r="G139" s="1005"/>
      <c r="H139" s="1003" t="s">
        <v>417</v>
      </c>
      <c r="I139" s="1004"/>
      <c r="J139" s="1004"/>
      <c r="K139" s="1005"/>
      <c r="L139" s="995">
        <v>16</v>
      </c>
      <c r="M139" s="996"/>
      <c r="N139" s="996"/>
      <c r="O139" s="997"/>
      <c r="P139" s="995" t="s">
        <v>786</v>
      </c>
      <c r="Q139" s="996"/>
      <c r="R139" s="996"/>
      <c r="S139" s="997"/>
      <c r="T139" s="995">
        <f>'State Agg LFx3 (2015)'!T139</f>
        <v>0</v>
      </c>
      <c r="U139" s="996"/>
      <c r="V139" s="996"/>
      <c r="W139" s="997"/>
      <c r="X139" s="881"/>
    </row>
    <row r="140" spans="1:24" ht="13.5" thickBot="1">
      <c r="A140" s="468" t="s">
        <v>13</v>
      </c>
      <c r="B140" s="885"/>
      <c r="C140" s="998" t="s">
        <v>413</v>
      </c>
      <c r="D140" s="927" t="s">
        <v>4</v>
      </c>
      <c r="E140" s="928"/>
      <c r="F140" s="928"/>
      <c r="G140" s="928"/>
      <c r="H140" s="928"/>
      <c r="I140" s="928"/>
      <c r="J140" s="928"/>
      <c r="K140" s="928"/>
      <c r="L140" s="928"/>
      <c r="M140" s="928"/>
      <c r="N140" s="928"/>
      <c r="O140" s="928"/>
      <c r="P140" s="928"/>
      <c r="Q140" s="928"/>
      <c r="R140" s="928"/>
      <c r="S140" s="928"/>
      <c r="T140" s="928"/>
      <c r="U140" s="928"/>
      <c r="V140" s="928"/>
      <c r="W140" s="929"/>
      <c r="X140" s="24" t="s">
        <v>14</v>
      </c>
    </row>
    <row r="141" spans="1:24" ht="13.5" thickBot="1">
      <c r="A141" s="25" t="s">
        <v>75</v>
      </c>
      <c r="B141" s="869"/>
      <c r="C141" s="999"/>
      <c r="D141" s="930" t="s">
        <v>119</v>
      </c>
      <c r="E141" s="931"/>
      <c r="F141" s="931"/>
      <c r="G141" s="931"/>
      <c r="H141" s="931"/>
      <c r="I141" s="931"/>
      <c r="J141" s="931"/>
      <c r="K141" s="931"/>
      <c r="L141" s="931"/>
      <c r="M141" s="931"/>
      <c r="N141" s="931"/>
      <c r="O141" s="931"/>
      <c r="P141" s="931"/>
      <c r="Q141" s="931"/>
      <c r="R141" s="931"/>
      <c r="S141" s="931"/>
      <c r="T141" s="931"/>
      <c r="U141" s="931"/>
      <c r="V141" s="931"/>
      <c r="W141" s="932"/>
      <c r="X141" s="18" t="s">
        <v>93</v>
      </c>
    </row>
    <row r="142" spans="1:24" ht="13.5" thickBot="1">
      <c r="A142" s="906" t="s">
        <v>7</v>
      </c>
      <c r="B142" s="908" t="s">
        <v>173</v>
      </c>
      <c r="C142" s="918"/>
      <c r="D142" s="908" t="s">
        <v>8</v>
      </c>
      <c r="E142" s="918"/>
      <c r="F142" s="918"/>
      <c r="G142" s="909"/>
      <c r="H142" s="908" t="s">
        <v>88</v>
      </c>
      <c r="I142" s="918"/>
      <c r="J142" s="918"/>
      <c r="K142" s="909"/>
      <c r="L142" s="908" t="s">
        <v>89</v>
      </c>
      <c r="M142" s="918"/>
      <c r="N142" s="918"/>
      <c r="O142" s="909"/>
      <c r="P142" s="908" t="s">
        <v>9</v>
      </c>
      <c r="Q142" s="918"/>
      <c r="R142" s="918"/>
      <c r="S142" s="909"/>
      <c r="T142" s="908" t="s">
        <v>174</v>
      </c>
      <c r="U142" s="918"/>
      <c r="V142" s="918"/>
      <c r="W142" s="918"/>
      <c r="X142" s="909"/>
    </row>
    <row r="143" spans="1:24" ht="13.5" thickBot="1">
      <c r="A143" s="907"/>
      <c r="B143" s="919">
        <v>6200000</v>
      </c>
      <c r="C143" s="921"/>
      <c r="D143" s="919">
        <v>1200000</v>
      </c>
      <c r="E143" s="921"/>
      <c r="F143" s="921"/>
      <c r="G143" s="920"/>
      <c r="H143" s="919">
        <v>2500000</v>
      </c>
      <c r="I143" s="921"/>
      <c r="J143" s="921"/>
      <c r="K143" s="920"/>
      <c r="L143" s="919">
        <v>2800000</v>
      </c>
      <c r="M143" s="921"/>
      <c r="N143" s="921"/>
      <c r="O143" s="920"/>
      <c r="P143" s="919">
        <f>SUM(B143:O143)</f>
        <v>12700000</v>
      </c>
      <c r="Q143" s="921"/>
      <c r="R143" s="921"/>
      <c r="S143" s="920"/>
      <c r="T143" s="942">
        <f>B143/P143%</f>
        <v>48.818897637795274</v>
      </c>
      <c r="U143" s="943"/>
      <c r="V143" s="943"/>
      <c r="W143" s="943"/>
      <c r="X143" s="944"/>
    </row>
    <row r="144" spans="1:24" ht="13.5" thickBot="1">
      <c r="A144" s="906" t="s">
        <v>10</v>
      </c>
      <c r="B144" s="908" t="s">
        <v>175</v>
      </c>
      <c r="C144" s="918"/>
      <c r="D144" s="910"/>
      <c r="E144" s="911"/>
      <c r="F144" s="911"/>
      <c r="G144" s="911"/>
      <c r="H144" s="911"/>
      <c r="I144" s="911"/>
      <c r="J144" s="911"/>
      <c r="K144" s="911"/>
      <c r="L144" s="911"/>
      <c r="M144" s="911"/>
      <c r="N144" s="911"/>
      <c r="O144" s="911"/>
      <c r="P144" s="911"/>
      <c r="Q144" s="911"/>
      <c r="R144" s="911"/>
      <c r="S144" s="911"/>
      <c r="T144" s="911"/>
      <c r="U144" s="911"/>
      <c r="V144" s="911"/>
      <c r="W144" s="911"/>
      <c r="X144" s="912"/>
    </row>
    <row r="145" spans="1:24" ht="13.5" thickBot="1">
      <c r="A145" s="907"/>
      <c r="B145" s="916"/>
      <c r="C145" s="994"/>
      <c r="D145" s="913"/>
      <c r="E145" s="914"/>
      <c r="F145" s="914"/>
      <c r="G145" s="914"/>
      <c r="H145" s="914"/>
      <c r="I145" s="914"/>
      <c r="J145" s="914"/>
      <c r="K145" s="914"/>
      <c r="L145" s="914"/>
      <c r="M145" s="914"/>
      <c r="N145" s="914"/>
      <c r="O145" s="914"/>
      <c r="P145" s="914"/>
      <c r="Q145" s="914"/>
      <c r="R145" s="914"/>
      <c r="S145" s="914"/>
      <c r="T145" s="914"/>
      <c r="U145" s="914"/>
      <c r="V145" s="914"/>
      <c r="W145" s="914"/>
      <c r="X145" s="915"/>
    </row>
    <row r="147" spans="1:24" ht="13.5" thickBot="1">
      <c r="L147" s="115"/>
    </row>
    <row r="148" spans="1:24" ht="13.5" thickBot="1">
      <c r="A148" s="467" t="s">
        <v>26</v>
      </c>
      <c r="B148" s="471" t="s">
        <v>29</v>
      </c>
      <c r="C148" s="8"/>
      <c r="D148" s="927" t="s">
        <v>78</v>
      </c>
      <c r="E148" s="928"/>
      <c r="F148" s="928"/>
      <c r="G148" s="929"/>
      <c r="H148" s="927" t="s">
        <v>77</v>
      </c>
      <c r="I148" s="928"/>
      <c r="J148" s="928"/>
      <c r="K148" s="929"/>
      <c r="L148" s="927" t="s">
        <v>81</v>
      </c>
      <c r="M148" s="928"/>
      <c r="N148" s="928"/>
      <c r="O148" s="929"/>
      <c r="P148" s="927" t="s">
        <v>254</v>
      </c>
      <c r="Q148" s="928"/>
      <c r="R148" s="928"/>
      <c r="S148" s="929"/>
      <c r="T148" s="927" t="s">
        <v>76</v>
      </c>
      <c r="U148" s="928"/>
      <c r="V148" s="928"/>
      <c r="W148" s="929"/>
      <c r="X148" s="16" t="s">
        <v>12</v>
      </c>
    </row>
    <row r="149" spans="1:24" ht="54.95" customHeight="1" thickBot="1">
      <c r="A149" s="868" t="s">
        <v>64</v>
      </c>
      <c r="B149" s="868" t="s">
        <v>156</v>
      </c>
      <c r="C149" s="9"/>
      <c r="D149" s="17" t="s">
        <v>101</v>
      </c>
      <c r="E149" s="17" t="s">
        <v>104</v>
      </c>
      <c r="F149" s="17" t="s">
        <v>102</v>
      </c>
      <c r="G149" s="17" t="s">
        <v>103</v>
      </c>
      <c r="H149" s="17" t="s">
        <v>101</v>
      </c>
      <c r="I149" s="17" t="s">
        <v>104</v>
      </c>
      <c r="J149" s="17" t="s">
        <v>102</v>
      </c>
      <c r="K149" s="17" t="s">
        <v>103</v>
      </c>
      <c r="L149" s="17" t="s">
        <v>101</v>
      </c>
      <c r="M149" s="17" t="s">
        <v>104</v>
      </c>
      <c r="N149" s="17" t="s">
        <v>102</v>
      </c>
      <c r="O149" s="17" t="s">
        <v>103</v>
      </c>
      <c r="P149" s="17" t="s">
        <v>101</v>
      </c>
      <c r="Q149" s="17" t="s">
        <v>104</v>
      </c>
      <c r="R149" s="17" t="s">
        <v>102</v>
      </c>
      <c r="S149" s="17" t="s">
        <v>103</v>
      </c>
      <c r="T149" s="17" t="s">
        <v>101</v>
      </c>
      <c r="U149" s="17" t="s">
        <v>104</v>
      </c>
      <c r="V149" s="17" t="s">
        <v>102</v>
      </c>
      <c r="W149" s="17" t="s">
        <v>103</v>
      </c>
      <c r="X149" s="879" t="s">
        <v>98</v>
      </c>
    </row>
    <row r="150" spans="1:24" ht="13.5" thickBot="1">
      <c r="A150" s="885"/>
      <c r="B150" s="885"/>
      <c r="C150" s="9" t="s">
        <v>247</v>
      </c>
      <c r="D150" s="2">
        <v>2</v>
      </c>
      <c r="E150" s="2">
        <v>0</v>
      </c>
      <c r="F150" s="2">
        <v>0</v>
      </c>
      <c r="G150" s="2">
        <v>0</v>
      </c>
      <c r="H150" s="2">
        <v>15</v>
      </c>
      <c r="I150" s="2">
        <v>10</v>
      </c>
      <c r="J150" s="2">
        <v>5</v>
      </c>
      <c r="K150" s="2">
        <v>1</v>
      </c>
      <c r="L150" s="158">
        <v>30</v>
      </c>
      <c r="M150" s="158">
        <v>20</v>
      </c>
      <c r="N150" s="2">
        <v>15</v>
      </c>
      <c r="O150" s="2">
        <v>8</v>
      </c>
      <c r="P150" s="2">
        <v>50</v>
      </c>
      <c r="Q150" s="2">
        <v>35</v>
      </c>
      <c r="R150" s="2">
        <v>25</v>
      </c>
      <c r="S150" s="2">
        <v>12</v>
      </c>
      <c r="T150" s="158">
        <v>70</v>
      </c>
      <c r="U150" s="158">
        <v>50</v>
      </c>
      <c r="V150" s="158">
        <v>40</v>
      </c>
      <c r="W150" s="158">
        <v>20</v>
      </c>
      <c r="X150" s="880"/>
    </row>
    <row r="151" spans="1:24" ht="12.95" customHeight="1" thickBot="1">
      <c r="A151" s="885"/>
      <c r="B151" s="466" t="s">
        <v>151</v>
      </c>
      <c r="C151" s="102" t="s">
        <v>246</v>
      </c>
      <c r="D151" s="1008" t="s">
        <v>416</v>
      </c>
      <c r="E151" s="1009"/>
      <c r="F151" s="1009"/>
      <c r="G151" s="1010"/>
      <c r="H151" s="117">
        <v>20</v>
      </c>
      <c r="I151" s="117">
        <v>15</v>
      </c>
      <c r="J151" s="117">
        <v>10</v>
      </c>
      <c r="K151" s="117">
        <v>5</v>
      </c>
      <c r="L151" s="117">
        <v>27</v>
      </c>
      <c r="M151" s="117">
        <v>22</v>
      </c>
      <c r="N151" s="117">
        <v>16</v>
      </c>
      <c r="O151" s="117">
        <v>10</v>
      </c>
      <c r="P151" s="105">
        <f>SUM('State DisAgg LFx10 (2015)'!P354:P363)</f>
        <v>66</v>
      </c>
      <c r="Q151" s="105">
        <f>SUM('State DisAgg LFx10 (2015)'!Q354:Q363)</f>
        <v>46</v>
      </c>
      <c r="R151" s="105">
        <f>SUM('State DisAgg LFx10 (2015)'!R354:R363)</f>
        <v>30</v>
      </c>
      <c r="S151" s="105">
        <f>SUM('State DisAgg LFx10 (2015)'!S354:S363)</f>
        <v>10</v>
      </c>
      <c r="T151" s="188">
        <f>'State Agg LFx3 (2015)'!T151</f>
        <v>0</v>
      </c>
      <c r="U151" s="188">
        <f>'State Agg LFx3 (2015)'!U151</f>
        <v>0</v>
      </c>
      <c r="V151" s="188">
        <f>'State Agg LFx3 (2015)'!V151</f>
        <v>0</v>
      </c>
      <c r="W151" s="188">
        <f>'State Agg LFx3 (2015)'!W151</f>
        <v>0</v>
      </c>
      <c r="X151" s="880"/>
    </row>
    <row r="152" spans="1:24" ht="13.5" thickBot="1">
      <c r="A152" s="885"/>
      <c r="B152" s="466" t="s">
        <v>150</v>
      </c>
      <c r="C152" s="998" t="s">
        <v>413</v>
      </c>
      <c r="D152" s="927" t="s">
        <v>4</v>
      </c>
      <c r="E152" s="928"/>
      <c r="F152" s="928"/>
      <c r="G152" s="928"/>
      <c r="H152" s="928"/>
      <c r="I152" s="928"/>
      <c r="J152" s="928"/>
      <c r="K152" s="928"/>
      <c r="L152" s="928"/>
      <c r="M152" s="928"/>
      <c r="N152" s="928"/>
      <c r="O152" s="928"/>
      <c r="P152" s="928"/>
      <c r="Q152" s="928"/>
      <c r="R152" s="928"/>
      <c r="S152" s="928"/>
      <c r="T152" s="928"/>
      <c r="U152" s="928"/>
      <c r="V152" s="928"/>
      <c r="W152" s="929"/>
      <c r="X152" s="880"/>
    </row>
    <row r="153" spans="1:24" ht="24.75" thickBot="1">
      <c r="A153" s="885"/>
      <c r="B153" s="465" t="s">
        <v>149</v>
      </c>
      <c r="C153" s="999"/>
      <c r="D153" s="930" t="s">
        <v>420</v>
      </c>
      <c r="E153" s="931"/>
      <c r="F153" s="931"/>
      <c r="G153" s="931"/>
      <c r="H153" s="931"/>
      <c r="I153" s="931"/>
      <c r="J153" s="931"/>
      <c r="K153" s="931"/>
      <c r="L153" s="931"/>
      <c r="M153" s="931"/>
      <c r="N153" s="931"/>
      <c r="O153" s="931"/>
      <c r="P153" s="931"/>
      <c r="Q153" s="931"/>
      <c r="R153" s="931"/>
      <c r="S153" s="931"/>
      <c r="T153" s="931"/>
      <c r="U153" s="931"/>
      <c r="V153" s="931"/>
      <c r="W153" s="932"/>
      <c r="X153" s="880"/>
    </row>
    <row r="154" spans="1:24" ht="13.5" thickBot="1">
      <c r="A154" s="885"/>
      <c r="B154" s="11" t="s">
        <v>30</v>
      </c>
      <c r="C154" s="12"/>
      <c r="D154" s="927" t="s">
        <v>78</v>
      </c>
      <c r="E154" s="928"/>
      <c r="F154" s="928"/>
      <c r="G154" s="929"/>
      <c r="H154" s="927" t="s">
        <v>77</v>
      </c>
      <c r="I154" s="928"/>
      <c r="J154" s="928"/>
      <c r="K154" s="929"/>
      <c r="L154" s="927" t="s">
        <v>81</v>
      </c>
      <c r="M154" s="928"/>
      <c r="N154" s="928"/>
      <c r="O154" s="929"/>
      <c r="P154" s="927" t="s">
        <v>254</v>
      </c>
      <c r="Q154" s="928"/>
      <c r="R154" s="928"/>
      <c r="S154" s="929"/>
      <c r="T154" s="927" t="s">
        <v>76</v>
      </c>
      <c r="U154" s="928"/>
      <c r="V154" s="928"/>
      <c r="W154" s="929"/>
      <c r="X154" s="880"/>
    </row>
    <row r="155" spans="1:24" ht="44.1" customHeight="1" thickBot="1">
      <c r="A155" s="885"/>
      <c r="B155" s="868" t="s">
        <v>157</v>
      </c>
      <c r="C155" s="23"/>
      <c r="D155" s="17" t="s">
        <v>101</v>
      </c>
      <c r="E155" s="17" t="s">
        <v>104</v>
      </c>
      <c r="F155" s="17" t="s">
        <v>102</v>
      </c>
      <c r="G155" s="17" t="s">
        <v>103</v>
      </c>
      <c r="H155" s="17" t="s">
        <v>101</v>
      </c>
      <c r="I155" s="17" t="s">
        <v>104</v>
      </c>
      <c r="J155" s="17" t="s">
        <v>102</v>
      </c>
      <c r="K155" s="17" t="s">
        <v>103</v>
      </c>
      <c r="L155" s="17" t="s">
        <v>101</v>
      </c>
      <c r="M155" s="17" t="s">
        <v>104</v>
      </c>
      <c r="N155" s="17" t="s">
        <v>102</v>
      </c>
      <c r="O155" s="17" t="s">
        <v>103</v>
      </c>
      <c r="P155" s="17" t="s">
        <v>101</v>
      </c>
      <c r="Q155" s="17" t="s">
        <v>104</v>
      </c>
      <c r="R155" s="17" t="s">
        <v>102</v>
      </c>
      <c r="S155" s="17" t="s">
        <v>103</v>
      </c>
      <c r="T155" s="17" t="s">
        <v>101</v>
      </c>
      <c r="U155" s="17" t="s">
        <v>104</v>
      </c>
      <c r="V155" s="17" t="s">
        <v>102</v>
      </c>
      <c r="W155" s="17" t="s">
        <v>103</v>
      </c>
      <c r="X155" s="880"/>
    </row>
    <row r="156" spans="1:24" ht="13.5" thickBot="1">
      <c r="A156" s="885"/>
      <c r="B156" s="885"/>
      <c r="C156" s="9" t="s">
        <v>247</v>
      </c>
      <c r="D156" s="2">
        <v>2</v>
      </c>
      <c r="E156" s="2">
        <v>0</v>
      </c>
      <c r="F156" s="2">
        <v>0</v>
      </c>
      <c r="G156" s="2">
        <v>0</v>
      </c>
      <c r="H156" s="2">
        <v>15</v>
      </c>
      <c r="I156" s="2">
        <v>10</v>
      </c>
      <c r="J156" s="2">
        <v>5</v>
      </c>
      <c r="K156" s="2">
        <v>2</v>
      </c>
      <c r="L156" s="158">
        <v>30</v>
      </c>
      <c r="M156" s="158">
        <v>20</v>
      </c>
      <c r="N156" s="2">
        <v>15</v>
      </c>
      <c r="O156" s="2">
        <v>10</v>
      </c>
      <c r="P156" s="158">
        <v>45</v>
      </c>
      <c r="Q156" s="2">
        <v>35</v>
      </c>
      <c r="R156" s="2">
        <v>25</v>
      </c>
      <c r="S156" s="2">
        <v>15</v>
      </c>
      <c r="T156" s="158">
        <v>60</v>
      </c>
      <c r="U156" s="158">
        <v>45</v>
      </c>
      <c r="V156" s="158">
        <v>35</v>
      </c>
      <c r="W156" s="2">
        <v>25</v>
      </c>
      <c r="X156" s="880"/>
    </row>
    <row r="157" spans="1:24" ht="13.5" thickBot="1">
      <c r="A157" s="885"/>
      <c r="B157" s="466" t="s">
        <v>151</v>
      </c>
      <c r="C157" s="102" t="s">
        <v>246</v>
      </c>
      <c r="D157" s="1003" t="s">
        <v>172</v>
      </c>
      <c r="E157" s="1004"/>
      <c r="F157" s="1004"/>
      <c r="G157" s="1005"/>
      <c r="H157" s="1003" t="s">
        <v>417</v>
      </c>
      <c r="I157" s="1004"/>
      <c r="J157" s="1004"/>
      <c r="K157" s="1005"/>
      <c r="L157" s="117">
        <v>23</v>
      </c>
      <c r="M157" s="117">
        <v>21</v>
      </c>
      <c r="N157" s="117">
        <v>17</v>
      </c>
      <c r="O157" s="117">
        <v>7</v>
      </c>
      <c r="P157" s="105">
        <f>SUM('State DisAgg LFx10 (2015)'!P378:P387)</f>
        <v>44</v>
      </c>
      <c r="Q157" s="105">
        <f>SUM('State DisAgg LFx10 (2015)'!Q378:Q387)</f>
        <v>27</v>
      </c>
      <c r="R157" s="105">
        <f>SUM('State DisAgg LFx10 (2015)'!R378:R387)</f>
        <v>20</v>
      </c>
      <c r="S157" s="105">
        <f>SUM('State DisAgg LFx10 (2015)'!S378:S387)</f>
        <v>8</v>
      </c>
      <c r="T157" s="188">
        <f>'State Agg LFx3 (2015)'!T157</f>
        <v>0</v>
      </c>
      <c r="U157" s="188">
        <f>'State Agg LFx3 (2015)'!U157</f>
        <v>0</v>
      </c>
      <c r="V157" s="188">
        <f>'State Agg LFx3 (2015)'!V157</f>
        <v>0</v>
      </c>
      <c r="W157" s="188">
        <f>'State Agg LFx3 (2015)'!W157</f>
        <v>0</v>
      </c>
      <c r="X157" s="880"/>
    </row>
    <row r="158" spans="1:24" ht="13.5" thickBot="1">
      <c r="A158" s="885"/>
      <c r="B158" s="466" t="s">
        <v>150</v>
      </c>
      <c r="C158" s="998" t="s">
        <v>413</v>
      </c>
      <c r="D158" s="927" t="s">
        <v>4</v>
      </c>
      <c r="E158" s="928"/>
      <c r="F158" s="928"/>
      <c r="G158" s="928"/>
      <c r="H158" s="928"/>
      <c r="I158" s="928"/>
      <c r="J158" s="928"/>
      <c r="K158" s="928"/>
      <c r="L158" s="928"/>
      <c r="M158" s="928"/>
      <c r="N158" s="928"/>
      <c r="O158" s="928"/>
      <c r="P158" s="928"/>
      <c r="Q158" s="928"/>
      <c r="R158" s="928"/>
      <c r="S158" s="928"/>
      <c r="T158" s="928"/>
      <c r="U158" s="928"/>
      <c r="V158" s="928"/>
      <c r="W158" s="929"/>
      <c r="X158" s="880"/>
    </row>
    <row r="159" spans="1:24" ht="13.5" thickBot="1">
      <c r="A159" s="885"/>
      <c r="B159" s="465" t="s">
        <v>152</v>
      </c>
      <c r="C159" s="999"/>
      <c r="D159" s="930" t="s">
        <v>420</v>
      </c>
      <c r="E159" s="931"/>
      <c r="F159" s="931"/>
      <c r="G159" s="931"/>
      <c r="H159" s="931"/>
      <c r="I159" s="931"/>
      <c r="J159" s="931"/>
      <c r="K159" s="931"/>
      <c r="L159" s="931"/>
      <c r="M159" s="931"/>
      <c r="N159" s="931"/>
      <c r="O159" s="931"/>
      <c r="P159" s="931"/>
      <c r="Q159" s="931"/>
      <c r="R159" s="931"/>
      <c r="S159" s="931"/>
      <c r="T159" s="931"/>
      <c r="U159" s="931"/>
      <c r="V159" s="931"/>
      <c r="W159" s="932"/>
      <c r="X159" s="880"/>
    </row>
    <row r="160" spans="1:24" ht="13.5" thickBot="1">
      <c r="A160" s="885"/>
      <c r="B160" s="92" t="s">
        <v>31</v>
      </c>
      <c r="C160" s="12"/>
      <c r="D160" s="927" t="s">
        <v>78</v>
      </c>
      <c r="E160" s="928"/>
      <c r="F160" s="928"/>
      <c r="G160" s="929"/>
      <c r="H160" s="927" t="s">
        <v>77</v>
      </c>
      <c r="I160" s="928"/>
      <c r="J160" s="928"/>
      <c r="K160" s="929"/>
      <c r="L160" s="927" t="s">
        <v>81</v>
      </c>
      <c r="M160" s="928"/>
      <c r="N160" s="928"/>
      <c r="O160" s="929"/>
      <c r="P160" s="927" t="s">
        <v>254</v>
      </c>
      <c r="Q160" s="928"/>
      <c r="R160" s="928"/>
      <c r="S160" s="929"/>
      <c r="T160" s="927" t="s">
        <v>76</v>
      </c>
      <c r="U160" s="928"/>
      <c r="V160" s="928"/>
      <c r="W160" s="929"/>
      <c r="X160" s="880"/>
    </row>
    <row r="161" spans="1:24" ht="17.100000000000001" customHeight="1" thickBot="1">
      <c r="A161" s="885"/>
      <c r="B161" s="868" t="s">
        <v>421</v>
      </c>
      <c r="C161" s="23"/>
      <c r="D161" s="955" t="s">
        <v>418</v>
      </c>
      <c r="E161" s="956"/>
      <c r="F161" s="955" t="s">
        <v>419</v>
      </c>
      <c r="G161" s="956"/>
      <c r="H161" s="955" t="s">
        <v>418</v>
      </c>
      <c r="I161" s="956"/>
      <c r="J161" s="955" t="s">
        <v>419</v>
      </c>
      <c r="K161" s="956"/>
      <c r="L161" s="955" t="s">
        <v>418</v>
      </c>
      <c r="M161" s="956"/>
      <c r="N161" s="955" t="s">
        <v>419</v>
      </c>
      <c r="O161" s="956"/>
      <c r="P161" s="955" t="s">
        <v>418</v>
      </c>
      <c r="Q161" s="956"/>
      <c r="R161" s="955" t="s">
        <v>419</v>
      </c>
      <c r="S161" s="956"/>
      <c r="T161" s="955" t="s">
        <v>418</v>
      </c>
      <c r="U161" s="956"/>
      <c r="V161" s="955" t="s">
        <v>419</v>
      </c>
      <c r="W161" s="956"/>
      <c r="X161" s="880"/>
    </row>
    <row r="162" spans="1:24" ht="12.95" customHeight="1" thickBot="1">
      <c r="A162" s="885"/>
      <c r="B162" s="885"/>
      <c r="C162" s="91" t="s">
        <v>235</v>
      </c>
      <c r="D162" s="933" t="s">
        <v>172</v>
      </c>
      <c r="E162" s="934"/>
      <c r="F162" s="934"/>
      <c r="G162" s="935"/>
      <c r="H162" s="966" t="s">
        <v>572</v>
      </c>
      <c r="I162" s="967"/>
      <c r="J162" s="967"/>
      <c r="K162" s="968"/>
      <c r="L162" s="1077">
        <v>50</v>
      </c>
      <c r="M162" s="1078"/>
      <c r="N162" s="1077">
        <v>36.6</v>
      </c>
      <c r="O162" s="1078"/>
      <c r="P162" s="1077">
        <v>63</v>
      </c>
      <c r="Q162" s="1078"/>
      <c r="R162" s="1077">
        <v>39.799999999999997</v>
      </c>
      <c r="S162" s="1078"/>
      <c r="T162" s="1077">
        <v>75</v>
      </c>
      <c r="U162" s="1078"/>
      <c r="V162" s="1077">
        <v>43</v>
      </c>
      <c r="W162" s="1078"/>
      <c r="X162" s="880"/>
    </row>
    <row r="163" spans="1:24" ht="12.95" customHeight="1" thickBot="1">
      <c r="A163" s="885"/>
      <c r="B163" s="885"/>
      <c r="C163" s="91" t="s">
        <v>233</v>
      </c>
      <c r="D163" s="957"/>
      <c r="E163" s="958"/>
      <c r="F163" s="958"/>
      <c r="G163" s="959"/>
      <c r="H163" s="966" t="s">
        <v>572</v>
      </c>
      <c r="I163" s="967"/>
      <c r="J163" s="967"/>
      <c r="K163" s="968"/>
      <c r="L163" s="1077">
        <v>28.333333333333332</v>
      </c>
      <c r="M163" s="1078"/>
      <c r="N163" s="1077">
        <v>21</v>
      </c>
      <c r="O163" s="1078"/>
      <c r="P163" s="1077">
        <v>41.666666666666664</v>
      </c>
      <c r="Q163" s="1078"/>
      <c r="R163" s="1077">
        <v>28.333333333333332</v>
      </c>
      <c r="S163" s="1078"/>
      <c r="T163" s="1077">
        <v>75</v>
      </c>
      <c r="U163" s="1078"/>
      <c r="V163" s="1077">
        <v>50</v>
      </c>
      <c r="W163" s="1078"/>
      <c r="X163" s="880"/>
    </row>
    <row r="164" spans="1:24" ht="12.95" customHeight="1" thickBot="1">
      <c r="A164" s="885"/>
      <c r="B164" s="885"/>
      <c r="C164" s="91" t="s">
        <v>234</v>
      </c>
      <c r="D164" s="957"/>
      <c r="E164" s="958"/>
      <c r="F164" s="958"/>
      <c r="G164" s="959"/>
      <c r="H164" s="957"/>
      <c r="I164" s="958"/>
      <c r="J164" s="958"/>
      <c r="K164" s="959"/>
      <c r="L164" s="1057" t="s">
        <v>909</v>
      </c>
      <c r="M164" s="1058"/>
      <c r="N164" s="1058"/>
      <c r="O164" s="1059"/>
      <c r="P164" s="1077">
        <f>'State Agg LFx3 (2015)'!P164</f>
        <v>44</v>
      </c>
      <c r="Q164" s="1139"/>
      <c r="R164" s="1077">
        <f>'State Agg LFx3 (2015)'!R164</f>
        <v>71.5</v>
      </c>
      <c r="S164" s="1139"/>
      <c r="T164" s="1077">
        <f>'State Agg LFx3 (2015)'!T164</f>
        <v>59</v>
      </c>
      <c r="U164" s="1139"/>
      <c r="V164" s="1077">
        <f>'State Agg LFx3 (2015)'!V164</f>
        <v>78.5</v>
      </c>
      <c r="W164" s="1139"/>
      <c r="X164" s="880"/>
    </row>
    <row r="165" spans="1:24" ht="13.5" thickBot="1">
      <c r="A165" s="885"/>
      <c r="B165" s="466" t="s">
        <v>179</v>
      </c>
      <c r="C165" s="103" t="s">
        <v>236</v>
      </c>
      <c r="D165" s="1011"/>
      <c r="E165" s="1012"/>
      <c r="F165" s="1012"/>
      <c r="G165" s="1013"/>
      <c r="H165" s="1011"/>
      <c r="I165" s="1012"/>
      <c r="J165" s="1012"/>
      <c r="K165" s="1013"/>
      <c r="L165" s="1011"/>
      <c r="M165" s="1012"/>
      <c r="N165" s="1012"/>
      <c r="O165" s="1013"/>
      <c r="P165" s="1140">
        <f>SUM('State DisAgg LFx10 (2015)'!P402:Q406)/5</f>
        <v>76</v>
      </c>
      <c r="Q165" s="1141"/>
      <c r="R165" s="1140">
        <f>SUM('State DisAgg LFx10 (2015)'!R402:S406)/5</f>
        <v>59.8</v>
      </c>
      <c r="S165" s="1141"/>
      <c r="T165" s="995">
        <f>'State Agg LFx3 (2015)'!T165</f>
        <v>0</v>
      </c>
      <c r="U165" s="997"/>
      <c r="V165" s="995">
        <f>'State Agg LFx3 (2015)'!V165</f>
        <v>0</v>
      </c>
      <c r="W165" s="997"/>
      <c r="X165" s="880"/>
    </row>
    <row r="166" spans="1:24" ht="13.5" thickBot="1">
      <c r="A166" s="885"/>
      <c r="B166" s="466"/>
      <c r="C166" s="102" t="s">
        <v>283</v>
      </c>
      <c r="D166" s="1017"/>
      <c r="E166" s="1018"/>
      <c r="F166" s="1018"/>
      <c r="G166" s="1019"/>
      <c r="H166" s="1017"/>
      <c r="I166" s="1018"/>
      <c r="J166" s="1018"/>
      <c r="K166" s="1019"/>
      <c r="L166" s="1011"/>
      <c r="M166" s="1012"/>
      <c r="N166" s="1012"/>
      <c r="O166" s="1013"/>
      <c r="P166" s="995">
        <v>42.666666666666664</v>
      </c>
      <c r="Q166" s="997"/>
      <c r="R166" s="995">
        <v>27.333333333333332</v>
      </c>
      <c r="S166" s="997"/>
      <c r="T166" s="995">
        <f>'State Agg LFx3 (2015)'!T166</f>
        <v>0</v>
      </c>
      <c r="U166" s="997"/>
      <c r="V166" s="995">
        <f>'State Agg LFx3 (2015)'!V166</f>
        <v>0</v>
      </c>
      <c r="W166" s="997"/>
      <c r="X166" s="880"/>
    </row>
    <row r="167" spans="1:24" ht="13.5" thickBot="1">
      <c r="A167" s="885"/>
      <c r="B167" s="466"/>
      <c r="C167" s="102" t="s">
        <v>284</v>
      </c>
      <c r="D167" s="1017"/>
      <c r="E167" s="1018"/>
      <c r="F167" s="1018"/>
      <c r="G167" s="1019"/>
      <c r="H167" s="1017"/>
      <c r="I167" s="1018"/>
      <c r="J167" s="1018"/>
      <c r="K167" s="1019"/>
      <c r="L167" s="1017"/>
      <c r="M167" s="1018"/>
      <c r="N167" s="1018"/>
      <c r="O167" s="1019"/>
      <c r="P167" s="1017"/>
      <c r="Q167" s="1018"/>
      <c r="R167" s="1018"/>
      <c r="S167" s="1019"/>
      <c r="T167" s="995">
        <f>'State Agg LFx3 (2015)'!T167</f>
        <v>0</v>
      </c>
      <c r="U167" s="997"/>
      <c r="V167" s="995">
        <f>'State Agg LFx3 (2015)'!V167</f>
        <v>0</v>
      </c>
      <c r="W167" s="997"/>
      <c r="X167" s="880"/>
    </row>
    <row r="168" spans="1:24" ht="13.5" thickBot="1">
      <c r="A168" s="885"/>
      <c r="B168" s="885"/>
      <c r="C168" s="998" t="s">
        <v>413</v>
      </c>
      <c r="D168" s="927" t="s">
        <v>4</v>
      </c>
      <c r="E168" s="928"/>
      <c r="F168" s="928"/>
      <c r="G168" s="928"/>
      <c r="H168" s="928"/>
      <c r="I168" s="928"/>
      <c r="J168" s="928"/>
      <c r="K168" s="928"/>
      <c r="L168" s="928"/>
      <c r="M168" s="928"/>
      <c r="N168" s="928"/>
      <c r="O168" s="928"/>
      <c r="P168" s="928"/>
      <c r="Q168" s="928"/>
      <c r="R168" s="928"/>
      <c r="S168" s="928"/>
      <c r="T168" s="928"/>
      <c r="U168" s="928"/>
      <c r="V168" s="928"/>
      <c r="W168" s="929"/>
      <c r="X168" s="880"/>
    </row>
    <row r="169" spans="1:24" ht="24" customHeight="1" thickBot="1">
      <c r="A169" s="885"/>
      <c r="B169" s="869"/>
      <c r="C169" s="999"/>
      <c r="D169" s="930" t="s">
        <v>121</v>
      </c>
      <c r="E169" s="931"/>
      <c r="F169" s="931"/>
      <c r="G169" s="931"/>
      <c r="H169" s="931"/>
      <c r="I169" s="931"/>
      <c r="J169" s="931"/>
      <c r="K169" s="931"/>
      <c r="L169" s="931"/>
      <c r="M169" s="931"/>
      <c r="N169" s="931"/>
      <c r="O169" s="931"/>
      <c r="P169" s="931"/>
      <c r="Q169" s="931"/>
      <c r="R169" s="931"/>
      <c r="S169" s="931"/>
      <c r="T169" s="931"/>
      <c r="U169" s="931"/>
      <c r="V169" s="931"/>
      <c r="W169" s="932"/>
      <c r="X169" s="880"/>
    </row>
    <row r="170" spans="1:24" ht="13.5" thickBot="1">
      <c r="A170" s="885"/>
      <c r="B170" s="11" t="s">
        <v>40</v>
      </c>
      <c r="C170" s="12"/>
      <c r="D170" s="927" t="s">
        <v>78</v>
      </c>
      <c r="E170" s="928"/>
      <c r="F170" s="928"/>
      <c r="G170" s="929"/>
      <c r="H170" s="927" t="s">
        <v>77</v>
      </c>
      <c r="I170" s="928"/>
      <c r="J170" s="928"/>
      <c r="K170" s="929"/>
      <c r="L170" s="927" t="s">
        <v>81</v>
      </c>
      <c r="M170" s="928"/>
      <c r="N170" s="928"/>
      <c r="O170" s="929"/>
      <c r="P170" s="927" t="s">
        <v>254</v>
      </c>
      <c r="Q170" s="928"/>
      <c r="R170" s="928"/>
      <c r="S170" s="929"/>
      <c r="T170" s="927" t="s">
        <v>76</v>
      </c>
      <c r="U170" s="928"/>
      <c r="V170" s="928"/>
      <c r="W170" s="929"/>
      <c r="X170" s="880"/>
    </row>
    <row r="171" spans="1:24" ht="12.95" customHeight="1" thickBot="1">
      <c r="A171" s="885"/>
      <c r="B171" s="873" t="s">
        <v>644</v>
      </c>
      <c r="C171" s="9" t="s">
        <v>235</v>
      </c>
      <c r="D171" s="933" t="s">
        <v>171</v>
      </c>
      <c r="E171" s="934"/>
      <c r="F171" s="934"/>
      <c r="G171" s="935"/>
      <c r="H171" s="966" t="s">
        <v>572</v>
      </c>
      <c r="I171" s="967"/>
      <c r="J171" s="967"/>
      <c r="K171" s="968"/>
      <c r="L171" s="963">
        <v>3.5</v>
      </c>
      <c r="M171" s="964"/>
      <c r="N171" s="964"/>
      <c r="O171" s="965"/>
      <c r="P171" s="1094">
        <v>3.78</v>
      </c>
      <c r="Q171" s="1095"/>
      <c r="R171" s="1095"/>
      <c r="S171" s="1096"/>
      <c r="T171" s="1094">
        <v>4.1399999999999997</v>
      </c>
      <c r="U171" s="1095"/>
      <c r="V171" s="1095"/>
      <c r="W171" s="1096"/>
      <c r="X171" s="880"/>
    </row>
    <row r="172" spans="1:24" ht="12.95" customHeight="1" thickBot="1">
      <c r="A172" s="885"/>
      <c r="B172" s="874"/>
      <c r="C172" s="9" t="s">
        <v>233</v>
      </c>
      <c r="D172" s="957"/>
      <c r="E172" s="958"/>
      <c r="F172" s="958"/>
      <c r="G172" s="959"/>
      <c r="H172" s="966" t="s">
        <v>572</v>
      </c>
      <c r="I172" s="967"/>
      <c r="J172" s="967"/>
      <c r="K172" s="968"/>
      <c r="L172" s="963">
        <v>2.0333333333333332</v>
      </c>
      <c r="M172" s="964"/>
      <c r="N172" s="964"/>
      <c r="O172" s="965"/>
      <c r="P172" s="1094">
        <v>2.3333333333333335</v>
      </c>
      <c r="Q172" s="1095"/>
      <c r="R172" s="1095"/>
      <c r="S172" s="1096"/>
      <c r="T172" s="1094">
        <v>2.8333333333333335</v>
      </c>
      <c r="U172" s="1095"/>
      <c r="V172" s="1095"/>
      <c r="W172" s="1096"/>
      <c r="X172" s="880"/>
    </row>
    <row r="173" spans="1:24" ht="12.95" customHeight="1" thickBot="1">
      <c r="A173" s="885"/>
      <c r="B173" s="874"/>
      <c r="C173" s="9" t="s">
        <v>234</v>
      </c>
      <c r="D173" s="957"/>
      <c r="E173" s="958"/>
      <c r="F173" s="958"/>
      <c r="G173" s="959"/>
      <c r="H173" s="957"/>
      <c r="I173" s="958"/>
      <c r="J173" s="958"/>
      <c r="K173" s="959"/>
      <c r="L173" s="1057" t="s">
        <v>909</v>
      </c>
      <c r="M173" s="1058"/>
      <c r="N173" s="1058"/>
      <c r="O173" s="1059"/>
      <c r="P173" s="1094">
        <f>'State Agg LFx3 (2015)'!P173</f>
        <v>2.8</v>
      </c>
      <c r="Q173" s="1095"/>
      <c r="R173" s="1095"/>
      <c r="S173" s="1096"/>
      <c r="T173" s="1094">
        <f>'State Agg LFx3 (2015)'!T173</f>
        <v>3.2</v>
      </c>
      <c r="U173" s="1095"/>
      <c r="V173" s="1095"/>
      <c r="W173" s="1096"/>
      <c r="X173" s="880"/>
    </row>
    <row r="174" spans="1:24" ht="13.5" thickBot="1">
      <c r="A174" s="885"/>
      <c r="B174" s="874"/>
      <c r="C174" s="102" t="s">
        <v>236</v>
      </c>
      <c r="D174" s="1011"/>
      <c r="E174" s="1012"/>
      <c r="F174" s="1012"/>
      <c r="G174" s="1013"/>
      <c r="H174" s="1011"/>
      <c r="I174" s="1012"/>
      <c r="J174" s="1012"/>
      <c r="K174" s="1013"/>
      <c r="L174" s="1011"/>
      <c r="M174" s="1012"/>
      <c r="N174" s="1012"/>
      <c r="O174" s="1013"/>
      <c r="P174" s="1020" t="s">
        <v>787</v>
      </c>
      <c r="Q174" s="1021"/>
      <c r="R174" s="1021"/>
      <c r="S174" s="1022"/>
      <c r="T174" s="1020">
        <f>'State Agg LFx3 (2015)'!T174</f>
        <v>0</v>
      </c>
      <c r="U174" s="1021"/>
      <c r="V174" s="1021"/>
      <c r="W174" s="1022"/>
      <c r="X174" s="881"/>
    </row>
    <row r="175" spans="1:24" ht="13.5" thickBot="1">
      <c r="A175" s="885"/>
      <c r="B175" s="874"/>
      <c r="C175" s="102" t="s">
        <v>283</v>
      </c>
      <c r="D175" s="1017"/>
      <c r="E175" s="1018"/>
      <c r="F175" s="1018"/>
      <c r="G175" s="1019"/>
      <c r="H175" s="1017"/>
      <c r="I175" s="1018"/>
      <c r="J175" s="1018"/>
      <c r="K175" s="1019"/>
      <c r="L175" s="1011"/>
      <c r="M175" s="1012"/>
      <c r="N175" s="1012"/>
      <c r="O175" s="1013"/>
      <c r="P175" s="1020">
        <v>2.5333333333333332</v>
      </c>
      <c r="Q175" s="1021"/>
      <c r="R175" s="1021"/>
      <c r="S175" s="1022"/>
      <c r="T175" s="1020">
        <f>'State Agg LFx3 (2015)'!T175</f>
        <v>0</v>
      </c>
      <c r="U175" s="1021"/>
      <c r="V175" s="1021"/>
      <c r="W175" s="1022"/>
      <c r="X175" s="101"/>
    </row>
    <row r="176" spans="1:24" ht="13.5" thickBot="1">
      <c r="A176" s="869"/>
      <c r="B176" s="874"/>
      <c r="C176" s="102" t="s">
        <v>284</v>
      </c>
      <c r="D176" s="1017"/>
      <c r="E176" s="1018"/>
      <c r="F176" s="1018"/>
      <c r="G176" s="1019"/>
      <c r="H176" s="1017"/>
      <c r="I176" s="1018"/>
      <c r="J176" s="1018"/>
      <c r="K176" s="1019"/>
      <c r="L176" s="1017"/>
      <c r="M176" s="1018"/>
      <c r="N176" s="1018"/>
      <c r="O176" s="1019"/>
      <c r="P176" s="1017"/>
      <c r="Q176" s="1018"/>
      <c r="R176" s="1018"/>
      <c r="S176" s="1019"/>
      <c r="T176" s="1020">
        <f>'State Agg LFx3 (2015)'!T176</f>
        <v>0</v>
      </c>
      <c r="U176" s="1021"/>
      <c r="V176" s="1021"/>
      <c r="W176" s="1022"/>
      <c r="X176" s="101"/>
    </row>
    <row r="177" spans="1:24" ht="13.5" thickBot="1">
      <c r="A177" s="468" t="s">
        <v>13</v>
      </c>
      <c r="B177" s="874"/>
      <c r="C177" s="998" t="s">
        <v>413</v>
      </c>
      <c r="D177" s="927" t="s">
        <v>4</v>
      </c>
      <c r="E177" s="928"/>
      <c r="F177" s="928"/>
      <c r="G177" s="928"/>
      <c r="H177" s="928"/>
      <c r="I177" s="928"/>
      <c r="J177" s="928"/>
      <c r="K177" s="928"/>
      <c r="L177" s="928"/>
      <c r="M177" s="928"/>
      <c r="N177" s="928"/>
      <c r="O177" s="928"/>
      <c r="P177" s="928"/>
      <c r="Q177" s="928"/>
      <c r="R177" s="928"/>
      <c r="S177" s="928"/>
      <c r="T177" s="928"/>
      <c r="U177" s="928"/>
      <c r="V177" s="928"/>
      <c r="W177" s="929"/>
      <c r="X177" s="24" t="s">
        <v>14</v>
      </c>
    </row>
    <row r="178" spans="1:24" ht="13.5" thickBot="1">
      <c r="A178" s="25" t="s">
        <v>75</v>
      </c>
      <c r="B178" s="875"/>
      <c r="C178" s="999"/>
      <c r="D178" s="930" t="s">
        <v>122</v>
      </c>
      <c r="E178" s="931"/>
      <c r="F178" s="931"/>
      <c r="G178" s="931"/>
      <c r="H178" s="931"/>
      <c r="I178" s="931"/>
      <c r="J178" s="931"/>
      <c r="K178" s="931"/>
      <c r="L178" s="931"/>
      <c r="M178" s="931"/>
      <c r="N178" s="931"/>
      <c r="O178" s="931"/>
      <c r="P178" s="931"/>
      <c r="Q178" s="931"/>
      <c r="R178" s="931"/>
      <c r="S178" s="931"/>
      <c r="T178" s="931"/>
      <c r="U178" s="931"/>
      <c r="V178" s="931"/>
      <c r="W178" s="932"/>
      <c r="X178" s="18" t="s">
        <v>92</v>
      </c>
    </row>
    <row r="179" spans="1:24" ht="13.5" thickBot="1">
      <c r="A179" s="906" t="s">
        <v>7</v>
      </c>
      <c r="B179" s="908" t="s">
        <v>173</v>
      </c>
      <c r="C179" s="918"/>
      <c r="D179" s="908" t="s">
        <v>8</v>
      </c>
      <c r="E179" s="918"/>
      <c r="F179" s="918"/>
      <c r="G179" s="909"/>
      <c r="H179" s="908" t="s">
        <v>88</v>
      </c>
      <c r="I179" s="918"/>
      <c r="J179" s="918"/>
      <c r="K179" s="909"/>
      <c r="L179" s="908" t="s">
        <v>89</v>
      </c>
      <c r="M179" s="918"/>
      <c r="N179" s="918"/>
      <c r="O179" s="909"/>
      <c r="P179" s="908" t="s">
        <v>9</v>
      </c>
      <c r="Q179" s="918"/>
      <c r="R179" s="918"/>
      <c r="S179" s="909"/>
      <c r="T179" s="908" t="s">
        <v>174</v>
      </c>
      <c r="U179" s="918"/>
      <c r="V179" s="918"/>
      <c r="W179" s="918"/>
      <c r="X179" s="909"/>
    </row>
    <row r="180" spans="1:24" ht="13.5" thickBot="1">
      <c r="A180" s="907"/>
      <c r="B180" s="919">
        <v>4200000</v>
      </c>
      <c r="C180" s="921"/>
      <c r="D180" s="919">
        <v>0</v>
      </c>
      <c r="E180" s="921"/>
      <c r="F180" s="921"/>
      <c r="G180" s="920"/>
      <c r="H180" s="919">
        <v>3200000</v>
      </c>
      <c r="I180" s="921"/>
      <c r="J180" s="921"/>
      <c r="K180" s="920"/>
      <c r="L180" s="919">
        <v>0</v>
      </c>
      <c r="M180" s="921"/>
      <c r="N180" s="921"/>
      <c r="O180" s="920"/>
      <c r="P180" s="919">
        <f>SUM(B180:O180)</f>
        <v>7400000</v>
      </c>
      <c r="Q180" s="921"/>
      <c r="R180" s="921"/>
      <c r="S180" s="920"/>
      <c r="T180" s="942">
        <f>B180/P180%</f>
        <v>56.756756756756758</v>
      </c>
      <c r="U180" s="943"/>
      <c r="V180" s="943"/>
      <c r="W180" s="943"/>
      <c r="X180" s="944"/>
    </row>
    <row r="181" spans="1:24" ht="13.5" thickBot="1">
      <c r="A181" s="906" t="s">
        <v>10</v>
      </c>
      <c r="B181" s="908" t="s">
        <v>175</v>
      </c>
      <c r="C181" s="918"/>
      <c r="D181" s="910"/>
      <c r="E181" s="911"/>
      <c r="F181" s="911"/>
      <c r="G181" s="911"/>
      <c r="H181" s="911"/>
      <c r="I181" s="911"/>
      <c r="J181" s="911"/>
      <c r="K181" s="911"/>
      <c r="L181" s="911"/>
      <c r="M181" s="911"/>
      <c r="N181" s="911"/>
      <c r="O181" s="911"/>
      <c r="P181" s="911"/>
      <c r="Q181" s="911"/>
      <c r="R181" s="911"/>
      <c r="S181" s="911"/>
      <c r="T181" s="911"/>
      <c r="U181" s="911"/>
      <c r="V181" s="911"/>
      <c r="W181" s="911"/>
      <c r="X181" s="912"/>
    </row>
    <row r="182" spans="1:24" ht="13.5" thickBot="1">
      <c r="A182" s="907"/>
      <c r="B182" s="916"/>
      <c r="C182" s="994"/>
      <c r="D182" s="913"/>
      <c r="E182" s="914"/>
      <c r="F182" s="914"/>
      <c r="G182" s="914"/>
      <c r="H182" s="914"/>
      <c r="I182" s="914"/>
      <c r="J182" s="914"/>
      <c r="K182" s="914"/>
      <c r="L182" s="914"/>
      <c r="M182" s="914"/>
      <c r="N182" s="914"/>
      <c r="O182" s="914"/>
      <c r="P182" s="914"/>
      <c r="Q182" s="914"/>
      <c r="R182" s="914"/>
      <c r="S182" s="914"/>
      <c r="T182" s="914"/>
      <c r="U182" s="914"/>
      <c r="V182" s="914"/>
      <c r="W182" s="914"/>
      <c r="X182" s="915"/>
    </row>
    <row r="183" spans="1:24">
      <c r="A183" s="5"/>
      <c r="B183" s="5"/>
      <c r="C183" s="6"/>
      <c r="D183" s="5"/>
      <c r="E183" s="5"/>
      <c r="F183" s="5"/>
      <c r="G183" s="5"/>
      <c r="H183" s="5"/>
      <c r="I183" s="5"/>
      <c r="J183" s="5"/>
      <c r="K183" s="5"/>
      <c r="L183" s="5"/>
      <c r="M183" s="5"/>
      <c r="N183" s="5"/>
      <c r="O183" s="5"/>
      <c r="P183" s="5"/>
      <c r="Q183" s="5"/>
      <c r="R183" s="5"/>
      <c r="S183" s="5"/>
      <c r="T183" s="5"/>
      <c r="U183" s="5"/>
      <c r="V183" s="5"/>
      <c r="W183" s="5"/>
      <c r="X183" s="5"/>
    </row>
    <row r="184" spans="1:24" ht="13.5" thickBot="1">
      <c r="A184" s="5"/>
      <c r="B184" s="5"/>
      <c r="C184" s="6"/>
      <c r="D184" s="5"/>
      <c r="E184" s="5"/>
      <c r="F184" s="5"/>
      <c r="G184" s="5"/>
      <c r="H184" s="5"/>
      <c r="I184" s="5"/>
      <c r="J184" s="5"/>
      <c r="K184" s="5"/>
      <c r="L184" s="5"/>
      <c r="M184" s="5"/>
      <c r="N184" s="5"/>
      <c r="O184" s="5"/>
      <c r="P184" s="5"/>
      <c r="Q184" s="5"/>
      <c r="R184" s="5"/>
      <c r="S184" s="5"/>
      <c r="T184" s="5"/>
      <c r="U184" s="5"/>
      <c r="V184" s="5"/>
      <c r="W184" s="5"/>
      <c r="X184" s="5"/>
    </row>
    <row r="185" spans="1:24" ht="13.5" thickBot="1">
      <c r="A185" s="467" t="s">
        <v>28</v>
      </c>
      <c r="B185" s="471" t="s">
        <v>32</v>
      </c>
      <c r="C185" s="8"/>
      <c r="D185" s="927" t="s">
        <v>78</v>
      </c>
      <c r="E185" s="928"/>
      <c r="F185" s="928"/>
      <c r="G185" s="929"/>
      <c r="H185" s="927" t="s">
        <v>77</v>
      </c>
      <c r="I185" s="928"/>
      <c r="J185" s="928"/>
      <c r="K185" s="929"/>
      <c r="L185" s="927" t="s">
        <v>81</v>
      </c>
      <c r="M185" s="928"/>
      <c r="N185" s="928"/>
      <c r="O185" s="929"/>
      <c r="P185" s="927" t="s">
        <v>254</v>
      </c>
      <c r="Q185" s="928"/>
      <c r="R185" s="928"/>
      <c r="S185" s="929"/>
      <c r="T185" s="927" t="s">
        <v>76</v>
      </c>
      <c r="U185" s="928"/>
      <c r="V185" s="928"/>
      <c r="W185" s="929"/>
      <c r="X185" s="16" t="s">
        <v>6</v>
      </c>
    </row>
    <row r="186" spans="1:24" ht="13.5" thickBot="1">
      <c r="A186" s="868" t="s">
        <v>65</v>
      </c>
      <c r="B186" s="868" t="s">
        <v>66</v>
      </c>
      <c r="C186" s="9" t="s">
        <v>235</v>
      </c>
      <c r="D186" s="1014">
        <v>1.6</v>
      </c>
      <c r="E186" s="1015"/>
      <c r="F186" s="1015"/>
      <c r="G186" s="1016"/>
      <c r="H186" s="1014">
        <v>2</v>
      </c>
      <c r="I186" s="1015"/>
      <c r="J186" s="1015"/>
      <c r="K186" s="1016"/>
      <c r="L186" s="1014">
        <v>2.4</v>
      </c>
      <c r="M186" s="1015"/>
      <c r="N186" s="1015"/>
      <c r="O186" s="1016"/>
      <c r="P186" s="1014">
        <v>2.6</v>
      </c>
      <c r="Q186" s="1015"/>
      <c r="R186" s="1015"/>
      <c r="S186" s="1016"/>
      <c r="T186" s="1014">
        <v>3</v>
      </c>
      <c r="U186" s="1015"/>
      <c r="V186" s="1015"/>
      <c r="W186" s="1016"/>
      <c r="X186" s="879" t="s">
        <v>91</v>
      </c>
    </row>
    <row r="187" spans="1:24" ht="13.5" thickBot="1">
      <c r="A187" s="885"/>
      <c r="B187" s="885"/>
      <c r="C187" s="9" t="s">
        <v>233</v>
      </c>
      <c r="D187" s="966" t="s">
        <v>255</v>
      </c>
      <c r="E187" s="967"/>
      <c r="F187" s="967"/>
      <c r="G187" s="968"/>
      <c r="H187" s="1094">
        <v>1.5</v>
      </c>
      <c r="I187" s="1095"/>
      <c r="J187" s="1095"/>
      <c r="K187" s="1096"/>
      <c r="L187" s="1014">
        <v>1.5</v>
      </c>
      <c r="M187" s="1015"/>
      <c r="N187" s="1015"/>
      <c r="O187" s="1016"/>
      <c r="P187" s="1014">
        <v>1.6</v>
      </c>
      <c r="Q187" s="1015"/>
      <c r="R187" s="1015"/>
      <c r="S187" s="1016"/>
      <c r="T187" s="1014">
        <v>2.5</v>
      </c>
      <c r="U187" s="1015"/>
      <c r="V187" s="1015"/>
      <c r="W187" s="1016"/>
      <c r="X187" s="880"/>
    </row>
    <row r="188" spans="1:24" ht="12.95" customHeight="1" thickBot="1">
      <c r="A188" s="885"/>
      <c r="B188" s="885"/>
      <c r="C188" s="9" t="s">
        <v>234</v>
      </c>
      <c r="D188" s="957"/>
      <c r="E188" s="958"/>
      <c r="F188" s="958"/>
      <c r="G188" s="959"/>
      <c r="H188" s="957"/>
      <c r="I188" s="958"/>
      <c r="J188" s="958"/>
      <c r="K188" s="959"/>
      <c r="L188" s="1057" t="s">
        <v>910</v>
      </c>
      <c r="M188" s="1058"/>
      <c r="N188" s="1058"/>
      <c r="O188" s="1059"/>
      <c r="P188" s="1094">
        <f>'State Agg LFx3 (2015)'!P188</f>
        <v>1.25</v>
      </c>
      <c r="Q188" s="1095"/>
      <c r="R188" s="1095"/>
      <c r="S188" s="1096"/>
      <c r="T188" s="1094">
        <f>'State Agg LFx3 (2015)'!T188</f>
        <v>2.0499999999999998</v>
      </c>
      <c r="U188" s="1095"/>
      <c r="V188" s="1095"/>
      <c r="W188" s="1096"/>
      <c r="X188" s="880"/>
    </row>
    <row r="189" spans="1:24" ht="13.5" thickBot="1">
      <c r="A189" s="885"/>
      <c r="B189" s="885"/>
      <c r="C189" s="102" t="s">
        <v>236</v>
      </c>
      <c r="D189" s="1008" t="s">
        <v>416</v>
      </c>
      <c r="E189" s="1009"/>
      <c r="F189" s="1009"/>
      <c r="G189" s="1010"/>
      <c r="H189" s="1020">
        <v>2</v>
      </c>
      <c r="I189" s="1021"/>
      <c r="J189" s="1021"/>
      <c r="K189" s="1022"/>
      <c r="L189" s="1020">
        <v>2.7</v>
      </c>
      <c r="M189" s="1021"/>
      <c r="N189" s="1021"/>
      <c r="O189" s="1022"/>
      <c r="P189" s="1079" t="s">
        <v>788</v>
      </c>
      <c r="Q189" s="1080"/>
      <c r="R189" s="1080"/>
      <c r="S189" s="1081"/>
      <c r="T189" s="1020">
        <f>'State Agg LFx3 (2015)'!T189</f>
        <v>0</v>
      </c>
      <c r="U189" s="1021"/>
      <c r="V189" s="1021"/>
      <c r="W189" s="1022"/>
      <c r="X189" s="880"/>
    </row>
    <row r="190" spans="1:24" ht="13.5" thickBot="1">
      <c r="A190" s="885"/>
      <c r="B190" s="885"/>
      <c r="C190" s="102" t="s">
        <v>283</v>
      </c>
      <c r="D190" s="1017"/>
      <c r="E190" s="1018"/>
      <c r="F190" s="1018"/>
      <c r="G190" s="1019"/>
      <c r="H190" s="1017"/>
      <c r="I190" s="1018"/>
      <c r="J190" s="1018"/>
      <c r="K190" s="1019"/>
      <c r="L190" s="1020">
        <v>1.5</v>
      </c>
      <c r="M190" s="1021"/>
      <c r="N190" s="1021"/>
      <c r="O190" s="1022"/>
      <c r="P190" s="1020" t="s">
        <v>789</v>
      </c>
      <c r="Q190" s="1021"/>
      <c r="R190" s="1021"/>
      <c r="S190" s="1022"/>
      <c r="T190" s="1020">
        <f>'State Agg LFx3 (2015)'!T190</f>
        <v>0</v>
      </c>
      <c r="U190" s="1021"/>
      <c r="V190" s="1021"/>
      <c r="W190" s="1022"/>
      <c r="X190" s="880"/>
    </row>
    <row r="191" spans="1:24" ht="13.5" thickBot="1">
      <c r="A191" s="885"/>
      <c r="B191" s="885"/>
      <c r="C191" s="102" t="s">
        <v>284</v>
      </c>
      <c r="D191" s="1017"/>
      <c r="E191" s="1018"/>
      <c r="F191" s="1018"/>
      <c r="G191" s="1019"/>
      <c r="H191" s="1017"/>
      <c r="I191" s="1018"/>
      <c r="J191" s="1018"/>
      <c r="K191" s="1019"/>
      <c r="L191" s="1017"/>
      <c r="M191" s="1018"/>
      <c r="N191" s="1018"/>
      <c r="O191" s="1019"/>
      <c r="P191" s="1017"/>
      <c r="Q191" s="1018"/>
      <c r="R191" s="1018"/>
      <c r="S191" s="1019"/>
      <c r="T191" s="1020">
        <f>'State Agg LFx3 (2015)'!T191</f>
        <v>0</v>
      </c>
      <c r="U191" s="1021"/>
      <c r="V191" s="1021"/>
      <c r="W191" s="1022"/>
      <c r="X191" s="880"/>
    </row>
    <row r="192" spans="1:24" ht="13.5" thickBot="1">
      <c r="A192" s="885"/>
      <c r="B192" s="885"/>
      <c r="C192" s="998" t="s">
        <v>413</v>
      </c>
      <c r="D192" s="927" t="s">
        <v>4</v>
      </c>
      <c r="E192" s="928"/>
      <c r="F192" s="928"/>
      <c r="G192" s="928"/>
      <c r="H192" s="928"/>
      <c r="I192" s="928"/>
      <c r="J192" s="928"/>
      <c r="K192" s="928"/>
      <c r="L192" s="928"/>
      <c r="M192" s="928"/>
      <c r="N192" s="928"/>
      <c r="O192" s="928"/>
      <c r="P192" s="928"/>
      <c r="Q192" s="928"/>
      <c r="R192" s="928"/>
      <c r="S192" s="928"/>
      <c r="T192" s="928"/>
      <c r="U192" s="928"/>
      <c r="V192" s="928"/>
      <c r="W192" s="929"/>
      <c r="X192" s="880"/>
    </row>
    <row r="193" spans="1:24" ht="13.5" thickBot="1">
      <c r="A193" s="885"/>
      <c r="B193" s="869"/>
      <c r="C193" s="999"/>
      <c r="D193" s="930" t="s">
        <v>123</v>
      </c>
      <c r="E193" s="931"/>
      <c r="F193" s="931"/>
      <c r="G193" s="931"/>
      <c r="H193" s="931"/>
      <c r="I193" s="931"/>
      <c r="J193" s="931"/>
      <c r="K193" s="931"/>
      <c r="L193" s="931"/>
      <c r="M193" s="931"/>
      <c r="N193" s="931"/>
      <c r="O193" s="931"/>
      <c r="P193" s="931"/>
      <c r="Q193" s="931"/>
      <c r="R193" s="931"/>
      <c r="S193" s="931"/>
      <c r="T193" s="931"/>
      <c r="U193" s="931"/>
      <c r="V193" s="931"/>
      <c r="W193" s="932"/>
      <c r="X193" s="880"/>
    </row>
    <row r="194" spans="1:24" ht="13.5" thickBot="1">
      <c r="A194" s="885"/>
      <c r="B194" s="11" t="s">
        <v>33</v>
      </c>
      <c r="C194" s="12"/>
      <c r="D194" s="927" t="s">
        <v>78</v>
      </c>
      <c r="E194" s="928"/>
      <c r="F194" s="928"/>
      <c r="G194" s="929"/>
      <c r="H194" s="927" t="s">
        <v>77</v>
      </c>
      <c r="I194" s="928"/>
      <c r="J194" s="928"/>
      <c r="K194" s="929"/>
      <c r="L194" s="927" t="s">
        <v>81</v>
      </c>
      <c r="M194" s="928"/>
      <c r="N194" s="928"/>
      <c r="O194" s="929"/>
      <c r="P194" s="927" t="s">
        <v>254</v>
      </c>
      <c r="Q194" s="928"/>
      <c r="R194" s="928"/>
      <c r="S194" s="929"/>
      <c r="T194" s="927" t="s">
        <v>76</v>
      </c>
      <c r="U194" s="928"/>
      <c r="V194" s="928"/>
      <c r="W194" s="929"/>
      <c r="X194" s="880"/>
    </row>
    <row r="195" spans="1:24" ht="13.5" thickBot="1">
      <c r="A195" s="885"/>
      <c r="B195" s="868" t="s">
        <v>67</v>
      </c>
      <c r="C195" s="9" t="s">
        <v>235</v>
      </c>
      <c r="D195" s="1014">
        <v>1.2</v>
      </c>
      <c r="E195" s="1015"/>
      <c r="F195" s="1015"/>
      <c r="G195" s="1016"/>
      <c r="H195" s="1014">
        <v>1.8</v>
      </c>
      <c r="I195" s="1015"/>
      <c r="J195" s="1015"/>
      <c r="K195" s="1016"/>
      <c r="L195" s="1014">
        <v>2.4</v>
      </c>
      <c r="M195" s="1015"/>
      <c r="N195" s="1015"/>
      <c r="O195" s="1016"/>
      <c r="P195" s="1014">
        <v>2.7</v>
      </c>
      <c r="Q195" s="1015"/>
      <c r="R195" s="1015"/>
      <c r="S195" s="1016"/>
      <c r="T195" s="1014">
        <v>3</v>
      </c>
      <c r="U195" s="1015"/>
      <c r="V195" s="1015"/>
      <c r="W195" s="1016"/>
      <c r="X195" s="880"/>
    </row>
    <row r="196" spans="1:24" ht="13.5" thickBot="1">
      <c r="A196" s="885"/>
      <c r="B196" s="885"/>
      <c r="C196" s="9" t="s">
        <v>233</v>
      </c>
      <c r="D196" s="966" t="s">
        <v>255</v>
      </c>
      <c r="E196" s="967"/>
      <c r="F196" s="967"/>
      <c r="G196" s="968"/>
      <c r="H196" s="1094">
        <v>2.5</v>
      </c>
      <c r="I196" s="1095"/>
      <c r="J196" s="1095"/>
      <c r="K196" s="1096"/>
      <c r="L196" s="1014">
        <v>2.5</v>
      </c>
      <c r="M196" s="1015"/>
      <c r="N196" s="1015"/>
      <c r="O196" s="1016"/>
      <c r="P196" s="1014">
        <v>2.2999999999999998</v>
      </c>
      <c r="Q196" s="1015"/>
      <c r="R196" s="1015"/>
      <c r="S196" s="1016"/>
      <c r="T196" s="1014">
        <v>2.8</v>
      </c>
      <c r="U196" s="1015"/>
      <c r="V196" s="1015"/>
      <c r="W196" s="1016"/>
      <c r="X196" s="880"/>
    </row>
    <row r="197" spans="1:24" ht="12.95" customHeight="1" thickBot="1">
      <c r="A197" s="885"/>
      <c r="B197" s="885"/>
      <c r="C197" s="9" t="s">
        <v>234</v>
      </c>
      <c r="D197" s="957"/>
      <c r="E197" s="958"/>
      <c r="F197" s="958"/>
      <c r="G197" s="959"/>
      <c r="H197" s="957"/>
      <c r="I197" s="958"/>
      <c r="J197" s="958"/>
      <c r="K197" s="959"/>
      <c r="L197" s="1057" t="s">
        <v>910</v>
      </c>
      <c r="M197" s="1058"/>
      <c r="N197" s="1058"/>
      <c r="O197" s="1059"/>
      <c r="P197" s="1094">
        <f>'State Agg LFx3 (2015)'!P197</f>
        <v>1.8</v>
      </c>
      <c r="Q197" s="1095"/>
      <c r="R197" s="1095"/>
      <c r="S197" s="1096"/>
      <c r="T197" s="1094">
        <f>'State Agg LFx3 (2015)'!T197</f>
        <v>2.95</v>
      </c>
      <c r="U197" s="1095"/>
      <c r="V197" s="1095"/>
      <c r="W197" s="1096"/>
      <c r="X197" s="880"/>
    </row>
    <row r="198" spans="1:24" ht="13.5" thickBot="1">
      <c r="A198" s="885"/>
      <c r="B198" s="885"/>
      <c r="C198" s="102" t="s">
        <v>236</v>
      </c>
      <c r="D198" s="1008" t="s">
        <v>416</v>
      </c>
      <c r="E198" s="1009"/>
      <c r="F198" s="1009"/>
      <c r="G198" s="1010"/>
      <c r="H198" s="1020">
        <v>2.2999999999999998</v>
      </c>
      <c r="I198" s="1021"/>
      <c r="J198" s="1021"/>
      <c r="K198" s="1022"/>
      <c r="L198" s="1020">
        <v>2.7</v>
      </c>
      <c r="M198" s="1021"/>
      <c r="N198" s="1021"/>
      <c r="O198" s="1022"/>
      <c r="P198" s="1079">
        <v>4.0999999999999996</v>
      </c>
      <c r="Q198" s="1080"/>
      <c r="R198" s="1080"/>
      <c r="S198" s="1081"/>
      <c r="T198" s="1020">
        <f>'State Agg LFx3 (2015)'!T198</f>
        <v>0</v>
      </c>
      <c r="U198" s="1021"/>
      <c r="V198" s="1021"/>
      <c r="W198" s="1022"/>
      <c r="X198" s="880"/>
    </row>
    <row r="199" spans="1:24" ht="13.5" thickBot="1">
      <c r="A199" s="885"/>
      <c r="B199" s="885"/>
      <c r="C199" s="102" t="s">
        <v>283</v>
      </c>
      <c r="D199" s="1017"/>
      <c r="E199" s="1018"/>
      <c r="F199" s="1018"/>
      <c r="G199" s="1019"/>
      <c r="H199" s="1017"/>
      <c r="I199" s="1018"/>
      <c r="J199" s="1018"/>
      <c r="K199" s="1019"/>
      <c r="L199" s="1020">
        <v>2.5</v>
      </c>
      <c r="M199" s="1021"/>
      <c r="N199" s="1021"/>
      <c r="O199" s="1022"/>
      <c r="P199" s="1020" t="s">
        <v>790</v>
      </c>
      <c r="Q199" s="1021"/>
      <c r="R199" s="1021"/>
      <c r="S199" s="1022"/>
      <c r="T199" s="1020">
        <f>'State Agg LFx3 (2015)'!T199</f>
        <v>0</v>
      </c>
      <c r="U199" s="1021"/>
      <c r="V199" s="1021"/>
      <c r="W199" s="1022"/>
      <c r="X199" s="880"/>
    </row>
    <row r="200" spans="1:24" ht="13.5" thickBot="1">
      <c r="A200" s="885"/>
      <c r="B200" s="885"/>
      <c r="C200" s="102" t="s">
        <v>284</v>
      </c>
      <c r="D200" s="1017"/>
      <c r="E200" s="1018"/>
      <c r="F200" s="1018"/>
      <c r="G200" s="1019"/>
      <c r="H200" s="1017"/>
      <c r="I200" s="1018"/>
      <c r="J200" s="1018"/>
      <c r="K200" s="1019"/>
      <c r="L200" s="1017"/>
      <c r="M200" s="1018"/>
      <c r="N200" s="1018"/>
      <c r="O200" s="1019"/>
      <c r="P200" s="1017"/>
      <c r="Q200" s="1018"/>
      <c r="R200" s="1018"/>
      <c r="S200" s="1019"/>
      <c r="T200" s="1020">
        <f>'State Agg LFx3 (2015)'!T200</f>
        <v>0</v>
      </c>
      <c r="U200" s="1021"/>
      <c r="V200" s="1021"/>
      <c r="W200" s="1022"/>
      <c r="X200" s="880"/>
    </row>
    <row r="201" spans="1:24" ht="13.5" thickBot="1">
      <c r="A201" s="885"/>
      <c r="B201" s="885"/>
      <c r="C201" s="998" t="s">
        <v>413</v>
      </c>
      <c r="D201" s="927" t="s">
        <v>4</v>
      </c>
      <c r="E201" s="928"/>
      <c r="F201" s="928"/>
      <c r="G201" s="928"/>
      <c r="H201" s="928"/>
      <c r="I201" s="928"/>
      <c r="J201" s="928"/>
      <c r="K201" s="928"/>
      <c r="L201" s="928"/>
      <c r="M201" s="928"/>
      <c r="N201" s="928"/>
      <c r="O201" s="928"/>
      <c r="P201" s="928"/>
      <c r="Q201" s="928"/>
      <c r="R201" s="928"/>
      <c r="S201" s="928"/>
      <c r="T201" s="928"/>
      <c r="U201" s="928"/>
      <c r="V201" s="928"/>
      <c r="W201" s="929"/>
      <c r="X201" s="880"/>
    </row>
    <row r="202" spans="1:24" ht="13.5" thickBot="1">
      <c r="A202" s="885"/>
      <c r="B202" s="869"/>
      <c r="C202" s="999"/>
      <c r="D202" s="930" t="s">
        <v>123</v>
      </c>
      <c r="E202" s="931"/>
      <c r="F202" s="931"/>
      <c r="G202" s="931"/>
      <c r="H202" s="931"/>
      <c r="I202" s="931"/>
      <c r="J202" s="931"/>
      <c r="K202" s="931"/>
      <c r="L202" s="931"/>
      <c r="M202" s="931"/>
      <c r="N202" s="931"/>
      <c r="O202" s="931"/>
      <c r="P202" s="931"/>
      <c r="Q202" s="931"/>
      <c r="R202" s="931"/>
      <c r="S202" s="931"/>
      <c r="T202" s="931"/>
      <c r="U202" s="931"/>
      <c r="V202" s="931"/>
      <c r="W202" s="932"/>
      <c r="X202" s="880"/>
    </row>
    <row r="203" spans="1:24" ht="13.5" thickBot="1">
      <c r="A203" s="885"/>
      <c r="B203" s="11" t="s">
        <v>34</v>
      </c>
      <c r="C203" s="12"/>
      <c r="D203" s="927" t="s">
        <v>78</v>
      </c>
      <c r="E203" s="928"/>
      <c r="F203" s="928"/>
      <c r="G203" s="929"/>
      <c r="H203" s="927" t="s">
        <v>77</v>
      </c>
      <c r="I203" s="928"/>
      <c r="J203" s="928"/>
      <c r="K203" s="929"/>
      <c r="L203" s="927" t="s">
        <v>81</v>
      </c>
      <c r="M203" s="928"/>
      <c r="N203" s="928"/>
      <c r="O203" s="929"/>
      <c r="P203" s="927" t="s">
        <v>254</v>
      </c>
      <c r="Q203" s="928"/>
      <c r="R203" s="928"/>
      <c r="S203" s="929"/>
      <c r="T203" s="927" t="s">
        <v>76</v>
      </c>
      <c r="U203" s="928"/>
      <c r="V203" s="928"/>
      <c r="W203" s="929"/>
      <c r="X203" s="880"/>
    </row>
    <row r="204" spans="1:24" ht="13.5" thickBot="1">
      <c r="A204" s="885"/>
      <c r="B204" s="868" t="s">
        <v>68</v>
      </c>
      <c r="C204" s="9" t="s">
        <v>235</v>
      </c>
      <c r="D204" s="1014">
        <v>1</v>
      </c>
      <c r="E204" s="1015"/>
      <c r="F204" s="1015"/>
      <c r="G204" s="1016"/>
      <c r="H204" s="1014">
        <v>1.6</v>
      </c>
      <c r="I204" s="1015"/>
      <c r="J204" s="1015"/>
      <c r="K204" s="1016"/>
      <c r="L204" s="1014">
        <v>2.2000000000000002</v>
      </c>
      <c r="M204" s="1015"/>
      <c r="N204" s="1015"/>
      <c r="O204" s="1016"/>
      <c r="P204" s="1014">
        <v>2.6</v>
      </c>
      <c r="Q204" s="1015"/>
      <c r="R204" s="1015"/>
      <c r="S204" s="1016"/>
      <c r="T204" s="1014">
        <v>3</v>
      </c>
      <c r="U204" s="1015"/>
      <c r="V204" s="1015"/>
      <c r="W204" s="1016"/>
      <c r="X204" s="880"/>
    </row>
    <row r="205" spans="1:24" ht="13.5" thickBot="1">
      <c r="A205" s="885"/>
      <c r="B205" s="885"/>
      <c r="C205" s="9" t="s">
        <v>233</v>
      </c>
      <c r="D205" s="966" t="s">
        <v>255</v>
      </c>
      <c r="E205" s="967"/>
      <c r="F205" s="967"/>
      <c r="G205" s="968"/>
      <c r="H205" s="1094">
        <v>1.6</v>
      </c>
      <c r="I205" s="1095"/>
      <c r="J205" s="1095"/>
      <c r="K205" s="1096"/>
      <c r="L205" s="1014">
        <v>1.6</v>
      </c>
      <c r="M205" s="1015"/>
      <c r="N205" s="1015"/>
      <c r="O205" s="1016"/>
      <c r="P205" s="1014">
        <v>1.7</v>
      </c>
      <c r="Q205" s="1015"/>
      <c r="R205" s="1015"/>
      <c r="S205" s="1016"/>
      <c r="T205" s="1014">
        <v>2.5</v>
      </c>
      <c r="U205" s="1015"/>
      <c r="V205" s="1015"/>
      <c r="W205" s="1016"/>
      <c r="X205" s="880"/>
    </row>
    <row r="206" spans="1:24" ht="12.95" customHeight="1" thickBot="1">
      <c r="A206" s="885"/>
      <c r="B206" s="885"/>
      <c r="C206" s="9" t="s">
        <v>234</v>
      </c>
      <c r="D206" s="957"/>
      <c r="E206" s="958"/>
      <c r="F206" s="958"/>
      <c r="G206" s="959"/>
      <c r="H206" s="957"/>
      <c r="I206" s="958"/>
      <c r="J206" s="958"/>
      <c r="K206" s="959"/>
      <c r="L206" s="1057" t="s">
        <v>910</v>
      </c>
      <c r="M206" s="1058"/>
      <c r="N206" s="1058"/>
      <c r="O206" s="1059"/>
      <c r="P206" s="1094">
        <f>'State Agg LFx3 (2015)'!P206</f>
        <v>1.1000000000000001</v>
      </c>
      <c r="Q206" s="1095"/>
      <c r="R206" s="1095"/>
      <c r="S206" s="1096"/>
      <c r="T206" s="1094">
        <f>'State Agg LFx3 (2015)'!T206</f>
        <v>1.85</v>
      </c>
      <c r="U206" s="1095"/>
      <c r="V206" s="1095"/>
      <c r="W206" s="1096"/>
      <c r="X206" s="880"/>
    </row>
    <row r="207" spans="1:24" ht="13.5" thickBot="1">
      <c r="A207" s="885"/>
      <c r="B207" s="885"/>
      <c r="C207" s="102" t="s">
        <v>236</v>
      </c>
      <c r="D207" s="1008" t="s">
        <v>416</v>
      </c>
      <c r="E207" s="1009"/>
      <c r="F207" s="1009"/>
      <c r="G207" s="1010"/>
      <c r="H207" s="1020">
        <v>1.9</v>
      </c>
      <c r="I207" s="1021"/>
      <c r="J207" s="1021"/>
      <c r="K207" s="1022"/>
      <c r="L207" s="1020">
        <v>2.2000000000000002</v>
      </c>
      <c r="M207" s="1021"/>
      <c r="N207" s="1021"/>
      <c r="O207" s="1022"/>
      <c r="P207" s="1079">
        <v>2.8</v>
      </c>
      <c r="Q207" s="1080"/>
      <c r="R207" s="1080"/>
      <c r="S207" s="1081"/>
      <c r="T207" s="1020">
        <f>'State Agg LFx3 (2015)'!T207</f>
        <v>0</v>
      </c>
      <c r="U207" s="1021"/>
      <c r="V207" s="1021"/>
      <c r="W207" s="1022"/>
      <c r="X207" s="880"/>
    </row>
    <row r="208" spans="1:24" ht="13.5" thickBot="1">
      <c r="A208" s="885"/>
      <c r="B208" s="885"/>
      <c r="C208" s="102" t="s">
        <v>283</v>
      </c>
      <c r="D208" s="1017"/>
      <c r="E208" s="1018"/>
      <c r="F208" s="1018"/>
      <c r="G208" s="1019"/>
      <c r="H208" s="1017"/>
      <c r="I208" s="1018"/>
      <c r="J208" s="1018"/>
      <c r="K208" s="1019"/>
      <c r="L208" s="1020">
        <v>1.6</v>
      </c>
      <c r="M208" s="1021"/>
      <c r="N208" s="1021"/>
      <c r="O208" s="1022"/>
      <c r="P208" s="1020" t="s">
        <v>791</v>
      </c>
      <c r="Q208" s="1021"/>
      <c r="R208" s="1021"/>
      <c r="S208" s="1022"/>
      <c r="T208" s="1020">
        <f>'State Agg LFx3 (2015)'!T208</f>
        <v>0</v>
      </c>
      <c r="U208" s="1021"/>
      <c r="V208" s="1021"/>
      <c r="W208" s="1022"/>
      <c r="X208" s="880"/>
    </row>
    <row r="209" spans="1:24" ht="13.5" thickBot="1">
      <c r="A209" s="885"/>
      <c r="B209" s="885"/>
      <c r="C209" s="102" t="s">
        <v>284</v>
      </c>
      <c r="D209" s="1017"/>
      <c r="E209" s="1018"/>
      <c r="F209" s="1018"/>
      <c r="G209" s="1019"/>
      <c r="H209" s="1017"/>
      <c r="I209" s="1018"/>
      <c r="J209" s="1018"/>
      <c r="K209" s="1019"/>
      <c r="L209" s="1017"/>
      <c r="M209" s="1018"/>
      <c r="N209" s="1018"/>
      <c r="O209" s="1019"/>
      <c r="P209" s="1017"/>
      <c r="Q209" s="1018"/>
      <c r="R209" s="1018"/>
      <c r="S209" s="1019"/>
      <c r="T209" s="1020">
        <f>'State Agg LFx3 (2015)'!T209</f>
        <v>0</v>
      </c>
      <c r="U209" s="1021"/>
      <c r="V209" s="1021"/>
      <c r="W209" s="1022"/>
      <c r="X209" s="880"/>
    </row>
    <row r="210" spans="1:24" ht="13.5" thickBot="1">
      <c r="A210" s="885"/>
      <c r="B210" s="885"/>
      <c r="C210" s="998" t="s">
        <v>413</v>
      </c>
      <c r="D210" s="927" t="s">
        <v>4</v>
      </c>
      <c r="E210" s="928"/>
      <c r="F210" s="928"/>
      <c r="G210" s="928"/>
      <c r="H210" s="928"/>
      <c r="I210" s="928"/>
      <c r="J210" s="928"/>
      <c r="K210" s="928"/>
      <c r="L210" s="928"/>
      <c r="M210" s="928"/>
      <c r="N210" s="928"/>
      <c r="O210" s="928"/>
      <c r="P210" s="928"/>
      <c r="Q210" s="928"/>
      <c r="R210" s="928"/>
      <c r="S210" s="928"/>
      <c r="T210" s="928"/>
      <c r="U210" s="928"/>
      <c r="V210" s="928"/>
      <c r="W210" s="929"/>
      <c r="X210" s="880"/>
    </row>
    <row r="211" spans="1:24" ht="13.5" thickBot="1">
      <c r="A211" s="885"/>
      <c r="B211" s="869"/>
      <c r="C211" s="999"/>
      <c r="D211" s="930" t="s">
        <v>123</v>
      </c>
      <c r="E211" s="931"/>
      <c r="F211" s="931"/>
      <c r="G211" s="931"/>
      <c r="H211" s="931"/>
      <c r="I211" s="931"/>
      <c r="J211" s="931"/>
      <c r="K211" s="931"/>
      <c r="L211" s="931"/>
      <c r="M211" s="931"/>
      <c r="N211" s="931"/>
      <c r="O211" s="931"/>
      <c r="P211" s="931"/>
      <c r="Q211" s="931"/>
      <c r="R211" s="931"/>
      <c r="S211" s="931"/>
      <c r="T211" s="931"/>
      <c r="U211" s="931"/>
      <c r="V211" s="931"/>
      <c r="W211" s="932"/>
      <c r="X211" s="880"/>
    </row>
    <row r="212" spans="1:24" ht="13.5" thickBot="1">
      <c r="A212" s="885"/>
      <c r="B212" s="11" t="s">
        <v>41</v>
      </c>
      <c r="C212" s="12"/>
      <c r="D212" s="927" t="s">
        <v>78</v>
      </c>
      <c r="E212" s="928"/>
      <c r="F212" s="928"/>
      <c r="G212" s="929"/>
      <c r="H212" s="927" t="s">
        <v>77</v>
      </c>
      <c r="I212" s="928"/>
      <c r="J212" s="928"/>
      <c r="K212" s="929"/>
      <c r="L212" s="927" t="s">
        <v>81</v>
      </c>
      <c r="M212" s="928"/>
      <c r="N212" s="928"/>
      <c r="O212" s="929"/>
      <c r="P212" s="927" t="s">
        <v>254</v>
      </c>
      <c r="Q212" s="928"/>
      <c r="R212" s="928"/>
      <c r="S212" s="929"/>
      <c r="T212" s="927" t="s">
        <v>76</v>
      </c>
      <c r="U212" s="928"/>
      <c r="V212" s="928"/>
      <c r="W212" s="929"/>
      <c r="X212" s="880"/>
    </row>
    <row r="213" spans="1:24" ht="13.5" thickBot="1">
      <c r="A213" s="885"/>
      <c r="B213" s="868" t="s">
        <v>69</v>
      </c>
      <c r="C213" s="9" t="s">
        <v>235</v>
      </c>
      <c r="D213" s="1014">
        <v>1.2</v>
      </c>
      <c r="E213" s="1015"/>
      <c r="F213" s="1015"/>
      <c r="G213" s="1016"/>
      <c r="H213" s="1014">
        <v>1.6</v>
      </c>
      <c r="I213" s="1015"/>
      <c r="J213" s="1015"/>
      <c r="K213" s="1016"/>
      <c r="L213" s="1014">
        <v>2.2000000000000002</v>
      </c>
      <c r="M213" s="1015"/>
      <c r="N213" s="1015"/>
      <c r="O213" s="1016"/>
      <c r="P213" s="1014">
        <v>2.6</v>
      </c>
      <c r="Q213" s="1015"/>
      <c r="R213" s="1015"/>
      <c r="S213" s="1016"/>
      <c r="T213" s="1014">
        <v>3</v>
      </c>
      <c r="U213" s="1015"/>
      <c r="V213" s="1015"/>
      <c r="W213" s="1016"/>
      <c r="X213" s="880"/>
    </row>
    <row r="214" spans="1:24" ht="13.5" thickBot="1">
      <c r="A214" s="885"/>
      <c r="B214" s="885"/>
      <c r="C214" s="9" t="s">
        <v>233</v>
      </c>
      <c r="D214" s="966" t="s">
        <v>255</v>
      </c>
      <c r="E214" s="967"/>
      <c r="F214" s="967"/>
      <c r="G214" s="968"/>
      <c r="H214" s="1014">
        <v>1.7</v>
      </c>
      <c r="I214" s="1015"/>
      <c r="J214" s="1015"/>
      <c r="K214" s="1016"/>
      <c r="L214" s="1014">
        <v>1.7</v>
      </c>
      <c r="M214" s="1015"/>
      <c r="N214" s="1015"/>
      <c r="O214" s="1016"/>
      <c r="P214" s="1014">
        <v>1.8</v>
      </c>
      <c r="Q214" s="1015"/>
      <c r="R214" s="1015"/>
      <c r="S214" s="1016"/>
      <c r="T214" s="1014">
        <v>2.5</v>
      </c>
      <c r="U214" s="1015"/>
      <c r="V214" s="1015"/>
      <c r="W214" s="1016"/>
      <c r="X214" s="880"/>
    </row>
    <row r="215" spans="1:24" ht="12.95" customHeight="1" thickBot="1">
      <c r="A215" s="885"/>
      <c r="B215" s="885"/>
      <c r="C215" s="9" t="s">
        <v>234</v>
      </c>
      <c r="D215" s="957"/>
      <c r="E215" s="958"/>
      <c r="F215" s="958"/>
      <c r="G215" s="959"/>
      <c r="H215" s="957"/>
      <c r="I215" s="958"/>
      <c r="J215" s="958"/>
      <c r="K215" s="959"/>
      <c r="L215" s="1057" t="s">
        <v>910</v>
      </c>
      <c r="M215" s="1058"/>
      <c r="N215" s="1058"/>
      <c r="O215" s="1059"/>
      <c r="P215" s="1094">
        <f>'State Agg LFx3 (2015)'!P215</f>
        <v>1.25</v>
      </c>
      <c r="Q215" s="1095"/>
      <c r="R215" s="1095"/>
      <c r="S215" s="1096"/>
      <c r="T215" s="1094">
        <f>'State Agg LFx3 (2015)'!T215</f>
        <v>1.8</v>
      </c>
      <c r="U215" s="1095"/>
      <c r="V215" s="1095"/>
      <c r="W215" s="1096"/>
      <c r="X215" s="880"/>
    </row>
    <row r="216" spans="1:24" ht="13.5" thickBot="1">
      <c r="A216" s="885"/>
      <c r="B216" s="885"/>
      <c r="C216" s="102" t="s">
        <v>236</v>
      </c>
      <c r="D216" s="1008" t="s">
        <v>416</v>
      </c>
      <c r="E216" s="1009"/>
      <c r="F216" s="1009"/>
      <c r="G216" s="1010"/>
      <c r="H216" s="1020">
        <v>1.9</v>
      </c>
      <c r="I216" s="1021"/>
      <c r="J216" s="1021"/>
      <c r="K216" s="1022"/>
      <c r="L216" s="1020">
        <v>2.1</v>
      </c>
      <c r="M216" s="1021"/>
      <c r="N216" s="1021"/>
      <c r="O216" s="1022"/>
      <c r="P216" s="1079" t="s">
        <v>792</v>
      </c>
      <c r="Q216" s="1080"/>
      <c r="R216" s="1080"/>
      <c r="S216" s="1081"/>
      <c r="T216" s="1020">
        <f>'State Agg LFx3 (2015)'!T216</f>
        <v>0</v>
      </c>
      <c r="U216" s="1021"/>
      <c r="V216" s="1021"/>
      <c r="W216" s="1022"/>
      <c r="X216" s="880"/>
    </row>
    <row r="217" spans="1:24" ht="13.5" thickBot="1">
      <c r="A217" s="885"/>
      <c r="B217" s="885"/>
      <c r="C217" s="102" t="s">
        <v>283</v>
      </c>
      <c r="D217" s="1017"/>
      <c r="E217" s="1018"/>
      <c r="F217" s="1018"/>
      <c r="G217" s="1019"/>
      <c r="H217" s="1017"/>
      <c r="I217" s="1018"/>
      <c r="J217" s="1018"/>
      <c r="K217" s="1019"/>
      <c r="L217" s="1020">
        <v>1.7</v>
      </c>
      <c r="M217" s="1021"/>
      <c r="N217" s="1021"/>
      <c r="O217" s="1022"/>
      <c r="P217" s="1020" t="s">
        <v>793</v>
      </c>
      <c r="Q217" s="1021"/>
      <c r="R217" s="1021"/>
      <c r="S217" s="1022"/>
      <c r="T217" s="1020">
        <f>'State Agg LFx3 (2015)'!T217</f>
        <v>0</v>
      </c>
      <c r="U217" s="1021"/>
      <c r="V217" s="1021"/>
      <c r="W217" s="1022"/>
      <c r="X217" s="880"/>
    </row>
    <row r="218" spans="1:24" ht="13.5" thickBot="1">
      <c r="A218" s="885"/>
      <c r="B218" s="885"/>
      <c r="C218" s="102" t="s">
        <v>284</v>
      </c>
      <c r="D218" s="1017"/>
      <c r="E218" s="1018"/>
      <c r="F218" s="1018"/>
      <c r="G218" s="1019"/>
      <c r="H218" s="1017"/>
      <c r="I218" s="1018"/>
      <c r="J218" s="1018"/>
      <c r="K218" s="1019"/>
      <c r="L218" s="1017"/>
      <c r="M218" s="1018"/>
      <c r="N218" s="1018"/>
      <c r="O218" s="1019"/>
      <c r="P218" s="1017"/>
      <c r="Q218" s="1018"/>
      <c r="R218" s="1018"/>
      <c r="S218" s="1019"/>
      <c r="T218" s="1020">
        <f>'State Agg LFx3 (2015)'!T218</f>
        <v>0</v>
      </c>
      <c r="U218" s="1021"/>
      <c r="V218" s="1021"/>
      <c r="W218" s="1022"/>
      <c r="X218" s="880"/>
    </row>
    <row r="219" spans="1:24" ht="13.5" thickBot="1">
      <c r="A219" s="885"/>
      <c r="B219" s="885"/>
      <c r="C219" s="998" t="s">
        <v>413</v>
      </c>
      <c r="D219" s="927" t="s">
        <v>4</v>
      </c>
      <c r="E219" s="928"/>
      <c r="F219" s="928"/>
      <c r="G219" s="928"/>
      <c r="H219" s="928"/>
      <c r="I219" s="928"/>
      <c r="J219" s="928"/>
      <c r="K219" s="928"/>
      <c r="L219" s="928"/>
      <c r="M219" s="928"/>
      <c r="N219" s="928"/>
      <c r="O219" s="928"/>
      <c r="P219" s="928"/>
      <c r="Q219" s="928"/>
      <c r="R219" s="928"/>
      <c r="S219" s="928"/>
      <c r="T219" s="928"/>
      <c r="U219" s="928"/>
      <c r="V219" s="928"/>
      <c r="W219" s="929"/>
      <c r="X219" s="880"/>
    </row>
    <row r="220" spans="1:24" ht="13.5" thickBot="1">
      <c r="A220" s="885"/>
      <c r="B220" s="869"/>
      <c r="C220" s="999"/>
      <c r="D220" s="930" t="s">
        <v>123</v>
      </c>
      <c r="E220" s="931"/>
      <c r="F220" s="931"/>
      <c r="G220" s="931"/>
      <c r="H220" s="931"/>
      <c r="I220" s="931"/>
      <c r="J220" s="931"/>
      <c r="K220" s="931"/>
      <c r="L220" s="931"/>
      <c r="M220" s="931"/>
      <c r="N220" s="931"/>
      <c r="O220" s="931"/>
      <c r="P220" s="931"/>
      <c r="Q220" s="931"/>
      <c r="R220" s="931"/>
      <c r="S220" s="931"/>
      <c r="T220" s="931"/>
      <c r="U220" s="931"/>
      <c r="V220" s="931"/>
      <c r="W220" s="932"/>
      <c r="X220" s="880"/>
    </row>
    <row r="221" spans="1:24" ht="13.5" thickBot="1">
      <c r="A221" s="885"/>
      <c r="B221" s="11" t="s">
        <v>42</v>
      </c>
      <c r="C221" s="28"/>
      <c r="D221" s="927" t="s">
        <v>78</v>
      </c>
      <c r="E221" s="928"/>
      <c r="F221" s="928"/>
      <c r="G221" s="929"/>
      <c r="H221" s="927" t="s">
        <v>77</v>
      </c>
      <c r="I221" s="928"/>
      <c r="J221" s="928"/>
      <c r="K221" s="929"/>
      <c r="L221" s="927" t="s">
        <v>81</v>
      </c>
      <c r="M221" s="928"/>
      <c r="N221" s="928"/>
      <c r="O221" s="929"/>
      <c r="P221" s="927" t="s">
        <v>254</v>
      </c>
      <c r="Q221" s="928"/>
      <c r="R221" s="928"/>
      <c r="S221" s="929"/>
      <c r="T221" s="927" t="s">
        <v>76</v>
      </c>
      <c r="U221" s="928"/>
      <c r="V221" s="928"/>
      <c r="W221" s="929"/>
      <c r="X221" s="880"/>
    </row>
    <row r="222" spans="1:24" ht="18.95" customHeight="1" thickBot="1">
      <c r="A222" s="885"/>
      <c r="B222" s="868" t="s">
        <v>180</v>
      </c>
      <c r="C222" s="26"/>
      <c r="D222" s="955" t="s">
        <v>99</v>
      </c>
      <c r="E222" s="956"/>
      <c r="F222" s="955" t="s">
        <v>100</v>
      </c>
      <c r="G222" s="956"/>
      <c r="H222" s="955" t="s">
        <v>99</v>
      </c>
      <c r="I222" s="956"/>
      <c r="J222" s="955" t="s">
        <v>100</v>
      </c>
      <c r="K222" s="956"/>
      <c r="L222" s="955" t="s">
        <v>99</v>
      </c>
      <c r="M222" s="956"/>
      <c r="N222" s="955" t="s">
        <v>100</v>
      </c>
      <c r="O222" s="956"/>
      <c r="P222" s="955" t="s">
        <v>99</v>
      </c>
      <c r="Q222" s="956"/>
      <c r="R222" s="955" t="s">
        <v>100</v>
      </c>
      <c r="S222" s="956"/>
      <c r="T222" s="955" t="s">
        <v>99</v>
      </c>
      <c r="U222" s="956"/>
      <c r="V222" s="955" t="s">
        <v>100</v>
      </c>
      <c r="W222" s="956"/>
      <c r="X222" s="880"/>
    </row>
    <row r="223" spans="1:24" ht="13.5" thickBot="1">
      <c r="A223" s="885"/>
      <c r="B223" s="885"/>
      <c r="C223" s="9" t="s">
        <v>247</v>
      </c>
      <c r="D223" s="1006">
        <v>0</v>
      </c>
      <c r="E223" s="1007"/>
      <c r="F223" s="1006">
        <v>0</v>
      </c>
      <c r="G223" s="1007"/>
      <c r="H223" s="1006">
        <v>20</v>
      </c>
      <c r="I223" s="1007"/>
      <c r="J223" s="1006">
        <v>10</v>
      </c>
      <c r="K223" s="1007"/>
      <c r="L223" s="1138">
        <v>34</v>
      </c>
      <c r="M223" s="1139"/>
      <c r="N223" s="1138">
        <v>13</v>
      </c>
      <c r="O223" s="1139"/>
      <c r="P223" s="1138">
        <v>45</v>
      </c>
      <c r="Q223" s="1139"/>
      <c r="R223" s="1006">
        <v>20</v>
      </c>
      <c r="S223" s="1007"/>
      <c r="T223" s="1006">
        <v>60</v>
      </c>
      <c r="U223" s="1007"/>
      <c r="V223" s="1006">
        <v>25</v>
      </c>
      <c r="W223" s="1007"/>
      <c r="X223" s="880"/>
    </row>
    <row r="224" spans="1:24" ht="13.5" thickBot="1">
      <c r="A224" s="869"/>
      <c r="B224" s="885"/>
      <c r="C224" s="102" t="s">
        <v>246</v>
      </c>
      <c r="D224" s="1011" t="s">
        <v>171</v>
      </c>
      <c r="E224" s="1012"/>
      <c r="F224" s="1012"/>
      <c r="G224" s="1013"/>
      <c r="H224" s="1011" t="s">
        <v>417</v>
      </c>
      <c r="I224" s="1012"/>
      <c r="J224" s="1012"/>
      <c r="K224" s="1013"/>
      <c r="L224" s="995">
        <v>26</v>
      </c>
      <c r="M224" s="997"/>
      <c r="N224" s="995">
        <v>14</v>
      </c>
      <c r="O224" s="997"/>
      <c r="P224" s="995">
        <v>48</v>
      </c>
      <c r="Q224" s="997"/>
      <c r="R224" s="995">
        <v>24</v>
      </c>
      <c r="S224" s="997"/>
      <c r="T224" s="995">
        <f>'State Agg LFx3 (2015)'!T224</f>
        <v>0</v>
      </c>
      <c r="U224" s="997"/>
      <c r="V224" s="995">
        <f>'State Agg LFx3 (2015)'!V224</f>
        <v>0</v>
      </c>
      <c r="W224" s="997"/>
      <c r="X224" s="881"/>
    </row>
    <row r="225" spans="1:24" ht="13.5" thickBot="1">
      <c r="A225" s="468" t="s">
        <v>13</v>
      </c>
      <c r="B225" s="466" t="s">
        <v>178</v>
      </c>
      <c r="C225" s="998" t="s">
        <v>413</v>
      </c>
      <c r="D225" s="927" t="s">
        <v>4</v>
      </c>
      <c r="E225" s="928"/>
      <c r="F225" s="928"/>
      <c r="G225" s="928"/>
      <c r="H225" s="928"/>
      <c r="I225" s="928"/>
      <c r="J225" s="928"/>
      <c r="K225" s="928"/>
      <c r="L225" s="928"/>
      <c r="M225" s="928"/>
      <c r="N225" s="928"/>
      <c r="O225" s="928"/>
      <c r="P225" s="928"/>
      <c r="Q225" s="928"/>
      <c r="R225" s="928"/>
      <c r="S225" s="928"/>
      <c r="T225" s="928"/>
      <c r="U225" s="928"/>
      <c r="V225" s="928"/>
      <c r="W225" s="929"/>
      <c r="X225" s="24" t="s">
        <v>14</v>
      </c>
    </row>
    <row r="226" spans="1:24" ht="13.5" thickBot="1">
      <c r="A226" s="25" t="s">
        <v>74</v>
      </c>
      <c r="B226" s="465"/>
      <c r="C226" s="999"/>
      <c r="D226" s="930" t="s">
        <v>124</v>
      </c>
      <c r="E226" s="931"/>
      <c r="F226" s="931"/>
      <c r="G226" s="931"/>
      <c r="H226" s="931"/>
      <c r="I226" s="931"/>
      <c r="J226" s="931"/>
      <c r="K226" s="931"/>
      <c r="L226" s="931"/>
      <c r="M226" s="931"/>
      <c r="N226" s="931"/>
      <c r="O226" s="931"/>
      <c r="P226" s="931"/>
      <c r="Q226" s="931"/>
      <c r="R226" s="931"/>
      <c r="S226" s="931"/>
      <c r="T226" s="931"/>
      <c r="U226" s="931"/>
      <c r="V226" s="931"/>
      <c r="W226" s="932"/>
      <c r="X226" s="18" t="s">
        <v>93</v>
      </c>
    </row>
    <row r="227" spans="1:24" ht="13.5" thickBot="1">
      <c r="A227" s="906" t="s">
        <v>7</v>
      </c>
      <c r="B227" s="908" t="s">
        <v>173</v>
      </c>
      <c r="C227" s="918"/>
      <c r="D227" s="908" t="s">
        <v>8</v>
      </c>
      <c r="E227" s="918"/>
      <c r="F227" s="918"/>
      <c r="G227" s="909"/>
      <c r="H227" s="908" t="s">
        <v>88</v>
      </c>
      <c r="I227" s="918"/>
      <c r="J227" s="918"/>
      <c r="K227" s="909"/>
      <c r="L227" s="908" t="s">
        <v>89</v>
      </c>
      <c r="M227" s="918"/>
      <c r="N227" s="918"/>
      <c r="O227" s="909"/>
      <c r="P227" s="908" t="s">
        <v>9</v>
      </c>
      <c r="Q227" s="918"/>
      <c r="R227" s="918"/>
      <c r="S227" s="909"/>
      <c r="T227" s="908" t="s">
        <v>174</v>
      </c>
      <c r="U227" s="918"/>
      <c r="V227" s="918"/>
      <c r="W227" s="918"/>
      <c r="X227" s="909"/>
    </row>
    <row r="228" spans="1:24" ht="13.5" thickBot="1">
      <c r="A228" s="907"/>
      <c r="B228" s="919">
        <v>10300000</v>
      </c>
      <c r="C228" s="921"/>
      <c r="D228" s="919">
        <v>0</v>
      </c>
      <c r="E228" s="921"/>
      <c r="F228" s="921"/>
      <c r="G228" s="920"/>
      <c r="H228" s="919">
        <v>5500000</v>
      </c>
      <c r="I228" s="921"/>
      <c r="J228" s="921"/>
      <c r="K228" s="920"/>
      <c r="L228" s="919">
        <v>3100000</v>
      </c>
      <c r="M228" s="921"/>
      <c r="N228" s="921"/>
      <c r="O228" s="920"/>
      <c r="P228" s="919">
        <f>SUM(B228:O228)</f>
        <v>18900000</v>
      </c>
      <c r="Q228" s="921"/>
      <c r="R228" s="921"/>
      <c r="S228" s="920"/>
      <c r="T228" s="942">
        <f>B228/P228%</f>
        <v>54.4973544973545</v>
      </c>
      <c r="U228" s="943"/>
      <c r="V228" s="943"/>
      <c r="W228" s="943"/>
      <c r="X228" s="944"/>
    </row>
    <row r="229" spans="1:24" ht="13.5" thickBot="1">
      <c r="A229" s="906" t="s">
        <v>10</v>
      </c>
      <c r="B229" s="908" t="s">
        <v>175</v>
      </c>
      <c r="C229" s="918"/>
      <c r="D229" s="910"/>
      <c r="E229" s="911"/>
      <c r="F229" s="911"/>
      <c r="G229" s="911"/>
      <c r="H229" s="911"/>
      <c r="I229" s="911"/>
      <c r="J229" s="911"/>
      <c r="K229" s="911"/>
      <c r="L229" s="911"/>
      <c r="M229" s="911"/>
      <c r="N229" s="911"/>
      <c r="O229" s="911"/>
      <c r="P229" s="911"/>
      <c r="Q229" s="911"/>
      <c r="R229" s="911"/>
      <c r="S229" s="911"/>
      <c r="T229" s="911"/>
      <c r="U229" s="911"/>
      <c r="V229" s="911"/>
      <c r="W229" s="911"/>
      <c r="X229" s="912"/>
    </row>
    <row r="230" spans="1:24" ht="13.5" thickBot="1">
      <c r="A230" s="907"/>
      <c r="B230" s="916"/>
      <c r="C230" s="994"/>
      <c r="D230" s="913"/>
      <c r="E230" s="914"/>
      <c r="F230" s="914"/>
      <c r="G230" s="914"/>
      <c r="H230" s="914"/>
      <c r="I230" s="914"/>
      <c r="J230" s="914"/>
      <c r="K230" s="914"/>
      <c r="L230" s="914"/>
      <c r="M230" s="914"/>
      <c r="N230" s="914"/>
      <c r="O230" s="914"/>
      <c r="P230" s="914"/>
      <c r="Q230" s="914"/>
      <c r="R230" s="914"/>
      <c r="S230" s="914"/>
      <c r="T230" s="914"/>
      <c r="U230" s="914"/>
      <c r="V230" s="914"/>
      <c r="W230" s="914"/>
      <c r="X230" s="915"/>
    </row>
    <row r="232" spans="1:24" ht="13.5" thickBot="1"/>
    <row r="233" spans="1:24" ht="13.5" thickBot="1">
      <c r="A233" s="467" t="s">
        <v>27</v>
      </c>
      <c r="B233" s="471" t="s">
        <v>35</v>
      </c>
      <c r="C233" s="8"/>
      <c r="D233" s="927" t="s">
        <v>78</v>
      </c>
      <c r="E233" s="928"/>
      <c r="F233" s="928"/>
      <c r="G233" s="929"/>
      <c r="H233" s="927" t="s">
        <v>77</v>
      </c>
      <c r="I233" s="928"/>
      <c r="J233" s="928"/>
      <c r="K233" s="929"/>
      <c r="L233" s="927" t="s">
        <v>81</v>
      </c>
      <c r="M233" s="928"/>
      <c r="N233" s="928"/>
      <c r="O233" s="929"/>
      <c r="P233" s="927" t="s">
        <v>254</v>
      </c>
      <c r="Q233" s="928"/>
      <c r="R233" s="928"/>
      <c r="S233" s="929"/>
      <c r="T233" s="927" t="s">
        <v>76</v>
      </c>
      <c r="U233" s="928"/>
      <c r="V233" s="928"/>
      <c r="W233" s="929"/>
      <c r="X233" s="16" t="s">
        <v>12</v>
      </c>
    </row>
    <row r="234" spans="1:24" ht="12.95" customHeight="1" thickBot="1">
      <c r="A234" s="868" t="s">
        <v>70</v>
      </c>
      <c r="B234" s="873" t="s">
        <v>609</v>
      </c>
      <c r="C234" s="187"/>
      <c r="D234" s="1065" t="s">
        <v>638</v>
      </c>
      <c r="E234" s="1066"/>
      <c r="F234" s="1066"/>
      <c r="G234" s="1067"/>
      <c r="H234" s="1065" t="s">
        <v>638</v>
      </c>
      <c r="I234" s="1066"/>
      <c r="J234" s="1066"/>
      <c r="K234" s="1067"/>
      <c r="L234" s="1065" t="s">
        <v>638</v>
      </c>
      <c r="M234" s="1066"/>
      <c r="N234" s="1066"/>
      <c r="O234" s="1067"/>
      <c r="P234" s="219" t="s">
        <v>602</v>
      </c>
      <c r="Q234" s="219" t="s">
        <v>603</v>
      </c>
      <c r="R234" s="219" t="s">
        <v>608</v>
      </c>
      <c r="S234" s="219" t="s">
        <v>604</v>
      </c>
      <c r="T234" s="219" t="s">
        <v>602</v>
      </c>
      <c r="U234" s="219" t="s">
        <v>603</v>
      </c>
      <c r="V234" s="219" t="s">
        <v>608</v>
      </c>
      <c r="W234" s="219" t="s">
        <v>604</v>
      </c>
      <c r="X234" s="879" t="s">
        <v>90</v>
      </c>
    </row>
    <row r="235" spans="1:24" ht="12.95" customHeight="1" thickBot="1">
      <c r="A235" s="885"/>
      <c r="B235" s="874"/>
      <c r="C235" s="9" t="s">
        <v>247</v>
      </c>
      <c r="D235" s="1135">
        <v>5</v>
      </c>
      <c r="E235" s="1136"/>
      <c r="F235" s="1136"/>
      <c r="G235" s="1137"/>
      <c r="H235" s="1135">
        <v>25</v>
      </c>
      <c r="I235" s="1136"/>
      <c r="J235" s="1136"/>
      <c r="K235" s="1137"/>
      <c r="L235" s="1135">
        <v>50</v>
      </c>
      <c r="M235" s="1136"/>
      <c r="N235" s="1136"/>
      <c r="O235" s="1137"/>
      <c r="P235" s="1135" t="s">
        <v>845</v>
      </c>
      <c r="Q235" s="1136"/>
      <c r="R235" s="1136"/>
      <c r="S235" s="1137"/>
      <c r="T235" s="490">
        <v>150</v>
      </c>
      <c r="U235" s="220">
        <v>80</v>
      </c>
      <c r="V235" s="220">
        <v>50</v>
      </c>
      <c r="W235" s="220">
        <v>40</v>
      </c>
      <c r="X235" s="880"/>
    </row>
    <row r="236" spans="1:24" ht="12.95" customHeight="1" thickBot="1">
      <c r="A236" s="885"/>
      <c r="B236" s="874"/>
      <c r="C236" s="102" t="s">
        <v>246</v>
      </c>
      <c r="D236" s="1109" t="s">
        <v>416</v>
      </c>
      <c r="E236" s="1110"/>
      <c r="F236" s="1110"/>
      <c r="G236" s="1111"/>
      <c r="H236" s="1106">
        <v>26</v>
      </c>
      <c r="I236" s="1107"/>
      <c r="J236" s="1107"/>
      <c r="K236" s="1108"/>
      <c r="L236" s="1068">
        <v>54</v>
      </c>
      <c r="M236" s="996"/>
      <c r="N236" s="996"/>
      <c r="O236" s="997"/>
      <c r="P236" s="188">
        <v>110</v>
      </c>
      <c r="Q236" s="188">
        <v>61</v>
      </c>
      <c r="R236" s="188">
        <v>40</v>
      </c>
      <c r="S236" s="188">
        <v>36</v>
      </c>
      <c r="T236" s="188">
        <f>'State Agg LFx3 (2015)'!T236</f>
        <v>84</v>
      </c>
      <c r="U236" s="188">
        <f>'State Agg LFx3 (2015)'!U236</f>
        <v>53</v>
      </c>
      <c r="V236" s="188">
        <f>'State Agg LFx3 (2015)'!V236</f>
        <v>32</v>
      </c>
      <c r="W236" s="188">
        <f>'State Agg LFx3 (2015)'!W236</f>
        <v>21</v>
      </c>
      <c r="X236" s="880"/>
    </row>
    <row r="237" spans="1:24" ht="13.5" thickBot="1">
      <c r="A237" s="885"/>
      <c r="B237" s="874"/>
      <c r="C237" s="998" t="s">
        <v>413</v>
      </c>
      <c r="D237" s="927" t="s">
        <v>4</v>
      </c>
      <c r="E237" s="928"/>
      <c r="F237" s="928"/>
      <c r="G237" s="928"/>
      <c r="H237" s="928"/>
      <c r="I237" s="928"/>
      <c r="J237" s="928"/>
      <c r="K237" s="928"/>
      <c r="L237" s="928"/>
      <c r="M237" s="928"/>
      <c r="N237" s="928"/>
      <c r="O237" s="928"/>
      <c r="P237" s="928"/>
      <c r="Q237" s="928"/>
      <c r="R237" s="928"/>
      <c r="S237" s="928"/>
      <c r="T237" s="928"/>
      <c r="U237" s="928"/>
      <c r="V237" s="928"/>
      <c r="W237" s="929"/>
      <c r="X237" s="880"/>
    </row>
    <row r="238" spans="1:24" ht="13.5" thickBot="1">
      <c r="A238" s="885"/>
      <c r="B238" s="875"/>
      <c r="C238" s="999"/>
      <c r="D238" s="930" t="s">
        <v>125</v>
      </c>
      <c r="E238" s="931"/>
      <c r="F238" s="931"/>
      <c r="G238" s="931"/>
      <c r="H238" s="931"/>
      <c r="I238" s="931"/>
      <c r="J238" s="931"/>
      <c r="K238" s="931"/>
      <c r="L238" s="931"/>
      <c r="M238" s="931"/>
      <c r="N238" s="931"/>
      <c r="O238" s="931"/>
      <c r="P238" s="931"/>
      <c r="Q238" s="931"/>
      <c r="R238" s="931"/>
      <c r="S238" s="931"/>
      <c r="T238" s="931"/>
      <c r="U238" s="931"/>
      <c r="V238" s="931"/>
      <c r="W238" s="932"/>
      <c r="X238" s="880"/>
    </row>
    <row r="239" spans="1:24" ht="13.5" thickBot="1">
      <c r="A239" s="885"/>
      <c r="B239" s="11" t="s">
        <v>36</v>
      </c>
      <c r="C239" s="12"/>
      <c r="D239" s="927" t="s">
        <v>78</v>
      </c>
      <c r="E239" s="928"/>
      <c r="F239" s="928"/>
      <c r="G239" s="929"/>
      <c r="H239" s="927" t="s">
        <v>77</v>
      </c>
      <c r="I239" s="928"/>
      <c r="J239" s="928"/>
      <c r="K239" s="929"/>
      <c r="L239" s="927" t="s">
        <v>81</v>
      </c>
      <c r="M239" s="928"/>
      <c r="N239" s="928"/>
      <c r="O239" s="929"/>
      <c r="P239" s="927" t="s">
        <v>254</v>
      </c>
      <c r="Q239" s="928"/>
      <c r="R239" s="928"/>
      <c r="S239" s="929"/>
      <c r="T239" s="927" t="s">
        <v>76</v>
      </c>
      <c r="U239" s="928"/>
      <c r="V239" s="928"/>
      <c r="W239" s="929"/>
      <c r="X239" s="880"/>
    </row>
    <row r="240" spans="1:24" ht="12.95" customHeight="1" thickBot="1">
      <c r="A240" s="885"/>
      <c r="B240" s="873" t="s">
        <v>601</v>
      </c>
      <c r="C240" s="187"/>
      <c r="D240" s="1065" t="s">
        <v>636</v>
      </c>
      <c r="E240" s="1066"/>
      <c r="F240" s="1066"/>
      <c r="G240" s="1067"/>
      <c r="H240" s="1065" t="s">
        <v>636</v>
      </c>
      <c r="I240" s="1066"/>
      <c r="J240" s="1066"/>
      <c r="K240" s="1067"/>
      <c r="L240" s="1065" t="s">
        <v>636</v>
      </c>
      <c r="M240" s="1066"/>
      <c r="N240" s="1066"/>
      <c r="O240" s="1067"/>
      <c r="P240" s="218" t="s">
        <v>101</v>
      </c>
      <c r="Q240" s="218" t="s">
        <v>104</v>
      </c>
      <c r="R240" s="218" t="s">
        <v>102</v>
      </c>
      <c r="S240" s="218" t="s">
        <v>103</v>
      </c>
      <c r="T240" s="218" t="s">
        <v>101</v>
      </c>
      <c r="U240" s="218" t="s">
        <v>104</v>
      </c>
      <c r="V240" s="218" t="s">
        <v>102</v>
      </c>
      <c r="W240" s="218" t="s">
        <v>103</v>
      </c>
      <c r="X240" s="880"/>
    </row>
    <row r="241" spans="1:24" ht="12.95" customHeight="1" thickBot="1">
      <c r="A241" s="885"/>
      <c r="B241" s="874"/>
      <c r="C241" s="9" t="s">
        <v>247</v>
      </c>
      <c r="D241" s="1135">
        <v>2</v>
      </c>
      <c r="E241" s="1136"/>
      <c r="F241" s="1136"/>
      <c r="G241" s="1137"/>
      <c r="H241" s="1135">
        <v>10</v>
      </c>
      <c r="I241" s="1136"/>
      <c r="J241" s="1136"/>
      <c r="K241" s="1137"/>
      <c r="L241" s="1135">
        <v>30</v>
      </c>
      <c r="M241" s="1136"/>
      <c r="N241" s="1136"/>
      <c r="O241" s="1137"/>
      <c r="P241" s="1135" t="s">
        <v>846</v>
      </c>
      <c r="Q241" s="1136"/>
      <c r="R241" s="1136"/>
      <c r="S241" s="1137"/>
      <c r="T241" s="490">
        <v>75</v>
      </c>
      <c r="U241" s="220">
        <v>40</v>
      </c>
      <c r="V241" s="220">
        <v>25</v>
      </c>
      <c r="W241" s="220">
        <v>10</v>
      </c>
      <c r="X241" s="880"/>
    </row>
    <row r="242" spans="1:24" ht="12.95" customHeight="1" thickBot="1">
      <c r="A242" s="885"/>
      <c r="B242" s="874"/>
      <c r="C242" s="102" t="s">
        <v>246</v>
      </c>
      <c r="D242" s="1061" t="s">
        <v>172</v>
      </c>
      <c r="E242" s="1062"/>
      <c r="F242" s="1062"/>
      <c r="G242" s="1063"/>
      <c r="H242" s="1064" t="s">
        <v>637</v>
      </c>
      <c r="I242" s="1062"/>
      <c r="J242" s="1062"/>
      <c r="K242" s="1063"/>
      <c r="L242" s="1068">
        <v>21</v>
      </c>
      <c r="M242" s="996"/>
      <c r="N242" s="996"/>
      <c r="O242" s="997"/>
      <c r="P242" s="188">
        <v>52</v>
      </c>
      <c r="Q242" s="188">
        <v>32</v>
      </c>
      <c r="R242" s="188">
        <v>17</v>
      </c>
      <c r="S242" s="188">
        <v>8</v>
      </c>
      <c r="T242" s="188">
        <f>'State Agg LFx3 (2015)'!T242</f>
        <v>32</v>
      </c>
      <c r="U242" s="188">
        <f>'State Agg LFx3 (2015)'!U242</f>
        <v>30</v>
      </c>
      <c r="V242" s="188">
        <f>'State Agg LFx3 (2015)'!V242</f>
        <v>17</v>
      </c>
      <c r="W242" s="188">
        <f>'State Agg LFx3 (2015)'!W242</f>
        <v>5</v>
      </c>
      <c r="X242" s="880"/>
    </row>
    <row r="243" spans="1:24" ht="13.5" thickBot="1">
      <c r="A243" s="885"/>
      <c r="B243" s="874"/>
      <c r="C243" s="998" t="s">
        <v>413</v>
      </c>
      <c r="D243" s="927" t="s">
        <v>4</v>
      </c>
      <c r="E243" s="928"/>
      <c r="F243" s="928"/>
      <c r="G243" s="928"/>
      <c r="H243" s="928"/>
      <c r="I243" s="928"/>
      <c r="J243" s="928"/>
      <c r="K243" s="928"/>
      <c r="L243" s="928"/>
      <c r="M243" s="928"/>
      <c r="N243" s="928"/>
      <c r="O243" s="928"/>
      <c r="P243" s="928"/>
      <c r="Q243" s="928"/>
      <c r="R243" s="928"/>
      <c r="S243" s="928"/>
      <c r="T243" s="928"/>
      <c r="U243" s="928"/>
      <c r="V243" s="928"/>
      <c r="W243" s="929"/>
      <c r="X243" s="880"/>
    </row>
    <row r="244" spans="1:24" ht="13.5" thickBot="1">
      <c r="A244" s="885"/>
      <c r="B244" s="875"/>
      <c r="C244" s="999"/>
      <c r="D244" s="930" t="s">
        <v>125</v>
      </c>
      <c r="E244" s="931"/>
      <c r="F244" s="931"/>
      <c r="G244" s="931"/>
      <c r="H244" s="931"/>
      <c r="I244" s="931"/>
      <c r="J244" s="931"/>
      <c r="K244" s="931"/>
      <c r="L244" s="931"/>
      <c r="M244" s="931"/>
      <c r="N244" s="931"/>
      <c r="O244" s="931"/>
      <c r="P244" s="931"/>
      <c r="Q244" s="931"/>
      <c r="R244" s="931"/>
      <c r="S244" s="931"/>
      <c r="T244" s="931"/>
      <c r="U244" s="931"/>
      <c r="V244" s="931"/>
      <c r="W244" s="932"/>
      <c r="X244" s="880"/>
    </row>
    <row r="245" spans="1:24" ht="13.5" thickBot="1">
      <c r="A245" s="885"/>
      <c r="B245" s="11" t="s">
        <v>600</v>
      </c>
      <c r="C245" s="12"/>
      <c r="D245" s="927" t="s">
        <v>78</v>
      </c>
      <c r="E245" s="928"/>
      <c r="F245" s="928"/>
      <c r="G245" s="929"/>
      <c r="H245" s="927" t="s">
        <v>77</v>
      </c>
      <c r="I245" s="928"/>
      <c r="J245" s="928"/>
      <c r="K245" s="929"/>
      <c r="L245" s="927" t="s">
        <v>81</v>
      </c>
      <c r="M245" s="928"/>
      <c r="N245" s="928"/>
      <c r="O245" s="929"/>
      <c r="P245" s="927" t="s">
        <v>254</v>
      </c>
      <c r="Q245" s="928"/>
      <c r="R245" s="928"/>
      <c r="S245" s="929"/>
      <c r="T245" s="927" t="s">
        <v>76</v>
      </c>
      <c r="U245" s="928"/>
      <c r="V245" s="928"/>
      <c r="W245" s="929"/>
      <c r="X245" s="880"/>
    </row>
    <row r="246" spans="1:24" ht="12.95" customHeight="1" thickBot="1">
      <c r="A246" s="885"/>
      <c r="B246" s="1132" t="s">
        <v>648</v>
      </c>
      <c r="C246" s="187"/>
      <c r="D246" s="1065"/>
      <c r="E246" s="1066"/>
      <c r="F246" s="1066"/>
      <c r="G246" s="1067"/>
      <c r="H246" s="1065"/>
      <c r="I246" s="1066"/>
      <c r="J246" s="1066"/>
      <c r="K246" s="1067"/>
      <c r="L246" s="1065"/>
      <c r="M246" s="1066"/>
      <c r="N246" s="1066"/>
      <c r="O246" s="1067"/>
      <c r="P246" s="218" t="s">
        <v>693</v>
      </c>
      <c r="Q246" s="219" t="s">
        <v>607</v>
      </c>
      <c r="R246" s="218" t="s">
        <v>606</v>
      </c>
      <c r="S246" s="218" t="s">
        <v>694</v>
      </c>
      <c r="T246" s="218" t="s">
        <v>693</v>
      </c>
      <c r="U246" s="219" t="s">
        <v>607</v>
      </c>
      <c r="V246" s="218" t="s">
        <v>606</v>
      </c>
      <c r="W246" s="218" t="s">
        <v>694</v>
      </c>
      <c r="X246" s="880"/>
    </row>
    <row r="247" spans="1:24" ht="12.95" customHeight="1" thickBot="1">
      <c r="A247" s="885"/>
      <c r="B247" s="1133"/>
      <c r="C247" s="9" t="s">
        <v>247</v>
      </c>
      <c r="D247" s="957"/>
      <c r="E247" s="958"/>
      <c r="F247" s="958"/>
      <c r="G247" s="959"/>
      <c r="H247" s="1061" t="s">
        <v>635</v>
      </c>
      <c r="I247" s="1062"/>
      <c r="J247" s="1062"/>
      <c r="K247" s="1063"/>
      <c r="L247" s="966" t="s">
        <v>443</v>
      </c>
      <c r="M247" s="967"/>
      <c r="N247" s="967"/>
      <c r="O247" s="968"/>
      <c r="P247" s="220">
        <v>39</v>
      </c>
      <c r="Q247" s="220">
        <v>29</v>
      </c>
      <c r="R247" s="220">
        <v>10</v>
      </c>
      <c r="S247" s="220">
        <v>2</v>
      </c>
      <c r="T247" s="220">
        <v>50</v>
      </c>
      <c r="U247" s="220">
        <v>40</v>
      </c>
      <c r="V247" s="220">
        <v>15</v>
      </c>
      <c r="W247" s="220">
        <v>5</v>
      </c>
      <c r="X247" s="880"/>
    </row>
    <row r="248" spans="1:24" ht="12.95" customHeight="1" thickBot="1">
      <c r="A248" s="869"/>
      <c r="B248" s="1133"/>
      <c r="C248" s="102" t="s">
        <v>246</v>
      </c>
      <c r="D248" s="957"/>
      <c r="E248" s="958"/>
      <c r="F248" s="958"/>
      <c r="G248" s="959"/>
      <c r="H248" s="957"/>
      <c r="I248" s="958"/>
      <c r="J248" s="958"/>
      <c r="K248" s="959"/>
      <c r="L248" s="957"/>
      <c r="M248" s="958"/>
      <c r="N248" s="958"/>
      <c r="O248" s="959"/>
      <c r="P248" s="957"/>
      <c r="Q248" s="958"/>
      <c r="R248" s="958"/>
      <c r="S248" s="959"/>
      <c r="T248" s="188">
        <f>'State Agg LFx3 (2015)'!T248</f>
        <v>20</v>
      </c>
      <c r="U248" s="188">
        <f>'State Agg LFx3 (2015)'!U248</f>
        <v>18</v>
      </c>
      <c r="V248" s="188">
        <f>'State Agg LFx3 (2015)'!V248</f>
        <v>18</v>
      </c>
      <c r="W248" s="188">
        <f>'State Agg LFx3 (2015)'!W248</f>
        <v>6</v>
      </c>
      <c r="X248" s="881"/>
    </row>
    <row r="249" spans="1:24" ht="13.5" thickBot="1">
      <c r="A249" s="468" t="s">
        <v>13</v>
      </c>
      <c r="B249" s="1133"/>
      <c r="C249" s="998" t="s">
        <v>413</v>
      </c>
      <c r="D249" s="927" t="s">
        <v>4</v>
      </c>
      <c r="E249" s="928"/>
      <c r="F249" s="928"/>
      <c r="G249" s="928"/>
      <c r="H249" s="928"/>
      <c r="I249" s="928"/>
      <c r="J249" s="928"/>
      <c r="K249" s="928"/>
      <c r="L249" s="928"/>
      <c r="M249" s="928"/>
      <c r="N249" s="928"/>
      <c r="O249" s="928"/>
      <c r="P249" s="928"/>
      <c r="Q249" s="928"/>
      <c r="R249" s="928"/>
      <c r="S249" s="928"/>
      <c r="T249" s="928"/>
      <c r="U249" s="928"/>
      <c r="V249" s="928"/>
      <c r="W249" s="929"/>
      <c r="X249" s="24" t="s">
        <v>14</v>
      </c>
    </row>
    <row r="250" spans="1:24" ht="13.5" thickBot="1">
      <c r="A250" s="25" t="s">
        <v>73</v>
      </c>
      <c r="B250" s="1134"/>
      <c r="C250" s="999"/>
      <c r="D250" s="930" t="s">
        <v>125</v>
      </c>
      <c r="E250" s="931"/>
      <c r="F250" s="931"/>
      <c r="G250" s="931"/>
      <c r="H250" s="931"/>
      <c r="I250" s="931"/>
      <c r="J250" s="931"/>
      <c r="K250" s="931"/>
      <c r="L250" s="931"/>
      <c r="M250" s="931"/>
      <c r="N250" s="931"/>
      <c r="O250" s="931"/>
      <c r="P250" s="931"/>
      <c r="Q250" s="931"/>
      <c r="R250" s="931"/>
      <c r="S250" s="931"/>
      <c r="T250" s="931"/>
      <c r="U250" s="931"/>
      <c r="V250" s="931"/>
      <c r="W250" s="932"/>
      <c r="X250" s="18" t="s">
        <v>92</v>
      </c>
    </row>
    <row r="251" spans="1:24" ht="13.5" thickBot="1">
      <c r="A251" s="1060" t="s">
        <v>7</v>
      </c>
      <c r="B251" s="908" t="s">
        <v>173</v>
      </c>
      <c r="C251" s="918"/>
      <c r="D251" s="908" t="s">
        <v>8</v>
      </c>
      <c r="E251" s="918"/>
      <c r="F251" s="918"/>
      <c r="G251" s="909"/>
      <c r="H251" s="908" t="s">
        <v>88</v>
      </c>
      <c r="I251" s="918"/>
      <c r="J251" s="918"/>
      <c r="K251" s="909"/>
      <c r="L251" s="908" t="s">
        <v>89</v>
      </c>
      <c r="M251" s="918"/>
      <c r="N251" s="918"/>
      <c r="O251" s="909"/>
      <c r="P251" s="908" t="s">
        <v>9</v>
      </c>
      <c r="Q251" s="918"/>
      <c r="R251" s="918"/>
      <c r="S251" s="909"/>
      <c r="T251" s="908" t="s">
        <v>174</v>
      </c>
      <c r="U251" s="918"/>
      <c r="V251" s="918"/>
      <c r="W251" s="918"/>
      <c r="X251" s="909"/>
    </row>
    <row r="252" spans="1:24" ht="13.5" thickBot="1">
      <c r="A252" s="907"/>
      <c r="B252" s="919">
        <v>4100000</v>
      </c>
      <c r="C252" s="921"/>
      <c r="D252" s="919">
        <v>0</v>
      </c>
      <c r="E252" s="921"/>
      <c r="F252" s="921"/>
      <c r="G252" s="920"/>
      <c r="H252" s="919">
        <v>0</v>
      </c>
      <c r="I252" s="921"/>
      <c r="J252" s="921"/>
      <c r="K252" s="920"/>
      <c r="L252" s="919">
        <v>2700000</v>
      </c>
      <c r="M252" s="921"/>
      <c r="N252" s="921"/>
      <c r="O252" s="920"/>
      <c r="P252" s="919">
        <f>SUM(B252:O252)</f>
        <v>6800000</v>
      </c>
      <c r="Q252" s="921"/>
      <c r="R252" s="921"/>
      <c r="S252" s="920"/>
      <c r="T252" s="942">
        <f>B252/P252%</f>
        <v>60.294117647058826</v>
      </c>
      <c r="U252" s="943"/>
      <c r="V252" s="943"/>
      <c r="W252" s="943"/>
      <c r="X252" s="944"/>
    </row>
    <row r="253" spans="1:24" ht="13.5" thickBot="1">
      <c r="A253" s="906" t="s">
        <v>10</v>
      </c>
      <c r="B253" s="908" t="s">
        <v>175</v>
      </c>
      <c r="C253" s="918"/>
      <c r="D253" s="910"/>
      <c r="E253" s="911"/>
      <c r="F253" s="911"/>
      <c r="G253" s="911"/>
      <c r="H253" s="911"/>
      <c r="I253" s="911"/>
      <c r="J253" s="911"/>
      <c r="K253" s="911"/>
      <c r="L253" s="911"/>
      <c r="M253" s="911"/>
      <c r="N253" s="911"/>
      <c r="O253" s="911"/>
      <c r="P253" s="911"/>
      <c r="Q253" s="911"/>
      <c r="R253" s="911"/>
      <c r="S253" s="911"/>
      <c r="T253" s="911"/>
      <c r="U253" s="911"/>
      <c r="V253" s="911"/>
      <c r="W253" s="911"/>
      <c r="X253" s="912"/>
    </row>
    <row r="254" spans="1:24" ht="13.5" thickBot="1">
      <c r="A254" s="907"/>
      <c r="B254" s="916"/>
      <c r="C254" s="994"/>
      <c r="D254" s="913"/>
      <c r="E254" s="914"/>
      <c r="F254" s="914"/>
      <c r="G254" s="914"/>
      <c r="H254" s="914"/>
      <c r="I254" s="914"/>
      <c r="J254" s="914"/>
      <c r="K254" s="914"/>
      <c r="L254" s="914"/>
      <c r="M254" s="914"/>
      <c r="N254" s="914"/>
      <c r="O254" s="914"/>
      <c r="P254" s="914"/>
      <c r="Q254" s="914"/>
      <c r="R254" s="914"/>
      <c r="S254" s="914"/>
      <c r="T254" s="914"/>
      <c r="U254" s="914"/>
      <c r="V254" s="914"/>
      <c r="W254" s="914"/>
      <c r="X254" s="915"/>
    </row>
  </sheetData>
  <sheetProtection password="CF55" sheet="1" objects="1" scenarios="1" selectLockedCells="1" selectUnlockedCells="1"/>
  <mergeCells count="944">
    <mergeCell ref="D4:G4"/>
    <mergeCell ref="H4:K4"/>
    <mergeCell ref="L4:O4"/>
    <mergeCell ref="P4:S4"/>
    <mergeCell ref="T4:W4"/>
    <mergeCell ref="X4:X18"/>
    <mergeCell ref="P9:S9"/>
    <mergeCell ref="T9:W9"/>
    <mergeCell ref="D14:G14"/>
    <mergeCell ref="H14:K14"/>
    <mergeCell ref="B10:B13"/>
    <mergeCell ref="D10:W10"/>
    <mergeCell ref="D11:W11"/>
    <mergeCell ref="C12:C13"/>
    <mergeCell ref="D12:W12"/>
    <mergeCell ref="D13:W13"/>
    <mergeCell ref="A5:A18"/>
    <mergeCell ref="B5:B8"/>
    <mergeCell ref="D5:W5"/>
    <mergeCell ref="D6:W6"/>
    <mergeCell ref="C7:C8"/>
    <mergeCell ref="D7:W7"/>
    <mergeCell ref="D8:W8"/>
    <mergeCell ref="D9:G9"/>
    <mergeCell ref="H9:K9"/>
    <mergeCell ref="L9:O9"/>
    <mergeCell ref="A22:A48"/>
    <mergeCell ref="B22:B29"/>
    <mergeCell ref="D22:G22"/>
    <mergeCell ref="H22:K22"/>
    <mergeCell ref="L22:O22"/>
    <mergeCell ref="L14:O14"/>
    <mergeCell ref="P14:S14"/>
    <mergeCell ref="T14:W14"/>
    <mergeCell ref="B15:B18"/>
    <mergeCell ref="D15:W15"/>
    <mergeCell ref="D16:W16"/>
    <mergeCell ref="C17:C18"/>
    <mergeCell ref="D17:W17"/>
    <mergeCell ref="D18:W18"/>
    <mergeCell ref="C28:C29"/>
    <mergeCell ref="D29:W29"/>
    <mergeCell ref="D30:G30"/>
    <mergeCell ref="H30:K30"/>
    <mergeCell ref="L30:O30"/>
    <mergeCell ref="P30:S30"/>
    <mergeCell ref="T30:W30"/>
    <mergeCell ref="D26:G26"/>
    <mergeCell ref="H26:K26"/>
    <mergeCell ref="L26:O26"/>
    <mergeCell ref="X22:X48"/>
    <mergeCell ref="D23:G23"/>
    <mergeCell ref="H23:K23"/>
    <mergeCell ref="L23:O23"/>
    <mergeCell ref="P23:S23"/>
    <mergeCell ref="T23:W23"/>
    <mergeCell ref="D24:G24"/>
    <mergeCell ref="H24:K24"/>
    <mergeCell ref="D21:G21"/>
    <mergeCell ref="H21:K21"/>
    <mergeCell ref="L21:O21"/>
    <mergeCell ref="P21:S21"/>
    <mergeCell ref="T21:W21"/>
    <mergeCell ref="L24:O24"/>
    <mergeCell ref="P24:S24"/>
    <mergeCell ref="T24:W24"/>
    <mergeCell ref="D25:G25"/>
    <mergeCell ref="H25:K25"/>
    <mergeCell ref="L25:O25"/>
    <mergeCell ref="P25:S25"/>
    <mergeCell ref="T25:W25"/>
    <mergeCell ref="P22:S22"/>
    <mergeCell ref="T22:W22"/>
    <mergeCell ref="D28:W28"/>
    <mergeCell ref="P26:S26"/>
    <mergeCell ref="T26:W26"/>
    <mergeCell ref="D27:G27"/>
    <mergeCell ref="H27:K27"/>
    <mergeCell ref="L27:O27"/>
    <mergeCell ref="P27:S27"/>
    <mergeCell ref="T27:W27"/>
    <mergeCell ref="T32:W32"/>
    <mergeCell ref="D33:G33"/>
    <mergeCell ref="H33:K33"/>
    <mergeCell ref="L33:O33"/>
    <mergeCell ref="P33:S33"/>
    <mergeCell ref="T33:W33"/>
    <mergeCell ref="D34:G34"/>
    <mergeCell ref="H34:K34"/>
    <mergeCell ref="L34:O34"/>
    <mergeCell ref="P34:S34"/>
    <mergeCell ref="T34:W34"/>
    <mergeCell ref="D35:G35"/>
    <mergeCell ref="H35:K35"/>
    <mergeCell ref="L35:O35"/>
    <mergeCell ref="P35:S35"/>
    <mergeCell ref="T35:W35"/>
    <mergeCell ref="D39:G39"/>
    <mergeCell ref="H39:K39"/>
    <mergeCell ref="L39:O39"/>
    <mergeCell ref="P39:S39"/>
    <mergeCell ref="T39:W39"/>
    <mergeCell ref="B40:B41"/>
    <mergeCell ref="D36:G36"/>
    <mergeCell ref="H36:K36"/>
    <mergeCell ref="L36:O36"/>
    <mergeCell ref="P36:S36"/>
    <mergeCell ref="T36:W36"/>
    <mergeCell ref="C37:C38"/>
    <mergeCell ref="D37:W37"/>
    <mergeCell ref="D38:W38"/>
    <mergeCell ref="B31:B38"/>
    <mergeCell ref="D31:G31"/>
    <mergeCell ref="H31:K31"/>
    <mergeCell ref="L31:O31"/>
    <mergeCell ref="P31:S31"/>
    <mergeCell ref="T31:W31"/>
    <mergeCell ref="D32:G32"/>
    <mergeCell ref="H32:K32"/>
    <mergeCell ref="L32:O32"/>
    <mergeCell ref="P32:S32"/>
    <mergeCell ref="D46:G46"/>
    <mergeCell ref="H46:K46"/>
    <mergeCell ref="L46:O46"/>
    <mergeCell ref="P46:S46"/>
    <mergeCell ref="B47:B48"/>
    <mergeCell ref="C47:C48"/>
    <mergeCell ref="D47:W47"/>
    <mergeCell ref="D48:W48"/>
    <mergeCell ref="D42:G42"/>
    <mergeCell ref="D43:G43"/>
    <mergeCell ref="H43:K43"/>
    <mergeCell ref="L43:O43"/>
    <mergeCell ref="D44:G44"/>
    <mergeCell ref="D45:G45"/>
    <mergeCell ref="H45:K45"/>
    <mergeCell ref="D51:G51"/>
    <mergeCell ref="H51:K51"/>
    <mergeCell ref="L51:O51"/>
    <mergeCell ref="P51:S51"/>
    <mergeCell ref="T51:W51"/>
    <mergeCell ref="A52:A83"/>
    <mergeCell ref="B52:B59"/>
    <mergeCell ref="D52:G52"/>
    <mergeCell ref="H52:K52"/>
    <mergeCell ref="L52:O52"/>
    <mergeCell ref="L54:O54"/>
    <mergeCell ref="P54:S54"/>
    <mergeCell ref="T54:W54"/>
    <mergeCell ref="D55:G55"/>
    <mergeCell ref="H55:K55"/>
    <mergeCell ref="L55:O55"/>
    <mergeCell ref="P55:S55"/>
    <mergeCell ref="T55:W55"/>
    <mergeCell ref="P52:S52"/>
    <mergeCell ref="T52:W52"/>
    <mergeCell ref="D53:G53"/>
    <mergeCell ref="H53:K53"/>
    <mergeCell ref="L53:O53"/>
    <mergeCell ref="P53:S53"/>
    <mergeCell ref="T53:W53"/>
    <mergeCell ref="D54:G54"/>
    <mergeCell ref="H54:K54"/>
    <mergeCell ref="C58:C59"/>
    <mergeCell ref="D58:W58"/>
    <mergeCell ref="D59:W59"/>
    <mergeCell ref="D60:G60"/>
    <mergeCell ref="H60:K60"/>
    <mergeCell ref="L60:O60"/>
    <mergeCell ref="P60:S60"/>
    <mergeCell ref="T60:W60"/>
    <mergeCell ref="D56:G56"/>
    <mergeCell ref="H56:K56"/>
    <mergeCell ref="L56:O56"/>
    <mergeCell ref="P56:S56"/>
    <mergeCell ref="T56:W56"/>
    <mergeCell ref="D57:G57"/>
    <mergeCell ref="H57:K57"/>
    <mergeCell ref="L57:O57"/>
    <mergeCell ref="P57:S57"/>
    <mergeCell ref="T57:W57"/>
    <mergeCell ref="T62:W62"/>
    <mergeCell ref="D63:G63"/>
    <mergeCell ref="H63:K63"/>
    <mergeCell ref="L63:O63"/>
    <mergeCell ref="P63:S63"/>
    <mergeCell ref="T63:W63"/>
    <mergeCell ref="B61:B68"/>
    <mergeCell ref="D61:G61"/>
    <mergeCell ref="H61:K61"/>
    <mergeCell ref="L61:O61"/>
    <mergeCell ref="P61:S61"/>
    <mergeCell ref="T61:W61"/>
    <mergeCell ref="D62:G62"/>
    <mergeCell ref="H62:K62"/>
    <mergeCell ref="L62:O62"/>
    <mergeCell ref="P62:S62"/>
    <mergeCell ref="D66:G66"/>
    <mergeCell ref="H66:K66"/>
    <mergeCell ref="L66:O66"/>
    <mergeCell ref="P66:S66"/>
    <mergeCell ref="T66:W66"/>
    <mergeCell ref="C67:C68"/>
    <mergeCell ref="D67:W67"/>
    <mergeCell ref="D68:W68"/>
    <mergeCell ref="D64:G64"/>
    <mergeCell ref="H64:K64"/>
    <mergeCell ref="L64:O64"/>
    <mergeCell ref="P64:S64"/>
    <mergeCell ref="T64:W64"/>
    <mergeCell ref="D65:G65"/>
    <mergeCell ref="H65:K65"/>
    <mergeCell ref="L65:O65"/>
    <mergeCell ref="P65:S65"/>
    <mergeCell ref="T65:W65"/>
    <mergeCell ref="T70:W70"/>
    <mergeCell ref="D71:G71"/>
    <mergeCell ref="H71:K71"/>
    <mergeCell ref="L71:O71"/>
    <mergeCell ref="P71:S71"/>
    <mergeCell ref="T71:W71"/>
    <mergeCell ref="D69:G69"/>
    <mergeCell ref="H69:K69"/>
    <mergeCell ref="L69:O69"/>
    <mergeCell ref="P69:S69"/>
    <mergeCell ref="T69:W69"/>
    <mergeCell ref="D70:G70"/>
    <mergeCell ref="H70:K70"/>
    <mergeCell ref="L70:O70"/>
    <mergeCell ref="P70:S70"/>
    <mergeCell ref="H72:K72"/>
    <mergeCell ref="L72:O72"/>
    <mergeCell ref="P72:S72"/>
    <mergeCell ref="T72:W72"/>
    <mergeCell ref="D73:G73"/>
    <mergeCell ref="H73:K73"/>
    <mergeCell ref="L73:O73"/>
    <mergeCell ref="P73:S73"/>
    <mergeCell ref="T73:W73"/>
    <mergeCell ref="P78:S78"/>
    <mergeCell ref="T78:W78"/>
    <mergeCell ref="B70:B77"/>
    <mergeCell ref="P84:S84"/>
    <mergeCell ref="T84:X84"/>
    <mergeCell ref="B85:C85"/>
    <mergeCell ref="D85:G85"/>
    <mergeCell ref="H85:K85"/>
    <mergeCell ref="L85:O85"/>
    <mergeCell ref="P85:S85"/>
    <mergeCell ref="T85:X85"/>
    <mergeCell ref="B79:B80"/>
    <mergeCell ref="D81:G81"/>
    <mergeCell ref="D74:G74"/>
    <mergeCell ref="H74:K74"/>
    <mergeCell ref="L74:O74"/>
    <mergeCell ref="P74:S74"/>
    <mergeCell ref="T74:W74"/>
    <mergeCell ref="D75:G75"/>
    <mergeCell ref="H75:K75"/>
    <mergeCell ref="L75:O75"/>
    <mergeCell ref="P75:S75"/>
    <mergeCell ref="T75:W75"/>
    <mergeCell ref="D72:G72"/>
    <mergeCell ref="C82:C83"/>
    <mergeCell ref="D82:W82"/>
    <mergeCell ref="D83:W83"/>
    <mergeCell ref="X52:X83"/>
    <mergeCell ref="A86:A87"/>
    <mergeCell ref="B86:C86"/>
    <mergeCell ref="D86:X87"/>
    <mergeCell ref="B87:C87"/>
    <mergeCell ref="D90:G90"/>
    <mergeCell ref="H90:K90"/>
    <mergeCell ref="L90:O90"/>
    <mergeCell ref="P90:S90"/>
    <mergeCell ref="T90:W90"/>
    <mergeCell ref="A84:A85"/>
    <mergeCell ref="B84:C84"/>
    <mergeCell ref="D84:G84"/>
    <mergeCell ref="H84:K84"/>
    <mergeCell ref="L84:O84"/>
    <mergeCell ref="C76:C77"/>
    <mergeCell ref="D76:W76"/>
    <mergeCell ref="D77:W77"/>
    <mergeCell ref="D78:G78"/>
    <mergeCell ref="H78:K78"/>
    <mergeCell ref="L78:O78"/>
    <mergeCell ref="T93:W93"/>
    <mergeCell ref="D94:G94"/>
    <mergeCell ref="H94:K94"/>
    <mergeCell ref="L94:O94"/>
    <mergeCell ref="P94:S94"/>
    <mergeCell ref="T94:W94"/>
    <mergeCell ref="T91:W91"/>
    <mergeCell ref="X91:X110"/>
    <mergeCell ref="D92:G92"/>
    <mergeCell ref="H92:K92"/>
    <mergeCell ref="L92:O92"/>
    <mergeCell ref="P92:S92"/>
    <mergeCell ref="T92:W92"/>
    <mergeCell ref="D93:G93"/>
    <mergeCell ref="H93:K93"/>
    <mergeCell ref="L93:O93"/>
    <mergeCell ref="D91:G91"/>
    <mergeCell ref="H91:K91"/>
    <mergeCell ref="L91:O91"/>
    <mergeCell ref="P91:S91"/>
    <mergeCell ref="P93:S93"/>
    <mergeCell ref="D95:G95"/>
    <mergeCell ref="H95:K95"/>
    <mergeCell ref="L95:O95"/>
    <mergeCell ref="C97:C98"/>
    <mergeCell ref="D97:W97"/>
    <mergeCell ref="D98:W98"/>
    <mergeCell ref="D99:G99"/>
    <mergeCell ref="H99:K99"/>
    <mergeCell ref="L99:O99"/>
    <mergeCell ref="P99:S99"/>
    <mergeCell ref="T99:W99"/>
    <mergeCell ref="P95:S95"/>
    <mergeCell ref="T95:W95"/>
    <mergeCell ref="D96:G96"/>
    <mergeCell ref="H96:K96"/>
    <mergeCell ref="L96:O96"/>
    <mergeCell ref="P96:S96"/>
    <mergeCell ref="T96:W96"/>
    <mergeCell ref="T101:W101"/>
    <mergeCell ref="D102:G102"/>
    <mergeCell ref="H102:K102"/>
    <mergeCell ref="L102:O102"/>
    <mergeCell ref="P102:S102"/>
    <mergeCell ref="T102:W102"/>
    <mergeCell ref="B100:B107"/>
    <mergeCell ref="D100:G100"/>
    <mergeCell ref="H100:K100"/>
    <mergeCell ref="L100:O100"/>
    <mergeCell ref="P100:S100"/>
    <mergeCell ref="T100:W100"/>
    <mergeCell ref="D101:G101"/>
    <mergeCell ref="H101:K101"/>
    <mergeCell ref="L101:O101"/>
    <mergeCell ref="P101:S101"/>
    <mergeCell ref="D105:G105"/>
    <mergeCell ref="H105:K105"/>
    <mergeCell ref="L105:O105"/>
    <mergeCell ref="P105:S105"/>
    <mergeCell ref="T105:W105"/>
    <mergeCell ref="C106:C107"/>
    <mergeCell ref="D106:W106"/>
    <mergeCell ref="D107:W107"/>
    <mergeCell ref="D103:G103"/>
    <mergeCell ref="H103:K103"/>
    <mergeCell ref="L103:O103"/>
    <mergeCell ref="P103:S103"/>
    <mergeCell ref="T103:W103"/>
    <mergeCell ref="D104:G104"/>
    <mergeCell ref="H104:K104"/>
    <mergeCell ref="L104:O104"/>
    <mergeCell ref="P104:S104"/>
    <mergeCell ref="T104:W104"/>
    <mergeCell ref="D108:G108"/>
    <mergeCell ref="H108:K108"/>
    <mergeCell ref="L108:O108"/>
    <mergeCell ref="P108:S108"/>
    <mergeCell ref="T108:W108"/>
    <mergeCell ref="B109:B112"/>
    <mergeCell ref="D109:G109"/>
    <mergeCell ref="H109:K109"/>
    <mergeCell ref="L109:O109"/>
    <mergeCell ref="P109:S109"/>
    <mergeCell ref="A113:A114"/>
    <mergeCell ref="B113:C113"/>
    <mergeCell ref="D113:G113"/>
    <mergeCell ref="H113:K113"/>
    <mergeCell ref="L113:O113"/>
    <mergeCell ref="P113:S113"/>
    <mergeCell ref="T113:X113"/>
    <mergeCell ref="T109:W109"/>
    <mergeCell ref="D110:G110"/>
    <mergeCell ref="H110:K110"/>
    <mergeCell ref="L110:O110"/>
    <mergeCell ref="P110:S110"/>
    <mergeCell ref="T110:W110"/>
    <mergeCell ref="A91:A110"/>
    <mergeCell ref="B91:B98"/>
    <mergeCell ref="B114:C114"/>
    <mergeCell ref="D114:G114"/>
    <mergeCell ref="H114:K114"/>
    <mergeCell ref="L114:O114"/>
    <mergeCell ref="P114:S114"/>
    <mergeCell ref="T114:X114"/>
    <mergeCell ref="C111:C112"/>
    <mergeCell ref="D111:W111"/>
    <mergeCell ref="D112:W112"/>
    <mergeCell ref="A115:A116"/>
    <mergeCell ref="B115:C115"/>
    <mergeCell ref="D115:X116"/>
    <mergeCell ref="B116:C116"/>
    <mergeCell ref="D119:G119"/>
    <mergeCell ref="H119:K119"/>
    <mergeCell ref="L119:O119"/>
    <mergeCell ref="P119:S119"/>
    <mergeCell ref="T119:W119"/>
    <mergeCell ref="T122:W122"/>
    <mergeCell ref="D123:G123"/>
    <mergeCell ref="H123:K123"/>
    <mergeCell ref="L123:O123"/>
    <mergeCell ref="P123:S123"/>
    <mergeCell ref="T123:W123"/>
    <mergeCell ref="T120:W120"/>
    <mergeCell ref="X120:X139"/>
    <mergeCell ref="D121:G121"/>
    <mergeCell ref="H121:K121"/>
    <mergeCell ref="L121:O121"/>
    <mergeCell ref="P121:S121"/>
    <mergeCell ref="T121:W121"/>
    <mergeCell ref="D122:G122"/>
    <mergeCell ref="H122:K122"/>
    <mergeCell ref="L122:O122"/>
    <mergeCell ref="D120:G120"/>
    <mergeCell ref="H120:K120"/>
    <mergeCell ref="L120:O120"/>
    <mergeCell ref="P120:S120"/>
    <mergeCell ref="P122:S122"/>
    <mergeCell ref="D124:G124"/>
    <mergeCell ref="H124:K124"/>
    <mergeCell ref="L124:O124"/>
    <mergeCell ref="C126:C127"/>
    <mergeCell ref="D126:W126"/>
    <mergeCell ref="D127:W127"/>
    <mergeCell ref="D128:G128"/>
    <mergeCell ref="H128:K128"/>
    <mergeCell ref="L128:O128"/>
    <mergeCell ref="P128:S128"/>
    <mergeCell ref="T128:W128"/>
    <mergeCell ref="P124:S124"/>
    <mergeCell ref="T124:W124"/>
    <mergeCell ref="D125:G125"/>
    <mergeCell ref="H125:K125"/>
    <mergeCell ref="L125:O125"/>
    <mergeCell ref="P125:S125"/>
    <mergeCell ref="T125:W125"/>
    <mergeCell ref="T130:W130"/>
    <mergeCell ref="D131:G131"/>
    <mergeCell ref="H131:K131"/>
    <mergeCell ref="L131:O131"/>
    <mergeCell ref="P131:S131"/>
    <mergeCell ref="T131:W131"/>
    <mergeCell ref="B129:B136"/>
    <mergeCell ref="D129:G129"/>
    <mergeCell ref="H129:K129"/>
    <mergeCell ref="L129:O129"/>
    <mergeCell ref="P129:S129"/>
    <mergeCell ref="T129:W129"/>
    <mergeCell ref="D130:G130"/>
    <mergeCell ref="H130:K130"/>
    <mergeCell ref="L130:O130"/>
    <mergeCell ref="P130:S130"/>
    <mergeCell ref="D134:G134"/>
    <mergeCell ref="H134:K134"/>
    <mergeCell ref="L134:O134"/>
    <mergeCell ref="P134:S134"/>
    <mergeCell ref="T134:W134"/>
    <mergeCell ref="C135:C136"/>
    <mergeCell ref="D135:W135"/>
    <mergeCell ref="D136:W136"/>
    <mergeCell ref="D132:G132"/>
    <mergeCell ref="H132:K132"/>
    <mergeCell ref="L132:O132"/>
    <mergeCell ref="P132:S132"/>
    <mergeCell ref="T132:W132"/>
    <mergeCell ref="D133:G133"/>
    <mergeCell ref="H133:K133"/>
    <mergeCell ref="L133:O133"/>
    <mergeCell ref="P133:S133"/>
    <mergeCell ref="T133:W133"/>
    <mergeCell ref="D137:G137"/>
    <mergeCell ref="H137:K137"/>
    <mergeCell ref="L137:O137"/>
    <mergeCell ref="P137:S137"/>
    <mergeCell ref="T137:W137"/>
    <mergeCell ref="B138:B141"/>
    <mergeCell ref="D138:G138"/>
    <mergeCell ref="H138:K138"/>
    <mergeCell ref="L138:O138"/>
    <mergeCell ref="P138:S138"/>
    <mergeCell ref="A142:A143"/>
    <mergeCell ref="B142:C142"/>
    <mergeCell ref="D142:G142"/>
    <mergeCell ref="H142:K142"/>
    <mergeCell ref="L142:O142"/>
    <mergeCell ref="P142:S142"/>
    <mergeCell ref="T142:X142"/>
    <mergeCell ref="T138:W138"/>
    <mergeCell ref="D139:G139"/>
    <mergeCell ref="H139:K139"/>
    <mergeCell ref="L139:O139"/>
    <mergeCell ref="P139:S139"/>
    <mergeCell ref="T139:W139"/>
    <mergeCell ref="A120:A139"/>
    <mergeCell ref="B120:B127"/>
    <mergeCell ref="B143:C143"/>
    <mergeCell ref="D143:G143"/>
    <mergeCell ref="H143:K143"/>
    <mergeCell ref="L143:O143"/>
    <mergeCell ref="P143:S143"/>
    <mergeCell ref="T143:X143"/>
    <mergeCell ref="C140:C141"/>
    <mergeCell ref="D140:W140"/>
    <mergeCell ref="D141:W141"/>
    <mergeCell ref="A144:A145"/>
    <mergeCell ref="B144:C144"/>
    <mergeCell ref="D144:X145"/>
    <mergeCell ref="B145:C145"/>
    <mergeCell ref="D148:G148"/>
    <mergeCell ref="H148:K148"/>
    <mergeCell ref="L148:O148"/>
    <mergeCell ref="P148:S148"/>
    <mergeCell ref="T148:W148"/>
    <mergeCell ref="A149:A176"/>
    <mergeCell ref="B149:B150"/>
    <mergeCell ref="X149:X174"/>
    <mergeCell ref="D151:G151"/>
    <mergeCell ref="C152:C153"/>
    <mergeCell ref="D152:W152"/>
    <mergeCell ref="D153:W153"/>
    <mergeCell ref="D154:G154"/>
    <mergeCell ref="H154:K154"/>
    <mergeCell ref="L154:O154"/>
    <mergeCell ref="B161:B164"/>
    <mergeCell ref="D161:E161"/>
    <mergeCell ref="F161:G161"/>
    <mergeCell ref="H161:I161"/>
    <mergeCell ref="J161:K161"/>
    <mergeCell ref="P154:S154"/>
    <mergeCell ref="T154:W154"/>
    <mergeCell ref="B155:B156"/>
    <mergeCell ref="D157:G157"/>
    <mergeCell ref="H157:K157"/>
    <mergeCell ref="C158:C159"/>
    <mergeCell ref="D158:W158"/>
    <mergeCell ref="D159:W159"/>
    <mergeCell ref="L161:M161"/>
    <mergeCell ref="N161:O161"/>
    <mergeCell ref="P161:Q161"/>
    <mergeCell ref="R161:S161"/>
    <mergeCell ref="T161:U161"/>
    <mergeCell ref="V161:W161"/>
    <mergeCell ref="D160:G160"/>
    <mergeCell ref="H160:K160"/>
    <mergeCell ref="L160:O160"/>
    <mergeCell ref="P160:S160"/>
    <mergeCell ref="T160:W160"/>
    <mergeCell ref="T162:U162"/>
    <mergeCell ref="V162:W162"/>
    <mergeCell ref="D163:G163"/>
    <mergeCell ref="H163:K163"/>
    <mergeCell ref="L163:M163"/>
    <mergeCell ref="N163:O163"/>
    <mergeCell ref="P163:Q163"/>
    <mergeCell ref="R163:S163"/>
    <mergeCell ref="T163:U163"/>
    <mergeCell ref="V163:W163"/>
    <mergeCell ref="D162:G162"/>
    <mergeCell ref="H162:K162"/>
    <mergeCell ref="L162:M162"/>
    <mergeCell ref="N162:O162"/>
    <mergeCell ref="P162:Q162"/>
    <mergeCell ref="R162:S162"/>
    <mergeCell ref="V164:W164"/>
    <mergeCell ref="D165:G165"/>
    <mergeCell ref="H165:K165"/>
    <mergeCell ref="L165:O165"/>
    <mergeCell ref="P165:Q165"/>
    <mergeCell ref="R165:S165"/>
    <mergeCell ref="T165:U165"/>
    <mergeCell ref="V165:W165"/>
    <mergeCell ref="D164:G164"/>
    <mergeCell ref="H164:K164"/>
    <mergeCell ref="L164:O164"/>
    <mergeCell ref="P164:Q164"/>
    <mergeCell ref="R164:S164"/>
    <mergeCell ref="T164:U164"/>
    <mergeCell ref="V166:W166"/>
    <mergeCell ref="D167:G167"/>
    <mergeCell ref="H167:K167"/>
    <mergeCell ref="L167:O167"/>
    <mergeCell ref="P167:S167"/>
    <mergeCell ref="T167:U167"/>
    <mergeCell ref="V167:W167"/>
    <mergeCell ref="D166:G166"/>
    <mergeCell ref="H166:K166"/>
    <mergeCell ref="L166:O166"/>
    <mergeCell ref="P166:Q166"/>
    <mergeCell ref="R166:S166"/>
    <mergeCell ref="T166:U166"/>
    <mergeCell ref="B168:B169"/>
    <mergeCell ref="C168:C169"/>
    <mergeCell ref="D168:W168"/>
    <mergeCell ref="D169:W169"/>
    <mergeCell ref="D170:G170"/>
    <mergeCell ref="H170:K170"/>
    <mergeCell ref="L170:O170"/>
    <mergeCell ref="P170:S170"/>
    <mergeCell ref="T170:W170"/>
    <mergeCell ref="T172:W172"/>
    <mergeCell ref="D173:G173"/>
    <mergeCell ref="H173:K173"/>
    <mergeCell ref="L173:O173"/>
    <mergeCell ref="P173:S173"/>
    <mergeCell ref="T173:W173"/>
    <mergeCell ref="B171:B178"/>
    <mergeCell ref="D171:G171"/>
    <mergeCell ref="H171:K171"/>
    <mergeCell ref="L171:O171"/>
    <mergeCell ref="P171:S171"/>
    <mergeCell ref="T171:W171"/>
    <mergeCell ref="D172:G172"/>
    <mergeCell ref="H172:K172"/>
    <mergeCell ref="L172:O172"/>
    <mergeCell ref="P172:S172"/>
    <mergeCell ref="D176:G176"/>
    <mergeCell ref="H176:K176"/>
    <mergeCell ref="L176:O176"/>
    <mergeCell ref="P176:S176"/>
    <mergeCell ref="T176:W176"/>
    <mergeCell ref="C177:C178"/>
    <mergeCell ref="D177:W177"/>
    <mergeCell ref="D178:W178"/>
    <mergeCell ref="D174:G174"/>
    <mergeCell ref="H174:K174"/>
    <mergeCell ref="L174:O174"/>
    <mergeCell ref="P174:S174"/>
    <mergeCell ref="T174:W174"/>
    <mergeCell ref="D175:G175"/>
    <mergeCell ref="H175:K175"/>
    <mergeCell ref="L175:O175"/>
    <mergeCell ref="P175:S175"/>
    <mergeCell ref="T175:W175"/>
    <mergeCell ref="T179:X179"/>
    <mergeCell ref="B180:C180"/>
    <mergeCell ref="D180:G180"/>
    <mergeCell ref="H180:K180"/>
    <mergeCell ref="L180:O180"/>
    <mergeCell ref="P180:S180"/>
    <mergeCell ref="T180:X180"/>
    <mergeCell ref="A179:A180"/>
    <mergeCell ref="B179:C179"/>
    <mergeCell ref="D179:G179"/>
    <mergeCell ref="H179:K179"/>
    <mergeCell ref="L179:O179"/>
    <mergeCell ref="P179:S179"/>
    <mergeCell ref="A181:A182"/>
    <mergeCell ref="B181:C181"/>
    <mergeCell ref="D181:X182"/>
    <mergeCell ref="B182:C182"/>
    <mergeCell ref="D185:G185"/>
    <mergeCell ref="H185:K185"/>
    <mergeCell ref="L185:O185"/>
    <mergeCell ref="P185:S185"/>
    <mergeCell ref="T185:W185"/>
    <mergeCell ref="T188:W188"/>
    <mergeCell ref="D189:G189"/>
    <mergeCell ref="H189:K189"/>
    <mergeCell ref="L189:O189"/>
    <mergeCell ref="P189:S189"/>
    <mergeCell ref="T189:W189"/>
    <mergeCell ref="T186:W186"/>
    <mergeCell ref="X186:X224"/>
    <mergeCell ref="D187:G187"/>
    <mergeCell ref="H187:K187"/>
    <mergeCell ref="L187:O187"/>
    <mergeCell ref="P187:S187"/>
    <mergeCell ref="T187:W187"/>
    <mergeCell ref="D188:G188"/>
    <mergeCell ref="H188:K188"/>
    <mergeCell ref="L188:O188"/>
    <mergeCell ref="D186:G186"/>
    <mergeCell ref="H186:K186"/>
    <mergeCell ref="L186:O186"/>
    <mergeCell ref="P186:S186"/>
    <mergeCell ref="P188:S188"/>
    <mergeCell ref="D190:G190"/>
    <mergeCell ref="H190:K190"/>
    <mergeCell ref="L190:O190"/>
    <mergeCell ref="C192:C193"/>
    <mergeCell ref="D192:W192"/>
    <mergeCell ref="D193:W193"/>
    <mergeCell ref="D194:G194"/>
    <mergeCell ref="H194:K194"/>
    <mergeCell ref="L194:O194"/>
    <mergeCell ref="P194:S194"/>
    <mergeCell ref="T194:W194"/>
    <mergeCell ref="P190:S190"/>
    <mergeCell ref="T190:W190"/>
    <mergeCell ref="D191:G191"/>
    <mergeCell ref="H191:K191"/>
    <mergeCell ref="L191:O191"/>
    <mergeCell ref="P191:S191"/>
    <mergeCell ref="T191:W191"/>
    <mergeCell ref="T196:W196"/>
    <mergeCell ref="D197:G197"/>
    <mergeCell ref="H197:K197"/>
    <mergeCell ref="L197:O197"/>
    <mergeCell ref="P197:S197"/>
    <mergeCell ref="T197:W197"/>
    <mergeCell ref="B195:B202"/>
    <mergeCell ref="D195:G195"/>
    <mergeCell ref="H195:K195"/>
    <mergeCell ref="L195:O195"/>
    <mergeCell ref="P195:S195"/>
    <mergeCell ref="T195:W195"/>
    <mergeCell ref="D196:G196"/>
    <mergeCell ref="H196:K196"/>
    <mergeCell ref="L196:O196"/>
    <mergeCell ref="P196:S196"/>
    <mergeCell ref="T200:W200"/>
    <mergeCell ref="C201:C202"/>
    <mergeCell ref="D201:W201"/>
    <mergeCell ref="D202:W202"/>
    <mergeCell ref="D198:G198"/>
    <mergeCell ref="H198:K198"/>
    <mergeCell ref="L198:O198"/>
    <mergeCell ref="P198:S198"/>
    <mergeCell ref="T198:W198"/>
    <mergeCell ref="D199:G199"/>
    <mergeCell ref="H199:K199"/>
    <mergeCell ref="L199:O199"/>
    <mergeCell ref="P199:S199"/>
    <mergeCell ref="T199:W199"/>
    <mergeCell ref="B204:B211"/>
    <mergeCell ref="D204:G204"/>
    <mergeCell ref="H204:K204"/>
    <mergeCell ref="L204:O204"/>
    <mergeCell ref="P204:S204"/>
    <mergeCell ref="D200:G200"/>
    <mergeCell ref="H200:K200"/>
    <mergeCell ref="L200:O200"/>
    <mergeCell ref="P200:S200"/>
    <mergeCell ref="T204:W204"/>
    <mergeCell ref="D205:G205"/>
    <mergeCell ref="H205:K205"/>
    <mergeCell ref="L205:O205"/>
    <mergeCell ref="P205:S205"/>
    <mergeCell ref="T205:W205"/>
    <mergeCell ref="D203:G203"/>
    <mergeCell ref="H203:K203"/>
    <mergeCell ref="L203:O203"/>
    <mergeCell ref="P203:S203"/>
    <mergeCell ref="T203:W203"/>
    <mergeCell ref="D206:G206"/>
    <mergeCell ref="H206:K206"/>
    <mergeCell ref="L206:O206"/>
    <mergeCell ref="P206:S206"/>
    <mergeCell ref="T206:W206"/>
    <mergeCell ref="D207:G207"/>
    <mergeCell ref="H207:K207"/>
    <mergeCell ref="L207:O207"/>
    <mergeCell ref="P207:S207"/>
    <mergeCell ref="T207:W207"/>
    <mergeCell ref="C210:C211"/>
    <mergeCell ref="D210:W210"/>
    <mergeCell ref="D211:W211"/>
    <mergeCell ref="D212:G212"/>
    <mergeCell ref="H212:K212"/>
    <mergeCell ref="L212:O212"/>
    <mergeCell ref="P212:S212"/>
    <mergeCell ref="T212:W212"/>
    <mergeCell ref="D208:G208"/>
    <mergeCell ref="H208:K208"/>
    <mergeCell ref="L208:O208"/>
    <mergeCell ref="P208:S208"/>
    <mergeCell ref="T208:W208"/>
    <mergeCell ref="D209:G209"/>
    <mergeCell ref="H209:K209"/>
    <mergeCell ref="L209:O209"/>
    <mergeCell ref="P209:S209"/>
    <mergeCell ref="T209:W209"/>
    <mergeCell ref="T214:W214"/>
    <mergeCell ref="D215:G215"/>
    <mergeCell ref="H215:K215"/>
    <mergeCell ref="L215:O215"/>
    <mergeCell ref="P215:S215"/>
    <mergeCell ref="T215:W215"/>
    <mergeCell ref="B213:B220"/>
    <mergeCell ref="D213:G213"/>
    <mergeCell ref="H213:K213"/>
    <mergeCell ref="L213:O213"/>
    <mergeCell ref="P213:S213"/>
    <mergeCell ref="T213:W213"/>
    <mergeCell ref="D214:G214"/>
    <mergeCell ref="H214:K214"/>
    <mergeCell ref="L214:O214"/>
    <mergeCell ref="P214:S214"/>
    <mergeCell ref="D218:G218"/>
    <mergeCell ref="H218:K218"/>
    <mergeCell ref="L218:O218"/>
    <mergeCell ref="P218:S218"/>
    <mergeCell ref="T218:W218"/>
    <mergeCell ref="C219:C220"/>
    <mergeCell ref="D219:W219"/>
    <mergeCell ref="D220:W220"/>
    <mergeCell ref="D216:G216"/>
    <mergeCell ref="H216:K216"/>
    <mergeCell ref="L216:O216"/>
    <mergeCell ref="P216:S216"/>
    <mergeCell ref="T216:W216"/>
    <mergeCell ref="D217:G217"/>
    <mergeCell ref="H217:K217"/>
    <mergeCell ref="L217:O217"/>
    <mergeCell ref="P217:S217"/>
    <mergeCell ref="T217:W217"/>
    <mergeCell ref="L222:M222"/>
    <mergeCell ref="N222:O222"/>
    <mergeCell ref="P222:Q222"/>
    <mergeCell ref="R222:S222"/>
    <mergeCell ref="T222:U222"/>
    <mergeCell ref="V222:W222"/>
    <mergeCell ref="D221:G221"/>
    <mergeCell ref="H221:K221"/>
    <mergeCell ref="L221:O221"/>
    <mergeCell ref="P221:S221"/>
    <mergeCell ref="T221:W221"/>
    <mergeCell ref="D222:E222"/>
    <mergeCell ref="F222:G222"/>
    <mergeCell ref="H222:I222"/>
    <mergeCell ref="J222:K222"/>
    <mergeCell ref="A227:A228"/>
    <mergeCell ref="B227:C227"/>
    <mergeCell ref="D227:G227"/>
    <mergeCell ref="H227:K227"/>
    <mergeCell ref="L227:O227"/>
    <mergeCell ref="P223:Q223"/>
    <mergeCell ref="R223:S223"/>
    <mergeCell ref="T223:U223"/>
    <mergeCell ref="V223:W223"/>
    <mergeCell ref="D224:G224"/>
    <mergeCell ref="H224:K224"/>
    <mergeCell ref="L224:M224"/>
    <mergeCell ref="N224:O224"/>
    <mergeCell ref="P224:Q224"/>
    <mergeCell ref="R224:S224"/>
    <mergeCell ref="D223:E223"/>
    <mergeCell ref="F223:G223"/>
    <mergeCell ref="H223:I223"/>
    <mergeCell ref="J223:K223"/>
    <mergeCell ref="L223:M223"/>
    <mergeCell ref="N223:O223"/>
    <mergeCell ref="B222:B224"/>
    <mergeCell ref="A186:A224"/>
    <mergeCell ref="B186:B193"/>
    <mergeCell ref="P227:S227"/>
    <mergeCell ref="T227:X227"/>
    <mergeCell ref="B228:C228"/>
    <mergeCell ref="D228:G228"/>
    <mergeCell ref="H228:K228"/>
    <mergeCell ref="L228:O228"/>
    <mergeCell ref="P228:S228"/>
    <mergeCell ref="T228:X228"/>
    <mergeCell ref="T224:U224"/>
    <mergeCell ref="V224:W224"/>
    <mergeCell ref="C225:C226"/>
    <mergeCell ref="D225:W225"/>
    <mergeCell ref="D226:W226"/>
    <mergeCell ref="X234:X248"/>
    <mergeCell ref="D235:G235"/>
    <mergeCell ref="H235:K235"/>
    <mergeCell ref="L235:O235"/>
    <mergeCell ref="P235:S235"/>
    <mergeCell ref="A229:A230"/>
    <mergeCell ref="B229:C229"/>
    <mergeCell ref="D229:X230"/>
    <mergeCell ref="B230:C230"/>
    <mergeCell ref="D233:G233"/>
    <mergeCell ref="H233:K233"/>
    <mergeCell ref="L233:O233"/>
    <mergeCell ref="P233:S233"/>
    <mergeCell ref="T233:W233"/>
    <mergeCell ref="D236:G236"/>
    <mergeCell ref="H236:K236"/>
    <mergeCell ref="L236:O236"/>
    <mergeCell ref="C237:C238"/>
    <mergeCell ref="D237:W237"/>
    <mergeCell ref="D238:W238"/>
    <mergeCell ref="A234:A248"/>
    <mergeCell ref="B234:B238"/>
    <mergeCell ref="D234:G234"/>
    <mergeCell ref="H234:K234"/>
    <mergeCell ref="L234:O234"/>
    <mergeCell ref="D239:G239"/>
    <mergeCell ref="H239:K239"/>
    <mergeCell ref="L239:O239"/>
    <mergeCell ref="P239:S239"/>
    <mergeCell ref="T239:W239"/>
    <mergeCell ref="B240:B244"/>
    <mergeCell ref="D240:G240"/>
    <mergeCell ref="H240:K240"/>
    <mergeCell ref="L240:O240"/>
    <mergeCell ref="D241:G241"/>
    <mergeCell ref="C243:C244"/>
    <mergeCell ref="D243:W243"/>
    <mergeCell ref="D244:W244"/>
    <mergeCell ref="D245:G245"/>
    <mergeCell ref="H245:K245"/>
    <mergeCell ref="L245:O245"/>
    <mergeCell ref="P245:S245"/>
    <mergeCell ref="T245:W245"/>
    <mergeCell ref="H241:K241"/>
    <mergeCell ref="L241:O241"/>
    <mergeCell ref="P241:S241"/>
    <mergeCell ref="D242:G242"/>
    <mergeCell ref="H242:K242"/>
    <mergeCell ref="L242:O242"/>
    <mergeCell ref="P248:S248"/>
    <mergeCell ref="C249:C250"/>
    <mergeCell ref="D249:W249"/>
    <mergeCell ref="D250:W250"/>
    <mergeCell ref="A251:A252"/>
    <mergeCell ref="B251:C251"/>
    <mergeCell ref="D251:G251"/>
    <mergeCell ref="H251:K251"/>
    <mergeCell ref="L251:O251"/>
    <mergeCell ref="P251:S251"/>
    <mergeCell ref="B246:B250"/>
    <mergeCell ref="D246:G246"/>
    <mergeCell ref="H246:K246"/>
    <mergeCell ref="L246:O246"/>
    <mergeCell ref="D247:G247"/>
    <mergeCell ref="H247:K247"/>
    <mergeCell ref="L247:O247"/>
    <mergeCell ref="D248:G248"/>
    <mergeCell ref="H248:K248"/>
    <mergeCell ref="L248:O248"/>
    <mergeCell ref="A253:A254"/>
    <mergeCell ref="B253:C253"/>
    <mergeCell ref="D253:X254"/>
    <mergeCell ref="B254:C254"/>
    <mergeCell ref="T251:X251"/>
    <mergeCell ref="B252:C252"/>
    <mergeCell ref="D252:G252"/>
    <mergeCell ref="H252:K252"/>
    <mergeCell ref="L252:O252"/>
    <mergeCell ref="P252:S252"/>
    <mergeCell ref="T252:X252"/>
  </mergeCells>
  <pageMargins left="0.39000000000000007" right="0.39000000000000007" top="0.39000000000000007" bottom="0.39000000000000007" header="0" footer="0"/>
  <pageSetup paperSize="9" scale="57" fitToHeight="10" orientation="landscape"/>
  <headerFooter>
    <oddFooter>&amp;L&amp;K000000&amp;F&amp;C&amp;K000000&amp;D&amp;R&amp;K000000Page &amp;P</oddFooter>
  </headerFooter>
  <legacy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FF0000"/>
    <pageSetUpPr fitToPage="1"/>
  </sheetPr>
  <dimension ref="A1:X254"/>
  <sheetViews>
    <sheetView workbookViewId="0">
      <pane xSplit="2" ySplit="1" topLeftCell="C2" activePane="bottomRight" state="frozen"/>
      <selection activeCell="AG595" sqref="AG595"/>
      <selection pane="topRight" activeCell="AG595" sqref="AG595"/>
      <selection pane="bottomLeft" activeCell="AG595" sqref="AG595"/>
      <selection pane="bottomRight" activeCell="AG595" sqref="AG595"/>
    </sheetView>
  </sheetViews>
  <sheetFormatPr defaultColWidth="8.85546875" defaultRowHeight="12.75"/>
  <cols>
    <col min="1" max="1" width="20.85546875" style="4" customWidth="1"/>
    <col min="2" max="2" width="40.85546875" style="4" customWidth="1"/>
    <col min="3" max="3" width="15.85546875" style="27" customWidth="1"/>
    <col min="4" max="23" width="5.85546875" style="4" customWidth="1"/>
    <col min="24" max="24" width="30.85546875" style="4" customWidth="1"/>
    <col min="25" max="16384" width="8.85546875" style="4"/>
  </cols>
  <sheetData>
    <row r="1" spans="1:24" s="67" customFormat="1" ht="32.25" thickBot="1">
      <c r="A1" s="3" t="s">
        <v>0</v>
      </c>
      <c r="B1" s="64" t="s">
        <v>231</v>
      </c>
      <c r="C1" s="65" t="s">
        <v>270</v>
      </c>
      <c r="D1" s="65"/>
      <c r="E1" s="65"/>
      <c r="F1" s="65"/>
      <c r="G1" s="65"/>
      <c r="H1" s="65"/>
      <c r="I1" s="65"/>
      <c r="J1" s="65"/>
      <c r="K1" s="65"/>
      <c r="L1" s="65"/>
      <c r="M1" s="65"/>
      <c r="N1" s="65"/>
      <c r="O1" s="65"/>
      <c r="P1" s="65"/>
      <c r="Q1" s="65"/>
      <c r="R1" s="65"/>
      <c r="S1" s="65"/>
      <c r="T1" s="65"/>
      <c r="U1" s="65"/>
      <c r="V1" s="65"/>
      <c r="W1" s="65"/>
      <c r="X1" s="66"/>
    </row>
    <row r="2" spans="1:24">
      <c r="A2" s="5"/>
      <c r="B2" s="5"/>
      <c r="C2" s="6"/>
      <c r="D2" s="5"/>
      <c r="E2" s="5"/>
      <c r="F2" s="5"/>
      <c r="G2" s="5"/>
      <c r="H2" s="5"/>
      <c r="I2" s="5"/>
      <c r="J2" s="5"/>
      <c r="K2" s="5"/>
      <c r="L2" s="5"/>
      <c r="M2" s="5"/>
      <c r="N2" s="5"/>
      <c r="O2" s="5"/>
      <c r="P2" s="5"/>
      <c r="Q2" s="5"/>
      <c r="R2" s="5"/>
      <c r="S2" s="5"/>
      <c r="T2" s="5"/>
      <c r="U2" s="5"/>
      <c r="V2" s="5"/>
      <c r="W2" s="5"/>
      <c r="X2" s="5"/>
    </row>
    <row r="3" spans="1:24" ht="13.5" thickBot="1">
      <c r="A3" s="5"/>
      <c r="B3" s="5"/>
      <c r="C3" s="6"/>
      <c r="D3" s="5"/>
      <c r="E3" s="5"/>
      <c r="F3" s="5"/>
      <c r="G3" s="5"/>
      <c r="H3" s="5"/>
      <c r="I3" s="5"/>
      <c r="J3" s="5"/>
      <c r="K3" s="5"/>
      <c r="L3" s="5"/>
      <c r="M3" s="5"/>
      <c r="N3" s="5"/>
      <c r="O3" s="5"/>
      <c r="P3" s="5"/>
      <c r="Q3" s="5"/>
      <c r="R3" s="5"/>
      <c r="S3" s="5"/>
      <c r="T3" s="5"/>
      <c r="U3" s="5"/>
      <c r="V3" s="5"/>
      <c r="W3" s="5"/>
      <c r="X3" s="5"/>
    </row>
    <row r="4" spans="1:24" ht="13.5" thickBot="1">
      <c r="A4" s="513" t="s">
        <v>50</v>
      </c>
      <c r="B4" s="514" t="s">
        <v>51</v>
      </c>
      <c r="C4" s="8"/>
      <c r="D4" s="927" t="s">
        <v>79</v>
      </c>
      <c r="E4" s="928"/>
      <c r="F4" s="928"/>
      <c r="G4" s="929"/>
      <c r="H4" s="927" t="s">
        <v>80</v>
      </c>
      <c r="I4" s="928"/>
      <c r="J4" s="928"/>
      <c r="K4" s="929"/>
      <c r="L4" s="927" t="s">
        <v>81</v>
      </c>
      <c r="M4" s="928"/>
      <c r="N4" s="928"/>
      <c r="O4" s="929"/>
      <c r="P4" s="927" t="s">
        <v>254</v>
      </c>
      <c r="Q4" s="928"/>
      <c r="R4" s="928"/>
      <c r="S4" s="929"/>
      <c r="T4" s="927" t="s">
        <v>76</v>
      </c>
      <c r="U4" s="928"/>
      <c r="V4" s="928"/>
      <c r="W4" s="929"/>
      <c r="X4" s="991"/>
    </row>
    <row r="5" spans="1:24" ht="13.5" thickBot="1">
      <c r="A5" s="868" t="s">
        <v>43</v>
      </c>
      <c r="B5" s="868" t="s">
        <v>46</v>
      </c>
      <c r="C5" s="9" t="s">
        <v>2</v>
      </c>
      <c r="D5" s="983" t="s">
        <v>82</v>
      </c>
      <c r="E5" s="984"/>
      <c r="F5" s="984"/>
      <c r="G5" s="984"/>
      <c r="H5" s="984"/>
      <c r="I5" s="984"/>
      <c r="J5" s="984"/>
      <c r="K5" s="984"/>
      <c r="L5" s="984"/>
      <c r="M5" s="984"/>
      <c r="N5" s="984"/>
      <c r="O5" s="984"/>
      <c r="P5" s="984"/>
      <c r="Q5" s="984"/>
      <c r="R5" s="984"/>
      <c r="S5" s="984"/>
      <c r="T5" s="984"/>
      <c r="U5" s="984"/>
      <c r="V5" s="984"/>
      <c r="W5" s="985"/>
      <c r="X5" s="992"/>
    </row>
    <row r="6" spans="1:24" ht="13.5" thickBot="1">
      <c r="A6" s="885"/>
      <c r="B6" s="885"/>
      <c r="C6" s="10" t="s">
        <v>3</v>
      </c>
      <c r="D6" s="986"/>
      <c r="E6" s="987"/>
      <c r="F6" s="987"/>
      <c r="G6" s="987"/>
      <c r="H6" s="987"/>
      <c r="I6" s="987"/>
      <c r="J6" s="987"/>
      <c r="K6" s="987"/>
      <c r="L6" s="987"/>
      <c r="M6" s="987"/>
      <c r="N6" s="987"/>
      <c r="O6" s="987"/>
      <c r="P6" s="987"/>
      <c r="Q6" s="987"/>
      <c r="R6" s="987"/>
      <c r="S6" s="987"/>
      <c r="T6" s="987"/>
      <c r="U6" s="987"/>
      <c r="V6" s="987"/>
      <c r="W6" s="988"/>
      <c r="X6" s="992"/>
    </row>
    <row r="7" spans="1:24" ht="13.5" thickBot="1">
      <c r="A7" s="885"/>
      <c r="B7" s="885"/>
      <c r="C7" s="1142" t="s">
        <v>413</v>
      </c>
      <c r="D7" s="989" t="s">
        <v>4</v>
      </c>
      <c r="E7" s="990"/>
      <c r="F7" s="990"/>
      <c r="G7" s="990"/>
      <c r="H7" s="990"/>
      <c r="I7" s="990"/>
      <c r="J7" s="990"/>
      <c r="K7" s="990"/>
      <c r="L7" s="990"/>
      <c r="M7" s="990"/>
      <c r="N7" s="990"/>
      <c r="O7" s="990"/>
      <c r="P7" s="990"/>
      <c r="Q7" s="990"/>
      <c r="R7" s="990"/>
      <c r="S7" s="990"/>
      <c r="T7" s="990"/>
      <c r="U7" s="990"/>
      <c r="V7" s="990"/>
      <c r="W7" s="990"/>
      <c r="X7" s="992"/>
    </row>
    <row r="8" spans="1:24" ht="13.5" thickBot="1">
      <c r="A8" s="885"/>
      <c r="B8" s="869"/>
      <c r="C8" s="1143"/>
      <c r="D8" s="930" t="s">
        <v>85</v>
      </c>
      <c r="E8" s="931"/>
      <c r="F8" s="931"/>
      <c r="G8" s="931"/>
      <c r="H8" s="931"/>
      <c r="I8" s="931"/>
      <c r="J8" s="931"/>
      <c r="K8" s="931"/>
      <c r="L8" s="931"/>
      <c r="M8" s="931"/>
      <c r="N8" s="931"/>
      <c r="O8" s="931"/>
      <c r="P8" s="931"/>
      <c r="Q8" s="931"/>
      <c r="R8" s="931"/>
      <c r="S8" s="931"/>
      <c r="T8" s="931"/>
      <c r="U8" s="931"/>
      <c r="V8" s="931"/>
      <c r="W8" s="932"/>
      <c r="X8" s="992"/>
    </row>
    <row r="9" spans="1:24" ht="13.5" thickBot="1">
      <c r="A9" s="885"/>
      <c r="B9" s="11" t="s">
        <v>52</v>
      </c>
      <c r="C9" s="12"/>
      <c r="D9" s="927" t="s">
        <v>79</v>
      </c>
      <c r="E9" s="928"/>
      <c r="F9" s="928"/>
      <c r="G9" s="929"/>
      <c r="H9" s="927" t="s">
        <v>80</v>
      </c>
      <c r="I9" s="928"/>
      <c r="J9" s="928"/>
      <c r="K9" s="929"/>
      <c r="L9" s="927" t="s">
        <v>81</v>
      </c>
      <c r="M9" s="928"/>
      <c r="N9" s="928"/>
      <c r="O9" s="929"/>
      <c r="P9" s="927" t="s">
        <v>254</v>
      </c>
      <c r="Q9" s="928"/>
      <c r="R9" s="928"/>
      <c r="S9" s="929"/>
      <c r="T9" s="927" t="s">
        <v>76</v>
      </c>
      <c r="U9" s="928"/>
      <c r="V9" s="928"/>
      <c r="W9" s="929"/>
      <c r="X9" s="992"/>
    </row>
    <row r="10" spans="1:24" ht="35.1" customHeight="1" thickBot="1">
      <c r="A10" s="885"/>
      <c r="B10" s="868" t="s">
        <v>45</v>
      </c>
      <c r="C10" s="13" t="s">
        <v>2</v>
      </c>
      <c r="D10" s="930" t="s">
        <v>86</v>
      </c>
      <c r="E10" s="931"/>
      <c r="F10" s="931"/>
      <c r="G10" s="931"/>
      <c r="H10" s="931"/>
      <c r="I10" s="931"/>
      <c r="J10" s="931"/>
      <c r="K10" s="931"/>
      <c r="L10" s="931"/>
      <c r="M10" s="931"/>
      <c r="N10" s="931"/>
      <c r="O10" s="931"/>
      <c r="P10" s="931"/>
      <c r="Q10" s="931"/>
      <c r="R10" s="931"/>
      <c r="S10" s="931"/>
      <c r="T10" s="931"/>
      <c r="U10" s="931"/>
      <c r="V10" s="931"/>
      <c r="W10" s="932"/>
      <c r="X10" s="992"/>
    </row>
    <row r="11" spans="1:24" ht="13.5" thickBot="1">
      <c r="A11" s="885"/>
      <c r="B11" s="885"/>
      <c r="C11" s="10" t="s">
        <v>3</v>
      </c>
      <c r="D11" s="986"/>
      <c r="E11" s="987"/>
      <c r="F11" s="987"/>
      <c r="G11" s="987"/>
      <c r="H11" s="987"/>
      <c r="I11" s="987"/>
      <c r="J11" s="987"/>
      <c r="K11" s="987"/>
      <c r="L11" s="987"/>
      <c r="M11" s="987"/>
      <c r="N11" s="987"/>
      <c r="O11" s="987"/>
      <c r="P11" s="987"/>
      <c r="Q11" s="987"/>
      <c r="R11" s="987"/>
      <c r="S11" s="987"/>
      <c r="T11" s="987"/>
      <c r="U11" s="987"/>
      <c r="V11" s="987"/>
      <c r="W11" s="988"/>
      <c r="X11" s="992"/>
    </row>
    <row r="12" spans="1:24" ht="13.5" thickBot="1">
      <c r="A12" s="885"/>
      <c r="B12" s="885"/>
      <c r="C12" s="1142" t="s">
        <v>413</v>
      </c>
      <c r="D12" s="927" t="s">
        <v>4</v>
      </c>
      <c r="E12" s="928"/>
      <c r="F12" s="928"/>
      <c r="G12" s="928"/>
      <c r="H12" s="928"/>
      <c r="I12" s="928"/>
      <c r="J12" s="928"/>
      <c r="K12" s="928"/>
      <c r="L12" s="928"/>
      <c r="M12" s="928"/>
      <c r="N12" s="928"/>
      <c r="O12" s="928"/>
      <c r="P12" s="928"/>
      <c r="Q12" s="928"/>
      <c r="R12" s="928"/>
      <c r="S12" s="928"/>
      <c r="T12" s="928"/>
      <c r="U12" s="928"/>
      <c r="V12" s="928"/>
      <c r="W12" s="928"/>
      <c r="X12" s="992"/>
    </row>
    <row r="13" spans="1:24" ht="24" customHeight="1" thickBot="1">
      <c r="A13" s="885"/>
      <c r="B13" s="869"/>
      <c r="C13" s="1143"/>
      <c r="D13" s="930" t="s">
        <v>87</v>
      </c>
      <c r="E13" s="931"/>
      <c r="F13" s="931"/>
      <c r="G13" s="931"/>
      <c r="H13" s="931"/>
      <c r="I13" s="931"/>
      <c r="J13" s="931"/>
      <c r="K13" s="931"/>
      <c r="L13" s="931"/>
      <c r="M13" s="931"/>
      <c r="N13" s="931"/>
      <c r="O13" s="931"/>
      <c r="P13" s="931"/>
      <c r="Q13" s="931"/>
      <c r="R13" s="931"/>
      <c r="S13" s="931"/>
      <c r="T13" s="931"/>
      <c r="U13" s="931"/>
      <c r="V13" s="931"/>
      <c r="W13" s="932"/>
      <c r="X13" s="992"/>
    </row>
    <row r="14" spans="1:24" ht="13.5" thickBot="1">
      <c r="A14" s="885"/>
      <c r="B14" s="11" t="s">
        <v>53</v>
      </c>
      <c r="C14" s="12"/>
      <c r="D14" s="927" t="s">
        <v>79</v>
      </c>
      <c r="E14" s="928"/>
      <c r="F14" s="928"/>
      <c r="G14" s="929"/>
      <c r="H14" s="927" t="s">
        <v>80</v>
      </c>
      <c r="I14" s="928"/>
      <c r="J14" s="928"/>
      <c r="K14" s="929"/>
      <c r="L14" s="927" t="s">
        <v>81</v>
      </c>
      <c r="M14" s="928"/>
      <c r="N14" s="928"/>
      <c r="O14" s="929"/>
      <c r="P14" s="927" t="s">
        <v>254</v>
      </c>
      <c r="Q14" s="928"/>
      <c r="R14" s="928"/>
      <c r="S14" s="929"/>
      <c r="T14" s="927" t="s">
        <v>76</v>
      </c>
      <c r="U14" s="928"/>
      <c r="V14" s="928"/>
      <c r="W14" s="929"/>
      <c r="X14" s="992"/>
    </row>
    <row r="15" spans="1:24" ht="13.5" thickBot="1">
      <c r="A15" s="885"/>
      <c r="B15" s="868" t="s">
        <v>44</v>
      </c>
      <c r="C15" s="9" t="s">
        <v>2</v>
      </c>
      <c r="D15" s="930" t="s">
        <v>83</v>
      </c>
      <c r="E15" s="931"/>
      <c r="F15" s="931"/>
      <c r="G15" s="931"/>
      <c r="H15" s="931"/>
      <c r="I15" s="931"/>
      <c r="J15" s="931"/>
      <c r="K15" s="931"/>
      <c r="L15" s="931"/>
      <c r="M15" s="931"/>
      <c r="N15" s="931"/>
      <c r="O15" s="931"/>
      <c r="P15" s="931"/>
      <c r="Q15" s="931"/>
      <c r="R15" s="931"/>
      <c r="S15" s="931"/>
      <c r="T15" s="931"/>
      <c r="U15" s="931"/>
      <c r="V15" s="931"/>
      <c r="W15" s="932"/>
      <c r="X15" s="992"/>
    </row>
    <row r="16" spans="1:24" ht="13.5" thickBot="1">
      <c r="A16" s="885"/>
      <c r="B16" s="885"/>
      <c r="C16" s="10" t="s">
        <v>3</v>
      </c>
      <c r="D16" s="986"/>
      <c r="E16" s="987"/>
      <c r="F16" s="987"/>
      <c r="G16" s="987"/>
      <c r="H16" s="987"/>
      <c r="I16" s="987"/>
      <c r="J16" s="987"/>
      <c r="K16" s="987"/>
      <c r="L16" s="987"/>
      <c r="M16" s="987"/>
      <c r="N16" s="987"/>
      <c r="O16" s="987"/>
      <c r="P16" s="987"/>
      <c r="Q16" s="987"/>
      <c r="R16" s="987"/>
      <c r="S16" s="987"/>
      <c r="T16" s="987"/>
      <c r="U16" s="987"/>
      <c r="V16" s="987"/>
      <c r="W16" s="988"/>
      <c r="X16" s="992"/>
    </row>
    <row r="17" spans="1:24" ht="13.5" thickBot="1">
      <c r="A17" s="885"/>
      <c r="B17" s="885"/>
      <c r="C17" s="1142" t="s">
        <v>413</v>
      </c>
      <c r="D17" s="989" t="s">
        <v>4</v>
      </c>
      <c r="E17" s="990"/>
      <c r="F17" s="990"/>
      <c r="G17" s="990"/>
      <c r="H17" s="990"/>
      <c r="I17" s="990"/>
      <c r="J17" s="990"/>
      <c r="K17" s="990"/>
      <c r="L17" s="990"/>
      <c r="M17" s="990"/>
      <c r="N17" s="990"/>
      <c r="O17" s="990"/>
      <c r="P17" s="990"/>
      <c r="Q17" s="990"/>
      <c r="R17" s="990"/>
      <c r="S17" s="990"/>
      <c r="T17" s="990"/>
      <c r="U17" s="990"/>
      <c r="V17" s="990"/>
      <c r="W17" s="990"/>
      <c r="X17" s="992"/>
    </row>
    <row r="18" spans="1:24" ht="13.5" thickBot="1">
      <c r="A18" s="869"/>
      <c r="B18" s="869"/>
      <c r="C18" s="1143"/>
      <c r="D18" s="930" t="s">
        <v>84</v>
      </c>
      <c r="E18" s="931"/>
      <c r="F18" s="931"/>
      <c r="G18" s="931"/>
      <c r="H18" s="931"/>
      <c r="I18" s="931"/>
      <c r="J18" s="931"/>
      <c r="K18" s="931"/>
      <c r="L18" s="931"/>
      <c r="M18" s="931"/>
      <c r="N18" s="931"/>
      <c r="O18" s="931"/>
      <c r="P18" s="931"/>
      <c r="Q18" s="931"/>
      <c r="R18" s="931"/>
      <c r="S18" s="931"/>
      <c r="T18" s="931"/>
      <c r="U18" s="931"/>
      <c r="V18" s="931"/>
      <c r="W18" s="932"/>
      <c r="X18" s="993"/>
    </row>
    <row r="19" spans="1:24">
      <c r="A19" s="5"/>
      <c r="B19" s="5"/>
      <c r="C19" s="14"/>
      <c r="D19" s="5"/>
      <c r="E19" s="5"/>
      <c r="F19" s="5"/>
      <c r="G19" s="5"/>
      <c r="H19" s="5"/>
      <c r="I19" s="5"/>
      <c r="J19" s="5"/>
      <c r="K19" s="5"/>
      <c r="L19" s="5"/>
      <c r="M19" s="5"/>
      <c r="N19" s="5"/>
      <c r="O19" s="5"/>
      <c r="P19" s="5"/>
      <c r="Q19" s="5"/>
      <c r="R19" s="5"/>
      <c r="S19" s="5"/>
      <c r="T19" s="5"/>
      <c r="U19" s="5"/>
      <c r="V19" s="5"/>
      <c r="W19" s="5"/>
      <c r="X19" s="5"/>
    </row>
    <row r="20" spans="1:24" ht="13.5" thickBot="1">
      <c r="A20" s="5"/>
      <c r="B20" s="5"/>
      <c r="C20" s="6"/>
      <c r="D20" s="5"/>
      <c r="E20" s="5"/>
      <c r="F20" s="5"/>
      <c r="G20" s="5"/>
      <c r="H20" s="5"/>
      <c r="I20" s="5"/>
      <c r="J20" s="5"/>
      <c r="K20" s="5"/>
      <c r="L20" s="5"/>
      <c r="M20" s="5"/>
      <c r="N20" s="5"/>
      <c r="O20" s="5"/>
      <c r="P20" s="5"/>
      <c r="Q20" s="5"/>
      <c r="R20" s="5"/>
      <c r="S20" s="5"/>
      <c r="T20" s="5"/>
      <c r="U20" s="5"/>
      <c r="V20" s="5"/>
      <c r="W20" s="5"/>
      <c r="X20" s="5"/>
    </row>
    <row r="21" spans="1:24" ht="12.95" customHeight="1" thickBot="1">
      <c r="A21" s="15" t="s">
        <v>1</v>
      </c>
      <c r="B21" s="514" t="s">
        <v>24</v>
      </c>
      <c r="C21" s="8"/>
      <c r="D21" s="927" t="s">
        <v>78</v>
      </c>
      <c r="E21" s="928"/>
      <c r="F21" s="928"/>
      <c r="G21" s="929"/>
      <c r="H21" s="927" t="s">
        <v>77</v>
      </c>
      <c r="I21" s="928"/>
      <c r="J21" s="928"/>
      <c r="K21" s="929"/>
      <c r="L21" s="927" t="s">
        <v>81</v>
      </c>
      <c r="M21" s="928"/>
      <c r="N21" s="928"/>
      <c r="O21" s="929"/>
      <c r="P21" s="927" t="s">
        <v>254</v>
      </c>
      <c r="Q21" s="928"/>
      <c r="R21" s="928"/>
      <c r="S21" s="929"/>
      <c r="T21" s="1144" t="s">
        <v>908</v>
      </c>
      <c r="U21" s="1145"/>
      <c r="V21" s="1145"/>
      <c r="W21" s="1146"/>
      <c r="X21" s="16" t="s">
        <v>6</v>
      </c>
    </row>
    <row r="22" spans="1:24" ht="13.5" thickBot="1">
      <c r="A22" s="868" t="s">
        <v>47</v>
      </c>
      <c r="B22" s="868" t="s">
        <v>48</v>
      </c>
      <c r="C22" s="9" t="s">
        <v>235</v>
      </c>
      <c r="D22" s="942">
        <f>SUM('State DisAgg LFx10 (2014)'!D22:G26)/5</f>
        <v>2.1</v>
      </c>
      <c r="E22" s="943"/>
      <c r="F22" s="943"/>
      <c r="G22" s="944"/>
      <c r="H22" s="942">
        <f>SUM('State DisAgg LFx10 (2014)'!H22:K26)/5</f>
        <v>2.1</v>
      </c>
      <c r="I22" s="943"/>
      <c r="J22" s="943"/>
      <c r="K22" s="944"/>
      <c r="L22" s="942">
        <f>SUM('State DisAgg LFx10 (2014)'!L22:O26)/5</f>
        <v>2.9</v>
      </c>
      <c r="M22" s="943"/>
      <c r="N22" s="943"/>
      <c r="O22" s="944"/>
      <c r="P22" s="942">
        <f>SUM('State DisAgg LFx10 (2014)'!P22:S26)/5</f>
        <v>3.06</v>
      </c>
      <c r="Q22" s="943"/>
      <c r="R22" s="943"/>
      <c r="S22" s="944"/>
      <c r="T22" s="963">
        <f>SUM('State DisAgg LFx10 (2014)'!T22:T26)/5</f>
        <v>3.1533333333333333</v>
      </c>
      <c r="U22" s="964"/>
      <c r="V22" s="964"/>
      <c r="W22" s="965"/>
      <c r="X22" s="873" t="s">
        <v>96</v>
      </c>
    </row>
    <row r="23" spans="1:24" ht="13.5" thickBot="1">
      <c r="A23" s="885"/>
      <c r="B23" s="885"/>
      <c r="C23" s="9" t="s">
        <v>233</v>
      </c>
      <c r="D23" s="1048" t="s">
        <v>414</v>
      </c>
      <c r="E23" s="1049"/>
      <c r="F23" s="1049"/>
      <c r="G23" s="1050"/>
      <c r="H23" s="942">
        <f>SUM('State DisAgg LFx10 (2014)'!H27:K29)/3</f>
        <v>2.3333333333333335</v>
      </c>
      <c r="I23" s="943"/>
      <c r="J23" s="943"/>
      <c r="K23" s="944"/>
      <c r="L23" s="942">
        <f>SUM('State DisAgg LFx10 (2014)'!L27:O29)/3</f>
        <v>2.3333333333333335</v>
      </c>
      <c r="M23" s="943"/>
      <c r="N23" s="943"/>
      <c r="O23" s="944"/>
      <c r="P23" s="942">
        <f>SUM('State DisAgg LFx10 (2014)'!P27:S29)/3</f>
        <v>2.5</v>
      </c>
      <c r="Q23" s="943"/>
      <c r="R23" s="943"/>
      <c r="S23" s="944"/>
      <c r="T23" s="963">
        <f>SUM('State DisAgg LFx10 (2014)'!T27:T29)/3</f>
        <v>2.7222222222222219</v>
      </c>
      <c r="U23" s="964"/>
      <c r="V23" s="964"/>
      <c r="W23" s="965"/>
      <c r="X23" s="874"/>
    </row>
    <row r="24" spans="1:24" ht="13.5" thickBot="1">
      <c r="A24" s="885"/>
      <c r="B24" s="885"/>
      <c r="C24" s="9" t="s">
        <v>234</v>
      </c>
      <c r="D24" s="957"/>
      <c r="E24" s="958"/>
      <c r="F24" s="958"/>
      <c r="G24" s="959"/>
      <c r="H24" s="1048"/>
      <c r="I24" s="1049"/>
      <c r="J24" s="1049"/>
      <c r="K24" s="1050"/>
      <c r="L24" s="1057" t="s">
        <v>909</v>
      </c>
      <c r="M24" s="1058"/>
      <c r="N24" s="1058"/>
      <c r="O24" s="1059"/>
      <c r="P24" s="963">
        <f>SUM('State DisAgg LFx10 (2014)'!P30:S31)/2</f>
        <v>2.6</v>
      </c>
      <c r="Q24" s="964"/>
      <c r="R24" s="964"/>
      <c r="S24" s="965"/>
      <c r="T24" s="963">
        <f>SUM('State DisAgg LFx10 (2014)'!T30:T31)/2</f>
        <v>2.6</v>
      </c>
      <c r="U24" s="964"/>
      <c r="V24" s="964"/>
      <c r="W24" s="965"/>
      <c r="X24" s="874"/>
    </row>
    <row r="25" spans="1:24" ht="13.5" thickBot="1">
      <c r="A25" s="885"/>
      <c r="B25" s="885"/>
      <c r="C25" s="102" t="s">
        <v>236</v>
      </c>
      <c r="D25" s="1045" t="s">
        <v>582</v>
      </c>
      <c r="E25" s="1046"/>
      <c r="F25" s="1046"/>
      <c r="G25" s="1047"/>
      <c r="H25" s="1147">
        <f>SUM('State DisAgg LFx10 (2014)'!H32:K36)/5</f>
        <v>2.5</v>
      </c>
      <c r="I25" s="1148"/>
      <c r="J25" s="1148"/>
      <c r="K25" s="1149"/>
      <c r="L25" s="1147">
        <f>SUM('State DisAgg LFx10 (2014)'!L32:O36)/5</f>
        <v>2.84</v>
      </c>
      <c r="M25" s="1148"/>
      <c r="N25" s="1148"/>
      <c r="O25" s="1149"/>
      <c r="P25" s="1147">
        <f>SUM('State DisAgg LFx10 (2014)'!P32:S36)/5</f>
        <v>3.1800000000000006</v>
      </c>
      <c r="Q25" s="1148"/>
      <c r="R25" s="1148"/>
      <c r="S25" s="1149"/>
      <c r="T25" s="1147">
        <f>SUM('State DisAgg LFx10 (2014)'!T32:T36)/5</f>
        <v>3.3200000000000003</v>
      </c>
      <c r="U25" s="1148"/>
      <c r="V25" s="1148"/>
      <c r="W25" s="1149"/>
      <c r="X25" s="874"/>
    </row>
    <row r="26" spans="1:24" ht="13.5" thickBot="1">
      <c r="A26" s="885"/>
      <c r="B26" s="885"/>
      <c r="C26" s="102" t="s">
        <v>283</v>
      </c>
      <c r="D26" s="1017"/>
      <c r="E26" s="1018"/>
      <c r="F26" s="1018"/>
      <c r="G26" s="1019"/>
      <c r="H26" s="1017"/>
      <c r="I26" s="1018"/>
      <c r="J26" s="1018"/>
      <c r="K26" s="1019"/>
      <c r="L26" s="1147">
        <f>SUM('State DisAgg LFx10 (2014)'!L37:O39)/3</f>
        <v>2.3333333333333335</v>
      </c>
      <c r="M26" s="1148"/>
      <c r="N26" s="1148"/>
      <c r="O26" s="1149"/>
      <c r="P26" s="1147">
        <f>SUM('State DisAgg LFx10 (2014)'!P37:S39)/3</f>
        <v>2.4333333333333336</v>
      </c>
      <c r="Q26" s="1148"/>
      <c r="R26" s="1148"/>
      <c r="S26" s="1149"/>
      <c r="T26" s="1147">
        <f>SUM('State DisAgg LFx10 (2014)'!T37:T39)/3</f>
        <v>2.9666666666666668</v>
      </c>
      <c r="U26" s="1148"/>
      <c r="V26" s="1148"/>
      <c r="W26" s="1149"/>
      <c r="X26" s="874"/>
    </row>
    <row r="27" spans="1:24" ht="13.5" thickBot="1">
      <c r="A27" s="885"/>
      <c r="B27" s="885"/>
      <c r="C27" s="102" t="s">
        <v>284</v>
      </c>
      <c r="D27" s="1017"/>
      <c r="E27" s="1018"/>
      <c r="F27" s="1018"/>
      <c r="G27" s="1019"/>
      <c r="H27" s="1017"/>
      <c r="I27" s="1018"/>
      <c r="J27" s="1018"/>
      <c r="K27" s="1019"/>
      <c r="L27" s="1017"/>
      <c r="M27" s="1018"/>
      <c r="N27" s="1018"/>
      <c r="O27" s="1019"/>
      <c r="P27" s="1147">
        <f>SUM('State DisAgg LFx10 (2014)'!P40:S41)/2</f>
        <v>0</v>
      </c>
      <c r="Q27" s="1148"/>
      <c r="R27" s="1148"/>
      <c r="S27" s="1149"/>
      <c r="T27" s="1147">
        <f>SUM('State DisAgg LFx10 (2014)'!T40:T41)/2</f>
        <v>2.6</v>
      </c>
      <c r="U27" s="1148"/>
      <c r="V27" s="1148"/>
      <c r="W27" s="1149"/>
      <c r="X27" s="874"/>
    </row>
    <row r="28" spans="1:24" ht="13.5" thickBot="1">
      <c r="A28" s="885"/>
      <c r="B28" s="885"/>
      <c r="C28" s="1142" t="s">
        <v>413</v>
      </c>
      <c r="D28" s="927" t="s">
        <v>4</v>
      </c>
      <c r="E28" s="928"/>
      <c r="F28" s="928"/>
      <c r="G28" s="928"/>
      <c r="H28" s="928"/>
      <c r="I28" s="928"/>
      <c r="J28" s="928"/>
      <c r="K28" s="928"/>
      <c r="L28" s="928"/>
      <c r="M28" s="928"/>
      <c r="N28" s="928"/>
      <c r="O28" s="928"/>
      <c r="P28" s="928"/>
      <c r="Q28" s="928"/>
      <c r="R28" s="928"/>
      <c r="S28" s="928"/>
      <c r="T28" s="928"/>
      <c r="U28" s="928"/>
      <c r="V28" s="928"/>
      <c r="W28" s="928"/>
      <c r="X28" s="874"/>
    </row>
    <row r="29" spans="1:24" ht="13.5" thickBot="1">
      <c r="A29" s="885"/>
      <c r="B29" s="869"/>
      <c r="C29" s="1143"/>
      <c r="D29" s="930" t="s">
        <v>115</v>
      </c>
      <c r="E29" s="931"/>
      <c r="F29" s="931"/>
      <c r="G29" s="931"/>
      <c r="H29" s="931"/>
      <c r="I29" s="931"/>
      <c r="J29" s="931"/>
      <c r="K29" s="931"/>
      <c r="L29" s="931"/>
      <c r="M29" s="931"/>
      <c r="N29" s="931"/>
      <c r="O29" s="931"/>
      <c r="P29" s="931"/>
      <c r="Q29" s="931"/>
      <c r="R29" s="931"/>
      <c r="S29" s="931"/>
      <c r="T29" s="931"/>
      <c r="U29" s="931"/>
      <c r="V29" s="931"/>
      <c r="W29" s="932"/>
      <c r="X29" s="874"/>
    </row>
    <row r="30" spans="1:24" ht="12.95" customHeight="1" thickBot="1">
      <c r="A30" s="885"/>
      <c r="B30" s="11" t="s">
        <v>25</v>
      </c>
      <c r="C30" s="12"/>
      <c r="D30" s="927" t="s">
        <v>78</v>
      </c>
      <c r="E30" s="928"/>
      <c r="F30" s="928"/>
      <c r="G30" s="929"/>
      <c r="H30" s="927" t="s">
        <v>77</v>
      </c>
      <c r="I30" s="928"/>
      <c r="J30" s="928"/>
      <c r="K30" s="929"/>
      <c r="L30" s="927" t="s">
        <v>81</v>
      </c>
      <c r="M30" s="928"/>
      <c r="N30" s="928"/>
      <c r="O30" s="929"/>
      <c r="P30" s="927" t="s">
        <v>254</v>
      </c>
      <c r="Q30" s="928"/>
      <c r="R30" s="928"/>
      <c r="S30" s="929"/>
      <c r="T30" s="1144" t="s">
        <v>908</v>
      </c>
      <c r="U30" s="1145"/>
      <c r="V30" s="1145"/>
      <c r="W30" s="1146"/>
      <c r="X30" s="874"/>
    </row>
    <row r="31" spans="1:24" ht="13.5" thickBot="1">
      <c r="A31" s="885"/>
      <c r="B31" s="868" t="s">
        <v>49</v>
      </c>
      <c r="C31" s="9" t="s">
        <v>235</v>
      </c>
      <c r="D31" s="942">
        <f>SUM('State DisAgg LFx10 (2014)'!D45:G49)/5</f>
        <v>1</v>
      </c>
      <c r="E31" s="943"/>
      <c r="F31" s="943"/>
      <c r="G31" s="944"/>
      <c r="H31" s="942">
        <f>SUM('State DisAgg LFx10 (2014)'!H45:K49)/5</f>
        <v>1</v>
      </c>
      <c r="I31" s="943"/>
      <c r="J31" s="943"/>
      <c r="K31" s="944"/>
      <c r="L31" s="942">
        <f>SUM('State DisAgg LFx10 (2014)'!L45:O49)/5</f>
        <v>1.5</v>
      </c>
      <c r="M31" s="943"/>
      <c r="N31" s="943"/>
      <c r="O31" s="944"/>
      <c r="P31" s="963">
        <f>SUM('State DisAgg LFx10 (2014)'!P45:S49)/5</f>
        <v>2.0100000000000002</v>
      </c>
      <c r="Q31" s="964"/>
      <c r="R31" s="964"/>
      <c r="S31" s="965"/>
      <c r="T31" s="963">
        <f>SUM('State DisAgg LFx10 (2014)'!T45:T49)/5</f>
        <v>2.2166666666666659</v>
      </c>
      <c r="U31" s="964"/>
      <c r="V31" s="964"/>
      <c r="W31" s="965"/>
      <c r="X31" s="874"/>
    </row>
    <row r="32" spans="1:24" ht="13.5" thickBot="1">
      <c r="A32" s="885"/>
      <c r="B32" s="885"/>
      <c r="C32" s="9" t="s">
        <v>233</v>
      </c>
      <c r="D32" s="1048" t="s">
        <v>414</v>
      </c>
      <c r="E32" s="1049"/>
      <c r="F32" s="1049"/>
      <c r="G32" s="1050"/>
      <c r="H32" s="942">
        <f>SUM('State DisAgg LFx10 (2014)'!H50:K52)/3</f>
        <v>1</v>
      </c>
      <c r="I32" s="943"/>
      <c r="J32" s="943"/>
      <c r="K32" s="944"/>
      <c r="L32" s="942">
        <f>SUM('State DisAgg LFx10 (2014)'!L50:O52)/3</f>
        <v>1</v>
      </c>
      <c r="M32" s="943"/>
      <c r="N32" s="943"/>
      <c r="O32" s="944"/>
      <c r="P32" s="942">
        <f>SUM('State DisAgg LFx10 (2014)'!P50:S52)/3</f>
        <v>1.2</v>
      </c>
      <c r="Q32" s="943"/>
      <c r="R32" s="943"/>
      <c r="S32" s="944"/>
      <c r="T32" s="942">
        <f>SUM('State DisAgg LFx10 (2014)'!T50:T52)/3</f>
        <v>1.4222222222222218</v>
      </c>
      <c r="U32" s="943"/>
      <c r="V32" s="943"/>
      <c r="W32" s="944"/>
      <c r="X32" s="874"/>
    </row>
    <row r="33" spans="1:24" ht="12.95" customHeight="1" thickBot="1">
      <c r="A33" s="885"/>
      <c r="B33" s="885"/>
      <c r="C33" s="9" t="s">
        <v>234</v>
      </c>
      <c r="D33" s="957"/>
      <c r="E33" s="958"/>
      <c r="F33" s="958"/>
      <c r="G33" s="959"/>
      <c r="H33" s="1048"/>
      <c r="I33" s="1049"/>
      <c r="J33" s="1049"/>
      <c r="K33" s="1050"/>
      <c r="L33" s="1057" t="s">
        <v>909</v>
      </c>
      <c r="M33" s="1058"/>
      <c r="N33" s="1058"/>
      <c r="O33" s="1059"/>
      <c r="P33" s="963">
        <f>SUM('State DisAgg LFx10 (2014)'!P53:S54)/2</f>
        <v>0.6</v>
      </c>
      <c r="Q33" s="964"/>
      <c r="R33" s="964"/>
      <c r="S33" s="965"/>
      <c r="T33" s="963">
        <f>SUM('State DisAgg LFx10 (2014)'!T53:T54)/2</f>
        <v>0.6</v>
      </c>
      <c r="U33" s="964"/>
      <c r="V33" s="964"/>
      <c r="W33" s="965"/>
      <c r="X33" s="874"/>
    </row>
    <row r="34" spans="1:24" ht="13.5" thickBot="1">
      <c r="A34" s="885"/>
      <c r="B34" s="885"/>
      <c r="C34" s="102" t="s">
        <v>236</v>
      </c>
      <c r="D34" s="1008" t="s">
        <v>595</v>
      </c>
      <c r="E34" s="1009"/>
      <c r="F34" s="1009"/>
      <c r="G34" s="1010"/>
      <c r="H34" s="1147">
        <f>SUM('State DisAgg LFx10 (2014)'!H55:K59)/5</f>
        <v>1.6</v>
      </c>
      <c r="I34" s="1148"/>
      <c r="J34" s="1148"/>
      <c r="K34" s="1149"/>
      <c r="L34" s="1147">
        <f>SUM('State DisAgg LFx10 (2014)'!L55:O59)/5</f>
        <v>2.2000000000000002</v>
      </c>
      <c r="M34" s="1148"/>
      <c r="N34" s="1148"/>
      <c r="O34" s="1149"/>
      <c r="P34" s="1147">
        <f>SUM('State DisAgg LFx10 (2014)'!P55:S59)/5</f>
        <v>2.6</v>
      </c>
      <c r="Q34" s="1148"/>
      <c r="R34" s="1148"/>
      <c r="S34" s="1149"/>
      <c r="T34" s="1147">
        <f>SUM('State DisAgg LFx10 (2014)'!T55:T59)/5</f>
        <v>2.8519999999999994</v>
      </c>
      <c r="U34" s="1148"/>
      <c r="V34" s="1148"/>
      <c r="W34" s="1149"/>
      <c r="X34" s="874"/>
    </row>
    <row r="35" spans="1:24" ht="13.5" thickBot="1">
      <c r="A35" s="885"/>
      <c r="B35" s="885"/>
      <c r="C35" s="102" t="s">
        <v>283</v>
      </c>
      <c r="D35" s="1017"/>
      <c r="E35" s="1018"/>
      <c r="F35" s="1018"/>
      <c r="G35" s="1019"/>
      <c r="H35" s="1017"/>
      <c r="I35" s="1018"/>
      <c r="J35" s="1018"/>
      <c r="K35" s="1019"/>
      <c r="L35" s="1147">
        <f>SUM('State DisAgg LFx10 (2014)'!L60:O62)/3</f>
        <v>1</v>
      </c>
      <c r="M35" s="1148"/>
      <c r="N35" s="1148"/>
      <c r="O35" s="1149"/>
      <c r="P35" s="1147">
        <f>SUM('State DisAgg LFx10 (2014)'!P60:S62)/3</f>
        <v>1.8333333333333333</v>
      </c>
      <c r="Q35" s="1148"/>
      <c r="R35" s="1148"/>
      <c r="S35" s="1149"/>
      <c r="T35" s="1147">
        <f>SUM('State DisAgg LFx10 (2014)'!T60:T62)/3</f>
        <v>2.9333333333333336</v>
      </c>
      <c r="U35" s="1148"/>
      <c r="V35" s="1148"/>
      <c r="W35" s="1149"/>
      <c r="X35" s="874"/>
    </row>
    <row r="36" spans="1:24" ht="13.5" thickBot="1">
      <c r="A36" s="885"/>
      <c r="B36" s="885"/>
      <c r="C36" s="102" t="s">
        <v>284</v>
      </c>
      <c r="D36" s="1017"/>
      <c r="E36" s="1018"/>
      <c r="F36" s="1018"/>
      <c r="G36" s="1019"/>
      <c r="H36" s="1017"/>
      <c r="I36" s="1018"/>
      <c r="J36" s="1018"/>
      <c r="K36" s="1019"/>
      <c r="L36" s="1017"/>
      <c r="M36" s="1018"/>
      <c r="N36" s="1018"/>
      <c r="O36" s="1019"/>
      <c r="P36" s="1147">
        <f>SUM('State DisAgg LFx10 (2014)'!P63:S64)/2</f>
        <v>0</v>
      </c>
      <c r="Q36" s="1148"/>
      <c r="R36" s="1148"/>
      <c r="S36" s="1149"/>
      <c r="T36" s="1147">
        <f>SUM('State DisAgg LFx10 (2014)'!T63:T64)/2</f>
        <v>0.6</v>
      </c>
      <c r="U36" s="1148"/>
      <c r="V36" s="1148"/>
      <c r="W36" s="1149"/>
      <c r="X36" s="874"/>
    </row>
    <row r="37" spans="1:24" ht="13.5" thickBot="1">
      <c r="A37" s="885"/>
      <c r="B37" s="885"/>
      <c r="C37" s="1142" t="s">
        <v>413</v>
      </c>
      <c r="D37" s="927" t="s">
        <v>4</v>
      </c>
      <c r="E37" s="928"/>
      <c r="F37" s="928"/>
      <c r="G37" s="928"/>
      <c r="H37" s="928"/>
      <c r="I37" s="928"/>
      <c r="J37" s="928"/>
      <c r="K37" s="928"/>
      <c r="L37" s="928"/>
      <c r="M37" s="928"/>
      <c r="N37" s="928"/>
      <c r="O37" s="928"/>
      <c r="P37" s="928"/>
      <c r="Q37" s="928"/>
      <c r="R37" s="928"/>
      <c r="S37" s="928"/>
      <c r="T37" s="928"/>
      <c r="U37" s="928"/>
      <c r="V37" s="928"/>
      <c r="W37" s="928"/>
      <c r="X37" s="874"/>
    </row>
    <row r="38" spans="1:24" ht="13.5" thickBot="1">
      <c r="A38" s="885"/>
      <c r="B38" s="869"/>
      <c r="C38" s="1143"/>
      <c r="D38" s="930" t="s">
        <v>116</v>
      </c>
      <c r="E38" s="931"/>
      <c r="F38" s="931"/>
      <c r="G38" s="931"/>
      <c r="H38" s="931"/>
      <c r="I38" s="931"/>
      <c r="J38" s="931"/>
      <c r="K38" s="931"/>
      <c r="L38" s="931"/>
      <c r="M38" s="931"/>
      <c r="N38" s="931"/>
      <c r="O38" s="931"/>
      <c r="P38" s="931"/>
      <c r="Q38" s="931"/>
      <c r="R38" s="931"/>
      <c r="S38" s="931"/>
      <c r="T38" s="931"/>
      <c r="U38" s="931"/>
      <c r="V38" s="931"/>
      <c r="W38" s="932"/>
      <c r="X38" s="874"/>
    </row>
    <row r="39" spans="1:24" ht="12.95" customHeight="1" thickBot="1">
      <c r="A39" s="885"/>
      <c r="B39" s="11" t="s">
        <v>37</v>
      </c>
      <c r="C39" s="12"/>
      <c r="D39" s="927" t="s">
        <v>78</v>
      </c>
      <c r="E39" s="928"/>
      <c r="F39" s="928"/>
      <c r="G39" s="929"/>
      <c r="H39" s="927" t="s">
        <v>77</v>
      </c>
      <c r="I39" s="928"/>
      <c r="J39" s="928"/>
      <c r="K39" s="929"/>
      <c r="L39" s="927" t="s">
        <v>81</v>
      </c>
      <c r="M39" s="928"/>
      <c r="N39" s="928"/>
      <c r="O39" s="929"/>
      <c r="P39" s="927" t="s">
        <v>254</v>
      </c>
      <c r="Q39" s="928"/>
      <c r="R39" s="928"/>
      <c r="S39" s="929"/>
      <c r="T39" s="1144" t="s">
        <v>908</v>
      </c>
      <c r="U39" s="1145"/>
      <c r="V39" s="1145"/>
      <c r="W39" s="1146"/>
      <c r="X39" s="874"/>
    </row>
    <row r="40" spans="1:24" ht="33" customHeight="1" thickBot="1">
      <c r="A40" s="971"/>
      <c r="B40" s="868" t="s">
        <v>148</v>
      </c>
      <c r="C40" s="91"/>
      <c r="D40" s="17" t="s">
        <v>106</v>
      </c>
      <c r="E40" s="17" t="s">
        <v>107</v>
      </c>
      <c r="F40" s="17" t="s">
        <v>108</v>
      </c>
      <c r="G40" s="17" t="s">
        <v>109</v>
      </c>
      <c r="H40" s="17" t="s">
        <v>106</v>
      </c>
      <c r="I40" s="17" t="s">
        <v>107</v>
      </c>
      <c r="J40" s="17" t="s">
        <v>108</v>
      </c>
      <c r="K40" s="17" t="s">
        <v>109</v>
      </c>
      <c r="L40" s="17" t="s">
        <v>106</v>
      </c>
      <c r="M40" s="17" t="s">
        <v>107</v>
      </c>
      <c r="N40" s="17" t="s">
        <v>108</v>
      </c>
      <c r="O40" s="17" t="s">
        <v>109</v>
      </c>
      <c r="P40" s="17" t="s">
        <v>106</v>
      </c>
      <c r="Q40" s="17" t="s">
        <v>107</v>
      </c>
      <c r="R40" s="17" t="s">
        <v>108</v>
      </c>
      <c r="S40" s="17" t="s">
        <v>109</v>
      </c>
      <c r="T40" s="17" t="s">
        <v>106</v>
      </c>
      <c r="U40" s="17" t="s">
        <v>107</v>
      </c>
      <c r="V40" s="17" t="s">
        <v>108</v>
      </c>
      <c r="W40" s="17" t="s">
        <v>109</v>
      </c>
      <c r="X40" s="874"/>
    </row>
    <row r="41" spans="1:24" ht="13.5" thickBot="1">
      <c r="A41" s="971"/>
      <c r="B41" s="885"/>
      <c r="C41" s="91" t="s">
        <v>235</v>
      </c>
      <c r="D41" s="104">
        <f>SUM('State DisAgg LFx10 (2014)'!D69:D73)/5</f>
        <v>3.2</v>
      </c>
      <c r="E41" s="104">
        <f>SUM('State DisAgg LFx10 (2014)'!E69:E73)/5</f>
        <v>3.8</v>
      </c>
      <c r="F41" s="104">
        <f>SUM('State DisAgg LFx10 (2014)'!F69:F73)/5</f>
        <v>0.2</v>
      </c>
      <c r="G41" s="104">
        <f>SUM('State DisAgg LFx10 (2014)'!G69:G73)/5</f>
        <v>7.8</v>
      </c>
      <c r="H41" s="104">
        <f>SUM('State DisAgg LFx10 (2014)'!H69:H73)/5</f>
        <v>5.2</v>
      </c>
      <c r="I41" s="104">
        <f>SUM('State DisAgg LFx10 (2014)'!I69:I73)/5</f>
        <v>7.2</v>
      </c>
      <c r="J41" s="104">
        <f>SUM('State DisAgg LFx10 (2014)'!J69:J73)/5</f>
        <v>0.8</v>
      </c>
      <c r="K41" s="104">
        <f>SUM('State DisAgg LFx10 (2014)'!K69:K73)/5</f>
        <v>9.6</v>
      </c>
      <c r="L41" s="150">
        <f>SUM('State DisAgg LFx10 (2014)'!L69:L73)/5</f>
        <v>6</v>
      </c>
      <c r="M41" s="150">
        <f>SUM('State DisAgg LFx10 (2014)'!M69:M73)/5</f>
        <v>9.1999999999999993</v>
      </c>
      <c r="N41" s="150">
        <f>SUM('State DisAgg LFx10 (2014)'!N69:N73)/5</f>
        <v>2.6</v>
      </c>
      <c r="O41" s="150">
        <f>SUM('State DisAgg LFx10 (2014)'!O69:O73)/5</f>
        <v>14</v>
      </c>
      <c r="P41" s="150">
        <f>SUM('State DisAgg LFx10 (2014)'!P69:P73)/5</f>
        <v>9</v>
      </c>
      <c r="Q41" s="150">
        <f>SUM('State DisAgg LFx10 (2014)'!Q69:Q73)/5</f>
        <v>11.6</v>
      </c>
      <c r="R41" s="150">
        <f>SUM('State DisAgg LFx10 (2014)'!R69:R73)/5</f>
        <v>3.4</v>
      </c>
      <c r="S41" s="150">
        <f>SUM('State DisAgg LFx10 (2014)'!S69:S73)/5</f>
        <v>14</v>
      </c>
      <c r="T41" s="150">
        <f>SUM('State DisAgg LFx10 (2014)'!T69:T73)/5</f>
        <v>10.466666666666665</v>
      </c>
      <c r="U41" s="150">
        <f>SUM('State DisAgg LFx10 (2014)'!U69:U73)/5</f>
        <v>12.799999999999999</v>
      </c>
      <c r="V41" s="104">
        <f>SUM('State DisAgg LFx10 (2014)'!V69:V73)/5</f>
        <v>5.2666666666666666</v>
      </c>
      <c r="W41" s="104">
        <f>SUM('State DisAgg LFx10 (2014)'!W69:W73)/5</f>
        <v>14.4</v>
      </c>
      <c r="X41" s="874"/>
    </row>
    <row r="42" spans="1:24" ht="13.5" thickBot="1">
      <c r="A42" s="971"/>
      <c r="B42" s="501" t="s">
        <v>145</v>
      </c>
      <c r="C42" s="91" t="s">
        <v>233</v>
      </c>
      <c r="D42" s="1051" t="s">
        <v>414</v>
      </c>
      <c r="E42" s="1052"/>
      <c r="F42" s="1052"/>
      <c r="G42" s="1053"/>
      <c r="H42" s="104">
        <f>SUM('State DisAgg LFx10 (2014)'!H74:H76)/3</f>
        <v>0.33333333333333331</v>
      </c>
      <c r="I42" s="104">
        <f>SUM('State DisAgg LFx10 (2014)'!I74:I76)/3</f>
        <v>0.33333333333333331</v>
      </c>
      <c r="J42" s="104">
        <f>SUM('State DisAgg LFx10 (2014)'!J74:J76)/3</f>
        <v>0</v>
      </c>
      <c r="K42" s="104">
        <f>SUM('State DisAgg LFx10 (2014)'!K74:K76)/3</f>
        <v>12.333333333333334</v>
      </c>
      <c r="L42" s="150">
        <f>SUM('State DisAgg LFx10 (2014)'!L74:L76)/3</f>
        <v>1</v>
      </c>
      <c r="M42" s="150">
        <f>SUM('State DisAgg LFx10 (2014)'!M74:M76)/3</f>
        <v>1</v>
      </c>
      <c r="N42" s="150">
        <f>SUM('State DisAgg LFx10 (2014)'!N74:N76)/3</f>
        <v>0.66666666666666663</v>
      </c>
      <c r="O42" s="150">
        <f>SUM('State DisAgg LFx10 (2014)'!O74:O76)/3</f>
        <v>12.333333333333334</v>
      </c>
      <c r="P42" s="150">
        <f>SUM('State DisAgg LFx10 (2014)'!P74:P76)/3</f>
        <v>2.6666666666666665</v>
      </c>
      <c r="Q42" s="150">
        <f>SUM('State DisAgg LFx10 (2014)'!Q74:Q76)/3</f>
        <v>2.6666666666666665</v>
      </c>
      <c r="R42" s="150">
        <f>SUM('State DisAgg LFx10 (2014)'!R74:R76)/3</f>
        <v>1.6666666666666667</v>
      </c>
      <c r="S42" s="150">
        <f>SUM('State DisAgg LFx10 (2014)'!S74:S76)/3</f>
        <v>13.666666666666666</v>
      </c>
      <c r="T42" s="150">
        <f>SUM('State DisAgg LFx10 (2014)'!T74:T76)/3</f>
        <v>4</v>
      </c>
      <c r="U42" s="150">
        <f>SUM('State DisAgg LFx10 (2014)'!U74:U76)/3</f>
        <v>4.2222222222222223</v>
      </c>
      <c r="V42" s="104">
        <f>SUM('State DisAgg LFx10 (2014)'!V74:V76)/3</f>
        <v>2.7777777777777786</v>
      </c>
      <c r="W42" s="104">
        <f>SUM('State DisAgg LFx10 (2014)'!W74:W76)/3</f>
        <v>14.33333333333333</v>
      </c>
      <c r="X42" s="874"/>
    </row>
    <row r="43" spans="1:24" ht="12.95" customHeight="1" thickBot="1">
      <c r="A43" s="971"/>
      <c r="B43" s="501" t="s">
        <v>147</v>
      </c>
      <c r="C43" s="91" t="s">
        <v>234</v>
      </c>
      <c r="D43" s="945"/>
      <c r="E43" s="946"/>
      <c r="F43" s="946"/>
      <c r="G43" s="947"/>
      <c r="H43" s="1048"/>
      <c r="I43" s="1049"/>
      <c r="J43" s="1049"/>
      <c r="K43" s="1050"/>
      <c r="L43" s="1057" t="s">
        <v>910</v>
      </c>
      <c r="M43" s="1058"/>
      <c r="N43" s="1058"/>
      <c r="O43" s="1059"/>
      <c r="P43" s="150">
        <f>SUM('State DisAgg LFx10 (2014)'!P77:P78)/2</f>
        <v>13.5</v>
      </c>
      <c r="Q43" s="150">
        <f>SUM('State DisAgg LFx10 (2014)'!Q77:Q78)/2</f>
        <v>13.5</v>
      </c>
      <c r="R43" s="150">
        <f>SUM('State DisAgg LFx10 (2014)'!R77:R78)/2</f>
        <v>12</v>
      </c>
      <c r="S43" s="150">
        <f>SUM('State DisAgg LFx10 (2014)'!S77:S78)/2</f>
        <v>13.5</v>
      </c>
      <c r="T43" s="150">
        <f>SUM('State DisAgg LFx10 (2014)'!T77:T78)/2</f>
        <v>13.5</v>
      </c>
      <c r="U43" s="150">
        <f>SUM('State DisAgg LFx10 (2014)'!U77:U78)/2</f>
        <v>13.5</v>
      </c>
      <c r="V43" s="150">
        <f>SUM('State DisAgg LFx10 (2014)'!V77:V78)/2</f>
        <v>12</v>
      </c>
      <c r="W43" s="150">
        <f>SUM('State DisAgg LFx10 (2014)'!W77:W78)/2</f>
        <v>13.5</v>
      </c>
      <c r="X43" s="874"/>
    </row>
    <row r="44" spans="1:24" ht="13.5" thickBot="1">
      <c r="A44" s="971"/>
      <c r="B44" s="501" t="s">
        <v>146</v>
      </c>
      <c r="C44" s="103" t="s">
        <v>236</v>
      </c>
      <c r="D44" s="1042" t="s">
        <v>594</v>
      </c>
      <c r="E44" s="1043"/>
      <c r="F44" s="1043"/>
      <c r="G44" s="1044"/>
      <c r="H44" s="105">
        <f>SUM('State DisAgg LFx10 (2014)'!H79:H83)/5</f>
        <v>5.5</v>
      </c>
      <c r="I44" s="105">
        <f>SUM('State DisAgg LFx10 (2014)'!I79:I83)/5</f>
        <v>5.8</v>
      </c>
      <c r="J44" s="105">
        <f>SUM('State DisAgg LFx10 (2014)'!J79:J83)/5</f>
        <v>2.6</v>
      </c>
      <c r="K44" s="105">
        <f>SUM('State DisAgg LFx10 (2014)'!K79:K83)/5</f>
        <v>8.9</v>
      </c>
      <c r="L44" s="105">
        <f>SUM('State DisAgg LFx10 (2014)'!L79:L83)/5</f>
        <v>5.8</v>
      </c>
      <c r="M44" s="105">
        <f>SUM('State DisAgg LFx10 (2014)'!M79:M83)/5</f>
        <v>8.6</v>
      </c>
      <c r="N44" s="105">
        <f>SUM('State DisAgg LFx10 (2014)'!N79:N83)/5</f>
        <v>2.2000000000000002</v>
      </c>
      <c r="O44" s="105">
        <f>SUM('State DisAgg LFx10 (2014)'!O79:O83)/5</f>
        <v>13.8</v>
      </c>
      <c r="P44" s="105">
        <f>SUM('State DisAgg LFx10 (2014)'!P79:P83)/5</f>
        <v>7.4</v>
      </c>
      <c r="Q44" s="105">
        <f>SUM('State DisAgg LFx10 (2014)'!Q79:Q83)/5</f>
        <v>10.4</v>
      </c>
      <c r="R44" s="105">
        <f>SUM('State DisAgg LFx10 (2014)'!R79:R83)/5</f>
        <v>2.2000000000000002</v>
      </c>
      <c r="S44" s="105">
        <f>SUM('State DisAgg LFx10 (2014)'!S79:S83)/5</f>
        <v>14.4</v>
      </c>
      <c r="T44" s="105">
        <f>SUM('State DisAgg LFx10 (2014)'!T79:T83)/5</f>
        <v>7.4</v>
      </c>
      <c r="U44" s="105">
        <f>SUM('State DisAgg LFx10 (2014)'!U79:U83)/5</f>
        <v>10.6</v>
      </c>
      <c r="V44" s="105">
        <f>SUM('State DisAgg LFx10 (2014)'!V79:V83)/5</f>
        <v>12.6</v>
      </c>
      <c r="W44" s="105">
        <f>SUM('State DisAgg LFx10 (2014)'!W79:W83)/5</f>
        <v>14.419999999999998</v>
      </c>
      <c r="X44" s="874"/>
    </row>
    <row r="45" spans="1:24" ht="13.5" thickBot="1">
      <c r="A45" s="971"/>
      <c r="B45" s="501"/>
      <c r="C45" s="102" t="s">
        <v>283</v>
      </c>
      <c r="D45" s="1054"/>
      <c r="E45" s="1055"/>
      <c r="F45" s="1055"/>
      <c r="G45" s="1056"/>
      <c r="H45" s="1054"/>
      <c r="I45" s="1055"/>
      <c r="J45" s="1055"/>
      <c r="K45" s="1056"/>
      <c r="L45" s="105">
        <f>SUM('State DisAgg LFx10 (2014)'!L84:L86)/3</f>
        <v>1</v>
      </c>
      <c r="M45" s="105">
        <f>SUM('State DisAgg LFx10 (2014)'!M84:M86)/3</f>
        <v>1</v>
      </c>
      <c r="N45" s="105">
        <f>SUM('State DisAgg LFx10 (2014)'!N84:N86)/3</f>
        <v>0.66666666666666663</v>
      </c>
      <c r="O45" s="105">
        <f>SUM('State DisAgg LFx10 (2014)'!O84:O86)/3</f>
        <v>12.333333333333334</v>
      </c>
      <c r="P45" s="105">
        <f>SUM('State DisAgg LFx10 (2014)'!P84:P86)/3</f>
        <v>2.6666666666666665</v>
      </c>
      <c r="Q45" s="105">
        <f>SUM('State DisAgg LFx10 (2014)'!Q84:Q86)/3</f>
        <v>2.6666666666666665</v>
      </c>
      <c r="R45" s="105">
        <f>SUM('State DisAgg LFx10 (2014)'!R84:R86)/3</f>
        <v>0.66666666666666663</v>
      </c>
      <c r="S45" s="105">
        <f>SUM('State DisAgg LFx10 (2014)'!S84:S86)/3</f>
        <v>14.333333333333334</v>
      </c>
      <c r="T45" s="105">
        <f>SUM('State DisAgg LFx10 (2014)'!T84:T86)/3</f>
        <v>5.666666666666667</v>
      </c>
      <c r="U45" s="105">
        <f>SUM('State DisAgg LFx10 (2014)'!U84:U86)/3</f>
        <v>5.333333333333333</v>
      </c>
      <c r="V45" s="105">
        <f>SUM('State DisAgg LFx10 (2014)'!V84:V86)/3</f>
        <v>12</v>
      </c>
      <c r="W45" s="105">
        <f>SUM('State DisAgg LFx10 (2014)'!W84:W86)/3</f>
        <v>14.333333333333334</v>
      </c>
      <c r="X45" s="874"/>
    </row>
    <row r="46" spans="1:24" ht="13.5" thickBot="1">
      <c r="A46" s="971"/>
      <c r="B46" s="501"/>
      <c r="C46" s="102" t="s">
        <v>284</v>
      </c>
      <c r="D46" s="1054"/>
      <c r="E46" s="1055"/>
      <c r="F46" s="1055"/>
      <c r="G46" s="1056"/>
      <c r="H46" s="1054"/>
      <c r="I46" s="1055"/>
      <c r="J46" s="1055"/>
      <c r="K46" s="1056"/>
      <c r="L46" s="1054"/>
      <c r="M46" s="1055"/>
      <c r="N46" s="1055"/>
      <c r="O46" s="1056"/>
      <c r="P46" s="105">
        <f>SUM('State DisAgg LFx10 (2014)'!P87:P88)/2</f>
        <v>0</v>
      </c>
      <c r="Q46" s="105">
        <f>SUM('State DisAgg LFx10 (2014)'!Q87:Q88)/2</f>
        <v>0</v>
      </c>
      <c r="R46" s="105">
        <f>SUM('State DisAgg LFx10 (2014)'!R87:R88)/2</f>
        <v>0</v>
      </c>
      <c r="S46" s="105">
        <f>SUM('State DisAgg LFx10 (2014)'!S87:S88)/2</f>
        <v>0</v>
      </c>
      <c r="T46" s="105">
        <f>SUM('State DisAgg LFx10 (2014)'!T87:T88)/2</f>
        <v>13.5</v>
      </c>
      <c r="U46" s="105">
        <f>SUM('State DisAgg LFx10 (2014)'!U87:U88)/2</f>
        <v>13.5</v>
      </c>
      <c r="V46" s="105">
        <f>SUM('State DisAgg LFx10 (2014)'!V87:V88)/2</f>
        <v>12</v>
      </c>
      <c r="W46" s="105">
        <f>SUM('State DisAgg LFx10 (2014)'!W87:W88)/2</f>
        <v>13.5</v>
      </c>
      <c r="X46" s="874"/>
    </row>
    <row r="47" spans="1:24" ht="13.5" thickBot="1">
      <c r="A47" s="971"/>
      <c r="B47" s="980"/>
      <c r="C47" s="1142" t="s">
        <v>413</v>
      </c>
      <c r="D47" s="927" t="s">
        <v>4</v>
      </c>
      <c r="E47" s="928"/>
      <c r="F47" s="928"/>
      <c r="G47" s="928"/>
      <c r="H47" s="928"/>
      <c r="I47" s="928"/>
      <c r="J47" s="928"/>
      <c r="K47" s="928"/>
      <c r="L47" s="928"/>
      <c r="M47" s="928"/>
      <c r="N47" s="928"/>
      <c r="O47" s="928"/>
      <c r="P47" s="928"/>
      <c r="Q47" s="928"/>
      <c r="R47" s="928"/>
      <c r="S47" s="928"/>
      <c r="T47" s="928"/>
      <c r="U47" s="928"/>
      <c r="V47" s="928"/>
      <c r="W47" s="928"/>
      <c r="X47" s="874"/>
    </row>
    <row r="48" spans="1:24" ht="13.5" thickBot="1">
      <c r="A48" s="982"/>
      <c r="B48" s="981"/>
      <c r="C48" s="1143"/>
      <c r="D48" s="930" t="s">
        <v>117</v>
      </c>
      <c r="E48" s="931"/>
      <c r="F48" s="931"/>
      <c r="G48" s="931"/>
      <c r="H48" s="931"/>
      <c r="I48" s="931"/>
      <c r="J48" s="931"/>
      <c r="K48" s="931"/>
      <c r="L48" s="931"/>
      <c r="M48" s="931"/>
      <c r="N48" s="931"/>
      <c r="O48" s="931"/>
      <c r="P48" s="931"/>
      <c r="Q48" s="931"/>
      <c r="R48" s="931"/>
      <c r="S48" s="931"/>
      <c r="T48" s="931"/>
      <c r="U48" s="931"/>
      <c r="V48" s="931"/>
      <c r="W48" s="932"/>
      <c r="X48" s="875"/>
    </row>
    <row r="49" spans="1:24">
      <c r="A49" s="5"/>
      <c r="B49" s="5"/>
      <c r="C49" s="14"/>
      <c r="D49" s="5"/>
      <c r="E49" s="5"/>
      <c r="F49" s="5"/>
      <c r="G49" s="5"/>
      <c r="H49" s="5"/>
      <c r="I49" s="5"/>
      <c r="J49" s="5"/>
      <c r="K49" s="5"/>
      <c r="L49" s="5"/>
      <c r="M49" s="5"/>
      <c r="N49" s="5"/>
      <c r="O49" s="5"/>
      <c r="P49" s="5"/>
      <c r="Q49" s="5"/>
      <c r="R49" s="5"/>
      <c r="S49" s="5"/>
      <c r="T49" s="5"/>
      <c r="U49" s="5"/>
      <c r="V49" s="5"/>
      <c r="W49" s="5"/>
      <c r="X49" s="5"/>
    </row>
    <row r="50" spans="1:24" ht="13.5" thickBot="1">
      <c r="A50" s="5"/>
      <c r="B50" s="5"/>
      <c r="C50" s="6"/>
      <c r="D50" s="5"/>
      <c r="E50" s="5"/>
      <c r="F50" s="5"/>
      <c r="G50" s="5"/>
      <c r="H50" s="5"/>
      <c r="I50" s="5"/>
      <c r="J50" s="5"/>
      <c r="K50" s="5"/>
      <c r="L50" s="5"/>
      <c r="M50" s="5"/>
      <c r="N50" s="5"/>
      <c r="O50" s="5"/>
      <c r="P50" s="5"/>
      <c r="Q50" s="5"/>
      <c r="R50" s="5"/>
      <c r="S50" s="5"/>
      <c r="T50" s="5"/>
      <c r="U50" s="5"/>
      <c r="V50" s="5"/>
      <c r="W50" s="5"/>
      <c r="X50" s="5"/>
    </row>
    <row r="51" spans="1:24" ht="12.95" customHeight="1" thickBot="1">
      <c r="A51" s="513" t="s">
        <v>5</v>
      </c>
      <c r="B51" s="514" t="s">
        <v>22</v>
      </c>
      <c r="C51" s="8"/>
      <c r="D51" s="927" t="s">
        <v>78</v>
      </c>
      <c r="E51" s="928"/>
      <c r="F51" s="928"/>
      <c r="G51" s="929"/>
      <c r="H51" s="927" t="s">
        <v>77</v>
      </c>
      <c r="I51" s="928"/>
      <c r="J51" s="928"/>
      <c r="K51" s="929"/>
      <c r="L51" s="927" t="s">
        <v>81</v>
      </c>
      <c r="M51" s="928"/>
      <c r="N51" s="928"/>
      <c r="O51" s="929"/>
      <c r="P51" s="927" t="s">
        <v>254</v>
      </c>
      <c r="Q51" s="928"/>
      <c r="R51" s="928"/>
      <c r="S51" s="929"/>
      <c r="T51" s="1144" t="s">
        <v>908</v>
      </c>
      <c r="U51" s="1145"/>
      <c r="V51" s="1145"/>
      <c r="W51" s="1146"/>
      <c r="X51" s="19" t="s">
        <v>6</v>
      </c>
    </row>
    <row r="52" spans="1:24" ht="13.5" thickBot="1">
      <c r="A52" s="868" t="s">
        <v>54</v>
      </c>
      <c r="B52" s="868" t="s">
        <v>55</v>
      </c>
      <c r="C52" s="9" t="s">
        <v>235</v>
      </c>
      <c r="D52" s="942">
        <f>SUM('State DisAgg LFx10 (2014)'!D94:G98)/5</f>
        <v>2.16</v>
      </c>
      <c r="E52" s="943"/>
      <c r="F52" s="943"/>
      <c r="G52" s="944"/>
      <c r="H52" s="942">
        <f>SUM('State DisAgg LFx10 (2014)'!H94:K98)/5</f>
        <v>2.2600000000000002</v>
      </c>
      <c r="I52" s="943"/>
      <c r="J52" s="943"/>
      <c r="K52" s="944"/>
      <c r="L52" s="942">
        <f>SUM('State DisAgg LFx10 (2014)'!L94:O98)/5</f>
        <v>2.88</v>
      </c>
      <c r="M52" s="943"/>
      <c r="N52" s="943"/>
      <c r="O52" s="944"/>
      <c r="P52" s="942">
        <f>SUM('State DisAgg LFx10 (2014)'!P94:S98)/5</f>
        <v>3.16</v>
      </c>
      <c r="Q52" s="943"/>
      <c r="R52" s="943"/>
      <c r="S52" s="944"/>
      <c r="T52" s="942">
        <f>SUM('State DisAgg LFx10 (2014)'!T94:T98)/5</f>
        <v>3.4799999999999995</v>
      </c>
      <c r="U52" s="943"/>
      <c r="V52" s="943"/>
      <c r="W52" s="944"/>
      <c r="X52" s="879" t="s">
        <v>95</v>
      </c>
    </row>
    <row r="53" spans="1:24" ht="13.5" thickBot="1">
      <c r="A53" s="885"/>
      <c r="B53" s="885"/>
      <c r="C53" s="9" t="s">
        <v>233</v>
      </c>
      <c r="D53" s="1048" t="s">
        <v>414</v>
      </c>
      <c r="E53" s="1049"/>
      <c r="F53" s="1049"/>
      <c r="G53" s="1050"/>
      <c r="H53" s="942">
        <f>SUM('State DisAgg LFx10 (2014)'!H99:K101)/3</f>
        <v>2.1666666666666665</v>
      </c>
      <c r="I53" s="943"/>
      <c r="J53" s="943"/>
      <c r="K53" s="944"/>
      <c r="L53" s="942">
        <f>SUM('State DisAgg LFx10 (2014)'!L99:O101)/3</f>
        <v>2.1666666666666665</v>
      </c>
      <c r="M53" s="943"/>
      <c r="N53" s="943"/>
      <c r="O53" s="944"/>
      <c r="P53" s="942">
        <f>SUM('State DisAgg LFx10 (2014)'!P99:S101)/3</f>
        <v>2.3666666666666667</v>
      </c>
      <c r="Q53" s="943"/>
      <c r="R53" s="943"/>
      <c r="S53" s="944"/>
      <c r="T53" s="963">
        <f>SUM('State DisAgg LFx10 (2014)'!T99:T101)/3</f>
        <v>2.6111111111111107</v>
      </c>
      <c r="U53" s="964"/>
      <c r="V53" s="964"/>
      <c r="W53" s="965"/>
      <c r="X53" s="880"/>
    </row>
    <row r="54" spans="1:24" ht="12.95" customHeight="1" thickBot="1">
      <c r="A54" s="885"/>
      <c r="B54" s="885"/>
      <c r="C54" s="9" t="s">
        <v>234</v>
      </c>
      <c r="D54" s="957"/>
      <c r="E54" s="958"/>
      <c r="F54" s="958"/>
      <c r="G54" s="959"/>
      <c r="H54" s="1153"/>
      <c r="I54" s="1154"/>
      <c r="J54" s="1154"/>
      <c r="K54" s="1155"/>
      <c r="L54" s="1150" t="s">
        <v>909</v>
      </c>
      <c r="M54" s="1151"/>
      <c r="N54" s="1151"/>
      <c r="O54" s="1152"/>
      <c r="P54" s="963">
        <f>SUM('State DisAgg LFx10 (2014)'!P102:S103)/2</f>
        <v>2.2999999999999998</v>
      </c>
      <c r="Q54" s="964"/>
      <c r="R54" s="964"/>
      <c r="S54" s="965"/>
      <c r="T54" s="963">
        <f>SUM('State DisAgg LFx10 (2014)'!T102:T103)/2</f>
        <v>2.2999999999999998</v>
      </c>
      <c r="U54" s="964"/>
      <c r="V54" s="964"/>
      <c r="W54" s="965"/>
      <c r="X54" s="880"/>
    </row>
    <row r="55" spans="1:24" ht="13.5" thickBot="1">
      <c r="A55" s="885"/>
      <c r="B55" s="885"/>
      <c r="C55" s="102" t="s">
        <v>236</v>
      </c>
      <c r="D55" s="1045" t="s">
        <v>583</v>
      </c>
      <c r="E55" s="1046"/>
      <c r="F55" s="1046"/>
      <c r="G55" s="1047"/>
      <c r="H55" s="1147">
        <f>SUM('State DisAgg LFx10 (2014)'!H104:K108)/5</f>
        <v>2.42</v>
      </c>
      <c r="I55" s="1148"/>
      <c r="J55" s="1148"/>
      <c r="K55" s="1149"/>
      <c r="L55" s="1147">
        <f>SUM('State DisAgg LFx10 (2014)'!L104:O108)/5</f>
        <v>2.88</v>
      </c>
      <c r="M55" s="1148"/>
      <c r="N55" s="1148"/>
      <c r="O55" s="1149"/>
      <c r="P55" s="1147">
        <f>SUM('State DisAgg LFx10 (2014)'!P104:S108)/5</f>
        <v>3.3200000000000003</v>
      </c>
      <c r="Q55" s="1148"/>
      <c r="R55" s="1148"/>
      <c r="S55" s="1149"/>
      <c r="T55" s="1147">
        <f>SUM('State DisAgg LFx10 (2014)'!T104:T108)/5</f>
        <v>3.5200000000000005</v>
      </c>
      <c r="U55" s="1148"/>
      <c r="V55" s="1148"/>
      <c r="W55" s="1149"/>
      <c r="X55" s="880"/>
    </row>
    <row r="56" spans="1:24" ht="13.5" thickBot="1">
      <c r="A56" s="885"/>
      <c r="B56" s="885"/>
      <c r="C56" s="102" t="s">
        <v>283</v>
      </c>
      <c r="D56" s="1017"/>
      <c r="E56" s="1018"/>
      <c r="F56" s="1018"/>
      <c r="G56" s="1019"/>
      <c r="H56" s="1017"/>
      <c r="I56" s="1018"/>
      <c r="J56" s="1018"/>
      <c r="K56" s="1019"/>
      <c r="L56" s="1147">
        <f>SUM('State DisAgg LFx10 (2014)'!L109:O111)/3</f>
        <v>2.1666666666666665</v>
      </c>
      <c r="M56" s="1148"/>
      <c r="N56" s="1148"/>
      <c r="O56" s="1149"/>
      <c r="P56" s="1147">
        <f>SUM('State DisAgg LFx10 (2014)'!P109:S111)/3</f>
        <v>2.3000000000000003</v>
      </c>
      <c r="Q56" s="1148"/>
      <c r="R56" s="1148"/>
      <c r="S56" s="1149"/>
      <c r="T56" s="1147">
        <f>SUM('State DisAgg LFx10 (2014)'!T109:T111)/3</f>
        <v>3.5</v>
      </c>
      <c r="U56" s="1148"/>
      <c r="V56" s="1148"/>
      <c r="W56" s="1149"/>
      <c r="X56" s="880"/>
    </row>
    <row r="57" spans="1:24" ht="13.5" thickBot="1">
      <c r="A57" s="885"/>
      <c r="B57" s="885"/>
      <c r="C57" s="102" t="s">
        <v>284</v>
      </c>
      <c r="D57" s="1017"/>
      <c r="E57" s="1018"/>
      <c r="F57" s="1018"/>
      <c r="G57" s="1019"/>
      <c r="H57" s="1017"/>
      <c r="I57" s="1018"/>
      <c r="J57" s="1018"/>
      <c r="K57" s="1019"/>
      <c r="L57" s="1017"/>
      <c r="M57" s="1018"/>
      <c r="N57" s="1018"/>
      <c r="O57" s="1019"/>
      <c r="P57" s="1147">
        <f>SUM('State DisAgg LFx10 (2014)'!P112:S113)/2</f>
        <v>0</v>
      </c>
      <c r="Q57" s="1148"/>
      <c r="R57" s="1148"/>
      <c r="S57" s="1149"/>
      <c r="T57" s="1147">
        <f>SUM('State DisAgg LFx10 (2014)'!T112:T113)/2</f>
        <v>2.2999999999999998</v>
      </c>
      <c r="U57" s="1148"/>
      <c r="V57" s="1148"/>
      <c r="W57" s="1149"/>
      <c r="X57" s="880"/>
    </row>
    <row r="58" spans="1:24" ht="13.5" thickBot="1">
      <c r="A58" s="885"/>
      <c r="B58" s="885"/>
      <c r="C58" s="1142" t="s">
        <v>413</v>
      </c>
      <c r="D58" s="927" t="s">
        <v>4</v>
      </c>
      <c r="E58" s="928"/>
      <c r="F58" s="928"/>
      <c r="G58" s="928"/>
      <c r="H58" s="928"/>
      <c r="I58" s="928"/>
      <c r="J58" s="928"/>
      <c r="K58" s="928"/>
      <c r="L58" s="928"/>
      <c r="M58" s="928"/>
      <c r="N58" s="928"/>
      <c r="O58" s="928"/>
      <c r="P58" s="928"/>
      <c r="Q58" s="928"/>
      <c r="R58" s="928"/>
      <c r="S58" s="928"/>
      <c r="T58" s="928"/>
      <c r="U58" s="928"/>
      <c r="V58" s="928"/>
      <c r="W58" s="928"/>
      <c r="X58" s="880"/>
    </row>
    <row r="59" spans="1:24" ht="13.5" thickBot="1">
      <c r="A59" s="885"/>
      <c r="B59" s="869"/>
      <c r="C59" s="1143"/>
      <c r="D59" s="930" t="s">
        <v>115</v>
      </c>
      <c r="E59" s="931"/>
      <c r="F59" s="931"/>
      <c r="G59" s="931"/>
      <c r="H59" s="931"/>
      <c r="I59" s="931"/>
      <c r="J59" s="931"/>
      <c r="K59" s="931"/>
      <c r="L59" s="931"/>
      <c r="M59" s="931"/>
      <c r="N59" s="931"/>
      <c r="O59" s="931"/>
      <c r="P59" s="931"/>
      <c r="Q59" s="931"/>
      <c r="R59" s="931"/>
      <c r="S59" s="931"/>
      <c r="T59" s="931"/>
      <c r="U59" s="931"/>
      <c r="V59" s="931"/>
      <c r="W59" s="932"/>
      <c r="X59" s="880"/>
    </row>
    <row r="60" spans="1:24" ht="12.95" customHeight="1" thickBot="1">
      <c r="A60" s="885"/>
      <c r="B60" s="11" t="s">
        <v>23</v>
      </c>
      <c r="C60" s="12"/>
      <c r="D60" s="927" t="s">
        <v>78</v>
      </c>
      <c r="E60" s="928"/>
      <c r="F60" s="928"/>
      <c r="G60" s="929"/>
      <c r="H60" s="927" t="s">
        <v>77</v>
      </c>
      <c r="I60" s="928"/>
      <c r="J60" s="928"/>
      <c r="K60" s="929"/>
      <c r="L60" s="927" t="s">
        <v>81</v>
      </c>
      <c r="M60" s="928"/>
      <c r="N60" s="928"/>
      <c r="O60" s="929"/>
      <c r="P60" s="927" t="s">
        <v>254</v>
      </c>
      <c r="Q60" s="928"/>
      <c r="R60" s="928"/>
      <c r="S60" s="929"/>
      <c r="T60" s="1144" t="s">
        <v>908</v>
      </c>
      <c r="U60" s="1145"/>
      <c r="V60" s="1145"/>
      <c r="W60" s="1146"/>
      <c r="X60" s="880"/>
    </row>
    <row r="61" spans="1:24" ht="13.5" thickBot="1">
      <c r="A61" s="885"/>
      <c r="B61" s="868" t="s">
        <v>56</v>
      </c>
      <c r="C61" s="9" t="s">
        <v>235</v>
      </c>
      <c r="D61" s="942">
        <f>SUM('State DisAgg LFx10 (2014)'!D117:G121)/5</f>
        <v>1.9799999999999998</v>
      </c>
      <c r="E61" s="943"/>
      <c r="F61" s="943"/>
      <c r="G61" s="944"/>
      <c r="H61" s="942">
        <f>SUM('State DisAgg LFx10 (2014)'!H117:K121)/5</f>
        <v>2.2399999999999998</v>
      </c>
      <c r="I61" s="943"/>
      <c r="J61" s="943"/>
      <c r="K61" s="944"/>
      <c r="L61" s="942">
        <f>SUM('State DisAgg LFx10 (2014)'!L117:O121)/5</f>
        <v>2.83</v>
      </c>
      <c r="M61" s="943"/>
      <c r="N61" s="943"/>
      <c r="O61" s="944"/>
      <c r="P61" s="963">
        <f>SUM('State DisAgg LFx10 (2014)'!P117:S121)/5</f>
        <v>3.35</v>
      </c>
      <c r="Q61" s="964"/>
      <c r="R61" s="964"/>
      <c r="S61" s="965"/>
      <c r="T61" s="963">
        <f>SUM('State DisAgg LFx10 (2014)'!T117:T121)/5</f>
        <v>3.6233333333333335</v>
      </c>
      <c r="U61" s="964"/>
      <c r="V61" s="964"/>
      <c r="W61" s="965"/>
      <c r="X61" s="880"/>
    </row>
    <row r="62" spans="1:24" ht="13.5" thickBot="1">
      <c r="A62" s="885"/>
      <c r="B62" s="885"/>
      <c r="C62" s="9" t="s">
        <v>233</v>
      </c>
      <c r="D62" s="1048" t="s">
        <v>414</v>
      </c>
      <c r="E62" s="1049"/>
      <c r="F62" s="1049"/>
      <c r="G62" s="1050"/>
      <c r="H62" s="942">
        <f>SUM('State DisAgg LFx10 (2014)'!H122:K124)/3</f>
        <v>1.5999999999999999</v>
      </c>
      <c r="I62" s="943"/>
      <c r="J62" s="943"/>
      <c r="K62" s="944"/>
      <c r="L62" s="942">
        <f>SUM('State DisAgg LFx10 (2014)'!L122:O124)/3</f>
        <v>1.5999999999999999</v>
      </c>
      <c r="M62" s="943"/>
      <c r="N62" s="943"/>
      <c r="O62" s="944"/>
      <c r="P62" s="963">
        <f>SUM('State DisAgg LFx10 (2014)'!P122:S124)/3</f>
        <v>1.9000000000000001</v>
      </c>
      <c r="Q62" s="964"/>
      <c r="R62" s="964"/>
      <c r="S62" s="965"/>
      <c r="T62" s="963">
        <f>SUM('State DisAgg LFx10 (2014)'!T122:T124)/3</f>
        <v>2.2555555555555555</v>
      </c>
      <c r="U62" s="964"/>
      <c r="V62" s="964"/>
      <c r="W62" s="965"/>
      <c r="X62" s="880"/>
    </row>
    <row r="63" spans="1:24" ht="12.95" customHeight="1" thickBot="1">
      <c r="A63" s="885"/>
      <c r="B63" s="885"/>
      <c r="C63" s="9" t="s">
        <v>234</v>
      </c>
      <c r="D63" s="957"/>
      <c r="E63" s="958"/>
      <c r="F63" s="958"/>
      <c r="G63" s="959"/>
      <c r="H63" s="1153"/>
      <c r="I63" s="1154"/>
      <c r="J63" s="1154"/>
      <c r="K63" s="1155"/>
      <c r="L63" s="1150" t="s">
        <v>909</v>
      </c>
      <c r="M63" s="1151"/>
      <c r="N63" s="1151"/>
      <c r="O63" s="1152"/>
      <c r="P63" s="963">
        <f>SUM('State DisAgg LFx10 (2014)'!P125:S126)/2</f>
        <v>2.25</v>
      </c>
      <c r="Q63" s="964"/>
      <c r="R63" s="964"/>
      <c r="S63" s="965"/>
      <c r="T63" s="963">
        <f>SUM('State DisAgg LFx10 (2014)'!T125:T126)/2</f>
        <v>2.25</v>
      </c>
      <c r="U63" s="964"/>
      <c r="V63" s="964"/>
      <c r="W63" s="965"/>
      <c r="X63" s="880"/>
    </row>
    <row r="64" spans="1:24" ht="13.5" thickBot="1">
      <c r="A64" s="885"/>
      <c r="B64" s="885"/>
      <c r="C64" s="102" t="s">
        <v>236</v>
      </c>
      <c r="D64" s="1045" t="s">
        <v>584</v>
      </c>
      <c r="E64" s="1046"/>
      <c r="F64" s="1046"/>
      <c r="G64" s="1047"/>
      <c r="H64" s="1147">
        <f>SUM('State DisAgg LFx10 (2014)'!H127:K131)/5</f>
        <v>2.7600000000000002</v>
      </c>
      <c r="I64" s="1148"/>
      <c r="J64" s="1148"/>
      <c r="K64" s="1149"/>
      <c r="L64" s="1147">
        <f>SUM('State DisAgg LFx10 (2014)'!L127:O131)/5</f>
        <v>2.96</v>
      </c>
      <c r="M64" s="1148"/>
      <c r="N64" s="1148"/>
      <c r="O64" s="1149"/>
      <c r="P64" s="1147">
        <f>SUM('State DisAgg LFx10 (2014)'!P127:S131)/5</f>
        <v>3.46</v>
      </c>
      <c r="Q64" s="1148"/>
      <c r="R64" s="1148"/>
      <c r="S64" s="1149"/>
      <c r="T64" s="1147">
        <f>SUM('State DisAgg LFx10 (2014)'!T127:T131)/5</f>
        <v>4.0599999999999996</v>
      </c>
      <c r="U64" s="1148"/>
      <c r="V64" s="1148"/>
      <c r="W64" s="1149"/>
      <c r="X64" s="880"/>
    </row>
    <row r="65" spans="1:24" ht="13.5" thickBot="1">
      <c r="A65" s="885"/>
      <c r="B65" s="885"/>
      <c r="C65" s="102" t="s">
        <v>283</v>
      </c>
      <c r="D65" s="1017"/>
      <c r="E65" s="1018"/>
      <c r="F65" s="1018"/>
      <c r="G65" s="1019"/>
      <c r="H65" s="1017"/>
      <c r="I65" s="1018"/>
      <c r="J65" s="1018"/>
      <c r="K65" s="1019"/>
      <c r="L65" s="1147">
        <f>SUM('State DisAgg LFx10 (2014)'!L132:O134)/3</f>
        <v>1.5999999999999999</v>
      </c>
      <c r="M65" s="1148"/>
      <c r="N65" s="1148"/>
      <c r="O65" s="1149"/>
      <c r="P65" s="1147">
        <f>SUM('State DisAgg LFx10 (2014)'!P132:S134)/3</f>
        <v>2.2000000000000002</v>
      </c>
      <c r="Q65" s="1148"/>
      <c r="R65" s="1148"/>
      <c r="S65" s="1149"/>
      <c r="T65" s="1147">
        <f>SUM('State DisAgg LFx10 (2014)'!T132:T134)/3</f>
        <v>3.1666666666666665</v>
      </c>
      <c r="U65" s="1148"/>
      <c r="V65" s="1148"/>
      <c r="W65" s="1149"/>
      <c r="X65" s="880"/>
    </row>
    <row r="66" spans="1:24" ht="13.5" thickBot="1">
      <c r="A66" s="885"/>
      <c r="B66" s="885"/>
      <c r="C66" s="102" t="s">
        <v>284</v>
      </c>
      <c r="D66" s="1017"/>
      <c r="E66" s="1018"/>
      <c r="F66" s="1018"/>
      <c r="G66" s="1019"/>
      <c r="H66" s="1017"/>
      <c r="I66" s="1018"/>
      <c r="J66" s="1018"/>
      <c r="K66" s="1019"/>
      <c r="L66" s="1017"/>
      <c r="M66" s="1018"/>
      <c r="N66" s="1018"/>
      <c r="O66" s="1019"/>
      <c r="P66" s="1147">
        <f>SUM('State DisAgg LFx10 (2014)'!P135:S136)/2</f>
        <v>0</v>
      </c>
      <c r="Q66" s="1148"/>
      <c r="R66" s="1148"/>
      <c r="S66" s="1149"/>
      <c r="T66" s="1147">
        <f>SUM('State DisAgg LFx10 (2014)'!T135:T136)/2</f>
        <v>2.25</v>
      </c>
      <c r="U66" s="1148"/>
      <c r="V66" s="1148"/>
      <c r="W66" s="1149"/>
      <c r="X66" s="880"/>
    </row>
    <row r="67" spans="1:24" ht="13.5" thickBot="1">
      <c r="A67" s="885"/>
      <c r="B67" s="885"/>
      <c r="C67" s="1142" t="s">
        <v>413</v>
      </c>
      <c r="D67" s="927" t="s">
        <v>4</v>
      </c>
      <c r="E67" s="928"/>
      <c r="F67" s="928"/>
      <c r="G67" s="928"/>
      <c r="H67" s="928"/>
      <c r="I67" s="928"/>
      <c r="J67" s="928"/>
      <c r="K67" s="928"/>
      <c r="L67" s="928"/>
      <c r="M67" s="928"/>
      <c r="N67" s="928"/>
      <c r="O67" s="928"/>
      <c r="P67" s="928"/>
      <c r="Q67" s="928"/>
      <c r="R67" s="928"/>
      <c r="S67" s="928"/>
      <c r="T67" s="928"/>
      <c r="U67" s="928"/>
      <c r="V67" s="928"/>
      <c r="W67" s="928"/>
      <c r="X67" s="880"/>
    </row>
    <row r="68" spans="1:24" ht="13.5" thickBot="1">
      <c r="A68" s="885"/>
      <c r="B68" s="869"/>
      <c r="C68" s="1143"/>
      <c r="D68" s="930" t="s">
        <v>115</v>
      </c>
      <c r="E68" s="931"/>
      <c r="F68" s="931"/>
      <c r="G68" s="931"/>
      <c r="H68" s="931"/>
      <c r="I68" s="931"/>
      <c r="J68" s="931"/>
      <c r="K68" s="931"/>
      <c r="L68" s="931"/>
      <c r="M68" s="931"/>
      <c r="N68" s="931"/>
      <c r="O68" s="931"/>
      <c r="P68" s="931"/>
      <c r="Q68" s="931"/>
      <c r="R68" s="931"/>
      <c r="S68" s="931"/>
      <c r="T68" s="931"/>
      <c r="U68" s="931"/>
      <c r="V68" s="931"/>
      <c r="W68" s="932"/>
      <c r="X68" s="880"/>
    </row>
    <row r="69" spans="1:24" ht="12.95" customHeight="1" thickBot="1">
      <c r="A69" s="885"/>
      <c r="B69" s="11" t="s">
        <v>38</v>
      </c>
      <c r="C69" s="12"/>
      <c r="D69" s="927" t="s">
        <v>78</v>
      </c>
      <c r="E69" s="928"/>
      <c r="F69" s="928"/>
      <c r="G69" s="929"/>
      <c r="H69" s="927" t="s">
        <v>77</v>
      </c>
      <c r="I69" s="928"/>
      <c r="J69" s="928"/>
      <c r="K69" s="929"/>
      <c r="L69" s="927" t="s">
        <v>81</v>
      </c>
      <c r="M69" s="928"/>
      <c r="N69" s="928"/>
      <c r="O69" s="929"/>
      <c r="P69" s="927" t="s">
        <v>254</v>
      </c>
      <c r="Q69" s="928"/>
      <c r="R69" s="928"/>
      <c r="S69" s="929"/>
      <c r="T69" s="1144" t="s">
        <v>908</v>
      </c>
      <c r="U69" s="1145"/>
      <c r="V69" s="1145"/>
      <c r="W69" s="1146"/>
      <c r="X69" s="880"/>
    </row>
    <row r="70" spans="1:24" ht="12.95" customHeight="1" thickBot="1">
      <c r="A70" s="885"/>
      <c r="B70" s="868" t="s">
        <v>155</v>
      </c>
      <c r="C70" s="9" t="s">
        <v>235</v>
      </c>
      <c r="D70" s="933" t="s">
        <v>171</v>
      </c>
      <c r="E70" s="934"/>
      <c r="F70" s="934"/>
      <c r="G70" s="935"/>
      <c r="H70" s="966" t="s">
        <v>572</v>
      </c>
      <c r="I70" s="967"/>
      <c r="J70" s="967"/>
      <c r="K70" s="968"/>
      <c r="L70" s="963">
        <f>SUM('State DisAgg LFx10 (2014)'!L140:O144)/5</f>
        <v>2.9799999999999995</v>
      </c>
      <c r="M70" s="964"/>
      <c r="N70" s="964"/>
      <c r="O70" s="965"/>
      <c r="P70" s="963">
        <f>SUM('State DisAgg LFx10 (2014)'!P140:S144)/5</f>
        <v>3.21</v>
      </c>
      <c r="Q70" s="964"/>
      <c r="R70" s="964"/>
      <c r="S70" s="965"/>
      <c r="T70" s="963">
        <f>SUM('State DisAgg LFx10 (2014)'!T140:T144)/5</f>
        <v>3.47</v>
      </c>
      <c r="U70" s="964"/>
      <c r="V70" s="964"/>
      <c r="W70" s="965"/>
      <c r="X70" s="880"/>
    </row>
    <row r="71" spans="1:24" ht="12.95" customHeight="1" thickBot="1">
      <c r="A71" s="885"/>
      <c r="B71" s="885"/>
      <c r="C71" s="9" t="s">
        <v>233</v>
      </c>
      <c r="D71" s="957"/>
      <c r="E71" s="958"/>
      <c r="F71" s="958"/>
      <c r="G71" s="959"/>
      <c r="H71" s="966" t="s">
        <v>572</v>
      </c>
      <c r="I71" s="967"/>
      <c r="J71" s="967"/>
      <c r="K71" s="968"/>
      <c r="L71" s="963">
        <f>SUM('State DisAgg LFx10 (2014)'!L145:O147)/3</f>
        <v>2.6</v>
      </c>
      <c r="M71" s="964"/>
      <c r="N71" s="964"/>
      <c r="O71" s="965"/>
      <c r="P71" s="963">
        <f>SUM('State DisAgg LFx10 (2014)'!P145:S147)/3</f>
        <v>2.9</v>
      </c>
      <c r="Q71" s="964"/>
      <c r="R71" s="964"/>
      <c r="S71" s="965"/>
      <c r="T71" s="963">
        <f>SUM('State DisAgg LFx10 (2014)'!T145:T147)/3</f>
        <v>3.1888888888888887</v>
      </c>
      <c r="U71" s="964"/>
      <c r="V71" s="964"/>
      <c r="W71" s="965"/>
      <c r="X71" s="880"/>
    </row>
    <row r="72" spans="1:24" ht="12.95" customHeight="1" thickBot="1">
      <c r="A72" s="885"/>
      <c r="B72" s="885"/>
      <c r="C72" s="9" t="s">
        <v>234</v>
      </c>
      <c r="D72" s="957"/>
      <c r="E72" s="958"/>
      <c r="F72" s="958"/>
      <c r="G72" s="959"/>
      <c r="H72" s="1153"/>
      <c r="I72" s="1154"/>
      <c r="J72" s="1154"/>
      <c r="K72" s="1155"/>
      <c r="L72" s="1150" t="s">
        <v>909</v>
      </c>
      <c r="M72" s="1151"/>
      <c r="N72" s="1151"/>
      <c r="O72" s="1152"/>
      <c r="P72" s="963">
        <f>SUM('State DisAgg LFx10 (2014)'!P148:S149)/2</f>
        <v>3</v>
      </c>
      <c r="Q72" s="964"/>
      <c r="R72" s="964"/>
      <c r="S72" s="965"/>
      <c r="T72" s="963">
        <f>SUM('State DisAgg LFx10 (2014)'!T148:T149)/2</f>
        <v>3</v>
      </c>
      <c r="U72" s="964"/>
      <c r="V72" s="964"/>
      <c r="W72" s="965"/>
      <c r="X72" s="880"/>
    </row>
    <row r="73" spans="1:24" ht="13.5" thickBot="1">
      <c r="A73" s="885"/>
      <c r="B73" s="885"/>
      <c r="C73" s="102" t="s">
        <v>236</v>
      </c>
      <c r="D73" s="1011"/>
      <c r="E73" s="1012"/>
      <c r="F73" s="1012"/>
      <c r="G73" s="1013"/>
      <c r="H73" s="1011"/>
      <c r="I73" s="1012"/>
      <c r="J73" s="1012"/>
      <c r="K73" s="1013"/>
      <c r="L73" s="1011"/>
      <c r="M73" s="1012"/>
      <c r="N73" s="1012"/>
      <c r="O73" s="1013"/>
      <c r="P73" s="1147">
        <f>SUM('State DisAgg LFx10 (2014)'!P150:S154)/5</f>
        <v>3.46</v>
      </c>
      <c r="Q73" s="1148"/>
      <c r="R73" s="1148"/>
      <c r="S73" s="1149"/>
      <c r="T73" s="1147">
        <f>SUM('State DisAgg LFx10 (2014)'!T150:T154)/5</f>
        <v>3.72</v>
      </c>
      <c r="U73" s="1148"/>
      <c r="V73" s="1148"/>
      <c r="W73" s="1149"/>
      <c r="X73" s="880"/>
    </row>
    <row r="74" spans="1:24" ht="13.5" thickBot="1">
      <c r="A74" s="885"/>
      <c r="B74" s="885"/>
      <c r="C74" s="102" t="s">
        <v>283</v>
      </c>
      <c r="D74" s="1017"/>
      <c r="E74" s="1018"/>
      <c r="F74" s="1018"/>
      <c r="G74" s="1019"/>
      <c r="H74" s="1017"/>
      <c r="I74" s="1018"/>
      <c r="J74" s="1018"/>
      <c r="K74" s="1019"/>
      <c r="L74" s="1011"/>
      <c r="M74" s="1012"/>
      <c r="N74" s="1012"/>
      <c r="O74" s="1013"/>
      <c r="P74" s="1147">
        <f>SUM('State DisAgg LFx10 (2014)'!P155:S157)/3</f>
        <v>2.7666666666666671</v>
      </c>
      <c r="Q74" s="1148"/>
      <c r="R74" s="1148"/>
      <c r="S74" s="1149"/>
      <c r="T74" s="1147">
        <f>SUM('State DisAgg LFx10 (2014)'!T155:T157)/3</f>
        <v>3.3666666666666671</v>
      </c>
      <c r="U74" s="1148"/>
      <c r="V74" s="1148"/>
      <c r="W74" s="1149"/>
      <c r="X74" s="880"/>
    </row>
    <row r="75" spans="1:24" ht="13.5" thickBot="1">
      <c r="A75" s="885"/>
      <c r="B75" s="885"/>
      <c r="C75" s="102" t="s">
        <v>284</v>
      </c>
      <c r="D75" s="1017"/>
      <c r="E75" s="1018"/>
      <c r="F75" s="1018"/>
      <c r="G75" s="1019"/>
      <c r="H75" s="1017"/>
      <c r="I75" s="1018"/>
      <c r="J75" s="1018"/>
      <c r="K75" s="1019"/>
      <c r="L75" s="1017"/>
      <c r="M75" s="1018"/>
      <c r="N75" s="1018"/>
      <c r="O75" s="1019"/>
      <c r="P75" s="1147">
        <f>SUM('State DisAgg LFx10 (2014)'!P158:S159)/2</f>
        <v>0</v>
      </c>
      <c r="Q75" s="1148"/>
      <c r="R75" s="1148"/>
      <c r="S75" s="1149"/>
      <c r="T75" s="1147">
        <f>SUM('State DisAgg LFx10 (2014)'!T158:T159)/2</f>
        <v>3</v>
      </c>
      <c r="U75" s="1148"/>
      <c r="V75" s="1148"/>
      <c r="W75" s="1149"/>
      <c r="X75" s="880"/>
    </row>
    <row r="76" spans="1:24" ht="13.5" thickBot="1">
      <c r="A76" s="885"/>
      <c r="B76" s="885"/>
      <c r="C76" s="1142" t="s">
        <v>413</v>
      </c>
      <c r="D76" s="927" t="s">
        <v>4</v>
      </c>
      <c r="E76" s="928"/>
      <c r="F76" s="928"/>
      <c r="G76" s="928"/>
      <c r="H76" s="928"/>
      <c r="I76" s="928"/>
      <c r="J76" s="928"/>
      <c r="K76" s="928"/>
      <c r="L76" s="928"/>
      <c r="M76" s="928"/>
      <c r="N76" s="928"/>
      <c r="O76" s="928"/>
      <c r="P76" s="928"/>
      <c r="Q76" s="928"/>
      <c r="R76" s="928"/>
      <c r="S76" s="928"/>
      <c r="T76" s="928"/>
      <c r="U76" s="928"/>
      <c r="V76" s="928"/>
      <c r="W76" s="928"/>
      <c r="X76" s="880"/>
    </row>
    <row r="77" spans="1:24" ht="13.5" thickBot="1">
      <c r="A77" s="885"/>
      <c r="B77" s="869"/>
      <c r="C77" s="1143"/>
      <c r="D77" s="930" t="s">
        <v>115</v>
      </c>
      <c r="E77" s="931"/>
      <c r="F77" s="931"/>
      <c r="G77" s="931"/>
      <c r="H77" s="931"/>
      <c r="I77" s="931"/>
      <c r="J77" s="931"/>
      <c r="K77" s="931"/>
      <c r="L77" s="931"/>
      <c r="M77" s="931"/>
      <c r="N77" s="931"/>
      <c r="O77" s="931"/>
      <c r="P77" s="931"/>
      <c r="Q77" s="931"/>
      <c r="R77" s="931"/>
      <c r="S77" s="931"/>
      <c r="T77" s="931"/>
      <c r="U77" s="931"/>
      <c r="V77" s="931"/>
      <c r="W77" s="932"/>
      <c r="X77" s="880"/>
    </row>
    <row r="78" spans="1:24" ht="12.95" customHeight="1" thickBot="1">
      <c r="A78" s="885"/>
      <c r="B78" s="11" t="s">
        <v>39</v>
      </c>
      <c r="C78" s="12"/>
      <c r="D78" s="927" t="s">
        <v>78</v>
      </c>
      <c r="E78" s="928"/>
      <c r="F78" s="928"/>
      <c r="G78" s="929"/>
      <c r="H78" s="927" t="s">
        <v>77</v>
      </c>
      <c r="I78" s="928"/>
      <c r="J78" s="928"/>
      <c r="K78" s="929"/>
      <c r="L78" s="927" t="s">
        <v>81</v>
      </c>
      <c r="M78" s="928"/>
      <c r="N78" s="928"/>
      <c r="O78" s="929"/>
      <c r="P78" s="927" t="s">
        <v>254</v>
      </c>
      <c r="Q78" s="928"/>
      <c r="R78" s="928"/>
      <c r="S78" s="929"/>
      <c r="T78" s="1144" t="s">
        <v>908</v>
      </c>
      <c r="U78" s="1145"/>
      <c r="V78" s="1145"/>
      <c r="W78" s="1146"/>
      <c r="X78" s="880"/>
    </row>
    <row r="79" spans="1:24" ht="42.95" customHeight="1" thickBot="1">
      <c r="A79" s="885"/>
      <c r="B79" s="978" t="s">
        <v>575</v>
      </c>
      <c r="C79" s="9"/>
      <c r="D79" s="20" t="s">
        <v>105</v>
      </c>
      <c r="E79" s="20" t="s">
        <v>579</v>
      </c>
      <c r="F79" s="20" t="s">
        <v>580</v>
      </c>
      <c r="G79" s="20" t="s">
        <v>581</v>
      </c>
      <c r="H79" s="20" t="s">
        <v>105</v>
      </c>
      <c r="I79" s="20" t="s">
        <v>579</v>
      </c>
      <c r="J79" s="20" t="s">
        <v>580</v>
      </c>
      <c r="K79" s="20" t="s">
        <v>581</v>
      </c>
      <c r="L79" s="20" t="s">
        <v>105</v>
      </c>
      <c r="M79" s="20" t="s">
        <v>579</v>
      </c>
      <c r="N79" s="20" t="s">
        <v>580</v>
      </c>
      <c r="O79" s="20" t="s">
        <v>581</v>
      </c>
      <c r="P79" s="20" t="s">
        <v>105</v>
      </c>
      <c r="Q79" s="20" t="s">
        <v>579</v>
      </c>
      <c r="R79" s="20" t="s">
        <v>580</v>
      </c>
      <c r="S79" s="20" t="s">
        <v>581</v>
      </c>
      <c r="T79" s="20" t="s">
        <v>105</v>
      </c>
      <c r="U79" s="20" t="s">
        <v>579</v>
      </c>
      <c r="V79" s="20" t="s">
        <v>580</v>
      </c>
      <c r="W79" s="20" t="s">
        <v>581</v>
      </c>
      <c r="X79" s="880"/>
    </row>
    <row r="80" spans="1:24" ht="13.5" thickBot="1">
      <c r="A80" s="885"/>
      <c r="B80" s="979"/>
      <c r="C80" s="9" t="s">
        <v>247</v>
      </c>
      <c r="D80" s="104">
        <f>SUM('State DisAgg LFx10 (2014)'!D164:D168)</f>
        <v>0</v>
      </c>
      <c r="E80" s="104">
        <f>SUM('State DisAgg LFx10 (2014)'!E164:E168)</f>
        <v>0</v>
      </c>
      <c r="F80" s="104">
        <f>SUM('State DisAgg LFx10 (2014)'!F164:F168)</f>
        <v>0</v>
      </c>
      <c r="G80" s="104">
        <f>SUM('State DisAgg LFx10 (2014)'!G164:G168)</f>
        <v>0</v>
      </c>
      <c r="H80" s="104">
        <f>SUM('State DisAgg LFx10 (2014)'!H164:H171)</f>
        <v>11</v>
      </c>
      <c r="I80" s="104">
        <f>SUM('State DisAgg LFx10 (2014)'!I164:I171)</f>
        <v>4</v>
      </c>
      <c r="J80" s="104">
        <f>SUM('State DisAgg LFx10 (2014)'!J164:J171)</f>
        <v>1</v>
      </c>
      <c r="K80" s="104">
        <f>SUM('State DisAgg LFx10 (2014)'!K164:K171)</f>
        <v>0</v>
      </c>
      <c r="L80" s="104">
        <f>SUM('State DisAgg LFx10 (2014)'!L164:L173)</f>
        <v>22</v>
      </c>
      <c r="M80" s="104">
        <f>SUM('State DisAgg LFx10 (2014)'!M164:M173)</f>
        <v>11</v>
      </c>
      <c r="N80" s="104">
        <f>SUM('State DisAgg LFx10 (2014)'!N164:N173)</f>
        <v>6</v>
      </c>
      <c r="O80" s="104">
        <f>SUM('State DisAgg LFx10 (2014)'!O164:O173)</f>
        <v>1</v>
      </c>
      <c r="P80" s="150">
        <f>SUM('State DisAgg LFx10 (2014)'!P164:P173)</f>
        <v>43</v>
      </c>
      <c r="Q80" s="150">
        <f>SUM('State DisAgg LFx10 (2014)'!Q164:Q173)</f>
        <v>22</v>
      </c>
      <c r="R80" s="150">
        <f>SUM('State DisAgg LFx10 (2014)'!R164:R173)</f>
        <v>13</v>
      </c>
      <c r="S80" s="150">
        <f>SUM('State DisAgg LFx10 (2014)'!S164:S173)</f>
        <v>4</v>
      </c>
      <c r="T80" s="150">
        <f>SUM('State DisAgg LFx10 (2014)'!T164:T173)</f>
        <v>53.000000000000014</v>
      </c>
      <c r="U80" s="104">
        <f>SUM('State DisAgg LFx10 (2014)'!U164:U173)</f>
        <v>29.333333333333325</v>
      </c>
      <c r="V80" s="104">
        <f>SUM('State DisAgg LFx10 (2014)'!V164:V173)</f>
        <v>18.999999999999996</v>
      </c>
      <c r="W80" s="104">
        <f>SUM('State DisAgg LFx10 (2014)'!W164:W173)</f>
        <v>7.3333333333333339</v>
      </c>
      <c r="X80" s="880"/>
    </row>
    <row r="81" spans="1:24" ht="24.75" thickBot="1">
      <c r="A81" s="885"/>
      <c r="B81" s="504" t="s">
        <v>159</v>
      </c>
      <c r="C81" s="102" t="s">
        <v>246</v>
      </c>
      <c r="D81" s="1042" t="s">
        <v>593</v>
      </c>
      <c r="E81" s="1043"/>
      <c r="F81" s="1043"/>
      <c r="G81" s="1044"/>
      <c r="H81" s="105">
        <f>SUM('State DisAgg LFx10 (2014)'!H174:H178)</f>
        <v>10</v>
      </c>
      <c r="I81" s="105">
        <f>SUM('State DisAgg LFx10 (2014)'!I174:I178)</f>
        <v>2</v>
      </c>
      <c r="J81" s="105">
        <f>SUM('State DisAgg LFx10 (2014)'!J174:J178)</f>
        <v>0</v>
      </c>
      <c r="K81" s="105">
        <f>SUM('State DisAgg LFx10 (2014)'!K174:K178)</f>
        <v>0</v>
      </c>
      <c r="L81" s="105">
        <f>SUM('State DisAgg LFx10 (2014)'!L174:L181)</f>
        <v>29</v>
      </c>
      <c r="M81" s="105">
        <f>SUM('State DisAgg LFx10 (2014)'!M174:M181)</f>
        <v>16</v>
      </c>
      <c r="N81" s="105">
        <f>SUM('State DisAgg LFx10 (2014)'!N174:N181)</f>
        <v>6</v>
      </c>
      <c r="O81" s="105">
        <f>SUM('State DisAgg LFx10 (2014)'!O174:O181)</f>
        <v>0</v>
      </c>
      <c r="P81" s="105">
        <f>SUM('State DisAgg LFx10 (2014)'!P174:P183)</f>
        <v>75</v>
      </c>
      <c r="Q81" s="105">
        <f>SUM('State DisAgg LFx10 (2014)'!Q174:Q183)</f>
        <v>39</v>
      </c>
      <c r="R81" s="105">
        <f>SUM('State DisAgg LFx10 (2014)'!R174:R183)</f>
        <v>22</v>
      </c>
      <c r="S81" s="105">
        <f>SUM('State DisAgg LFx10 (2014)'!S174:S183)</f>
        <v>4</v>
      </c>
      <c r="T81" s="105">
        <f>SUM('State DisAgg LFx10 (2014)'!T174:T183)</f>
        <v>89</v>
      </c>
      <c r="U81" s="105">
        <f>SUM('State DisAgg LFx10 (2014)'!U174:U183)</f>
        <v>38</v>
      </c>
      <c r="V81" s="105">
        <f>SUM('State DisAgg LFx10 (2014)'!V174:V183)</f>
        <v>27</v>
      </c>
      <c r="W81" s="105">
        <f>SUM('State DisAgg LFx10 (2014)'!W174:W183)</f>
        <v>3</v>
      </c>
      <c r="X81" s="880"/>
    </row>
    <row r="82" spans="1:24" ht="36.75" thickBot="1">
      <c r="A82" s="885"/>
      <c r="B82" s="239" t="s">
        <v>576</v>
      </c>
      <c r="C82" s="1142" t="s">
        <v>413</v>
      </c>
      <c r="D82" s="927" t="s">
        <v>4</v>
      </c>
      <c r="E82" s="928"/>
      <c r="F82" s="928"/>
      <c r="G82" s="928"/>
      <c r="H82" s="928"/>
      <c r="I82" s="928"/>
      <c r="J82" s="928"/>
      <c r="K82" s="928"/>
      <c r="L82" s="928"/>
      <c r="M82" s="928"/>
      <c r="N82" s="928"/>
      <c r="O82" s="928"/>
      <c r="P82" s="928"/>
      <c r="Q82" s="928"/>
      <c r="R82" s="928"/>
      <c r="S82" s="928"/>
      <c r="T82" s="928"/>
      <c r="U82" s="928"/>
      <c r="V82" s="928"/>
      <c r="W82" s="928"/>
      <c r="X82" s="880"/>
    </row>
    <row r="83" spans="1:24" ht="13.5" thickBot="1">
      <c r="A83" s="869"/>
      <c r="B83" s="240" t="s">
        <v>577</v>
      </c>
      <c r="C83" s="1143"/>
      <c r="D83" s="930" t="s">
        <v>126</v>
      </c>
      <c r="E83" s="931"/>
      <c r="F83" s="931"/>
      <c r="G83" s="931"/>
      <c r="H83" s="931"/>
      <c r="I83" s="931"/>
      <c r="J83" s="931"/>
      <c r="K83" s="931"/>
      <c r="L83" s="931"/>
      <c r="M83" s="931"/>
      <c r="N83" s="931"/>
      <c r="O83" s="931"/>
      <c r="P83" s="931"/>
      <c r="Q83" s="931"/>
      <c r="R83" s="931"/>
      <c r="S83" s="931"/>
      <c r="T83" s="931"/>
      <c r="U83" s="931"/>
      <c r="V83" s="931"/>
      <c r="W83" s="932"/>
      <c r="X83" s="881"/>
    </row>
    <row r="84" spans="1:24" ht="13.5" thickBot="1">
      <c r="A84" s="906" t="s">
        <v>7</v>
      </c>
      <c r="B84" s="908" t="s">
        <v>173</v>
      </c>
      <c r="C84" s="918"/>
      <c r="D84" s="908" t="s">
        <v>8</v>
      </c>
      <c r="E84" s="918"/>
      <c r="F84" s="918"/>
      <c r="G84" s="909"/>
      <c r="H84" s="908" t="s">
        <v>88</v>
      </c>
      <c r="I84" s="918"/>
      <c r="J84" s="918"/>
      <c r="K84" s="909"/>
      <c r="L84" s="908" t="s">
        <v>89</v>
      </c>
      <c r="M84" s="918"/>
      <c r="N84" s="918"/>
      <c r="O84" s="909"/>
      <c r="P84" s="908" t="s">
        <v>9</v>
      </c>
      <c r="Q84" s="918"/>
      <c r="R84" s="918"/>
      <c r="S84" s="909"/>
      <c r="T84" s="908" t="s">
        <v>174</v>
      </c>
      <c r="U84" s="918"/>
      <c r="V84" s="918"/>
      <c r="W84" s="918"/>
      <c r="X84" s="909"/>
    </row>
    <row r="85" spans="1:24" ht="13.5" thickBot="1">
      <c r="A85" s="907"/>
      <c r="B85" s="975" t="e">
        <f>SUM(B114+B143+B180+B228+B246)</f>
        <v>#VALUE!</v>
      </c>
      <c r="C85" s="977"/>
      <c r="D85" s="975">
        <f>SUM(D114+D143+D180+D228+D246)</f>
        <v>2100000</v>
      </c>
      <c r="E85" s="977"/>
      <c r="F85" s="977">
        <f>SUM(F114+F143+F180+F228+F246)</f>
        <v>0</v>
      </c>
      <c r="G85" s="976"/>
      <c r="H85" s="975">
        <f>SUM(H114+H143+H180+H228+H246)</f>
        <v>13000000</v>
      </c>
      <c r="I85" s="977"/>
      <c r="J85" s="977">
        <f>SUM(J114+J143+J180+J228+J246)</f>
        <v>0</v>
      </c>
      <c r="K85" s="976"/>
      <c r="L85" s="975">
        <f>SUM(L114+L143+L180+L228+L246)</f>
        <v>9200000</v>
      </c>
      <c r="M85" s="977"/>
      <c r="N85" s="977">
        <f>SUM(N114+N143+N180+N228+N246)</f>
        <v>0</v>
      </c>
      <c r="O85" s="976"/>
      <c r="P85" s="975" t="e">
        <f>SUM(B85:O85)</f>
        <v>#VALUE!</v>
      </c>
      <c r="Q85" s="977"/>
      <c r="R85" s="977"/>
      <c r="S85" s="976"/>
      <c r="T85" s="942" t="e">
        <f>B85/P85%</f>
        <v>#VALUE!</v>
      </c>
      <c r="U85" s="943"/>
      <c r="V85" s="943"/>
      <c r="W85" s="943"/>
      <c r="X85" s="944"/>
    </row>
    <row r="86" spans="1:24" ht="13.5" thickBot="1">
      <c r="A86" s="906" t="s">
        <v>10</v>
      </c>
      <c r="B86" s="908" t="s">
        <v>175</v>
      </c>
      <c r="C86" s="918"/>
      <c r="D86" s="910"/>
      <c r="E86" s="911"/>
      <c r="F86" s="911"/>
      <c r="G86" s="911"/>
      <c r="H86" s="911"/>
      <c r="I86" s="911"/>
      <c r="J86" s="911"/>
      <c r="K86" s="911"/>
      <c r="L86" s="911"/>
      <c r="M86" s="911"/>
      <c r="N86" s="911"/>
      <c r="O86" s="911"/>
      <c r="P86" s="911"/>
      <c r="Q86" s="911"/>
      <c r="R86" s="911"/>
      <c r="S86" s="911"/>
      <c r="T86" s="911"/>
      <c r="U86" s="911"/>
      <c r="V86" s="911"/>
      <c r="W86" s="911"/>
      <c r="X86" s="912"/>
    </row>
    <row r="87" spans="1:24" ht="13.5" thickBot="1">
      <c r="A87" s="907"/>
      <c r="B87" s="916">
        <f>SUM(B116+B145+B182+B230+B248)</f>
        <v>0</v>
      </c>
      <c r="C87" s="994"/>
      <c r="D87" s="913"/>
      <c r="E87" s="914"/>
      <c r="F87" s="914"/>
      <c r="G87" s="914"/>
      <c r="H87" s="914"/>
      <c r="I87" s="914"/>
      <c r="J87" s="914"/>
      <c r="K87" s="914"/>
      <c r="L87" s="914"/>
      <c r="M87" s="914"/>
      <c r="N87" s="914"/>
      <c r="O87" s="914"/>
      <c r="P87" s="914"/>
      <c r="Q87" s="914"/>
      <c r="R87" s="914"/>
      <c r="S87" s="914"/>
      <c r="T87" s="914"/>
      <c r="U87" s="914"/>
      <c r="V87" s="914"/>
      <c r="W87" s="914"/>
      <c r="X87" s="915"/>
    </row>
    <row r="88" spans="1:24">
      <c r="A88" s="5"/>
      <c r="B88" s="5"/>
      <c r="C88" s="6"/>
      <c r="D88" s="5"/>
      <c r="E88" s="5"/>
      <c r="F88" s="5"/>
      <c r="G88" s="5"/>
      <c r="H88" s="5"/>
      <c r="I88" s="5"/>
      <c r="J88" s="5"/>
      <c r="K88" s="5"/>
      <c r="L88" s="5"/>
      <c r="M88" s="5"/>
      <c r="N88" s="5"/>
      <c r="O88" s="5"/>
      <c r="P88" s="5"/>
      <c r="Q88" s="5"/>
      <c r="R88" s="5"/>
      <c r="S88" s="5"/>
      <c r="T88" s="5"/>
      <c r="U88" s="5"/>
      <c r="V88" s="5"/>
      <c r="W88" s="5"/>
      <c r="X88" s="5"/>
    </row>
    <row r="89" spans="1:24" ht="13.5" thickBot="1">
      <c r="A89" s="21"/>
      <c r="B89" s="21"/>
      <c r="C89" s="22"/>
      <c r="D89" s="21"/>
      <c r="E89" s="21"/>
      <c r="F89" s="21"/>
      <c r="G89" s="21"/>
      <c r="H89" s="21"/>
      <c r="I89" s="21"/>
      <c r="J89" s="21"/>
      <c r="K89" s="21"/>
      <c r="L89" s="21"/>
      <c r="M89" s="21"/>
      <c r="N89" s="21"/>
      <c r="O89" s="21"/>
      <c r="P89" s="21"/>
      <c r="Q89" s="21"/>
      <c r="R89" s="21"/>
      <c r="S89" s="21"/>
      <c r="T89" s="21"/>
      <c r="U89" s="21"/>
      <c r="V89" s="21"/>
      <c r="W89" s="21"/>
      <c r="X89" s="21"/>
    </row>
    <row r="90" spans="1:24" ht="12.95" customHeight="1" thickBot="1">
      <c r="A90" s="506" t="s">
        <v>11</v>
      </c>
      <c r="B90" s="514" t="s">
        <v>16</v>
      </c>
      <c r="C90" s="8"/>
      <c r="D90" s="927" t="s">
        <v>78</v>
      </c>
      <c r="E90" s="928"/>
      <c r="F90" s="928"/>
      <c r="G90" s="929"/>
      <c r="H90" s="927" t="s">
        <v>77</v>
      </c>
      <c r="I90" s="928"/>
      <c r="J90" s="928"/>
      <c r="K90" s="929"/>
      <c r="L90" s="927" t="s">
        <v>81</v>
      </c>
      <c r="M90" s="928"/>
      <c r="N90" s="928"/>
      <c r="O90" s="929"/>
      <c r="P90" s="927" t="s">
        <v>254</v>
      </c>
      <c r="Q90" s="928"/>
      <c r="R90" s="928"/>
      <c r="S90" s="929"/>
      <c r="T90" s="1144" t="s">
        <v>908</v>
      </c>
      <c r="U90" s="1145"/>
      <c r="V90" s="1145"/>
      <c r="W90" s="1146"/>
      <c r="X90" s="16" t="s">
        <v>12</v>
      </c>
    </row>
    <row r="91" spans="1:24" ht="13.5" thickBot="1">
      <c r="A91" s="868" t="s">
        <v>57</v>
      </c>
      <c r="B91" s="868" t="s">
        <v>58</v>
      </c>
      <c r="C91" s="9" t="s">
        <v>235</v>
      </c>
      <c r="D91" s="942">
        <f>SUM('State DisAgg LFx10 (2014)'!D193:G197)/5</f>
        <v>1</v>
      </c>
      <c r="E91" s="943"/>
      <c r="F91" s="943"/>
      <c r="G91" s="944"/>
      <c r="H91" s="942">
        <f>SUM('State DisAgg LFx10 (2014)'!H193:K197)/5</f>
        <v>2</v>
      </c>
      <c r="I91" s="943"/>
      <c r="J91" s="943"/>
      <c r="K91" s="944"/>
      <c r="L91" s="942">
        <f>SUM('State DisAgg LFx10 (2014)'!L193:O197)/5</f>
        <v>2.7</v>
      </c>
      <c r="M91" s="943"/>
      <c r="N91" s="943"/>
      <c r="O91" s="944"/>
      <c r="P91" s="963">
        <f>SUM('State DisAgg LFx10 (2014)'!P193:S197)/5</f>
        <v>3.22</v>
      </c>
      <c r="Q91" s="964"/>
      <c r="R91" s="964"/>
      <c r="S91" s="965"/>
      <c r="T91" s="963">
        <f>SUM('State DisAgg LFx10 (2014)'!T193:T197)/5</f>
        <v>3.54</v>
      </c>
      <c r="U91" s="964"/>
      <c r="V91" s="964"/>
      <c r="W91" s="965"/>
      <c r="X91" s="879" t="s">
        <v>97</v>
      </c>
    </row>
    <row r="92" spans="1:24" ht="13.5" thickBot="1">
      <c r="A92" s="885"/>
      <c r="B92" s="885"/>
      <c r="C92" s="9" t="s">
        <v>233</v>
      </c>
      <c r="D92" s="966" t="s">
        <v>255</v>
      </c>
      <c r="E92" s="967"/>
      <c r="F92" s="967"/>
      <c r="G92" s="968"/>
      <c r="H92" s="942">
        <f>SUM('State DisAgg LFx10 (2014)'!H198:K200)/3</f>
        <v>1</v>
      </c>
      <c r="I92" s="943"/>
      <c r="J92" s="943"/>
      <c r="K92" s="944"/>
      <c r="L92" s="942">
        <f>SUM('State DisAgg LFx10 (2014)'!L198:O200)/3</f>
        <v>1.1666666666666667</v>
      </c>
      <c r="M92" s="943"/>
      <c r="N92" s="943"/>
      <c r="O92" s="944"/>
      <c r="P92" s="963">
        <f>SUM('State DisAgg LFx10 (2014)'!P198:S200)/3</f>
        <v>1.5</v>
      </c>
      <c r="Q92" s="964"/>
      <c r="R92" s="964"/>
      <c r="S92" s="965"/>
      <c r="T92" s="963">
        <f>SUM('State DisAgg LFx10 (2014)'!T198:T200)/3</f>
        <v>2.3111111111111113</v>
      </c>
      <c r="U92" s="964"/>
      <c r="V92" s="964"/>
      <c r="W92" s="965"/>
      <c r="X92" s="880"/>
    </row>
    <row r="93" spans="1:24" ht="12.95" customHeight="1" thickBot="1">
      <c r="A93" s="885"/>
      <c r="B93" s="885"/>
      <c r="C93" s="9" t="s">
        <v>234</v>
      </c>
      <c r="D93" s="957"/>
      <c r="E93" s="958"/>
      <c r="F93" s="958"/>
      <c r="G93" s="959"/>
      <c r="H93" s="1153"/>
      <c r="I93" s="1154"/>
      <c r="J93" s="1154"/>
      <c r="K93" s="1155"/>
      <c r="L93" s="1150" t="s">
        <v>909</v>
      </c>
      <c r="M93" s="1151"/>
      <c r="N93" s="1151"/>
      <c r="O93" s="1152"/>
      <c r="P93" s="963">
        <f>SUM('State DisAgg LFx10 (2014)'!P201:S202)/2</f>
        <v>1.1499999999999999</v>
      </c>
      <c r="Q93" s="964"/>
      <c r="R93" s="964"/>
      <c r="S93" s="965"/>
      <c r="T93" s="963">
        <f>SUM('State DisAgg LFx10 (2014)'!T201:T202)/2</f>
        <v>1.1499999999999999</v>
      </c>
      <c r="U93" s="964"/>
      <c r="V93" s="964"/>
      <c r="W93" s="965"/>
      <c r="X93" s="880"/>
    </row>
    <row r="94" spans="1:24" ht="13.5" thickBot="1">
      <c r="A94" s="885"/>
      <c r="B94" s="885"/>
      <c r="C94" s="102" t="s">
        <v>236</v>
      </c>
      <c r="D94" s="1008" t="s">
        <v>585</v>
      </c>
      <c r="E94" s="1009"/>
      <c r="F94" s="1009"/>
      <c r="G94" s="1010"/>
      <c r="H94" s="1147">
        <f>SUM('State DisAgg LFx10 (2014)'!H203:K207)/5</f>
        <v>2.08</v>
      </c>
      <c r="I94" s="1148"/>
      <c r="J94" s="1148"/>
      <c r="K94" s="1149"/>
      <c r="L94" s="1147">
        <f>SUM('State DisAgg LFx10 (2014)'!L203:O207)/5</f>
        <v>2.52</v>
      </c>
      <c r="M94" s="1148"/>
      <c r="N94" s="1148"/>
      <c r="O94" s="1149"/>
      <c r="P94" s="1147">
        <f>SUM('State DisAgg LFx10 (2014)'!P203:S207)/5</f>
        <v>3.2600000000000002</v>
      </c>
      <c r="Q94" s="1148"/>
      <c r="R94" s="1148"/>
      <c r="S94" s="1149"/>
      <c r="T94" s="1147">
        <f>SUM('State DisAgg LFx10 (2014)'!T203:T207)/5</f>
        <v>4.0999999999999996</v>
      </c>
      <c r="U94" s="1148"/>
      <c r="V94" s="1148"/>
      <c r="W94" s="1149"/>
      <c r="X94" s="880"/>
    </row>
    <row r="95" spans="1:24" ht="13.5" thickBot="1">
      <c r="A95" s="885"/>
      <c r="B95" s="885"/>
      <c r="C95" s="102" t="s">
        <v>283</v>
      </c>
      <c r="D95" s="1017"/>
      <c r="E95" s="1018"/>
      <c r="F95" s="1018"/>
      <c r="G95" s="1019"/>
      <c r="H95" s="1017"/>
      <c r="I95" s="1018"/>
      <c r="J95" s="1018"/>
      <c r="K95" s="1019"/>
      <c r="L95" s="1147">
        <f>SUM('State DisAgg LFx10 (2014)'!L208:O210)/3</f>
        <v>1.1666666666666667</v>
      </c>
      <c r="M95" s="1148"/>
      <c r="N95" s="1148"/>
      <c r="O95" s="1149"/>
      <c r="P95" s="1147">
        <f>SUM('State DisAgg LFx10 (2014)'!P208:S210)/3</f>
        <v>1.4666666666666668</v>
      </c>
      <c r="Q95" s="1148"/>
      <c r="R95" s="1148"/>
      <c r="S95" s="1149"/>
      <c r="T95" s="1147">
        <f>SUM('State DisAgg LFx10 (2014)'!T208:T210)/3</f>
        <v>2.9</v>
      </c>
      <c r="U95" s="1148"/>
      <c r="V95" s="1148"/>
      <c r="W95" s="1149"/>
      <c r="X95" s="880"/>
    </row>
    <row r="96" spans="1:24" ht="13.5" thickBot="1">
      <c r="A96" s="885"/>
      <c r="B96" s="885"/>
      <c r="C96" s="102" t="s">
        <v>284</v>
      </c>
      <c r="D96" s="1017"/>
      <c r="E96" s="1018"/>
      <c r="F96" s="1018"/>
      <c r="G96" s="1019"/>
      <c r="H96" s="1017"/>
      <c r="I96" s="1018"/>
      <c r="J96" s="1018"/>
      <c r="K96" s="1019"/>
      <c r="L96" s="1017"/>
      <c r="M96" s="1018"/>
      <c r="N96" s="1018"/>
      <c r="O96" s="1019"/>
      <c r="P96" s="1147">
        <f>SUM('State DisAgg LFx10 (2014)'!P211:S212)/2</f>
        <v>0</v>
      </c>
      <c r="Q96" s="1148"/>
      <c r="R96" s="1148"/>
      <c r="S96" s="1149"/>
      <c r="T96" s="1147">
        <f>SUM('State DisAgg LFx10 (2014)'!T211:T212)/2</f>
        <v>1.1499999999999999</v>
      </c>
      <c r="U96" s="1148"/>
      <c r="V96" s="1148"/>
      <c r="W96" s="1149"/>
      <c r="X96" s="880"/>
    </row>
    <row r="97" spans="1:24" ht="13.5" thickBot="1">
      <c r="A97" s="885"/>
      <c r="B97" s="885"/>
      <c r="C97" s="1142" t="s">
        <v>413</v>
      </c>
      <c r="D97" s="927" t="s">
        <v>4</v>
      </c>
      <c r="E97" s="928"/>
      <c r="F97" s="928"/>
      <c r="G97" s="928"/>
      <c r="H97" s="928"/>
      <c r="I97" s="928"/>
      <c r="J97" s="928"/>
      <c r="K97" s="928"/>
      <c r="L97" s="928"/>
      <c r="M97" s="928"/>
      <c r="N97" s="928"/>
      <c r="O97" s="928"/>
      <c r="P97" s="928"/>
      <c r="Q97" s="928"/>
      <c r="R97" s="928"/>
      <c r="S97" s="928"/>
      <c r="T97" s="928"/>
      <c r="U97" s="928"/>
      <c r="V97" s="928"/>
      <c r="W97" s="929"/>
      <c r="X97" s="880"/>
    </row>
    <row r="98" spans="1:24" ht="24" customHeight="1" thickBot="1">
      <c r="A98" s="885"/>
      <c r="B98" s="869"/>
      <c r="C98" s="1143"/>
      <c r="D98" s="930" t="s">
        <v>120</v>
      </c>
      <c r="E98" s="931"/>
      <c r="F98" s="931"/>
      <c r="G98" s="931"/>
      <c r="H98" s="931"/>
      <c r="I98" s="931"/>
      <c r="J98" s="931"/>
      <c r="K98" s="931"/>
      <c r="L98" s="931"/>
      <c r="M98" s="931"/>
      <c r="N98" s="931"/>
      <c r="O98" s="931"/>
      <c r="P98" s="931"/>
      <c r="Q98" s="931"/>
      <c r="R98" s="931"/>
      <c r="S98" s="931"/>
      <c r="T98" s="931"/>
      <c r="U98" s="931"/>
      <c r="V98" s="931"/>
      <c r="W98" s="932"/>
      <c r="X98" s="880"/>
    </row>
    <row r="99" spans="1:24" ht="12.95" customHeight="1" thickBot="1">
      <c r="A99" s="885"/>
      <c r="B99" s="11" t="s">
        <v>17</v>
      </c>
      <c r="C99" s="12"/>
      <c r="D99" s="927" t="s">
        <v>78</v>
      </c>
      <c r="E99" s="928"/>
      <c r="F99" s="928"/>
      <c r="G99" s="929"/>
      <c r="H99" s="927" t="s">
        <v>77</v>
      </c>
      <c r="I99" s="928"/>
      <c r="J99" s="928"/>
      <c r="K99" s="929"/>
      <c r="L99" s="927" t="s">
        <v>81</v>
      </c>
      <c r="M99" s="928"/>
      <c r="N99" s="928"/>
      <c r="O99" s="929"/>
      <c r="P99" s="927" t="s">
        <v>254</v>
      </c>
      <c r="Q99" s="928"/>
      <c r="R99" s="928"/>
      <c r="S99" s="929"/>
      <c r="T99" s="1144" t="s">
        <v>908</v>
      </c>
      <c r="U99" s="1145"/>
      <c r="V99" s="1145"/>
      <c r="W99" s="1146"/>
      <c r="X99" s="880"/>
    </row>
    <row r="100" spans="1:24" ht="13.5" thickBot="1">
      <c r="A100" s="885"/>
      <c r="B100" s="868" t="s">
        <v>59</v>
      </c>
      <c r="C100" s="9" t="s">
        <v>235</v>
      </c>
      <c r="D100" s="942">
        <f>SUM('State DisAgg LFx10 (2014)'!D216:G220)/5</f>
        <v>1.1000000000000001</v>
      </c>
      <c r="E100" s="943"/>
      <c r="F100" s="943"/>
      <c r="G100" s="944"/>
      <c r="H100" s="942">
        <f>SUM('State DisAgg LFx10 (2014)'!H216:K220)/5</f>
        <v>1.6</v>
      </c>
      <c r="I100" s="943"/>
      <c r="J100" s="943"/>
      <c r="K100" s="944"/>
      <c r="L100" s="942">
        <f>SUM('State DisAgg LFx10 (2014)'!L216:O220)/5</f>
        <v>2.7</v>
      </c>
      <c r="M100" s="943"/>
      <c r="N100" s="943"/>
      <c r="O100" s="944"/>
      <c r="P100" s="963">
        <f>SUM('State DisAgg LFx10 (2014)'!P216:S220)/5</f>
        <v>3.3</v>
      </c>
      <c r="Q100" s="964"/>
      <c r="R100" s="964"/>
      <c r="S100" s="965"/>
      <c r="T100" s="963">
        <f>SUM('State DisAgg LFx10 (2014)'!T216:T220)/5</f>
        <v>3.6733333333333333</v>
      </c>
      <c r="U100" s="964"/>
      <c r="V100" s="964"/>
      <c r="W100" s="965"/>
      <c r="X100" s="880"/>
    </row>
    <row r="101" spans="1:24" ht="13.5" thickBot="1">
      <c r="A101" s="885"/>
      <c r="B101" s="885"/>
      <c r="C101" s="9" t="s">
        <v>233</v>
      </c>
      <c r="D101" s="966" t="s">
        <v>255</v>
      </c>
      <c r="E101" s="967"/>
      <c r="F101" s="967"/>
      <c r="G101" s="968"/>
      <c r="H101" s="942">
        <f>SUM('State DisAgg LFx10 (2014)'!H221:K223)/3</f>
        <v>1</v>
      </c>
      <c r="I101" s="943"/>
      <c r="J101" s="943"/>
      <c r="K101" s="944"/>
      <c r="L101" s="942">
        <f>SUM('State DisAgg LFx10 (2014)'!L221:O223)/3</f>
        <v>1</v>
      </c>
      <c r="M101" s="943"/>
      <c r="N101" s="943"/>
      <c r="O101" s="944"/>
      <c r="P101" s="963">
        <f>SUM('State DisAgg LFx10 (2014)'!P221:S223)/3</f>
        <v>1.3999999999999997</v>
      </c>
      <c r="Q101" s="964"/>
      <c r="R101" s="964"/>
      <c r="S101" s="965"/>
      <c r="T101" s="963">
        <f>SUM('State DisAgg LFx10 (2014)'!T221:T223)/3</f>
        <v>2.0666666666666664</v>
      </c>
      <c r="U101" s="964"/>
      <c r="V101" s="964"/>
      <c r="W101" s="965"/>
      <c r="X101" s="880"/>
    </row>
    <row r="102" spans="1:24" ht="12.95" customHeight="1" thickBot="1">
      <c r="A102" s="885"/>
      <c r="B102" s="885"/>
      <c r="C102" s="9" t="s">
        <v>234</v>
      </c>
      <c r="D102" s="957"/>
      <c r="E102" s="958"/>
      <c r="F102" s="958"/>
      <c r="G102" s="959"/>
      <c r="H102" s="1153"/>
      <c r="I102" s="1154"/>
      <c r="J102" s="1154"/>
      <c r="K102" s="1155"/>
      <c r="L102" s="1150" t="s">
        <v>909</v>
      </c>
      <c r="M102" s="1151"/>
      <c r="N102" s="1151"/>
      <c r="O102" s="1152"/>
      <c r="P102" s="963">
        <f>SUM('State DisAgg LFx10 (2014)'!P224:S225)/2</f>
        <v>1.5</v>
      </c>
      <c r="Q102" s="964"/>
      <c r="R102" s="964"/>
      <c r="S102" s="965"/>
      <c r="T102" s="963">
        <f>SUM('State DisAgg LFx10 (2014)'!T224:T225)/2</f>
        <v>1.5</v>
      </c>
      <c r="U102" s="964"/>
      <c r="V102" s="964"/>
      <c r="W102" s="965"/>
      <c r="X102" s="880"/>
    </row>
    <row r="103" spans="1:24" ht="13.5" thickBot="1">
      <c r="A103" s="885"/>
      <c r="B103" s="885"/>
      <c r="C103" s="102" t="s">
        <v>236</v>
      </c>
      <c r="D103" s="1008" t="s">
        <v>586</v>
      </c>
      <c r="E103" s="1009"/>
      <c r="F103" s="1009"/>
      <c r="G103" s="1010"/>
      <c r="H103" s="1147">
        <f>SUM('State DisAgg LFx10 (2014)'!H226:K230)/5</f>
        <v>1.48</v>
      </c>
      <c r="I103" s="1148"/>
      <c r="J103" s="1148"/>
      <c r="K103" s="1149"/>
      <c r="L103" s="1147">
        <f>SUM('State DisAgg LFx10 (2014)'!L226:O230)/5</f>
        <v>2.8400000000000003</v>
      </c>
      <c r="M103" s="1148"/>
      <c r="N103" s="1148"/>
      <c r="O103" s="1149"/>
      <c r="P103" s="1147">
        <f>SUM('State DisAgg LFx10 (2014)'!P226:S230)/5</f>
        <v>3.3600000000000003</v>
      </c>
      <c r="Q103" s="1148"/>
      <c r="R103" s="1148"/>
      <c r="S103" s="1149"/>
      <c r="T103" s="1147">
        <f>SUM('State DisAgg LFx10 (2014)'!T226:T230)/5</f>
        <v>4.0459999999999994</v>
      </c>
      <c r="U103" s="1148"/>
      <c r="V103" s="1148"/>
      <c r="W103" s="1149"/>
      <c r="X103" s="880"/>
    </row>
    <row r="104" spans="1:24" ht="13.5" thickBot="1">
      <c r="A104" s="885"/>
      <c r="B104" s="885"/>
      <c r="C104" s="102" t="s">
        <v>283</v>
      </c>
      <c r="D104" s="1017"/>
      <c r="E104" s="1018"/>
      <c r="F104" s="1018"/>
      <c r="G104" s="1019"/>
      <c r="H104" s="1017"/>
      <c r="I104" s="1018"/>
      <c r="J104" s="1018"/>
      <c r="K104" s="1019"/>
      <c r="L104" s="1147">
        <f>SUM('State DisAgg LFx10 (2014)'!L231:O233)/3</f>
        <v>1</v>
      </c>
      <c r="M104" s="1148"/>
      <c r="N104" s="1148"/>
      <c r="O104" s="1149"/>
      <c r="P104" s="1147">
        <f>SUM('State DisAgg LFx10 (2014)'!P231:S233)/3</f>
        <v>1.2666666666666668</v>
      </c>
      <c r="Q104" s="1148"/>
      <c r="R104" s="1148"/>
      <c r="S104" s="1149"/>
      <c r="T104" s="1147">
        <f>SUM('State DisAgg LFx10 (2014)'!T231:T233)/3</f>
        <v>2.9333333333333336</v>
      </c>
      <c r="U104" s="1148"/>
      <c r="V104" s="1148"/>
      <c r="W104" s="1149"/>
      <c r="X104" s="880"/>
    </row>
    <row r="105" spans="1:24" ht="13.5" thickBot="1">
      <c r="A105" s="885"/>
      <c r="B105" s="885"/>
      <c r="C105" s="102" t="s">
        <v>284</v>
      </c>
      <c r="D105" s="1017"/>
      <c r="E105" s="1018"/>
      <c r="F105" s="1018"/>
      <c r="G105" s="1019"/>
      <c r="H105" s="1017"/>
      <c r="I105" s="1018"/>
      <c r="J105" s="1018"/>
      <c r="K105" s="1019"/>
      <c r="L105" s="1017"/>
      <c r="M105" s="1018"/>
      <c r="N105" s="1018"/>
      <c r="O105" s="1019"/>
      <c r="P105" s="1147">
        <f>SUM('State DisAgg LFx10 (2014)'!P234:S235)/2</f>
        <v>0</v>
      </c>
      <c r="Q105" s="1148"/>
      <c r="R105" s="1148"/>
      <c r="S105" s="1149"/>
      <c r="T105" s="1147">
        <f>SUM('State DisAgg LFx10 (2014)'!T234:T235)/2</f>
        <v>1.5</v>
      </c>
      <c r="U105" s="1148"/>
      <c r="V105" s="1148"/>
      <c r="W105" s="1149"/>
      <c r="X105" s="880"/>
    </row>
    <row r="106" spans="1:24" ht="13.5" thickBot="1">
      <c r="A106" s="885"/>
      <c r="B106" s="885"/>
      <c r="C106" s="1142" t="s">
        <v>413</v>
      </c>
      <c r="D106" s="927" t="s">
        <v>4</v>
      </c>
      <c r="E106" s="928"/>
      <c r="F106" s="928"/>
      <c r="G106" s="928"/>
      <c r="H106" s="928"/>
      <c r="I106" s="928"/>
      <c r="J106" s="928"/>
      <c r="K106" s="928"/>
      <c r="L106" s="928"/>
      <c r="M106" s="928"/>
      <c r="N106" s="928"/>
      <c r="O106" s="928"/>
      <c r="P106" s="928"/>
      <c r="Q106" s="928"/>
      <c r="R106" s="928"/>
      <c r="S106" s="928"/>
      <c r="T106" s="928"/>
      <c r="U106" s="928"/>
      <c r="V106" s="928"/>
      <c r="W106" s="929"/>
      <c r="X106" s="880"/>
    </row>
    <row r="107" spans="1:24" ht="13.5" thickBot="1">
      <c r="A107" s="885"/>
      <c r="B107" s="869"/>
      <c r="C107" s="1143"/>
      <c r="D107" s="930" t="s">
        <v>118</v>
      </c>
      <c r="E107" s="931"/>
      <c r="F107" s="931"/>
      <c r="G107" s="931"/>
      <c r="H107" s="931"/>
      <c r="I107" s="931"/>
      <c r="J107" s="931"/>
      <c r="K107" s="931"/>
      <c r="L107" s="931"/>
      <c r="M107" s="931"/>
      <c r="N107" s="931"/>
      <c r="O107" s="931"/>
      <c r="P107" s="931"/>
      <c r="Q107" s="931"/>
      <c r="R107" s="931"/>
      <c r="S107" s="931"/>
      <c r="T107" s="931"/>
      <c r="U107" s="931"/>
      <c r="V107" s="931"/>
      <c r="W107" s="932"/>
      <c r="X107" s="880"/>
    </row>
    <row r="108" spans="1:24" ht="12.95" customHeight="1" thickBot="1">
      <c r="A108" s="885"/>
      <c r="B108" s="11" t="s">
        <v>18</v>
      </c>
      <c r="C108" s="12"/>
      <c r="D108" s="927" t="s">
        <v>78</v>
      </c>
      <c r="E108" s="928"/>
      <c r="F108" s="928"/>
      <c r="G108" s="929"/>
      <c r="H108" s="927" t="s">
        <v>77</v>
      </c>
      <c r="I108" s="928"/>
      <c r="J108" s="928"/>
      <c r="K108" s="929"/>
      <c r="L108" s="927" t="s">
        <v>81</v>
      </c>
      <c r="M108" s="928"/>
      <c r="N108" s="928"/>
      <c r="O108" s="929"/>
      <c r="P108" s="927" t="s">
        <v>254</v>
      </c>
      <c r="Q108" s="928"/>
      <c r="R108" s="928"/>
      <c r="S108" s="929"/>
      <c r="T108" s="1144" t="s">
        <v>908</v>
      </c>
      <c r="U108" s="1145"/>
      <c r="V108" s="1145"/>
      <c r="W108" s="1146"/>
      <c r="X108" s="880"/>
    </row>
    <row r="109" spans="1:24" ht="13.5" thickBot="1">
      <c r="A109" s="885"/>
      <c r="B109" s="868" t="s">
        <v>60</v>
      </c>
      <c r="C109" s="9" t="s">
        <v>247</v>
      </c>
      <c r="D109" s="924">
        <f>SUM('State DisAgg LFx10 (2014)'!D239:G243)</f>
        <v>1</v>
      </c>
      <c r="E109" s="925"/>
      <c r="F109" s="925"/>
      <c r="G109" s="926"/>
      <c r="H109" s="924">
        <f>SUM('State DisAgg LFx10 (2014)'!H239:K246)</f>
        <v>8</v>
      </c>
      <c r="I109" s="925"/>
      <c r="J109" s="925"/>
      <c r="K109" s="926"/>
      <c r="L109" s="924">
        <f>SUM('State DisAgg LFx10 (2014)'!L239:O248)</f>
        <v>17</v>
      </c>
      <c r="M109" s="925"/>
      <c r="N109" s="925"/>
      <c r="O109" s="926"/>
      <c r="P109" s="939">
        <f>SUM('State DisAgg LFx10 (2014)'!P239:S248)</f>
        <v>19</v>
      </c>
      <c r="Q109" s="940"/>
      <c r="R109" s="940"/>
      <c r="S109" s="941"/>
      <c r="T109" s="939">
        <f>SUM('State DisAgg LFx10 (2014)'!T239:T248)</f>
        <v>28.43333333333333</v>
      </c>
      <c r="U109" s="940"/>
      <c r="V109" s="940"/>
      <c r="W109" s="941"/>
      <c r="X109" s="880"/>
    </row>
    <row r="110" spans="1:24" ht="13.5" thickBot="1">
      <c r="A110" s="869"/>
      <c r="B110" s="885"/>
      <c r="C110" s="102" t="s">
        <v>246</v>
      </c>
      <c r="D110" s="1003" t="s">
        <v>172</v>
      </c>
      <c r="E110" s="1004"/>
      <c r="F110" s="1004"/>
      <c r="G110" s="1005"/>
      <c r="H110" s="1003" t="s">
        <v>417</v>
      </c>
      <c r="I110" s="1004"/>
      <c r="J110" s="1004"/>
      <c r="K110" s="1005"/>
      <c r="L110" s="1140">
        <f>SUM('State DisAgg LFx10 (2014)'!L249:O256)</f>
        <v>11</v>
      </c>
      <c r="M110" s="1156"/>
      <c r="N110" s="1156"/>
      <c r="O110" s="1141"/>
      <c r="P110" s="1140">
        <f>SUM('State DisAgg LFx10 (2014)'!P249:S258)</f>
        <v>38</v>
      </c>
      <c r="Q110" s="1156"/>
      <c r="R110" s="1156"/>
      <c r="S110" s="1141"/>
      <c r="T110" s="1140">
        <f>SUM('State DisAgg LFx10 (2014)'!T249:T258)</f>
        <v>61</v>
      </c>
      <c r="U110" s="1156"/>
      <c r="V110" s="1156"/>
      <c r="W110" s="1141"/>
      <c r="X110" s="881"/>
    </row>
    <row r="111" spans="1:24" ht="13.5" thickBot="1">
      <c r="A111" s="507" t="s">
        <v>13</v>
      </c>
      <c r="B111" s="885"/>
      <c r="C111" s="1142" t="s">
        <v>413</v>
      </c>
      <c r="D111" s="927" t="s">
        <v>4</v>
      </c>
      <c r="E111" s="928"/>
      <c r="F111" s="928"/>
      <c r="G111" s="928"/>
      <c r="H111" s="928"/>
      <c r="I111" s="928"/>
      <c r="J111" s="928"/>
      <c r="K111" s="928"/>
      <c r="L111" s="928"/>
      <c r="M111" s="928"/>
      <c r="N111" s="928"/>
      <c r="O111" s="928"/>
      <c r="P111" s="928"/>
      <c r="Q111" s="928"/>
      <c r="R111" s="928"/>
      <c r="S111" s="928"/>
      <c r="T111" s="928"/>
      <c r="U111" s="928"/>
      <c r="V111" s="928"/>
      <c r="W111" s="929"/>
      <c r="X111" s="24" t="s">
        <v>14</v>
      </c>
    </row>
    <row r="112" spans="1:24" ht="13.5" thickBot="1">
      <c r="A112" s="25" t="s">
        <v>75</v>
      </c>
      <c r="B112" s="869"/>
      <c r="C112" s="1143"/>
      <c r="D112" s="930" t="s">
        <v>119</v>
      </c>
      <c r="E112" s="931"/>
      <c r="F112" s="931"/>
      <c r="G112" s="931"/>
      <c r="H112" s="931"/>
      <c r="I112" s="931"/>
      <c r="J112" s="931"/>
      <c r="K112" s="931"/>
      <c r="L112" s="931"/>
      <c r="M112" s="931"/>
      <c r="N112" s="931"/>
      <c r="O112" s="931"/>
      <c r="P112" s="931"/>
      <c r="Q112" s="931"/>
      <c r="R112" s="931"/>
      <c r="S112" s="931"/>
      <c r="T112" s="931"/>
      <c r="U112" s="931"/>
      <c r="V112" s="931"/>
      <c r="W112" s="932"/>
      <c r="X112" s="18" t="s">
        <v>92</v>
      </c>
    </row>
    <row r="113" spans="1:24" ht="13.5" thickBot="1">
      <c r="A113" s="906" t="s">
        <v>7</v>
      </c>
      <c r="B113" s="908" t="s">
        <v>173</v>
      </c>
      <c r="C113" s="918"/>
      <c r="D113" s="908" t="s">
        <v>8</v>
      </c>
      <c r="E113" s="918"/>
      <c r="F113" s="918"/>
      <c r="G113" s="909"/>
      <c r="H113" s="908" t="s">
        <v>88</v>
      </c>
      <c r="I113" s="918"/>
      <c r="J113" s="918"/>
      <c r="K113" s="909"/>
      <c r="L113" s="908" t="s">
        <v>89</v>
      </c>
      <c r="M113" s="918"/>
      <c r="N113" s="918"/>
      <c r="O113" s="909"/>
      <c r="P113" s="908" t="s">
        <v>9</v>
      </c>
      <c r="Q113" s="918"/>
      <c r="R113" s="918"/>
      <c r="S113" s="909"/>
      <c r="T113" s="908" t="s">
        <v>174</v>
      </c>
      <c r="U113" s="918"/>
      <c r="V113" s="918"/>
      <c r="W113" s="918"/>
      <c r="X113" s="909"/>
    </row>
    <row r="114" spans="1:24" ht="13.5" thickBot="1">
      <c r="A114" s="907"/>
      <c r="B114" s="919">
        <v>6200000</v>
      </c>
      <c r="C114" s="921"/>
      <c r="D114" s="919">
        <v>900000</v>
      </c>
      <c r="E114" s="921"/>
      <c r="F114" s="921"/>
      <c r="G114" s="920"/>
      <c r="H114" s="919">
        <v>1800000</v>
      </c>
      <c r="I114" s="921"/>
      <c r="J114" s="921"/>
      <c r="K114" s="920"/>
      <c r="L114" s="919">
        <v>3300000</v>
      </c>
      <c r="M114" s="921"/>
      <c r="N114" s="921"/>
      <c r="O114" s="920"/>
      <c r="P114" s="919">
        <f>SUM(B114:O114)</f>
        <v>12200000</v>
      </c>
      <c r="Q114" s="921"/>
      <c r="R114" s="921"/>
      <c r="S114" s="920"/>
      <c r="T114" s="942">
        <f>B114/P114%</f>
        <v>50.819672131147541</v>
      </c>
      <c r="U114" s="943"/>
      <c r="V114" s="943"/>
      <c r="W114" s="943"/>
      <c r="X114" s="944"/>
    </row>
    <row r="115" spans="1:24" ht="13.5" thickBot="1">
      <c r="A115" s="906" t="s">
        <v>10</v>
      </c>
      <c r="B115" s="908" t="s">
        <v>175</v>
      </c>
      <c r="C115" s="918"/>
      <c r="D115" s="910"/>
      <c r="E115" s="911"/>
      <c r="F115" s="911"/>
      <c r="G115" s="911"/>
      <c r="H115" s="911"/>
      <c r="I115" s="911"/>
      <c r="J115" s="911"/>
      <c r="K115" s="911"/>
      <c r="L115" s="911"/>
      <c r="M115" s="911"/>
      <c r="N115" s="911"/>
      <c r="O115" s="911"/>
      <c r="P115" s="911"/>
      <c r="Q115" s="911"/>
      <c r="R115" s="911"/>
      <c r="S115" s="911"/>
      <c r="T115" s="911"/>
      <c r="U115" s="911"/>
      <c r="V115" s="911"/>
      <c r="W115" s="911"/>
      <c r="X115" s="912"/>
    </row>
    <row r="116" spans="1:24" ht="13.5" thickBot="1">
      <c r="A116" s="907"/>
      <c r="B116" s="916"/>
      <c r="C116" s="994"/>
      <c r="D116" s="913"/>
      <c r="E116" s="914"/>
      <c r="F116" s="914"/>
      <c r="G116" s="914"/>
      <c r="H116" s="914"/>
      <c r="I116" s="914"/>
      <c r="J116" s="914"/>
      <c r="K116" s="914"/>
      <c r="L116" s="914"/>
      <c r="M116" s="914"/>
      <c r="N116" s="914"/>
      <c r="O116" s="914"/>
      <c r="P116" s="914"/>
      <c r="Q116" s="914"/>
      <c r="R116" s="914"/>
      <c r="S116" s="914"/>
      <c r="T116" s="914"/>
      <c r="U116" s="914"/>
      <c r="V116" s="914"/>
      <c r="W116" s="914"/>
      <c r="X116" s="915"/>
    </row>
    <row r="117" spans="1:24">
      <c r="A117" s="5"/>
      <c r="B117" s="5"/>
      <c r="C117" s="6"/>
      <c r="D117" s="5"/>
      <c r="E117" s="5"/>
      <c r="F117" s="5"/>
      <c r="G117" s="5"/>
      <c r="H117" s="5"/>
      <c r="I117" s="5"/>
      <c r="J117" s="5"/>
      <c r="K117" s="5"/>
      <c r="L117" s="5"/>
      <c r="M117" s="5"/>
      <c r="N117" s="5"/>
      <c r="O117" s="5"/>
      <c r="P117" s="5"/>
      <c r="Q117" s="5"/>
      <c r="R117" s="5"/>
      <c r="S117" s="5"/>
      <c r="T117" s="5"/>
      <c r="U117" s="5"/>
      <c r="V117" s="5"/>
      <c r="W117" s="5"/>
      <c r="X117" s="5"/>
    </row>
    <row r="118" spans="1:24" ht="13.5" thickBot="1">
      <c r="A118" s="5"/>
      <c r="B118" s="5"/>
      <c r="C118" s="6"/>
      <c r="D118" s="5"/>
      <c r="E118" s="5"/>
      <c r="F118" s="5"/>
      <c r="G118" s="5"/>
      <c r="H118" s="5"/>
      <c r="I118" s="5"/>
      <c r="J118" s="5"/>
      <c r="K118" s="5"/>
      <c r="L118" s="5"/>
      <c r="M118" s="5"/>
      <c r="N118" s="5"/>
      <c r="O118" s="5"/>
      <c r="P118" s="5"/>
      <c r="Q118" s="5"/>
      <c r="R118" s="5"/>
      <c r="S118" s="5"/>
      <c r="T118" s="5"/>
      <c r="U118" s="5"/>
      <c r="V118" s="5"/>
      <c r="W118" s="5"/>
      <c r="X118" s="5"/>
    </row>
    <row r="119" spans="1:24" ht="12.95" customHeight="1" thickBot="1">
      <c r="A119" s="506" t="s">
        <v>15</v>
      </c>
      <c r="B119" s="514" t="s">
        <v>19</v>
      </c>
      <c r="C119" s="8"/>
      <c r="D119" s="927" t="s">
        <v>78</v>
      </c>
      <c r="E119" s="928"/>
      <c r="F119" s="928"/>
      <c r="G119" s="929"/>
      <c r="H119" s="927" t="s">
        <v>77</v>
      </c>
      <c r="I119" s="928"/>
      <c r="J119" s="928"/>
      <c r="K119" s="929"/>
      <c r="L119" s="927" t="s">
        <v>81</v>
      </c>
      <c r="M119" s="928"/>
      <c r="N119" s="928"/>
      <c r="O119" s="929"/>
      <c r="P119" s="927" t="s">
        <v>254</v>
      </c>
      <c r="Q119" s="928"/>
      <c r="R119" s="928"/>
      <c r="S119" s="929"/>
      <c r="T119" s="1144" t="s">
        <v>908</v>
      </c>
      <c r="U119" s="1145"/>
      <c r="V119" s="1145"/>
      <c r="W119" s="1146"/>
      <c r="X119" s="16" t="s">
        <v>6</v>
      </c>
    </row>
    <row r="120" spans="1:24" ht="13.5" thickBot="1">
      <c r="A120" s="868" t="s">
        <v>61</v>
      </c>
      <c r="B120" s="868" t="s">
        <v>62</v>
      </c>
      <c r="C120" s="9" t="s">
        <v>235</v>
      </c>
      <c r="D120" s="942">
        <f>SUM('State DisAgg LFx10 (2014)'!D268:G272)/5</f>
        <v>1</v>
      </c>
      <c r="E120" s="943"/>
      <c r="F120" s="943"/>
      <c r="G120" s="944"/>
      <c r="H120" s="942">
        <f>SUM('State DisAgg LFx10 (2014)'!H268:K272)/5</f>
        <v>1.7</v>
      </c>
      <c r="I120" s="943"/>
      <c r="J120" s="943"/>
      <c r="K120" s="944"/>
      <c r="L120" s="942">
        <f>SUM('State DisAgg LFx10 (2014)'!L268:O272)/5</f>
        <v>2.4</v>
      </c>
      <c r="M120" s="943"/>
      <c r="N120" s="943"/>
      <c r="O120" s="944"/>
      <c r="P120" s="963">
        <f>SUM('State DisAgg LFx10 (2014)'!P268:S272)/5</f>
        <v>3.1399999999999997</v>
      </c>
      <c r="Q120" s="964"/>
      <c r="R120" s="964"/>
      <c r="S120" s="965"/>
      <c r="T120" s="963">
        <f>SUM('State DisAgg LFx10 (2014)'!T268:T272)/5</f>
        <v>3.4866666666666668</v>
      </c>
      <c r="U120" s="964"/>
      <c r="V120" s="964"/>
      <c r="W120" s="965"/>
      <c r="X120" s="879" t="s">
        <v>94</v>
      </c>
    </row>
    <row r="121" spans="1:24" ht="13.5" thickBot="1">
      <c r="A121" s="885"/>
      <c r="B121" s="885"/>
      <c r="C121" s="9" t="s">
        <v>233</v>
      </c>
      <c r="D121" s="966" t="s">
        <v>255</v>
      </c>
      <c r="E121" s="967"/>
      <c r="F121" s="967"/>
      <c r="G121" s="968"/>
      <c r="H121" s="942">
        <f>SUM('State DisAgg LFx10 (2014)'!H273:K275)/3</f>
        <v>1</v>
      </c>
      <c r="I121" s="943"/>
      <c r="J121" s="943"/>
      <c r="K121" s="944"/>
      <c r="L121" s="942">
        <f>SUM('State DisAgg LFx10 (2014)'!L273:O275)/3</f>
        <v>1</v>
      </c>
      <c r="M121" s="943"/>
      <c r="N121" s="943"/>
      <c r="O121" s="944"/>
      <c r="P121" s="963">
        <f>SUM('State DisAgg LFx10 (2014)'!P273:S275)/3</f>
        <v>1.4333333333333333</v>
      </c>
      <c r="Q121" s="964"/>
      <c r="R121" s="964"/>
      <c r="S121" s="965"/>
      <c r="T121" s="963">
        <f>SUM('State DisAgg LFx10 (2014)'!T273:T275)/3</f>
        <v>2.1888888888888887</v>
      </c>
      <c r="U121" s="964"/>
      <c r="V121" s="964"/>
      <c r="W121" s="965"/>
      <c r="X121" s="880"/>
    </row>
    <row r="122" spans="1:24" ht="12.95" customHeight="1" thickBot="1">
      <c r="A122" s="885"/>
      <c r="B122" s="885"/>
      <c r="C122" s="9" t="s">
        <v>234</v>
      </c>
      <c r="D122" s="957"/>
      <c r="E122" s="958"/>
      <c r="F122" s="958"/>
      <c r="G122" s="959"/>
      <c r="H122" s="1153"/>
      <c r="I122" s="1154"/>
      <c r="J122" s="1154"/>
      <c r="K122" s="1155"/>
      <c r="L122" s="1150" t="s">
        <v>909</v>
      </c>
      <c r="M122" s="1151"/>
      <c r="N122" s="1151"/>
      <c r="O122" s="1152"/>
      <c r="P122" s="963">
        <f>SUM('State DisAgg LFx10 (2014)'!P276:S277)/2</f>
        <v>1.05</v>
      </c>
      <c r="Q122" s="964"/>
      <c r="R122" s="964"/>
      <c r="S122" s="965"/>
      <c r="T122" s="963">
        <f>SUM('State DisAgg LFx10 (2014)'!T276:T277)/2</f>
        <v>1.05</v>
      </c>
      <c r="U122" s="964"/>
      <c r="V122" s="964"/>
      <c r="W122" s="965"/>
      <c r="X122" s="880"/>
    </row>
    <row r="123" spans="1:24" ht="13.5" thickBot="1">
      <c r="A123" s="885"/>
      <c r="B123" s="885"/>
      <c r="C123" s="102" t="s">
        <v>236</v>
      </c>
      <c r="D123" s="1008" t="s">
        <v>587</v>
      </c>
      <c r="E123" s="1009"/>
      <c r="F123" s="1009"/>
      <c r="G123" s="1010"/>
      <c r="H123" s="1147">
        <f>SUM('State DisAgg LFx10 (2014)'!H278:K282)/5</f>
        <v>1.2</v>
      </c>
      <c r="I123" s="1148"/>
      <c r="J123" s="1148"/>
      <c r="K123" s="1149"/>
      <c r="L123" s="1147">
        <f>SUM('State DisAgg LFx10 (2014)'!L278:O282)/5</f>
        <v>2.5</v>
      </c>
      <c r="M123" s="1148"/>
      <c r="N123" s="1148"/>
      <c r="O123" s="1149"/>
      <c r="P123" s="1147">
        <f>SUM('State DisAgg LFx10 (2014)'!P278:S282)/5</f>
        <v>3.2400000000000007</v>
      </c>
      <c r="Q123" s="1148"/>
      <c r="R123" s="1148"/>
      <c r="S123" s="1149"/>
      <c r="T123" s="1147">
        <f>SUM('State DisAgg LFx10 (2014)'!T278:T282)/5</f>
        <v>3.85</v>
      </c>
      <c r="U123" s="1148"/>
      <c r="V123" s="1148"/>
      <c r="W123" s="1149"/>
      <c r="X123" s="880"/>
    </row>
    <row r="124" spans="1:24" ht="13.5" thickBot="1">
      <c r="A124" s="885"/>
      <c r="B124" s="885"/>
      <c r="C124" s="102" t="s">
        <v>283</v>
      </c>
      <c r="D124" s="1017"/>
      <c r="E124" s="1018"/>
      <c r="F124" s="1018"/>
      <c r="G124" s="1019"/>
      <c r="H124" s="1017"/>
      <c r="I124" s="1018"/>
      <c r="J124" s="1018"/>
      <c r="K124" s="1019"/>
      <c r="L124" s="1147">
        <f>SUM('State DisAgg LFx10 (2014)'!L283:O285)/3</f>
        <v>1</v>
      </c>
      <c r="M124" s="1148"/>
      <c r="N124" s="1148"/>
      <c r="O124" s="1149"/>
      <c r="P124" s="1147">
        <f>SUM('State DisAgg LFx10 (2014)'!P283:S285)/3</f>
        <v>1.6666666666666667</v>
      </c>
      <c r="Q124" s="1148"/>
      <c r="R124" s="1148"/>
      <c r="S124" s="1149"/>
      <c r="T124" s="1147">
        <f>SUM('State DisAgg LFx10 (2014)'!T283:T285)/3</f>
        <v>3.3333333333333335</v>
      </c>
      <c r="U124" s="1148"/>
      <c r="V124" s="1148"/>
      <c r="W124" s="1149"/>
      <c r="X124" s="880"/>
    </row>
    <row r="125" spans="1:24" ht="13.5" thickBot="1">
      <c r="A125" s="885"/>
      <c r="B125" s="885"/>
      <c r="C125" s="102" t="s">
        <v>284</v>
      </c>
      <c r="D125" s="1017"/>
      <c r="E125" s="1018"/>
      <c r="F125" s="1018"/>
      <c r="G125" s="1019"/>
      <c r="H125" s="1017"/>
      <c r="I125" s="1018"/>
      <c r="J125" s="1018"/>
      <c r="K125" s="1019"/>
      <c r="L125" s="1017"/>
      <c r="M125" s="1018"/>
      <c r="N125" s="1018"/>
      <c r="O125" s="1019"/>
      <c r="P125" s="1147">
        <f>SUM('State DisAgg LFx10 (2014)'!P286:S287)/2</f>
        <v>0</v>
      </c>
      <c r="Q125" s="1148"/>
      <c r="R125" s="1148"/>
      <c r="S125" s="1149"/>
      <c r="T125" s="1147">
        <f>SUM('State DisAgg LFx10 (2014)'!T286:T287)/2</f>
        <v>1.05</v>
      </c>
      <c r="U125" s="1148"/>
      <c r="V125" s="1148"/>
      <c r="W125" s="1149"/>
      <c r="X125" s="880"/>
    </row>
    <row r="126" spans="1:24" ht="13.5" thickBot="1">
      <c r="A126" s="885"/>
      <c r="B126" s="885"/>
      <c r="C126" s="1142" t="s">
        <v>413</v>
      </c>
      <c r="D126" s="927" t="s">
        <v>4</v>
      </c>
      <c r="E126" s="928"/>
      <c r="F126" s="928"/>
      <c r="G126" s="928"/>
      <c r="H126" s="928"/>
      <c r="I126" s="928"/>
      <c r="J126" s="928"/>
      <c r="K126" s="928"/>
      <c r="L126" s="928"/>
      <c r="M126" s="928"/>
      <c r="N126" s="928"/>
      <c r="O126" s="928"/>
      <c r="P126" s="928"/>
      <c r="Q126" s="928"/>
      <c r="R126" s="928"/>
      <c r="S126" s="928"/>
      <c r="T126" s="928"/>
      <c r="U126" s="928"/>
      <c r="V126" s="928"/>
      <c r="W126" s="929"/>
      <c r="X126" s="880"/>
    </row>
    <row r="127" spans="1:24" ht="24" customHeight="1" thickBot="1">
      <c r="A127" s="885"/>
      <c r="B127" s="869"/>
      <c r="C127" s="1143"/>
      <c r="D127" s="930" t="s">
        <v>120</v>
      </c>
      <c r="E127" s="931"/>
      <c r="F127" s="931"/>
      <c r="G127" s="931"/>
      <c r="H127" s="931"/>
      <c r="I127" s="931"/>
      <c r="J127" s="931"/>
      <c r="K127" s="931"/>
      <c r="L127" s="931"/>
      <c r="M127" s="931"/>
      <c r="N127" s="931"/>
      <c r="O127" s="931"/>
      <c r="P127" s="931"/>
      <c r="Q127" s="931"/>
      <c r="R127" s="931"/>
      <c r="S127" s="931"/>
      <c r="T127" s="931"/>
      <c r="U127" s="931"/>
      <c r="V127" s="931"/>
      <c r="W127" s="932"/>
      <c r="X127" s="880"/>
    </row>
    <row r="128" spans="1:24" ht="12.95" customHeight="1" thickBot="1">
      <c r="A128" s="885"/>
      <c r="B128" s="11" t="s">
        <v>20</v>
      </c>
      <c r="C128" s="12"/>
      <c r="D128" s="927" t="s">
        <v>78</v>
      </c>
      <c r="E128" s="928"/>
      <c r="F128" s="928"/>
      <c r="G128" s="929"/>
      <c r="H128" s="927" t="s">
        <v>77</v>
      </c>
      <c r="I128" s="928"/>
      <c r="J128" s="928"/>
      <c r="K128" s="929"/>
      <c r="L128" s="927" t="s">
        <v>81</v>
      </c>
      <c r="M128" s="928"/>
      <c r="N128" s="928"/>
      <c r="O128" s="929"/>
      <c r="P128" s="927" t="s">
        <v>254</v>
      </c>
      <c r="Q128" s="928"/>
      <c r="R128" s="928"/>
      <c r="S128" s="929"/>
      <c r="T128" s="1144" t="s">
        <v>908</v>
      </c>
      <c r="U128" s="1145"/>
      <c r="V128" s="1145"/>
      <c r="W128" s="1146"/>
      <c r="X128" s="880"/>
    </row>
    <row r="129" spans="1:24" ht="13.5" thickBot="1">
      <c r="A129" s="885"/>
      <c r="B129" s="868" t="s">
        <v>59</v>
      </c>
      <c r="C129" s="9" t="s">
        <v>235</v>
      </c>
      <c r="D129" s="942">
        <f>SUM('State DisAgg LFx10 (2014)'!D291:G295)/5</f>
        <v>1</v>
      </c>
      <c r="E129" s="943"/>
      <c r="F129" s="943"/>
      <c r="G129" s="944"/>
      <c r="H129" s="942">
        <f>SUM('State DisAgg LFx10 (2014)'!H291:K295)/5</f>
        <v>1.64</v>
      </c>
      <c r="I129" s="943"/>
      <c r="J129" s="943"/>
      <c r="K129" s="944"/>
      <c r="L129" s="942">
        <f>SUM('State DisAgg LFx10 (2014)'!L291:O295)/5</f>
        <v>2.5</v>
      </c>
      <c r="M129" s="943"/>
      <c r="N129" s="943"/>
      <c r="O129" s="944"/>
      <c r="P129" s="963">
        <f>SUM('State DisAgg LFx10 (2014)'!P291:S295)/5</f>
        <v>3.3</v>
      </c>
      <c r="Q129" s="964"/>
      <c r="R129" s="964"/>
      <c r="S129" s="965"/>
      <c r="T129" s="963">
        <f>SUM('State DisAgg LFx10 (2014)'!T291:T295)/5</f>
        <v>3.6266666666666665</v>
      </c>
      <c r="U129" s="964"/>
      <c r="V129" s="964"/>
      <c r="W129" s="965"/>
      <c r="X129" s="880"/>
    </row>
    <row r="130" spans="1:24" ht="13.5" thickBot="1">
      <c r="A130" s="885"/>
      <c r="B130" s="885"/>
      <c r="C130" s="9" t="s">
        <v>233</v>
      </c>
      <c r="D130" s="966" t="s">
        <v>255</v>
      </c>
      <c r="E130" s="967"/>
      <c r="F130" s="967"/>
      <c r="G130" s="968"/>
      <c r="H130" s="942">
        <f>SUM('State DisAgg LFx10 (2014)'!H296:K298)/3</f>
        <v>1</v>
      </c>
      <c r="I130" s="943"/>
      <c r="J130" s="943"/>
      <c r="K130" s="944"/>
      <c r="L130" s="942">
        <f>SUM('State DisAgg LFx10 (2014)'!L296:O298)/3</f>
        <v>1</v>
      </c>
      <c r="M130" s="943"/>
      <c r="N130" s="943"/>
      <c r="O130" s="944"/>
      <c r="P130" s="963">
        <f>SUM('State DisAgg LFx10 (2014)'!P296:S298)/3</f>
        <v>1.3</v>
      </c>
      <c r="Q130" s="964"/>
      <c r="R130" s="964"/>
      <c r="S130" s="965"/>
      <c r="T130" s="963">
        <f>SUM('State DisAgg LFx10 (2014)'!T296:T298)/3</f>
        <v>2.0555555555555554</v>
      </c>
      <c r="U130" s="964"/>
      <c r="V130" s="964"/>
      <c r="W130" s="965"/>
      <c r="X130" s="880"/>
    </row>
    <row r="131" spans="1:24" ht="12.95" customHeight="1" thickBot="1">
      <c r="A131" s="885"/>
      <c r="B131" s="885"/>
      <c r="C131" s="9" t="s">
        <v>234</v>
      </c>
      <c r="D131" s="957"/>
      <c r="E131" s="958"/>
      <c r="F131" s="958"/>
      <c r="G131" s="959"/>
      <c r="H131" s="1153"/>
      <c r="I131" s="1154"/>
      <c r="J131" s="1154"/>
      <c r="K131" s="1155"/>
      <c r="L131" s="1150" t="s">
        <v>909</v>
      </c>
      <c r="M131" s="1151"/>
      <c r="N131" s="1151"/>
      <c r="O131" s="1152"/>
      <c r="P131" s="963">
        <f>SUM('State DisAgg LFx10 (2014)'!P299:S300)/2</f>
        <v>1</v>
      </c>
      <c r="Q131" s="964"/>
      <c r="R131" s="964"/>
      <c r="S131" s="965"/>
      <c r="T131" s="963">
        <f>SUM('State DisAgg LFx10 (2014)'!T299:T300)/2</f>
        <v>1</v>
      </c>
      <c r="U131" s="964"/>
      <c r="V131" s="964"/>
      <c r="W131" s="965"/>
      <c r="X131" s="880"/>
    </row>
    <row r="132" spans="1:24" ht="13.5" thickBot="1">
      <c r="A132" s="885"/>
      <c r="B132" s="885"/>
      <c r="C132" s="102" t="s">
        <v>236</v>
      </c>
      <c r="D132" s="1008" t="s">
        <v>588</v>
      </c>
      <c r="E132" s="1009"/>
      <c r="F132" s="1009"/>
      <c r="G132" s="1010"/>
      <c r="H132" s="1147">
        <f>SUM('State DisAgg LFx10 (2014)'!H301:K305)/5</f>
        <v>0.9</v>
      </c>
      <c r="I132" s="1148"/>
      <c r="J132" s="1148"/>
      <c r="K132" s="1149"/>
      <c r="L132" s="1147">
        <f>SUM('State DisAgg LFx10 (2014)'!L301:O305)/5</f>
        <v>2.9</v>
      </c>
      <c r="M132" s="1148"/>
      <c r="N132" s="1148"/>
      <c r="O132" s="1149"/>
      <c r="P132" s="1147">
        <f>SUM('State DisAgg LFx10 (2014)'!P301:S305)/5</f>
        <v>3.3599999999999994</v>
      </c>
      <c r="Q132" s="1148"/>
      <c r="R132" s="1148"/>
      <c r="S132" s="1149"/>
      <c r="T132" s="1147">
        <f>SUM('State DisAgg LFx10 (2014)'!T301:T305)/5</f>
        <v>3.8</v>
      </c>
      <c r="U132" s="1148"/>
      <c r="V132" s="1148"/>
      <c r="W132" s="1149"/>
      <c r="X132" s="880"/>
    </row>
    <row r="133" spans="1:24" ht="13.5" thickBot="1">
      <c r="A133" s="885"/>
      <c r="B133" s="885"/>
      <c r="C133" s="102" t="s">
        <v>283</v>
      </c>
      <c r="D133" s="1017"/>
      <c r="E133" s="1018"/>
      <c r="F133" s="1018"/>
      <c r="G133" s="1019"/>
      <c r="H133" s="1017"/>
      <c r="I133" s="1018"/>
      <c r="J133" s="1018"/>
      <c r="K133" s="1019"/>
      <c r="L133" s="1147">
        <f>SUM('State DisAgg LFx10 (2014)'!L306:O308)/3</f>
        <v>1</v>
      </c>
      <c r="M133" s="1148"/>
      <c r="N133" s="1148"/>
      <c r="O133" s="1149"/>
      <c r="P133" s="1147">
        <f>SUM('State DisAgg LFx10 (2014)'!P306:S308)/3</f>
        <v>2.6666666666666665</v>
      </c>
      <c r="Q133" s="1148"/>
      <c r="R133" s="1148"/>
      <c r="S133" s="1149"/>
      <c r="T133" s="1147">
        <f>SUM('State DisAgg LFx10 (2014)'!T306:T308)/3</f>
        <v>3</v>
      </c>
      <c r="U133" s="1148"/>
      <c r="V133" s="1148"/>
      <c r="W133" s="1149"/>
      <c r="X133" s="880"/>
    </row>
    <row r="134" spans="1:24" ht="13.5" thickBot="1">
      <c r="A134" s="885"/>
      <c r="B134" s="885"/>
      <c r="C134" s="102" t="s">
        <v>284</v>
      </c>
      <c r="D134" s="1017"/>
      <c r="E134" s="1018"/>
      <c r="F134" s="1018"/>
      <c r="G134" s="1019"/>
      <c r="H134" s="1017"/>
      <c r="I134" s="1018"/>
      <c r="J134" s="1018"/>
      <c r="K134" s="1019"/>
      <c r="L134" s="1017"/>
      <c r="M134" s="1018"/>
      <c r="N134" s="1018"/>
      <c r="O134" s="1019"/>
      <c r="P134" s="1147">
        <f>SUM('State DisAgg LFx10 (2014)'!P309:S310)/2</f>
        <v>0</v>
      </c>
      <c r="Q134" s="1148"/>
      <c r="R134" s="1148"/>
      <c r="S134" s="1149"/>
      <c r="T134" s="1147">
        <f>SUM('State DisAgg LFx10 (2014)'!T309:T310)/2</f>
        <v>1</v>
      </c>
      <c r="U134" s="1148"/>
      <c r="V134" s="1148"/>
      <c r="W134" s="1149"/>
      <c r="X134" s="880"/>
    </row>
    <row r="135" spans="1:24" ht="13.5" thickBot="1">
      <c r="A135" s="885"/>
      <c r="B135" s="885"/>
      <c r="C135" s="1142" t="s">
        <v>413</v>
      </c>
      <c r="D135" s="927" t="s">
        <v>4</v>
      </c>
      <c r="E135" s="928"/>
      <c r="F135" s="928"/>
      <c r="G135" s="928"/>
      <c r="H135" s="928"/>
      <c r="I135" s="928"/>
      <c r="J135" s="928"/>
      <c r="K135" s="928"/>
      <c r="L135" s="928"/>
      <c r="M135" s="928"/>
      <c r="N135" s="928"/>
      <c r="O135" s="928"/>
      <c r="P135" s="928"/>
      <c r="Q135" s="928"/>
      <c r="R135" s="928"/>
      <c r="S135" s="928"/>
      <c r="T135" s="928"/>
      <c r="U135" s="928"/>
      <c r="V135" s="928"/>
      <c r="W135" s="929"/>
      <c r="X135" s="880"/>
    </row>
    <row r="136" spans="1:24" ht="13.5" thickBot="1">
      <c r="A136" s="885"/>
      <c r="B136" s="869"/>
      <c r="C136" s="1143"/>
      <c r="D136" s="930" t="s">
        <v>118</v>
      </c>
      <c r="E136" s="931"/>
      <c r="F136" s="931"/>
      <c r="G136" s="931"/>
      <c r="H136" s="931"/>
      <c r="I136" s="931"/>
      <c r="J136" s="931"/>
      <c r="K136" s="931"/>
      <c r="L136" s="931"/>
      <c r="M136" s="931"/>
      <c r="N136" s="931"/>
      <c r="O136" s="931"/>
      <c r="P136" s="931"/>
      <c r="Q136" s="931"/>
      <c r="R136" s="931"/>
      <c r="S136" s="931"/>
      <c r="T136" s="931"/>
      <c r="U136" s="931"/>
      <c r="V136" s="931"/>
      <c r="W136" s="932"/>
      <c r="X136" s="880"/>
    </row>
    <row r="137" spans="1:24" ht="12.95" customHeight="1" thickBot="1">
      <c r="A137" s="885"/>
      <c r="B137" s="11" t="s">
        <v>21</v>
      </c>
      <c r="C137" s="12"/>
      <c r="D137" s="927" t="s">
        <v>78</v>
      </c>
      <c r="E137" s="928"/>
      <c r="F137" s="928"/>
      <c r="G137" s="929"/>
      <c r="H137" s="927" t="s">
        <v>77</v>
      </c>
      <c r="I137" s="928"/>
      <c r="J137" s="928"/>
      <c r="K137" s="929"/>
      <c r="L137" s="927" t="s">
        <v>81</v>
      </c>
      <c r="M137" s="928"/>
      <c r="N137" s="928"/>
      <c r="O137" s="929"/>
      <c r="P137" s="927" t="s">
        <v>254</v>
      </c>
      <c r="Q137" s="928"/>
      <c r="R137" s="928"/>
      <c r="S137" s="929"/>
      <c r="T137" s="1144" t="s">
        <v>908</v>
      </c>
      <c r="U137" s="1145"/>
      <c r="V137" s="1145"/>
      <c r="W137" s="1146"/>
      <c r="X137" s="880"/>
    </row>
    <row r="138" spans="1:24" ht="13.5" thickBot="1">
      <c r="A138" s="885"/>
      <c r="B138" s="868" t="s">
        <v>63</v>
      </c>
      <c r="C138" s="9" t="s">
        <v>247</v>
      </c>
      <c r="D138" s="924">
        <f>SUM('State DisAgg LFx10 (2014)'!D314:G318)</f>
        <v>0</v>
      </c>
      <c r="E138" s="925"/>
      <c r="F138" s="925"/>
      <c r="G138" s="926"/>
      <c r="H138" s="924">
        <f>SUM('State DisAgg LFx10 (2014)'!H314:K321)</f>
        <v>7</v>
      </c>
      <c r="I138" s="925"/>
      <c r="J138" s="925"/>
      <c r="K138" s="926"/>
      <c r="L138" s="924">
        <f>SUM('State DisAgg LFx10 (2014)'!L314:O323)</f>
        <v>14</v>
      </c>
      <c r="M138" s="925"/>
      <c r="N138" s="925"/>
      <c r="O138" s="926"/>
      <c r="P138" s="939">
        <f>SUM('State DisAgg LFx10 (2014)'!P314:S323)</f>
        <v>25</v>
      </c>
      <c r="Q138" s="940"/>
      <c r="R138" s="940"/>
      <c r="S138" s="941"/>
      <c r="T138" s="939">
        <f>SUM('State DisAgg LFx10 (2014)'!T314:T323)</f>
        <v>36.333333333333336</v>
      </c>
      <c r="U138" s="940"/>
      <c r="V138" s="940"/>
      <c r="W138" s="941"/>
      <c r="X138" s="880"/>
    </row>
    <row r="139" spans="1:24" ht="13.5" thickBot="1">
      <c r="A139" s="869"/>
      <c r="B139" s="885"/>
      <c r="C139" s="102" t="s">
        <v>246</v>
      </c>
      <c r="D139" s="1003" t="s">
        <v>172</v>
      </c>
      <c r="E139" s="1004"/>
      <c r="F139" s="1004"/>
      <c r="G139" s="1005"/>
      <c r="H139" s="1003" t="s">
        <v>417</v>
      </c>
      <c r="I139" s="1004"/>
      <c r="J139" s="1004"/>
      <c r="K139" s="1005"/>
      <c r="L139" s="1140">
        <f>SUM('State DisAgg LFx10 (2014)'!L324:O331)</f>
        <v>16</v>
      </c>
      <c r="M139" s="1156"/>
      <c r="N139" s="1156"/>
      <c r="O139" s="1141"/>
      <c r="P139" s="1140">
        <f>SUM('State DisAgg LFx10 (2014)'!P324:S333)</f>
        <v>39</v>
      </c>
      <c r="Q139" s="1156"/>
      <c r="R139" s="1156"/>
      <c r="S139" s="1141"/>
      <c r="T139" s="1140">
        <f>SUM('State DisAgg LFx10 (2014)'!T324:T333)</f>
        <v>59</v>
      </c>
      <c r="U139" s="1156"/>
      <c r="V139" s="1156"/>
      <c r="W139" s="1141"/>
      <c r="X139" s="881"/>
    </row>
    <row r="140" spans="1:24" ht="13.5" thickBot="1">
      <c r="A140" s="507" t="s">
        <v>13</v>
      </c>
      <c r="B140" s="885"/>
      <c r="C140" s="1142" t="s">
        <v>413</v>
      </c>
      <c r="D140" s="927" t="s">
        <v>4</v>
      </c>
      <c r="E140" s="928"/>
      <c r="F140" s="928"/>
      <c r="G140" s="928"/>
      <c r="H140" s="928"/>
      <c r="I140" s="928"/>
      <c r="J140" s="928"/>
      <c r="K140" s="928"/>
      <c r="L140" s="928"/>
      <c r="M140" s="928"/>
      <c r="N140" s="928"/>
      <c r="O140" s="928"/>
      <c r="P140" s="928"/>
      <c r="Q140" s="928"/>
      <c r="R140" s="928"/>
      <c r="S140" s="928"/>
      <c r="T140" s="928"/>
      <c r="U140" s="928"/>
      <c r="V140" s="928"/>
      <c r="W140" s="929"/>
      <c r="X140" s="24" t="s">
        <v>14</v>
      </c>
    </row>
    <row r="141" spans="1:24" ht="13.5" thickBot="1">
      <c r="A141" s="25" t="s">
        <v>75</v>
      </c>
      <c r="B141" s="869"/>
      <c r="C141" s="1143"/>
      <c r="D141" s="930" t="s">
        <v>119</v>
      </c>
      <c r="E141" s="931"/>
      <c r="F141" s="931"/>
      <c r="G141" s="931"/>
      <c r="H141" s="931"/>
      <c r="I141" s="931"/>
      <c r="J141" s="931"/>
      <c r="K141" s="931"/>
      <c r="L141" s="931"/>
      <c r="M141" s="931"/>
      <c r="N141" s="931"/>
      <c r="O141" s="931"/>
      <c r="P141" s="931"/>
      <c r="Q141" s="931"/>
      <c r="R141" s="931"/>
      <c r="S141" s="931"/>
      <c r="T141" s="931"/>
      <c r="U141" s="931"/>
      <c r="V141" s="931"/>
      <c r="W141" s="932"/>
      <c r="X141" s="18" t="s">
        <v>93</v>
      </c>
    </row>
    <row r="142" spans="1:24" ht="13.5" thickBot="1">
      <c r="A142" s="906" t="s">
        <v>7</v>
      </c>
      <c r="B142" s="908" t="s">
        <v>173</v>
      </c>
      <c r="C142" s="918"/>
      <c r="D142" s="908" t="s">
        <v>8</v>
      </c>
      <c r="E142" s="918"/>
      <c r="F142" s="918"/>
      <c r="G142" s="909"/>
      <c r="H142" s="908" t="s">
        <v>88</v>
      </c>
      <c r="I142" s="918"/>
      <c r="J142" s="918"/>
      <c r="K142" s="909"/>
      <c r="L142" s="908" t="s">
        <v>89</v>
      </c>
      <c r="M142" s="918"/>
      <c r="N142" s="918"/>
      <c r="O142" s="909"/>
      <c r="P142" s="908" t="s">
        <v>9</v>
      </c>
      <c r="Q142" s="918"/>
      <c r="R142" s="918"/>
      <c r="S142" s="909"/>
      <c r="T142" s="908" t="s">
        <v>174</v>
      </c>
      <c r="U142" s="918"/>
      <c r="V142" s="918"/>
      <c r="W142" s="918"/>
      <c r="X142" s="909"/>
    </row>
    <row r="143" spans="1:24" ht="13.5" thickBot="1">
      <c r="A143" s="907"/>
      <c r="B143" s="919">
        <v>6200000</v>
      </c>
      <c r="C143" s="921"/>
      <c r="D143" s="919">
        <v>1200000</v>
      </c>
      <c r="E143" s="921"/>
      <c r="F143" s="921"/>
      <c r="G143" s="920"/>
      <c r="H143" s="919">
        <v>2500000</v>
      </c>
      <c r="I143" s="921"/>
      <c r="J143" s="921"/>
      <c r="K143" s="920"/>
      <c r="L143" s="919">
        <v>2800000</v>
      </c>
      <c r="M143" s="921"/>
      <c r="N143" s="921"/>
      <c r="O143" s="920"/>
      <c r="P143" s="919">
        <f>SUM(B143:O143)</f>
        <v>12700000</v>
      </c>
      <c r="Q143" s="921"/>
      <c r="R143" s="921"/>
      <c r="S143" s="920"/>
      <c r="T143" s="942">
        <f>B143/P143%</f>
        <v>48.818897637795274</v>
      </c>
      <c r="U143" s="943"/>
      <c r="V143" s="943"/>
      <c r="W143" s="943"/>
      <c r="X143" s="944"/>
    </row>
    <row r="144" spans="1:24" ht="13.5" thickBot="1">
      <c r="A144" s="906" t="s">
        <v>10</v>
      </c>
      <c r="B144" s="908" t="s">
        <v>175</v>
      </c>
      <c r="C144" s="918"/>
      <c r="D144" s="910"/>
      <c r="E144" s="911"/>
      <c r="F144" s="911"/>
      <c r="G144" s="911"/>
      <c r="H144" s="911"/>
      <c r="I144" s="911"/>
      <c r="J144" s="911"/>
      <c r="K144" s="911"/>
      <c r="L144" s="911"/>
      <c r="M144" s="911"/>
      <c r="N144" s="911"/>
      <c r="O144" s="911"/>
      <c r="P144" s="911"/>
      <c r="Q144" s="911"/>
      <c r="R144" s="911"/>
      <c r="S144" s="911"/>
      <c r="T144" s="911"/>
      <c r="U144" s="911"/>
      <c r="V144" s="911"/>
      <c r="W144" s="911"/>
      <c r="X144" s="912"/>
    </row>
    <row r="145" spans="1:24" ht="13.5" thickBot="1">
      <c r="A145" s="907"/>
      <c r="B145" s="916"/>
      <c r="C145" s="994"/>
      <c r="D145" s="913"/>
      <c r="E145" s="914"/>
      <c r="F145" s="914"/>
      <c r="G145" s="914"/>
      <c r="H145" s="914"/>
      <c r="I145" s="914"/>
      <c r="J145" s="914"/>
      <c r="K145" s="914"/>
      <c r="L145" s="914"/>
      <c r="M145" s="914"/>
      <c r="N145" s="914"/>
      <c r="O145" s="914"/>
      <c r="P145" s="914"/>
      <c r="Q145" s="914"/>
      <c r="R145" s="914"/>
      <c r="S145" s="914"/>
      <c r="T145" s="914"/>
      <c r="U145" s="914"/>
      <c r="V145" s="914"/>
      <c r="W145" s="914"/>
      <c r="X145" s="915"/>
    </row>
    <row r="147" spans="1:24" ht="13.5" thickBot="1"/>
    <row r="148" spans="1:24" ht="12.95" customHeight="1" thickBot="1">
      <c r="A148" s="506" t="s">
        <v>26</v>
      </c>
      <c r="B148" s="514" t="s">
        <v>29</v>
      </c>
      <c r="C148" s="8"/>
      <c r="D148" s="927" t="s">
        <v>78</v>
      </c>
      <c r="E148" s="928"/>
      <c r="F148" s="928"/>
      <c r="G148" s="929"/>
      <c r="H148" s="927" t="s">
        <v>77</v>
      </c>
      <c r="I148" s="928"/>
      <c r="J148" s="928"/>
      <c r="K148" s="929"/>
      <c r="L148" s="927" t="s">
        <v>81</v>
      </c>
      <c r="M148" s="928"/>
      <c r="N148" s="928"/>
      <c r="O148" s="929"/>
      <c r="P148" s="927" t="s">
        <v>254</v>
      </c>
      <c r="Q148" s="928"/>
      <c r="R148" s="928"/>
      <c r="S148" s="929"/>
      <c r="T148" s="1144" t="s">
        <v>908</v>
      </c>
      <c r="U148" s="1145"/>
      <c r="V148" s="1145"/>
      <c r="W148" s="1146"/>
      <c r="X148" s="16" t="s">
        <v>12</v>
      </c>
    </row>
    <row r="149" spans="1:24" ht="54.95" customHeight="1" thickBot="1">
      <c r="A149" s="868" t="s">
        <v>64</v>
      </c>
      <c r="B149" s="868" t="s">
        <v>156</v>
      </c>
      <c r="C149" s="9"/>
      <c r="D149" s="17" t="s">
        <v>101</v>
      </c>
      <c r="E149" s="17" t="s">
        <v>104</v>
      </c>
      <c r="F149" s="17" t="s">
        <v>102</v>
      </c>
      <c r="G149" s="17" t="s">
        <v>103</v>
      </c>
      <c r="H149" s="17" t="s">
        <v>101</v>
      </c>
      <c r="I149" s="17" t="s">
        <v>104</v>
      </c>
      <c r="J149" s="17" t="s">
        <v>102</v>
      </c>
      <c r="K149" s="17" t="s">
        <v>103</v>
      </c>
      <c r="L149" s="17" t="s">
        <v>101</v>
      </c>
      <c r="M149" s="17" t="s">
        <v>104</v>
      </c>
      <c r="N149" s="17" t="s">
        <v>102</v>
      </c>
      <c r="O149" s="17" t="s">
        <v>103</v>
      </c>
      <c r="P149" s="17" t="s">
        <v>101</v>
      </c>
      <c r="Q149" s="17" t="s">
        <v>104</v>
      </c>
      <c r="R149" s="17" t="s">
        <v>102</v>
      </c>
      <c r="S149" s="17" t="s">
        <v>103</v>
      </c>
      <c r="T149" s="17" t="s">
        <v>101</v>
      </c>
      <c r="U149" s="17" t="s">
        <v>104</v>
      </c>
      <c r="V149" s="17" t="s">
        <v>102</v>
      </c>
      <c r="W149" s="17" t="s">
        <v>103</v>
      </c>
      <c r="X149" s="879" t="s">
        <v>98</v>
      </c>
    </row>
    <row r="150" spans="1:24" ht="13.5" thickBot="1">
      <c r="A150" s="885"/>
      <c r="B150" s="885"/>
      <c r="C150" s="9" t="s">
        <v>247</v>
      </c>
      <c r="D150" s="104">
        <f>SUM('State DisAgg LFx10 (2014)'!D344:D348)</f>
        <v>2</v>
      </c>
      <c r="E150" s="104">
        <f>SUM('State DisAgg LFx10 (2014)'!E344:E348)</f>
        <v>0</v>
      </c>
      <c r="F150" s="104">
        <f>SUM('State DisAgg LFx10 (2014)'!F344:F348)</f>
        <v>0</v>
      </c>
      <c r="G150" s="104">
        <f>SUM('State DisAgg LFx10 (2014)'!G344:G348)</f>
        <v>0</v>
      </c>
      <c r="H150" s="104">
        <f>SUM('State DisAgg LFx10 (2014)'!H344:H351)</f>
        <v>30</v>
      </c>
      <c r="I150" s="104">
        <f>SUM('State DisAgg LFx10 (2014)'!I344:I351)</f>
        <v>13</v>
      </c>
      <c r="J150" s="104">
        <f>SUM('State DisAgg LFx10 (2014)'!J344:J351)</f>
        <v>7</v>
      </c>
      <c r="K150" s="104">
        <f>SUM('State DisAgg LFx10 (2014)'!K344:K351)</f>
        <v>3</v>
      </c>
      <c r="L150" s="104">
        <f>SUM('State DisAgg LFx10 (2014)'!L344:L353)</f>
        <v>48</v>
      </c>
      <c r="M150" s="104">
        <f>SUM('State DisAgg LFx10 (2014)'!M344:M353)</f>
        <v>25</v>
      </c>
      <c r="N150" s="104">
        <f>SUM('State DisAgg LFx10 (2014)'!N344:N353)</f>
        <v>17</v>
      </c>
      <c r="O150" s="104">
        <f>SUM('State DisAgg LFx10 (2014)'!O344:O353)</f>
        <v>8</v>
      </c>
      <c r="P150" s="104">
        <f>SUM('State DisAgg LFx10 (2014)'!P344:P353)</f>
        <v>55</v>
      </c>
      <c r="Q150" s="104">
        <f>SUM('State DisAgg LFx10 (2014)'!Q344:Q353)</f>
        <v>34</v>
      </c>
      <c r="R150" s="104">
        <f>SUM('State DisAgg LFx10 (2014)'!R344:R353)</f>
        <v>26</v>
      </c>
      <c r="S150" s="104">
        <f>SUM('State DisAgg LFx10 (2014)'!S344:S353)</f>
        <v>15</v>
      </c>
      <c r="T150" s="150">
        <f>SUM('State DisAgg LFx10 (2014)'!T344:T353)</f>
        <v>67.666666666666686</v>
      </c>
      <c r="U150" s="104">
        <f>SUM('State DisAgg LFx10 (2014)'!U344:U353)</f>
        <v>45.333333333333336</v>
      </c>
      <c r="V150" s="104">
        <f>SUM('State DisAgg LFx10 (2014)'!V344:V353)</f>
        <v>36.666666666666664</v>
      </c>
      <c r="W150" s="104">
        <f>SUM('State DisAgg LFx10 (2014)'!W344:W353)</f>
        <v>23.666666666666664</v>
      </c>
      <c r="X150" s="880"/>
    </row>
    <row r="151" spans="1:24" ht="13.5" thickBot="1">
      <c r="A151" s="885"/>
      <c r="B151" s="501" t="s">
        <v>151</v>
      </c>
      <c r="C151" s="102" t="s">
        <v>246</v>
      </c>
      <c r="D151" s="1042" t="s">
        <v>592</v>
      </c>
      <c r="E151" s="1043"/>
      <c r="F151" s="1043"/>
      <c r="G151" s="1044"/>
      <c r="H151" s="105">
        <f>SUM('State DisAgg LFx10 (2014)'!H354:H358)</f>
        <v>11</v>
      </c>
      <c r="I151" s="105">
        <f>SUM('State DisAgg LFx10 (2014)'!I354:I358)</f>
        <v>7</v>
      </c>
      <c r="J151" s="105">
        <f>SUM('State DisAgg LFx10 (2014)'!J354:J358)</f>
        <v>6</v>
      </c>
      <c r="K151" s="105">
        <f>SUM('State DisAgg LFx10 (2014)'!K354:K358)</f>
        <v>4</v>
      </c>
      <c r="L151" s="105">
        <f>SUM('State DisAgg LFx10 (2014)'!L354:L361)</f>
        <v>29</v>
      </c>
      <c r="M151" s="105">
        <f>SUM('State DisAgg LFx10 (2014)'!M354:M361)</f>
        <v>22</v>
      </c>
      <c r="N151" s="105">
        <f>SUM('State DisAgg LFx10 (2014)'!N354:N361)</f>
        <v>16</v>
      </c>
      <c r="O151" s="105">
        <f>SUM('State DisAgg LFx10 (2014)'!O354:O361)</f>
        <v>10</v>
      </c>
      <c r="P151" s="105">
        <f>SUM('State DisAgg LFx10 (2014)'!P354:P363)</f>
        <v>66</v>
      </c>
      <c r="Q151" s="105">
        <f>SUM('State DisAgg LFx10 (2014)'!Q354:Q363)</f>
        <v>46</v>
      </c>
      <c r="R151" s="105">
        <f>SUM('State DisAgg LFx10 (2014)'!R354:R363)</f>
        <v>30</v>
      </c>
      <c r="S151" s="105">
        <f>SUM('State DisAgg LFx10 (2014)'!S354:S363)</f>
        <v>10</v>
      </c>
      <c r="T151" s="105">
        <f>SUM('State DisAgg LFx10 (2014)'!T354:T363)</f>
        <v>80</v>
      </c>
      <c r="U151" s="105">
        <f>SUM('State DisAgg LFx10 (2014)'!U354:U363)</f>
        <v>71</v>
      </c>
      <c r="V151" s="105">
        <f>SUM('State DisAgg LFx10 (2014)'!V354:V363)</f>
        <v>50</v>
      </c>
      <c r="W151" s="105">
        <f>SUM('State DisAgg LFx10 (2014)'!W354:W363)</f>
        <v>11</v>
      </c>
      <c r="X151" s="880"/>
    </row>
    <row r="152" spans="1:24" ht="13.5" thickBot="1">
      <c r="A152" s="885"/>
      <c r="B152" s="501" t="s">
        <v>150</v>
      </c>
      <c r="C152" s="1142" t="s">
        <v>413</v>
      </c>
      <c r="D152" s="927" t="s">
        <v>4</v>
      </c>
      <c r="E152" s="928"/>
      <c r="F152" s="928"/>
      <c r="G152" s="928"/>
      <c r="H152" s="928"/>
      <c r="I152" s="928"/>
      <c r="J152" s="928"/>
      <c r="K152" s="928"/>
      <c r="L152" s="928"/>
      <c r="M152" s="928"/>
      <c r="N152" s="928"/>
      <c r="O152" s="928"/>
      <c r="P152" s="928"/>
      <c r="Q152" s="928"/>
      <c r="R152" s="928"/>
      <c r="S152" s="928"/>
      <c r="T152" s="928"/>
      <c r="U152" s="928"/>
      <c r="V152" s="928"/>
      <c r="W152" s="929"/>
      <c r="X152" s="880"/>
    </row>
    <row r="153" spans="1:24" ht="24.75" thickBot="1">
      <c r="A153" s="885"/>
      <c r="B153" s="502" t="s">
        <v>149</v>
      </c>
      <c r="C153" s="1143"/>
      <c r="D153" s="930" t="s">
        <v>420</v>
      </c>
      <c r="E153" s="931"/>
      <c r="F153" s="931"/>
      <c r="G153" s="931"/>
      <c r="H153" s="931"/>
      <c r="I153" s="931"/>
      <c r="J153" s="931"/>
      <c r="K153" s="931"/>
      <c r="L153" s="931"/>
      <c r="M153" s="931"/>
      <c r="N153" s="931"/>
      <c r="O153" s="931"/>
      <c r="P153" s="931"/>
      <c r="Q153" s="931"/>
      <c r="R153" s="931"/>
      <c r="S153" s="931"/>
      <c r="T153" s="931"/>
      <c r="U153" s="931"/>
      <c r="V153" s="931"/>
      <c r="W153" s="932"/>
      <c r="X153" s="880"/>
    </row>
    <row r="154" spans="1:24" ht="12.95" customHeight="1" thickBot="1">
      <c r="A154" s="885"/>
      <c r="B154" s="11" t="s">
        <v>30</v>
      </c>
      <c r="C154" s="12"/>
      <c r="D154" s="927" t="s">
        <v>78</v>
      </c>
      <c r="E154" s="928"/>
      <c r="F154" s="928"/>
      <c r="G154" s="929"/>
      <c r="H154" s="927" t="s">
        <v>77</v>
      </c>
      <c r="I154" s="928"/>
      <c r="J154" s="928"/>
      <c r="K154" s="929"/>
      <c r="L154" s="927" t="s">
        <v>81</v>
      </c>
      <c r="M154" s="928"/>
      <c r="N154" s="928"/>
      <c r="O154" s="929"/>
      <c r="P154" s="927" t="s">
        <v>254</v>
      </c>
      <c r="Q154" s="928"/>
      <c r="R154" s="928"/>
      <c r="S154" s="929"/>
      <c r="T154" s="1144" t="s">
        <v>908</v>
      </c>
      <c r="U154" s="1145"/>
      <c r="V154" s="1145"/>
      <c r="W154" s="1146"/>
      <c r="X154" s="880"/>
    </row>
    <row r="155" spans="1:24" ht="44.1" customHeight="1" thickBot="1">
      <c r="A155" s="885"/>
      <c r="B155" s="868" t="s">
        <v>157</v>
      </c>
      <c r="C155" s="23"/>
      <c r="D155" s="17" t="s">
        <v>101</v>
      </c>
      <c r="E155" s="17" t="s">
        <v>104</v>
      </c>
      <c r="F155" s="17" t="s">
        <v>102</v>
      </c>
      <c r="G155" s="17" t="s">
        <v>103</v>
      </c>
      <c r="H155" s="17" t="s">
        <v>101</v>
      </c>
      <c r="I155" s="17" t="s">
        <v>104</v>
      </c>
      <c r="J155" s="17" t="s">
        <v>102</v>
      </c>
      <c r="K155" s="17" t="s">
        <v>103</v>
      </c>
      <c r="L155" s="17" t="s">
        <v>101</v>
      </c>
      <c r="M155" s="17" t="s">
        <v>104</v>
      </c>
      <c r="N155" s="17" t="s">
        <v>102</v>
      </c>
      <c r="O155" s="17" t="s">
        <v>103</v>
      </c>
      <c r="P155" s="17" t="s">
        <v>101</v>
      </c>
      <c r="Q155" s="17" t="s">
        <v>104</v>
      </c>
      <c r="R155" s="17" t="s">
        <v>102</v>
      </c>
      <c r="S155" s="17" t="s">
        <v>103</v>
      </c>
      <c r="T155" s="17" t="s">
        <v>101</v>
      </c>
      <c r="U155" s="17" t="s">
        <v>104</v>
      </c>
      <c r="V155" s="17" t="s">
        <v>102</v>
      </c>
      <c r="W155" s="17" t="s">
        <v>103</v>
      </c>
      <c r="X155" s="880"/>
    </row>
    <row r="156" spans="1:24" ht="13.5" thickBot="1">
      <c r="A156" s="885"/>
      <c r="B156" s="885"/>
      <c r="C156" s="9" t="s">
        <v>247</v>
      </c>
      <c r="D156" s="104">
        <f>SUM('State DisAgg LFx10 (2014)'!D368:D372)</f>
        <v>2</v>
      </c>
      <c r="E156" s="104">
        <f>SUM('State DisAgg LFx10 (2014)'!E368:E372)</f>
        <v>0</v>
      </c>
      <c r="F156" s="104">
        <f>SUM('State DisAgg LFx10 (2014)'!F368:F372)</f>
        <v>0</v>
      </c>
      <c r="G156" s="104">
        <f>SUM('State DisAgg LFx10 (2014)'!G368:G372)</f>
        <v>0</v>
      </c>
      <c r="H156" s="104">
        <f>SUM('State DisAgg LFx10 (2014)'!H368:H375)</f>
        <v>15</v>
      </c>
      <c r="I156" s="104">
        <f>SUM('State DisAgg LFx10 (2014)'!I368:I375)</f>
        <v>10</v>
      </c>
      <c r="J156" s="104">
        <f>SUM('State DisAgg LFx10 (2014)'!J368:J375)</f>
        <v>7</v>
      </c>
      <c r="K156" s="104">
        <f>SUM('State DisAgg LFx10 (2014)'!K368:K375)</f>
        <v>2</v>
      </c>
      <c r="L156" s="104">
        <f>SUM('State DisAgg LFx10 (2014)'!L368:L377)</f>
        <v>29</v>
      </c>
      <c r="M156" s="104">
        <f>SUM('State DisAgg LFx10 (2014)'!M368:M377)</f>
        <v>23</v>
      </c>
      <c r="N156" s="104">
        <f>SUM('State DisAgg LFx10 (2014)'!N368:N377)</f>
        <v>15</v>
      </c>
      <c r="O156" s="104">
        <f>SUM('State DisAgg LFx10 (2014)'!O368:O377)</f>
        <v>8</v>
      </c>
      <c r="P156" s="150">
        <f>SUM('State DisAgg LFx10 (2014)'!P368:P377)</f>
        <v>51</v>
      </c>
      <c r="Q156" s="150">
        <f>SUM('State DisAgg LFx10 (2014)'!Q368:Q377)</f>
        <v>38</v>
      </c>
      <c r="R156" s="150">
        <f>SUM('State DisAgg LFx10 (2014)'!R368:R377)</f>
        <v>27</v>
      </c>
      <c r="S156" s="150">
        <f>SUM('State DisAgg LFx10 (2014)'!S368:S377)</f>
        <v>15</v>
      </c>
      <c r="T156" s="150">
        <f>SUM('State DisAgg LFx10 (2014)'!T368:T377)</f>
        <v>60.333333333333336</v>
      </c>
      <c r="U156" s="104">
        <f>SUM('State DisAgg LFx10 (2014)'!U368:U377)</f>
        <v>45.999999999999993</v>
      </c>
      <c r="V156" s="104">
        <f>SUM('State DisAgg LFx10 (2014)'!V368:V377)</f>
        <v>34.999999999999993</v>
      </c>
      <c r="W156" s="104">
        <f>SUM('State DisAgg LFx10 (2014)'!W368:W377)</f>
        <v>21.666666666666668</v>
      </c>
      <c r="X156" s="880"/>
    </row>
    <row r="157" spans="1:24" ht="13.5" thickBot="1">
      <c r="A157" s="885"/>
      <c r="B157" s="501" t="s">
        <v>151</v>
      </c>
      <c r="C157" s="102" t="s">
        <v>246</v>
      </c>
      <c r="D157" s="1003" t="s">
        <v>172</v>
      </c>
      <c r="E157" s="1004"/>
      <c r="F157" s="1004"/>
      <c r="G157" s="1005"/>
      <c r="H157" s="1003" t="s">
        <v>417</v>
      </c>
      <c r="I157" s="1004"/>
      <c r="J157" s="1004"/>
      <c r="K157" s="1005"/>
      <c r="L157" s="105">
        <f>SUM('State DisAgg LFx10 (2014)'!L378:L385)</f>
        <v>24</v>
      </c>
      <c r="M157" s="105">
        <f>SUM('State DisAgg LFx10 (2014)'!M378:M385)</f>
        <v>21</v>
      </c>
      <c r="N157" s="105">
        <f>SUM('State DisAgg LFx10 (2014)'!N378:N385)</f>
        <v>17</v>
      </c>
      <c r="O157" s="105">
        <f>SUM('State DisAgg LFx10 (2014)'!O378:O385)</f>
        <v>7</v>
      </c>
      <c r="P157" s="105">
        <f>SUM('State DisAgg LFx10 (2014)'!P378:P387)</f>
        <v>44</v>
      </c>
      <c r="Q157" s="105">
        <f>SUM('State DisAgg LFx10 (2014)'!Q378:Q387)</f>
        <v>27</v>
      </c>
      <c r="R157" s="105">
        <f>SUM('State DisAgg LFx10 (2014)'!R378:R387)</f>
        <v>20</v>
      </c>
      <c r="S157" s="105">
        <f>SUM('State DisAgg LFx10 (2014)'!S378:S387)</f>
        <v>8</v>
      </c>
      <c r="T157" s="105">
        <f>SUM('State DisAgg LFx10 (2014)'!T378:T387)</f>
        <v>71</v>
      </c>
      <c r="U157" s="105">
        <f>SUM('State DisAgg LFx10 (2014)'!U378:U387)</f>
        <v>64</v>
      </c>
      <c r="V157" s="105">
        <f>SUM('State DisAgg LFx10 (2014)'!V378:V387)</f>
        <v>45</v>
      </c>
      <c r="W157" s="105">
        <f>SUM('State DisAgg LFx10 (2014)'!W378:W387)</f>
        <v>6</v>
      </c>
      <c r="X157" s="880"/>
    </row>
    <row r="158" spans="1:24" ht="13.5" thickBot="1">
      <c r="A158" s="885"/>
      <c r="B158" s="501" t="s">
        <v>150</v>
      </c>
      <c r="C158" s="1142" t="s">
        <v>413</v>
      </c>
      <c r="D158" s="927" t="s">
        <v>4</v>
      </c>
      <c r="E158" s="928"/>
      <c r="F158" s="928"/>
      <c r="G158" s="928"/>
      <c r="H158" s="928"/>
      <c r="I158" s="928"/>
      <c r="J158" s="928"/>
      <c r="K158" s="928"/>
      <c r="L158" s="928"/>
      <c r="M158" s="928"/>
      <c r="N158" s="928"/>
      <c r="O158" s="928"/>
      <c r="P158" s="928"/>
      <c r="Q158" s="928"/>
      <c r="R158" s="928"/>
      <c r="S158" s="928"/>
      <c r="T158" s="928"/>
      <c r="U158" s="928"/>
      <c r="V158" s="928"/>
      <c r="W158" s="929"/>
      <c r="X158" s="880"/>
    </row>
    <row r="159" spans="1:24" ht="13.5" thickBot="1">
      <c r="A159" s="885"/>
      <c r="B159" s="502" t="s">
        <v>152</v>
      </c>
      <c r="C159" s="1143"/>
      <c r="D159" s="930" t="s">
        <v>420</v>
      </c>
      <c r="E159" s="931"/>
      <c r="F159" s="931"/>
      <c r="G159" s="931"/>
      <c r="H159" s="931"/>
      <c r="I159" s="931"/>
      <c r="J159" s="931"/>
      <c r="K159" s="931"/>
      <c r="L159" s="931"/>
      <c r="M159" s="931"/>
      <c r="N159" s="931"/>
      <c r="O159" s="931"/>
      <c r="P159" s="931"/>
      <c r="Q159" s="931"/>
      <c r="R159" s="931"/>
      <c r="S159" s="931"/>
      <c r="T159" s="931"/>
      <c r="U159" s="931"/>
      <c r="V159" s="931"/>
      <c r="W159" s="932"/>
      <c r="X159" s="880"/>
    </row>
    <row r="160" spans="1:24" ht="12.95" customHeight="1" thickBot="1">
      <c r="A160" s="885"/>
      <c r="B160" s="92" t="s">
        <v>31</v>
      </c>
      <c r="C160" s="12"/>
      <c r="D160" s="927" t="s">
        <v>78</v>
      </c>
      <c r="E160" s="928"/>
      <c r="F160" s="928"/>
      <c r="G160" s="929"/>
      <c r="H160" s="927" t="s">
        <v>77</v>
      </c>
      <c r="I160" s="928"/>
      <c r="J160" s="928"/>
      <c r="K160" s="929"/>
      <c r="L160" s="927" t="s">
        <v>81</v>
      </c>
      <c r="M160" s="928"/>
      <c r="N160" s="928"/>
      <c r="O160" s="929"/>
      <c r="P160" s="927" t="s">
        <v>254</v>
      </c>
      <c r="Q160" s="928"/>
      <c r="R160" s="928"/>
      <c r="S160" s="929"/>
      <c r="T160" s="1144" t="s">
        <v>908</v>
      </c>
      <c r="U160" s="1145"/>
      <c r="V160" s="1145"/>
      <c r="W160" s="1146"/>
      <c r="X160" s="880"/>
    </row>
    <row r="161" spans="1:24" ht="17.100000000000001" customHeight="1" thickBot="1">
      <c r="A161" s="885"/>
      <c r="B161" s="868" t="s">
        <v>421</v>
      </c>
      <c r="C161" s="23"/>
      <c r="D161" s="955" t="s">
        <v>418</v>
      </c>
      <c r="E161" s="956"/>
      <c r="F161" s="955" t="s">
        <v>419</v>
      </c>
      <c r="G161" s="956"/>
      <c r="H161" s="955" t="s">
        <v>418</v>
      </c>
      <c r="I161" s="956"/>
      <c r="J161" s="955" t="s">
        <v>419</v>
      </c>
      <c r="K161" s="956"/>
      <c r="L161" s="955" t="s">
        <v>418</v>
      </c>
      <c r="M161" s="956"/>
      <c r="N161" s="955" t="s">
        <v>419</v>
      </c>
      <c r="O161" s="956"/>
      <c r="P161" s="955" t="s">
        <v>418</v>
      </c>
      <c r="Q161" s="956"/>
      <c r="R161" s="955" t="s">
        <v>419</v>
      </c>
      <c r="S161" s="956"/>
      <c r="T161" s="955" t="s">
        <v>418</v>
      </c>
      <c r="U161" s="956"/>
      <c r="V161" s="955" t="s">
        <v>419</v>
      </c>
      <c r="W161" s="956"/>
      <c r="X161" s="880"/>
    </row>
    <row r="162" spans="1:24" ht="12.95" customHeight="1" thickBot="1">
      <c r="A162" s="885"/>
      <c r="B162" s="885"/>
      <c r="C162" s="91" t="s">
        <v>235</v>
      </c>
      <c r="D162" s="933" t="s">
        <v>172</v>
      </c>
      <c r="E162" s="934"/>
      <c r="F162" s="934"/>
      <c r="G162" s="935"/>
      <c r="H162" s="966" t="s">
        <v>572</v>
      </c>
      <c r="I162" s="967"/>
      <c r="J162" s="967"/>
      <c r="K162" s="968"/>
      <c r="L162" s="939">
        <f>SUM('State DisAgg LFx10 (2014)'!L392:M396)/5</f>
        <v>49.8</v>
      </c>
      <c r="M162" s="941"/>
      <c r="N162" s="939">
        <f>SUM('State DisAgg LFx10 (2014)'!N392:O396)/5</f>
        <v>36.6</v>
      </c>
      <c r="O162" s="941"/>
      <c r="P162" s="939">
        <f>SUM('State DisAgg LFx10 (2014)'!P392:Q396)/5</f>
        <v>63</v>
      </c>
      <c r="Q162" s="941"/>
      <c r="R162" s="939">
        <f>SUM('State DisAgg LFx10 (2014)'!R392:S396)/5</f>
        <v>39.799999999999997</v>
      </c>
      <c r="S162" s="941"/>
      <c r="T162" s="939">
        <f>SUM('State DisAgg LFx10 (2014)'!T392:U396)/5</f>
        <v>80.466666666666669</v>
      </c>
      <c r="U162" s="941"/>
      <c r="V162" s="939">
        <f>SUM('State DisAgg LFx10 (2014)'!V392:W396)/5</f>
        <v>51.4</v>
      </c>
      <c r="W162" s="941"/>
      <c r="X162" s="880"/>
    </row>
    <row r="163" spans="1:24" ht="12.95" customHeight="1" thickBot="1">
      <c r="A163" s="885"/>
      <c r="B163" s="885"/>
      <c r="C163" s="91" t="s">
        <v>233</v>
      </c>
      <c r="D163" s="957"/>
      <c r="E163" s="958"/>
      <c r="F163" s="958"/>
      <c r="G163" s="959"/>
      <c r="H163" s="966" t="s">
        <v>572</v>
      </c>
      <c r="I163" s="967"/>
      <c r="J163" s="967"/>
      <c r="K163" s="968"/>
      <c r="L163" s="939">
        <f>SUM('State DisAgg LFx10 (2014)'!L397:M399)/3</f>
        <v>28.333333333333332</v>
      </c>
      <c r="M163" s="941"/>
      <c r="N163" s="939">
        <f>SUM('State DisAgg LFx10 (2014)'!N397:O399)/3</f>
        <v>20.666666666666668</v>
      </c>
      <c r="O163" s="941"/>
      <c r="P163" s="939">
        <f>SUM('State DisAgg LFx10 (2014)'!P397:Q399)/3</f>
        <v>41.666666666666664</v>
      </c>
      <c r="Q163" s="941"/>
      <c r="R163" s="939">
        <f>SUM('State DisAgg LFx10 (2014)'!R397:S399)/3</f>
        <v>28.333333333333332</v>
      </c>
      <c r="S163" s="941"/>
      <c r="T163" s="939">
        <f>SUM('State DisAgg LFx10 (2014)'!T397:U399)/3</f>
        <v>67.333333333333329</v>
      </c>
      <c r="U163" s="941"/>
      <c r="V163" s="939">
        <f>SUM('State DisAgg LFx10 (2014)'!V397:W399)/3</f>
        <v>46.222222222222236</v>
      </c>
      <c r="W163" s="941"/>
      <c r="X163" s="880"/>
    </row>
    <row r="164" spans="1:24" ht="12.95" customHeight="1" thickBot="1">
      <c r="A164" s="885"/>
      <c r="B164" s="885"/>
      <c r="C164" s="91" t="s">
        <v>234</v>
      </c>
      <c r="D164" s="957"/>
      <c r="E164" s="958"/>
      <c r="F164" s="958"/>
      <c r="G164" s="959"/>
      <c r="H164" s="1153"/>
      <c r="I164" s="1154"/>
      <c r="J164" s="1154"/>
      <c r="K164" s="1155"/>
      <c r="L164" s="1150" t="s">
        <v>909</v>
      </c>
      <c r="M164" s="1151"/>
      <c r="N164" s="1151"/>
      <c r="O164" s="1152"/>
      <c r="P164" s="939">
        <f>SUM('State DisAgg LFx10 (2014)'!P400:Q401)/2</f>
        <v>44</v>
      </c>
      <c r="Q164" s="953"/>
      <c r="R164" s="939">
        <f>SUM('State DisAgg LFx10 (2014)'!R400:S401)/2</f>
        <v>71.5</v>
      </c>
      <c r="S164" s="953"/>
      <c r="T164" s="939">
        <f>SUM('State DisAgg LFx10 (2014)'!T400:U401)/2</f>
        <v>44</v>
      </c>
      <c r="U164" s="953"/>
      <c r="V164" s="939">
        <f>SUM('State DisAgg LFx10 (2014)'!V400:W401)/2</f>
        <v>71.5</v>
      </c>
      <c r="W164" s="953"/>
      <c r="X164" s="880"/>
    </row>
    <row r="165" spans="1:24" ht="13.5" thickBot="1">
      <c r="A165" s="885"/>
      <c r="B165" s="501" t="s">
        <v>179</v>
      </c>
      <c r="C165" s="103" t="s">
        <v>236</v>
      </c>
      <c r="D165" s="1011"/>
      <c r="E165" s="1012"/>
      <c r="F165" s="1012"/>
      <c r="G165" s="1013"/>
      <c r="H165" s="1011"/>
      <c r="I165" s="1012"/>
      <c r="J165" s="1012"/>
      <c r="K165" s="1013"/>
      <c r="L165" s="1011"/>
      <c r="M165" s="1012"/>
      <c r="N165" s="1012"/>
      <c r="O165" s="1013"/>
      <c r="P165" s="1140">
        <f>SUM('State DisAgg LFx10 (2014)'!P402:Q406)/5</f>
        <v>76</v>
      </c>
      <c r="Q165" s="1141"/>
      <c r="R165" s="1140">
        <f>SUM('State DisAgg LFx10 (2014)'!R402:S406)/5</f>
        <v>59.8</v>
      </c>
      <c r="S165" s="1141"/>
      <c r="T165" s="1140">
        <f>SUM('State DisAgg LFx10 (2014)'!T402:U406)/5</f>
        <v>83.2</v>
      </c>
      <c r="U165" s="1141"/>
      <c r="V165" s="1140">
        <f>SUM('State DisAgg LFx10 (2014)'!V402:W406)/5</f>
        <v>80.599999999999994</v>
      </c>
      <c r="W165" s="1141"/>
      <c r="X165" s="880"/>
    </row>
    <row r="166" spans="1:24" ht="13.5" thickBot="1">
      <c r="A166" s="885"/>
      <c r="B166" s="501"/>
      <c r="C166" s="102" t="s">
        <v>283</v>
      </c>
      <c r="D166" s="1017"/>
      <c r="E166" s="1018"/>
      <c r="F166" s="1018"/>
      <c r="G166" s="1019"/>
      <c r="H166" s="1017"/>
      <c r="I166" s="1018"/>
      <c r="J166" s="1018"/>
      <c r="K166" s="1019"/>
      <c r="L166" s="1011"/>
      <c r="M166" s="1012"/>
      <c r="N166" s="1012"/>
      <c r="O166" s="1013"/>
      <c r="P166" s="1140">
        <f>SUM('State DisAgg LFx10 (2014)'!P407:Q409)/3</f>
        <v>42.666666666666664</v>
      </c>
      <c r="Q166" s="1141"/>
      <c r="R166" s="1140">
        <f>SUM('State DisAgg LFx10 (2014)'!R407:S409)/3</f>
        <v>27.333333333333332</v>
      </c>
      <c r="S166" s="1141"/>
      <c r="T166" s="1140">
        <f>SUM('State DisAgg LFx10 (2014)'!T407:U409)/3</f>
        <v>74.333333333333329</v>
      </c>
      <c r="U166" s="1141"/>
      <c r="V166" s="1140">
        <f>SUM('State DisAgg LFx10 (2014)'!V407:W409)/3</f>
        <v>71</v>
      </c>
      <c r="W166" s="1141"/>
      <c r="X166" s="880"/>
    </row>
    <row r="167" spans="1:24" ht="13.5" thickBot="1">
      <c r="A167" s="885"/>
      <c r="B167" s="501"/>
      <c r="C167" s="102" t="s">
        <v>284</v>
      </c>
      <c r="D167" s="1017"/>
      <c r="E167" s="1018"/>
      <c r="F167" s="1018"/>
      <c r="G167" s="1019"/>
      <c r="H167" s="1017"/>
      <c r="I167" s="1018"/>
      <c r="J167" s="1018"/>
      <c r="K167" s="1019"/>
      <c r="L167" s="1017"/>
      <c r="M167" s="1018"/>
      <c r="N167" s="1018"/>
      <c r="O167" s="1019"/>
      <c r="P167" s="1140">
        <f>SUM('State DisAgg LFx10 (2014)'!P410:Q411)/2</f>
        <v>0</v>
      </c>
      <c r="Q167" s="1141"/>
      <c r="R167" s="1140">
        <f>SUM('State DisAgg LFx10 (2014)'!R410:S411)/2</f>
        <v>0</v>
      </c>
      <c r="S167" s="1141"/>
      <c r="T167" s="1140">
        <f>SUM('State DisAgg LFx10 (2014)'!T410:U411)/2</f>
        <v>44</v>
      </c>
      <c r="U167" s="1141"/>
      <c r="V167" s="1140">
        <f>SUM('State DisAgg LFx10 (2014)'!V410:W411)/2</f>
        <v>71.5</v>
      </c>
      <c r="W167" s="1141"/>
      <c r="X167" s="880"/>
    </row>
    <row r="168" spans="1:24" ht="13.5" thickBot="1">
      <c r="A168" s="885"/>
      <c r="B168" s="885"/>
      <c r="C168" s="1142" t="s">
        <v>413</v>
      </c>
      <c r="D168" s="927" t="s">
        <v>4</v>
      </c>
      <c r="E168" s="928"/>
      <c r="F168" s="928"/>
      <c r="G168" s="928"/>
      <c r="H168" s="928"/>
      <c r="I168" s="928"/>
      <c r="J168" s="928"/>
      <c r="K168" s="928"/>
      <c r="L168" s="928"/>
      <c r="M168" s="928"/>
      <c r="N168" s="928"/>
      <c r="O168" s="928"/>
      <c r="P168" s="928"/>
      <c r="Q168" s="928"/>
      <c r="R168" s="928"/>
      <c r="S168" s="928"/>
      <c r="T168" s="928"/>
      <c r="U168" s="928"/>
      <c r="V168" s="928"/>
      <c r="W168" s="929"/>
      <c r="X168" s="880"/>
    </row>
    <row r="169" spans="1:24" ht="24" customHeight="1" thickBot="1">
      <c r="A169" s="885"/>
      <c r="B169" s="869"/>
      <c r="C169" s="1143"/>
      <c r="D169" s="930" t="s">
        <v>121</v>
      </c>
      <c r="E169" s="931"/>
      <c r="F169" s="931"/>
      <c r="G169" s="931"/>
      <c r="H169" s="931"/>
      <c r="I169" s="931"/>
      <c r="J169" s="931"/>
      <c r="K169" s="931"/>
      <c r="L169" s="931"/>
      <c r="M169" s="931"/>
      <c r="N169" s="931"/>
      <c r="O169" s="931"/>
      <c r="P169" s="931"/>
      <c r="Q169" s="931"/>
      <c r="R169" s="931"/>
      <c r="S169" s="931"/>
      <c r="T169" s="931"/>
      <c r="U169" s="931"/>
      <c r="V169" s="931"/>
      <c r="W169" s="932"/>
      <c r="X169" s="880"/>
    </row>
    <row r="170" spans="1:24" ht="12.95" customHeight="1" thickBot="1">
      <c r="A170" s="885"/>
      <c r="B170" s="11" t="s">
        <v>40</v>
      </c>
      <c r="C170" s="12"/>
      <c r="D170" s="927" t="s">
        <v>78</v>
      </c>
      <c r="E170" s="928"/>
      <c r="F170" s="928"/>
      <c r="G170" s="929"/>
      <c r="H170" s="927" t="s">
        <v>77</v>
      </c>
      <c r="I170" s="928"/>
      <c r="J170" s="928"/>
      <c r="K170" s="929"/>
      <c r="L170" s="927" t="s">
        <v>81</v>
      </c>
      <c r="M170" s="928"/>
      <c r="N170" s="928"/>
      <c r="O170" s="929"/>
      <c r="P170" s="927" t="s">
        <v>254</v>
      </c>
      <c r="Q170" s="928"/>
      <c r="R170" s="928"/>
      <c r="S170" s="929"/>
      <c r="T170" s="1144" t="s">
        <v>908</v>
      </c>
      <c r="U170" s="1145"/>
      <c r="V170" s="1145"/>
      <c r="W170" s="1146"/>
      <c r="X170" s="880"/>
    </row>
    <row r="171" spans="1:24" ht="12.95" customHeight="1" thickBot="1">
      <c r="A171" s="885"/>
      <c r="B171" s="868" t="s">
        <v>644</v>
      </c>
      <c r="C171" s="9" t="s">
        <v>235</v>
      </c>
      <c r="D171" s="933" t="s">
        <v>171</v>
      </c>
      <c r="E171" s="934"/>
      <c r="F171" s="934"/>
      <c r="G171" s="935"/>
      <c r="H171" s="966" t="s">
        <v>572</v>
      </c>
      <c r="I171" s="967"/>
      <c r="J171" s="967"/>
      <c r="K171" s="968"/>
      <c r="L171" s="963">
        <f>SUM('State DisAgg LFx10 (2014)'!L415:O419)/5</f>
        <v>3.4799999999999995</v>
      </c>
      <c r="M171" s="964"/>
      <c r="N171" s="964"/>
      <c r="O171" s="965"/>
      <c r="P171" s="963">
        <f>SUM('State DisAgg LFx10 (2014)'!P415:S419)/5</f>
        <v>3.78</v>
      </c>
      <c r="Q171" s="964"/>
      <c r="R171" s="964"/>
      <c r="S171" s="965"/>
      <c r="T171" s="963">
        <f>SUM('State DisAgg LFx10 (2014)'!T415:T419)/5</f>
        <v>4.0199999999999996</v>
      </c>
      <c r="U171" s="964"/>
      <c r="V171" s="964"/>
      <c r="W171" s="965"/>
      <c r="X171" s="880"/>
    </row>
    <row r="172" spans="1:24" ht="12.95" customHeight="1" thickBot="1">
      <c r="A172" s="885"/>
      <c r="B172" s="885"/>
      <c r="C172" s="9" t="s">
        <v>233</v>
      </c>
      <c r="D172" s="957"/>
      <c r="E172" s="958"/>
      <c r="F172" s="958"/>
      <c r="G172" s="959"/>
      <c r="H172" s="966" t="s">
        <v>572</v>
      </c>
      <c r="I172" s="967"/>
      <c r="J172" s="967"/>
      <c r="K172" s="968"/>
      <c r="L172" s="963">
        <f>SUM('State DisAgg LFx10 (2014)'!L420:O422)/3</f>
        <v>2.0333333333333332</v>
      </c>
      <c r="M172" s="964"/>
      <c r="N172" s="964"/>
      <c r="O172" s="965"/>
      <c r="P172" s="963">
        <f>SUM('State DisAgg LFx10 (2014)'!P420:S422)/3</f>
        <v>2.3333333333333335</v>
      </c>
      <c r="Q172" s="964"/>
      <c r="R172" s="964"/>
      <c r="S172" s="965"/>
      <c r="T172" s="963">
        <f>SUM('State DisAgg LFx10 (2014)'!T420:T422)/3</f>
        <v>2.6666666666666665</v>
      </c>
      <c r="U172" s="964"/>
      <c r="V172" s="964"/>
      <c r="W172" s="965"/>
      <c r="X172" s="880"/>
    </row>
    <row r="173" spans="1:24" ht="12.95" customHeight="1" thickBot="1">
      <c r="A173" s="885"/>
      <c r="B173" s="885"/>
      <c r="C173" s="9" t="s">
        <v>234</v>
      </c>
      <c r="D173" s="957"/>
      <c r="E173" s="958"/>
      <c r="F173" s="958"/>
      <c r="G173" s="959"/>
      <c r="H173" s="1153"/>
      <c r="I173" s="1154"/>
      <c r="J173" s="1154"/>
      <c r="K173" s="1155"/>
      <c r="L173" s="1150" t="s">
        <v>909</v>
      </c>
      <c r="M173" s="1151"/>
      <c r="N173" s="1151"/>
      <c r="O173" s="1152"/>
      <c r="P173" s="963">
        <f>SUM('State DisAgg LFx10 (2014)'!P423:S424)/2</f>
        <v>2.8</v>
      </c>
      <c r="Q173" s="964"/>
      <c r="R173" s="964"/>
      <c r="S173" s="965"/>
      <c r="T173" s="963">
        <f>SUM('State DisAgg LFx10 (2014)'!T423:T424)/2</f>
        <v>2.8</v>
      </c>
      <c r="U173" s="964"/>
      <c r="V173" s="964"/>
      <c r="W173" s="965"/>
      <c r="X173" s="880"/>
    </row>
    <row r="174" spans="1:24" ht="13.5" thickBot="1">
      <c r="A174" s="885"/>
      <c r="B174" s="885"/>
      <c r="C174" s="102" t="s">
        <v>236</v>
      </c>
      <c r="D174" s="1011"/>
      <c r="E174" s="1012"/>
      <c r="F174" s="1012"/>
      <c r="G174" s="1013"/>
      <c r="H174" s="1011"/>
      <c r="I174" s="1012"/>
      <c r="J174" s="1012"/>
      <c r="K174" s="1013"/>
      <c r="L174" s="1011"/>
      <c r="M174" s="1012"/>
      <c r="N174" s="1012"/>
      <c r="O174" s="1013"/>
      <c r="P174" s="1147">
        <f>SUM('State DisAgg LFx10 (2014)'!P425:S429)/5</f>
        <v>3.7199999999999998</v>
      </c>
      <c r="Q174" s="1148"/>
      <c r="R174" s="1148"/>
      <c r="S174" s="1149"/>
      <c r="T174" s="1147">
        <f>SUM('State DisAgg LFx10 (2014)'!T425:T429)/5</f>
        <v>4.0400000000000009</v>
      </c>
      <c r="U174" s="1148"/>
      <c r="V174" s="1148"/>
      <c r="W174" s="1149"/>
      <c r="X174" s="881"/>
    </row>
    <row r="175" spans="1:24" ht="13.5" thickBot="1">
      <c r="A175" s="885"/>
      <c r="B175" s="885"/>
      <c r="C175" s="102" t="s">
        <v>283</v>
      </c>
      <c r="D175" s="1017"/>
      <c r="E175" s="1018"/>
      <c r="F175" s="1018"/>
      <c r="G175" s="1019"/>
      <c r="H175" s="1017"/>
      <c r="I175" s="1018"/>
      <c r="J175" s="1018"/>
      <c r="K175" s="1019"/>
      <c r="L175" s="1011"/>
      <c r="M175" s="1012"/>
      <c r="N175" s="1012"/>
      <c r="O175" s="1013"/>
      <c r="P175" s="1147">
        <f>SUM('State DisAgg LFx10 (2014)'!P430:S432)/3</f>
        <v>2.5</v>
      </c>
      <c r="Q175" s="1148"/>
      <c r="R175" s="1148"/>
      <c r="S175" s="1149"/>
      <c r="T175" s="1147">
        <f>SUM('State DisAgg LFx10 (2014)'!T430:T432)/3</f>
        <v>3.5666666666666664</v>
      </c>
      <c r="U175" s="1148"/>
      <c r="V175" s="1148"/>
      <c r="W175" s="1149"/>
      <c r="X175" s="101"/>
    </row>
    <row r="176" spans="1:24" ht="13.5" thickBot="1">
      <c r="A176" s="869"/>
      <c r="B176" s="885"/>
      <c r="C176" s="102" t="s">
        <v>284</v>
      </c>
      <c r="D176" s="1017"/>
      <c r="E176" s="1018"/>
      <c r="F176" s="1018"/>
      <c r="G176" s="1019"/>
      <c r="H176" s="1017"/>
      <c r="I176" s="1018"/>
      <c r="J176" s="1018"/>
      <c r="K176" s="1019"/>
      <c r="L176" s="1017"/>
      <c r="M176" s="1018"/>
      <c r="N176" s="1018"/>
      <c r="O176" s="1019"/>
      <c r="P176" s="1147">
        <f>SUM('State DisAgg LFx10 (2014)'!P433:S434)/2</f>
        <v>0</v>
      </c>
      <c r="Q176" s="1148"/>
      <c r="R176" s="1148"/>
      <c r="S176" s="1149"/>
      <c r="T176" s="1147">
        <f>SUM('State DisAgg LFx10 (2014)'!T433:T434)/2</f>
        <v>2.8</v>
      </c>
      <c r="U176" s="1148"/>
      <c r="V176" s="1148"/>
      <c r="W176" s="1149"/>
      <c r="X176" s="101"/>
    </row>
    <row r="177" spans="1:24" ht="13.5" thickBot="1">
      <c r="A177" s="507" t="s">
        <v>13</v>
      </c>
      <c r="B177" s="885"/>
      <c r="C177" s="1142" t="s">
        <v>413</v>
      </c>
      <c r="D177" s="927" t="s">
        <v>4</v>
      </c>
      <c r="E177" s="928"/>
      <c r="F177" s="928"/>
      <c r="G177" s="928"/>
      <c r="H177" s="928"/>
      <c r="I177" s="928"/>
      <c r="J177" s="928"/>
      <c r="K177" s="928"/>
      <c r="L177" s="928"/>
      <c r="M177" s="928"/>
      <c r="N177" s="928"/>
      <c r="O177" s="928"/>
      <c r="P177" s="928"/>
      <c r="Q177" s="928"/>
      <c r="R177" s="928"/>
      <c r="S177" s="928"/>
      <c r="T177" s="928"/>
      <c r="U177" s="928"/>
      <c r="V177" s="928"/>
      <c r="W177" s="929"/>
      <c r="X177" s="24" t="s">
        <v>14</v>
      </c>
    </row>
    <row r="178" spans="1:24" ht="13.5" thickBot="1">
      <c r="A178" s="25" t="s">
        <v>75</v>
      </c>
      <c r="B178" s="869"/>
      <c r="C178" s="1143"/>
      <c r="D178" s="930" t="s">
        <v>122</v>
      </c>
      <c r="E178" s="931"/>
      <c r="F178" s="931"/>
      <c r="G178" s="931"/>
      <c r="H178" s="931"/>
      <c r="I178" s="931"/>
      <c r="J178" s="931"/>
      <c r="K178" s="931"/>
      <c r="L178" s="931"/>
      <c r="M178" s="931"/>
      <c r="N178" s="931"/>
      <c r="O178" s="931"/>
      <c r="P178" s="931"/>
      <c r="Q178" s="931"/>
      <c r="R178" s="931"/>
      <c r="S178" s="931"/>
      <c r="T178" s="931"/>
      <c r="U178" s="931"/>
      <c r="V178" s="931"/>
      <c r="W178" s="932"/>
      <c r="X178" s="18" t="s">
        <v>92</v>
      </c>
    </row>
    <row r="179" spans="1:24" ht="13.5" thickBot="1">
      <c r="A179" s="906" t="s">
        <v>7</v>
      </c>
      <c r="B179" s="908" t="s">
        <v>173</v>
      </c>
      <c r="C179" s="918"/>
      <c r="D179" s="908" t="s">
        <v>8</v>
      </c>
      <c r="E179" s="918"/>
      <c r="F179" s="918"/>
      <c r="G179" s="909"/>
      <c r="H179" s="908" t="s">
        <v>88</v>
      </c>
      <c r="I179" s="918"/>
      <c r="J179" s="918"/>
      <c r="K179" s="909"/>
      <c r="L179" s="908" t="s">
        <v>89</v>
      </c>
      <c r="M179" s="918"/>
      <c r="N179" s="918"/>
      <c r="O179" s="909"/>
      <c r="P179" s="908" t="s">
        <v>9</v>
      </c>
      <c r="Q179" s="918"/>
      <c r="R179" s="918"/>
      <c r="S179" s="909"/>
      <c r="T179" s="908" t="s">
        <v>174</v>
      </c>
      <c r="U179" s="918"/>
      <c r="V179" s="918"/>
      <c r="W179" s="918"/>
      <c r="X179" s="909"/>
    </row>
    <row r="180" spans="1:24" ht="13.5" thickBot="1">
      <c r="A180" s="907"/>
      <c r="B180" s="919">
        <v>4200000</v>
      </c>
      <c r="C180" s="921"/>
      <c r="D180" s="919">
        <v>0</v>
      </c>
      <c r="E180" s="921"/>
      <c r="F180" s="921"/>
      <c r="G180" s="920"/>
      <c r="H180" s="919">
        <v>3200000</v>
      </c>
      <c r="I180" s="921"/>
      <c r="J180" s="921"/>
      <c r="K180" s="920"/>
      <c r="L180" s="919">
        <v>0</v>
      </c>
      <c r="M180" s="921"/>
      <c r="N180" s="921"/>
      <c r="O180" s="920"/>
      <c r="P180" s="919">
        <f>SUM(B180:O180)</f>
        <v>7400000</v>
      </c>
      <c r="Q180" s="921"/>
      <c r="R180" s="921"/>
      <c r="S180" s="920"/>
      <c r="T180" s="942">
        <f>B180/P180%</f>
        <v>56.756756756756758</v>
      </c>
      <c r="U180" s="943"/>
      <c r="V180" s="943"/>
      <c r="W180" s="943"/>
      <c r="X180" s="944"/>
    </row>
    <row r="181" spans="1:24" ht="13.5" thickBot="1">
      <c r="A181" s="906" t="s">
        <v>10</v>
      </c>
      <c r="B181" s="908" t="s">
        <v>175</v>
      </c>
      <c r="C181" s="918"/>
      <c r="D181" s="910"/>
      <c r="E181" s="911"/>
      <c r="F181" s="911"/>
      <c r="G181" s="911"/>
      <c r="H181" s="911"/>
      <c r="I181" s="911"/>
      <c r="J181" s="911"/>
      <c r="K181" s="911"/>
      <c r="L181" s="911"/>
      <c r="M181" s="911"/>
      <c r="N181" s="911"/>
      <c r="O181" s="911"/>
      <c r="P181" s="911"/>
      <c r="Q181" s="911"/>
      <c r="R181" s="911"/>
      <c r="S181" s="911"/>
      <c r="T181" s="911"/>
      <c r="U181" s="911"/>
      <c r="V181" s="911"/>
      <c r="W181" s="911"/>
      <c r="X181" s="912"/>
    </row>
    <row r="182" spans="1:24" ht="13.5" thickBot="1">
      <c r="A182" s="907"/>
      <c r="B182" s="916"/>
      <c r="C182" s="994"/>
      <c r="D182" s="913"/>
      <c r="E182" s="914"/>
      <c r="F182" s="914"/>
      <c r="G182" s="914"/>
      <c r="H182" s="914"/>
      <c r="I182" s="914"/>
      <c r="J182" s="914"/>
      <c r="K182" s="914"/>
      <c r="L182" s="914"/>
      <c r="M182" s="914"/>
      <c r="N182" s="914"/>
      <c r="O182" s="914"/>
      <c r="P182" s="914"/>
      <c r="Q182" s="914"/>
      <c r="R182" s="914"/>
      <c r="S182" s="914"/>
      <c r="T182" s="914"/>
      <c r="U182" s="914"/>
      <c r="V182" s="914"/>
      <c r="W182" s="914"/>
      <c r="X182" s="915"/>
    </row>
    <row r="183" spans="1:24">
      <c r="A183" s="5"/>
      <c r="B183" s="5"/>
      <c r="C183" s="6"/>
      <c r="D183" s="5"/>
      <c r="E183" s="5"/>
      <c r="F183" s="5"/>
      <c r="G183" s="5"/>
      <c r="H183" s="5"/>
      <c r="I183" s="5"/>
      <c r="J183" s="5"/>
      <c r="K183" s="5"/>
      <c r="L183" s="5"/>
      <c r="M183" s="5"/>
      <c r="N183" s="5"/>
      <c r="O183" s="5"/>
      <c r="P183" s="5"/>
      <c r="Q183" s="5"/>
      <c r="R183" s="5"/>
      <c r="S183" s="5"/>
      <c r="T183" s="5"/>
      <c r="U183" s="5"/>
      <c r="V183" s="5"/>
      <c r="W183" s="5"/>
      <c r="X183" s="5"/>
    </row>
    <row r="184" spans="1:24" ht="13.5" thickBot="1">
      <c r="A184" s="5"/>
      <c r="B184" s="5"/>
      <c r="C184" s="6"/>
      <c r="D184" s="5"/>
      <c r="E184" s="5"/>
      <c r="F184" s="5"/>
      <c r="G184" s="5"/>
      <c r="H184" s="5"/>
      <c r="I184" s="5"/>
      <c r="J184" s="5"/>
      <c r="K184" s="5"/>
      <c r="L184" s="5"/>
      <c r="M184" s="5"/>
      <c r="N184" s="5"/>
      <c r="O184" s="5"/>
      <c r="P184" s="5"/>
      <c r="Q184" s="5"/>
      <c r="R184" s="5"/>
      <c r="S184" s="5"/>
      <c r="T184" s="5"/>
      <c r="U184" s="5"/>
      <c r="V184" s="5"/>
      <c r="W184" s="5"/>
      <c r="X184" s="5"/>
    </row>
    <row r="185" spans="1:24" ht="12.95" customHeight="1" thickBot="1">
      <c r="A185" s="506" t="s">
        <v>28</v>
      </c>
      <c r="B185" s="514" t="s">
        <v>32</v>
      </c>
      <c r="C185" s="8"/>
      <c r="D185" s="927" t="s">
        <v>78</v>
      </c>
      <c r="E185" s="928"/>
      <c r="F185" s="928"/>
      <c r="G185" s="929"/>
      <c r="H185" s="927" t="s">
        <v>77</v>
      </c>
      <c r="I185" s="928"/>
      <c r="J185" s="928"/>
      <c r="K185" s="929"/>
      <c r="L185" s="927" t="s">
        <v>81</v>
      </c>
      <c r="M185" s="928"/>
      <c r="N185" s="928"/>
      <c r="O185" s="929"/>
      <c r="P185" s="927" t="s">
        <v>254</v>
      </c>
      <c r="Q185" s="928"/>
      <c r="R185" s="928"/>
      <c r="S185" s="929"/>
      <c r="T185" s="1144" t="s">
        <v>908</v>
      </c>
      <c r="U185" s="1145"/>
      <c r="V185" s="1145"/>
      <c r="W185" s="1146"/>
      <c r="X185" s="16" t="s">
        <v>6</v>
      </c>
    </row>
    <row r="186" spans="1:24" ht="13.5" thickBot="1">
      <c r="A186" s="868" t="s">
        <v>65</v>
      </c>
      <c r="B186" s="868" t="s">
        <v>66</v>
      </c>
      <c r="C186" s="9" t="s">
        <v>235</v>
      </c>
      <c r="D186" s="942">
        <f>SUM('State DisAgg LFx10 (2014)'!D444:G448)/5</f>
        <v>1.2</v>
      </c>
      <c r="E186" s="943"/>
      <c r="F186" s="943"/>
      <c r="G186" s="944"/>
      <c r="H186" s="942">
        <f>SUM('State DisAgg LFx10 (2014)'!H444:K448)/5</f>
        <v>1.9</v>
      </c>
      <c r="I186" s="943"/>
      <c r="J186" s="943"/>
      <c r="K186" s="944"/>
      <c r="L186" s="963">
        <f>SUM('State DisAgg LFx10 (2014)'!L444:O448)/5</f>
        <v>2.5</v>
      </c>
      <c r="M186" s="964"/>
      <c r="N186" s="964"/>
      <c r="O186" s="965"/>
      <c r="P186" s="963">
        <f>SUM('State DisAgg LFx10 (2014)'!P444:S448)/5</f>
        <v>2.7800000000000002</v>
      </c>
      <c r="Q186" s="964"/>
      <c r="R186" s="964"/>
      <c r="S186" s="965"/>
      <c r="T186" s="963">
        <f>SUM('State DisAgg LFx10 (2014)'!T444:T448)/5</f>
        <v>3.14</v>
      </c>
      <c r="U186" s="964"/>
      <c r="V186" s="964"/>
      <c r="W186" s="965"/>
      <c r="X186" s="879" t="s">
        <v>91</v>
      </c>
    </row>
    <row r="187" spans="1:24" ht="13.5" thickBot="1">
      <c r="A187" s="885"/>
      <c r="B187" s="885"/>
      <c r="C187" s="9" t="s">
        <v>233</v>
      </c>
      <c r="D187" s="966" t="s">
        <v>255</v>
      </c>
      <c r="E187" s="967"/>
      <c r="F187" s="967"/>
      <c r="G187" s="968"/>
      <c r="H187" s="942">
        <f>SUM('State DisAgg LFx10 (2014)'!H449:K451)/3</f>
        <v>1.5</v>
      </c>
      <c r="I187" s="943"/>
      <c r="J187" s="943"/>
      <c r="K187" s="944"/>
      <c r="L187" s="963">
        <f>SUM('State DisAgg LFx10 (2014)'!L449:O451)/3</f>
        <v>1.5</v>
      </c>
      <c r="M187" s="964"/>
      <c r="N187" s="964"/>
      <c r="O187" s="965"/>
      <c r="P187" s="963">
        <f>SUM('State DisAgg LFx10 (2014)'!P449:S451)/3</f>
        <v>1.8333333333333333</v>
      </c>
      <c r="Q187" s="964"/>
      <c r="R187" s="964"/>
      <c r="S187" s="965"/>
      <c r="T187" s="963">
        <f>SUM('State DisAgg LFx10 (2014)'!T449:T451)/3</f>
        <v>2.3888888888888888</v>
      </c>
      <c r="U187" s="964"/>
      <c r="V187" s="964"/>
      <c r="W187" s="965"/>
      <c r="X187" s="880"/>
    </row>
    <row r="188" spans="1:24" ht="12.95" customHeight="1" thickBot="1">
      <c r="A188" s="885"/>
      <c r="B188" s="885"/>
      <c r="C188" s="9" t="s">
        <v>234</v>
      </c>
      <c r="D188" s="957"/>
      <c r="E188" s="958"/>
      <c r="F188" s="958"/>
      <c r="G188" s="959"/>
      <c r="H188" s="1153"/>
      <c r="I188" s="1154"/>
      <c r="J188" s="1154"/>
      <c r="K188" s="1155"/>
      <c r="L188" s="1150" t="s">
        <v>910</v>
      </c>
      <c r="M188" s="1151"/>
      <c r="N188" s="1151"/>
      <c r="O188" s="1152"/>
      <c r="P188" s="963">
        <f>SUM('State DisAgg LFx10 (2014)'!P452:S453)/2</f>
        <v>1.25</v>
      </c>
      <c r="Q188" s="964"/>
      <c r="R188" s="964"/>
      <c r="S188" s="965"/>
      <c r="T188" s="963">
        <f>SUM('State DisAgg LFx10 (2014)'!T452:T453)/2</f>
        <v>1.25</v>
      </c>
      <c r="U188" s="964"/>
      <c r="V188" s="964"/>
      <c r="W188" s="965"/>
      <c r="X188" s="880"/>
    </row>
    <row r="189" spans="1:24" ht="13.5" thickBot="1">
      <c r="A189" s="885"/>
      <c r="B189" s="885"/>
      <c r="C189" s="102" t="s">
        <v>236</v>
      </c>
      <c r="D189" s="1008" t="s">
        <v>587</v>
      </c>
      <c r="E189" s="1009"/>
      <c r="F189" s="1009"/>
      <c r="G189" s="1010"/>
      <c r="H189" s="1147">
        <f>SUM('State DisAgg LFx10 (2014)'!H454:K458)/5</f>
        <v>1.92</v>
      </c>
      <c r="I189" s="1148"/>
      <c r="J189" s="1148"/>
      <c r="K189" s="1149"/>
      <c r="L189" s="1147">
        <f>SUM('State DisAgg LFx10 (2014)'!L454:O458)/5</f>
        <v>2.66</v>
      </c>
      <c r="M189" s="1148"/>
      <c r="N189" s="1148"/>
      <c r="O189" s="1149"/>
      <c r="P189" s="1147">
        <f>SUM('State DisAgg LFx10 (2014)'!P454:S458)/5</f>
        <v>3.04</v>
      </c>
      <c r="Q189" s="1148"/>
      <c r="R189" s="1148"/>
      <c r="S189" s="1149"/>
      <c r="T189" s="1147">
        <f>SUM('State DisAgg LFx10 (2014)'!T454:T458)/5</f>
        <v>3.28</v>
      </c>
      <c r="U189" s="1148"/>
      <c r="V189" s="1148"/>
      <c r="W189" s="1149"/>
      <c r="X189" s="880"/>
    </row>
    <row r="190" spans="1:24" ht="13.5" thickBot="1">
      <c r="A190" s="885"/>
      <c r="B190" s="885"/>
      <c r="C190" s="102" t="s">
        <v>283</v>
      </c>
      <c r="D190" s="1017"/>
      <c r="E190" s="1018"/>
      <c r="F190" s="1018"/>
      <c r="G190" s="1019"/>
      <c r="H190" s="1017"/>
      <c r="I190" s="1018"/>
      <c r="J190" s="1018"/>
      <c r="K190" s="1019"/>
      <c r="L190" s="1147">
        <f>SUM('State DisAgg LFx10 (2014)'!L459:O461)/3</f>
        <v>1.5</v>
      </c>
      <c r="M190" s="1148"/>
      <c r="N190" s="1148"/>
      <c r="O190" s="1149"/>
      <c r="P190" s="1147">
        <f>SUM('State DisAgg LFx10 (2014)'!P459:S461)/3</f>
        <v>2.6999999999999997</v>
      </c>
      <c r="Q190" s="1148"/>
      <c r="R190" s="1148"/>
      <c r="S190" s="1149"/>
      <c r="T190" s="1147">
        <f>SUM('State DisAgg LFx10 (2014)'!T459:T461)/3</f>
        <v>3.7666666666666671</v>
      </c>
      <c r="U190" s="1148"/>
      <c r="V190" s="1148"/>
      <c r="W190" s="1149"/>
      <c r="X190" s="880"/>
    </row>
    <row r="191" spans="1:24" ht="13.5" thickBot="1">
      <c r="A191" s="885"/>
      <c r="B191" s="885"/>
      <c r="C191" s="102" t="s">
        <v>284</v>
      </c>
      <c r="D191" s="1017"/>
      <c r="E191" s="1018"/>
      <c r="F191" s="1018"/>
      <c r="G191" s="1019"/>
      <c r="H191" s="1017"/>
      <c r="I191" s="1018"/>
      <c r="J191" s="1018"/>
      <c r="K191" s="1019"/>
      <c r="L191" s="1017"/>
      <c r="M191" s="1018"/>
      <c r="N191" s="1018"/>
      <c r="O191" s="1019"/>
      <c r="P191" s="1147">
        <f>SUM('State DisAgg LFx10 (2014)'!P462:S463)/2</f>
        <v>0</v>
      </c>
      <c r="Q191" s="1148"/>
      <c r="R191" s="1148"/>
      <c r="S191" s="1149"/>
      <c r="T191" s="1147">
        <f>SUM('State DisAgg LFx10 (2014)'!T462:T463)/2</f>
        <v>1.25</v>
      </c>
      <c r="U191" s="1148"/>
      <c r="V191" s="1148"/>
      <c r="W191" s="1149"/>
      <c r="X191" s="880"/>
    </row>
    <row r="192" spans="1:24" ht="13.5" thickBot="1">
      <c r="A192" s="885"/>
      <c r="B192" s="885"/>
      <c r="C192" s="1142" t="s">
        <v>413</v>
      </c>
      <c r="D192" s="927" t="s">
        <v>4</v>
      </c>
      <c r="E192" s="928"/>
      <c r="F192" s="928"/>
      <c r="G192" s="928"/>
      <c r="H192" s="928"/>
      <c r="I192" s="928"/>
      <c r="J192" s="928"/>
      <c r="K192" s="928"/>
      <c r="L192" s="928"/>
      <c r="M192" s="928"/>
      <c r="N192" s="928"/>
      <c r="O192" s="928"/>
      <c r="P192" s="928"/>
      <c r="Q192" s="928"/>
      <c r="R192" s="928"/>
      <c r="S192" s="928"/>
      <c r="T192" s="928"/>
      <c r="U192" s="928"/>
      <c r="V192" s="928"/>
      <c r="W192" s="929"/>
      <c r="X192" s="880"/>
    </row>
    <row r="193" spans="1:24" ht="13.5" thickBot="1">
      <c r="A193" s="885"/>
      <c r="B193" s="869"/>
      <c r="C193" s="1143"/>
      <c r="D193" s="930" t="s">
        <v>123</v>
      </c>
      <c r="E193" s="931"/>
      <c r="F193" s="931"/>
      <c r="G193" s="931"/>
      <c r="H193" s="931"/>
      <c r="I193" s="931"/>
      <c r="J193" s="931"/>
      <c r="K193" s="931"/>
      <c r="L193" s="931"/>
      <c r="M193" s="931"/>
      <c r="N193" s="931"/>
      <c r="O193" s="931"/>
      <c r="P193" s="931"/>
      <c r="Q193" s="931"/>
      <c r="R193" s="931"/>
      <c r="S193" s="931"/>
      <c r="T193" s="931"/>
      <c r="U193" s="931"/>
      <c r="V193" s="931"/>
      <c r="W193" s="932"/>
      <c r="X193" s="880"/>
    </row>
    <row r="194" spans="1:24" ht="12.95" customHeight="1" thickBot="1">
      <c r="A194" s="885"/>
      <c r="B194" s="11" t="s">
        <v>33</v>
      </c>
      <c r="C194" s="12"/>
      <c r="D194" s="927" t="s">
        <v>78</v>
      </c>
      <c r="E194" s="928"/>
      <c r="F194" s="928"/>
      <c r="G194" s="929"/>
      <c r="H194" s="927" t="s">
        <v>77</v>
      </c>
      <c r="I194" s="928"/>
      <c r="J194" s="928"/>
      <c r="K194" s="929"/>
      <c r="L194" s="927" t="s">
        <v>81</v>
      </c>
      <c r="M194" s="928"/>
      <c r="N194" s="928"/>
      <c r="O194" s="929"/>
      <c r="P194" s="927" t="s">
        <v>254</v>
      </c>
      <c r="Q194" s="928"/>
      <c r="R194" s="928"/>
      <c r="S194" s="929"/>
      <c r="T194" s="1144" t="s">
        <v>908</v>
      </c>
      <c r="U194" s="1145"/>
      <c r="V194" s="1145"/>
      <c r="W194" s="1146"/>
      <c r="X194" s="880"/>
    </row>
    <row r="195" spans="1:24" ht="13.5" thickBot="1">
      <c r="A195" s="885"/>
      <c r="B195" s="868" t="s">
        <v>67</v>
      </c>
      <c r="C195" s="9" t="s">
        <v>235</v>
      </c>
      <c r="D195" s="942">
        <f>SUM('State DisAgg LFx10 (2014)'!D467:G471)/5</f>
        <v>1.2</v>
      </c>
      <c r="E195" s="943"/>
      <c r="F195" s="943"/>
      <c r="G195" s="944"/>
      <c r="H195" s="942">
        <f>SUM('State DisAgg LFx10 (2014)'!H467:K471)/5</f>
        <v>1.8</v>
      </c>
      <c r="I195" s="943"/>
      <c r="J195" s="943"/>
      <c r="K195" s="944"/>
      <c r="L195" s="963">
        <f>SUM('State DisAgg LFx10 (2014)'!L467:O471)/5</f>
        <v>2.7</v>
      </c>
      <c r="M195" s="964"/>
      <c r="N195" s="964"/>
      <c r="O195" s="965"/>
      <c r="P195" s="963">
        <f>SUM('State DisAgg LFx10 (2014)'!P467:S471)/5</f>
        <v>3.12</v>
      </c>
      <c r="Q195" s="964"/>
      <c r="R195" s="964"/>
      <c r="S195" s="965"/>
      <c r="T195" s="963">
        <f>SUM('State DisAgg LFx10 (2014)'!T467:T471)/5</f>
        <v>3.3599999999999994</v>
      </c>
      <c r="U195" s="964"/>
      <c r="V195" s="964"/>
      <c r="W195" s="965"/>
      <c r="X195" s="880"/>
    </row>
    <row r="196" spans="1:24" ht="13.5" thickBot="1">
      <c r="A196" s="885"/>
      <c r="B196" s="885"/>
      <c r="C196" s="9" t="s">
        <v>233</v>
      </c>
      <c r="D196" s="966" t="s">
        <v>255</v>
      </c>
      <c r="E196" s="967"/>
      <c r="F196" s="967"/>
      <c r="G196" s="968"/>
      <c r="H196" s="942">
        <f>SUM('State DisAgg LFx10 (2014)'!H472:K474)/3</f>
        <v>2.4666666666666668</v>
      </c>
      <c r="I196" s="943"/>
      <c r="J196" s="943"/>
      <c r="K196" s="944"/>
      <c r="L196" s="963">
        <f>SUM('State DisAgg LFx10 (2014)'!L472:O474)/3</f>
        <v>2.4666666666666668</v>
      </c>
      <c r="M196" s="964"/>
      <c r="N196" s="964"/>
      <c r="O196" s="965"/>
      <c r="P196" s="963">
        <f>SUM('State DisAgg LFx10 (2014)'!P472:S474)/3</f>
        <v>2.8000000000000003</v>
      </c>
      <c r="Q196" s="964"/>
      <c r="R196" s="964"/>
      <c r="S196" s="965"/>
      <c r="T196" s="963">
        <f>SUM('State DisAgg LFx10 (2014)'!T472:T474)/3</f>
        <v>3.1555555555555554</v>
      </c>
      <c r="U196" s="964"/>
      <c r="V196" s="964"/>
      <c r="W196" s="965"/>
      <c r="X196" s="880"/>
    </row>
    <row r="197" spans="1:24" ht="12.95" customHeight="1" thickBot="1">
      <c r="A197" s="885"/>
      <c r="B197" s="885"/>
      <c r="C197" s="9" t="s">
        <v>234</v>
      </c>
      <c r="D197" s="957"/>
      <c r="E197" s="958"/>
      <c r="F197" s="958"/>
      <c r="G197" s="959"/>
      <c r="H197" s="1153"/>
      <c r="I197" s="1154"/>
      <c r="J197" s="1154"/>
      <c r="K197" s="1155"/>
      <c r="L197" s="1150" t="s">
        <v>910</v>
      </c>
      <c r="M197" s="1151"/>
      <c r="N197" s="1151"/>
      <c r="O197" s="1152"/>
      <c r="P197" s="963">
        <f>SUM('State DisAgg LFx10 (2014)'!P475:S476)/2</f>
        <v>1.8</v>
      </c>
      <c r="Q197" s="964"/>
      <c r="R197" s="964"/>
      <c r="S197" s="965"/>
      <c r="T197" s="963">
        <f>SUM('State DisAgg LFx10 (2014)'!T475:T476)/2</f>
        <v>1.8</v>
      </c>
      <c r="U197" s="964"/>
      <c r="V197" s="964"/>
      <c r="W197" s="965"/>
      <c r="X197" s="880"/>
    </row>
    <row r="198" spans="1:24" ht="13.5" thickBot="1">
      <c r="A198" s="885"/>
      <c r="B198" s="885"/>
      <c r="C198" s="102" t="s">
        <v>236</v>
      </c>
      <c r="D198" s="1008" t="s">
        <v>589</v>
      </c>
      <c r="E198" s="1009"/>
      <c r="F198" s="1009"/>
      <c r="G198" s="1010"/>
      <c r="H198" s="1147">
        <f>SUM('State DisAgg LFx10 (2014)'!H477:K481)/5</f>
        <v>1.86</v>
      </c>
      <c r="I198" s="1148"/>
      <c r="J198" s="1148"/>
      <c r="K198" s="1149"/>
      <c r="L198" s="1147">
        <f>SUM('State DisAgg LFx10 (2014)'!L477:O481)/5</f>
        <v>2.66</v>
      </c>
      <c r="M198" s="1148"/>
      <c r="N198" s="1148"/>
      <c r="O198" s="1149"/>
      <c r="P198" s="1147">
        <f>SUM('State DisAgg LFx10 (2014)'!P477:S481)/5</f>
        <v>4.1400000000000006</v>
      </c>
      <c r="Q198" s="1148"/>
      <c r="R198" s="1148"/>
      <c r="S198" s="1149"/>
      <c r="T198" s="1147">
        <f>SUM('State DisAgg LFx10 (2014)'!T477:T481)/5</f>
        <v>4.2799999999999994</v>
      </c>
      <c r="U198" s="1148"/>
      <c r="V198" s="1148"/>
      <c r="W198" s="1149"/>
      <c r="X198" s="880"/>
    </row>
    <row r="199" spans="1:24" ht="13.5" thickBot="1">
      <c r="A199" s="885"/>
      <c r="B199" s="885"/>
      <c r="C199" s="102" t="s">
        <v>283</v>
      </c>
      <c r="D199" s="1017"/>
      <c r="E199" s="1018"/>
      <c r="F199" s="1018"/>
      <c r="G199" s="1019"/>
      <c r="H199" s="1017"/>
      <c r="I199" s="1018"/>
      <c r="J199" s="1018"/>
      <c r="K199" s="1019"/>
      <c r="L199" s="1147">
        <f>SUM('State DisAgg LFx10 (2014)'!L482:O484)/3</f>
        <v>2.4666666666666668</v>
      </c>
      <c r="M199" s="1148"/>
      <c r="N199" s="1148"/>
      <c r="O199" s="1149"/>
      <c r="P199" s="1147">
        <f>SUM('State DisAgg LFx10 (2014)'!P482:S484)/3</f>
        <v>3.0333333333333332</v>
      </c>
      <c r="Q199" s="1148"/>
      <c r="R199" s="1148"/>
      <c r="S199" s="1149"/>
      <c r="T199" s="1147">
        <f>SUM('State DisAgg LFx10 (2014)'!T482:T484)/3</f>
        <v>4.3</v>
      </c>
      <c r="U199" s="1148"/>
      <c r="V199" s="1148"/>
      <c r="W199" s="1149"/>
      <c r="X199" s="880"/>
    </row>
    <row r="200" spans="1:24" ht="13.5" thickBot="1">
      <c r="A200" s="885"/>
      <c r="B200" s="885"/>
      <c r="C200" s="102" t="s">
        <v>284</v>
      </c>
      <c r="D200" s="1017"/>
      <c r="E200" s="1018"/>
      <c r="F200" s="1018"/>
      <c r="G200" s="1019"/>
      <c r="H200" s="1017"/>
      <c r="I200" s="1018"/>
      <c r="J200" s="1018"/>
      <c r="K200" s="1019"/>
      <c r="L200" s="1017"/>
      <c r="M200" s="1018"/>
      <c r="N200" s="1018"/>
      <c r="O200" s="1019"/>
      <c r="P200" s="1147">
        <f>SUM('State DisAgg LFx10 (2014)'!P485:S486)/2</f>
        <v>0</v>
      </c>
      <c r="Q200" s="1148"/>
      <c r="R200" s="1148"/>
      <c r="S200" s="1149"/>
      <c r="T200" s="1147">
        <f>SUM('State DisAgg LFx10 (2014)'!T485:T486)/2</f>
        <v>1.8</v>
      </c>
      <c r="U200" s="1148"/>
      <c r="V200" s="1148"/>
      <c r="W200" s="1149"/>
      <c r="X200" s="880"/>
    </row>
    <row r="201" spans="1:24" ht="13.5" thickBot="1">
      <c r="A201" s="885"/>
      <c r="B201" s="885"/>
      <c r="C201" s="1142" t="s">
        <v>413</v>
      </c>
      <c r="D201" s="927" t="s">
        <v>4</v>
      </c>
      <c r="E201" s="928"/>
      <c r="F201" s="928"/>
      <c r="G201" s="928"/>
      <c r="H201" s="928"/>
      <c r="I201" s="928"/>
      <c r="J201" s="928"/>
      <c r="K201" s="928"/>
      <c r="L201" s="928"/>
      <c r="M201" s="928"/>
      <c r="N201" s="928"/>
      <c r="O201" s="928"/>
      <c r="P201" s="928"/>
      <c r="Q201" s="928"/>
      <c r="R201" s="928"/>
      <c r="S201" s="928"/>
      <c r="T201" s="928"/>
      <c r="U201" s="928"/>
      <c r="V201" s="928"/>
      <c r="W201" s="929"/>
      <c r="X201" s="880"/>
    </row>
    <row r="202" spans="1:24" ht="13.5" thickBot="1">
      <c r="A202" s="885"/>
      <c r="B202" s="869"/>
      <c r="C202" s="1143"/>
      <c r="D202" s="930" t="s">
        <v>123</v>
      </c>
      <c r="E202" s="931"/>
      <c r="F202" s="931"/>
      <c r="G202" s="931"/>
      <c r="H202" s="931"/>
      <c r="I202" s="931"/>
      <c r="J202" s="931"/>
      <c r="K202" s="931"/>
      <c r="L202" s="931"/>
      <c r="M202" s="931"/>
      <c r="N202" s="931"/>
      <c r="O202" s="931"/>
      <c r="P202" s="931"/>
      <c r="Q202" s="931"/>
      <c r="R202" s="931"/>
      <c r="S202" s="931"/>
      <c r="T202" s="931"/>
      <c r="U202" s="931"/>
      <c r="V202" s="931"/>
      <c r="W202" s="932"/>
      <c r="X202" s="880"/>
    </row>
    <row r="203" spans="1:24" ht="12.95" customHeight="1" thickBot="1">
      <c r="A203" s="885"/>
      <c r="B203" s="11" t="s">
        <v>34</v>
      </c>
      <c r="C203" s="12"/>
      <c r="D203" s="927" t="s">
        <v>78</v>
      </c>
      <c r="E203" s="928"/>
      <c r="F203" s="928"/>
      <c r="G203" s="929"/>
      <c r="H203" s="927" t="s">
        <v>77</v>
      </c>
      <c r="I203" s="928"/>
      <c r="J203" s="928"/>
      <c r="K203" s="929"/>
      <c r="L203" s="927" t="s">
        <v>81</v>
      </c>
      <c r="M203" s="928"/>
      <c r="N203" s="928"/>
      <c r="O203" s="929"/>
      <c r="P203" s="927" t="s">
        <v>254</v>
      </c>
      <c r="Q203" s="928"/>
      <c r="R203" s="928"/>
      <c r="S203" s="929"/>
      <c r="T203" s="1144" t="s">
        <v>908</v>
      </c>
      <c r="U203" s="1145"/>
      <c r="V203" s="1145"/>
      <c r="W203" s="1146"/>
      <c r="X203" s="880"/>
    </row>
    <row r="204" spans="1:24" ht="13.5" thickBot="1">
      <c r="A204" s="885"/>
      <c r="B204" s="868" t="s">
        <v>68</v>
      </c>
      <c r="C204" s="9" t="s">
        <v>235</v>
      </c>
      <c r="D204" s="942">
        <f>SUM('State DisAgg LFx10 (2014)'!D490:G494)/5</f>
        <v>1.2</v>
      </c>
      <c r="E204" s="943"/>
      <c r="F204" s="943"/>
      <c r="G204" s="944"/>
      <c r="H204" s="942">
        <f>SUM('State DisAgg LFx10 (2014)'!H490:K494)/5</f>
        <v>1.4</v>
      </c>
      <c r="I204" s="943"/>
      <c r="J204" s="943"/>
      <c r="K204" s="944"/>
      <c r="L204" s="963">
        <f>SUM('State DisAgg LFx10 (2014)'!L490:O494)/5</f>
        <v>2.4</v>
      </c>
      <c r="M204" s="964"/>
      <c r="N204" s="964"/>
      <c r="O204" s="965"/>
      <c r="P204" s="963">
        <f>SUM('State DisAgg LFx10 (2014)'!P490:S494)/5</f>
        <v>2.7399999999999998</v>
      </c>
      <c r="Q204" s="964"/>
      <c r="R204" s="964"/>
      <c r="S204" s="965"/>
      <c r="T204" s="963">
        <f>SUM('State DisAgg LFx10 (2014)'!T490:T494)/5</f>
        <v>3.0866666666666669</v>
      </c>
      <c r="U204" s="964"/>
      <c r="V204" s="964"/>
      <c r="W204" s="965"/>
      <c r="X204" s="880"/>
    </row>
    <row r="205" spans="1:24" ht="13.5" thickBot="1">
      <c r="A205" s="885"/>
      <c r="B205" s="885"/>
      <c r="C205" s="9" t="s">
        <v>233</v>
      </c>
      <c r="D205" s="966" t="s">
        <v>255</v>
      </c>
      <c r="E205" s="967"/>
      <c r="F205" s="967"/>
      <c r="G205" s="968"/>
      <c r="H205" s="942">
        <f>SUM('State DisAgg LFx10 (2014)'!H495:K497)/3</f>
        <v>1.5999999999999999</v>
      </c>
      <c r="I205" s="943"/>
      <c r="J205" s="943"/>
      <c r="K205" s="944"/>
      <c r="L205" s="963">
        <f>SUM('State DisAgg LFx10 (2014)'!L495:O497)/3</f>
        <v>1.5999999999999999</v>
      </c>
      <c r="M205" s="964"/>
      <c r="N205" s="964"/>
      <c r="O205" s="965"/>
      <c r="P205" s="963">
        <f>SUM('State DisAgg LFx10 (2014)'!P495:S497)/3</f>
        <v>1.9666666666666668</v>
      </c>
      <c r="Q205" s="964"/>
      <c r="R205" s="964"/>
      <c r="S205" s="965"/>
      <c r="T205" s="963">
        <f>SUM('State DisAgg LFx10 (2014)'!T495:T497)/3</f>
        <v>2.3888888888888893</v>
      </c>
      <c r="U205" s="964"/>
      <c r="V205" s="964"/>
      <c r="W205" s="965"/>
      <c r="X205" s="880"/>
    </row>
    <row r="206" spans="1:24" ht="12.95" customHeight="1" thickBot="1">
      <c r="A206" s="885"/>
      <c r="B206" s="885"/>
      <c r="C206" s="9" t="s">
        <v>234</v>
      </c>
      <c r="D206" s="957"/>
      <c r="E206" s="958"/>
      <c r="F206" s="958"/>
      <c r="G206" s="959"/>
      <c r="H206" s="1153"/>
      <c r="I206" s="1154"/>
      <c r="J206" s="1154"/>
      <c r="K206" s="1155"/>
      <c r="L206" s="1150" t="s">
        <v>910</v>
      </c>
      <c r="M206" s="1151"/>
      <c r="N206" s="1151"/>
      <c r="O206" s="1152"/>
      <c r="P206" s="963">
        <f>SUM('State DisAgg LFx10 (2014)'!P498:S499)/2</f>
        <v>1.1000000000000001</v>
      </c>
      <c r="Q206" s="964"/>
      <c r="R206" s="964"/>
      <c r="S206" s="965"/>
      <c r="T206" s="963">
        <f>SUM('State DisAgg LFx10 (2014)'!T498:T499)/2</f>
        <v>1.1000000000000001</v>
      </c>
      <c r="U206" s="964"/>
      <c r="V206" s="964"/>
      <c r="W206" s="965"/>
      <c r="X206" s="880"/>
    </row>
    <row r="207" spans="1:24" ht="13.5" thickBot="1">
      <c r="A207" s="885"/>
      <c r="B207" s="885"/>
      <c r="C207" s="102" t="s">
        <v>236</v>
      </c>
      <c r="D207" s="1008" t="s">
        <v>590</v>
      </c>
      <c r="E207" s="1009"/>
      <c r="F207" s="1009"/>
      <c r="G207" s="1010"/>
      <c r="H207" s="1147">
        <f>SUM('State DisAgg LFx10 (2014)'!H500:K504)/5</f>
        <v>2.1</v>
      </c>
      <c r="I207" s="1148"/>
      <c r="J207" s="1148"/>
      <c r="K207" s="1149"/>
      <c r="L207" s="1147">
        <f>SUM('State DisAgg LFx10 (2014)'!L500:O504)/5</f>
        <v>2.2200000000000002</v>
      </c>
      <c r="M207" s="1148"/>
      <c r="N207" s="1148"/>
      <c r="O207" s="1149"/>
      <c r="P207" s="1147">
        <f>SUM('State DisAgg LFx10 (2014)'!P500:S504)/5</f>
        <v>2.84</v>
      </c>
      <c r="Q207" s="1148"/>
      <c r="R207" s="1148"/>
      <c r="S207" s="1149"/>
      <c r="T207" s="1147">
        <f>SUM('State DisAgg LFx10 (2014)'!T500:T504)/5</f>
        <v>3.4800000000000004</v>
      </c>
      <c r="U207" s="1148"/>
      <c r="V207" s="1148"/>
      <c r="W207" s="1149"/>
      <c r="X207" s="880"/>
    </row>
    <row r="208" spans="1:24" ht="13.5" thickBot="1">
      <c r="A208" s="885"/>
      <c r="B208" s="885"/>
      <c r="C208" s="102" t="s">
        <v>283</v>
      </c>
      <c r="D208" s="1017"/>
      <c r="E208" s="1018"/>
      <c r="F208" s="1018"/>
      <c r="G208" s="1019"/>
      <c r="H208" s="1017"/>
      <c r="I208" s="1018"/>
      <c r="J208" s="1018"/>
      <c r="K208" s="1019"/>
      <c r="L208" s="1147">
        <f>SUM('State DisAgg LFx10 (2014)'!L505:O507)/3</f>
        <v>1.5999999999999999</v>
      </c>
      <c r="M208" s="1148"/>
      <c r="N208" s="1148"/>
      <c r="O208" s="1149"/>
      <c r="P208" s="1147">
        <f>SUM('State DisAgg LFx10 (2014)'!P505:S507)/3</f>
        <v>2.3333333333333335</v>
      </c>
      <c r="Q208" s="1148"/>
      <c r="R208" s="1148"/>
      <c r="S208" s="1149"/>
      <c r="T208" s="1147">
        <f>SUM('State DisAgg LFx10 (2014)'!T505:T507)/3</f>
        <v>3.6666666666666665</v>
      </c>
      <c r="U208" s="1148"/>
      <c r="V208" s="1148"/>
      <c r="W208" s="1149"/>
      <c r="X208" s="880"/>
    </row>
    <row r="209" spans="1:24" ht="13.5" thickBot="1">
      <c r="A209" s="885"/>
      <c r="B209" s="885"/>
      <c r="C209" s="102" t="s">
        <v>284</v>
      </c>
      <c r="D209" s="1017"/>
      <c r="E209" s="1018"/>
      <c r="F209" s="1018"/>
      <c r="G209" s="1019"/>
      <c r="H209" s="1017"/>
      <c r="I209" s="1018"/>
      <c r="J209" s="1018"/>
      <c r="K209" s="1019"/>
      <c r="L209" s="1017"/>
      <c r="M209" s="1018"/>
      <c r="N209" s="1018"/>
      <c r="O209" s="1019"/>
      <c r="P209" s="1147">
        <f>SUM('State DisAgg LFx10 (2014)'!P508:S509)/2</f>
        <v>0</v>
      </c>
      <c r="Q209" s="1148"/>
      <c r="R209" s="1148"/>
      <c r="S209" s="1149"/>
      <c r="T209" s="1147">
        <f>SUM('State DisAgg LFx10 (2014)'!T508:T509)/2</f>
        <v>1.1000000000000001</v>
      </c>
      <c r="U209" s="1148"/>
      <c r="V209" s="1148"/>
      <c r="W209" s="1149"/>
      <c r="X209" s="880"/>
    </row>
    <row r="210" spans="1:24" ht="13.5" thickBot="1">
      <c r="A210" s="885"/>
      <c r="B210" s="885"/>
      <c r="C210" s="1142" t="s">
        <v>413</v>
      </c>
      <c r="D210" s="927" t="s">
        <v>4</v>
      </c>
      <c r="E210" s="928"/>
      <c r="F210" s="928"/>
      <c r="G210" s="928"/>
      <c r="H210" s="928"/>
      <c r="I210" s="928"/>
      <c r="J210" s="928"/>
      <c r="K210" s="928"/>
      <c r="L210" s="928"/>
      <c r="M210" s="928"/>
      <c r="N210" s="928"/>
      <c r="O210" s="928"/>
      <c r="P210" s="928"/>
      <c r="Q210" s="928"/>
      <c r="R210" s="928"/>
      <c r="S210" s="928"/>
      <c r="T210" s="928"/>
      <c r="U210" s="928"/>
      <c r="V210" s="928"/>
      <c r="W210" s="929"/>
      <c r="X210" s="880"/>
    </row>
    <row r="211" spans="1:24" ht="13.5" thickBot="1">
      <c r="A211" s="885"/>
      <c r="B211" s="869"/>
      <c r="C211" s="1143"/>
      <c r="D211" s="930" t="s">
        <v>123</v>
      </c>
      <c r="E211" s="931"/>
      <c r="F211" s="931"/>
      <c r="G211" s="931"/>
      <c r="H211" s="931"/>
      <c r="I211" s="931"/>
      <c r="J211" s="931"/>
      <c r="K211" s="931"/>
      <c r="L211" s="931"/>
      <c r="M211" s="931"/>
      <c r="N211" s="931"/>
      <c r="O211" s="931"/>
      <c r="P211" s="931"/>
      <c r="Q211" s="931"/>
      <c r="R211" s="931"/>
      <c r="S211" s="931"/>
      <c r="T211" s="931"/>
      <c r="U211" s="931"/>
      <c r="V211" s="931"/>
      <c r="W211" s="932"/>
      <c r="X211" s="880"/>
    </row>
    <row r="212" spans="1:24" ht="12.95" customHeight="1" thickBot="1">
      <c r="A212" s="885"/>
      <c r="B212" s="11" t="s">
        <v>41</v>
      </c>
      <c r="C212" s="12"/>
      <c r="D212" s="927" t="s">
        <v>78</v>
      </c>
      <c r="E212" s="928"/>
      <c r="F212" s="928"/>
      <c r="G212" s="929"/>
      <c r="H212" s="927" t="s">
        <v>77</v>
      </c>
      <c r="I212" s="928"/>
      <c r="J212" s="928"/>
      <c r="K212" s="929"/>
      <c r="L212" s="927" t="s">
        <v>81</v>
      </c>
      <c r="M212" s="928"/>
      <c r="N212" s="928"/>
      <c r="O212" s="929"/>
      <c r="P212" s="927" t="s">
        <v>254</v>
      </c>
      <c r="Q212" s="928"/>
      <c r="R212" s="928"/>
      <c r="S212" s="929"/>
      <c r="T212" s="1144" t="s">
        <v>908</v>
      </c>
      <c r="U212" s="1145"/>
      <c r="V212" s="1145"/>
      <c r="W212" s="1146"/>
      <c r="X212" s="880"/>
    </row>
    <row r="213" spans="1:24" ht="13.5" thickBot="1">
      <c r="A213" s="885"/>
      <c r="B213" s="868" t="s">
        <v>69</v>
      </c>
      <c r="C213" s="9" t="s">
        <v>235</v>
      </c>
      <c r="D213" s="942">
        <f>SUM('State DisAgg LFx10 (2014)'!D513:G517)/5</f>
        <v>1.2</v>
      </c>
      <c r="E213" s="943"/>
      <c r="F213" s="943"/>
      <c r="G213" s="944"/>
      <c r="H213" s="942">
        <f>SUM('State DisAgg LFx10 (2014)'!H513:K517)/5</f>
        <v>1.6</v>
      </c>
      <c r="I213" s="943"/>
      <c r="J213" s="943"/>
      <c r="K213" s="944"/>
      <c r="L213" s="963">
        <f>SUM('State DisAgg LFx10 (2014)'!L513:O517)/5</f>
        <v>2.6</v>
      </c>
      <c r="M213" s="964"/>
      <c r="N213" s="964"/>
      <c r="O213" s="965"/>
      <c r="P213" s="963">
        <f>SUM('State DisAgg LFx10 (2014)'!P513:S517)/5</f>
        <v>2.7600000000000002</v>
      </c>
      <c r="Q213" s="964"/>
      <c r="R213" s="964"/>
      <c r="S213" s="965"/>
      <c r="T213" s="963">
        <f>SUM('State DisAgg LFx10 (2014)'!T513:T517)/5</f>
        <v>3.0266666666666668</v>
      </c>
      <c r="U213" s="964"/>
      <c r="V213" s="964"/>
      <c r="W213" s="965"/>
      <c r="X213" s="880"/>
    </row>
    <row r="214" spans="1:24" ht="13.5" thickBot="1">
      <c r="A214" s="885"/>
      <c r="B214" s="885"/>
      <c r="C214" s="9" t="s">
        <v>233</v>
      </c>
      <c r="D214" s="966" t="s">
        <v>255</v>
      </c>
      <c r="E214" s="967"/>
      <c r="F214" s="967"/>
      <c r="G214" s="968"/>
      <c r="H214" s="942">
        <f>SUM('State DisAgg LFx10 (2014)'!H518:K520)/3</f>
        <v>1.7333333333333332</v>
      </c>
      <c r="I214" s="943"/>
      <c r="J214" s="943"/>
      <c r="K214" s="944"/>
      <c r="L214" s="942">
        <f>SUM('State DisAgg LFx10 (2014)'!L518:O520)/3</f>
        <v>1.7333333333333332</v>
      </c>
      <c r="M214" s="943"/>
      <c r="N214" s="943"/>
      <c r="O214" s="944"/>
      <c r="P214" s="963">
        <f>SUM('State DisAgg LFx10 (2014)'!P518:S520)/3</f>
        <v>1.9666666666666668</v>
      </c>
      <c r="Q214" s="964"/>
      <c r="R214" s="964"/>
      <c r="S214" s="965"/>
      <c r="T214" s="963">
        <f>SUM('State DisAgg LFx10 (2014)'!T518:T520)/3</f>
        <v>2.5666666666666669</v>
      </c>
      <c r="U214" s="964"/>
      <c r="V214" s="964"/>
      <c r="W214" s="965"/>
      <c r="X214" s="880"/>
    </row>
    <row r="215" spans="1:24" ht="12.95" customHeight="1" thickBot="1">
      <c r="A215" s="885"/>
      <c r="B215" s="885"/>
      <c r="C215" s="9" t="s">
        <v>234</v>
      </c>
      <c r="D215" s="957"/>
      <c r="E215" s="958"/>
      <c r="F215" s="958"/>
      <c r="G215" s="959"/>
      <c r="H215" s="1153"/>
      <c r="I215" s="1154"/>
      <c r="J215" s="1154"/>
      <c r="K215" s="1155"/>
      <c r="L215" s="1150" t="s">
        <v>910</v>
      </c>
      <c r="M215" s="1151"/>
      <c r="N215" s="1151"/>
      <c r="O215" s="1152"/>
      <c r="P215" s="963">
        <f>SUM('State DisAgg LFx10 (2014)'!P521:S522)/2</f>
        <v>1.25</v>
      </c>
      <c r="Q215" s="964"/>
      <c r="R215" s="964"/>
      <c r="S215" s="965"/>
      <c r="T215" s="963">
        <f>SUM('State DisAgg LFx10 (2014)'!T521:T522)/2</f>
        <v>1.25</v>
      </c>
      <c r="U215" s="964"/>
      <c r="V215" s="964"/>
      <c r="W215" s="965"/>
      <c r="X215" s="880"/>
    </row>
    <row r="216" spans="1:24" ht="13.5" thickBot="1">
      <c r="A216" s="885"/>
      <c r="B216" s="885"/>
      <c r="C216" s="102" t="s">
        <v>236</v>
      </c>
      <c r="D216" s="1008" t="s">
        <v>591</v>
      </c>
      <c r="E216" s="1009"/>
      <c r="F216" s="1009"/>
      <c r="G216" s="1010"/>
      <c r="H216" s="1147">
        <f>SUM('State DisAgg LFx10 (2014)'!H523:K527)/5</f>
        <v>1.7399999999999998</v>
      </c>
      <c r="I216" s="1148"/>
      <c r="J216" s="1148"/>
      <c r="K216" s="1149"/>
      <c r="L216" s="1147">
        <f>SUM('State DisAgg LFx10 (2014)'!L523:O527)/5</f>
        <v>2.12</v>
      </c>
      <c r="M216" s="1148"/>
      <c r="N216" s="1148"/>
      <c r="O216" s="1149"/>
      <c r="P216" s="1147">
        <f>SUM('State DisAgg LFx10 (2014)'!P523:S527)/5</f>
        <v>3.06</v>
      </c>
      <c r="Q216" s="1148"/>
      <c r="R216" s="1148"/>
      <c r="S216" s="1149"/>
      <c r="T216" s="1147">
        <f>SUM('State DisAgg LFx10 (2014)'!T523:T527)/5</f>
        <v>3.46</v>
      </c>
      <c r="U216" s="1148"/>
      <c r="V216" s="1148"/>
      <c r="W216" s="1149"/>
      <c r="X216" s="880"/>
    </row>
    <row r="217" spans="1:24" ht="13.5" thickBot="1">
      <c r="A217" s="885"/>
      <c r="B217" s="885"/>
      <c r="C217" s="102" t="s">
        <v>283</v>
      </c>
      <c r="D217" s="1017"/>
      <c r="E217" s="1018"/>
      <c r="F217" s="1018"/>
      <c r="G217" s="1019"/>
      <c r="H217" s="1017"/>
      <c r="I217" s="1018"/>
      <c r="J217" s="1018"/>
      <c r="K217" s="1019"/>
      <c r="L217" s="1147">
        <f>SUM('State DisAgg LFx10 (2014)'!L528:O530)/3</f>
        <v>1.7333333333333332</v>
      </c>
      <c r="M217" s="1148"/>
      <c r="N217" s="1148"/>
      <c r="O217" s="1149"/>
      <c r="P217" s="1147">
        <f>SUM('State DisAgg LFx10 (2014)'!P528:S530)/3</f>
        <v>2.2333333333333329</v>
      </c>
      <c r="Q217" s="1148"/>
      <c r="R217" s="1148"/>
      <c r="S217" s="1149"/>
      <c r="T217" s="1147">
        <f>SUM('State DisAgg LFx10 (2014)'!T528:T530)/3</f>
        <v>3.5333333333333337</v>
      </c>
      <c r="U217" s="1148"/>
      <c r="V217" s="1148"/>
      <c r="W217" s="1149"/>
      <c r="X217" s="880"/>
    </row>
    <row r="218" spans="1:24" ht="13.5" thickBot="1">
      <c r="A218" s="885"/>
      <c r="B218" s="885"/>
      <c r="C218" s="102" t="s">
        <v>284</v>
      </c>
      <c r="D218" s="1017"/>
      <c r="E218" s="1018"/>
      <c r="F218" s="1018"/>
      <c r="G218" s="1019"/>
      <c r="H218" s="1017"/>
      <c r="I218" s="1018"/>
      <c r="J218" s="1018"/>
      <c r="K218" s="1019"/>
      <c r="L218" s="1017"/>
      <c r="M218" s="1018"/>
      <c r="N218" s="1018"/>
      <c r="O218" s="1019"/>
      <c r="P218" s="1147">
        <f>SUM('State DisAgg LFx10 (2014)'!P531:S532)/2</f>
        <v>0</v>
      </c>
      <c r="Q218" s="1148"/>
      <c r="R218" s="1148"/>
      <c r="S218" s="1149"/>
      <c r="T218" s="1147">
        <f>SUM('State DisAgg LFx10 (2014)'!T531:T532)/2</f>
        <v>1.25</v>
      </c>
      <c r="U218" s="1148"/>
      <c r="V218" s="1148"/>
      <c r="W218" s="1149"/>
      <c r="X218" s="880"/>
    </row>
    <row r="219" spans="1:24" ht="13.5" thickBot="1">
      <c r="A219" s="885"/>
      <c r="B219" s="885"/>
      <c r="C219" s="1142" t="s">
        <v>413</v>
      </c>
      <c r="D219" s="927" t="s">
        <v>4</v>
      </c>
      <c r="E219" s="928"/>
      <c r="F219" s="928"/>
      <c r="G219" s="928"/>
      <c r="H219" s="928"/>
      <c r="I219" s="928"/>
      <c r="J219" s="928"/>
      <c r="K219" s="928"/>
      <c r="L219" s="928"/>
      <c r="M219" s="928"/>
      <c r="N219" s="928"/>
      <c r="O219" s="928"/>
      <c r="P219" s="928"/>
      <c r="Q219" s="928"/>
      <c r="R219" s="928"/>
      <c r="S219" s="928"/>
      <c r="T219" s="928"/>
      <c r="U219" s="928"/>
      <c r="V219" s="928"/>
      <c r="W219" s="929"/>
      <c r="X219" s="880"/>
    </row>
    <row r="220" spans="1:24" ht="13.5" thickBot="1">
      <c r="A220" s="885"/>
      <c r="B220" s="869"/>
      <c r="C220" s="1143"/>
      <c r="D220" s="930" t="s">
        <v>123</v>
      </c>
      <c r="E220" s="931"/>
      <c r="F220" s="931"/>
      <c r="G220" s="931"/>
      <c r="H220" s="931"/>
      <c r="I220" s="931"/>
      <c r="J220" s="931"/>
      <c r="K220" s="931"/>
      <c r="L220" s="931"/>
      <c r="M220" s="931"/>
      <c r="N220" s="931"/>
      <c r="O220" s="931"/>
      <c r="P220" s="931"/>
      <c r="Q220" s="931"/>
      <c r="R220" s="931"/>
      <c r="S220" s="931"/>
      <c r="T220" s="931"/>
      <c r="U220" s="931"/>
      <c r="V220" s="931"/>
      <c r="W220" s="932"/>
      <c r="X220" s="880"/>
    </row>
    <row r="221" spans="1:24" ht="12.95" customHeight="1" thickBot="1">
      <c r="A221" s="885"/>
      <c r="B221" s="11" t="s">
        <v>42</v>
      </c>
      <c r="C221" s="28"/>
      <c r="D221" s="927" t="s">
        <v>78</v>
      </c>
      <c r="E221" s="928"/>
      <c r="F221" s="928"/>
      <c r="G221" s="929"/>
      <c r="H221" s="927" t="s">
        <v>77</v>
      </c>
      <c r="I221" s="928"/>
      <c r="J221" s="928"/>
      <c r="K221" s="929"/>
      <c r="L221" s="927" t="s">
        <v>81</v>
      </c>
      <c r="M221" s="928"/>
      <c r="N221" s="928"/>
      <c r="O221" s="929"/>
      <c r="P221" s="927" t="s">
        <v>254</v>
      </c>
      <c r="Q221" s="928"/>
      <c r="R221" s="928"/>
      <c r="S221" s="929"/>
      <c r="T221" s="1144" t="s">
        <v>908</v>
      </c>
      <c r="U221" s="1145"/>
      <c r="V221" s="1145"/>
      <c r="W221" s="1146"/>
      <c r="X221" s="880"/>
    </row>
    <row r="222" spans="1:24" ht="18.95" customHeight="1" thickBot="1">
      <c r="A222" s="885"/>
      <c r="B222" s="868" t="s">
        <v>180</v>
      </c>
      <c r="C222" s="26"/>
      <c r="D222" s="955" t="s">
        <v>99</v>
      </c>
      <c r="E222" s="956"/>
      <c r="F222" s="955" t="s">
        <v>100</v>
      </c>
      <c r="G222" s="956"/>
      <c r="H222" s="955" t="s">
        <v>99</v>
      </c>
      <c r="I222" s="956"/>
      <c r="J222" s="955" t="s">
        <v>100</v>
      </c>
      <c r="K222" s="956"/>
      <c r="L222" s="955" t="s">
        <v>99</v>
      </c>
      <c r="M222" s="956"/>
      <c r="N222" s="955" t="s">
        <v>100</v>
      </c>
      <c r="O222" s="956"/>
      <c r="P222" s="955" t="s">
        <v>99</v>
      </c>
      <c r="Q222" s="956"/>
      <c r="R222" s="955" t="s">
        <v>100</v>
      </c>
      <c r="S222" s="956"/>
      <c r="T222" s="955" t="s">
        <v>99</v>
      </c>
      <c r="U222" s="956"/>
      <c r="V222" s="955" t="s">
        <v>100</v>
      </c>
      <c r="W222" s="956"/>
      <c r="X222" s="880"/>
    </row>
    <row r="223" spans="1:24" ht="13.5" thickBot="1">
      <c r="A223" s="885"/>
      <c r="B223" s="885"/>
      <c r="C223" s="9" t="s">
        <v>247</v>
      </c>
      <c r="D223" s="951">
        <f>SUM('State DisAgg LFx10 (2014)'!D537:E541)</f>
        <v>0</v>
      </c>
      <c r="E223" s="952"/>
      <c r="F223" s="951">
        <f>SUM('State DisAgg LFx10 (2014)'!F537:G541)</f>
        <v>0</v>
      </c>
      <c r="G223" s="952"/>
      <c r="H223" s="951">
        <f>SUM('State DisAgg LFx10 (2014)'!H537:I544)</f>
        <v>14</v>
      </c>
      <c r="I223" s="952"/>
      <c r="J223" s="951">
        <f>SUM('State DisAgg LFx10 (2014)'!J537:K544)</f>
        <v>7</v>
      </c>
      <c r="K223" s="952"/>
      <c r="L223" s="951">
        <f>SUM('State DisAgg LFx10 (2014)'!L537:M546)</f>
        <v>29</v>
      </c>
      <c r="M223" s="952"/>
      <c r="N223" s="954">
        <f>SUM('State DisAgg LFx10 (2014)'!N537:O546)</f>
        <v>11</v>
      </c>
      <c r="O223" s="953"/>
      <c r="P223" s="954">
        <f>SUM('State DisAgg LFx10 (2014)'!P537:Q546)</f>
        <v>46</v>
      </c>
      <c r="Q223" s="953"/>
      <c r="R223" s="954">
        <f>SUM('State DisAgg LFx10 (2014)'!R537:S546)</f>
        <v>19</v>
      </c>
      <c r="S223" s="953"/>
      <c r="T223" s="939">
        <f>SUM('State DisAgg LFx10 (2014)'!T537:T546)</f>
        <v>58.666666666666679</v>
      </c>
      <c r="U223" s="941"/>
      <c r="V223" s="939">
        <f>SUM('State DisAgg LFx10 (2014)'!V537:V546)</f>
        <v>25</v>
      </c>
      <c r="W223" s="941"/>
      <c r="X223" s="880"/>
    </row>
    <row r="224" spans="1:24" ht="13.5" thickBot="1">
      <c r="A224" s="869"/>
      <c r="B224" s="885"/>
      <c r="C224" s="102" t="s">
        <v>246</v>
      </c>
      <c r="D224" s="1011" t="s">
        <v>171</v>
      </c>
      <c r="E224" s="1012"/>
      <c r="F224" s="1012"/>
      <c r="G224" s="1013"/>
      <c r="H224" s="1011" t="s">
        <v>417</v>
      </c>
      <c r="I224" s="1012"/>
      <c r="J224" s="1012"/>
      <c r="K224" s="1013"/>
      <c r="L224" s="1140">
        <f>SUM('State DisAgg LFx10 (2014)'!L547:M554)</f>
        <v>28</v>
      </c>
      <c r="M224" s="1141"/>
      <c r="N224" s="1140">
        <f>SUM('State DisAgg LFx10 (2014)'!N547:O554)</f>
        <v>15</v>
      </c>
      <c r="O224" s="1141"/>
      <c r="P224" s="1140">
        <f>SUM('State DisAgg LFx10 (2014)'!P547:Q556)</f>
        <v>48</v>
      </c>
      <c r="Q224" s="1141"/>
      <c r="R224" s="1140">
        <f>SUM('State DisAgg LFx10 (2014)'!R547:S556)</f>
        <v>28</v>
      </c>
      <c r="S224" s="1141"/>
      <c r="T224" s="1140">
        <f>SUM('State DisAgg LFx10 (2014)'!T547:T556)</f>
        <v>67</v>
      </c>
      <c r="U224" s="1141"/>
      <c r="V224" s="1140">
        <f>SUM('State DisAgg LFx10 (2014)'!V547:V556)</f>
        <v>38</v>
      </c>
      <c r="W224" s="1141"/>
      <c r="X224" s="881"/>
    </row>
    <row r="225" spans="1:24" ht="13.5" thickBot="1">
      <c r="A225" s="507" t="s">
        <v>13</v>
      </c>
      <c r="B225" s="501" t="s">
        <v>178</v>
      </c>
      <c r="C225" s="1142" t="s">
        <v>413</v>
      </c>
      <c r="D225" s="927" t="s">
        <v>4</v>
      </c>
      <c r="E225" s="928"/>
      <c r="F225" s="928"/>
      <c r="G225" s="928"/>
      <c r="H225" s="928"/>
      <c r="I225" s="928"/>
      <c r="J225" s="928"/>
      <c r="K225" s="928"/>
      <c r="L225" s="928"/>
      <c r="M225" s="928"/>
      <c r="N225" s="928"/>
      <c r="O225" s="928"/>
      <c r="P225" s="928"/>
      <c r="Q225" s="928"/>
      <c r="R225" s="928"/>
      <c r="S225" s="928"/>
      <c r="T225" s="928"/>
      <c r="U225" s="928"/>
      <c r="V225" s="928"/>
      <c r="W225" s="929"/>
      <c r="X225" s="24" t="s">
        <v>14</v>
      </c>
    </row>
    <row r="226" spans="1:24" ht="13.5" thickBot="1">
      <c r="A226" s="25" t="s">
        <v>74</v>
      </c>
      <c r="B226" s="502"/>
      <c r="C226" s="1143"/>
      <c r="D226" s="930" t="s">
        <v>124</v>
      </c>
      <c r="E226" s="931"/>
      <c r="F226" s="931"/>
      <c r="G226" s="931"/>
      <c r="H226" s="931"/>
      <c r="I226" s="931"/>
      <c r="J226" s="931"/>
      <c r="K226" s="931"/>
      <c r="L226" s="931"/>
      <c r="M226" s="931"/>
      <c r="N226" s="931"/>
      <c r="O226" s="931"/>
      <c r="P226" s="931"/>
      <c r="Q226" s="931"/>
      <c r="R226" s="931"/>
      <c r="S226" s="931"/>
      <c r="T226" s="931"/>
      <c r="U226" s="931"/>
      <c r="V226" s="931"/>
      <c r="W226" s="932"/>
      <c r="X226" s="18" t="s">
        <v>93</v>
      </c>
    </row>
    <row r="227" spans="1:24" ht="13.5" thickBot="1">
      <c r="A227" s="906" t="s">
        <v>7</v>
      </c>
      <c r="B227" s="908" t="s">
        <v>173</v>
      </c>
      <c r="C227" s="918"/>
      <c r="D227" s="908" t="s">
        <v>8</v>
      </c>
      <c r="E227" s="918"/>
      <c r="F227" s="918"/>
      <c r="G227" s="909"/>
      <c r="H227" s="908" t="s">
        <v>88</v>
      </c>
      <c r="I227" s="918"/>
      <c r="J227" s="918"/>
      <c r="K227" s="909"/>
      <c r="L227" s="908" t="s">
        <v>89</v>
      </c>
      <c r="M227" s="918"/>
      <c r="N227" s="918"/>
      <c r="O227" s="909"/>
      <c r="P227" s="908" t="s">
        <v>9</v>
      </c>
      <c r="Q227" s="918"/>
      <c r="R227" s="918"/>
      <c r="S227" s="909"/>
      <c r="T227" s="908" t="s">
        <v>174</v>
      </c>
      <c r="U227" s="918"/>
      <c r="V227" s="918"/>
      <c r="W227" s="918"/>
      <c r="X227" s="909"/>
    </row>
    <row r="228" spans="1:24" ht="13.5" thickBot="1">
      <c r="A228" s="907"/>
      <c r="B228" s="919">
        <v>10300000</v>
      </c>
      <c r="C228" s="921"/>
      <c r="D228" s="919">
        <v>0</v>
      </c>
      <c r="E228" s="921"/>
      <c r="F228" s="921"/>
      <c r="G228" s="920"/>
      <c r="H228" s="919">
        <v>5500000</v>
      </c>
      <c r="I228" s="921"/>
      <c r="J228" s="921"/>
      <c r="K228" s="920"/>
      <c r="L228" s="919">
        <v>3100000</v>
      </c>
      <c r="M228" s="921"/>
      <c r="N228" s="921"/>
      <c r="O228" s="920"/>
      <c r="P228" s="919">
        <f>SUM(B228:O228)</f>
        <v>18900000</v>
      </c>
      <c r="Q228" s="921"/>
      <c r="R228" s="921"/>
      <c r="S228" s="920"/>
      <c r="T228" s="942">
        <f>B228/P228%</f>
        <v>54.4973544973545</v>
      </c>
      <c r="U228" s="943"/>
      <c r="V228" s="943"/>
      <c r="W228" s="943"/>
      <c r="X228" s="944"/>
    </row>
    <row r="229" spans="1:24" ht="13.5" thickBot="1">
      <c r="A229" s="906" t="s">
        <v>10</v>
      </c>
      <c r="B229" s="908" t="s">
        <v>175</v>
      </c>
      <c r="C229" s="918"/>
      <c r="D229" s="910"/>
      <c r="E229" s="911"/>
      <c r="F229" s="911"/>
      <c r="G229" s="911"/>
      <c r="H229" s="911"/>
      <c r="I229" s="911"/>
      <c r="J229" s="911"/>
      <c r="K229" s="911"/>
      <c r="L229" s="911"/>
      <c r="M229" s="911"/>
      <c r="N229" s="911"/>
      <c r="O229" s="911"/>
      <c r="P229" s="911"/>
      <c r="Q229" s="911"/>
      <c r="R229" s="911"/>
      <c r="S229" s="911"/>
      <c r="T229" s="911"/>
      <c r="U229" s="911"/>
      <c r="V229" s="911"/>
      <c r="W229" s="911"/>
      <c r="X229" s="912"/>
    </row>
    <row r="230" spans="1:24" ht="13.5" thickBot="1">
      <c r="A230" s="907"/>
      <c r="B230" s="916"/>
      <c r="C230" s="994"/>
      <c r="D230" s="913"/>
      <c r="E230" s="914"/>
      <c r="F230" s="914"/>
      <c r="G230" s="914"/>
      <c r="H230" s="914"/>
      <c r="I230" s="914"/>
      <c r="J230" s="914"/>
      <c r="K230" s="914"/>
      <c r="L230" s="914"/>
      <c r="M230" s="914"/>
      <c r="N230" s="914"/>
      <c r="O230" s="914"/>
      <c r="P230" s="914"/>
      <c r="Q230" s="914"/>
      <c r="R230" s="914"/>
      <c r="S230" s="914"/>
      <c r="T230" s="914"/>
      <c r="U230" s="914"/>
      <c r="V230" s="914"/>
      <c r="W230" s="914"/>
      <c r="X230" s="915"/>
    </row>
    <row r="232" spans="1:24" ht="13.5" thickBot="1"/>
    <row r="233" spans="1:24" ht="12.95" customHeight="1" thickBot="1">
      <c r="A233" s="506" t="s">
        <v>27</v>
      </c>
      <c r="B233" s="514" t="s">
        <v>35</v>
      </c>
      <c r="C233" s="8"/>
      <c r="D233" s="927" t="s">
        <v>78</v>
      </c>
      <c r="E233" s="928"/>
      <c r="F233" s="928"/>
      <c r="G233" s="929"/>
      <c r="H233" s="927" t="s">
        <v>77</v>
      </c>
      <c r="I233" s="928"/>
      <c r="J233" s="928"/>
      <c r="K233" s="929"/>
      <c r="L233" s="927" t="s">
        <v>81</v>
      </c>
      <c r="M233" s="928"/>
      <c r="N233" s="928"/>
      <c r="O233" s="929"/>
      <c r="P233" s="927" t="s">
        <v>254</v>
      </c>
      <c r="Q233" s="928"/>
      <c r="R233" s="928"/>
      <c r="S233" s="929"/>
      <c r="T233" s="1144" t="s">
        <v>908</v>
      </c>
      <c r="U233" s="1145"/>
      <c r="V233" s="1145"/>
      <c r="W233" s="1146"/>
      <c r="X233" s="16" t="s">
        <v>12</v>
      </c>
    </row>
    <row r="234" spans="1:24" ht="12.95" customHeight="1" thickBot="1">
      <c r="A234" s="868" t="s">
        <v>70</v>
      </c>
      <c r="B234" s="873" t="s">
        <v>609</v>
      </c>
      <c r="C234" s="187"/>
      <c r="D234" s="1065" t="s">
        <v>636</v>
      </c>
      <c r="E234" s="1066"/>
      <c r="F234" s="1066"/>
      <c r="G234" s="1157"/>
      <c r="H234" s="1158" t="s">
        <v>636</v>
      </c>
      <c r="I234" s="1066"/>
      <c r="J234" s="1066"/>
      <c r="K234" s="1157"/>
      <c r="L234" s="1158" t="s">
        <v>636</v>
      </c>
      <c r="M234" s="1066"/>
      <c r="N234" s="1066"/>
      <c r="O234" s="1157"/>
      <c r="P234" s="219" t="s">
        <v>602</v>
      </c>
      <c r="Q234" s="219" t="s">
        <v>603</v>
      </c>
      <c r="R234" s="219" t="s">
        <v>608</v>
      </c>
      <c r="S234" s="219" t="s">
        <v>604</v>
      </c>
      <c r="T234" s="219" t="s">
        <v>602</v>
      </c>
      <c r="U234" s="219" t="s">
        <v>603</v>
      </c>
      <c r="V234" s="219" t="s">
        <v>608</v>
      </c>
      <c r="W234" s="219" t="s">
        <v>604</v>
      </c>
      <c r="X234" s="879" t="s">
        <v>90</v>
      </c>
    </row>
    <row r="235" spans="1:24" ht="12.95" customHeight="1" thickBot="1">
      <c r="A235" s="885"/>
      <c r="B235" s="874"/>
      <c r="C235" s="9" t="s">
        <v>247</v>
      </c>
      <c r="D235" s="924">
        <f>SUM('State DisAgg LFx10 (2014)'!D566:G577)</f>
        <v>5</v>
      </c>
      <c r="E235" s="925"/>
      <c r="F235" s="925"/>
      <c r="G235" s="926"/>
      <c r="H235" s="924">
        <f>SUM('State DisAgg LFx10 (2014)'!H566:K577)</f>
        <v>30</v>
      </c>
      <c r="I235" s="925"/>
      <c r="J235" s="925"/>
      <c r="K235" s="926"/>
      <c r="L235" s="924">
        <f>SUM('State DisAgg LFx10 (2014)'!L566:O577)</f>
        <v>52</v>
      </c>
      <c r="M235" s="925"/>
      <c r="N235" s="925"/>
      <c r="O235" s="926"/>
      <c r="P235" s="924">
        <f>SUM('State DisAgg LFx10 (2014)'!P566:S577)</f>
        <v>84</v>
      </c>
      <c r="Q235" s="925"/>
      <c r="R235" s="925"/>
      <c r="S235" s="926"/>
      <c r="T235" s="185">
        <f>SUM('State DisAgg LFx10 (2014)'!T566:T577)</f>
        <v>143.33333333333334</v>
      </c>
      <c r="U235" s="185">
        <f>SUM('State DisAgg LFx10 (2014)'!U566:U577)</f>
        <v>78</v>
      </c>
      <c r="V235" s="185">
        <f>SUM('State DisAgg LFx10 (2014)'!V566:V577)</f>
        <v>49</v>
      </c>
      <c r="W235" s="185">
        <f>SUM('State DisAgg LFx10 (2014)'!W566:W577)</f>
        <v>42</v>
      </c>
      <c r="X235" s="880"/>
    </row>
    <row r="236" spans="1:24" ht="13.5" thickBot="1">
      <c r="A236" s="885"/>
      <c r="B236" s="874"/>
      <c r="C236" s="102" t="s">
        <v>246</v>
      </c>
      <c r="D236" s="1008" t="s">
        <v>596</v>
      </c>
      <c r="E236" s="1009"/>
      <c r="F236" s="1009"/>
      <c r="G236" s="1010"/>
      <c r="H236" s="1140">
        <f>SUM('State DisAgg LFx10 (2014)'!H578:K589)</f>
        <v>26</v>
      </c>
      <c r="I236" s="1156"/>
      <c r="J236" s="1156"/>
      <c r="K236" s="1141"/>
      <c r="L236" s="1140">
        <f>SUM('State DisAgg LFx10 (2014)'!L578:O589)</f>
        <v>54</v>
      </c>
      <c r="M236" s="1156"/>
      <c r="N236" s="1156"/>
      <c r="O236" s="1141"/>
      <c r="P236" s="186">
        <f>SUM('State DisAgg LFx10 (2014)'!P578:P589)</f>
        <v>110</v>
      </c>
      <c r="Q236" s="186">
        <f>SUM('State DisAgg LFx10 (2014)'!Q578:Q589)</f>
        <v>62</v>
      </c>
      <c r="R236" s="186">
        <f>SUM('State DisAgg LFx10 (2014)'!R578:R589)</f>
        <v>41</v>
      </c>
      <c r="S236" s="186">
        <f>SUM('State DisAgg LFx10 (2014)'!S578:S589)</f>
        <v>36</v>
      </c>
      <c r="T236" s="186">
        <f>SUM('State DisAgg LFx10 (2014)'!T578:T589)</f>
        <v>188</v>
      </c>
      <c r="U236" s="186">
        <f>SUM('State DisAgg LFx10 (2014)'!U578:U589)</f>
        <v>114</v>
      </c>
      <c r="V236" s="186">
        <f>SUM('State DisAgg LFx10 (2014)'!V578:V589)</f>
        <v>79</v>
      </c>
      <c r="W236" s="186">
        <f>SUM('State DisAgg LFx10 (2014)'!W578:W589)</f>
        <v>61</v>
      </c>
      <c r="X236" s="880"/>
    </row>
    <row r="237" spans="1:24" ht="13.5" thickBot="1">
      <c r="A237" s="885"/>
      <c r="B237" s="874"/>
      <c r="C237" s="1142" t="s">
        <v>413</v>
      </c>
      <c r="D237" s="927" t="s">
        <v>4</v>
      </c>
      <c r="E237" s="928"/>
      <c r="F237" s="928"/>
      <c r="G237" s="928"/>
      <c r="H237" s="928"/>
      <c r="I237" s="928"/>
      <c r="J237" s="928"/>
      <c r="K237" s="928"/>
      <c r="L237" s="928"/>
      <c r="M237" s="928"/>
      <c r="N237" s="928"/>
      <c r="O237" s="928"/>
      <c r="P237" s="928"/>
      <c r="Q237" s="928"/>
      <c r="R237" s="928"/>
      <c r="S237" s="928"/>
      <c r="T237" s="928"/>
      <c r="U237" s="928"/>
      <c r="V237" s="928"/>
      <c r="W237" s="929"/>
      <c r="X237" s="880"/>
    </row>
    <row r="238" spans="1:24" ht="13.5" thickBot="1">
      <c r="A238" s="885"/>
      <c r="B238" s="875"/>
      <c r="C238" s="1143"/>
      <c r="D238" s="930" t="s">
        <v>125</v>
      </c>
      <c r="E238" s="931"/>
      <c r="F238" s="931"/>
      <c r="G238" s="931"/>
      <c r="H238" s="931"/>
      <c r="I238" s="931"/>
      <c r="J238" s="931"/>
      <c r="K238" s="931"/>
      <c r="L238" s="931"/>
      <c r="M238" s="931"/>
      <c r="N238" s="931"/>
      <c r="O238" s="931"/>
      <c r="P238" s="931"/>
      <c r="Q238" s="931"/>
      <c r="R238" s="931"/>
      <c r="S238" s="931"/>
      <c r="T238" s="931"/>
      <c r="U238" s="931"/>
      <c r="V238" s="931"/>
      <c r="W238" s="932"/>
      <c r="X238" s="880"/>
    </row>
    <row r="239" spans="1:24" ht="12.95" customHeight="1" thickBot="1">
      <c r="A239" s="885"/>
      <c r="B239" s="11" t="s">
        <v>36</v>
      </c>
      <c r="C239" s="12"/>
      <c r="D239" s="927" t="s">
        <v>78</v>
      </c>
      <c r="E239" s="928"/>
      <c r="F239" s="928"/>
      <c r="G239" s="929"/>
      <c r="H239" s="927" t="s">
        <v>77</v>
      </c>
      <c r="I239" s="928"/>
      <c r="J239" s="928"/>
      <c r="K239" s="929"/>
      <c r="L239" s="927" t="s">
        <v>81</v>
      </c>
      <c r="M239" s="928"/>
      <c r="N239" s="928"/>
      <c r="O239" s="929"/>
      <c r="P239" s="927" t="s">
        <v>254</v>
      </c>
      <c r="Q239" s="928"/>
      <c r="R239" s="928"/>
      <c r="S239" s="929"/>
      <c r="T239" s="1144" t="s">
        <v>908</v>
      </c>
      <c r="U239" s="1145"/>
      <c r="V239" s="1145"/>
      <c r="W239" s="1146"/>
      <c r="X239" s="880"/>
    </row>
    <row r="240" spans="1:24" ht="12.95" customHeight="1" thickBot="1">
      <c r="A240" s="885"/>
      <c r="B240" s="873" t="s">
        <v>601</v>
      </c>
      <c r="C240" s="187"/>
      <c r="D240" s="1065" t="s">
        <v>636</v>
      </c>
      <c r="E240" s="1066"/>
      <c r="F240" s="1066"/>
      <c r="G240" s="1067"/>
      <c r="H240" s="1065" t="s">
        <v>636</v>
      </c>
      <c r="I240" s="1066"/>
      <c r="J240" s="1066"/>
      <c r="K240" s="1067"/>
      <c r="L240" s="1065" t="s">
        <v>636</v>
      </c>
      <c r="M240" s="1066"/>
      <c r="N240" s="1066"/>
      <c r="O240" s="1067"/>
      <c r="P240" s="218" t="s">
        <v>101</v>
      </c>
      <c r="Q240" s="218" t="s">
        <v>104</v>
      </c>
      <c r="R240" s="218" t="s">
        <v>102</v>
      </c>
      <c r="S240" s="218" t="s">
        <v>103</v>
      </c>
      <c r="T240" s="218" t="s">
        <v>101</v>
      </c>
      <c r="U240" s="218" t="s">
        <v>104</v>
      </c>
      <c r="V240" s="218" t="s">
        <v>102</v>
      </c>
      <c r="W240" s="218" t="s">
        <v>103</v>
      </c>
      <c r="X240" s="880"/>
    </row>
    <row r="241" spans="1:24" ht="12.95" customHeight="1" thickBot="1">
      <c r="A241" s="885"/>
      <c r="B241" s="874"/>
      <c r="C241" s="9" t="s">
        <v>247</v>
      </c>
      <c r="D241" s="924">
        <f>SUM('State DisAgg LFx10 (2014)'!D593:G604)</f>
        <v>2</v>
      </c>
      <c r="E241" s="925"/>
      <c r="F241" s="925"/>
      <c r="G241" s="926"/>
      <c r="H241" s="924">
        <f>SUM('State DisAgg LFx10 (2014)'!H593:K604)</f>
        <v>14</v>
      </c>
      <c r="I241" s="925"/>
      <c r="J241" s="925"/>
      <c r="K241" s="926"/>
      <c r="L241" s="924">
        <f>SUM('State DisAgg LFx10 (2014)'!L593:O604)</f>
        <v>34</v>
      </c>
      <c r="M241" s="925"/>
      <c r="N241" s="925"/>
      <c r="O241" s="926"/>
      <c r="P241" s="924">
        <f>SUM('State DisAgg LFx10 (2014)'!P593:S604)</f>
        <v>38</v>
      </c>
      <c r="Q241" s="925"/>
      <c r="R241" s="925"/>
      <c r="S241" s="926"/>
      <c r="T241" s="185">
        <f>SUM('State DisAgg LFx10 (2014)'!T593:T604)</f>
        <v>70</v>
      </c>
      <c r="U241" s="185">
        <f>SUM('State DisAgg LFx10 (2014)'!U593:U604)</f>
        <v>44.333333333333336</v>
      </c>
      <c r="V241" s="185">
        <f>SUM('State DisAgg LFx10 (2014)'!V593:V604)</f>
        <v>25.333333333333332</v>
      </c>
      <c r="W241" s="185">
        <f>SUM('State DisAgg LFx10 (2014)'!W593:W604)</f>
        <v>11</v>
      </c>
      <c r="X241" s="880"/>
    </row>
    <row r="242" spans="1:24" ht="13.5" thickBot="1">
      <c r="A242" s="885"/>
      <c r="B242" s="874"/>
      <c r="C242" s="102" t="s">
        <v>246</v>
      </c>
      <c r="D242" s="1003" t="s">
        <v>172</v>
      </c>
      <c r="E242" s="1004"/>
      <c r="F242" s="1004"/>
      <c r="G242" s="1005"/>
      <c r="H242" s="1003" t="s">
        <v>417</v>
      </c>
      <c r="I242" s="1004"/>
      <c r="J242" s="1004"/>
      <c r="K242" s="1005"/>
      <c r="L242" s="1140">
        <f>SUM('State DisAgg LFx10 (2014)'!L605:O616)</f>
        <v>21</v>
      </c>
      <c r="M242" s="1156"/>
      <c r="N242" s="1156"/>
      <c r="O242" s="1141"/>
      <c r="P242" s="186">
        <f>SUM('State DisAgg LFx10 (2014)'!P605:P616)</f>
        <v>52</v>
      </c>
      <c r="Q242" s="186">
        <f>SUM('State DisAgg LFx10 (2014)'!Q605:Q616)</f>
        <v>34</v>
      </c>
      <c r="R242" s="186">
        <f>SUM('State DisAgg LFx10 (2014)'!R605:R616)</f>
        <v>17</v>
      </c>
      <c r="S242" s="186">
        <f>SUM('State DisAgg LFx10 (2014)'!S605:S616)</f>
        <v>8</v>
      </c>
      <c r="T242" s="186">
        <f>SUM('State DisAgg LFx10 (2014)'!T605:T616)</f>
        <v>90</v>
      </c>
      <c r="U242" s="186">
        <f>SUM('State DisAgg LFx10 (2014)'!U605:U616)</f>
        <v>69</v>
      </c>
      <c r="V242" s="186">
        <f>SUM('State DisAgg LFx10 (2014)'!V605:V616)</f>
        <v>39</v>
      </c>
      <c r="W242" s="186">
        <f>SUM('State DisAgg LFx10 (2014)'!W605:W616)</f>
        <v>15</v>
      </c>
      <c r="X242" s="881"/>
    </row>
    <row r="243" spans="1:24" ht="13.5" thickBot="1">
      <c r="A243" s="885"/>
      <c r="B243" s="874"/>
      <c r="C243" s="1142" t="s">
        <v>413</v>
      </c>
      <c r="D243" s="927" t="s">
        <v>4</v>
      </c>
      <c r="E243" s="928"/>
      <c r="F243" s="928"/>
      <c r="G243" s="928"/>
      <c r="H243" s="928"/>
      <c r="I243" s="928"/>
      <c r="J243" s="928"/>
      <c r="K243" s="928"/>
      <c r="L243" s="928"/>
      <c r="M243" s="928"/>
      <c r="N243" s="928"/>
      <c r="O243" s="928"/>
      <c r="P243" s="928"/>
      <c r="Q243" s="928"/>
      <c r="R243" s="928"/>
      <c r="S243" s="928"/>
      <c r="T243" s="928"/>
      <c r="U243" s="928"/>
      <c r="V243" s="928"/>
      <c r="W243" s="929"/>
      <c r="X243" s="24" t="s">
        <v>14</v>
      </c>
    </row>
    <row r="244" spans="1:24" ht="13.5" thickBot="1">
      <c r="A244" s="885"/>
      <c r="B244" s="875"/>
      <c r="C244" s="1143"/>
      <c r="D244" s="930" t="s">
        <v>125</v>
      </c>
      <c r="E244" s="931"/>
      <c r="F244" s="931"/>
      <c r="G244" s="931"/>
      <c r="H244" s="931"/>
      <c r="I244" s="931"/>
      <c r="J244" s="931"/>
      <c r="K244" s="931"/>
      <c r="L244" s="931"/>
      <c r="M244" s="931"/>
      <c r="N244" s="931"/>
      <c r="O244" s="931"/>
      <c r="P244" s="931"/>
      <c r="Q244" s="931"/>
      <c r="R244" s="931"/>
      <c r="S244" s="931"/>
      <c r="T244" s="931"/>
      <c r="U244" s="931"/>
      <c r="V244" s="931"/>
      <c r="W244" s="932"/>
      <c r="X244" s="18" t="s">
        <v>92</v>
      </c>
    </row>
    <row r="245" spans="1:24" ht="12.95" customHeight="1" thickBot="1">
      <c r="A245" s="885"/>
      <c r="B245" s="11" t="s">
        <v>600</v>
      </c>
      <c r="C245" s="12"/>
      <c r="D245" s="927" t="s">
        <v>78</v>
      </c>
      <c r="E245" s="928"/>
      <c r="F245" s="928"/>
      <c r="G245" s="929"/>
      <c r="H245" s="927" t="s">
        <v>77</v>
      </c>
      <c r="I245" s="928"/>
      <c r="J245" s="928"/>
      <c r="K245" s="929"/>
      <c r="L245" s="927" t="s">
        <v>81</v>
      </c>
      <c r="M245" s="928"/>
      <c r="N245" s="928"/>
      <c r="O245" s="929"/>
      <c r="P245" s="927" t="s">
        <v>254</v>
      </c>
      <c r="Q245" s="928"/>
      <c r="R245" s="928"/>
      <c r="S245" s="929"/>
      <c r="T245" s="1144" t="s">
        <v>908</v>
      </c>
      <c r="U245" s="1145"/>
      <c r="V245" s="1145"/>
      <c r="W245" s="1146"/>
      <c r="X245" s="505"/>
    </row>
    <row r="246" spans="1:24" ht="12.95" customHeight="1" thickBot="1">
      <c r="A246" s="885"/>
      <c r="B246" s="1132" t="s">
        <v>648</v>
      </c>
      <c r="C246" s="187"/>
      <c r="D246" s="1065"/>
      <c r="E246" s="1066"/>
      <c r="F246" s="1066"/>
      <c r="G246" s="1067"/>
      <c r="H246" s="1065"/>
      <c r="I246" s="1066"/>
      <c r="J246" s="1066"/>
      <c r="K246" s="1067"/>
      <c r="L246" s="1065"/>
      <c r="M246" s="1066"/>
      <c r="N246" s="1066"/>
      <c r="O246" s="1067"/>
      <c r="P246" s="218" t="s">
        <v>693</v>
      </c>
      <c r="Q246" s="219" t="s">
        <v>607</v>
      </c>
      <c r="R246" s="218" t="s">
        <v>606</v>
      </c>
      <c r="S246" s="218" t="s">
        <v>694</v>
      </c>
      <c r="T246" s="218" t="s">
        <v>693</v>
      </c>
      <c r="U246" s="219" t="s">
        <v>607</v>
      </c>
      <c r="V246" s="218" t="s">
        <v>606</v>
      </c>
      <c r="W246" s="218" t="s">
        <v>694</v>
      </c>
      <c r="X246" s="503"/>
    </row>
    <row r="247" spans="1:24" ht="12.95" customHeight="1" thickBot="1">
      <c r="A247" s="885"/>
      <c r="B247" s="1133"/>
      <c r="C247" s="9" t="s">
        <v>247</v>
      </c>
      <c r="D247" s="957"/>
      <c r="E247" s="958"/>
      <c r="F247" s="958"/>
      <c r="G247" s="959"/>
      <c r="H247" s="1061" t="s">
        <v>635</v>
      </c>
      <c r="I247" s="1062"/>
      <c r="J247" s="1062"/>
      <c r="K247" s="1063"/>
      <c r="L247" s="966" t="s">
        <v>443</v>
      </c>
      <c r="M247" s="967"/>
      <c r="N247" s="967"/>
      <c r="O247" s="968"/>
      <c r="P247" s="238">
        <f>SUM('State DisAgg LFx10 (2014)'!P620:P631)</f>
        <v>39</v>
      </c>
      <c r="Q247" s="238">
        <f>SUM('State DisAgg LFx10 (2014)'!Q620:Q631)</f>
        <v>29</v>
      </c>
      <c r="R247" s="238">
        <f>SUM('State DisAgg LFx10 (2014)'!R620:R631)</f>
        <v>10</v>
      </c>
      <c r="S247" s="238">
        <f>SUM('State DisAgg LFx10 (2014)'!S620:S631)</f>
        <v>2</v>
      </c>
      <c r="T247" s="238">
        <f>SUM('State DisAgg LFx10 (2014)'!T620:T631)</f>
        <v>48.666666666666664</v>
      </c>
      <c r="U247" s="238">
        <f>SUM('State DisAgg LFx10 (2014)'!U620:U631)</f>
        <v>35.333333333333329</v>
      </c>
      <c r="V247" s="238">
        <f>SUM('State DisAgg LFx10 (2014)'!V620:V631)</f>
        <v>16.666666666666664</v>
      </c>
      <c r="W247" s="238">
        <f>SUM('State DisAgg LFx10 (2014)'!W620:W631)</f>
        <v>5.666666666666667</v>
      </c>
      <c r="X247" s="508"/>
    </row>
    <row r="248" spans="1:24" ht="12.95" customHeight="1" thickBot="1">
      <c r="A248" s="869"/>
      <c r="B248" s="1133"/>
      <c r="C248" s="102" t="s">
        <v>246</v>
      </c>
      <c r="D248" s="957"/>
      <c r="E248" s="958"/>
      <c r="F248" s="958"/>
      <c r="G248" s="959"/>
      <c r="H248" s="957"/>
      <c r="I248" s="958"/>
      <c r="J248" s="958"/>
      <c r="K248" s="959"/>
      <c r="L248" s="957"/>
      <c r="M248" s="958"/>
      <c r="N248" s="958"/>
      <c r="O248" s="959"/>
      <c r="P248" s="957"/>
      <c r="Q248" s="958"/>
      <c r="R248" s="958"/>
      <c r="S248" s="959"/>
      <c r="T248" s="186">
        <f>SUM('State DisAgg LFx10 (2014)'!T632:T643)</f>
        <v>57</v>
      </c>
      <c r="U248" s="186">
        <f>SUM('State DisAgg LFx10 (2014)'!U632:U643)</f>
        <v>45</v>
      </c>
      <c r="V248" s="186">
        <f>SUM('State DisAgg LFx10 (2014)'!V632:V643)</f>
        <v>28</v>
      </c>
      <c r="W248" s="186">
        <f>SUM('State DisAgg LFx10 (2014)'!W632:W643)</f>
        <v>9</v>
      </c>
      <c r="X248" s="509"/>
    </row>
    <row r="249" spans="1:24" ht="13.5" thickBot="1">
      <c r="A249" s="507" t="s">
        <v>13</v>
      </c>
      <c r="B249" s="1133"/>
      <c r="C249" s="998" t="s">
        <v>413</v>
      </c>
      <c r="D249" s="927" t="s">
        <v>4</v>
      </c>
      <c r="E249" s="928"/>
      <c r="F249" s="928"/>
      <c r="G249" s="928"/>
      <c r="H249" s="928"/>
      <c r="I249" s="928"/>
      <c r="J249" s="928"/>
      <c r="K249" s="928"/>
      <c r="L249" s="928"/>
      <c r="M249" s="928"/>
      <c r="N249" s="928"/>
      <c r="O249" s="928"/>
      <c r="P249" s="928"/>
      <c r="Q249" s="928"/>
      <c r="R249" s="928"/>
      <c r="S249" s="928"/>
      <c r="T249" s="928"/>
      <c r="U249" s="928"/>
      <c r="V249" s="928"/>
      <c r="W249" s="929"/>
      <c r="X249" s="24" t="s">
        <v>14</v>
      </c>
    </row>
    <row r="250" spans="1:24" ht="13.5" thickBot="1">
      <c r="A250" s="25" t="s">
        <v>73</v>
      </c>
      <c r="B250" s="1134"/>
      <c r="C250" s="999"/>
      <c r="D250" s="930" t="s">
        <v>125</v>
      </c>
      <c r="E250" s="931"/>
      <c r="F250" s="931"/>
      <c r="G250" s="931"/>
      <c r="H250" s="931"/>
      <c r="I250" s="931"/>
      <c r="J250" s="931"/>
      <c r="K250" s="931"/>
      <c r="L250" s="931"/>
      <c r="M250" s="931"/>
      <c r="N250" s="931"/>
      <c r="O250" s="931"/>
      <c r="P250" s="931"/>
      <c r="Q250" s="931"/>
      <c r="R250" s="931"/>
      <c r="S250" s="931"/>
      <c r="T250" s="931"/>
      <c r="U250" s="931"/>
      <c r="V250" s="931"/>
      <c r="W250" s="932"/>
      <c r="X250" s="18" t="s">
        <v>92</v>
      </c>
    </row>
    <row r="251" spans="1:24" ht="13.5" thickBot="1">
      <c r="A251" s="1060" t="s">
        <v>7</v>
      </c>
      <c r="B251" s="908" t="s">
        <v>173</v>
      </c>
      <c r="C251" s="918"/>
      <c r="D251" s="908" t="s">
        <v>8</v>
      </c>
      <c r="E251" s="918"/>
      <c r="F251" s="918"/>
      <c r="G251" s="909"/>
      <c r="H251" s="908" t="s">
        <v>88</v>
      </c>
      <c r="I251" s="918"/>
      <c r="J251" s="918"/>
      <c r="K251" s="909"/>
      <c r="L251" s="908" t="s">
        <v>89</v>
      </c>
      <c r="M251" s="918"/>
      <c r="N251" s="918"/>
      <c r="O251" s="909"/>
      <c r="P251" s="908" t="s">
        <v>9</v>
      </c>
      <c r="Q251" s="918"/>
      <c r="R251" s="918"/>
      <c r="S251" s="909"/>
      <c r="T251" s="908" t="s">
        <v>174</v>
      </c>
      <c r="U251" s="918"/>
      <c r="V251" s="918"/>
      <c r="W251" s="918"/>
      <c r="X251" s="909"/>
    </row>
    <row r="252" spans="1:24" ht="13.5" thickBot="1">
      <c r="A252" s="907"/>
      <c r="B252" s="919">
        <v>4100000</v>
      </c>
      <c r="C252" s="921"/>
      <c r="D252" s="919">
        <v>0</v>
      </c>
      <c r="E252" s="921"/>
      <c r="F252" s="921"/>
      <c r="G252" s="920"/>
      <c r="H252" s="919">
        <v>0</v>
      </c>
      <c r="I252" s="921"/>
      <c r="J252" s="921"/>
      <c r="K252" s="920"/>
      <c r="L252" s="919">
        <v>2700000</v>
      </c>
      <c r="M252" s="921"/>
      <c r="N252" s="921"/>
      <c r="O252" s="920"/>
      <c r="P252" s="919">
        <f>SUM(B252:O252)</f>
        <v>6800000</v>
      </c>
      <c r="Q252" s="921"/>
      <c r="R252" s="921"/>
      <c r="S252" s="920"/>
      <c r="T252" s="942">
        <f>B252/P252%</f>
        <v>60.294117647058826</v>
      </c>
      <c r="U252" s="943"/>
      <c r="V252" s="943"/>
      <c r="W252" s="943"/>
      <c r="X252" s="944"/>
    </row>
    <row r="253" spans="1:24" ht="13.5" thickBot="1">
      <c r="A253" s="906" t="s">
        <v>10</v>
      </c>
      <c r="B253" s="908" t="s">
        <v>175</v>
      </c>
      <c r="C253" s="918"/>
      <c r="D253" s="910"/>
      <c r="E253" s="911"/>
      <c r="F253" s="911"/>
      <c r="G253" s="911"/>
      <c r="H253" s="911"/>
      <c r="I253" s="911"/>
      <c r="J253" s="911"/>
      <c r="K253" s="911"/>
      <c r="L253" s="911"/>
      <c r="M253" s="911"/>
      <c r="N253" s="911"/>
      <c r="O253" s="911"/>
      <c r="P253" s="911"/>
      <c r="Q253" s="911"/>
      <c r="R253" s="911"/>
      <c r="S253" s="911"/>
      <c r="T253" s="911"/>
      <c r="U253" s="911"/>
      <c r="V253" s="911"/>
      <c r="W253" s="911"/>
      <c r="X253" s="912"/>
    </row>
    <row r="254" spans="1:24" ht="13.5" thickBot="1">
      <c r="A254" s="907"/>
      <c r="B254" s="916"/>
      <c r="C254" s="994"/>
      <c r="D254" s="913"/>
      <c r="E254" s="914"/>
      <c r="F254" s="914"/>
      <c r="G254" s="914"/>
      <c r="H254" s="914"/>
      <c r="I254" s="914"/>
      <c r="J254" s="914"/>
      <c r="K254" s="914"/>
      <c r="L254" s="914"/>
      <c r="M254" s="914"/>
      <c r="N254" s="914"/>
      <c r="O254" s="914"/>
      <c r="P254" s="914"/>
      <c r="Q254" s="914"/>
      <c r="R254" s="914"/>
      <c r="S254" s="914"/>
      <c r="T254" s="914"/>
      <c r="U254" s="914"/>
      <c r="V254" s="914"/>
      <c r="W254" s="914"/>
      <c r="X254" s="915"/>
    </row>
  </sheetData>
  <sheetProtection password="CF55" sheet="1" objects="1" scenarios="1" selectLockedCells="1" selectUnlockedCells="1"/>
  <mergeCells count="944">
    <mergeCell ref="A253:A254"/>
    <mergeCell ref="B253:C253"/>
    <mergeCell ref="D253:X254"/>
    <mergeCell ref="B254:C254"/>
    <mergeCell ref="T251:X251"/>
    <mergeCell ref="B252:C252"/>
    <mergeCell ref="D252:G252"/>
    <mergeCell ref="H252:K252"/>
    <mergeCell ref="L252:O252"/>
    <mergeCell ref="P252:S252"/>
    <mergeCell ref="T252:X252"/>
    <mergeCell ref="P248:S248"/>
    <mergeCell ref="C249:C250"/>
    <mergeCell ref="D249:W249"/>
    <mergeCell ref="D250:W250"/>
    <mergeCell ref="A251:A252"/>
    <mergeCell ref="B251:C251"/>
    <mergeCell ref="D251:G251"/>
    <mergeCell ref="H251:K251"/>
    <mergeCell ref="L251:O251"/>
    <mergeCell ref="P251:S251"/>
    <mergeCell ref="B246:B250"/>
    <mergeCell ref="D246:G246"/>
    <mergeCell ref="H246:K246"/>
    <mergeCell ref="L246:O246"/>
    <mergeCell ref="D247:G247"/>
    <mergeCell ref="H247:K247"/>
    <mergeCell ref="L247:O247"/>
    <mergeCell ref="D248:G248"/>
    <mergeCell ref="H248:K248"/>
    <mergeCell ref="L248:O248"/>
    <mergeCell ref="D245:G245"/>
    <mergeCell ref="H245:K245"/>
    <mergeCell ref="L245:O245"/>
    <mergeCell ref="P245:S245"/>
    <mergeCell ref="T245:W245"/>
    <mergeCell ref="H241:K241"/>
    <mergeCell ref="L241:O241"/>
    <mergeCell ref="P241:S241"/>
    <mergeCell ref="D242:G242"/>
    <mergeCell ref="H242:K242"/>
    <mergeCell ref="L242:O242"/>
    <mergeCell ref="L234:O234"/>
    <mergeCell ref="D239:G239"/>
    <mergeCell ref="H239:K239"/>
    <mergeCell ref="L239:O239"/>
    <mergeCell ref="P239:S239"/>
    <mergeCell ref="T239:W239"/>
    <mergeCell ref="B240:B244"/>
    <mergeCell ref="D240:G240"/>
    <mergeCell ref="H240:K240"/>
    <mergeCell ref="L240:O240"/>
    <mergeCell ref="D241:G241"/>
    <mergeCell ref="C243:C244"/>
    <mergeCell ref="D243:W243"/>
    <mergeCell ref="D244:W244"/>
    <mergeCell ref="X234:X242"/>
    <mergeCell ref="D235:G235"/>
    <mergeCell ref="H235:K235"/>
    <mergeCell ref="L235:O235"/>
    <mergeCell ref="P235:S235"/>
    <mergeCell ref="A229:A230"/>
    <mergeCell ref="B229:C229"/>
    <mergeCell ref="D229:X230"/>
    <mergeCell ref="B230:C230"/>
    <mergeCell ref="D233:G233"/>
    <mergeCell ref="H233:K233"/>
    <mergeCell ref="L233:O233"/>
    <mergeCell ref="P233:S233"/>
    <mergeCell ref="T233:W233"/>
    <mergeCell ref="D236:G236"/>
    <mergeCell ref="H236:K236"/>
    <mergeCell ref="L236:O236"/>
    <mergeCell ref="C237:C238"/>
    <mergeCell ref="D237:W237"/>
    <mergeCell ref="D238:W238"/>
    <mergeCell ref="A234:A248"/>
    <mergeCell ref="B234:B238"/>
    <mergeCell ref="D234:G234"/>
    <mergeCell ref="H234:K234"/>
    <mergeCell ref="P227:S227"/>
    <mergeCell ref="T227:X227"/>
    <mergeCell ref="B228:C228"/>
    <mergeCell ref="D228:G228"/>
    <mergeCell ref="H228:K228"/>
    <mergeCell ref="L228:O228"/>
    <mergeCell ref="P228:S228"/>
    <mergeCell ref="T228:X228"/>
    <mergeCell ref="T224:U224"/>
    <mergeCell ref="V224:W224"/>
    <mergeCell ref="C225:C226"/>
    <mergeCell ref="D225:W225"/>
    <mergeCell ref="D226:W226"/>
    <mergeCell ref="A227:A228"/>
    <mergeCell ref="B227:C227"/>
    <mergeCell ref="D227:G227"/>
    <mergeCell ref="H227:K227"/>
    <mergeCell ref="L227:O227"/>
    <mergeCell ref="P223:Q223"/>
    <mergeCell ref="R223:S223"/>
    <mergeCell ref="T223:U223"/>
    <mergeCell ref="V223:W223"/>
    <mergeCell ref="D224:G224"/>
    <mergeCell ref="H224:K224"/>
    <mergeCell ref="L224:M224"/>
    <mergeCell ref="N224:O224"/>
    <mergeCell ref="P224:Q224"/>
    <mergeCell ref="R224:S224"/>
    <mergeCell ref="D223:E223"/>
    <mergeCell ref="F223:G223"/>
    <mergeCell ref="H223:I223"/>
    <mergeCell ref="J223:K223"/>
    <mergeCell ref="L223:M223"/>
    <mergeCell ref="N223:O223"/>
    <mergeCell ref="B222:B224"/>
    <mergeCell ref="A186:A224"/>
    <mergeCell ref="B186:B193"/>
    <mergeCell ref="L222:M222"/>
    <mergeCell ref="N222:O222"/>
    <mergeCell ref="P222:Q222"/>
    <mergeCell ref="R222:S222"/>
    <mergeCell ref="T222:U222"/>
    <mergeCell ref="V222:W222"/>
    <mergeCell ref="D221:G221"/>
    <mergeCell ref="H221:K221"/>
    <mergeCell ref="L221:O221"/>
    <mergeCell ref="P221:S221"/>
    <mergeCell ref="T221:W221"/>
    <mergeCell ref="D222:E222"/>
    <mergeCell ref="F222:G222"/>
    <mergeCell ref="H222:I222"/>
    <mergeCell ref="J222:K222"/>
    <mergeCell ref="D216:G216"/>
    <mergeCell ref="H216:K216"/>
    <mergeCell ref="L216:O216"/>
    <mergeCell ref="P216:S216"/>
    <mergeCell ref="T216:W216"/>
    <mergeCell ref="D217:G217"/>
    <mergeCell ref="H217:K217"/>
    <mergeCell ref="L217:O217"/>
    <mergeCell ref="P217:S217"/>
    <mergeCell ref="T217:W217"/>
    <mergeCell ref="T214:W214"/>
    <mergeCell ref="D215:G215"/>
    <mergeCell ref="H215:K215"/>
    <mergeCell ref="L215:O215"/>
    <mergeCell ref="P215:S215"/>
    <mergeCell ref="T215:W215"/>
    <mergeCell ref="B213:B220"/>
    <mergeCell ref="D213:G213"/>
    <mergeCell ref="H213:K213"/>
    <mergeCell ref="L213:O213"/>
    <mergeCell ref="P213:S213"/>
    <mergeCell ref="T213:W213"/>
    <mergeCell ref="D214:G214"/>
    <mergeCell ref="H214:K214"/>
    <mergeCell ref="L214:O214"/>
    <mergeCell ref="P214:S214"/>
    <mergeCell ref="D218:G218"/>
    <mergeCell ref="H218:K218"/>
    <mergeCell ref="L218:O218"/>
    <mergeCell ref="P218:S218"/>
    <mergeCell ref="T218:W218"/>
    <mergeCell ref="C219:C220"/>
    <mergeCell ref="D219:W219"/>
    <mergeCell ref="D220:W220"/>
    <mergeCell ref="C210:C211"/>
    <mergeCell ref="D210:W210"/>
    <mergeCell ref="D211:W211"/>
    <mergeCell ref="D212:G212"/>
    <mergeCell ref="H212:K212"/>
    <mergeCell ref="L212:O212"/>
    <mergeCell ref="P212:S212"/>
    <mergeCell ref="T212:W212"/>
    <mergeCell ref="D208:G208"/>
    <mergeCell ref="H208:K208"/>
    <mergeCell ref="L208:O208"/>
    <mergeCell ref="P208:S208"/>
    <mergeCell ref="T208:W208"/>
    <mergeCell ref="D209:G209"/>
    <mergeCell ref="H209:K209"/>
    <mergeCell ref="L209:O209"/>
    <mergeCell ref="P209:S209"/>
    <mergeCell ref="T209:W209"/>
    <mergeCell ref="P203:S203"/>
    <mergeCell ref="T203:W203"/>
    <mergeCell ref="D206:G206"/>
    <mergeCell ref="H206:K206"/>
    <mergeCell ref="L206:O206"/>
    <mergeCell ref="P206:S206"/>
    <mergeCell ref="T206:W206"/>
    <mergeCell ref="D207:G207"/>
    <mergeCell ref="H207:K207"/>
    <mergeCell ref="L207:O207"/>
    <mergeCell ref="P207:S207"/>
    <mergeCell ref="T207:W207"/>
    <mergeCell ref="T198:W198"/>
    <mergeCell ref="D199:G199"/>
    <mergeCell ref="H199:K199"/>
    <mergeCell ref="L199:O199"/>
    <mergeCell ref="P199:S199"/>
    <mergeCell ref="T199:W199"/>
    <mergeCell ref="B204:B211"/>
    <mergeCell ref="D204:G204"/>
    <mergeCell ref="H204:K204"/>
    <mergeCell ref="L204:O204"/>
    <mergeCell ref="P204:S204"/>
    <mergeCell ref="D200:G200"/>
    <mergeCell ref="H200:K200"/>
    <mergeCell ref="L200:O200"/>
    <mergeCell ref="P200:S200"/>
    <mergeCell ref="T204:W204"/>
    <mergeCell ref="D205:G205"/>
    <mergeCell ref="H205:K205"/>
    <mergeCell ref="L205:O205"/>
    <mergeCell ref="P205:S205"/>
    <mergeCell ref="T205:W205"/>
    <mergeCell ref="D203:G203"/>
    <mergeCell ref="H203:K203"/>
    <mergeCell ref="L203:O203"/>
    <mergeCell ref="T196:W196"/>
    <mergeCell ref="D197:G197"/>
    <mergeCell ref="H197:K197"/>
    <mergeCell ref="L197:O197"/>
    <mergeCell ref="P197:S197"/>
    <mergeCell ref="T197:W197"/>
    <mergeCell ref="B195:B202"/>
    <mergeCell ref="D195:G195"/>
    <mergeCell ref="H195:K195"/>
    <mergeCell ref="L195:O195"/>
    <mergeCell ref="P195:S195"/>
    <mergeCell ref="T195:W195"/>
    <mergeCell ref="D196:G196"/>
    <mergeCell ref="H196:K196"/>
    <mergeCell ref="L196:O196"/>
    <mergeCell ref="P196:S196"/>
    <mergeCell ref="T200:W200"/>
    <mergeCell ref="C201:C202"/>
    <mergeCell ref="D201:W201"/>
    <mergeCell ref="D202:W202"/>
    <mergeCell ref="D198:G198"/>
    <mergeCell ref="H198:K198"/>
    <mergeCell ref="L198:O198"/>
    <mergeCell ref="P198:S198"/>
    <mergeCell ref="C192:C193"/>
    <mergeCell ref="D192:W192"/>
    <mergeCell ref="D193:W193"/>
    <mergeCell ref="D194:G194"/>
    <mergeCell ref="H194:K194"/>
    <mergeCell ref="L194:O194"/>
    <mergeCell ref="P194:S194"/>
    <mergeCell ref="T194:W194"/>
    <mergeCell ref="P190:S190"/>
    <mergeCell ref="T190:W190"/>
    <mergeCell ref="D191:G191"/>
    <mergeCell ref="H191:K191"/>
    <mergeCell ref="L191:O191"/>
    <mergeCell ref="P191:S191"/>
    <mergeCell ref="T191:W191"/>
    <mergeCell ref="T188:W188"/>
    <mergeCell ref="D189:G189"/>
    <mergeCell ref="H189:K189"/>
    <mergeCell ref="L189:O189"/>
    <mergeCell ref="P189:S189"/>
    <mergeCell ref="T189:W189"/>
    <mergeCell ref="T186:W186"/>
    <mergeCell ref="X186:X224"/>
    <mergeCell ref="D187:G187"/>
    <mergeCell ref="H187:K187"/>
    <mergeCell ref="L187:O187"/>
    <mergeCell ref="P187:S187"/>
    <mergeCell ref="T187:W187"/>
    <mergeCell ref="D188:G188"/>
    <mergeCell ref="H188:K188"/>
    <mergeCell ref="L188:O188"/>
    <mergeCell ref="D186:G186"/>
    <mergeCell ref="H186:K186"/>
    <mergeCell ref="L186:O186"/>
    <mergeCell ref="P186:S186"/>
    <mergeCell ref="P188:S188"/>
    <mergeCell ref="D190:G190"/>
    <mergeCell ref="H190:K190"/>
    <mergeCell ref="L190:O190"/>
    <mergeCell ref="A181:A182"/>
    <mergeCell ref="B181:C181"/>
    <mergeCell ref="D181:X182"/>
    <mergeCell ref="B182:C182"/>
    <mergeCell ref="D185:G185"/>
    <mergeCell ref="H185:K185"/>
    <mergeCell ref="L185:O185"/>
    <mergeCell ref="P185:S185"/>
    <mergeCell ref="T185:W185"/>
    <mergeCell ref="T179:X179"/>
    <mergeCell ref="B180:C180"/>
    <mergeCell ref="D180:G180"/>
    <mergeCell ref="H180:K180"/>
    <mergeCell ref="L180:O180"/>
    <mergeCell ref="P180:S180"/>
    <mergeCell ref="T180:X180"/>
    <mergeCell ref="A179:A180"/>
    <mergeCell ref="B179:C179"/>
    <mergeCell ref="D179:G179"/>
    <mergeCell ref="H179:K179"/>
    <mergeCell ref="L179:O179"/>
    <mergeCell ref="P179:S179"/>
    <mergeCell ref="D174:G174"/>
    <mergeCell ref="H174:K174"/>
    <mergeCell ref="L174:O174"/>
    <mergeCell ref="P174:S174"/>
    <mergeCell ref="T174:W174"/>
    <mergeCell ref="D175:G175"/>
    <mergeCell ref="H175:K175"/>
    <mergeCell ref="L175:O175"/>
    <mergeCell ref="P175:S175"/>
    <mergeCell ref="T175:W175"/>
    <mergeCell ref="T172:W172"/>
    <mergeCell ref="D173:G173"/>
    <mergeCell ref="H173:K173"/>
    <mergeCell ref="L173:O173"/>
    <mergeCell ref="P173:S173"/>
    <mergeCell ref="T173:W173"/>
    <mergeCell ref="B171:B178"/>
    <mergeCell ref="D171:G171"/>
    <mergeCell ref="H171:K171"/>
    <mergeCell ref="L171:O171"/>
    <mergeCell ref="P171:S171"/>
    <mergeCell ref="T171:W171"/>
    <mergeCell ref="D172:G172"/>
    <mergeCell ref="H172:K172"/>
    <mergeCell ref="L172:O172"/>
    <mergeCell ref="P172:S172"/>
    <mergeCell ref="D176:G176"/>
    <mergeCell ref="H176:K176"/>
    <mergeCell ref="L176:O176"/>
    <mergeCell ref="P176:S176"/>
    <mergeCell ref="T176:W176"/>
    <mergeCell ref="C177:C178"/>
    <mergeCell ref="D177:W177"/>
    <mergeCell ref="D178:W178"/>
    <mergeCell ref="B168:B169"/>
    <mergeCell ref="C168:C169"/>
    <mergeCell ref="D168:W168"/>
    <mergeCell ref="D169:W169"/>
    <mergeCell ref="D170:G170"/>
    <mergeCell ref="H170:K170"/>
    <mergeCell ref="L170:O170"/>
    <mergeCell ref="P170:S170"/>
    <mergeCell ref="T170:W170"/>
    <mergeCell ref="V166:W166"/>
    <mergeCell ref="D167:G167"/>
    <mergeCell ref="H167:K167"/>
    <mergeCell ref="L167:O167"/>
    <mergeCell ref="P167:Q167"/>
    <mergeCell ref="R167:S167"/>
    <mergeCell ref="T167:U167"/>
    <mergeCell ref="V167:W167"/>
    <mergeCell ref="D166:G166"/>
    <mergeCell ref="H166:K166"/>
    <mergeCell ref="L166:O166"/>
    <mergeCell ref="P166:Q166"/>
    <mergeCell ref="R166:S166"/>
    <mergeCell ref="T166:U166"/>
    <mergeCell ref="V164:W164"/>
    <mergeCell ref="D165:G165"/>
    <mergeCell ref="H165:K165"/>
    <mergeCell ref="L165:O165"/>
    <mergeCell ref="P165:Q165"/>
    <mergeCell ref="R165:S165"/>
    <mergeCell ref="T165:U165"/>
    <mergeCell ref="V165:W165"/>
    <mergeCell ref="D164:G164"/>
    <mergeCell ref="H164:K164"/>
    <mergeCell ref="L164:O164"/>
    <mergeCell ref="P164:Q164"/>
    <mergeCell ref="R164:S164"/>
    <mergeCell ref="T164:U164"/>
    <mergeCell ref="T162:U162"/>
    <mergeCell ref="V162:W162"/>
    <mergeCell ref="D163:G163"/>
    <mergeCell ref="H163:K163"/>
    <mergeCell ref="L163:M163"/>
    <mergeCell ref="N163:O163"/>
    <mergeCell ref="P163:Q163"/>
    <mergeCell ref="R163:S163"/>
    <mergeCell ref="T163:U163"/>
    <mergeCell ref="V163:W163"/>
    <mergeCell ref="D162:G162"/>
    <mergeCell ref="H162:K162"/>
    <mergeCell ref="L162:M162"/>
    <mergeCell ref="N162:O162"/>
    <mergeCell ref="P162:Q162"/>
    <mergeCell ref="R162:S162"/>
    <mergeCell ref="N161:O161"/>
    <mergeCell ref="P161:Q161"/>
    <mergeCell ref="R161:S161"/>
    <mergeCell ref="T161:U161"/>
    <mergeCell ref="V161:W161"/>
    <mergeCell ref="D160:G160"/>
    <mergeCell ref="H160:K160"/>
    <mergeCell ref="L160:O160"/>
    <mergeCell ref="P160:S160"/>
    <mergeCell ref="T160:W160"/>
    <mergeCell ref="A149:A176"/>
    <mergeCell ref="B149:B150"/>
    <mergeCell ref="X149:X174"/>
    <mergeCell ref="D151:G151"/>
    <mergeCell ref="C152:C153"/>
    <mergeCell ref="D152:W152"/>
    <mergeCell ref="D153:W153"/>
    <mergeCell ref="D154:G154"/>
    <mergeCell ref="H154:K154"/>
    <mergeCell ref="L154:O154"/>
    <mergeCell ref="B161:B164"/>
    <mergeCell ref="D161:E161"/>
    <mergeCell ref="F161:G161"/>
    <mergeCell ref="H161:I161"/>
    <mergeCell ref="J161:K161"/>
    <mergeCell ref="P154:S154"/>
    <mergeCell ref="T154:W154"/>
    <mergeCell ref="B155:B156"/>
    <mergeCell ref="D157:G157"/>
    <mergeCell ref="H157:K157"/>
    <mergeCell ref="C158:C159"/>
    <mergeCell ref="D158:W158"/>
    <mergeCell ref="D159:W159"/>
    <mergeCell ref="L161:M161"/>
    <mergeCell ref="A144:A145"/>
    <mergeCell ref="B144:C144"/>
    <mergeCell ref="D144:X145"/>
    <mergeCell ref="B145:C145"/>
    <mergeCell ref="D148:G148"/>
    <mergeCell ref="H148:K148"/>
    <mergeCell ref="L148:O148"/>
    <mergeCell ref="P148:S148"/>
    <mergeCell ref="T148:W148"/>
    <mergeCell ref="A142:A143"/>
    <mergeCell ref="B142:C142"/>
    <mergeCell ref="D142:G142"/>
    <mergeCell ref="H142:K142"/>
    <mergeCell ref="L142:O142"/>
    <mergeCell ref="P142:S142"/>
    <mergeCell ref="T142:X142"/>
    <mergeCell ref="T138:W138"/>
    <mergeCell ref="D139:G139"/>
    <mergeCell ref="H139:K139"/>
    <mergeCell ref="L139:O139"/>
    <mergeCell ref="P139:S139"/>
    <mergeCell ref="T139:W139"/>
    <mergeCell ref="A120:A139"/>
    <mergeCell ref="B120:B127"/>
    <mergeCell ref="B143:C143"/>
    <mergeCell ref="D143:G143"/>
    <mergeCell ref="H143:K143"/>
    <mergeCell ref="L143:O143"/>
    <mergeCell ref="P143:S143"/>
    <mergeCell ref="T143:X143"/>
    <mergeCell ref="C140:C141"/>
    <mergeCell ref="D140:W140"/>
    <mergeCell ref="D141:W141"/>
    <mergeCell ref="D137:G137"/>
    <mergeCell ref="H137:K137"/>
    <mergeCell ref="L137:O137"/>
    <mergeCell ref="P137:S137"/>
    <mergeCell ref="T137:W137"/>
    <mergeCell ref="B138:B141"/>
    <mergeCell ref="D138:G138"/>
    <mergeCell ref="H138:K138"/>
    <mergeCell ref="L138:O138"/>
    <mergeCell ref="P138:S138"/>
    <mergeCell ref="D132:G132"/>
    <mergeCell ref="H132:K132"/>
    <mergeCell ref="L132:O132"/>
    <mergeCell ref="P132:S132"/>
    <mergeCell ref="T132:W132"/>
    <mergeCell ref="D133:G133"/>
    <mergeCell ref="H133:K133"/>
    <mergeCell ref="L133:O133"/>
    <mergeCell ref="P133:S133"/>
    <mergeCell ref="T133:W133"/>
    <mergeCell ref="T130:W130"/>
    <mergeCell ref="D131:G131"/>
    <mergeCell ref="H131:K131"/>
    <mergeCell ref="L131:O131"/>
    <mergeCell ref="P131:S131"/>
    <mergeCell ref="T131:W131"/>
    <mergeCell ref="B129:B136"/>
    <mergeCell ref="D129:G129"/>
    <mergeCell ref="H129:K129"/>
    <mergeCell ref="L129:O129"/>
    <mergeCell ref="P129:S129"/>
    <mergeCell ref="T129:W129"/>
    <mergeCell ref="D130:G130"/>
    <mergeCell ref="H130:K130"/>
    <mergeCell ref="L130:O130"/>
    <mergeCell ref="P130:S130"/>
    <mergeCell ref="D134:G134"/>
    <mergeCell ref="H134:K134"/>
    <mergeCell ref="L134:O134"/>
    <mergeCell ref="P134:S134"/>
    <mergeCell ref="T134:W134"/>
    <mergeCell ref="C135:C136"/>
    <mergeCell ref="D135:W135"/>
    <mergeCell ref="D136:W136"/>
    <mergeCell ref="C126:C127"/>
    <mergeCell ref="D126:W126"/>
    <mergeCell ref="D127:W127"/>
    <mergeCell ref="D128:G128"/>
    <mergeCell ref="H128:K128"/>
    <mergeCell ref="L128:O128"/>
    <mergeCell ref="P128:S128"/>
    <mergeCell ref="T128:W128"/>
    <mergeCell ref="P124:S124"/>
    <mergeCell ref="T124:W124"/>
    <mergeCell ref="D125:G125"/>
    <mergeCell ref="H125:K125"/>
    <mergeCell ref="L125:O125"/>
    <mergeCell ref="P125:S125"/>
    <mergeCell ref="T125:W125"/>
    <mergeCell ref="T122:W122"/>
    <mergeCell ref="D123:G123"/>
    <mergeCell ref="H123:K123"/>
    <mergeCell ref="L123:O123"/>
    <mergeCell ref="P123:S123"/>
    <mergeCell ref="T123:W123"/>
    <mergeCell ref="T120:W120"/>
    <mergeCell ref="X120:X139"/>
    <mergeCell ref="D121:G121"/>
    <mergeCell ref="H121:K121"/>
    <mergeCell ref="L121:O121"/>
    <mergeCell ref="P121:S121"/>
    <mergeCell ref="T121:W121"/>
    <mergeCell ref="D122:G122"/>
    <mergeCell ref="H122:K122"/>
    <mergeCell ref="L122:O122"/>
    <mergeCell ref="D120:G120"/>
    <mergeCell ref="H120:K120"/>
    <mergeCell ref="L120:O120"/>
    <mergeCell ref="P120:S120"/>
    <mergeCell ref="P122:S122"/>
    <mergeCell ref="D124:G124"/>
    <mergeCell ref="H124:K124"/>
    <mergeCell ref="L124:O124"/>
    <mergeCell ref="A115:A116"/>
    <mergeCell ref="B115:C115"/>
    <mergeCell ref="D115:X116"/>
    <mergeCell ref="B116:C116"/>
    <mergeCell ref="D119:G119"/>
    <mergeCell ref="H119:K119"/>
    <mergeCell ref="L119:O119"/>
    <mergeCell ref="P119:S119"/>
    <mergeCell ref="T119:W119"/>
    <mergeCell ref="A113:A114"/>
    <mergeCell ref="B113:C113"/>
    <mergeCell ref="D113:G113"/>
    <mergeCell ref="H113:K113"/>
    <mergeCell ref="L113:O113"/>
    <mergeCell ref="P113:S113"/>
    <mergeCell ref="T113:X113"/>
    <mergeCell ref="T109:W109"/>
    <mergeCell ref="D110:G110"/>
    <mergeCell ref="H110:K110"/>
    <mergeCell ref="L110:O110"/>
    <mergeCell ref="P110:S110"/>
    <mergeCell ref="T110:W110"/>
    <mergeCell ref="A91:A110"/>
    <mergeCell ref="B91:B98"/>
    <mergeCell ref="B114:C114"/>
    <mergeCell ref="D114:G114"/>
    <mergeCell ref="H114:K114"/>
    <mergeCell ref="L114:O114"/>
    <mergeCell ref="P114:S114"/>
    <mergeCell ref="T114:X114"/>
    <mergeCell ref="C111:C112"/>
    <mergeCell ref="D111:W111"/>
    <mergeCell ref="D112:W112"/>
    <mergeCell ref="D108:G108"/>
    <mergeCell ref="H108:K108"/>
    <mergeCell ref="L108:O108"/>
    <mergeCell ref="P108:S108"/>
    <mergeCell ref="T108:W108"/>
    <mergeCell ref="B109:B112"/>
    <mergeCell ref="D109:G109"/>
    <mergeCell ref="H109:K109"/>
    <mergeCell ref="L109:O109"/>
    <mergeCell ref="P109:S109"/>
    <mergeCell ref="D103:G103"/>
    <mergeCell ref="H103:K103"/>
    <mergeCell ref="L103:O103"/>
    <mergeCell ref="P103:S103"/>
    <mergeCell ref="T103:W103"/>
    <mergeCell ref="D104:G104"/>
    <mergeCell ref="H104:K104"/>
    <mergeCell ref="L104:O104"/>
    <mergeCell ref="P104:S104"/>
    <mergeCell ref="T104:W104"/>
    <mergeCell ref="T101:W101"/>
    <mergeCell ref="D102:G102"/>
    <mergeCell ref="H102:K102"/>
    <mergeCell ref="L102:O102"/>
    <mergeCell ref="P102:S102"/>
    <mergeCell ref="T102:W102"/>
    <mergeCell ref="B100:B107"/>
    <mergeCell ref="D100:G100"/>
    <mergeCell ref="H100:K100"/>
    <mergeCell ref="L100:O100"/>
    <mergeCell ref="P100:S100"/>
    <mergeCell ref="T100:W100"/>
    <mergeCell ref="D101:G101"/>
    <mergeCell ref="H101:K101"/>
    <mergeCell ref="L101:O101"/>
    <mergeCell ref="P101:S101"/>
    <mergeCell ref="D105:G105"/>
    <mergeCell ref="H105:K105"/>
    <mergeCell ref="L105:O105"/>
    <mergeCell ref="P105:S105"/>
    <mergeCell ref="T105:W105"/>
    <mergeCell ref="C106:C107"/>
    <mergeCell ref="D106:W106"/>
    <mergeCell ref="D107:W107"/>
    <mergeCell ref="C97:C98"/>
    <mergeCell ref="D97:W97"/>
    <mergeCell ref="D98:W98"/>
    <mergeCell ref="D99:G99"/>
    <mergeCell ref="H99:K99"/>
    <mergeCell ref="L99:O99"/>
    <mergeCell ref="P99:S99"/>
    <mergeCell ref="T99:W99"/>
    <mergeCell ref="P95:S95"/>
    <mergeCell ref="T95:W95"/>
    <mergeCell ref="D96:G96"/>
    <mergeCell ref="H96:K96"/>
    <mergeCell ref="L96:O96"/>
    <mergeCell ref="P96:S96"/>
    <mergeCell ref="T96:W96"/>
    <mergeCell ref="T93:W93"/>
    <mergeCell ref="D94:G94"/>
    <mergeCell ref="H94:K94"/>
    <mergeCell ref="L94:O94"/>
    <mergeCell ref="P94:S94"/>
    <mergeCell ref="T94:W94"/>
    <mergeCell ref="T91:W91"/>
    <mergeCell ref="X91:X110"/>
    <mergeCell ref="D92:G92"/>
    <mergeCell ref="H92:K92"/>
    <mergeCell ref="L92:O92"/>
    <mergeCell ref="P92:S92"/>
    <mergeCell ref="T92:W92"/>
    <mergeCell ref="D93:G93"/>
    <mergeCell ref="H93:K93"/>
    <mergeCell ref="L93:O93"/>
    <mergeCell ref="D91:G91"/>
    <mergeCell ref="H91:K91"/>
    <mergeCell ref="L91:O91"/>
    <mergeCell ref="P91:S91"/>
    <mergeCell ref="P93:S93"/>
    <mergeCell ref="D95:G95"/>
    <mergeCell ref="H95:K95"/>
    <mergeCell ref="L95:O95"/>
    <mergeCell ref="C82:C83"/>
    <mergeCell ref="D82:W82"/>
    <mergeCell ref="D83:W83"/>
    <mergeCell ref="X52:X83"/>
    <mergeCell ref="A86:A87"/>
    <mergeCell ref="B86:C86"/>
    <mergeCell ref="D86:X87"/>
    <mergeCell ref="B87:C87"/>
    <mergeCell ref="D90:G90"/>
    <mergeCell ref="H90:K90"/>
    <mergeCell ref="L90:O90"/>
    <mergeCell ref="P90:S90"/>
    <mergeCell ref="T90:W90"/>
    <mergeCell ref="A84:A85"/>
    <mergeCell ref="B84:C84"/>
    <mergeCell ref="D84:G84"/>
    <mergeCell ref="H84:K84"/>
    <mergeCell ref="L84:O84"/>
    <mergeCell ref="C76:C77"/>
    <mergeCell ref="D76:W76"/>
    <mergeCell ref="D77:W77"/>
    <mergeCell ref="D78:G78"/>
    <mergeCell ref="H78:K78"/>
    <mergeCell ref="L78:O78"/>
    <mergeCell ref="P78:S78"/>
    <mergeCell ref="T78:W78"/>
    <mergeCell ref="B70:B77"/>
    <mergeCell ref="P84:S84"/>
    <mergeCell ref="T84:X84"/>
    <mergeCell ref="B85:C85"/>
    <mergeCell ref="D85:G85"/>
    <mergeCell ref="H85:K85"/>
    <mergeCell ref="L85:O85"/>
    <mergeCell ref="P85:S85"/>
    <mergeCell ref="T85:X85"/>
    <mergeCell ref="B79:B80"/>
    <mergeCell ref="D81:G81"/>
    <mergeCell ref="D74:G74"/>
    <mergeCell ref="H74:K74"/>
    <mergeCell ref="L74:O74"/>
    <mergeCell ref="P74:S74"/>
    <mergeCell ref="T74:W74"/>
    <mergeCell ref="D75:G75"/>
    <mergeCell ref="H75:K75"/>
    <mergeCell ref="L75:O75"/>
    <mergeCell ref="P75:S75"/>
    <mergeCell ref="T75:W75"/>
    <mergeCell ref="D72:G72"/>
    <mergeCell ref="H72:K72"/>
    <mergeCell ref="L72:O72"/>
    <mergeCell ref="P72:S72"/>
    <mergeCell ref="T72:W72"/>
    <mergeCell ref="D73:G73"/>
    <mergeCell ref="H73:K73"/>
    <mergeCell ref="L73:O73"/>
    <mergeCell ref="P73:S73"/>
    <mergeCell ref="T73:W73"/>
    <mergeCell ref="T70:W70"/>
    <mergeCell ref="D71:G71"/>
    <mergeCell ref="H71:K71"/>
    <mergeCell ref="L71:O71"/>
    <mergeCell ref="P71:S71"/>
    <mergeCell ref="T71:W71"/>
    <mergeCell ref="D69:G69"/>
    <mergeCell ref="H69:K69"/>
    <mergeCell ref="L69:O69"/>
    <mergeCell ref="P69:S69"/>
    <mergeCell ref="T69:W69"/>
    <mergeCell ref="D70:G70"/>
    <mergeCell ref="H70:K70"/>
    <mergeCell ref="L70:O70"/>
    <mergeCell ref="P70:S70"/>
    <mergeCell ref="D64:G64"/>
    <mergeCell ref="H64:K64"/>
    <mergeCell ref="L64:O64"/>
    <mergeCell ref="P64:S64"/>
    <mergeCell ref="T64:W64"/>
    <mergeCell ref="D65:G65"/>
    <mergeCell ref="H65:K65"/>
    <mergeCell ref="L65:O65"/>
    <mergeCell ref="P65:S65"/>
    <mergeCell ref="T65:W65"/>
    <mergeCell ref="T62:W62"/>
    <mergeCell ref="D63:G63"/>
    <mergeCell ref="H63:K63"/>
    <mergeCell ref="L63:O63"/>
    <mergeCell ref="P63:S63"/>
    <mergeCell ref="T63:W63"/>
    <mergeCell ref="B61:B68"/>
    <mergeCell ref="D61:G61"/>
    <mergeCell ref="H61:K61"/>
    <mergeCell ref="L61:O61"/>
    <mergeCell ref="P61:S61"/>
    <mergeCell ref="T61:W61"/>
    <mergeCell ref="D62:G62"/>
    <mergeCell ref="H62:K62"/>
    <mergeCell ref="L62:O62"/>
    <mergeCell ref="P62:S62"/>
    <mergeCell ref="D66:G66"/>
    <mergeCell ref="H66:K66"/>
    <mergeCell ref="L66:O66"/>
    <mergeCell ref="P66:S66"/>
    <mergeCell ref="T66:W66"/>
    <mergeCell ref="C67:C68"/>
    <mergeCell ref="D67:W67"/>
    <mergeCell ref="D68:W68"/>
    <mergeCell ref="T53:W53"/>
    <mergeCell ref="D54:G54"/>
    <mergeCell ref="H54:K54"/>
    <mergeCell ref="C58:C59"/>
    <mergeCell ref="D58:W58"/>
    <mergeCell ref="D59:W59"/>
    <mergeCell ref="D60:G60"/>
    <mergeCell ref="H60:K60"/>
    <mergeCell ref="L60:O60"/>
    <mergeCell ref="P60:S60"/>
    <mergeCell ref="T60:W60"/>
    <mergeCell ref="D56:G56"/>
    <mergeCell ref="H56:K56"/>
    <mergeCell ref="L56:O56"/>
    <mergeCell ref="P56:S56"/>
    <mergeCell ref="T56:W56"/>
    <mergeCell ref="D57:G57"/>
    <mergeCell ref="H57:K57"/>
    <mergeCell ref="L57:O57"/>
    <mergeCell ref="P57:S57"/>
    <mergeCell ref="T57:W57"/>
    <mergeCell ref="D51:G51"/>
    <mergeCell ref="H51:K51"/>
    <mergeCell ref="L51:O51"/>
    <mergeCell ref="P51:S51"/>
    <mergeCell ref="T51:W51"/>
    <mergeCell ref="A52:A83"/>
    <mergeCell ref="B52:B59"/>
    <mergeCell ref="D52:G52"/>
    <mergeCell ref="H52:K52"/>
    <mergeCell ref="L52:O52"/>
    <mergeCell ref="L54:O54"/>
    <mergeCell ref="P54:S54"/>
    <mergeCell ref="T54:W54"/>
    <mergeCell ref="D55:G55"/>
    <mergeCell ref="H55:K55"/>
    <mergeCell ref="L55:O55"/>
    <mergeCell ref="P55:S55"/>
    <mergeCell ref="T55:W55"/>
    <mergeCell ref="P52:S52"/>
    <mergeCell ref="T52:W52"/>
    <mergeCell ref="D53:G53"/>
    <mergeCell ref="H53:K53"/>
    <mergeCell ref="L53:O53"/>
    <mergeCell ref="P53:S53"/>
    <mergeCell ref="D46:G46"/>
    <mergeCell ref="H46:K46"/>
    <mergeCell ref="L46:O46"/>
    <mergeCell ref="B47:B48"/>
    <mergeCell ref="C47:C48"/>
    <mergeCell ref="D47:W47"/>
    <mergeCell ref="D48:W48"/>
    <mergeCell ref="D42:G42"/>
    <mergeCell ref="D43:G43"/>
    <mergeCell ref="H43:K43"/>
    <mergeCell ref="L43:O43"/>
    <mergeCell ref="D44:G44"/>
    <mergeCell ref="D45:G45"/>
    <mergeCell ref="H45:K45"/>
    <mergeCell ref="D39:G39"/>
    <mergeCell ref="H39:K39"/>
    <mergeCell ref="L39:O39"/>
    <mergeCell ref="P39:S39"/>
    <mergeCell ref="T39:W39"/>
    <mergeCell ref="B40:B41"/>
    <mergeCell ref="D36:G36"/>
    <mergeCell ref="H36:K36"/>
    <mergeCell ref="L36:O36"/>
    <mergeCell ref="P36:S36"/>
    <mergeCell ref="T36:W36"/>
    <mergeCell ref="C37:C38"/>
    <mergeCell ref="D37:W37"/>
    <mergeCell ref="D38:W38"/>
    <mergeCell ref="B31:B38"/>
    <mergeCell ref="D31:G31"/>
    <mergeCell ref="H31:K31"/>
    <mergeCell ref="L31:O31"/>
    <mergeCell ref="P31:S31"/>
    <mergeCell ref="T31:W31"/>
    <mergeCell ref="D32:G32"/>
    <mergeCell ref="H32:K32"/>
    <mergeCell ref="L32:O32"/>
    <mergeCell ref="P32:S32"/>
    <mergeCell ref="D34:G34"/>
    <mergeCell ref="H34:K34"/>
    <mergeCell ref="L34:O34"/>
    <mergeCell ref="P34:S34"/>
    <mergeCell ref="T34:W34"/>
    <mergeCell ref="D35:G35"/>
    <mergeCell ref="H35:K35"/>
    <mergeCell ref="L35:O35"/>
    <mergeCell ref="P35:S35"/>
    <mergeCell ref="T35:W35"/>
    <mergeCell ref="P26:S26"/>
    <mergeCell ref="T26:W26"/>
    <mergeCell ref="D27:G27"/>
    <mergeCell ref="H27:K27"/>
    <mergeCell ref="L27:O27"/>
    <mergeCell ref="P27:S27"/>
    <mergeCell ref="T27:W27"/>
    <mergeCell ref="T32:W32"/>
    <mergeCell ref="D33:G33"/>
    <mergeCell ref="H33:K33"/>
    <mergeCell ref="L33:O33"/>
    <mergeCell ref="P33:S33"/>
    <mergeCell ref="T33:W33"/>
    <mergeCell ref="X22:X48"/>
    <mergeCell ref="D23:G23"/>
    <mergeCell ref="H23:K23"/>
    <mergeCell ref="L23:O23"/>
    <mergeCell ref="P23:S23"/>
    <mergeCell ref="T23:W23"/>
    <mergeCell ref="D24:G24"/>
    <mergeCell ref="H24:K24"/>
    <mergeCell ref="D21:G21"/>
    <mergeCell ref="H21:K21"/>
    <mergeCell ref="L21:O21"/>
    <mergeCell ref="P21:S21"/>
    <mergeCell ref="T21:W21"/>
    <mergeCell ref="L24:O24"/>
    <mergeCell ref="P24:S24"/>
    <mergeCell ref="T24:W24"/>
    <mergeCell ref="D25:G25"/>
    <mergeCell ref="H25:K25"/>
    <mergeCell ref="L25:O25"/>
    <mergeCell ref="P25:S25"/>
    <mergeCell ref="T25:W25"/>
    <mergeCell ref="P22:S22"/>
    <mergeCell ref="T22:W22"/>
    <mergeCell ref="D28:W28"/>
    <mergeCell ref="A22:A48"/>
    <mergeCell ref="B22:B29"/>
    <mergeCell ref="D22:G22"/>
    <mergeCell ref="H22:K22"/>
    <mergeCell ref="L22:O22"/>
    <mergeCell ref="L14:O14"/>
    <mergeCell ref="P14:S14"/>
    <mergeCell ref="T14:W14"/>
    <mergeCell ref="B15:B18"/>
    <mergeCell ref="D15:W15"/>
    <mergeCell ref="D16:W16"/>
    <mergeCell ref="C17:C18"/>
    <mergeCell ref="D17:W17"/>
    <mergeCell ref="D18:W18"/>
    <mergeCell ref="C28:C29"/>
    <mergeCell ref="D29:W29"/>
    <mergeCell ref="D30:G30"/>
    <mergeCell ref="H30:K30"/>
    <mergeCell ref="L30:O30"/>
    <mergeCell ref="P30:S30"/>
    <mergeCell ref="T30:W30"/>
    <mergeCell ref="D26:G26"/>
    <mergeCell ref="H26:K26"/>
    <mergeCell ref="L26:O26"/>
    <mergeCell ref="B10:B13"/>
    <mergeCell ref="D10:W10"/>
    <mergeCell ref="D11:W11"/>
    <mergeCell ref="C12:C13"/>
    <mergeCell ref="D12:W12"/>
    <mergeCell ref="D13:W13"/>
    <mergeCell ref="A5:A18"/>
    <mergeCell ref="B5:B8"/>
    <mergeCell ref="D5:W5"/>
    <mergeCell ref="D6:W6"/>
    <mergeCell ref="C7:C8"/>
    <mergeCell ref="D7:W7"/>
    <mergeCell ref="D8:W8"/>
    <mergeCell ref="D9:G9"/>
    <mergeCell ref="H9:K9"/>
    <mergeCell ref="L9:O9"/>
    <mergeCell ref="D4:G4"/>
    <mergeCell ref="H4:K4"/>
    <mergeCell ref="L4:O4"/>
    <mergeCell ref="P4:S4"/>
    <mergeCell ref="T4:W4"/>
    <mergeCell ref="X4:X18"/>
    <mergeCell ref="P9:S9"/>
    <mergeCell ref="T9:W9"/>
    <mergeCell ref="D14:G14"/>
    <mergeCell ref="H14:K14"/>
  </mergeCells>
  <hyperlinks>
    <hyperlink ref="C12" location="Reference!C9" display="★ click here for more guidance"/>
    <hyperlink ref="C13" location="Reference!C9" display="Reference!C9"/>
    <hyperlink ref="C7" location="Reference!C7" display="★ click here for more guidance"/>
    <hyperlink ref="C17" location="Reference!C11" display="★ click here for more guidance"/>
    <hyperlink ref="C18" location="Reference!C11" display="Reference!C11"/>
    <hyperlink ref="C28" location="Reference!C13" display="★ click here for more guidance"/>
    <hyperlink ref="C29" location="Reference!C13" display="Reference!C13"/>
    <hyperlink ref="C37" location="Reference!C15" display="★ click here for more guidance"/>
    <hyperlink ref="C38" location="Reference!C15" display="Reference!C15"/>
    <hyperlink ref="C47" location="Reference!C17" display="★ click here for more guidance"/>
    <hyperlink ref="C48" location="Reference!C17" display="Reference!C17"/>
    <hyperlink ref="C58" location="Reference!C22" display="★ click here for more guidance"/>
    <hyperlink ref="C59" location="Reference!C22" display="Reference!C22"/>
    <hyperlink ref="C67" location="Reference!C24" display="★ click here for more guidance"/>
    <hyperlink ref="C68" location="Reference!C24" display="Reference!C24"/>
    <hyperlink ref="C76" location="Reference!C26" display="★ click here for more guidance"/>
    <hyperlink ref="C77" location="Reference!C26" display="Reference!C26"/>
    <hyperlink ref="C82" location="Reference!C28" display="★ click here for more guidance"/>
    <hyperlink ref="C83" location="Reference!C28" display="Reference!C28"/>
    <hyperlink ref="C97" location="Reference!C33" display="★ click here for more guidance"/>
    <hyperlink ref="C98" location="Reference!C33" display="Reference!C33"/>
    <hyperlink ref="C106" location="Reference!C35" display="★ click here for more guidance"/>
    <hyperlink ref="C107" location="Reference!C35" display="Reference!C35"/>
    <hyperlink ref="C111" location="Reference!C37" display="★ click here for more guidance"/>
    <hyperlink ref="C112" location="Reference!C37" display="Reference!C37"/>
    <hyperlink ref="C126" location="Reference!C39" display="★ click here for more guidance"/>
    <hyperlink ref="C127" location="Reference!C39" display="Reference!C39"/>
    <hyperlink ref="C135" location="Reference!C41" display="★ click here for more guidance"/>
    <hyperlink ref="C136" location="Reference!C41" display="Reference!C41"/>
    <hyperlink ref="C140" location="Reference!C43" display="★ click here for more guidance"/>
    <hyperlink ref="C141" location="Reference!C43" display="Reference!C43"/>
    <hyperlink ref="C152" location="Reference!C45" display="★ click here for more guidance"/>
    <hyperlink ref="C153" location="Reference!C45" display="Reference!C45"/>
    <hyperlink ref="C158" location="Reference!C50" display="★ click here for more guidance"/>
    <hyperlink ref="C159" location="Reference!C50" display="Reference!C50"/>
    <hyperlink ref="C168" location="Reference!C55" display="★ click here for more guidance"/>
    <hyperlink ref="C169" location="Reference!C55" display="Reference!C55"/>
    <hyperlink ref="C177" location="Reference!C58" display="★ click here for more guidance"/>
    <hyperlink ref="C178" location="Reference!C58" display="Reference!C58"/>
    <hyperlink ref="C192" location="Reference!C60" display="★ click here for more guidance"/>
    <hyperlink ref="C193" location="Reference!C60" display="Reference!C60"/>
    <hyperlink ref="C201" location="Reference!C62" display="★ click here for more guidance"/>
    <hyperlink ref="C202" location="Reference!C62" display="Reference!C62"/>
    <hyperlink ref="C210" location="Reference!C64" display="★ click here for more guidance"/>
    <hyperlink ref="C211" location="Reference!C64" display="Reference!C64"/>
    <hyperlink ref="C219" location="Reference!C66" display="★ click here for more guidance"/>
    <hyperlink ref="C220" location="Reference!C66" display="Reference!C66"/>
    <hyperlink ref="C225" location="Reference!C68" display="★ click here for more guidance"/>
    <hyperlink ref="C226" location="Reference!C68" display="Reference!C68"/>
    <hyperlink ref="C237" location="Reference!C71" display="★ click here for more guidance"/>
    <hyperlink ref="C238" location="Reference!C71" display="Reference!C71"/>
    <hyperlink ref="C243" location="Reference!C73" display="★ click here for more guidance"/>
    <hyperlink ref="C244" location="Reference!C73" display="Reference!C73"/>
    <hyperlink ref="C8" location="Reference!C7" display="Reference!C7"/>
  </hyperlinks>
  <pageMargins left="0.79000000000000015" right="0.79000000000000015" top="0.79000000000000015" bottom="0.79000000000000015" header="0.39000000000000007" footer="0.39000000000000007"/>
  <pageSetup paperSize="9" scale="55" fitToHeight="3" orientation="landscape"/>
  <headerFooter>
    <oddFooter>&amp;L&amp;K000000&amp;F&amp;C&amp;K000000&amp;D&amp;R&amp;K000000Page &amp;P</oddFooter>
  </headerFooter>
  <legacyDrawing r:id="rId1"/>
  <extLst>
    <ext xmlns:mx="http://schemas.microsoft.com/office/mac/excel/2008/main" uri="{64002731-A6B0-56B0-2670-7721B7C09600}">
      <mx:PLV Mode="0" OnePage="0" WScale="0"/>
    </ext>
  </extLst>
</worksheet>
</file>

<file path=docProps/app.xml><?xml version="1.0" encoding="utf-8"?>
<ap:Properties xmlns:vt="http://schemas.openxmlformats.org/officeDocument/2006/docPropsVTypes" xmlns:ap="http://schemas.openxmlformats.org/officeDocument/2006/extended-properties">
  <ap:Application>Microsoft Excel</ap:Application>
  <ap:ScaleCrop>false</ap:ScaleCrop>
  <ap:LinksUpToDate>false</ap:LinksUpToDate>
  <ap:HyperlinksChanged>false</ap:HyperlinksChanged>
  <ap:AppVersion>14.0300</ap:AppVersion>
</ap:Properties>
</file>

<file path=docProps/core.xml><?xml version="1.0" encoding="utf-8"?>
<coreProperties xmlns:dc="http://purl.org/dc/elements/1.1/" xmlns:dcterms="http://purl.org/dc/terms/" xmlns:xsi="http://www.w3.org/2001/XMLSchema-instance" xmlns="http://schemas.openxmlformats.org/package/2006/metadata/core-properties"/>
</file>